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885" yWindow="330" windowWidth="22995" windowHeight="11055" activeTab="4"/>
  </bookViews>
  <sheets>
    <sheet name="Schedules==&gt;" sheetId="16" r:id="rId1"/>
    <sheet name="Sch M-2.1-E" sheetId="60" state="hidden" r:id="rId2"/>
    <sheet name="Sch M-2.2-E" sheetId="73" state="hidden" r:id="rId3"/>
    <sheet name="Sch M-2.3-E pg 1-2" sheetId="58" state="hidden" r:id="rId4"/>
    <sheet name="Settlement Exhibit 1 pg 1" sheetId="77" r:id="rId5"/>
    <sheet name="Settlement Exhibit 2 pgs 2-17" sheetId="59" r:id="rId6"/>
    <sheet name="Settlement Exhibit 2 pgs 18-24" sheetId="65" r:id="rId7"/>
    <sheet name="Summaries==&gt;" sheetId="72" r:id="rId8"/>
    <sheet name="Rate Summary" sheetId="67" r:id="rId9"/>
    <sheet name="Data==&gt;" sheetId="15" r:id="rId10"/>
    <sheet name="12MonResults" sheetId="4" r:id="rId11"/>
    <sheet name="12MonLights" sheetId="28" r:id="rId12"/>
    <sheet name="12MonPoles" sheetId="29" r:id="rId13"/>
    <sheet name="ECR in Base Rates" sheetId="61" r:id="rId14"/>
    <sheet name="Sources ==&gt;" sheetId="20" r:id="rId15"/>
    <sheet name="Rates" sheetId="2" r:id="rId16"/>
    <sheet name="LightingRates" sheetId="30" r:id="rId17"/>
    <sheet name="PoleRates" sheetId="31" r:id="rId18"/>
    <sheet name="1022" sheetId="1" r:id="rId19"/>
    <sheet name="1051" sheetId="6" r:id="rId20"/>
    <sheet name="1055" sheetId="7" r:id="rId21"/>
    <sheet name="SBR" sheetId="34" r:id="rId22"/>
    <sheet name="MiscData" sheetId="3" r:id="rId23"/>
    <sheet name="Power Factor" sheetId="74" r:id="rId24"/>
    <sheet name="LEV" sheetId="75" r:id="rId25"/>
    <sheet name="Lighting" sheetId="76" r:id="rId26"/>
  </sheets>
  <externalReferences>
    <externalReference r:id="rId27"/>
  </externalReferences>
  <definedNames>
    <definedName name="\\" localSheetId="24" hidden="1">#REF!</definedName>
    <definedName name="\\" localSheetId="25" hidden="1">#REF!</definedName>
    <definedName name="\\" localSheetId="2" hidden="1">#REF!</definedName>
    <definedName name="\\" localSheetId="4" hidden="1">#REF!</definedName>
    <definedName name="\\" hidden="1">#REF!</definedName>
    <definedName name="\\\" localSheetId="24" hidden="1">#REF!</definedName>
    <definedName name="\\\" localSheetId="2" hidden="1">#REF!</definedName>
    <definedName name="\\\" localSheetId="4" hidden="1">#REF!</definedName>
    <definedName name="\\\" hidden="1">#REF!</definedName>
    <definedName name="\\\\" localSheetId="24" hidden="1">#REF!</definedName>
    <definedName name="\\\\" localSheetId="4" hidden="1">#REF!</definedName>
    <definedName name="\\\\" hidden="1">#REF!</definedName>
    <definedName name="__123Graph_A" localSheetId="24" hidden="1">#REF!</definedName>
    <definedName name="__123Graph_A" localSheetId="4" hidden="1">#REF!</definedName>
    <definedName name="__123Graph_A" hidden="1">#REF!</definedName>
    <definedName name="__123Graph_B" localSheetId="24" hidden="1">#REF!</definedName>
    <definedName name="__123Graph_B" localSheetId="4" hidden="1">#REF!</definedName>
    <definedName name="__123Graph_B" hidden="1">#REF!</definedName>
    <definedName name="__123Graph_C" localSheetId="24" hidden="1">#REF!</definedName>
    <definedName name="__123Graph_C" localSheetId="4" hidden="1">#REF!</definedName>
    <definedName name="__123Graph_C" hidden="1">#REF!</definedName>
    <definedName name="__123Graph_D" localSheetId="24" hidden="1">#REF!</definedName>
    <definedName name="__123Graph_D" localSheetId="4" hidden="1">#REF!</definedName>
    <definedName name="__123Graph_D" hidden="1">#REF!</definedName>
    <definedName name="__123Graph_E" localSheetId="24" hidden="1">#REF!</definedName>
    <definedName name="__123Graph_E" localSheetId="4" hidden="1">#REF!</definedName>
    <definedName name="__123Graph_E" hidden="1">#REF!</definedName>
    <definedName name="__123Graph_F" localSheetId="24" hidden="1">#REF!</definedName>
    <definedName name="__123Graph_F" localSheetId="4" hidden="1">#REF!</definedName>
    <definedName name="__123Graph_F" hidden="1">#REF!</definedName>
    <definedName name="__123Graph_X" localSheetId="24" hidden="1">#REF!</definedName>
    <definedName name="__123Graph_X" localSheetId="4" hidden="1">#REF!</definedName>
    <definedName name="__123Graph_X" hidden="1">#REF!</definedName>
    <definedName name="_1022_Count">'[1]1022'!$D$3:$D$491</definedName>
    <definedName name="_1022_Demand_Base">'[1]1022'!$I$3:$I$491</definedName>
    <definedName name="_1022_Demand_Intermediate">'[1]1022'!$J$3:$J$491</definedName>
    <definedName name="_1022_Demand_Peak">'[1]1022'!$K$3:$K$491</definedName>
    <definedName name="_1022_KWH">'[1]1022'!$H$3:$H$491</definedName>
    <definedName name="_1022_KWH_P1">'[1]1022'!$E$3:$E$491</definedName>
    <definedName name="_1022_KWH_P2">'[1]1022'!$F$3:$F$491</definedName>
    <definedName name="_1022_KWH_P3">'[1]1022'!$G$3:$G$491</definedName>
    <definedName name="_1022_Measured_KVA_Base">'[1]1022'!$O$3:$O$491</definedName>
    <definedName name="_1022_Measured_KVA_Inter">'[1]1022'!$P$3:$P$491</definedName>
    <definedName name="_1022_Measured_KVA_Peak">'[1]1022'!$Q$3:$Q$491</definedName>
    <definedName name="_1022_RateCategory">'[1]1022'!$C$3:$C$491</definedName>
    <definedName name="_1022_RevenueMonth">'[1]1022'!$B$3:$B$491</definedName>
    <definedName name="_1055_Light_Count">'[1]1055'!$E$3:$E$1475</definedName>
    <definedName name="_1055_RateCategory">'[1]1055'!$C$3:$C$1475</definedName>
    <definedName name="_1055_RevMonth">'[1]1055'!$A$3:$A$1475</definedName>
    <definedName name="_12MonLights_Base_Fuel_Revenue">'[1]12MonLights'!$Y$2:$Y$1069</definedName>
    <definedName name="_12MonLights_Count">'[1]12MonLights'!$E$2:$E$1069</definedName>
    <definedName name="_12MonLights_Count_Adj">'[1]12MonLights'!$F$2:$F$1069</definedName>
    <definedName name="_12MonLights_ECR">'[1]12MonLights'!$S$2:$S$1069</definedName>
    <definedName name="_12MonLights_FAC">'[1]12MonLights'!$Q$2:$Q$1069</definedName>
    <definedName name="_12MonLights_KWH">'[1]12MonLights'!$G$2:$G$1069</definedName>
    <definedName name="_12MonLights_KWH_OutOfPeriod">'[1]12MonLights'!$H$2:$H$1069</definedName>
    <definedName name="_12MonLights_RateCategory">'[1]12MonLights'!$D$2:$D$1069</definedName>
    <definedName name="_12MonLights_RateClass">'[1]12MonLights'!$C$2:$C$1069</definedName>
    <definedName name="_12MonLights_Revenue_Actual">'[1]12MonLights'!$O$2:$O$1069</definedName>
    <definedName name="_12MonLights_Revenue_BaseECR">'[1]12MonLights'!$AB$2:$AB$1069</definedName>
    <definedName name="_12MonLights_Revenue_Calculated">'[1]12MonLights'!$N$2:$N$1069</definedName>
    <definedName name="_12MonLights_Revenue_FAC">'[1]12MonLights'!$Q$2:$Q$1069</definedName>
    <definedName name="_12MonLights_RevMonth">'[1]12MonLights'!$B$2:$B$1069</definedName>
    <definedName name="_12MonLights_TariffRateCategory">'[1]12MonLights'!$AE$2:$AE$1069</definedName>
    <definedName name="_12MonLights_TotalRevenue">'[1]12MonLights'!$U$2:$U$1069</definedName>
    <definedName name="_12MonResults_CustomerCount">'[1]12MonResults'!$F$4:$F$471</definedName>
    <definedName name="_12MonResults_Demand_Measured_kW_B">'[1]12MonResults'!$K$4:$K$471</definedName>
    <definedName name="_12MonResults_Demand_Measured_kW_I">'[1]12MonResults'!$L$4:$L$471</definedName>
    <definedName name="_12MonResults_Demand_Measured_kW_P">'[1]12MonResults'!$M$4:$M$471</definedName>
    <definedName name="_12MonResults_KWH_P1">'[1]12MonResults'!$G$4:$G$471</definedName>
    <definedName name="_12MonResults_KWH_P2">'[1]12MonResults'!$H$4:$H$471</definedName>
    <definedName name="_12MonResults_KWH_P3">'[1]12MonResults'!$I$4:$I$471</definedName>
    <definedName name="_12MonResults_KWH_Total">'[1]12MonResults'!$J$4:$J$471</definedName>
    <definedName name="_12MonResults_Rate">'[1]12MonResults'!$C$4:$C$471</definedName>
    <definedName name="_12MonResults_RateCategory">'[1]12MonResults'!$E$4:$E$471</definedName>
    <definedName name="_12MonResults_RateClass">'[1]12MonResults'!$D$4:$D$471</definedName>
    <definedName name="_12MonResults_Revenue_Actual">'[1]12MonResults'!$AF$4:$AF$471</definedName>
    <definedName name="_12MonResults_Revenue_BaseFuel">'[1]12MonResults'!$AP$4:$AP$471</definedName>
    <definedName name="_12MonResults_Revenue_Calculated">'[1]12MonResults'!$AE$4:$AE$471</definedName>
    <definedName name="_12MonResults_Revenue_CSR">'[1]12MonResults'!$AL$4:$AL$471</definedName>
    <definedName name="_12MonResults_Revenue_DSM">'[1]12MonResults'!$AI$4:$AI$471</definedName>
    <definedName name="_12MonResults_Revenue_ECR">'[1]12MonResults'!$AJ$4:$AJ$471</definedName>
    <definedName name="_12MonResults_Revenue_FAC">'[1]12MonResults'!$AH$4:$AH$471</definedName>
    <definedName name="_12MonResults_Revenue_MSR">'[1]12MonResults'!$AK$4:$AK$471</definedName>
    <definedName name="_12MonResults_Revenue_Total">'[1]12MonResults'!$AM$4:$AM$471</definedName>
    <definedName name="_12MonResults_RevMonth">'[1]12MonResults'!$B$4:$B$471</definedName>
    <definedName name="_Fill" localSheetId="24" hidden="1">#REF!</definedName>
    <definedName name="_Fill" localSheetId="25" hidden="1">#REF!</definedName>
    <definedName name="_Fill" localSheetId="2" hidden="1">#REF!</definedName>
    <definedName name="_Fill" localSheetId="4" hidden="1">#REF!</definedName>
    <definedName name="_Fill" hidden="1">#REF!</definedName>
    <definedName name="_xlnm._FilterDatabase" localSheetId="18" hidden="1">'1022'!$A$1:$O$404</definedName>
    <definedName name="_xlnm._FilterDatabase" localSheetId="19" hidden="1">'1051'!$A$1:$J$307</definedName>
    <definedName name="_xlnm._FilterDatabase" localSheetId="20" hidden="1">'1055'!$K$717:$K$785</definedName>
    <definedName name="_xlnm._FilterDatabase" localSheetId="11" hidden="1">'12MonLights'!$A$3:$AH$879</definedName>
    <definedName name="_xlnm._FilterDatabase" localSheetId="12" hidden="1">'12MonPoles'!$A$1:$AC$289</definedName>
    <definedName name="_xlnm._FilterDatabase" localSheetId="10" hidden="1">'12MonResults'!$A$3:$AX$459</definedName>
    <definedName name="_xlnm._FilterDatabase" localSheetId="13" hidden="1">'ECR in Base Rates'!$B$66:$B$140</definedName>
    <definedName name="_xlnm._FilterDatabase" localSheetId="16" hidden="1">LightingRates!$A$2:$J$1446</definedName>
    <definedName name="_xlnm._FilterDatabase" localSheetId="17" hidden="1">PoleRates!$A$2:$W$56</definedName>
    <definedName name="_xlnm._FilterDatabase" localSheetId="15" hidden="1">Rates!$A$2:$T$278</definedName>
    <definedName name="_xlnm._FilterDatabase" localSheetId="21" hidden="1">SBR!$A$1:$U$1408</definedName>
    <definedName name="_xlnm._FilterDatabase" localSheetId="6" hidden="1">'Settlement Exhibit 2 pgs 18-24'!$B$5:$I$7</definedName>
    <definedName name="_Lights_Rates">'[1]Rates-Lights'!$E$4:$E$660</definedName>
    <definedName name="_Lights_Tariff_Category">'[1]Rates-Lights'!$D$4:$D$660</definedName>
    <definedName name="_Order1" hidden="1">0</definedName>
    <definedName name="_Order2" hidden="1">0</definedName>
    <definedName name="_Rates_BasicServiceCharge">[1]Rates!$F$4:$F$212</definedName>
    <definedName name="_Rates_Demand_Base">[1]Rates!$O$4:$O$212</definedName>
    <definedName name="_Rates_Demand_Intermediate">[1]Rates!$P$4:$P$212</definedName>
    <definedName name="_Rates_Demand_Peak">[1]Rates!$Q$4:$Q$212</definedName>
    <definedName name="_Rates_ECR_Demand">[1]Rates!$S$4:$S$212</definedName>
    <definedName name="_Rates_ECR_Energy">[1]Rates!$J$4:$J$212</definedName>
    <definedName name="_Rates_Energy">[1]Rates!$G$4:$G$212</definedName>
    <definedName name="_Rates_Energy_P2">[1]Rates!$H$4:$H$212</definedName>
    <definedName name="_Rates_Energy_P3">[1]Rates!$I$4:$I$212</definedName>
    <definedName name="_Rates_FAC_Energy">[1]Rates!$K$4:$K$212</definedName>
    <definedName name="_Rates_Lights_BaseFAC">'[1]Rates-Lights'!$H$4:$H$660</definedName>
    <definedName name="_Rates_Lights_ECR">'[1]Rates-Lights'!$G$4:$G$660</definedName>
    <definedName name="_Rates_Tariff_Category">[1]Rates!$E$4:$E$212</definedName>
    <definedName name="_SBR_BSC_Revenue">[1]SBR!$F$3:$F$1719</definedName>
    <definedName name="_SBR_CSR">[1]SBR!$P$3:$P$1719</definedName>
    <definedName name="_SBR_Demand_Revenue">[1]SBR!$T$3:$T$1719</definedName>
    <definedName name="_SBR_DSM">[1]SBR!$L$3:$L$1719</definedName>
    <definedName name="_SBR_ECR">[1]SBR!$U$3:$U$1719</definedName>
    <definedName name="_SBR_Energy_Revenue">[1]SBR!$S$3:$S$1719</definedName>
    <definedName name="_SBR_FAC">[1]SBR!$M$3:$M$1719</definedName>
    <definedName name="_SBR_KWH">[1]SBR!$E$3:$E$1719</definedName>
    <definedName name="_SBR_MSR">[1]SBR!$Q$3:$Q$1719</definedName>
    <definedName name="_SBR_Rate_Category">[1]SBR!$B$3:$B$1719</definedName>
    <definedName name="_SBR_RateClass">[1]SBR!$D$3:$D$1719</definedName>
    <definedName name="_SBR_Revenue_Actual">[1]SBR!$R$3:$R$1719</definedName>
    <definedName name="_SBR_Revenue_Month">[1]SBR!$A$3:$A$1719</definedName>
    <definedName name="L_1022_Count">'1022'!$D$3:$D$404</definedName>
    <definedName name="L_1022_Demand_Base">'1022'!$I$3:$I$404</definedName>
    <definedName name="L_1022_Demand_Base_Measured">'1022'!$O$3:$O$404</definedName>
    <definedName name="L_1022_Demand_Inter">'1022'!$J$3:$J$404</definedName>
    <definedName name="L_1022_Demand_Inter_Measured">'1022'!$P$3:$P$404</definedName>
    <definedName name="L_1022_Demand_OnPeak_Measured">'1022'!$R$3:$R$404</definedName>
    <definedName name="L_1022_Demand_Peak">'1022'!$K$3:$K$404</definedName>
    <definedName name="L_1022_Demand_Peak_Measured">'1022'!$Q$3:$Q$404</definedName>
    <definedName name="L_1022_Demand_Pwr_Fctr">'1022'!$N$3:$N$404</definedName>
    <definedName name="L_1022_KWH_P1">'1022'!$E$3:$E$404</definedName>
    <definedName name="L_1022_KWH_P2">'1022'!$F$3:$F$404</definedName>
    <definedName name="L_1022_KWH_P3">'1022'!$G$3:$G$404</definedName>
    <definedName name="L_1022_KWH_Total">'1022'!$H$3:$H$404</definedName>
    <definedName name="L_1022_Rate_Category">'1022'!$C$3:$C$404</definedName>
    <definedName name="L_1022_Revenue_Month">'1022'!$B$3:$B$404</definedName>
    <definedName name="L_1022_Revenue_Power_Factor">'1022'!$S$3:$S$404</definedName>
    <definedName name="L_105_Count_Test_Period">'1051'!$L$14:$L$306</definedName>
    <definedName name="L_1051_Count_OutOfPeriod">'1051'!$M$3:$M$306</definedName>
    <definedName name="L_1051_Count_Total">'1051'!$J$3:$J$306</definedName>
    <definedName name="L_1051_Light_Category">'1051'!$B$3:$B$306</definedName>
    <definedName name="L_1051_RateCategory">'1051'!$C$3:$C$306</definedName>
    <definedName name="L_1051_Revenue_Month">'1051'!$A$3:$A$306</definedName>
    <definedName name="L_1051_Revenue_OutOfPeriod">'1051'!$N$3:$N$306</definedName>
    <definedName name="L_1051_Revenue_Prorated">'1051'!$O$3:$O$306</definedName>
    <definedName name="L_1051_Revenue_Test_Period">'1051'!$K$3:$K$306</definedName>
    <definedName name="L_1051_Revenue_Total">'1051'!$I$3:$I$306</definedName>
    <definedName name="L_1055_Count_Total">'1055'!$C$3:$C$858</definedName>
    <definedName name="L_1055_RateCategory">'1055'!$B$3:$B$858</definedName>
    <definedName name="L_1055_Revenue_Month">'1055'!$A$3:$A$858</definedName>
    <definedName name="L_1055_Revenue_Total_Base">'1055'!$F$3:$F$858</definedName>
    <definedName name="L_12MonLights_Count_OutOfPeriod" localSheetId="24">'12MonLights'!#REF!</definedName>
    <definedName name="L_12MonLights_Count_OutOfPeriod" localSheetId="4">'12MonLights'!#REF!</definedName>
    <definedName name="L_12MonLights_Count_OutOfPeriod">'12MonLights'!#REF!</definedName>
    <definedName name="L_12MonLights_Count_Total">'12MonLights'!$E$4:$E$879</definedName>
    <definedName name="L_12MonLights_ECR">'12MonLights'!$N$4:$N$879</definedName>
    <definedName name="L_12MonLights_FAC">'12MonLights'!$M$4:$M$879</definedName>
    <definedName name="L_12MonLights_KWH_OutOfPeriod" localSheetId="24">'12MonLights'!#REF!</definedName>
    <definedName name="L_12MonLights_KWH_OutOfPeriod" localSheetId="4">'12MonLights'!#REF!</definedName>
    <definedName name="L_12MonLights_KWH_OutOfPeriod">'12MonLights'!#REF!</definedName>
    <definedName name="L_12MonLights_KWH_Total">'12MonLights'!$F$4:$F$879</definedName>
    <definedName name="L_12MonLights_MSC">'12MonLights'!$O$4:$O$879</definedName>
    <definedName name="L_12MonLights_RateCategory">'12MonLights'!$D$4:$D$879</definedName>
    <definedName name="L_12MonLights_RateClass">'12MonLights'!$C$4:$C$879</definedName>
    <definedName name="L_12MonLights_Revenue_Adj" localSheetId="4">'12MonPoles'!#REF!</definedName>
    <definedName name="L_12MonLights_Revenue_Adj">'12MonPoles'!#REF!</definedName>
    <definedName name="L_12MonLights_Revenue_Adj_Test_Period" localSheetId="4">'12MonLights'!#REF!</definedName>
    <definedName name="L_12MonLights_Revenue_Adj_Test_Period">'12MonLights'!#REF!</definedName>
    <definedName name="L_12MonLights_Revenue_Month">'12MonLights'!$B$4:$B$879</definedName>
    <definedName name="L_12MonLights_Revenue_OutOfPeriod" localSheetId="4">'12MonLights'!#REF!</definedName>
    <definedName name="L_12MonLights_Revenue_OutOfPeriod">'12MonLights'!#REF!</definedName>
    <definedName name="L_12MonLights_Revenue_Test_Period">'12MonLights'!$I$4:$I$879</definedName>
    <definedName name="L_12MonLights_Revenue_Total_Base">'12MonLights'!$K$4:$K$879</definedName>
    <definedName name="L_12MonLights_Revenue_Total_Calc">'12MonLights'!$J$4:$J$879</definedName>
    <definedName name="L_12MonLights_SBR">'12MonLights'!$P$4:$P$879</definedName>
    <definedName name="L_12MonLightsTariffRateCategory">'12MonLights'!$Z$4:$Z$879</definedName>
    <definedName name="L_12MonLightsTariffRateClass">'12MonLights'!$AA$4:$AA$879</definedName>
    <definedName name="L_12MonPoles_Count">'12MonPoles'!$E$2:$E$289</definedName>
    <definedName name="L_12MonPoles_Count_Adj" localSheetId="4">'12MonPoles'!#REF!</definedName>
    <definedName name="L_12MonPoles_Count_Adj">'12MonPoles'!#REF!</definedName>
    <definedName name="L_12MonPoles_RateCategory">'12MonPoles'!$D$2:$D$289</definedName>
    <definedName name="L_12MonPoles_RateClass">'12MonPoles'!$C$2:$C$289</definedName>
    <definedName name="L_12MonPoles_Revenue_Actual">'12MonPoles'!$I$2:$I$289</definedName>
    <definedName name="L_12MonPoles_Revenue_Adj" localSheetId="4">'12MonPoles'!#REF!</definedName>
    <definedName name="L_12MonPoles_Revenue_Adj">'12MonPoles'!#REF!</definedName>
    <definedName name="L_12MonPoles_Revenue_Base">'12MonPoles'!$G$2:$G$289</definedName>
    <definedName name="L_12MonPoles_Revenue_Month">'12MonPoles'!$B$2:$B$289</definedName>
    <definedName name="L_12MonPoles_Revenue_Out_Of_Period" localSheetId="4">'12MonPoles'!#REF!</definedName>
    <definedName name="L_12MonPoles_Revenue_Out_Of_Period">'12MonPoles'!#REF!</definedName>
    <definedName name="L_12MonPoles_Revenue_Total_Calc">'12MonPoles'!$H$2:$H$289</definedName>
    <definedName name="L_12MonPoles_TariffRateCategory">'12MonPoles'!$U$2:$U$289</definedName>
    <definedName name="L_12MonResults_Contract_Cnt">'12MonResults'!$E$4:$E$459</definedName>
    <definedName name="L_12MonResults_Contract_Cnt_Adj">'12MonResults'!$F$4:$F$459</definedName>
    <definedName name="L_12MonResults_Demand_Measured_Base">'12MonResults'!$K$4:$K$459</definedName>
    <definedName name="L_12MonResults_Demand_Measured_Inter">'12MonResults'!$L$4:$L$459</definedName>
    <definedName name="L_12MonResults_Demand_Measured_Peak">'12MonResults'!$M$4:$M$459</definedName>
    <definedName name="L_12MonResults_Demand_Minimum_Base" localSheetId="4">'12MonResults'!#REF!</definedName>
    <definedName name="L_12MonResults_Demand_Minimum_Base">'12MonResults'!#REF!</definedName>
    <definedName name="L_12MonResults_Demand_Minimum_Inter" localSheetId="4">'12MonResults'!#REF!</definedName>
    <definedName name="L_12MonResults_Demand_Minimum_Inter">'12MonResults'!#REF!</definedName>
    <definedName name="L_12MonResults_Demand_Minimum_Peak" localSheetId="4">'12MonResults'!#REF!</definedName>
    <definedName name="L_12MonResults_Demand_Minimum_Peak">'12MonResults'!#REF!</definedName>
    <definedName name="L_12MonResults_Demand_OutOfPeriod_Base" localSheetId="4">'12MonResults'!#REF!</definedName>
    <definedName name="L_12MonResults_Demand_OutOfPeriod_Base">'12MonResults'!#REF!</definedName>
    <definedName name="L_12MonResults_Demand_OutOfPeriod_Inter" localSheetId="4">'12MonResults'!#REF!</definedName>
    <definedName name="L_12MonResults_Demand_OutOfPeriod_Inter">'12MonResults'!#REF!</definedName>
    <definedName name="L_12MonResults_Demand_OutOfPeriod_Peak" localSheetId="4">'12MonResults'!#REF!</definedName>
    <definedName name="L_12MonResults_Demand_OutOfPeriod_Peak">'12MonResults'!#REF!</definedName>
    <definedName name="L_12MonResults_KWH_OutOfPeriod" localSheetId="4">'12MonResults'!#REF!</definedName>
    <definedName name="L_12MonResults_KWH_OutOfPeriod">'12MonResults'!#REF!</definedName>
    <definedName name="L_12MonResults_KWH_P1">'12MonResults'!$G$4:$G$459</definedName>
    <definedName name="L_12MonResults_KWH_P2">'12MonResults'!$H$4:$H$459</definedName>
    <definedName name="L_12MonResults_KWH_P3">'12MonResults'!$I$4:$I$459</definedName>
    <definedName name="L_12MonResults_KWH_Total">'12MonResults'!$J$4:$J$459</definedName>
    <definedName name="L_12MonResults_RateCategory">'12MonResults'!$D$4:$D$459</definedName>
    <definedName name="L_12MonResults_RateClass">'12MonResults'!$C$4:$C$459</definedName>
    <definedName name="L_12MonResults_Revenue_Actual_Base">'12MonResults'!$AE$4:$AE$459</definedName>
    <definedName name="L_12MonResults_Revenue_Base_Calculated">'12MonResults'!$AD$4:$AD$459</definedName>
    <definedName name="L_12MonResults_Revenue_Base_Fuel">'12MonResults'!$AO$4:$AO$459</definedName>
    <definedName name="L_12MonResults_Revenue_BSC">'12MonResults'!$V$4:$V$459</definedName>
    <definedName name="L_12MonResults_Revenue_Calc_Base" localSheetId="8">'12MonResults'!$AD$4:$AD$459</definedName>
    <definedName name="L_12MonResults_Revenue_CSR">'12MonResults'!$AK$4:$AK$459</definedName>
    <definedName name="L_12MonResults_Revenue_Customer_Adj" localSheetId="4">'12MonResults'!#REF!</definedName>
    <definedName name="L_12MonResults_Revenue_Customer_Adj">'12MonResults'!#REF!</definedName>
    <definedName name="L_12MonResults_Revenue_Demand_Adj" localSheetId="4">'12MonResults'!#REF!</definedName>
    <definedName name="L_12MonResults_Revenue_Demand_Adj">'12MonResults'!#REF!</definedName>
    <definedName name="L_12MonResults_Revenue_Demand_Base">'12MonResults'!$X$4:$X$459</definedName>
    <definedName name="L_12MonResults_Revenue_Demand_Inter">'12MonResults'!$Y$4:$Y$459</definedName>
    <definedName name="L_12MonResults_Revenue_Demand_Minimum" localSheetId="4">'12MonResults'!#REF!</definedName>
    <definedName name="L_12MonResults_Revenue_Demand_Minimum">'12MonResults'!#REF!</definedName>
    <definedName name="L_12MonResults_Revenue_Demand_Peak">'12MonResults'!$Z$4:$Z$459</definedName>
    <definedName name="L_12MonResults_Revenue_Demand_Total">'12MonResults'!$AC$4:$AC$459</definedName>
    <definedName name="L_12MonResults_Revenue_DSM">'12MonResults'!$AH$4:$AH$459</definedName>
    <definedName name="L_12MonResults_Revenue_ECR">'12MonResults'!$AI$4:$AI$459</definedName>
    <definedName name="L_12MonResults_Revenue_Energy">'12MonResults'!$W$4:$W$459</definedName>
    <definedName name="L_12MonResults_Revenue_Energy_Adj" localSheetId="4">'12MonResults'!#REF!</definedName>
    <definedName name="L_12MonResults_Revenue_Energy_Adj">'12MonResults'!#REF!</definedName>
    <definedName name="L_12MonResults_Revenue_Energy_NonFuel">'12MonResults'!$AP$4:$AP$459</definedName>
    <definedName name="L_12MonResults_Revenue_FAC" localSheetId="8">'12MonResults'!$AG$4:$AG$459</definedName>
    <definedName name="L_12MonResults_Revenue_FAC">'12MonResults'!$AG$4:$AG$459</definedName>
    <definedName name="L_12MonResults_Revenue_Month">'12MonResults'!$B$4:$B$459</definedName>
    <definedName name="L_12MonResults_Revenue_MSC">'12MonResults'!$AJ$4:$AJ$459</definedName>
    <definedName name="L_12MonResults_Revenue_OutOfPerid_Customer" localSheetId="4">'12MonResults'!#REF!</definedName>
    <definedName name="L_12MonResults_Revenue_OutOfPerid_Customer">'12MonResults'!#REF!</definedName>
    <definedName name="L_12MonResults_Revenue_OutOfPerid_Energy" localSheetId="4">'12MonResults'!#REF!</definedName>
    <definedName name="L_12MonResults_Revenue_OutOfPerid_Energy">'12MonResults'!#REF!</definedName>
    <definedName name="L_12MonResults_Revenue_OutOfPeriod_Demand" localSheetId="4">'12MonResults'!#REF!</definedName>
    <definedName name="L_12MonResults_Revenue_OutOfPeriod_Demand">'12MonResults'!#REF!</definedName>
    <definedName name="L_12MonResults_Revenue_PwrFctr">'12MonResults'!$AB$4:$AB$459</definedName>
    <definedName name="L_12MonResults_Revenue_Red_Cap">'12MonResults'!$AA$4:$AA$459</definedName>
    <definedName name="L_12MonResults_Revenue_Total">'12MonResults'!$AL$4:$AL$459</definedName>
    <definedName name="L_12MonResults_TariffRateCategory">'12MonResults'!$AV$4:$AV$459</definedName>
    <definedName name="L_12MonResults_TariffRateClass">'12MonResults'!$AW$4:$AW$459</definedName>
    <definedName name="L_12MonthLights_3_Digit_Code">'12MonLights'!$AB$4:$AB$879</definedName>
    <definedName name="L_LightingRates_ECR_Rate">LightingRates!$G$4:$G$1446</definedName>
    <definedName name="L_LightingRates_FAC_Rate">LightingRates!$H$4:$H$1446</definedName>
    <definedName name="L_LightingRates_Tariff_Rate_Category">LightingRates!$E$4:$E$1446</definedName>
    <definedName name="L_LightingRates_UnitCharge">LightingRates!$F$4:$F$1446</definedName>
    <definedName name="L_LightsRates_TariffRateCategory">LightingRates!$E$4:$E$1446</definedName>
    <definedName name="L_Rates_BSC">Rates!$F$4:$F$278</definedName>
    <definedName name="L_Rates_Demand_Base">Rates!$Q$4:$Q$278</definedName>
    <definedName name="L_Rates_Demand_ECR">Rates!$U$4:$U$278</definedName>
    <definedName name="L_Rates_Demand_Intermediate">Rates!$R$4:$R$278</definedName>
    <definedName name="L_Rates_Demand_Peak">Rates!$S$4:$S$278</definedName>
    <definedName name="L_Rates_Energy">Rates!$G$4:$G$278</definedName>
    <definedName name="L_Rates_Energy_Base_Fuel">Rates!$L$4:$L$278</definedName>
    <definedName name="L_Rates_Energy_ECR">Rates!$K$4:$K$278</definedName>
    <definedName name="L_Rates_Energy_P2">Rates!$H$4:$H$278</definedName>
    <definedName name="L_Rates_Energy_P3">Rates!$I$4:$I$278</definedName>
    <definedName name="L_Rates_Tariff_Rate_Category">Rates!$E$4:$E$278</definedName>
    <definedName name="L_Rates_TariffRateClass">Rates!$C$4:$C$278</definedName>
    <definedName name="L_SBR_BSC_Revenue">SBR!$F$2:$F$1407</definedName>
    <definedName name="L_SBR_CSR">SBR!$P$2:$P$1407</definedName>
    <definedName name="L_SBR_Demand_Revenue">SBR!$T$2:$T$1407</definedName>
    <definedName name="L_SBR_DSM">SBR!$L$2:$L$1407</definedName>
    <definedName name="L_SBR_ECR">SBR!$U$2:$U$1407</definedName>
    <definedName name="L_SBR_Energy_Revenue">SBR!$S$2:$S$1407</definedName>
    <definedName name="L_SBR_FAC">SBR!$M$2:$M$1407</definedName>
    <definedName name="L_SBR_KWH">SBR!$E$2:$E$1407</definedName>
    <definedName name="L_SBR_MSR">SBR!$Q$2:$Q$1407</definedName>
    <definedName name="L_SBR_Rate_Category">SBR!$B$2:$B$1407</definedName>
    <definedName name="L_SBR_Revenue_Month">SBR!$A$2:$A$1407</definedName>
    <definedName name="L_SBR_Revenue_Total">SBR!$R$2:$R$1407</definedName>
    <definedName name="_xlnm.Print_Area" localSheetId="13">'ECR in Base Rates'!$A$4:$G$142</definedName>
    <definedName name="_xlnm.Print_Area" localSheetId="23">'Power Factor'!$A$58:$K$100</definedName>
    <definedName name="_xlnm.Print_Area" localSheetId="1">'Sch M-2.1-E'!$B$1:$F$32</definedName>
    <definedName name="_xlnm.Print_Area" localSheetId="2">'Sch M-2.2-E'!$A$1:$K$34</definedName>
    <definedName name="_xlnm.Print_Area" localSheetId="3">'Sch M-2.3-E pg 1-2'!$C$1:$K$53,'Sch M-2.3-E pg 1-2'!$N$1:$W$53</definedName>
    <definedName name="_xlnm.Print_Area" localSheetId="6">'Settlement Exhibit 2 pgs 18-24'!$A$1:$I$215</definedName>
    <definedName name="_xlnm.Print_Area" localSheetId="5">'Settlement Exhibit 2 pgs 2-17'!$A$1:$J$577</definedName>
    <definedName name="_xlnm.Print_Titles" localSheetId="13">'ECR in Base Rates'!$1:$3</definedName>
    <definedName name="_xlnm.Print_Titles" localSheetId="2">'Sch M-2.2-E'!$A:$A,'Sch M-2.2-E'!$1:$6</definedName>
    <definedName name="_xlnm.Print_Titles" localSheetId="3">'Sch M-2.3-E pg 1-2'!$A:$A,'Sch M-2.3-E pg 1-2'!$5:$11</definedName>
    <definedName name="_xlnm.Print_Titles" localSheetId="4">'Settlement Exhibit 1 pg 1'!$A:$A,'Settlement Exhibit 1 pg 1'!$5:$11</definedName>
    <definedName name="wrn.Wkp._.Capital._.Structure." localSheetId="25"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25" hidden="1">{"Wkp ComEquity",#N/A,FALSE,"Cap Struct WPs"}</definedName>
    <definedName name="wrn.Wkp._.ComEquity." localSheetId="2" hidden="1">{"Wkp ComEquity",#N/A,FALSE,"Cap Struct WPs"}</definedName>
    <definedName name="wrn.Wkp._.ComEquity." hidden="1">{"Wkp ComEquity",#N/A,FALSE,"Cap Struct WPs"}</definedName>
    <definedName name="wrn.Wkp._.JDITC." localSheetId="25" hidden="1">{"Wkp JDITC",#N/A,FALSE,"Cap Struct WPs"}</definedName>
    <definedName name="wrn.Wkp._.JDITC." localSheetId="2" hidden="1">{"Wkp JDITC",#N/A,FALSE,"Cap Struct WPs"}</definedName>
    <definedName name="wrn.Wkp._.JDITC." hidden="1">{"Wkp JDITC",#N/A,FALSE,"Cap Struct WPs"}</definedName>
    <definedName name="wrn.Wkp._.LTerm._.Debt." localSheetId="25" hidden="1">{"Wkp LTerm Debt",#N/A,FALSE,"Cap Struct WPs"}</definedName>
    <definedName name="wrn.Wkp._.LTerm._.Debt." localSheetId="2" hidden="1">{"Wkp LTerm Debt",#N/A,FALSE,"Cap Struct WPs"}</definedName>
    <definedName name="wrn.Wkp._.LTerm._.Debt." hidden="1">{"Wkp LTerm Debt",#N/A,FALSE,"Cap Struct WPs"}</definedName>
    <definedName name="wrn.Wkp._.LTerm._.Debt._.13Mo._.Avg." localSheetId="25" hidden="1">{"Wkp LTerm Debt 13MoAvg",#N/A,FALSE,"Cap Struct WPs"}</definedName>
    <definedName name="wrn.Wkp._.LTerm._.Debt._.13Mo._.Avg." localSheetId="2" hidden="1">{"Wkp LTerm Debt 13MoAvg",#N/A,FALSE,"Cap Struct WPs"}</definedName>
    <definedName name="wrn.Wkp._.LTerm._.Debt._.13Mo._.Avg." hidden="1">{"Wkp LTerm Debt 13MoAvg",#N/A,FALSE,"Cap Struct WPs"}</definedName>
    <definedName name="wrn.Wkp._.LTerm._.Debt._.Amort." localSheetId="25" hidden="1">{"Wkp Lterm Debt Amort",#N/A,FALSE,"Cap Struct WPs"}</definedName>
    <definedName name="wrn.Wkp._.LTerm._.Debt._.Amort." localSheetId="2" hidden="1">{"Wkp Lterm Debt Amort",#N/A,FALSE,"Cap Struct WPs"}</definedName>
    <definedName name="wrn.Wkp._.LTerm._.Debt._.Amort." hidden="1">{"Wkp Lterm Debt Amort",#N/A,FALSE,"Cap Struct WPs"}</definedName>
    <definedName name="wrn.Wkp._.LTerm._.Debt._.Int." localSheetId="25" hidden="1">{"Wkp LTerm Debt Int",#N/A,FALSE,"Cap Struct WPs"}</definedName>
    <definedName name="wrn.Wkp._.LTerm._.Debt._.Int." localSheetId="2" hidden="1">{"Wkp LTerm Debt Int",#N/A,FALSE,"Cap Struct WPs"}</definedName>
    <definedName name="wrn.Wkp._.LTerm._.Debt._.Int." hidden="1">{"Wkp LTerm Debt Int",#N/A,FALSE,"Cap Struct WPs"}</definedName>
    <definedName name="wrn.Wkp._.PreStock." localSheetId="25" hidden="1">{"Wkp PreStock",#N/A,FALSE,"Cap Struct WPs"}</definedName>
    <definedName name="wrn.Wkp._.PreStock." localSheetId="2" hidden="1">{"Wkp PreStock",#N/A,FALSE,"Cap Struct WPs"}</definedName>
    <definedName name="wrn.Wkp._.PreStock." hidden="1">{"Wkp PreStock",#N/A,FALSE,"Cap Struct WPs"}</definedName>
    <definedName name="wrn.Wkp._.PreStock._.13MoAvg." localSheetId="25" hidden="1">{"Wkp PreStock 13MoAvg",#N/A,FALSE,"Cap Struct WPs"}</definedName>
    <definedName name="wrn.Wkp._.PreStock._.13MoAvg." localSheetId="2" hidden="1">{"Wkp PreStock 13MoAvg",#N/A,FALSE,"Cap Struct WPs"}</definedName>
    <definedName name="wrn.Wkp._.PreStock._.13MoAvg." hidden="1">{"Wkp PreStock 13MoAvg",#N/A,FALSE,"Cap Struct WPs"}</definedName>
    <definedName name="wrn.Wkp._.PreStock._.Amort." localSheetId="25" hidden="1">{"Wkp PreStock Amort",#N/A,FALSE,"Cap Struct WPs"}</definedName>
    <definedName name="wrn.Wkp._.PreStock._.Amort." localSheetId="2" hidden="1">{"Wkp PreStock Amort",#N/A,FALSE,"Cap Struct WPs"}</definedName>
    <definedName name="wrn.Wkp._.PreStock._.Amort." hidden="1">{"Wkp PreStock Amort",#N/A,FALSE,"Cap Struct WPs"}</definedName>
    <definedName name="wrn.Wkp._.PreStock._.Dividend." localSheetId="25" hidden="1">{"Wkp PreStock Dividend",#N/A,FALSE,"Cap Struct WPs"}</definedName>
    <definedName name="wrn.Wkp._.PreStock._.Dividend." localSheetId="2" hidden="1">{"Wkp PreStock Dividend",#N/A,FALSE,"Cap Struct WPs"}</definedName>
    <definedName name="wrn.Wkp._.PreStock._.Dividend." hidden="1">{"Wkp PreStock Dividend",#N/A,FALSE,"Cap Struct WPs"}</definedName>
    <definedName name="wrn.Wkp._.STerm._.Debt." localSheetId="25" hidden="1">{"Wkp STerm Debt",#N/A,FALSE,"Cap Struct WPs"}</definedName>
    <definedName name="wrn.Wkp._.STerm._.Debt." localSheetId="2" hidden="1">{"Wkp STerm Debt",#N/A,FALSE,"Cap Struct WPs"}</definedName>
    <definedName name="wrn.Wkp._.STerm._.Debt." hidden="1">{"Wkp STerm Debt",#N/A,FALSE,"Cap Struct WPs"}</definedName>
    <definedName name="wrn.Wkp._.Unamort._.Debt._.Exp." localSheetId="25" hidden="1">{"Wkp Unamort Debt Exp",#N/A,FALSE,"Cap Struct WPs"}</definedName>
    <definedName name="wrn.Wkp._.Unamort._.Debt._.Exp." localSheetId="2" hidden="1">{"Wkp Unamort Debt Exp",#N/A,FALSE,"Cap Struct WPs"}</definedName>
    <definedName name="wrn.Wkp._.Unamort._.Debt._.Exp." hidden="1">{"Wkp Unamort Debt Exp",#N/A,FALSE,"Cap Struct WPs"}</definedName>
    <definedName name="wrn.Wkp._.Unamort._.PreStock._.Exp." localSheetId="25" hidden="1">{"Wkp Unamort PreStock Exp",#N/A,FALSE,"Cap Struct WPs"}</definedName>
    <definedName name="wrn.Wkp._.Unamort._.PreStock._.Exp." localSheetId="2" hidden="1">{"Wkp Unamort PreStock Exp",#N/A,FALSE,"Cap Struct WPs"}</definedName>
    <definedName name="wrn.Wkp._.Unamort._.PreStock._.Exp." hidden="1">{"Wkp Unamort PreStock Exp",#N/A,FALSE,"Cap Struct WPs"}</definedName>
  </definedNames>
  <calcPr calcId="152511"/>
</workbook>
</file>

<file path=xl/calcChain.xml><?xml version="1.0" encoding="utf-8"?>
<calcChain xmlns="http://schemas.openxmlformats.org/spreadsheetml/2006/main">
  <c r="M8" i="73" l="1"/>
  <c r="N8" i="73" s="1"/>
  <c r="O8" i="73" s="1"/>
  <c r="P8" i="73" s="1"/>
  <c r="M11" i="73"/>
  <c r="N11" i="73" s="1"/>
  <c r="O11" i="73" s="1"/>
  <c r="P11" i="73" s="1"/>
  <c r="M12" i="73"/>
  <c r="N12" i="73" s="1"/>
  <c r="O12" i="73" s="1"/>
  <c r="P12" i="73" s="1"/>
  <c r="M13" i="73"/>
  <c r="N13" i="73" s="1"/>
  <c r="O13" i="73" s="1"/>
  <c r="P13" i="73" s="1"/>
  <c r="M15" i="73"/>
  <c r="N15" i="73" s="1"/>
  <c r="O15" i="73" s="1"/>
  <c r="P15" i="73" s="1"/>
  <c r="M16" i="73"/>
  <c r="N16" i="73" s="1"/>
  <c r="O16" i="73" s="1"/>
  <c r="P16" i="73" s="1"/>
  <c r="M17" i="73"/>
  <c r="N17" i="73" s="1"/>
  <c r="O17" i="73" s="1"/>
  <c r="P17" i="73" s="1"/>
  <c r="M19" i="73"/>
  <c r="N19" i="73" s="1"/>
  <c r="O19" i="73" s="1"/>
  <c r="P19" i="73" s="1"/>
  <c r="M21" i="73"/>
  <c r="N21" i="73" s="1"/>
  <c r="O21" i="73" s="1"/>
  <c r="P21" i="73" s="1"/>
  <c r="M22" i="73"/>
  <c r="N22" i="73" s="1"/>
  <c r="O22" i="73" s="1"/>
  <c r="P22" i="73" s="1"/>
  <c r="M23" i="73"/>
  <c r="N23" i="73" s="1"/>
  <c r="O23" i="73" s="1"/>
  <c r="P23" i="73" s="1"/>
  <c r="M25" i="73"/>
  <c r="N25" i="73" s="1"/>
  <c r="O25" i="73" s="1"/>
  <c r="P25" i="73" s="1"/>
  <c r="M27" i="73"/>
  <c r="N27" i="73" s="1"/>
  <c r="O27" i="73" s="1"/>
  <c r="P27" i="73" s="1"/>
  <c r="M29" i="73"/>
  <c r="N29" i="73" s="1"/>
  <c r="O29" i="73" s="1"/>
  <c r="P29" i="73" s="1"/>
  <c r="M31" i="73"/>
  <c r="N31" i="73" s="1"/>
  <c r="O31" i="73" s="1"/>
  <c r="P31" i="73" s="1"/>
  <c r="M32" i="73"/>
  <c r="N32" i="73" s="1"/>
  <c r="O32" i="73" s="1"/>
  <c r="P32" i="73" s="1"/>
  <c r="K207" i="59" l="1"/>
  <c r="K132" i="59"/>
  <c r="L148" i="59" l="1"/>
  <c r="M339" i="59"/>
  <c r="M338" i="59"/>
  <c r="M337" i="59"/>
  <c r="L11" i="59" l="1"/>
  <c r="L10" i="59"/>
  <c r="AB61" i="58" l="1"/>
  <c r="AD35" i="58"/>
  <c r="AB60" i="58"/>
  <c r="AB62" i="58" s="1"/>
  <c r="E50" i="77"/>
  <c r="E35" i="77"/>
  <c r="E14" i="77"/>
  <c r="C51" i="77"/>
  <c r="C50" i="77"/>
  <c r="C49" i="77"/>
  <c r="C48" i="77"/>
  <c r="C43" i="77"/>
  <c r="C35" i="77"/>
  <c r="C31" i="77"/>
  <c r="C30" i="77"/>
  <c r="C29" i="77"/>
  <c r="C24" i="77"/>
  <c r="C23" i="77"/>
  <c r="C22" i="77"/>
  <c r="C19" i="77"/>
  <c r="C18" i="77"/>
  <c r="C17" i="77"/>
  <c r="C14" i="77"/>
  <c r="C13" i="77"/>
  <c r="C12" i="77"/>
  <c r="AC59" i="58" l="1"/>
  <c r="AU14" i="58" l="1"/>
  <c r="AU25" i="58" l="1"/>
  <c r="AU24" i="58"/>
  <c r="AU23" i="58"/>
  <c r="AU22" i="58"/>
  <c r="AU21" i="58"/>
  <c r="AU20" i="58"/>
  <c r="AU19" i="58"/>
  <c r="AU18" i="58"/>
  <c r="AU17" i="58"/>
  <c r="AU16" i="58"/>
  <c r="AU15" i="58"/>
  <c r="AU13" i="58"/>
  <c r="AU12" i="58" s="1"/>
  <c r="AS25" i="58"/>
  <c r="AS24" i="58"/>
  <c r="AS23" i="58"/>
  <c r="AS22" i="58"/>
  <c r="AS21" i="58"/>
  <c r="AS20" i="58"/>
  <c r="AS19" i="58"/>
  <c r="AS18" i="58"/>
  <c r="AS17" i="58"/>
  <c r="AS16" i="58"/>
  <c r="AS15" i="58"/>
  <c r="AS13" i="58"/>
  <c r="AS12" i="58" l="1"/>
  <c r="AL27" i="58"/>
  <c r="AK27" i="58"/>
  <c r="AC50" i="58"/>
  <c r="AE50" i="58" s="1"/>
  <c r="AE35" i="58"/>
  <c r="AG33" i="58" s="1"/>
  <c r="AD43" i="58"/>
  <c r="AD41" i="58"/>
  <c r="AD40" i="58"/>
  <c r="AD38" i="58"/>
  <c r="AD37" i="58"/>
  <c r="AD33" i="58"/>
  <c r="AD31" i="58"/>
  <c r="AD26" i="58"/>
  <c r="AD23" i="58"/>
  <c r="AD22" i="58"/>
  <c r="AD19" i="58"/>
  <c r="AD12" i="58"/>
  <c r="AC43" i="58"/>
  <c r="AC41" i="58"/>
  <c r="AC40" i="58"/>
  <c r="AC38" i="58"/>
  <c r="AC37" i="58"/>
  <c r="AC33" i="58"/>
  <c r="AC31" i="58"/>
  <c r="AC26" i="58"/>
  <c r="AC23" i="58"/>
  <c r="AC22" i="58"/>
  <c r="AC19" i="58"/>
  <c r="AC12" i="58"/>
  <c r="K262" i="59"/>
  <c r="L115" i="59"/>
  <c r="X59" i="58"/>
  <c r="X50" i="58"/>
  <c r="Y50" i="58" s="1"/>
  <c r="AD45" i="58" l="1"/>
  <c r="AD53" i="58" l="1"/>
  <c r="AC45" i="58"/>
  <c r="AC53" i="58" s="1"/>
  <c r="I190" i="65"/>
  <c r="I188" i="65"/>
  <c r="I155" i="65"/>
  <c r="I153" i="65"/>
  <c r="I121" i="65"/>
  <c r="I119" i="65"/>
  <c r="I92" i="65"/>
  <c r="I90" i="65"/>
  <c r="I60" i="65"/>
  <c r="I58" i="65"/>
  <c r="I27" i="65"/>
  <c r="I25" i="65"/>
  <c r="I3" i="65"/>
  <c r="I1" i="65"/>
  <c r="J549" i="59"/>
  <c r="J547" i="59"/>
  <c r="J515" i="59"/>
  <c r="J513" i="59"/>
  <c r="J479" i="59"/>
  <c r="J477" i="59"/>
  <c r="J440" i="59"/>
  <c r="J438" i="59"/>
  <c r="J401" i="59"/>
  <c r="J399" i="59"/>
  <c r="J365" i="59"/>
  <c r="J363" i="59"/>
  <c r="J328" i="59"/>
  <c r="J326" i="59"/>
  <c r="J291" i="59"/>
  <c r="J289" i="59"/>
  <c r="J213" i="59"/>
  <c r="J211" i="59"/>
  <c r="J176" i="59"/>
  <c r="J174" i="59"/>
  <c r="J139" i="59"/>
  <c r="J137" i="59"/>
  <c r="J104" i="59"/>
  <c r="J102" i="59"/>
  <c r="J70" i="59"/>
  <c r="J68" i="59"/>
  <c r="J36" i="59"/>
  <c r="J34" i="59"/>
  <c r="J3" i="59"/>
  <c r="J1" i="59"/>
  <c r="J254" i="59"/>
  <c r="J252" i="59"/>
  <c r="W1" i="58"/>
  <c r="D27" i="60" l="1"/>
  <c r="D26" i="60"/>
  <c r="D25" i="60"/>
  <c r="D24" i="60"/>
  <c r="C51" i="58"/>
  <c r="C50" i="58"/>
  <c r="C49" i="58"/>
  <c r="C48" i="58"/>
  <c r="E27" i="60"/>
  <c r="F27" i="60" s="1"/>
  <c r="E26" i="60"/>
  <c r="F26" i="60" s="1"/>
  <c r="E25" i="60"/>
  <c r="F25" i="60" s="1"/>
  <c r="E24" i="60"/>
  <c r="F24" i="60" s="1"/>
  <c r="J16" i="60"/>
  <c r="I112" i="59" l="1"/>
  <c r="L113" i="59" s="1"/>
  <c r="K299" i="59" l="1"/>
  <c r="K300" i="59"/>
  <c r="K302" i="59"/>
  <c r="K298" i="59"/>
  <c r="K263" i="59"/>
  <c r="K265" i="59"/>
  <c r="K261" i="59"/>
  <c r="Y15" i="58"/>
  <c r="Y16" i="58"/>
  <c r="Y25" i="58"/>
  <c r="Y27" i="58"/>
  <c r="Y28" i="58"/>
  <c r="Y32" i="58"/>
  <c r="Y34" i="58"/>
  <c r="Y36" i="58"/>
  <c r="Y39" i="58"/>
  <c r="Y42" i="58"/>
  <c r="Y44" i="58"/>
  <c r="K301" i="59"/>
  <c r="K264" i="59" l="1"/>
  <c r="I185" i="59"/>
  <c r="G50" i="58" l="1"/>
  <c r="K50" i="58" s="1"/>
  <c r="O50" i="58" s="1"/>
  <c r="T50" i="58" s="1"/>
  <c r="G51" i="58"/>
  <c r="K51" i="58" s="1"/>
  <c r="O51" i="58" s="1"/>
  <c r="T51" i="58" s="1"/>
  <c r="N35" i="59"/>
  <c r="G209" i="65"/>
  <c r="I209" i="65" s="1"/>
  <c r="S43" i="58"/>
  <c r="J40" i="65"/>
  <c r="J36" i="65"/>
  <c r="G571" i="59"/>
  <c r="J571" i="59" s="1"/>
  <c r="G536" i="59"/>
  <c r="J536" i="59" s="1"/>
  <c r="J529" i="59"/>
  <c r="S41" i="58"/>
  <c r="S40" i="58"/>
  <c r="J429" i="59"/>
  <c r="J428" i="59"/>
  <c r="J427" i="59"/>
  <c r="J426" i="59"/>
  <c r="S35" i="58"/>
  <c r="I228" i="59"/>
  <c r="I227" i="59"/>
  <c r="I226" i="59"/>
  <c r="I189" i="59"/>
  <c r="I188" i="59"/>
  <c r="I152" i="59"/>
  <c r="I151" i="59"/>
  <c r="J94" i="59"/>
  <c r="J93" i="59"/>
  <c r="J92" i="59"/>
  <c r="J91" i="59"/>
  <c r="S14" i="58"/>
  <c r="R14" i="58"/>
  <c r="Q14" i="58"/>
  <c r="P14" i="58"/>
  <c r="G14" i="58"/>
  <c r="K14" i="58" s="1"/>
  <c r="AA51" i="58" l="1"/>
  <c r="AB51" i="58" s="1"/>
  <c r="AF50" i="58"/>
  <c r="AA50" i="58"/>
  <c r="W50" i="58"/>
  <c r="N69" i="59"/>
  <c r="O14" i="58"/>
  <c r="T14" i="58" s="1"/>
  <c r="M14" i="58"/>
  <c r="AE51" i="58" l="1"/>
  <c r="AF51" i="58" s="1"/>
  <c r="V14" i="58"/>
  <c r="Y14" i="58" s="1"/>
  <c r="N103" i="59"/>
  <c r="H96" i="75"/>
  <c r="G96" i="75"/>
  <c r="F96" i="75"/>
  <c r="N138" i="59" l="1"/>
  <c r="G48" i="58"/>
  <c r="K48" i="58" s="1"/>
  <c r="O48" i="58" s="1"/>
  <c r="T48" i="58" s="1"/>
  <c r="AA48" i="58" l="1"/>
  <c r="AB48" i="58" s="1"/>
  <c r="AE48" i="58" s="1"/>
  <c r="N175" i="59"/>
  <c r="J37" i="58"/>
  <c r="I31" i="58"/>
  <c r="I24" i="58"/>
  <c r="I19" i="58"/>
  <c r="N212" i="59" l="1"/>
  <c r="E42" i="74"/>
  <c r="E43" i="74"/>
  <c r="E44" i="74"/>
  <c r="E45" i="74"/>
  <c r="E46" i="74"/>
  <c r="E47" i="74"/>
  <c r="N253" i="59" l="1"/>
  <c r="N290" i="59" s="1"/>
  <c r="F44" i="74"/>
  <c r="F42" i="74"/>
  <c r="F43" i="74"/>
  <c r="AX8" i="4"/>
  <c r="K78" i="75"/>
  <c r="D600" i="1"/>
  <c r="D599" i="1"/>
  <c r="D598" i="1"/>
  <c r="D597" i="1"/>
  <c r="D596" i="1"/>
  <c r="D595" i="1"/>
  <c r="D594" i="1"/>
  <c r="D593" i="1"/>
  <c r="D592" i="1"/>
  <c r="D591" i="1"/>
  <c r="D590" i="1"/>
  <c r="D589" i="1"/>
  <c r="Y588" i="1"/>
  <c r="D588" i="1" s="1"/>
  <c r="Y587" i="1"/>
  <c r="D587" i="1" s="1"/>
  <c r="Y586" i="1"/>
  <c r="D586" i="1" s="1"/>
  <c r="Y585" i="1"/>
  <c r="D585" i="1" s="1"/>
  <c r="Y584" i="1"/>
  <c r="D584" i="1" s="1"/>
  <c r="Y583" i="1"/>
  <c r="D583" i="1" s="1"/>
  <c r="Y582" i="1"/>
  <c r="D582" i="1" s="1"/>
  <c r="Y581" i="1"/>
  <c r="D581" i="1" s="1"/>
  <c r="Y580" i="1"/>
  <c r="D580" i="1" s="1"/>
  <c r="Y579" i="1"/>
  <c r="D579" i="1" s="1"/>
  <c r="Y578" i="1"/>
  <c r="D578" i="1" s="1"/>
  <c r="Y577" i="1"/>
  <c r="D577" i="1" s="1"/>
  <c r="M61" i="75"/>
  <c r="L61" i="75"/>
  <c r="K61" i="75"/>
  <c r="N60" i="75"/>
  <c r="Q60" i="75" s="1"/>
  <c r="N59" i="75"/>
  <c r="R59" i="75" s="1"/>
  <c r="N58" i="75"/>
  <c r="Q58" i="75" s="1"/>
  <c r="N57" i="75"/>
  <c r="R57" i="75" s="1"/>
  <c r="N56" i="75"/>
  <c r="Q56" i="75" s="1"/>
  <c r="N55" i="75"/>
  <c r="R55" i="75" s="1"/>
  <c r="N54" i="75"/>
  <c r="Q54" i="75" s="1"/>
  <c r="N53" i="75"/>
  <c r="R53" i="75" s="1"/>
  <c r="N52" i="75"/>
  <c r="Q52" i="75" s="1"/>
  <c r="N51" i="75"/>
  <c r="R51" i="75" s="1"/>
  <c r="N50" i="75"/>
  <c r="Q50" i="75" s="1"/>
  <c r="N49" i="75"/>
  <c r="R49" i="75" s="1"/>
  <c r="P19" i="75"/>
  <c r="O19" i="75"/>
  <c r="N19" i="75"/>
  <c r="M19" i="75"/>
  <c r="L19" i="75"/>
  <c r="K19" i="75"/>
  <c r="G19" i="75"/>
  <c r="F19" i="75"/>
  <c r="E19" i="75"/>
  <c r="D19" i="75"/>
  <c r="C19" i="75"/>
  <c r="B19" i="75"/>
  <c r="H36" i="75"/>
  <c r="H35" i="75"/>
  <c r="H34" i="75"/>
  <c r="H33" i="75"/>
  <c r="H32" i="75"/>
  <c r="H31" i="75"/>
  <c r="H30" i="75"/>
  <c r="H29" i="75"/>
  <c r="H28" i="75"/>
  <c r="H27" i="75"/>
  <c r="H26" i="75"/>
  <c r="H25" i="75"/>
  <c r="Q36" i="75"/>
  <c r="Q35" i="75"/>
  <c r="Q34" i="75"/>
  <c r="Q33" i="75"/>
  <c r="Q32" i="75"/>
  <c r="Q31" i="75"/>
  <c r="Q30" i="75"/>
  <c r="Q29" i="75"/>
  <c r="Q28" i="75"/>
  <c r="Q27" i="75"/>
  <c r="Q26" i="75"/>
  <c r="Q25" i="75"/>
  <c r="Q16" i="75"/>
  <c r="Q15" i="75"/>
  <c r="Q14" i="75"/>
  <c r="Q13" i="75"/>
  <c r="Q12" i="75"/>
  <c r="Q11" i="75"/>
  <c r="Q10" i="75"/>
  <c r="Q9" i="75"/>
  <c r="Q8" i="75"/>
  <c r="Q7" i="75"/>
  <c r="Q6" i="75"/>
  <c r="Q5" i="75"/>
  <c r="H16" i="75"/>
  <c r="H15" i="75"/>
  <c r="H14" i="75"/>
  <c r="H13" i="75"/>
  <c r="H12" i="75"/>
  <c r="H11" i="75"/>
  <c r="H10" i="75"/>
  <c r="H9" i="75"/>
  <c r="H8" i="75"/>
  <c r="H7" i="75"/>
  <c r="H6" i="75"/>
  <c r="H5" i="75"/>
  <c r="P37" i="75"/>
  <c r="O37" i="75"/>
  <c r="N37" i="75"/>
  <c r="M37" i="75"/>
  <c r="L37" i="75"/>
  <c r="K37" i="75"/>
  <c r="G37" i="75"/>
  <c r="F37" i="75"/>
  <c r="E37" i="75"/>
  <c r="D37" i="75"/>
  <c r="C37" i="75"/>
  <c r="B37" i="75"/>
  <c r="P17" i="75"/>
  <c r="O17" i="75"/>
  <c r="N17" i="75"/>
  <c r="M17" i="75"/>
  <c r="L17" i="75"/>
  <c r="K17" i="75"/>
  <c r="G17" i="75"/>
  <c r="F17" i="75"/>
  <c r="E17" i="75"/>
  <c r="D17" i="75"/>
  <c r="C17" i="75"/>
  <c r="B17" i="75"/>
  <c r="H17" i="75" l="1"/>
  <c r="Q17" i="75"/>
  <c r="Q37" i="75"/>
  <c r="H19" i="75"/>
  <c r="N327" i="59"/>
  <c r="P20" i="75"/>
  <c r="P21" i="75" s="1"/>
  <c r="Q49" i="75"/>
  <c r="P50" i="75"/>
  <c r="R50" i="75"/>
  <c r="Q51" i="75"/>
  <c r="P52" i="75"/>
  <c r="R52" i="75"/>
  <c r="Q53" i="75"/>
  <c r="P54" i="75"/>
  <c r="R54" i="75"/>
  <c r="Q55" i="75"/>
  <c r="P56" i="75"/>
  <c r="R56" i="75"/>
  <c r="Q57" i="75"/>
  <c r="P58" i="75"/>
  <c r="R58" i="75"/>
  <c r="Q59" i="75"/>
  <c r="P60" i="75"/>
  <c r="R60" i="75"/>
  <c r="P49" i="75"/>
  <c r="P51" i="75"/>
  <c r="P53" i="75"/>
  <c r="P55" i="75"/>
  <c r="P57" i="75"/>
  <c r="P59" i="75"/>
  <c r="G20" i="75"/>
  <c r="G21" i="75" s="1"/>
  <c r="F43" i="75" s="1"/>
  <c r="Q19" i="75"/>
  <c r="H37" i="75"/>
  <c r="N61" i="75"/>
  <c r="R61" i="75" s="1"/>
  <c r="G38" i="75"/>
  <c r="P38" i="75"/>
  <c r="P39" i="75" l="1"/>
  <c r="G39" i="75"/>
  <c r="N364" i="59"/>
  <c r="P61" i="75"/>
  <c r="Q61" i="75"/>
  <c r="O43" i="75"/>
  <c r="L77" i="75"/>
  <c r="M77" i="75" s="1"/>
  <c r="L74" i="75"/>
  <c r="M74" i="75" s="1"/>
  <c r="L73" i="75"/>
  <c r="M73" i="75" s="1"/>
  <c r="L70" i="75"/>
  <c r="M70" i="75" s="1"/>
  <c r="L69" i="75"/>
  <c r="M69" i="75" s="1"/>
  <c r="L66" i="75"/>
  <c r="M66" i="75" s="1"/>
  <c r="L76" i="75"/>
  <c r="M76" i="75" s="1"/>
  <c r="L75" i="75"/>
  <c r="M75" i="75" s="1"/>
  <c r="L72" i="75"/>
  <c r="M72" i="75" s="1"/>
  <c r="L71" i="75"/>
  <c r="M71" i="75" s="1"/>
  <c r="L68" i="75"/>
  <c r="M68" i="75" s="1"/>
  <c r="L67" i="75"/>
  <c r="M67" i="75" s="1"/>
  <c r="D6" i="74"/>
  <c r="E6" i="74" s="1"/>
  <c r="F6" i="74" s="1"/>
  <c r="G6" i="74" s="1"/>
  <c r="I6" i="74" s="1"/>
  <c r="J6" i="74" s="1"/>
  <c r="K6" i="74" s="1"/>
  <c r="D23" i="74"/>
  <c r="E23" i="74" s="1"/>
  <c r="F23" i="74" s="1"/>
  <c r="G23" i="74" s="1"/>
  <c r="I23" i="74" s="1"/>
  <c r="J23" i="74" s="1"/>
  <c r="K23" i="74" s="1"/>
  <c r="D39" i="74"/>
  <c r="E39" i="74" s="1"/>
  <c r="F39" i="74" s="1"/>
  <c r="G39" i="74" s="1"/>
  <c r="I39" i="74" s="1"/>
  <c r="J39" i="74" s="1"/>
  <c r="K39" i="74" s="1"/>
  <c r="N400" i="59" l="1"/>
  <c r="Q67" i="75"/>
  <c r="F590" i="1" s="1"/>
  <c r="N67" i="75"/>
  <c r="R67" i="75"/>
  <c r="P67" i="75"/>
  <c r="E590" i="1" s="1"/>
  <c r="R71" i="75"/>
  <c r="P71" i="75"/>
  <c r="E594" i="1" s="1"/>
  <c r="N71" i="75"/>
  <c r="Q71" i="75"/>
  <c r="F594" i="1" s="1"/>
  <c r="Q75" i="75"/>
  <c r="F598" i="1" s="1"/>
  <c r="N75" i="75"/>
  <c r="R75" i="75"/>
  <c r="P75" i="75"/>
  <c r="E598" i="1" s="1"/>
  <c r="Q66" i="75"/>
  <c r="M78" i="75"/>
  <c r="N78" i="75" s="1"/>
  <c r="R66" i="75"/>
  <c r="P66" i="75"/>
  <c r="N66" i="75"/>
  <c r="R70" i="75"/>
  <c r="G593" i="1" s="1"/>
  <c r="P70" i="75"/>
  <c r="Q70" i="75"/>
  <c r="F593" i="1" s="1"/>
  <c r="N70" i="75"/>
  <c r="Q74" i="75"/>
  <c r="F597" i="1" s="1"/>
  <c r="R74" i="75"/>
  <c r="G597" i="1" s="1"/>
  <c r="P74" i="75"/>
  <c r="N74" i="75"/>
  <c r="R68" i="75"/>
  <c r="G591" i="1" s="1"/>
  <c r="P68" i="75"/>
  <c r="E591" i="1" s="1"/>
  <c r="Q68" i="75"/>
  <c r="N68" i="75"/>
  <c r="Q72" i="75"/>
  <c r="R72" i="75"/>
  <c r="G595" i="1" s="1"/>
  <c r="P72" i="75"/>
  <c r="E595" i="1" s="1"/>
  <c r="N72" i="75"/>
  <c r="R76" i="75"/>
  <c r="G599" i="1" s="1"/>
  <c r="P76" i="75"/>
  <c r="E599" i="1" s="1"/>
  <c r="Q76" i="75"/>
  <c r="N76" i="75"/>
  <c r="Q69" i="75"/>
  <c r="F592" i="1" s="1"/>
  <c r="N69" i="75"/>
  <c r="R69" i="75"/>
  <c r="G592" i="1" s="1"/>
  <c r="P69" i="75"/>
  <c r="R73" i="75"/>
  <c r="G596" i="1" s="1"/>
  <c r="P73" i="75"/>
  <c r="N73" i="75"/>
  <c r="Q73" i="75"/>
  <c r="F596" i="1" s="1"/>
  <c r="Q77" i="75"/>
  <c r="F600" i="1" s="1"/>
  <c r="N77" i="75"/>
  <c r="R77" i="75"/>
  <c r="G600" i="1" s="1"/>
  <c r="P77" i="75"/>
  <c r="N439" i="59" l="1"/>
  <c r="S76" i="75"/>
  <c r="F599" i="1"/>
  <c r="S77" i="75"/>
  <c r="E600" i="1"/>
  <c r="S73" i="75"/>
  <c r="E596" i="1"/>
  <c r="S69" i="75"/>
  <c r="E592" i="1"/>
  <c r="E593" i="1"/>
  <c r="S70" i="75"/>
  <c r="G589" i="1"/>
  <c r="R78" i="75"/>
  <c r="C105" i="75" s="1"/>
  <c r="F589" i="1"/>
  <c r="Q78" i="75"/>
  <c r="C104" i="75" s="1"/>
  <c r="S75" i="75"/>
  <c r="G598" i="1"/>
  <c r="S71" i="75"/>
  <c r="G594" i="1"/>
  <c r="S67" i="75"/>
  <c r="G590" i="1"/>
  <c r="S72" i="75"/>
  <c r="F595" i="1"/>
  <c r="S68" i="75"/>
  <c r="F591" i="1"/>
  <c r="E597" i="1"/>
  <c r="S74" i="75"/>
  <c r="E589" i="1"/>
  <c r="P78" i="75"/>
  <c r="C103" i="75" s="1"/>
  <c r="S66" i="75"/>
  <c r="E29" i="74"/>
  <c r="E28" i="74"/>
  <c r="E27" i="74"/>
  <c r="E26" i="74"/>
  <c r="N478" i="59" l="1"/>
  <c r="F26" i="74"/>
  <c r="G26" i="74" s="1"/>
  <c r="T66" i="75"/>
  <c r="L83" i="75"/>
  <c r="K83" i="75"/>
  <c r="J83" i="75"/>
  <c r="H589" i="1"/>
  <c r="H577" i="1" s="1"/>
  <c r="S78" i="75"/>
  <c r="T68" i="75"/>
  <c r="L85" i="75"/>
  <c r="P85" i="75" s="1"/>
  <c r="K85" i="75"/>
  <c r="O85" i="75" s="1"/>
  <c r="J85" i="75"/>
  <c r="N85" i="75" s="1"/>
  <c r="H591" i="1"/>
  <c r="H579" i="1" s="1"/>
  <c r="T72" i="75"/>
  <c r="L89" i="75"/>
  <c r="P89" i="75" s="1"/>
  <c r="K89" i="75"/>
  <c r="O89" i="75" s="1"/>
  <c r="J89" i="75"/>
  <c r="N89" i="75" s="1"/>
  <c r="H595" i="1"/>
  <c r="H583" i="1" s="1"/>
  <c r="T67" i="75"/>
  <c r="L84" i="75"/>
  <c r="P84" i="75" s="1"/>
  <c r="K84" i="75"/>
  <c r="O84" i="75" s="1"/>
  <c r="J84" i="75"/>
  <c r="N84" i="75" s="1"/>
  <c r="H590" i="1"/>
  <c r="H578" i="1" s="1"/>
  <c r="T71" i="75"/>
  <c r="L88" i="75"/>
  <c r="P88" i="75" s="1"/>
  <c r="K88" i="75"/>
  <c r="O88" i="75" s="1"/>
  <c r="J88" i="75"/>
  <c r="N88" i="75" s="1"/>
  <c r="H594" i="1"/>
  <c r="H582" i="1" s="1"/>
  <c r="T75" i="75"/>
  <c r="L92" i="75"/>
  <c r="P92" i="75" s="1"/>
  <c r="K92" i="75"/>
  <c r="O92" i="75" s="1"/>
  <c r="J92" i="75"/>
  <c r="N92" i="75" s="1"/>
  <c r="H598" i="1"/>
  <c r="H586" i="1" s="1"/>
  <c r="T69" i="75"/>
  <c r="L86" i="75"/>
  <c r="P86" i="75" s="1"/>
  <c r="K86" i="75"/>
  <c r="O86" i="75" s="1"/>
  <c r="J86" i="75"/>
  <c r="N86" i="75" s="1"/>
  <c r="H592" i="1"/>
  <c r="H580" i="1" s="1"/>
  <c r="T73" i="75"/>
  <c r="L90" i="75"/>
  <c r="P90" i="75" s="1"/>
  <c r="K90" i="75"/>
  <c r="O90" i="75" s="1"/>
  <c r="J90" i="75"/>
  <c r="N90" i="75" s="1"/>
  <c r="H596" i="1"/>
  <c r="H584" i="1" s="1"/>
  <c r="T77" i="75"/>
  <c r="L94" i="75"/>
  <c r="P94" i="75" s="1"/>
  <c r="K94" i="75"/>
  <c r="O94" i="75" s="1"/>
  <c r="J94" i="75"/>
  <c r="N94" i="75" s="1"/>
  <c r="H600" i="1"/>
  <c r="H588" i="1" s="1"/>
  <c r="T76" i="75"/>
  <c r="L93" i="75"/>
  <c r="P93" i="75" s="1"/>
  <c r="K93" i="75"/>
  <c r="O93" i="75" s="1"/>
  <c r="J93" i="75"/>
  <c r="N93" i="75" s="1"/>
  <c r="H599" i="1"/>
  <c r="H587" i="1" s="1"/>
  <c r="T74" i="75"/>
  <c r="L91" i="75"/>
  <c r="P91" i="75" s="1"/>
  <c r="K91" i="75"/>
  <c r="O91" i="75" s="1"/>
  <c r="J91" i="75"/>
  <c r="N91" i="75" s="1"/>
  <c r="H597" i="1"/>
  <c r="H585" i="1" s="1"/>
  <c r="T70" i="75"/>
  <c r="L87" i="75"/>
  <c r="P87" i="75" s="1"/>
  <c r="K87" i="75"/>
  <c r="O87" i="75" s="1"/>
  <c r="J87" i="75"/>
  <c r="N87" i="75" s="1"/>
  <c r="H593" i="1"/>
  <c r="H581" i="1" s="1"/>
  <c r="F27" i="74"/>
  <c r="G27" i="74" s="1"/>
  <c r="N514" i="59" l="1"/>
  <c r="O83" i="75"/>
  <c r="O96" i="75" s="1"/>
  <c r="K96" i="75"/>
  <c r="E108" i="75" s="1"/>
  <c r="N83" i="75"/>
  <c r="N96" i="75" s="1"/>
  <c r="J96" i="75"/>
  <c r="E107" i="75" s="1"/>
  <c r="P83" i="75"/>
  <c r="P96" i="75" s="1"/>
  <c r="L96" i="75"/>
  <c r="E109" i="75" s="1"/>
  <c r="G42" i="74"/>
  <c r="G44" i="74"/>
  <c r="G43" i="74"/>
  <c r="E12" i="74"/>
  <c r="E11" i="74"/>
  <c r="E10" i="74"/>
  <c r="E9" i="74"/>
  <c r="U1457" i="34"/>
  <c r="U1456" i="34"/>
  <c r="U1455" i="34"/>
  <c r="U1454" i="34"/>
  <c r="U1453" i="34"/>
  <c r="U1452" i="34"/>
  <c r="U1451" i="34"/>
  <c r="U1450" i="34"/>
  <c r="U1449" i="34"/>
  <c r="U1448" i="34"/>
  <c r="U1447" i="34"/>
  <c r="U1446" i="34"/>
  <c r="T1457" i="34"/>
  <c r="T1456" i="34"/>
  <c r="T1455" i="34"/>
  <c r="T1454" i="34"/>
  <c r="T1453" i="34"/>
  <c r="T1452" i="34"/>
  <c r="T1451" i="34"/>
  <c r="T1450" i="34"/>
  <c r="T1449" i="34"/>
  <c r="T1448" i="34"/>
  <c r="T1447" i="34"/>
  <c r="T1446" i="34"/>
  <c r="Q24" i="67"/>
  <c r="P24" i="67"/>
  <c r="O24" i="67"/>
  <c r="N24" i="67"/>
  <c r="J24" i="67"/>
  <c r="I24" i="67"/>
  <c r="J23" i="67"/>
  <c r="I23" i="67"/>
  <c r="K24" i="67"/>
  <c r="Q23" i="67"/>
  <c r="P23" i="67"/>
  <c r="O23" i="67"/>
  <c r="N23" i="67"/>
  <c r="K23" i="67"/>
  <c r="Q22" i="67"/>
  <c r="P22" i="67"/>
  <c r="O22" i="67"/>
  <c r="N22" i="67"/>
  <c r="K22" i="67"/>
  <c r="S17" i="67"/>
  <c r="R17" i="67"/>
  <c r="Q17" i="67"/>
  <c r="P17" i="67"/>
  <c r="O17" i="67"/>
  <c r="N17" i="67"/>
  <c r="K17" i="67"/>
  <c r="J17" i="67"/>
  <c r="I17" i="67"/>
  <c r="H17" i="67"/>
  <c r="G17" i="67"/>
  <c r="S16" i="67"/>
  <c r="R16" i="67"/>
  <c r="Q16" i="67"/>
  <c r="P16" i="67"/>
  <c r="O16" i="67"/>
  <c r="N16" i="67"/>
  <c r="K16" i="67"/>
  <c r="J16" i="67"/>
  <c r="I16" i="67"/>
  <c r="H16" i="67"/>
  <c r="G16" i="67"/>
  <c r="Q12" i="67"/>
  <c r="Q11" i="67"/>
  <c r="Q10" i="67"/>
  <c r="Q8" i="67"/>
  <c r="Q7" i="67"/>
  <c r="P12" i="67"/>
  <c r="P11" i="67"/>
  <c r="P10" i="67"/>
  <c r="P8" i="67"/>
  <c r="P7" i="67"/>
  <c r="G409" i="59"/>
  <c r="J409" i="59"/>
  <c r="G410" i="59"/>
  <c r="J410" i="59"/>
  <c r="G411" i="59"/>
  <c r="J411" i="59"/>
  <c r="G412" i="59"/>
  <c r="J412" i="59"/>
  <c r="G413" i="59"/>
  <c r="J413" i="59"/>
  <c r="G416" i="59"/>
  <c r="J416" i="59"/>
  <c r="G417" i="59"/>
  <c r="J417" i="59"/>
  <c r="G418" i="59"/>
  <c r="J418" i="59"/>
  <c r="G419" i="59"/>
  <c r="J419" i="59"/>
  <c r="G420" i="59"/>
  <c r="J420" i="59"/>
  <c r="F24" i="67"/>
  <c r="F22" i="67"/>
  <c r="F17" i="67"/>
  <c r="D17" i="67"/>
  <c r="F16" i="67"/>
  <c r="E16" i="67"/>
  <c r="D16" i="67"/>
  <c r="AI482" i="4" l="1"/>
  <c r="F13" i="58"/>
  <c r="R13" i="58" s="1"/>
  <c r="G59" i="59" s="1"/>
  <c r="J59" i="59" s="1"/>
  <c r="AH482" i="4"/>
  <c r="E13" i="58"/>
  <c r="Q13" i="58" s="1"/>
  <c r="G58" i="59" s="1"/>
  <c r="J58" i="59" s="1"/>
  <c r="AG482" i="4"/>
  <c r="D13" i="58"/>
  <c r="N548" i="59"/>
  <c r="T1460" i="34"/>
  <c r="T1459" i="34"/>
  <c r="J424" i="59"/>
  <c r="J431" i="59" s="1"/>
  <c r="F9" i="74"/>
  <c r="G9" i="74" s="1"/>
  <c r="F10" i="74"/>
  <c r="G10" i="74" s="1"/>
  <c r="G424" i="59"/>
  <c r="G431" i="59" s="1"/>
  <c r="L2" i="65" l="1"/>
  <c r="P13" i="58"/>
  <c r="G57" i="59" s="1"/>
  <c r="J57" i="59" s="1"/>
  <c r="J433" i="59"/>
  <c r="L26" i="65" l="1"/>
  <c r="L59" i="65" l="1"/>
  <c r="F3" i="7"/>
  <c r="L91" i="65" l="1"/>
  <c r="C788" i="7"/>
  <c r="F788" i="7" s="1"/>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C760" i="7"/>
  <c r="F760" i="7" s="1"/>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C703"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C605" i="7"/>
  <c r="F605" i="7" s="1"/>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C514" i="7"/>
  <c r="F514" i="7" s="1"/>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3" i="7"/>
  <c r="F512" i="7"/>
  <c r="F511" i="7"/>
  <c r="F510" i="7"/>
  <c r="F509" i="7"/>
  <c r="F508" i="7"/>
  <c r="F507" i="7"/>
  <c r="F506" i="7"/>
  <c r="F505" i="7"/>
  <c r="F504" i="7"/>
  <c r="C468" i="7"/>
  <c r="F468" i="7" s="1"/>
  <c r="C370"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L120" i="65" l="1"/>
  <c r="M509" i="7"/>
  <c r="M722" i="7"/>
  <c r="M438" i="7"/>
  <c r="M651" i="7"/>
  <c r="M580" i="7"/>
  <c r="M793"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C325" i="7"/>
  <c r="F325" i="7" s="1"/>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C230" i="7"/>
  <c r="C156" i="7"/>
  <c r="F156" i="7" s="1"/>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5" i="7"/>
  <c r="F154" i="7"/>
  <c r="F153" i="7"/>
  <c r="F152" i="7"/>
  <c r="F151" i="7"/>
  <c r="F150" i="7"/>
  <c r="F149" i="7"/>
  <c r="C125" i="7"/>
  <c r="F125" i="7" s="1"/>
  <c r="F146" i="7"/>
  <c r="F145" i="7"/>
  <c r="F144" i="7"/>
  <c r="F143" i="7"/>
  <c r="F142" i="7"/>
  <c r="F141" i="7"/>
  <c r="F140" i="7"/>
  <c r="F139" i="7"/>
  <c r="F138" i="7"/>
  <c r="F137" i="7"/>
  <c r="F136" i="7"/>
  <c r="F135" i="7"/>
  <c r="F134" i="7"/>
  <c r="F133" i="7"/>
  <c r="F132" i="7"/>
  <c r="F131" i="7"/>
  <c r="F130" i="7"/>
  <c r="F129" i="7"/>
  <c r="F128" i="7"/>
  <c r="F127" i="7"/>
  <c r="F126"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C54" i="7"/>
  <c r="F54" i="7" s="1"/>
  <c r="F72" i="7"/>
  <c r="F71" i="7"/>
  <c r="F70" i="7"/>
  <c r="F69" i="7"/>
  <c r="F68" i="7"/>
  <c r="F67" i="7"/>
  <c r="F66" i="7"/>
  <c r="F65" i="7"/>
  <c r="F64" i="7"/>
  <c r="F63" i="7"/>
  <c r="F62" i="7"/>
  <c r="F61" i="7"/>
  <c r="F60" i="7"/>
  <c r="F59" i="7"/>
  <c r="F58" i="7"/>
  <c r="F57" i="7"/>
  <c r="F56" i="7"/>
  <c r="F55"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 i="7"/>
  <c r="F5" i="7"/>
  <c r="F4" i="7"/>
  <c r="F305" i="6"/>
  <c r="F304" i="6"/>
  <c r="D303" i="6"/>
  <c r="D302" i="6"/>
  <c r="D301" i="6"/>
  <c r="D300" i="6"/>
  <c r="D299" i="6"/>
  <c r="D298" i="6"/>
  <c r="D297" i="6"/>
  <c r="D296" i="6"/>
  <c r="D295" i="6"/>
  <c r="D294" i="6"/>
  <c r="D293" i="6"/>
  <c r="D292" i="6"/>
  <c r="D291" i="6"/>
  <c r="D290" i="6"/>
  <c r="D289" i="6"/>
  <c r="D288" i="6"/>
  <c r="F287" i="6"/>
  <c r="F286" i="6"/>
  <c r="F285" i="6"/>
  <c r="F284" i="6"/>
  <c r="F283" i="6"/>
  <c r="F282" i="6"/>
  <c r="F280" i="6"/>
  <c r="F279" i="6"/>
  <c r="D278" i="6"/>
  <c r="D277" i="6"/>
  <c r="D276" i="6"/>
  <c r="D275" i="6"/>
  <c r="D274" i="6"/>
  <c r="D273" i="6"/>
  <c r="D272" i="6"/>
  <c r="D271" i="6"/>
  <c r="D270" i="6"/>
  <c r="D269" i="6"/>
  <c r="D268" i="6"/>
  <c r="D267" i="6"/>
  <c r="D266" i="6"/>
  <c r="D265" i="6"/>
  <c r="D264" i="6"/>
  <c r="D263" i="6"/>
  <c r="F262" i="6"/>
  <c r="F261" i="6"/>
  <c r="F260" i="6"/>
  <c r="F259" i="6"/>
  <c r="F258" i="6"/>
  <c r="F257" i="6"/>
  <c r="F255" i="6"/>
  <c r="F254" i="6"/>
  <c r="D253" i="6"/>
  <c r="D252" i="6"/>
  <c r="D251" i="6"/>
  <c r="D250" i="6"/>
  <c r="D249" i="6"/>
  <c r="D248" i="6"/>
  <c r="D247" i="6"/>
  <c r="D246" i="6"/>
  <c r="D245" i="6"/>
  <c r="D244" i="6"/>
  <c r="D243" i="6"/>
  <c r="D242" i="6"/>
  <c r="D241" i="6"/>
  <c r="D240" i="6"/>
  <c r="D239" i="6"/>
  <c r="D238" i="6"/>
  <c r="F237" i="6"/>
  <c r="F236" i="6"/>
  <c r="F235" i="6"/>
  <c r="F234" i="6"/>
  <c r="F233" i="6"/>
  <c r="F232" i="6"/>
  <c r="F205" i="6"/>
  <c r="F204" i="6"/>
  <c r="D203" i="6"/>
  <c r="D202" i="6"/>
  <c r="D201" i="6"/>
  <c r="D200" i="6"/>
  <c r="D199" i="6"/>
  <c r="D198" i="6"/>
  <c r="D197" i="6"/>
  <c r="D196" i="6"/>
  <c r="D195" i="6"/>
  <c r="D194" i="6"/>
  <c r="D193" i="6"/>
  <c r="D192" i="6"/>
  <c r="D191" i="6"/>
  <c r="D190" i="6"/>
  <c r="D189" i="6"/>
  <c r="D188" i="6"/>
  <c r="F187" i="6"/>
  <c r="F186" i="6"/>
  <c r="F185" i="6"/>
  <c r="F184" i="6"/>
  <c r="F183" i="6"/>
  <c r="F182" i="6"/>
  <c r="F179" i="6"/>
  <c r="F178" i="6"/>
  <c r="D177" i="6"/>
  <c r="D176" i="6"/>
  <c r="D175" i="6"/>
  <c r="D174" i="6"/>
  <c r="D173" i="6"/>
  <c r="D172" i="6"/>
  <c r="D171" i="6"/>
  <c r="D170" i="6"/>
  <c r="D169" i="6"/>
  <c r="D168" i="6"/>
  <c r="D167" i="6"/>
  <c r="D166" i="6"/>
  <c r="D165" i="6"/>
  <c r="D164" i="6"/>
  <c r="D163" i="6"/>
  <c r="D162" i="6"/>
  <c r="F161" i="6"/>
  <c r="F160" i="6"/>
  <c r="F159" i="6"/>
  <c r="F158" i="6"/>
  <c r="F157" i="6"/>
  <c r="F156" i="6"/>
  <c r="F153" i="6"/>
  <c r="F152" i="6"/>
  <c r="D151" i="6"/>
  <c r="D150" i="6"/>
  <c r="D149" i="6"/>
  <c r="D148" i="6"/>
  <c r="D147" i="6"/>
  <c r="D146" i="6"/>
  <c r="D145" i="6"/>
  <c r="D144" i="6"/>
  <c r="D143" i="6"/>
  <c r="D142" i="6"/>
  <c r="D141" i="6"/>
  <c r="D140" i="6"/>
  <c r="D139" i="6"/>
  <c r="D138" i="6"/>
  <c r="D137" i="6"/>
  <c r="D136" i="6"/>
  <c r="F135" i="6"/>
  <c r="F134" i="6"/>
  <c r="F133" i="6"/>
  <c r="F132" i="6"/>
  <c r="F131" i="6"/>
  <c r="F130" i="6"/>
  <c r="F127" i="6"/>
  <c r="F126" i="6"/>
  <c r="D125" i="6"/>
  <c r="D124" i="6"/>
  <c r="D123" i="6"/>
  <c r="D122" i="6"/>
  <c r="D121" i="6"/>
  <c r="D120" i="6"/>
  <c r="D119" i="6"/>
  <c r="D118" i="6"/>
  <c r="D117" i="6"/>
  <c r="D116" i="6"/>
  <c r="D115" i="6"/>
  <c r="D114" i="6"/>
  <c r="D113" i="6"/>
  <c r="D112" i="6"/>
  <c r="D111" i="6"/>
  <c r="D110" i="6"/>
  <c r="F109" i="6"/>
  <c r="F108" i="6"/>
  <c r="F107" i="6"/>
  <c r="F106" i="6"/>
  <c r="F105" i="6"/>
  <c r="F104" i="6"/>
  <c r="F101" i="6"/>
  <c r="F100" i="6"/>
  <c r="D99" i="6"/>
  <c r="D98" i="6"/>
  <c r="D97" i="6"/>
  <c r="D96" i="6"/>
  <c r="D95" i="6"/>
  <c r="D94" i="6"/>
  <c r="D93" i="6"/>
  <c r="D92" i="6"/>
  <c r="D91" i="6"/>
  <c r="D90" i="6"/>
  <c r="D89" i="6"/>
  <c r="D88" i="6"/>
  <c r="D87" i="6"/>
  <c r="D86" i="6"/>
  <c r="D85" i="6"/>
  <c r="D84" i="6"/>
  <c r="F83" i="6"/>
  <c r="F82" i="6"/>
  <c r="F81" i="6"/>
  <c r="F80" i="6"/>
  <c r="F79" i="6"/>
  <c r="F78" i="6"/>
  <c r="F76" i="6"/>
  <c r="F75" i="6"/>
  <c r="D74" i="6"/>
  <c r="D73" i="6"/>
  <c r="D72" i="6"/>
  <c r="D71" i="6"/>
  <c r="D70" i="6"/>
  <c r="D69" i="6"/>
  <c r="D68" i="6"/>
  <c r="D67" i="6"/>
  <c r="D66" i="6"/>
  <c r="D65" i="6"/>
  <c r="D64" i="6"/>
  <c r="D63" i="6"/>
  <c r="D62" i="6"/>
  <c r="D61" i="6"/>
  <c r="D60" i="6"/>
  <c r="D59" i="6"/>
  <c r="F58" i="6"/>
  <c r="F57" i="6"/>
  <c r="F56" i="6"/>
  <c r="F55" i="6"/>
  <c r="F54" i="6"/>
  <c r="F53" i="6"/>
  <c r="J52" i="6"/>
  <c r="I52" i="6"/>
  <c r="J27" i="6"/>
  <c r="I27" i="6"/>
  <c r="M154" i="7" l="1"/>
  <c r="M225" i="7"/>
  <c r="L154" i="65"/>
  <c r="M81" i="7"/>
  <c r="M367" i="7"/>
  <c r="M296" i="7"/>
  <c r="M8" i="7"/>
  <c r="L189" i="65" l="1"/>
  <c r="AD857" i="28"/>
  <c r="AD856" i="28"/>
  <c r="AD862" i="28"/>
  <c r="AD861" i="28"/>
  <c r="AD860" i="28"/>
  <c r="AD859" i="28"/>
  <c r="AD858" i="28"/>
  <c r="AD867" i="28"/>
  <c r="AD866" i="28"/>
  <c r="AD865" i="28"/>
  <c r="AD864" i="28"/>
  <c r="AD863" i="28"/>
  <c r="Q153" i="1"/>
  <c r="R390" i="34"/>
  <c r="P390" i="34"/>
  <c r="O390" i="34"/>
  <c r="N390" i="34"/>
  <c r="M390" i="34"/>
  <c r="L390" i="34"/>
  <c r="K390" i="34"/>
  <c r="J390" i="34"/>
  <c r="I390" i="34"/>
  <c r="H390" i="34"/>
  <c r="G390" i="34"/>
  <c r="F390" i="34"/>
  <c r="E390" i="34"/>
  <c r="M189" i="65" l="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3" i="1"/>
  <c r="H4" i="1"/>
  <c r="O439" i="59" l="1"/>
  <c r="J439" i="59" s="1"/>
  <c r="O69" i="59"/>
  <c r="J69" i="59" s="1"/>
  <c r="O103" i="59"/>
  <c r="J103" i="59" s="1"/>
  <c r="O2" i="59"/>
  <c r="J2" i="59" s="1"/>
  <c r="O35" i="59"/>
  <c r="J35" i="59" s="1"/>
  <c r="M91" i="65"/>
  <c r="I91" i="65" s="1"/>
  <c r="M59" i="65"/>
  <c r="I59" i="65" s="1"/>
  <c r="O175" i="59"/>
  <c r="J175" i="59" s="1"/>
  <c r="O212" i="59"/>
  <c r="J212" i="59" s="1"/>
  <c r="O253" i="59"/>
  <c r="J253" i="59" s="1"/>
  <c r="O138" i="59"/>
  <c r="J138" i="59" s="1"/>
  <c r="M26" i="65"/>
  <c r="I26" i="65" s="1"/>
  <c r="O364" i="59"/>
  <c r="J364" i="59" s="1"/>
  <c r="O478" i="59"/>
  <c r="J478" i="59" s="1"/>
  <c r="O514" i="59"/>
  <c r="J514" i="59" s="1"/>
  <c r="O548" i="59"/>
  <c r="J548" i="59" s="1"/>
  <c r="M154" i="65"/>
  <c r="I154" i="65" s="1"/>
  <c r="M120" i="65"/>
  <c r="I120" i="65" s="1"/>
  <c r="O327" i="59"/>
  <c r="J327" i="59" s="1"/>
  <c r="O400" i="59"/>
  <c r="J400" i="59" s="1"/>
  <c r="O290" i="59"/>
  <c r="J290" i="59" s="1"/>
  <c r="M2" i="65"/>
  <c r="I2" i="65" s="1"/>
  <c r="I189" i="65"/>
  <c r="O42" i="75"/>
  <c r="R403" i="1"/>
  <c r="Q403" i="1"/>
  <c r="P403" i="1"/>
  <c r="O403" i="1"/>
  <c r="N403" i="1"/>
  <c r="M403" i="1"/>
  <c r="L403" i="1"/>
  <c r="K403" i="1"/>
  <c r="J403" i="1"/>
  <c r="I403" i="1"/>
  <c r="G403" i="1"/>
  <c r="F403" i="1"/>
  <c r="E403" i="1"/>
  <c r="D403" i="1"/>
  <c r="R402" i="1"/>
  <c r="Q402" i="1"/>
  <c r="P402" i="1"/>
  <c r="O402" i="1"/>
  <c r="N402" i="1"/>
  <c r="M402" i="1"/>
  <c r="L402" i="1"/>
  <c r="K402" i="1"/>
  <c r="J402" i="1"/>
  <c r="I402" i="1"/>
  <c r="G402" i="1"/>
  <c r="F402" i="1"/>
  <c r="E402" i="1"/>
  <c r="D402" i="1"/>
  <c r="R401" i="1"/>
  <c r="Q401" i="1"/>
  <c r="P401" i="1"/>
  <c r="O401" i="1"/>
  <c r="N401" i="1"/>
  <c r="M401" i="1"/>
  <c r="L401" i="1"/>
  <c r="K401" i="1"/>
  <c r="J401" i="1"/>
  <c r="I401" i="1"/>
  <c r="G401" i="1"/>
  <c r="F401" i="1"/>
  <c r="E401" i="1"/>
  <c r="D401" i="1"/>
  <c r="R400" i="1"/>
  <c r="Q400" i="1"/>
  <c r="P400" i="1"/>
  <c r="O400" i="1"/>
  <c r="N400" i="1"/>
  <c r="M400" i="1"/>
  <c r="L400" i="1"/>
  <c r="K400" i="1"/>
  <c r="J400" i="1"/>
  <c r="I400" i="1"/>
  <c r="G400" i="1"/>
  <c r="F400" i="1"/>
  <c r="E400" i="1"/>
  <c r="D400" i="1"/>
  <c r="R399" i="1"/>
  <c r="Q399" i="1"/>
  <c r="P399" i="1"/>
  <c r="O399" i="1"/>
  <c r="N399" i="1"/>
  <c r="M399" i="1"/>
  <c r="L399" i="1"/>
  <c r="K399" i="1"/>
  <c r="J399" i="1"/>
  <c r="I399" i="1"/>
  <c r="G399" i="1"/>
  <c r="F399" i="1"/>
  <c r="E399" i="1"/>
  <c r="D399" i="1"/>
  <c r="R398" i="1"/>
  <c r="Q398" i="1"/>
  <c r="P398" i="1"/>
  <c r="O398" i="1"/>
  <c r="N398" i="1"/>
  <c r="M398" i="1"/>
  <c r="L398" i="1"/>
  <c r="K398" i="1"/>
  <c r="J398" i="1"/>
  <c r="I398" i="1"/>
  <c r="G398" i="1"/>
  <c r="F398" i="1"/>
  <c r="E398" i="1"/>
  <c r="D398" i="1"/>
  <c r="R397" i="1"/>
  <c r="Q397" i="1"/>
  <c r="P397" i="1"/>
  <c r="O397" i="1"/>
  <c r="N397" i="1"/>
  <c r="M397" i="1"/>
  <c r="L397" i="1"/>
  <c r="K397" i="1"/>
  <c r="J397" i="1"/>
  <c r="I397" i="1"/>
  <c r="G397" i="1"/>
  <c r="F397" i="1"/>
  <c r="E397" i="1"/>
  <c r="D397" i="1"/>
  <c r="R396" i="1"/>
  <c r="Q396" i="1"/>
  <c r="P396" i="1"/>
  <c r="O396" i="1"/>
  <c r="N396" i="1"/>
  <c r="M396" i="1"/>
  <c r="L396" i="1"/>
  <c r="K396" i="1"/>
  <c r="J396" i="1"/>
  <c r="I396" i="1"/>
  <c r="G396" i="1"/>
  <c r="F396" i="1"/>
  <c r="E396" i="1"/>
  <c r="D396" i="1"/>
  <c r="R395" i="1"/>
  <c r="Q395" i="1"/>
  <c r="P395" i="1"/>
  <c r="O395" i="1"/>
  <c r="N395" i="1"/>
  <c r="M395" i="1"/>
  <c r="L395" i="1"/>
  <c r="K395" i="1"/>
  <c r="J395" i="1"/>
  <c r="I395" i="1"/>
  <c r="G395" i="1"/>
  <c r="F395" i="1"/>
  <c r="E395" i="1"/>
  <c r="D395" i="1"/>
  <c r="R394" i="1"/>
  <c r="Q394" i="1"/>
  <c r="P394" i="1"/>
  <c r="O394" i="1"/>
  <c r="N394" i="1"/>
  <c r="M394" i="1"/>
  <c r="L394" i="1"/>
  <c r="K394" i="1"/>
  <c r="J394" i="1"/>
  <c r="I394" i="1"/>
  <c r="G394" i="1"/>
  <c r="F394" i="1"/>
  <c r="E394" i="1"/>
  <c r="D394" i="1"/>
  <c r="R393" i="1"/>
  <c r="Q393" i="1"/>
  <c r="P393" i="1"/>
  <c r="O393" i="1"/>
  <c r="N393" i="1"/>
  <c r="M393" i="1"/>
  <c r="L393" i="1"/>
  <c r="K393" i="1"/>
  <c r="J393" i="1"/>
  <c r="I393" i="1"/>
  <c r="G393" i="1"/>
  <c r="F393" i="1"/>
  <c r="E393" i="1"/>
  <c r="D393" i="1"/>
  <c r="R392" i="1"/>
  <c r="Q392" i="1"/>
  <c r="P392" i="1"/>
  <c r="O392" i="1"/>
  <c r="N392" i="1"/>
  <c r="M392" i="1"/>
  <c r="L392" i="1"/>
  <c r="K392" i="1"/>
  <c r="J392" i="1"/>
  <c r="I392" i="1"/>
  <c r="G392" i="1"/>
  <c r="F392" i="1"/>
  <c r="E392" i="1"/>
  <c r="D392" i="1"/>
  <c r="R391" i="1"/>
  <c r="P391" i="1" s="1"/>
  <c r="Q391" i="1"/>
  <c r="O391" i="1"/>
  <c r="N391" i="1"/>
  <c r="M391" i="1"/>
  <c r="L391" i="1"/>
  <c r="K391" i="1"/>
  <c r="J391" i="1"/>
  <c r="I391" i="1"/>
  <c r="G391" i="1"/>
  <c r="F391" i="1"/>
  <c r="E391" i="1"/>
  <c r="D391" i="1"/>
  <c r="R390" i="1"/>
  <c r="P390" i="1" s="1"/>
  <c r="Q390" i="1"/>
  <c r="O390" i="1"/>
  <c r="N390" i="1"/>
  <c r="M390" i="1"/>
  <c r="L390" i="1"/>
  <c r="K390" i="1"/>
  <c r="J390" i="1"/>
  <c r="I390" i="1"/>
  <c r="G390" i="1"/>
  <c r="F390" i="1"/>
  <c r="E390" i="1"/>
  <c r="D390" i="1"/>
  <c r="R389" i="1"/>
  <c r="Q389" i="1"/>
  <c r="P389" i="1"/>
  <c r="O389" i="1"/>
  <c r="N389" i="1"/>
  <c r="M389" i="1"/>
  <c r="L389" i="1"/>
  <c r="K389" i="1"/>
  <c r="J389" i="1"/>
  <c r="I389" i="1"/>
  <c r="G389" i="1"/>
  <c r="F389" i="1"/>
  <c r="E389" i="1"/>
  <c r="D389" i="1"/>
  <c r="R388" i="1"/>
  <c r="P388" i="1" s="1"/>
  <c r="Q388" i="1"/>
  <c r="O388" i="1"/>
  <c r="N388" i="1"/>
  <c r="M388" i="1"/>
  <c r="L388" i="1"/>
  <c r="K388" i="1"/>
  <c r="J388" i="1"/>
  <c r="I388" i="1"/>
  <c r="G388" i="1"/>
  <c r="F388" i="1"/>
  <c r="E388" i="1"/>
  <c r="D388" i="1"/>
  <c r="R387" i="1"/>
  <c r="Q387" i="1"/>
  <c r="P387" i="1"/>
  <c r="O387" i="1"/>
  <c r="N387" i="1"/>
  <c r="M387" i="1"/>
  <c r="L387" i="1"/>
  <c r="K387" i="1"/>
  <c r="J387" i="1"/>
  <c r="I387" i="1"/>
  <c r="G387" i="1"/>
  <c r="F387" i="1"/>
  <c r="E387" i="1"/>
  <c r="D387" i="1"/>
  <c r="R386" i="1"/>
  <c r="Q386" i="1"/>
  <c r="P386" i="1"/>
  <c r="O386" i="1"/>
  <c r="N386" i="1"/>
  <c r="M386" i="1"/>
  <c r="L386" i="1"/>
  <c r="K386" i="1"/>
  <c r="J386" i="1"/>
  <c r="I386" i="1"/>
  <c r="G386" i="1"/>
  <c r="F386" i="1"/>
  <c r="E386" i="1"/>
  <c r="D386" i="1"/>
  <c r="R385" i="1"/>
  <c r="P385" i="1" s="1"/>
  <c r="Q385" i="1"/>
  <c r="O385" i="1"/>
  <c r="N385" i="1"/>
  <c r="M385" i="1"/>
  <c r="L385" i="1"/>
  <c r="K385" i="1"/>
  <c r="J385" i="1"/>
  <c r="I385" i="1"/>
  <c r="G385" i="1"/>
  <c r="F385" i="1"/>
  <c r="E385" i="1"/>
  <c r="D385" i="1"/>
  <c r="R384" i="1"/>
  <c r="Q384" i="1"/>
  <c r="P384" i="1"/>
  <c r="O384" i="1"/>
  <c r="N384" i="1"/>
  <c r="M384" i="1"/>
  <c r="L384" i="1"/>
  <c r="K384" i="1"/>
  <c r="J384" i="1"/>
  <c r="I384" i="1"/>
  <c r="G384" i="1"/>
  <c r="F384" i="1"/>
  <c r="E384" i="1"/>
  <c r="D384" i="1"/>
  <c r="R383" i="1"/>
  <c r="Q383" i="1"/>
  <c r="P383" i="1"/>
  <c r="O383" i="1"/>
  <c r="N383" i="1"/>
  <c r="M383" i="1"/>
  <c r="L383" i="1"/>
  <c r="K383" i="1"/>
  <c r="J383" i="1"/>
  <c r="I383" i="1"/>
  <c r="G383" i="1"/>
  <c r="F383" i="1"/>
  <c r="E383" i="1"/>
  <c r="D383" i="1"/>
  <c r="R382" i="1"/>
  <c r="O382" i="1" s="1"/>
  <c r="Q382" i="1"/>
  <c r="P382" i="1"/>
  <c r="N382" i="1"/>
  <c r="M382" i="1"/>
  <c r="L382" i="1"/>
  <c r="K382" i="1"/>
  <c r="J382" i="1"/>
  <c r="I382" i="1"/>
  <c r="G382" i="1"/>
  <c r="F382" i="1"/>
  <c r="E382" i="1"/>
  <c r="D382" i="1"/>
  <c r="R381" i="1"/>
  <c r="Q381" i="1"/>
  <c r="P381" i="1"/>
  <c r="O381" i="1"/>
  <c r="N381" i="1"/>
  <c r="M381" i="1"/>
  <c r="L381" i="1"/>
  <c r="K381" i="1"/>
  <c r="J381" i="1"/>
  <c r="I381" i="1"/>
  <c r="G381" i="1"/>
  <c r="F381" i="1"/>
  <c r="E381" i="1"/>
  <c r="D381" i="1"/>
  <c r="R380" i="1"/>
  <c r="Q380" i="1"/>
  <c r="P380" i="1"/>
  <c r="O380" i="1"/>
  <c r="N380" i="1"/>
  <c r="M380" i="1"/>
  <c r="L380" i="1"/>
  <c r="K380" i="1"/>
  <c r="J380" i="1"/>
  <c r="I380" i="1"/>
  <c r="G380" i="1"/>
  <c r="F380" i="1"/>
  <c r="E380" i="1"/>
  <c r="D380" i="1"/>
  <c r="R379" i="1"/>
  <c r="Q379" i="1"/>
  <c r="P379" i="1"/>
  <c r="O379" i="1"/>
  <c r="N379" i="1"/>
  <c r="M379" i="1"/>
  <c r="L379" i="1"/>
  <c r="K379" i="1"/>
  <c r="J379" i="1"/>
  <c r="I379" i="1"/>
  <c r="G379" i="1"/>
  <c r="F379" i="1"/>
  <c r="E379" i="1"/>
  <c r="D379" i="1"/>
  <c r="R378" i="1"/>
  <c r="P378" i="1" s="1"/>
  <c r="Q378" i="1"/>
  <c r="O378" i="1"/>
  <c r="N378" i="1"/>
  <c r="M378" i="1"/>
  <c r="L378" i="1"/>
  <c r="K378" i="1"/>
  <c r="J378" i="1"/>
  <c r="I378" i="1"/>
  <c r="G378" i="1"/>
  <c r="F378" i="1"/>
  <c r="E378" i="1"/>
  <c r="D378" i="1"/>
  <c r="R377" i="1"/>
  <c r="P377" i="1" s="1"/>
  <c r="Q377" i="1"/>
  <c r="O377" i="1"/>
  <c r="N377" i="1"/>
  <c r="M377" i="1"/>
  <c r="L377" i="1"/>
  <c r="K377" i="1"/>
  <c r="J377" i="1"/>
  <c r="I377" i="1"/>
  <c r="G377" i="1"/>
  <c r="F377" i="1"/>
  <c r="E377" i="1"/>
  <c r="D377" i="1"/>
  <c r="R376" i="1"/>
  <c r="Q376" i="1"/>
  <c r="P376" i="1"/>
  <c r="O376" i="1"/>
  <c r="N376" i="1"/>
  <c r="M376" i="1"/>
  <c r="L376" i="1"/>
  <c r="K376" i="1"/>
  <c r="J376" i="1"/>
  <c r="I376" i="1"/>
  <c r="G376" i="1"/>
  <c r="F376" i="1"/>
  <c r="E376" i="1"/>
  <c r="D376" i="1"/>
  <c r="R375" i="1"/>
  <c r="Q375" i="1"/>
  <c r="P375" i="1"/>
  <c r="O375" i="1"/>
  <c r="N375" i="1"/>
  <c r="M375" i="1"/>
  <c r="L375" i="1"/>
  <c r="K375" i="1"/>
  <c r="J375" i="1"/>
  <c r="I375" i="1"/>
  <c r="G375" i="1"/>
  <c r="F375" i="1"/>
  <c r="E375" i="1"/>
  <c r="D375" i="1"/>
  <c r="R374" i="1"/>
  <c r="Q374" i="1"/>
  <c r="P374" i="1"/>
  <c r="O374" i="1"/>
  <c r="N374" i="1"/>
  <c r="M374" i="1"/>
  <c r="L374" i="1"/>
  <c r="K374" i="1"/>
  <c r="J374" i="1"/>
  <c r="I374" i="1"/>
  <c r="G374" i="1"/>
  <c r="F374" i="1"/>
  <c r="E374" i="1"/>
  <c r="D374" i="1"/>
  <c r="R373" i="1"/>
  <c r="Q373" i="1"/>
  <c r="P373" i="1"/>
  <c r="O373" i="1"/>
  <c r="N373" i="1"/>
  <c r="M373" i="1"/>
  <c r="L373" i="1"/>
  <c r="K373" i="1"/>
  <c r="J373" i="1"/>
  <c r="I373" i="1"/>
  <c r="G373" i="1"/>
  <c r="F373" i="1"/>
  <c r="E373" i="1"/>
  <c r="D373" i="1"/>
  <c r="R372" i="1"/>
  <c r="Q372" i="1"/>
  <c r="P372" i="1"/>
  <c r="O372" i="1"/>
  <c r="N372" i="1"/>
  <c r="M372" i="1"/>
  <c r="L372" i="1"/>
  <c r="K372" i="1"/>
  <c r="J372" i="1"/>
  <c r="I372" i="1"/>
  <c r="G372" i="1"/>
  <c r="F372" i="1"/>
  <c r="E372" i="1"/>
  <c r="D372" i="1"/>
  <c r="R370" i="1"/>
  <c r="Q370" i="1"/>
  <c r="P370" i="1"/>
  <c r="O370" i="1"/>
  <c r="N370" i="1"/>
  <c r="M370" i="1"/>
  <c r="L370" i="1"/>
  <c r="K370" i="1"/>
  <c r="J370" i="1"/>
  <c r="I370" i="1"/>
  <c r="G370" i="1"/>
  <c r="F370" i="1"/>
  <c r="E370" i="1"/>
  <c r="D370" i="1"/>
  <c r="R369" i="1"/>
  <c r="Q369" i="1"/>
  <c r="P369" i="1"/>
  <c r="O369" i="1"/>
  <c r="N369" i="1"/>
  <c r="M369" i="1"/>
  <c r="L369" i="1"/>
  <c r="K369" i="1"/>
  <c r="J369" i="1"/>
  <c r="I369" i="1"/>
  <c r="G369" i="1"/>
  <c r="F369" i="1"/>
  <c r="E369" i="1"/>
  <c r="D369" i="1"/>
  <c r="R368" i="1"/>
  <c r="Q368" i="1"/>
  <c r="P368" i="1"/>
  <c r="O368" i="1"/>
  <c r="N368" i="1"/>
  <c r="M368" i="1"/>
  <c r="L368" i="1"/>
  <c r="K368" i="1"/>
  <c r="J368" i="1"/>
  <c r="I368" i="1"/>
  <c r="G368" i="1"/>
  <c r="F368" i="1"/>
  <c r="E368" i="1"/>
  <c r="D368" i="1"/>
  <c r="R367" i="1"/>
  <c r="Q367" i="1"/>
  <c r="P367" i="1"/>
  <c r="O367" i="1"/>
  <c r="N367" i="1"/>
  <c r="M367" i="1"/>
  <c r="L367" i="1"/>
  <c r="K367" i="1"/>
  <c r="J367" i="1"/>
  <c r="I367" i="1"/>
  <c r="G367" i="1"/>
  <c r="F367" i="1"/>
  <c r="E367" i="1"/>
  <c r="D367" i="1"/>
  <c r="R366" i="1"/>
  <c r="Q366" i="1"/>
  <c r="P366" i="1"/>
  <c r="O366" i="1"/>
  <c r="N366" i="1"/>
  <c r="M366" i="1"/>
  <c r="L366" i="1"/>
  <c r="K366" i="1"/>
  <c r="J366" i="1"/>
  <c r="I366" i="1"/>
  <c r="G366" i="1"/>
  <c r="F366" i="1"/>
  <c r="E366" i="1"/>
  <c r="D366" i="1"/>
  <c r="R365" i="1"/>
  <c r="Q365" i="1"/>
  <c r="P365" i="1"/>
  <c r="O365" i="1"/>
  <c r="N365" i="1"/>
  <c r="M365" i="1"/>
  <c r="L365" i="1"/>
  <c r="K365" i="1"/>
  <c r="J365" i="1"/>
  <c r="I365" i="1"/>
  <c r="G365" i="1"/>
  <c r="F365" i="1"/>
  <c r="E365" i="1"/>
  <c r="D365" i="1"/>
  <c r="R364" i="1"/>
  <c r="Q364" i="1"/>
  <c r="P364" i="1"/>
  <c r="O364" i="1"/>
  <c r="N364" i="1"/>
  <c r="M364" i="1"/>
  <c r="L364" i="1"/>
  <c r="K364" i="1"/>
  <c r="J364" i="1"/>
  <c r="I364" i="1"/>
  <c r="G364" i="1"/>
  <c r="F364" i="1"/>
  <c r="E364" i="1"/>
  <c r="D364" i="1"/>
  <c r="R363" i="1"/>
  <c r="Q363" i="1"/>
  <c r="P363" i="1"/>
  <c r="O363" i="1"/>
  <c r="N363" i="1"/>
  <c r="M363" i="1"/>
  <c r="L363" i="1"/>
  <c r="K363" i="1"/>
  <c r="J363" i="1"/>
  <c r="I363" i="1"/>
  <c r="G363" i="1"/>
  <c r="F363" i="1"/>
  <c r="E363" i="1"/>
  <c r="D363" i="1"/>
  <c r="R362" i="1"/>
  <c r="Q362" i="1"/>
  <c r="P362" i="1"/>
  <c r="O362" i="1"/>
  <c r="N362" i="1"/>
  <c r="M362" i="1"/>
  <c r="L362" i="1"/>
  <c r="K362" i="1"/>
  <c r="J362" i="1"/>
  <c r="I362" i="1"/>
  <c r="G362" i="1"/>
  <c r="F362" i="1"/>
  <c r="E362" i="1"/>
  <c r="D362" i="1"/>
  <c r="R361" i="1"/>
  <c r="Q361" i="1"/>
  <c r="P361" i="1"/>
  <c r="O361" i="1"/>
  <c r="N361" i="1"/>
  <c r="M361" i="1"/>
  <c r="L361" i="1"/>
  <c r="K361" i="1"/>
  <c r="J361" i="1"/>
  <c r="I361" i="1"/>
  <c r="G361" i="1"/>
  <c r="F361" i="1"/>
  <c r="E361" i="1"/>
  <c r="D361" i="1"/>
  <c r="R360" i="1"/>
  <c r="Q360" i="1"/>
  <c r="P360" i="1"/>
  <c r="O360" i="1"/>
  <c r="N360" i="1"/>
  <c r="M360" i="1"/>
  <c r="L360" i="1"/>
  <c r="K360" i="1"/>
  <c r="J360" i="1"/>
  <c r="I360" i="1"/>
  <c r="G360" i="1"/>
  <c r="F360" i="1"/>
  <c r="E360" i="1"/>
  <c r="D360" i="1"/>
  <c r="R359" i="1"/>
  <c r="Q359" i="1"/>
  <c r="P359" i="1"/>
  <c r="O359" i="1"/>
  <c r="N359" i="1"/>
  <c r="M359" i="1"/>
  <c r="L359" i="1"/>
  <c r="K359" i="1"/>
  <c r="J359" i="1"/>
  <c r="I359" i="1"/>
  <c r="G359" i="1"/>
  <c r="F359" i="1"/>
  <c r="E359" i="1"/>
  <c r="D359" i="1"/>
  <c r="R358" i="1"/>
  <c r="Q358" i="1"/>
  <c r="P358" i="1"/>
  <c r="O358" i="1"/>
  <c r="N358" i="1"/>
  <c r="M358" i="1"/>
  <c r="L358" i="1"/>
  <c r="K358" i="1"/>
  <c r="J358" i="1"/>
  <c r="I358" i="1"/>
  <c r="G358" i="1"/>
  <c r="F358" i="1"/>
  <c r="E358" i="1"/>
  <c r="D358" i="1"/>
  <c r="R357" i="1"/>
  <c r="P357" i="1" s="1"/>
  <c r="Q357" i="1"/>
  <c r="O357" i="1"/>
  <c r="N357" i="1"/>
  <c r="M357" i="1"/>
  <c r="L357" i="1"/>
  <c r="K357" i="1"/>
  <c r="J357" i="1"/>
  <c r="I357" i="1"/>
  <c r="G357" i="1"/>
  <c r="F357" i="1"/>
  <c r="E357" i="1"/>
  <c r="D357" i="1"/>
  <c r="R356" i="1"/>
  <c r="P356" i="1" s="1"/>
  <c r="Q356" i="1"/>
  <c r="O356" i="1"/>
  <c r="N356" i="1"/>
  <c r="M356" i="1"/>
  <c r="L356" i="1"/>
  <c r="K356" i="1"/>
  <c r="J356" i="1"/>
  <c r="I356" i="1"/>
  <c r="G356" i="1"/>
  <c r="F356" i="1"/>
  <c r="E356" i="1"/>
  <c r="D356" i="1"/>
  <c r="R355" i="1"/>
  <c r="Q355" i="1"/>
  <c r="P355" i="1"/>
  <c r="O355" i="1"/>
  <c r="N355" i="1"/>
  <c r="M355" i="1"/>
  <c r="L355" i="1"/>
  <c r="K355" i="1"/>
  <c r="J355" i="1"/>
  <c r="I355" i="1"/>
  <c r="G355" i="1"/>
  <c r="F355" i="1"/>
  <c r="E355" i="1"/>
  <c r="D355" i="1"/>
  <c r="R354" i="1"/>
  <c r="P354" i="1" s="1"/>
  <c r="Q354" i="1"/>
  <c r="O354" i="1"/>
  <c r="N354" i="1"/>
  <c r="M354" i="1"/>
  <c r="L354" i="1"/>
  <c r="K354" i="1"/>
  <c r="J354" i="1"/>
  <c r="I354" i="1"/>
  <c r="G354" i="1"/>
  <c r="F354" i="1"/>
  <c r="E354" i="1"/>
  <c r="D354" i="1"/>
  <c r="R353" i="1"/>
  <c r="Q353" i="1"/>
  <c r="P353" i="1"/>
  <c r="O353" i="1"/>
  <c r="N353" i="1"/>
  <c r="M353" i="1"/>
  <c r="L353" i="1"/>
  <c r="K353" i="1"/>
  <c r="J353" i="1"/>
  <c r="I353" i="1"/>
  <c r="G353" i="1"/>
  <c r="F353" i="1"/>
  <c r="E353" i="1"/>
  <c r="D353" i="1"/>
  <c r="R352" i="1"/>
  <c r="Q352" i="1"/>
  <c r="P352" i="1"/>
  <c r="O352" i="1"/>
  <c r="N352" i="1"/>
  <c r="M352" i="1"/>
  <c r="L352" i="1"/>
  <c r="K352" i="1"/>
  <c r="J352" i="1"/>
  <c r="I352" i="1"/>
  <c r="G352" i="1"/>
  <c r="F352" i="1"/>
  <c r="E352" i="1"/>
  <c r="D352" i="1"/>
  <c r="R351" i="1"/>
  <c r="P351" i="1" s="1"/>
  <c r="Q351" i="1"/>
  <c r="O351" i="1"/>
  <c r="N351" i="1"/>
  <c r="M351" i="1"/>
  <c r="L351" i="1"/>
  <c r="K351" i="1"/>
  <c r="J351" i="1"/>
  <c r="I351" i="1"/>
  <c r="G351" i="1"/>
  <c r="F351" i="1"/>
  <c r="E351" i="1"/>
  <c r="D351" i="1"/>
  <c r="R350" i="1"/>
  <c r="Q350" i="1"/>
  <c r="P350" i="1"/>
  <c r="O350" i="1"/>
  <c r="N350" i="1"/>
  <c r="M350" i="1"/>
  <c r="L350" i="1"/>
  <c r="K350" i="1"/>
  <c r="J350" i="1"/>
  <c r="I350" i="1"/>
  <c r="G350" i="1"/>
  <c r="F350" i="1"/>
  <c r="E350" i="1"/>
  <c r="D350" i="1"/>
  <c r="R349" i="1"/>
  <c r="Q349" i="1"/>
  <c r="P349" i="1"/>
  <c r="O349" i="1"/>
  <c r="N349" i="1"/>
  <c r="M349" i="1"/>
  <c r="L349" i="1"/>
  <c r="K349" i="1"/>
  <c r="J349" i="1"/>
  <c r="I349" i="1"/>
  <c r="G349" i="1"/>
  <c r="F349" i="1"/>
  <c r="E349" i="1"/>
  <c r="D349" i="1"/>
  <c r="R348" i="1"/>
  <c r="O348" i="1" s="1"/>
  <c r="Q348" i="1"/>
  <c r="P348" i="1"/>
  <c r="N348" i="1"/>
  <c r="M348" i="1"/>
  <c r="L348" i="1"/>
  <c r="K348" i="1"/>
  <c r="J348" i="1"/>
  <c r="I348" i="1"/>
  <c r="G348" i="1"/>
  <c r="F348" i="1"/>
  <c r="E348" i="1"/>
  <c r="D348" i="1"/>
  <c r="R347" i="1"/>
  <c r="Q347" i="1"/>
  <c r="P347" i="1"/>
  <c r="O347" i="1"/>
  <c r="N347" i="1"/>
  <c r="M347" i="1"/>
  <c r="L347" i="1"/>
  <c r="K347" i="1"/>
  <c r="J347" i="1"/>
  <c r="I347" i="1"/>
  <c r="G347" i="1"/>
  <c r="F347" i="1"/>
  <c r="E347" i="1"/>
  <c r="D347" i="1"/>
  <c r="R346" i="1"/>
  <c r="Q346" i="1"/>
  <c r="P346" i="1"/>
  <c r="O346" i="1"/>
  <c r="N346" i="1"/>
  <c r="M346" i="1"/>
  <c r="L346" i="1"/>
  <c r="K346" i="1"/>
  <c r="J346" i="1"/>
  <c r="I346" i="1"/>
  <c r="G346" i="1"/>
  <c r="F346" i="1"/>
  <c r="E346" i="1"/>
  <c r="D346" i="1"/>
  <c r="R345" i="1"/>
  <c r="Q345" i="1"/>
  <c r="P345" i="1"/>
  <c r="O345" i="1"/>
  <c r="N345" i="1"/>
  <c r="M345" i="1"/>
  <c r="L345" i="1"/>
  <c r="K345" i="1"/>
  <c r="J345" i="1"/>
  <c r="I345" i="1"/>
  <c r="G345" i="1"/>
  <c r="F345" i="1"/>
  <c r="E345" i="1"/>
  <c r="D345" i="1"/>
  <c r="R344" i="1"/>
  <c r="P344" i="1" s="1"/>
  <c r="Q344" i="1"/>
  <c r="O344" i="1"/>
  <c r="N344" i="1"/>
  <c r="M344" i="1"/>
  <c r="L344" i="1"/>
  <c r="K344" i="1"/>
  <c r="J344" i="1"/>
  <c r="I344" i="1"/>
  <c r="G344" i="1"/>
  <c r="F344" i="1"/>
  <c r="E344" i="1"/>
  <c r="D344" i="1"/>
  <c r="R343" i="1"/>
  <c r="P343" i="1" s="1"/>
  <c r="Q343" i="1"/>
  <c r="O343" i="1"/>
  <c r="N343" i="1"/>
  <c r="M343" i="1"/>
  <c r="L343" i="1"/>
  <c r="K343" i="1"/>
  <c r="J343" i="1"/>
  <c r="I343" i="1"/>
  <c r="G343" i="1"/>
  <c r="F343" i="1"/>
  <c r="E343" i="1"/>
  <c r="D343" i="1"/>
  <c r="R342" i="1"/>
  <c r="Q342" i="1"/>
  <c r="P342" i="1"/>
  <c r="O342" i="1"/>
  <c r="N342" i="1"/>
  <c r="M342" i="1"/>
  <c r="L342" i="1"/>
  <c r="K342" i="1"/>
  <c r="J342" i="1"/>
  <c r="I342" i="1"/>
  <c r="G342" i="1"/>
  <c r="F342" i="1"/>
  <c r="E342" i="1"/>
  <c r="D342" i="1"/>
  <c r="R341" i="1"/>
  <c r="Q341" i="1"/>
  <c r="P341" i="1"/>
  <c r="O341" i="1"/>
  <c r="N341" i="1"/>
  <c r="M341" i="1"/>
  <c r="L341" i="1"/>
  <c r="K341" i="1"/>
  <c r="J341" i="1"/>
  <c r="I341" i="1"/>
  <c r="G341" i="1"/>
  <c r="F341" i="1"/>
  <c r="E341" i="1"/>
  <c r="D341" i="1"/>
  <c r="R340" i="1"/>
  <c r="Q340" i="1"/>
  <c r="P340" i="1"/>
  <c r="O340" i="1"/>
  <c r="N340" i="1"/>
  <c r="M340" i="1"/>
  <c r="L340" i="1"/>
  <c r="K340" i="1"/>
  <c r="J340" i="1"/>
  <c r="I340" i="1"/>
  <c r="G340" i="1"/>
  <c r="F340" i="1"/>
  <c r="E340" i="1"/>
  <c r="D340" i="1"/>
  <c r="R339" i="1"/>
  <c r="Q339" i="1"/>
  <c r="P339" i="1"/>
  <c r="O339" i="1"/>
  <c r="N339" i="1"/>
  <c r="M339" i="1"/>
  <c r="L339" i="1"/>
  <c r="K339" i="1"/>
  <c r="J339" i="1"/>
  <c r="I339" i="1"/>
  <c r="G339" i="1"/>
  <c r="F339" i="1"/>
  <c r="E339" i="1"/>
  <c r="D339" i="1"/>
  <c r="R338" i="1"/>
  <c r="Q338" i="1"/>
  <c r="P338" i="1"/>
  <c r="O338" i="1"/>
  <c r="N338" i="1"/>
  <c r="M338" i="1"/>
  <c r="L338" i="1"/>
  <c r="K338" i="1"/>
  <c r="J338" i="1"/>
  <c r="I338" i="1"/>
  <c r="G338" i="1"/>
  <c r="F338" i="1"/>
  <c r="E338" i="1"/>
  <c r="D338" i="1"/>
  <c r="R336" i="1"/>
  <c r="Q336" i="1"/>
  <c r="P336" i="1"/>
  <c r="O336" i="1"/>
  <c r="N336" i="1"/>
  <c r="M336" i="1"/>
  <c r="L336" i="1"/>
  <c r="K336" i="1"/>
  <c r="J336" i="1"/>
  <c r="I336" i="1"/>
  <c r="G336" i="1"/>
  <c r="F336" i="1"/>
  <c r="E336" i="1"/>
  <c r="D336" i="1"/>
  <c r="R335" i="1"/>
  <c r="Q335" i="1"/>
  <c r="P335" i="1"/>
  <c r="O335" i="1"/>
  <c r="N335" i="1"/>
  <c r="M335" i="1"/>
  <c r="L335" i="1"/>
  <c r="K335" i="1"/>
  <c r="J335" i="1"/>
  <c r="I335" i="1"/>
  <c r="G335" i="1"/>
  <c r="F335" i="1"/>
  <c r="E335" i="1"/>
  <c r="D335" i="1"/>
  <c r="R334" i="1"/>
  <c r="Q334" i="1"/>
  <c r="P334" i="1"/>
  <c r="O334" i="1"/>
  <c r="N334" i="1"/>
  <c r="M334" i="1"/>
  <c r="L334" i="1"/>
  <c r="K334" i="1"/>
  <c r="J334" i="1"/>
  <c r="I334" i="1"/>
  <c r="G334" i="1"/>
  <c r="F334" i="1"/>
  <c r="E334" i="1"/>
  <c r="D334" i="1"/>
  <c r="R333" i="1"/>
  <c r="Q333" i="1"/>
  <c r="P333" i="1"/>
  <c r="O333" i="1"/>
  <c r="N333" i="1"/>
  <c r="M333" i="1"/>
  <c r="L333" i="1"/>
  <c r="K333" i="1"/>
  <c r="J333" i="1"/>
  <c r="I333" i="1"/>
  <c r="G333" i="1"/>
  <c r="F333" i="1"/>
  <c r="E333" i="1"/>
  <c r="D333" i="1"/>
  <c r="R332" i="1"/>
  <c r="Q332" i="1"/>
  <c r="P332" i="1"/>
  <c r="O332" i="1"/>
  <c r="N332" i="1"/>
  <c r="M332" i="1"/>
  <c r="L332" i="1"/>
  <c r="K332" i="1"/>
  <c r="J332" i="1"/>
  <c r="I332" i="1"/>
  <c r="G332" i="1"/>
  <c r="F332" i="1"/>
  <c r="E332" i="1"/>
  <c r="D332" i="1"/>
  <c r="R331" i="1"/>
  <c r="Q331" i="1"/>
  <c r="P331" i="1"/>
  <c r="O331" i="1"/>
  <c r="N331" i="1"/>
  <c r="M331" i="1"/>
  <c r="L331" i="1"/>
  <c r="K331" i="1"/>
  <c r="J331" i="1"/>
  <c r="I331" i="1"/>
  <c r="G331" i="1"/>
  <c r="F331" i="1"/>
  <c r="E331" i="1"/>
  <c r="D331" i="1"/>
  <c r="R330" i="1"/>
  <c r="Q330" i="1"/>
  <c r="P330" i="1"/>
  <c r="O330" i="1"/>
  <c r="N330" i="1"/>
  <c r="M330" i="1"/>
  <c r="L330" i="1"/>
  <c r="K330" i="1"/>
  <c r="J330" i="1"/>
  <c r="I330" i="1"/>
  <c r="G330" i="1"/>
  <c r="F330" i="1"/>
  <c r="E330" i="1"/>
  <c r="D330" i="1"/>
  <c r="R329" i="1"/>
  <c r="Q329" i="1"/>
  <c r="P329" i="1"/>
  <c r="O329" i="1"/>
  <c r="N329" i="1"/>
  <c r="M329" i="1"/>
  <c r="L329" i="1"/>
  <c r="K329" i="1"/>
  <c r="J329" i="1"/>
  <c r="I329" i="1"/>
  <c r="G329" i="1"/>
  <c r="F329" i="1"/>
  <c r="E329" i="1"/>
  <c r="D329" i="1"/>
  <c r="R328" i="1"/>
  <c r="Q328" i="1"/>
  <c r="P328" i="1"/>
  <c r="O328" i="1"/>
  <c r="N328" i="1"/>
  <c r="M328" i="1"/>
  <c r="L328" i="1"/>
  <c r="K328" i="1"/>
  <c r="J328" i="1"/>
  <c r="I328" i="1"/>
  <c r="G328" i="1"/>
  <c r="F328" i="1"/>
  <c r="E328" i="1"/>
  <c r="D328" i="1"/>
  <c r="R327" i="1"/>
  <c r="Q327" i="1"/>
  <c r="P327" i="1"/>
  <c r="O327" i="1"/>
  <c r="N327" i="1"/>
  <c r="M327" i="1"/>
  <c r="L327" i="1"/>
  <c r="K327" i="1"/>
  <c r="J327" i="1"/>
  <c r="I327" i="1"/>
  <c r="G327" i="1"/>
  <c r="F327" i="1"/>
  <c r="E327" i="1"/>
  <c r="D327" i="1"/>
  <c r="R326" i="1"/>
  <c r="Q326" i="1"/>
  <c r="P326" i="1"/>
  <c r="O326" i="1"/>
  <c r="N326" i="1"/>
  <c r="M326" i="1"/>
  <c r="L326" i="1"/>
  <c r="K326" i="1"/>
  <c r="J326" i="1"/>
  <c r="I326" i="1"/>
  <c r="G326" i="1"/>
  <c r="F326" i="1"/>
  <c r="E326" i="1"/>
  <c r="D326" i="1"/>
  <c r="R325" i="1"/>
  <c r="Q325" i="1"/>
  <c r="P325" i="1"/>
  <c r="O325" i="1"/>
  <c r="N325" i="1"/>
  <c r="M325" i="1"/>
  <c r="L325" i="1"/>
  <c r="K325" i="1"/>
  <c r="J325" i="1"/>
  <c r="I325" i="1"/>
  <c r="G325" i="1"/>
  <c r="F325" i="1"/>
  <c r="E325" i="1"/>
  <c r="D325" i="1"/>
  <c r="R324" i="1"/>
  <c r="Q324" i="1"/>
  <c r="P324" i="1"/>
  <c r="O324" i="1"/>
  <c r="N324" i="1"/>
  <c r="M324" i="1"/>
  <c r="L324" i="1"/>
  <c r="K324" i="1"/>
  <c r="J324" i="1"/>
  <c r="I324" i="1"/>
  <c r="G324" i="1"/>
  <c r="F324" i="1"/>
  <c r="E324" i="1"/>
  <c r="D324" i="1"/>
  <c r="R323" i="1"/>
  <c r="P323" i="1" s="1"/>
  <c r="Q323" i="1"/>
  <c r="O323" i="1"/>
  <c r="N323" i="1"/>
  <c r="M323" i="1"/>
  <c r="L323" i="1"/>
  <c r="K323" i="1"/>
  <c r="J323" i="1"/>
  <c r="I323" i="1"/>
  <c r="G323" i="1"/>
  <c r="F323" i="1"/>
  <c r="E323" i="1"/>
  <c r="D323" i="1"/>
  <c r="R322" i="1"/>
  <c r="P322" i="1" s="1"/>
  <c r="Q322" i="1"/>
  <c r="O322" i="1"/>
  <c r="N322" i="1"/>
  <c r="M322" i="1"/>
  <c r="L322" i="1"/>
  <c r="K322" i="1"/>
  <c r="J322" i="1"/>
  <c r="I322" i="1"/>
  <c r="G322" i="1"/>
  <c r="F322" i="1"/>
  <c r="E322" i="1"/>
  <c r="D322" i="1"/>
  <c r="R321" i="1"/>
  <c r="Q321" i="1"/>
  <c r="P321" i="1"/>
  <c r="O321" i="1"/>
  <c r="N321" i="1"/>
  <c r="M321" i="1"/>
  <c r="L321" i="1"/>
  <c r="K321" i="1"/>
  <c r="J321" i="1"/>
  <c r="I321" i="1"/>
  <c r="G321" i="1"/>
  <c r="F321" i="1"/>
  <c r="E321" i="1"/>
  <c r="D321" i="1"/>
  <c r="R320" i="1"/>
  <c r="P320" i="1" s="1"/>
  <c r="Q320" i="1"/>
  <c r="O320" i="1"/>
  <c r="N320" i="1"/>
  <c r="M320" i="1"/>
  <c r="L320" i="1"/>
  <c r="K320" i="1"/>
  <c r="J320" i="1"/>
  <c r="I320" i="1"/>
  <c r="G320" i="1"/>
  <c r="F320" i="1"/>
  <c r="E320" i="1"/>
  <c r="D320" i="1"/>
  <c r="R319" i="1"/>
  <c r="Q319" i="1"/>
  <c r="P319" i="1"/>
  <c r="O319" i="1"/>
  <c r="N319" i="1"/>
  <c r="M319" i="1"/>
  <c r="L319" i="1"/>
  <c r="K319" i="1"/>
  <c r="J319" i="1"/>
  <c r="I319" i="1"/>
  <c r="G319" i="1"/>
  <c r="F319" i="1"/>
  <c r="E319" i="1"/>
  <c r="D319" i="1"/>
  <c r="R318" i="1"/>
  <c r="Q318" i="1"/>
  <c r="P318" i="1"/>
  <c r="O318" i="1"/>
  <c r="N318" i="1"/>
  <c r="M318" i="1"/>
  <c r="L318" i="1"/>
  <c r="K318" i="1"/>
  <c r="J318" i="1"/>
  <c r="I318" i="1"/>
  <c r="G318" i="1"/>
  <c r="F318" i="1"/>
  <c r="E318" i="1"/>
  <c r="D318" i="1"/>
  <c r="R317" i="1"/>
  <c r="P317" i="1" s="1"/>
  <c r="Q317" i="1"/>
  <c r="O317" i="1"/>
  <c r="N317" i="1"/>
  <c r="M317" i="1"/>
  <c r="L317" i="1"/>
  <c r="K317" i="1"/>
  <c r="J317" i="1"/>
  <c r="I317" i="1"/>
  <c r="G317" i="1"/>
  <c r="F317" i="1"/>
  <c r="E317" i="1"/>
  <c r="D317" i="1"/>
  <c r="R316" i="1"/>
  <c r="Q316" i="1"/>
  <c r="P316" i="1"/>
  <c r="O316" i="1"/>
  <c r="N316" i="1"/>
  <c r="M316" i="1"/>
  <c r="L316" i="1"/>
  <c r="K316" i="1"/>
  <c r="J316" i="1"/>
  <c r="I316" i="1"/>
  <c r="G316" i="1"/>
  <c r="F316" i="1"/>
  <c r="E316" i="1"/>
  <c r="D316" i="1"/>
  <c r="R315" i="1"/>
  <c r="Q315" i="1"/>
  <c r="P315" i="1"/>
  <c r="O315" i="1"/>
  <c r="N315" i="1"/>
  <c r="M315" i="1"/>
  <c r="L315" i="1"/>
  <c r="K315" i="1"/>
  <c r="J315" i="1"/>
  <c r="I315" i="1"/>
  <c r="G315" i="1"/>
  <c r="F315" i="1"/>
  <c r="E315" i="1"/>
  <c r="D315" i="1"/>
  <c r="R314" i="1"/>
  <c r="O314" i="1" s="1"/>
  <c r="Q314" i="1"/>
  <c r="P314" i="1"/>
  <c r="N314" i="1"/>
  <c r="M314" i="1"/>
  <c r="L314" i="1"/>
  <c r="K314" i="1"/>
  <c r="J314" i="1"/>
  <c r="I314" i="1"/>
  <c r="G314" i="1"/>
  <c r="F314" i="1"/>
  <c r="E314" i="1"/>
  <c r="D314" i="1"/>
  <c r="R313" i="1"/>
  <c r="Q313" i="1"/>
  <c r="P313" i="1"/>
  <c r="O313" i="1"/>
  <c r="N313" i="1"/>
  <c r="M313" i="1"/>
  <c r="L313" i="1"/>
  <c r="K313" i="1"/>
  <c r="J313" i="1"/>
  <c r="I313" i="1"/>
  <c r="G313" i="1"/>
  <c r="F313" i="1"/>
  <c r="E313" i="1"/>
  <c r="D313" i="1"/>
  <c r="R312" i="1"/>
  <c r="Q312" i="1"/>
  <c r="P312" i="1"/>
  <c r="O312" i="1"/>
  <c r="N312" i="1"/>
  <c r="M312" i="1"/>
  <c r="L312" i="1"/>
  <c r="K312" i="1"/>
  <c r="J312" i="1"/>
  <c r="I312" i="1"/>
  <c r="G312" i="1"/>
  <c r="F312" i="1"/>
  <c r="E312" i="1"/>
  <c r="D312" i="1"/>
  <c r="R311" i="1"/>
  <c r="Q311" i="1"/>
  <c r="P311" i="1"/>
  <c r="O311" i="1"/>
  <c r="N311" i="1"/>
  <c r="M311" i="1"/>
  <c r="L311" i="1"/>
  <c r="K311" i="1"/>
  <c r="J311" i="1"/>
  <c r="I311" i="1"/>
  <c r="G311" i="1"/>
  <c r="F311" i="1"/>
  <c r="E311" i="1"/>
  <c r="D311" i="1"/>
  <c r="R310" i="1"/>
  <c r="P310" i="1" s="1"/>
  <c r="Q310" i="1"/>
  <c r="O310" i="1"/>
  <c r="N310" i="1"/>
  <c r="M310" i="1"/>
  <c r="L310" i="1"/>
  <c r="K310" i="1"/>
  <c r="J310" i="1"/>
  <c r="I310" i="1"/>
  <c r="G310" i="1"/>
  <c r="F310" i="1"/>
  <c r="E310" i="1"/>
  <c r="D310" i="1"/>
  <c r="R309" i="1"/>
  <c r="P309" i="1" s="1"/>
  <c r="Q309" i="1"/>
  <c r="O309" i="1"/>
  <c r="N309" i="1"/>
  <c r="M309" i="1"/>
  <c r="L309" i="1"/>
  <c r="K309" i="1"/>
  <c r="J309" i="1"/>
  <c r="I309" i="1"/>
  <c r="G309" i="1"/>
  <c r="F309" i="1"/>
  <c r="E309" i="1"/>
  <c r="D309" i="1"/>
  <c r="R308" i="1"/>
  <c r="Q308" i="1"/>
  <c r="P308" i="1"/>
  <c r="O308" i="1"/>
  <c r="N308" i="1"/>
  <c r="M308" i="1"/>
  <c r="L308" i="1"/>
  <c r="K308" i="1"/>
  <c r="J308" i="1"/>
  <c r="I308" i="1"/>
  <c r="G308" i="1"/>
  <c r="F308" i="1"/>
  <c r="E308" i="1"/>
  <c r="D308" i="1"/>
  <c r="R307" i="1"/>
  <c r="Q307" i="1"/>
  <c r="P307" i="1"/>
  <c r="O307" i="1"/>
  <c r="N307" i="1"/>
  <c r="M307" i="1"/>
  <c r="L307" i="1"/>
  <c r="K307" i="1"/>
  <c r="J307" i="1"/>
  <c r="I307" i="1"/>
  <c r="G307" i="1"/>
  <c r="F307" i="1"/>
  <c r="E307" i="1"/>
  <c r="D307" i="1"/>
  <c r="R306" i="1"/>
  <c r="Q306" i="1"/>
  <c r="P306" i="1"/>
  <c r="O306" i="1"/>
  <c r="N306" i="1"/>
  <c r="M306" i="1"/>
  <c r="L306" i="1"/>
  <c r="K306" i="1"/>
  <c r="J306" i="1"/>
  <c r="I306" i="1"/>
  <c r="G306" i="1"/>
  <c r="F306" i="1"/>
  <c r="E306" i="1"/>
  <c r="D306" i="1"/>
  <c r="R305" i="1"/>
  <c r="Q305" i="1"/>
  <c r="P305" i="1"/>
  <c r="O305" i="1"/>
  <c r="N305" i="1"/>
  <c r="M305" i="1"/>
  <c r="L305" i="1"/>
  <c r="K305" i="1"/>
  <c r="J305" i="1"/>
  <c r="I305" i="1"/>
  <c r="G305" i="1"/>
  <c r="F305" i="1"/>
  <c r="E305" i="1"/>
  <c r="D305" i="1"/>
  <c r="R304" i="1"/>
  <c r="Q304" i="1"/>
  <c r="P304" i="1"/>
  <c r="O304" i="1"/>
  <c r="N304" i="1"/>
  <c r="M304" i="1"/>
  <c r="L304" i="1"/>
  <c r="K304" i="1"/>
  <c r="J304" i="1"/>
  <c r="I304" i="1"/>
  <c r="G304" i="1"/>
  <c r="F304" i="1"/>
  <c r="E304" i="1"/>
  <c r="D304" i="1"/>
  <c r="R302" i="1"/>
  <c r="Q302" i="1"/>
  <c r="P302" i="1"/>
  <c r="O302" i="1"/>
  <c r="N302" i="1"/>
  <c r="M302" i="1"/>
  <c r="L302" i="1"/>
  <c r="K302" i="1"/>
  <c r="J302" i="1"/>
  <c r="I302" i="1"/>
  <c r="G302" i="1"/>
  <c r="F302" i="1"/>
  <c r="E302" i="1"/>
  <c r="D302" i="1"/>
  <c r="R301" i="1"/>
  <c r="Q301" i="1"/>
  <c r="P301" i="1"/>
  <c r="O301" i="1"/>
  <c r="N301" i="1"/>
  <c r="M301" i="1"/>
  <c r="L301" i="1"/>
  <c r="K301" i="1"/>
  <c r="J301" i="1"/>
  <c r="I301" i="1"/>
  <c r="G301" i="1"/>
  <c r="F301" i="1"/>
  <c r="E301" i="1"/>
  <c r="D301" i="1"/>
  <c r="R300" i="1"/>
  <c r="Q300" i="1"/>
  <c r="P300" i="1"/>
  <c r="O300" i="1"/>
  <c r="N300" i="1"/>
  <c r="M300" i="1"/>
  <c r="L300" i="1"/>
  <c r="K300" i="1"/>
  <c r="J300" i="1"/>
  <c r="I300" i="1"/>
  <c r="G300" i="1"/>
  <c r="F300" i="1"/>
  <c r="E300" i="1"/>
  <c r="D300" i="1"/>
  <c r="R299" i="1"/>
  <c r="Q299" i="1"/>
  <c r="P299" i="1"/>
  <c r="O299" i="1"/>
  <c r="N299" i="1"/>
  <c r="M299" i="1"/>
  <c r="L299" i="1"/>
  <c r="K299" i="1"/>
  <c r="J299" i="1"/>
  <c r="I299" i="1"/>
  <c r="G299" i="1"/>
  <c r="F299" i="1"/>
  <c r="E299" i="1"/>
  <c r="D299" i="1"/>
  <c r="R298" i="1"/>
  <c r="Q298" i="1"/>
  <c r="P298" i="1"/>
  <c r="O298" i="1"/>
  <c r="N298" i="1"/>
  <c r="M298" i="1"/>
  <c r="L298" i="1"/>
  <c r="K298" i="1"/>
  <c r="J298" i="1"/>
  <c r="I298" i="1"/>
  <c r="G298" i="1"/>
  <c r="F298" i="1"/>
  <c r="E298" i="1"/>
  <c r="D298" i="1"/>
  <c r="R297" i="1"/>
  <c r="Q297" i="1"/>
  <c r="P297" i="1"/>
  <c r="O297" i="1"/>
  <c r="N297" i="1"/>
  <c r="M297" i="1"/>
  <c r="L297" i="1"/>
  <c r="K297" i="1"/>
  <c r="J297" i="1"/>
  <c r="I297" i="1"/>
  <c r="G297" i="1"/>
  <c r="F297" i="1"/>
  <c r="E297" i="1"/>
  <c r="D297" i="1"/>
  <c r="R296" i="1"/>
  <c r="Q296" i="1"/>
  <c r="P296" i="1"/>
  <c r="O296" i="1"/>
  <c r="N296" i="1"/>
  <c r="M296" i="1"/>
  <c r="L296" i="1"/>
  <c r="K296" i="1"/>
  <c r="J296" i="1"/>
  <c r="I296" i="1"/>
  <c r="G296" i="1"/>
  <c r="F296" i="1"/>
  <c r="E296" i="1"/>
  <c r="D296" i="1"/>
  <c r="R295" i="1"/>
  <c r="Q295" i="1"/>
  <c r="P295" i="1"/>
  <c r="O295" i="1"/>
  <c r="N295" i="1"/>
  <c r="M295" i="1"/>
  <c r="L295" i="1"/>
  <c r="K295" i="1"/>
  <c r="J295" i="1"/>
  <c r="I295" i="1"/>
  <c r="G295" i="1"/>
  <c r="F295" i="1"/>
  <c r="E295" i="1"/>
  <c r="D295" i="1"/>
  <c r="R294" i="1"/>
  <c r="Q294" i="1"/>
  <c r="P294" i="1"/>
  <c r="O294" i="1"/>
  <c r="N294" i="1"/>
  <c r="M294" i="1"/>
  <c r="L294" i="1"/>
  <c r="K294" i="1"/>
  <c r="J294" i="1"/>
  <c r="I294" i="1"/>
  <c r="G294" i="1"/>
  <c r="F294" i="1"/>
  <c r="E294" i="1"/>
  <c r="D294" i="1"/>
  <c r="R293" i="1"/>
  <c r="Q293" i="1"/>
  <c r="P293" i="1"/>
  <c r="O293" i="1"/>
  <c r="N293" i="1"/>
  <c r="M293" i="1"/>
  <c r="L293" i="1"/>
  <c r="K293" i="1"/>
  <c r="J293" i="1"/>
  <c r="I293" i="1"/>
  <c r="G293" i="1"/>
  <c r="F293" i="1"/>
  <c r="E293" i="1"/>
  <c r="D293" i="1"/>
  <c r="R292" i="1"/>
  <c r="Q292" i="1"/>
  <c r="P292" i="1"/>
  <c r="O292" i="1"/>
  <c r="N292" i="1"/>
  <c r="M292" i="1"/>
  <c r="L292" i="1"/>
  <c r="K292" i="1"/>
  <c r="J292" i="1"/>
  <c r="I292" i="1"/>
  <c r="G292" i="1"/>
  <c r="F292" i="1"/>
  <c r="E292" i="1"/>
  <c r="D292" i="1"/>
  <c r="R291" i="1"/>
  <c r="Q291" i="1"/>
  <c r="P291" i="1"/>
  <c r="O291" i="1"/>
  <c r="N291" i="1"/>
  <c r="M291" i="1"/>
  <c r="L291" i="1"/>
  <c r="K291" i="1"/>
  <c r="J291" i="1"/>
  <c r="I291" i="1"/>
  <c r="G291" i="1"/>
  <c r="F291" i="1"/>
  <c r="E291" i="1"/>
  <c r="D291" i="1"/>
  <c r="R290" i="1"/>
  <c r="Q290" i="1" s="1"/>
  <c r="P290" i="1"/>
  <c r="O290" i="1"/>
  <c r="N290" i="1"/>
  <c r="M290" i="1"/>
  <c r="L290" i="1"/>
  <c r="K290" i="1"/>
  <c r="J290" i="1"/>
  <c r="I290" i="1"/>
  <c r="G290" i="1"/>
  <c r="F290" i="1"/>
  <c r="E290" i="1"/>
  <c r="D290" i="1"/>
  <c r="R289" i="1"/>
  <c r="Q289" i="1" s="1"/>
  <c r="P289" i="1"/>
  <c r="O289" i="1"/>
  <c r="N289" i="1"/>
  <c r="M289" i="1"/>
  <c r="L289" i="1"/>
  <c r="K289" i="1"/>
  <c r="J289" i="1"/>
  <c r="I289" i="1"/>
  <c r="G289" i="1"/>
  <c r="F289" i="1"/>
  <c r="E289" i="1"/>
  <c r="D289" i="1"/>
  <c r="R288" i="1"/>
  <c r="Q288" i="1"/>
  <c r="P288" i="1"/>
  <c r="O288" i="1"/>
  <c r="N288" i="1"/>
  <c r="M288" i="1"/>
  <c r="L288" i="1"/>
  <c r="K288" i="1"/>
  <c r="J288" i="1"/>
  <c r="I288" i="1"/>
  <c r="G288" i="1"/>
  <c r="F288" i="1"/>
  <c r="E288" i="1"/>
  <c r="D288" i="1"/>
  <c r="R287" i="1"/>
  <c r="Q287" i="1" s="1"/>
  <c r="P287" i="1"/>
  <c r="O287" i="1"/>
  <c r="N287" i="1"/>
  <c r="M287" i="1"/>
  <c r="L287" i="1"/>
  <c r="K287" i="1"/>
  <c r="J287" i="1"/>
  <c r="I287" i="1"/>
  <c r="G287" i="1"/>
  <c r="F287" i="1"/>
  <c r="E287" i="1"/>
  <c r="D287" i="1"/>
  <c r="R286" i="1"/>
  <c r="Q286" i="1"/>
  <c r="P286" i="1"/>
  <c r="O286" i="1"/>
  <c r="N286" i="1"/>
  <c r="M286" i="1"/>
  <c r="L286" i="1"/>
  <c r="K286" i="1"/>
  <c r="J286" i="1"/>
  <c r="I286" i="1"/>
  <c r="G286" i="1"/>
  <c r="F286" i="1"/>
  <c r="E286" i="1"/>
  <c r="D286" i="1"/>
  <c r="R285" i="1"/>
  <c r="Q285" i="1"/>
  <c r="P285" i="1"/>
  <c r="O285" i="1"/>
  <c r="N285" i="1"/>
  <c r="M285" i="1"/>
  <c r="L285" i="1"/>
  <c r="K285" i="1"/>
  <c r="J285" i="1"/>
  <c r="I285" i="1"/>
  <c r="G285" i="1"/>
  <c r="F285" i="1"/>
  <c r="E285" i="1"/>
  <c r="D285" i="1"/>
  <c r="R284" i="1"/>
  <c r="Q284" i="1" s="1"/>
  <c r="P284" i="1"/>
  <c r="O284" i="1"/>
  <c r="N284" i="1"/>
  <c r="M284" i="1"/>
  <c r="L284" i="1"/>
  <c r="K284" i="1"/>
  <c r="J284" i="1"/>
  <c r="I284" i="1"/>
  <c r="G284" i="1"/>
  <c r="F284" i="1"/>
  <c r="E284" i="1"/>
  <c r="D284" i="1"/>
  <c r="R283" i="1"/>
  <c r="Q283" i="1"/>
  <c r="P283" i="1"/>
  <c r="O283" i="1"/>
  <c r="N283" i="1"/>
  <c r="M283" i="1"/>
  <c r="L283" i="1"/>
  <c r="K283" i="1"/>
  <c r="J283" i="1"/>
  <c r="I283" i="1"/>
  <c r="G283" i="1"/>
  <c r="F283" i="1"/>
  <c r="E283" i="1"/>
  <c r="D283" i="1"/>
  <c r="R282" i="1"/>
  <c r="Q282" i="1"/>
  <c r="P282" i="1"/>
  <c r="O282" i="1"/>
  <c r="N282" i="1"/>
  <c r="M282" i="1"/>
  <c r="L282" i="1"/>
  <c r="K282" i="1"/>
  <c r="J282" i="1"/>
  <c r="I282" i="1"/>
  <c r="G282" i="1"/>
  <c r="F282" i="1"/>
  <c r="E282" i="1"/>
  <c r="D282" i="1"/>
  <c r="R281" i="1"/>
  <c r="O281" i="1" s="1"/>
  <c r="Q281" i="1"/>
  <c r="P281" i="1"/>
  <c r="N281" i="1"/>
  <c r="M281" i="1"/>
  <c r="L281" i="1"/>
  <c r="K281" i="1"/>
  <c r="J281" i="1"/>
  <c r="I281" i="1"/>
  <c r="G281" i="1"/>
  <c r="F281" i="1"/>
  <c r="E281" i="1"/>
  <c r="D281" i="1"/>
  <c r="R280" i="1"/>
  <c r="Q280" i="1"/>
  <c r="P280" i="1"/>
  <c r="O280" i="1"/>
  <c r="N280" i="1"/>
  <c r="M280" i="1"/>
  <c r="L280" i="1"/>
  <c r="K280" i="1"/>
  <c r="J280" i="1"/>
  <c r="I280" i="1"/>
  <c r="G280" i="1"/>
  <c r="F280" i="1"/>
  <c r="E280" i="1"/>
  <c r="D280" i="1"/>
  <c r="R279" i="1"/>
  <c r="Q279" i="1"/>
  <c r="P279" i="1"/>
  <c r="O279" i="1"/>
  <c r="N279" i="1"/>
  <c r="M279" i="1"/>
  <c r="L279" i="1"/>
  <c r="K279" i="1"/>
  <c r="J279" i="1"/>
  <c r="I279" i="1"/>
  <c r="G279" i="1"/>
  <c r="F279" i="1"/>
  <c r="E279" i="1"/>
  <c r="D279" i="1"/>
  <c r="R278" i="1"/>
  <c r="Q278" i="1"/>
  <c r="P278" i="1"/>
  <c r="O278" i="1"/>
  <c r="N278" i="1"/>
  <c r="M278" i="1"/>
  <c r="L278" i="1"/>
  <c r="K278" i="1"/>
  <c r="J278" i="1"/>
  <c r="I278" i="1"/>
  <c r="G278" i="1"/>
  <c r="F278" i="1"/>
  <c r="E278" i="1"/>
  <c r="D278" i="1"/>
  <c r="R277" i="1"/>
  <c r="Q277" i="1" s="1"/>
  <c r="P277" i="1"/>
  <c r="O277" i="1"/>
  <c r="N277" i="1"/>
  <c r="M277" i="1"/>
  <c r="L277" i="1"/>
  <c r="K277" i="1"/>
  <c r="J277" i="1"/>
  <c r="I277" i="1"/>
  <c r="G277" i="1"/>
  <c r="F277" i="1"/>
  <c r="E277" i="1"/>
  <c r="D277" i="1"/>
  <c r="R276" i="1"/>
  <c r="Q276" i="1" s="1"/>
  <c r="P276" i="1"/>
  <c r="O276" i="1"/>
  <c r="N276" i="1"/>
  <c r="M276" i="1"/>
  <c r="L276" i="1"/>
  <c r="K276" i="1"/>
  <c r="J276" i="1"/>
  <c r="I276" i="1"/>
  <c r="G276" i="1"/>
  <c r="F276" i="1"/>
  <c r="E276" i="1"/>
  <c r="D276" i="1"/>
  <c r="R275" i="1"/>
  <c r="Q275" i="1"/>
  <c r="P275" i="1"/>
  <c r="O275" i="1"/>
  <c r="N275" i="1"/>
  <c r="M275" i="1"/>
  <c r="L275" i="1"/>
  <c r="K275" i="1"/>
  <c r="J275" i="1"/>
  <c r="I275" i="1"/>
  <c r="G275" i="1"/>
  <c r="F275" i="1"/>
  <c r="E275" i="1"/>
  <c r="D275" i="1"/>
  <c r="R274" i="1"/>
  <c r="Q274" i="1"/>
  <c r="P274" i="1"/>
  <c r="O274" i="1"/>
  <c r="N274" i="1"/>
  <c r="M274" i="1"/>
  <c r="L274" i="1"/>
  <c r="K274" i="1"/>
  <c r="J274" i="1"/>
  <c r="I274" i="1"/>
  <c r="G274" i="1"/>
  <c r="F274" i="1"/>
  <c r="E274" i="1"/>
  <c r="D274" i="1"/>
  <c r="R273" i="1"/>
  <c r="Q273" i="1"/>
  <c r="P273" i="1"/>
  <c r="O273" i="1"/>
  <c r="N273" i="1"/>
  <c r="M273" i="1"/>
  <c r="L273" i="1"/>
  <c r="K273" i="1"/>
  <c r="J273" i="1"/>
  <c r="I273" i="1"/>
  <c r="G273" i="1"/>
  <c r="F273" i="1"/>
  <c r="E273" i="1"/>
  <c r="D273" i="1"/>
  <c r="R272" i="1"/>
  <c r="Q272" i="1"/>
  <c r="P272" i="1"/>
  <c r="O272" i="1"/>
  <c r="N272" i="1"/>
  <c r="M272" i="1"/>
  <c r="L272" i="1"/>
  <c r="K272" i="1"/>
  <c r="J272" i="1"/>
  <c r="I272" i="1"/>
  <c r="G272" i="1"/>
  <c r="F272" i="1"/>
  <c r="E272" i="1"/>
  <c r="D272" i="1"/>
  <c r="R271" i="1"/>
  <c r="Q271" i="1"/>
  <c r="P271" i="1"/>
  <c r="O271" i="1"/>
  <c r="N271" i="1"/>
  <c r="M271" i="1"/>
  <c r="L271" i="1"/>
  <c r="K271" i="1"/>
  <c r="J271" i="1"/>
  <c r="I271" i="1"/>
  <c r="G271" i="1"/>
  <c r="F271" i="1"/>
  <c r="E271" i="1"/>
  <c r="D271" i="1"/>
  <c r="R269" i="1"/>
  <c r="Q269" i="1"/>
  <c r="P269" i="1"/>
  <c r="O269" i="1"/>
  <c r="N269" i="1"/>
  <c r="M269" i="1"/>
  <c r="L269" i="1"/>
  <c r="K269" i="1"/>
  <c r="J269" i="1"/>
  <c r="I269" i="1"/>
  <c r="G269" i="1"/>
  <c r="F269" i="1"/>
  <c r="E269" i="1"/>
  <c r="D269" i="1"/>
  <c r="R268" i="1"/>
  <c r="Q268" i="1"/>
  <c r="P268" i="1"/>
  <c r="O268" i="1"/>
  <c r="N268" i="1"/>
  <c r="M268" i="1"/>
  <c r="L268" i="1"/>
  <c r="K268" i="1"/>
  <c r="J268" i="1"/>
  <c r="I268" i="1"/>
  <c r="G268" i="1"/>
  <c r="F268" i="1"/>
  <c r="E268" i="1"/>
  <c r="D268" i="1"/>
  <c r="R267" i="1"/>
  <c r="Q267" i="1"/>
  <c r="P267" i="1"/>
  <c r="O267" i="1"/>
  <c r="N267" i="1"/>
  <c r="M267" i="1"/>
  <c r="L267" i="1"/>
  <c r="K267" i="1"/>
  <c r="J267" i="1"/>
  <c r="I267" i="1"/>
  <c r="G267" i="1"/>
  <c r="F267" i="1"/>
  <c r="E267" i="1"/>
  <c r="D267" i="1"/>
  <c r="R266" i="1"/>
  <c r="Q266" i="1"/>
  <c r="P266" i="1"/>
  <c r="O266" i="1"/>
  <c r="N266" i="1"/>
  <c r="M266" i="1"/>
  <c r="L266" i="1"/>
  <c r="K266" i="1"/>
  <c r="J266" i="1"/>
  <c r="I266" i="1"/>
  <c r="G266" i="1"/>
  <c r="F266" i="1"/>
  <c r="E266" i="1"/>
  <c r="D266" i="1"/>
  <c r="R265" i="1"/>
  <c r="Q265" i="1"/>
  <c r="P265" i="1"/>
  <c r="O265" i="1"/>
  <c r="N265" i="1"/>
  <c r="M265" i="1"/>
  <c r="L265" i="1"/>
  <c r="K265" i="1"/>
  <c r="J265" i="1"/>
  <c r="I265" i="1"/>
  <c r="G265" i="1"/>
  <c r="F265" i="1"/>
  <c r="E265" i="1"/>
  <c r="D265" i="1"/>
  <c r="R264" i="1"/>
  <c r="Q264" i="1"/>
  <c r="P264" i="1"/>
  <c r="O264" i="1"/>
  <c r="N264" i="1"/>
  <c r="M264" i="1"/>
  <c r="L264" i="1"/>
  <c r="K264" i="1"/>
  <c r="J264" i="1"/>
  <c r="I264" i="1"/>
  <c r="G264" i="1"/>
  <c r="F264" i="1"/>
  <c r="E264" i="1"/>
  <c r="D264" i="1"/>
  <c r="R263" i="1"/>
  <c r="Q263" i="1"/>
  <c r="P263" i="1"/>
  <c r="O263" i="1"/>
  <c r="N263" i="1"/>
  <c r="M263" i="1"/>
  <c r="L263" i="1"/>
  <c r="K263" i="1"/>
  <c r="J263" i="1"/>
  <c r="I263" i="1"/>
  <c r="G263" i="1"/>
  <c r="F263" i="1"/>
  <c r="E263" i="1"/>
  <c r="D263" i="1"/>
  <c r="R262" i="1"/>
  <c r="Q262" i="1"/>
  <c r="P262" i="1"/>
  <c r="O262" i="1"/>
  <c r="N262" i="1"/>
  <c r="M262" i="1"/>
  <c r="L262" i="1"/>
  <c r="K262" i="1"/>
  <c r="J262" i="1"/>
  <c r="I262" i="1"/>
  <c r="G262" i="1"/>
  <c r="F262" i="1"/>
  <c r="E262" i="1"/>
  <c r="D262" i="1"/>
  <c r="R261" i="1"/>
  <c r="Q261" i="1"/>
  <c r="P261" i="1"/>
  <c r="O261" i="1"/>
  <c r="N261" i="1"/>
  <c r="M261" i="1"/>
  <c r="L261" i="1"/>
  <c r="K261" i="1"/>
  <c r="J261" i="1"/>
  <c r="I261" i="1"/>
  <c r="G261" i="1"/>
  <c r="F261" i="1"/>
  <c r="E261" i="1"/>
  <c r="D261" i="1"/>
  <c r="R260" i="1"/>
  <c r="Q260" i="1"/>
  <c r="P260" i="1"/>
  <c r="O260" i="1"/>
  <c r="N260" i="1"/>
  <c r="M260" i="1"/>
  <c r="L260" i="1"/>
  <c r="K260" i="1"/>
  <c r="J260" i="1"/>
  <c r="I260" i="1"/>
  <c r="G260" i="1"/>
  <c r="F260" i="1"/>
  <c r="E260" i="1"/>
  <c r="D260" i="1"/>
  <c r="R259" i="1"/>
  <c r="Q259" i="1"/>
  <c r="P259" i="1"/>
  <c r="O259" i="1"/>
  <c r="N259" i="1"/>
  <c r="M259" i="1"/>
  <c r="L259" i="1"/>
  <c r="K259" i="1"/>
  <c r="J259" i="1"/>
  <c r="I259" i="1"/>
  <c r="G259" i="1"/>
  <c r="F259" i="1"/>
  <c r="E259" i="1"/>
  <c r="D259" i="1"/>
  <c r="R258" i="1"/>
  <c r="Q258" i="1"/>
  <c r="P258" i="1"/>
  <c r="O258" i="1"/>
  <c r="N258" i="1"/>
  <c r="M258" i="1"/>
  <c r="L258" i="1"/>
  <c r="K258" i="1"/>
  <c r="J258" i="1"/>
  <c r="I258" i="1"/>
  <c r="G258" i="1"/>
  <c r="F258" i="1"/>
  <c r="E258" i="1"/>
  <c r="D258" i="1"/>
  <c r="R257" i="1"/>
  <c r="Q257" i="1"/>
  <c r="P257" i="1"/>
  <c r="O257" i="1"/>
  <c r="N257" i="1"/>
  <c r="M257" i="1"/>
  <c r="L257" i="1"/>
  <c r="K257" i="1"/>
  <c r="J257" i="1"/>
  <c r="I257" i="1"/>
  <c r="G257" i="1"/>
  <c r="F257" i="1"/>
  <c r="E257" i="1"/>
  <c r="D257" i="1"/>
  <c r="R256" i="1"/>
  <c r="Q256" i="1" s="1"/>
  <c r="P256" i="1"/>
  <c r="O256" i="1"/>
  <c r="N256" i="1"/>
  <c r="M256" i="1"/>
  <c r="L256" i="1"/>
  <c r="K256" i="1"/>
  <c r="J256" i="1"/>
  <c r="I256" i="1"/>
  <c r="G256" i="1"/>
  <c r="F256" i="1"/>
  <c r="E256" i="1"/>
  <c r="D256" i="1"/>
  <c r="R255" i="1"/>
  <c r="Q255" i="1" s="1"/>
  <c r="P255" i="1"/>
  <c r="O255" i="1"/>
  <c r="N255" i="1"/>
  <c r="M255" i="1"/>
  <c r="L255" i="1"/>
  <c r="K255" i="1"/>
  <c r="J255" i="1"/>
  <c r="I255" i="1"/>
  <c r="G255" i="1"/>
  <c r="F255" i="1"/>
  <c r="E255" i="1"/>
  <c r="D255" i="1"/>
  <c r="R254" i="1"/>
  <c r="Q254" i="1"/>
  <c r="P254" i="1"/>
  <c r="O254" i="1"/>
  <c r="N254" i="1"/>
  <c r="M254" i="1"/>
  <c r="L254" i="1"/>
  <c r="K254" i="1"/>
  <c r="J254" i="1"/>
  <c r="I254" i="1"/>
  <c r="G254" i="1"/>
  <c r="F254" i="1"/>
  <c r="E254" i="1"/>
  <c r="D254" i="1"/>
  <c r="R253" i="1"/>
  <c r="Q253" i="1" s="1"/>
  <c r="P253" i="1"/>
  <c r="O253" i="1"/>
  <c r="N253" i="1"/>
  <c r="M253" i="1"/>
  <c r="L253" i="1"/>
  <c r="K253" i="1"/>
  <c r="J253" i="1"/>
  <c r="I253" i="1"/>
  <c r="G253" i="1"/>
  <c r="F253" i="1"/>
  <c r="E253" i="1"/>
  <c r="D253" i="1"/>
  <c r="R252" i="1"/>
  <c r="Q252" i="1"/>
  <c r="P252" i="1"/>
  <c r="O252" i="1"/>
  <c r="N252" i="1"/>
  <c r="M252" i="1"/>
  <c r="L252" i="1"/>
  <c r="K252" i="1"/>
  <c r="J252" i="1"/>
  <c r="I252" i="1"/>
  <c r="G252" i="1"/>
  <c r="F252" i="1"/>
  <c r="E252" i="1"/>
  <c r="D252" i="1"/>
  <c r="R251" i="1"/>
  <c r="Q251" i="1" s="1"/>
  <c r="P251" i="1"/>
  <c r="O251" i="1"/>
  <c r="N251" i="1"/>
  <c r="M251" i="1"/>
  <c r="L251" i="1"/>
  <c r="K251" i="1"/>
  <c r="J251" i="1"/>
  <c r="I251" i="1"/>
  <c r="G251" i="1"/>
  <c r="F251" i="1"/>
  <c r="E251" i="1"/>
  <c r="D251" i="1"/>
  <c r="R250" i="1"/>
  <c r="Q250" i="1"/>
  <c r="P250" i="1"/>
  <c r="O250" i="1"/>
  <c r="N250" i="1"/>
  <c r="M250" i="1"/>
  <c r="L250" i="1"/>
  <c r="K250" i="1"/>
  <c r="J250" i="1"/>
  <c r="I250" i="1"/>
  <c r="G250" i="1"/>
  <c r="F250" i="1"/>
  <c r="E250" i="1"/>
  <c r="D250" i="1"/>
  <c r="R249" i="1"/>
  <c r="Q249" i="1"/>
  <c r="P249" i="1"/>
  <c r="O249" i="1"/>
  <c r="N249" i="1"/>
  <c r="M249" i="1"/>
  <c r="L249" i="1"/>
  <c r="K249" i="1"/>
  <c r="J249" i="1"/>
  <c r="I249" i="1"/>
  <c r="G249" i="1"/>
  <c r="F249" i="1"/>
  <c r="E249" i="1"/>
  <c r="D249" i="1"/>
  <c r="R248" i="1"/>
  <c r="O248" i="1" s="1"/>
  <c r="Q248" i="1"/>
  <c r="P248" i="1"/>
  <c r="N248" i="1"/>
  <c r="M248" i="1"/>
  <c r="L248" i="1"/>
  <c r="K248" i="1"/>
  <c r="J248" i="1"/>
  <c r="I248" i="1"/>
  <c r="G248" i="1"/>
  <c r="F248" i="1"/>
  <c r="E248" i="1"/>
  <c r="D248" i="1"/>
  <c r="R247" i="1"/>
  <c r="Q247" i="1"/>
  <c r="P247" i="1"/>
  <c r="O247" i="1"/>
  <c r="N247" i="1"/>
  <c r="M247" i="1"/>
  <c r="L247" i="1"/>
  <c r="K247" i="1"/>
  <c r="J247" i="1"/>
  <c r="I247" i="1"/>
  <c r="G247" i="1"/>
  <c r="F247" i="1"/>
  <c r="E247" i="1"/>
  <c r="D247" i="1"/>
  <c r="R246" i="1"/>
  <c r="Q246" i="1"/>
  <c r="P246" i="1"/>
  <c r="O246" i="1"/>
  <c r="N246" i="1"/>
  <c r="M246" i="1"/>
  <c r="L246" i="1"/>
  <c r="K246" i="1"/>
  <c r="J246" i="1"/>
  <c r="I246" i="1"/>
  <c r="G246" i="1"/>
  <c r="F246" i="1"/>
  <c r="E246" i="1"/>
  <c r="D246" i="1"/>
  <c r="R245" i="1"/>
  <c r="Q245" i="1"/>
  <c r="P245" i="1"/>
  <c r="O245" i="1"/>
  <c r="N245" i="1"/>
  <c r="M245" i="1"/>
  <c r="L245" i="1"/>
  <c r="K245" i="1"/>
  <c r="J245" i="1"/>
  <c r="I245" i="1"/>
  <c r="G245" i="1"/>
  <c r="F245" i="1"/>
  <c r="E245" i="1"/>
  <c r="D245" i="1"/>
  <c r="R244" i="1"/>
  <c r="Q244" i="1" s="1"/>
  <c r="P244" i="1"/>
  <c r="O244" i="1"/>
  <c r="N244" i="1"/>
  <c r="M244" i="1"/>
  <c r="L244" i="1"/>
  <c r="K244" i="1"/>
  <c r="J244" i="1"/>
  <c r="I244" i="1"/>
  <c r="G244" i="1"/>
  <c r="F244" i="1"/>
  <c r="E244" i="1"/>
  <c r="D244" i="1"/>
  <c r="R243" i="1"/>
  <c r="Q243" i="1" s="1"/>
  <c r="P243" i="1"/>
  <c r="O243" i="1"/>
  <c r="N243" i="1"/>
  <c r="M243" i="1"/>
  <c r="L243" i="1"/>
  <c r="K243" i="1"/>
  <c r="J243" i="1"/>
  <c r="I243" i="1"/>
  <c r="G243" i="1"/>
  <c r="F243" i="1"/>
  <c r="E243" i="1"/>
  <c r="D243" i="1"/>
  <c r="R242" i="1"/>
  <c r="Q242" i="1"/>
  <c r="P242" i="1"/>
  <c r="O242" i="1"/>
  <c r="N242" i="1"/>
  <c r="M242" i="1"/>
  <c r="L242" i="1"/>
  <c r="K242" i="1"/>
  <c r="J242" i="1"/>
  <c r="I242" i="1"/>
  <c r="G242" i="1"/>
  <c r="F242" i="1"/>
  <c r="E242" i="1"/>
  <c r="D242" i="1"/>
  <c r="R241" i="1"/>
  <c r="Q241" i="1"/>
  <c r="P241" i="1"/>
  <c r="O241" i="1"/>
  <c r="N241" i="1"/>
  <c r="M241" i="1"/>
  <c r="L241" i="1"/>
  <c r="K241" i="1"/>
  <c r="J241" i="1"/>
  <c r="I241" i="1"/>
  <c r="G241" i="1"/>
  <c r="F241" i="1"/>
  <c r="E241" i="1"/>
  <c r="D241" i="1"/>
  <c r="R240" i="1"/>
  <c r="Q240" i="1"/>
  <c r="P240" i="1"/>
  <c r="O240" i="1"/>
  <c r="N240" i="1"/>
  <c r="M240" i="1"/>
  <c r="L240" i="1"/>
  <c r="K240" i="1"/>
  <c r="J240" i="1"/>
  <c r="I240" i="1"/>
  <c r="G240" i="1"/>
  <c r="F240" i="1"/>
  <c r="E240" i="1"/>
  <c r="D240" i="1"/>
  <c r="R239" i="1"/>
  <c r="Q239" i="1"/>
  <c r="P239" i="1"/>
  <c r="O239" i="1"/>
  <c r="N239" i="1"/>
  <c r="M239" i="1"/>
  <c r="L239" i="1"/>
  <c r="K239" i="1"/>
  <c r="J239" i="1"/>
  <c r="I239" i="1"/>
  <c r="G239" i="1"/>
  <c r="F239" i="1"/>
  <c r="E239" i="1"/>
  <c r="D239" i="1"/>
  <c r="R238" i="1"/>
  <c r="Q238" i="1"/>
  <c r="P238" i="1"/>
  <c r="O238" i="1"/>
  <c r="N238" i="1"/>
  <c r="M238" i="1"/>
  <c r="L238" i="1"/>
  <c r="K238" i="1"/>
  <c r="J238" i="1"/>
  <c r="I238" i="1"/>
  <c r="G238" i="1"/>
  <c r="F238" i="1"/>
  <c r="E238" i="1"/>
  <c r="D238" i="1"/>
  <c r="R236" i="1"/>
  <c r="Q236" i="1"/>
  <c r="P236" i="1"/>
  <c r="O236" i="1"/>
  <c r="N236" i="1"/>
  <c r="M236" i="1"/>
  <c r="L236" i="1"/>
  <c r="K236" i="1"/>
  <c r="J236" i="1"/>
  <c r="I236" i="1"/>
  <c r="G236" i="1"/>
  <c r="F236" i="1"/>
  <c r="E236" i="1"/>
  <c r="D236" i="1"/>
  <c r="R235" i="1"/>
  <c r="Q235" i="1"/>
  <c r="P235" i="1"/>
  <c r="O235" i="1"/>
  <c r="N235" i="1"/>
  <c r="M235" i="1"/>
  <c r="L235" i="1"/>
  <c r="K235" i="1"/>
  <c r="J235" i="1"/>
  <c r="I235" i="1"/>
  <c r="G235" i="1"/>
  <c r="F235" i="1"/>
  <c r="E235" i="1"/>
  <c r="D235" i="1"/>
  <c r="R234" i="1"/>
  <c r="Q234" i="1"/>
  <c r="P234" i="1"/>
  <c r="O234" i="1"/>
  <c r="N234" i="1"/>
  <c r="M234" i="1"/>
  <c r="L234" i="1"/>
  <c r="K234" i="1"/>
  <c r="J234" i="1"/>
  <c r="I234" i="1"/>
  <c r="G234" i="1"/>
  <c r="F234" i="1"/>
  <c r="E234" i="1"/>
  <c r="D234" i="1"/>
  <c r="R233" i="1"/>
  <c r="Q233" i="1"/>
  <c r="P233" i="1"/>
  <c r="O233" i="1"/>
  <c r="N233" i="1"/>
  <c r="M233" i="1"/>
  <c r="L233" i="1"/>
  <c r="K233" i="1"/>
  <c r="J233" i="1"/>
  <c r="I233" i="1"/>
  <c r="G233" i="1"/>
  <c r="F233" i="1"/>
  <c r="E233" i="1"/>
  <c r="D233" i="1"/>
  <c r="R232" i="1"/>
  <c r="Q232" i="1"/>
  <c r="P232" i="1"/>
  <c r="O232" i="1"/>
  <c r="N232" i="1"/>
  <c r="M232" i="1"/>
  <c r="L232" i="1"/>
  <c r="K232" i="1"/>
  <c r="J232" i="1"/>
  <c r="I232" i="1"/>
  <c r="G232" i="1"/>
  <c r="F232" i="1"/>
  <c r="E232" i="1"/>
  <c r="D232" i="1"/>
  <c r="R231" i="1"/>
  <c r="Q231" i="1"/>
  <c r="P231" i="1"/>
  <c r="O231" i="1"/>
  <c r="N231" i="1"/>
  <c r="M231" i="1"/>
  <c r="L231" i="1"/>
  <c r="K231" i="1"/>
  <c r="J231" i="1"/>
  <c r="I231" i="1"/>
  <c r="G231" i="1"/>
  <c r="F231" i="1"/>
  <c r="E231" i="1"/>
  <c r="D231" i="1"/>
  <c r="R230" i="1"/>
  <c r="Q230" i="1"/>
  <c r="P230" i="1"/>
  <c r="O230" i="1"/>
  <c r="N230" i="1"/>
  <c r="M230" i="1"/>
  <c r="L230" i="1"/>
  <c r="K230" i="1"/>
  <c r="J230" i="1"/>
  <c r="I230" i="1"/>
  <c r="G230" i="1"/>
  <c r="F230" i="1"/>
  <c r="E230" i="1"/>
  <c r="D230" i="1"/>
  <c r="R229" i="1"/>
  <c r="Q229" i="1"/>
  <c r="P229" i="1"/>
  <c r="O229" i="1"/>
  <c r="N229" i="1"/>
  <c r="M229" i="1"/>
  <c r="L229" i="1"/>
  <c r="K229" i="1"/>
  <c r="J229" i="1"/>
  <c r="I229" i="1"/>
  <c r="G229" i="1"/>
  <c r="F229" i="1"/>
  <c r="E229" i="1"/>
  <c r="D229" i="1"/>
  <c r="R228" i="1"/>
  <c r="Q228" i="1"/>
  <c r="P228" i="1"/>
  <c r="O228" i="1"/>
  <c r="N228" i="1"/>
  <c r="M228" i="1"/>
  <c r="L228" i="1"/>
  <c r="K228" i="1"/>
  <c r="J228" i="1"/>
  <c r="I228" i="1"/>
  <c r="G228" i="1"/>
  <c r="F228" i="1"/>
  <c r="E228" i="1"/>
  <c r="D228" i="1"/>
  <c r="R227" i="1"/>
  <c r="Q227" i="1"/>
  <c r="P227" i="1"/>
  <c r="O227" i="1"/>
  <c r="N227" i="1"/>
  <c r="M227" i="1"/>
  <c r="L227" i="1"/>
  <c r="K227" i="1"/>
  <c r="J227" i="1"/>
  <c r="I227" i="1"/>
  <c r="G227" i="1"/>
  <c r="F227" i="1"/>
  <c r="E227" i="1"/>
  <c r="D227" i="1"/>
  <c r="R226" i="1"/>
  <c r="Q226" i="1"/>
  <c r="P226" i="1"/>
  <c r="O226" i="1"/>
  <c r="N226" i="1"/>
  <c r="M226" i="1"/>
  <c r="L226" i="1"/>
  <c r="K226" i="1"/>
  <c r="J226" i="1"/>
  <c r="I226" i="1"/>
  <c r="G226" i="1"/>
  <c r="F226" i="1"/>
  <c r="E226" i="1"/>
  <c r="D226" i="1"/>
  <c r="R225" i="1"/>
  <c r="Q225" i="1"/>
  <c r="P225" i="1"/>
  <c r="O225" i="1"/>
  <c r="N225" i="1"/>
  <c r="M225" i="1"/>
  <c r="L225" i="1"/>
  <c r="K225" i="1"/>
  <c r="J225" i="1"/>
  <c r="I225" i="1"/>
  <c r="G225" i="1"/>
  <c r="F225" i="1"/>
  <c r="E225" i="1"/>
  <c r="D225" i="1"/>
  <c r="R224" i="1"/>
  <c r="Q224" i="1"/>
  <c r="P224" i="1"/>
  <c r="O224" i="1"/>
  <c r="N224" i="1"/>
  <c r="M224" i="1"/>
  <c r="L224" i="1"/>
  <c r="K224" i="1"/>
  <c r="J224" i="1"/>
  <c r="I224" i="1"/>
  <c r="G224" i="1"/>
  <c r="F224" i="1"/>
  <c r="E224" i="1"/>
  <c r="D224" i="1"/>
  <c r="R223" i="1"/>
  <c r="Q223" i="1" s="1"/>
  <c r="P223" i="1"/>
  <c r="O223" i="1"/>
  <c r="N223" i="1"/>
  <c r="M223" i="1"/>
  <c r="L223" i="1"/>
  <c r="K223" i="1"/>
  <c r="J223" i="1"/>
  <c r="I223" i="1"/>
  <c r="G223" i="1"/>
  <c r="F223" i="1"/>
  <c r="E223" i="1"/>
  <c r="D223" i="1"/>
  <c r="R222" i="1"/>
  <c r="Q222" i="1" s="1"/>
  <c r="P222" i="1"/>
  <c r="O222" i="1"/>
  <c r="N222" i="1"/>
  <c r="M222" i="1"/>
  <c r="L222" i="1"/>
  <c r="K222" i="1"/>
  <c r="J222" i="1"/>
  <c r="I222" i="1"/>
  <c r="G222" i="1"/>
  <c r="F222" i="1"/>
  <c r="E222" i="1"/>
  <c r="D222" i="1"/>
  <c r="R221" i="1"/>
  <c r="Q221" i="1"/>
  <c r="P221" i="1"/>
  <c r="O221" i="1"/>
  <c r="N221" i="1"/>
  <c r="M221" i="1"/>
  <c r="L221" i="1"/>
  <c r="K221" i="1"/>
  <c r="J221" i="1"/>
  <c r="I221" i="1"/>
  <c r="G221" i="1"/>
  <c r="F221" i="1"/>
  <c r="E221" i="1"/>
  <c r="D221" i="1"/>
  <c r="R220" i="1"/>
  <c r="Q220" i="1" s="1"/>
  <c r="P220" i="1"/>
  <c r="O220" i="1"/>
  <c r="N220" i="1"/>
  <c r="M220" i="1"/>
  <c r="L220" i="1"/>
  <c r="K220" i="1"/>
  <c r="J220" i="1"/>
  <c r="I220" i="1"/>
  <c r="G220" i="1"/>
  <c r="F220" i="1"/>
  <c r="E220" i="1"/>
  <c r="D220" i="1"/>
  <c r="R219" i="1"/>
  <c r="Q219" i="1"/>
  <c r="P219" i="1"/>
  <c r="O219" i="1"/>
  <c r="N219" i="1"/>
  <c r="M219" i="1"/>
  <c r="L219" i="1"/>
  <c r="K219" i="1"/>
  <c r="J219" i="1"/>
  <c r="I219" i="1"/>
  <c r="G219" i="1"/>
  <c r="F219" i="1"/>
  <c r="E219" i="1"/>
  <c r="D219" i="1"/>
  <c r="R218" i="1"/>
  <c r="Q218" i="1" s="1"/>
  <c r="P218" i="1"/>
  <c r="O218" i="1"/>
  <c r="N218" i="1"/>
  <c r="M218" i="1"/>
  <c r="L218" i="1"/>
  <c r="K218" i="1"/>
  <c r="J218" i="1"/>
  <c r="I218" i="1"/>
  <c r="G218" i="1"/>
  <c r="F218" i="1"/>
  <c r="E218" i="1"/>
  <c r="D218" i="1"/>
  <c r="R217" i="1"/>
  <c r="Q217" i="1"/>
  <c r="P217" i="1"/>
  <c r="O217" i="1"/>
  <c r="N217" i="1"/>
  <c r="M217" i="1"/>
  <c r="L217" i="1"/>
  <c r="K217" i="1"/>
  <c r="J217" i="1"/>
  <c r="I217" i="1"/>
  <c r="G217" i="1"/>
  <c r="F217" i="1"/>
  <c r="E217" i="1"/>
  <c r="D217" i="1"/>
  <c r="R216" i="1"/>
  <c r="Q216" i="1"/>
  <c r="P216" i="1"/>
  <c r="O216" i="1"/>
  <c r="N216" i="1"/>
  <c r="M216" i="1"/>
  <c r="L216" i="1"/>
  <c r="K216" i="1"/>
  <c r="J216" i="1"/>
  <c r="I216" i="1"/>
  <c r="G216" i="1"/>
  <c r="F216" i="1"/>
  <c r="E216" i="1"/>
  <c r="D216" i="1"/>
  <c r="R215" i="1"/>
  <c r="O215" i="1" s="1"/>
  <c r="Q215" i="1"/>
  <c r="P215" i="1"/>
  <c r="N215" i="1"/>
  <c r="M215" i="1"/>
  <c r="L215" i="1"/>
  <c r="K215" i="1"/>
  <c r="J215" i="1"/>
  <c r="I215" i="1"/>
  <c r="G215" i="1"/>
  <c r="F215" i="1"/>
  <c r="E215" i="1"/>
  <c r="D215" i="1"/>
  <c r="R214" i="1"/>
  <c r="Q214" i="1"/>
  <c r="P214" i="1"/>
  <c r="O214" i="1"/>
  <c r="N214" i="1"/>
  <c r="M214" i="1"/>
  <c r="L214" i="1"/>
  <c r="K214" i="1"/>
  <c r="J214" i="1"/>
  <c r="I214" i="1"/>
  <c r="G214" i="1"/>
  <c r="F214" i="1"/>
  <c r="E214" i="1"/>
  <c r="D214" i="1"/>
  <c r="R213" i="1"/>
  <c r="Q213" i="1"/>
  <c r="P213" i="1"/>
  <c r="O213" i="1"/>
  <c r="N213" i="1"/>
  <c r="M213" i="1"/>
  <c r="L213" i="1"/>
  <c r="K213" i="1"/>
  <c r="J213" i="1"/>
  <c r="I213" i="1"/>
  <c r="G213" i="1"/>
  <c r="F213" i="1"/>
  <c r="E213" i="1"/>
  <c r="D213" i="1"/>
  <c r="R212" i="1"/>
  <c r="Q212" i="1"/>
  <c r="P212" i="1"/>
  <c r="O212" i="1"/>
  <c r="N212" i="1"/>
  <c r="M212" i="1"/>
  <c r="L212" i="1"/>
  <c r="K212" i="1"/>
  <c r="J212" i="1"/>
  <c r="I212" i="1"/>
  <c r="G212" i="1"/>
  <c r="F212" i="1"/>
  <c r="E212" i="1"/>
  <c r="D212" i="1"/>
  <c r="R211" i="1"/>
  <c r="Q211" i="1" s="1"/>
  <c r="P211" i="1"/>
  <c r="O211" i="1"/>
  <c r="N211" i="1"/>
  <c r="M211" i="1"/>
  <c r="L211" i="1"/>
  <c r="K211" i="1"/>
  <c r="J211" i="1"/>
  <c r="I211" i="1"/>
  <c r="G211" i="1"/>
  <c r="F211" i="1"/>
  <c r="E211" i="1"/>
  <c r="D211" i="1"/>
  <c r="R210" i="1"/>
  <c r="Q210" i="1" s="1"/>
  <c r="P210" i="1"/>
  <c r="O210" i="1"/>
  <c r="N210" i="1"/>
  <c r="M210" i="1"/>
  <c r="L210" i="1"/>
  <c r="K210" i="1"/>
  <c r="J210" i="1"/>
  <c r="I210" i="1"/>
  <c r="G210" i="1"/>
  <c r="F210" i="1"/>
  <c r="E210" i="1"/>
  <c r="D210" i="1"/>
  <c r="R209" i="1"/>
  <c r="Q209" i="1"/>
  <c r="P209" i="1"/>
  <c r="O209" i="1"/>
  <c r="N209" i="1"/>
  <c r="M209" i="1"/>
  <c r="L209" i="1"/>
  <c r="K209" i="1"/>
  <c r="J209" i="1"/>
  <c r="I209" i="1"/>
  <c r="G209" i="1"/>
  <c r="F209" i="1"/>
  <c r="E209" i="1"/>
  <c r="D209" i="1"/>
  <c r="R208" i="1"/>
  <c r="Q208" i="1"/>
  <c r="P208" i="1"/>
  <c r="O208" i="1"/>
  <c r="N208" i="1"/>
  <c r="M208" i="1"/>
  <c r="L208" i="1"/>
  <c r="K208" i="1"/>
  <c r="J208" i="1"/>
  <c r="I208" i="1"/>
  <c r="G208" i="1"/>
  <c r="F208" i="1"/>
  <c r="E208" i="1"/>
  <c r="D208" i="1"/>
  <c r="R207" i="1"/>
  <c r="Q207" i="1"/>
  <c r="P207" i="1"/>
  <c r="O207" i="1"/>
  <c r="N207" i="1"/>
  <c r="M207" i="1"/>
  <c r="L207" i="1"/>
  <c r="K207" i="1"/>
  <c r="J207" i="1"/>
  <c r="I207" i="1"/>
  <c r="G207" i="1"/>
  <c r="F207" i="1"/>
  <c r="E207" i="1"/>
  <c r="D207" i="1"/>
  <c r="R206" i="1"/>
  <c r="Q206" i="1"/>
  <c r="P206" i="1"/>
  <c r="O206" i="1"/>
  <c r="N206" i="1"/>
  <c r="M206" i="1"/>
  <c r="L206" i="1"/>
  <c r="K206" i="1"/>
  <c r="J206" i="1"/>
  <c r="I206" i="1"/>
  <c r="G206" i="1"/>
  <c r="F206" i="1"/>
  <c r="E206" i="1"/>
  <c r="D206" i="1"/>
  <c r="R205" i="1"/>
  <c r="Q205" i="1"/>
  <c r="P205" i="1"/>
  <c r="O205" i="1"/>
  <c r="N205" i="1"/>
  <c r="M205" i="1"/>
  <c r="L205" i="1"/>
  <c r="K205" i="1"/>
  <c r="J205" i="1"/>
  <c r="I205" i="1"/>
  <c r="G205" i="1"/>
  <c r="F205" i="1"/>
  <c r="E205" i="1"/>
  <c r="D205" i="1"/>
  <c r="R203" i="1"/>
  <c r="Q203" i="1"/>
  <c r="P203" i="1"/>
  <c r="O203" i="1"/>
  <c r="N203" i="1"/>
  <c r="M203" i="1"/>
  <c r="L203" i="1"/>
  <c r="K203" i="1"/>
  <c r="J203" i="1"/>
  <c r="I203" i="1"/>
  <c r="G203" i="1"/>
  <c r="F203" i="1"/>
  <c r="E203" i="1"/>
  <c r="D203" i="1"/>
  <c r="R202" i="1"/>
  <c r="Q202" i="1"/>
  <c r="P202" i="1"/>
  <c r="O202" i="1"/>
  <c r="N202" i="1"/>
  <c r="M202" i="1"/>
  <c r="L202" i="1"/>
  <c r="K202" i="1"/>
  <c r="J202" i="1"/>
  <c r="I202" i="1"/>
  <c r="G202" i="1"/>
  <c r="F202" i="1"/>
  <c r="E202" i="1"/>
  <c r="D202" i="1"/>
  <c r="R201" i="1"/>
  <c r="Q201" i="1"/>
  <c r="P201" i="1"/>
  <c r="O201" i="1"/>
  <c r="N201" i="1"/>
  <c r="M201" i="1"/>
  <c r="L201" i="1"/>
  <c r="K201" i="1"/>
  <c r="J201" i="1"/>
  <c r="I201" i="1"/>
  <c r="G201" i="1"/>
  <c r="F201" i="1"/>
  <c r="E201" i="1"/>
  <c r="D201" i="1"/>
  <c r="R200" i="1"/>
  <c r="Q200" i="1"/>
  <c r="P200" i="1"/>
  <c r="O200" i="1"/>
  <c r="N200" i="1"/>
  <c r="M200" i="1"/>
  <c r="L200" i="1"/>
  <c r="K200" i="1"/>
  <c r="J200" i="1"/>
  <c r="I200" i="1"/>
  <c r="G200" i="1"/>
  <c r="F200" i="1"/>
  <c r="E200" i="1"/>
  <c r="D200" i="1"/>
  <c r="R199" i="1"/>
  <c r="Q199" i="1"/>
  <c r="P199" i="1"/>
  <c r="O199" i="1"/>
  <c r="N199" i="1"/>
  <c r="M199" i="1"/>
  <c r="L199" i="1"/>
  <c r="K199" i="1"/>
  <c r="J199" i="1"/>
  <c r="I199" i="1"/>
  <c r="G199" i="1"/>
  <c r="F199" i="1"/>
  <c r="E199" i="1"/>
  <c r="D199" i="1"/>
  <c r="R198" i="1"/>
  <c r="Q198" i="1"/>
  <c r="P198" i="1"/>
  <c r="O198" i="1"/>
  <c r="N198" i="1"/>
  <c r="M198" i="1"/>
  <c r="L198" i="1"/>
  <c r="K198" i="1"/>
  <c r="J198" i="1"/>
  <c r="I198" i="1"/>
  <c r="G198" i="1"/>
  <c r="F198" i="1"/>
  <c r="E198" i="1"/>
  <c r="D198" i="1"/>
  <c r="R197" i="1"/>
  <c r="Q197" i="1"/>
  <c r="P197" i="1"/>
  <c r="O197" i="1"/>
  <c r="N197" i="1"/>
  <c r="M197" i="1"/>
  <c r="L197" i="1"/>
  <c r="K197" i="1"/>
  <c r="J197" i="1"/>
  <c r="I197" i="1"/>
  <c r="G197" i="1"/>
  <c r="F197" i="1"/>
  <c r="E197" i="1"/>
  <c r="D197" i="1"/>
  <c r="R196" i="1"/>
  <c r="Q196" i="1"/>
  <c r="P196" i="1"/>
  <c r="O196" i="1"/>
  <c r="N196" i="1"/>
  <c r="M196" i="1"/>
  <c r="L196" i="1"/>
  <c r="K196" i="1"/>
  <c r="J196" i="1"/>
  <c r="I196" i="1"/>
  <c r="G196" i="1"/>
  <c r="F196" i="1"/>
  <c r="E196" i="1"/>
  <c r="D196" i="1"/>
  <c r="R195" i="1"/>
  <c r="Q195" i="1"/>
  <c r="P195" i="1"/>
  <c r="O195" i="1"/>
  <c r="N195" i="1"/>
  <c r="M195" i="1"/>
  <c r="L195" i="1"/>
  <c r="K195" i="1"/>
  <c r="J195" i="1"/>
  <c r="I195" i="1"/>
  <c r="G195" i="1"/>
  <c r="F195" i="1"/>
  <c r="E195" i="1"/>
  <c r="D195" i="1"/>
  <c r="R194" i="1"/>
  <c r="Q194" i="1"/>
  <c r="P194" i="1"/>
  <c r="O194" i="1"/>
  <c r="N194" i="1"/>
  <c r="M194" i="1"/>
  <c r="L194" i="1"/>
  <c r="K194" i="1"/>
  <c r="J194" i="1"/>
  <c r="I194" i="1"/>
  <c r="G194" i="1"/>
  <c r="F194" i="1"/>
  <c r="E194" i="1"/>
  <c r="D194" i="1"/>
  <c r="R193" i="1"/>
  <c r="Q193" i="1"/>
  <c r="P193" i="1"/>
  <c r="O193" i="1"/>
  <c r="N193" i="1"/>
  <c r="M193" i="1"/>
  <c r="L193" i="1"/>
  <c r="K193" i="1"/>
  <c r="J193" i="1"/>
  <c r="I193" i="1"/>
  <c r="G193" i="1"/>
  <c r="F193" i="1"/>
  <c r="E193" i="1"/>
  <c r="D193" i="1"/>
  <c r="R192" i="1"/>
  <c r="Q192" i="1"/>
  <c r="P192" i="1"/>
  <c r="O192" i="1"/>
  <c r="N192" i="1"/>
  <c r="M192" i="1"/>
  <c r="L192" i="1"/>
  <c r="K192" i="1"/>
  <c r="J192" i="1"/>
  <c r="I192" i="1"/>
  <c r="G192" i="1"/>
  <c r="F192" i="1"/>
  <c r="E192" i="1"/>
  <c r="D192" i="1"/>
  <c r="R191" i="1"/>
  <c r="Q191" i="1"/>
  <c r="P191" i="1"/>
  <c r="O191" i="1"/>
  <c r="N191" i="1"/>
  <c r="M191" i="1"/>
  <c r="L191" i="1"/>
  <c r="K191" i="1"/>
  <c r="J191" i="1"/>
  <c r="I191" i="1"/>
  <c r="G191" i="1"/>
  <c r="F191" i="1"/>
  <c r="E191" i="1"/>
  <c r="D191" i="1"/>
  <c r="R190" i="1"/>
  <c r="Q190" i="1" s="1"/>
  <c r="P190" i="1"/>
  <c r="O190" i="1"/>
  <c r="N190" i="1"/>
  <c r="M190" i="1"/>
  <c r="L190" i="1"/>
  <c r="K190" i="1"/>
  <c r="J190" i="1"/>
  <c r="I190" i="1"/>
  <c r="G190" i="1"/>
  <c r="F190" i="1"/>
  <c r="E190" i="1"/>
  <c r="D190" i="1"/>
  <c r="R189" i="1"/>
  <c r="Q189" i="1" s="1"/>
  <c r="P189" i="1"/>
  <c r="O189" i="1"/>
  <c r="N189" i="1"/>
  <c r="M189" i="1"/>
  <c r="L189" i="1"/>
  <c r="K189" i="1"/>
  <c r="J189" i="1"/>
  <c r="I189" i="1"/>
  <c r="G189" i="1"/>
  <c r="F189" i="1"/>
  <c r="E189" i="1"/>
  <c r="D189" i="1"/>
  <c r="R188" i="1"/>
  <c r="Q188" i="1"/>
  <c r="P188" i="1"/>
  <c r="O188" i="1"/>
  <c r="N188" i="1"/>
  <c r="M188" i="1"/>
  <c r="L188" i="1"/>
  <c r="K188" i="1"/>
  <c r="J188" i="1"/>
  <c r="I188" i="1"/>
  <c r="G188" i="1"/>
  <c r="F188" i="1"/>
  <c r="E188" i="1"/>
  <c r="D188" i="1"/>
  <c r="R187" i="1"/>
  <c r="Q187" i="1" s="1"/>
  <c r="P187" i="1"/>
  <c r="O187" i="1"/>
  <c r="N187" i="1"/>
  <c r="M187" i="1"/>
  <c r="L187" i="1"/>
  <c r="K187" i="1"/>
  <c r="J187" i="1"/>
  <c r="I187" i="1"/>
  <c r="G187" i="1"/>
  <c r="F187" i="1"/>
  <c r="E187" i="1"/>
  <c r="D187" i="1"/>
  <c r="R186" i="1"/>
  <c r="Q186" i="1"/>
  <c r="P186" i="1"/>
  <c r="O186" i="1"/>
  <c r="N186" i="1"/>
  <c r="M186" i="1"/>
  <c r="L186" i="1"/>
  <c r="K186" i="1"/>
  <c r="J186" i="1"/>
  <c r="I186" i="1"/>
  <c r="G186" i="1"/>
  <c r="F186" i="1"/>
  <c r="E186" i="1"/>
  <c r="D186" i="1"/>
  <c r="R185" i="1"/>
  <c r="Q185" i="1"/>
  <c r="P185" i="1"/>
  <c r="O185" i="1"/>
  <c r="N185" i="1"/>
  <c r="M185" i="1"/>
  <c r="L185" i="1"/>
  <c r="K185" i="1"/>
  <c r="J185" i="1"/>
  <c r="I185" i="1"/>
  <c r="G185" i="1"/>
  <c r="F185" i="1"/>
  <c r="E185" i="1"/>
  <c r="D185" i="1"/>
  <c r="R184" i="1"/>
  <c r="Q184" i="1" s="1"/>
  <c r="P184" i="1"/>
  <c r="O184" i="1"/>
  <c r="N184" i="1"/>
  <c r="M184" i="1"/>
  <c r="L184" i="1"/>
  <c r="K184" i="1"/>
  <c r="J184" i="1"/>
  <c r="I184" i="1"/>
  <c r="G184" i="1"/>
  <c r="F184" i="1"/>
  <c r="E184" i="1"/>
  <c r="D184" i="1"/>
  <c r="R183" i="1"/>
  <c r="Q183" i="1"/>
  <c r="P183" i="1"/>
  <c r="O183" i="1"/>
  <c r="N183" i="1"/>
  <c r="M183" i="1"/>
  <c r="L183" i="1"/>
  <c r="K183" i="1"/>
  <c r="J183" i="1"/>
  <c r="I183" i="1"/>
  <c r="G183" i="1"/>
  <c r="F183" i="1"/>
  <c r="E183" i="1"/>
  <c r="D183" i="1"/>
  <c r="R182" i="1"/>
  <c r="Q182" i="1"/>
  <c r="P182" i="1"/>
  <c r="O182" i="1"/>
  <c r="N182" i="1"/>
  <c r="M182" i="1"/>
  <c r="L182" i="1"/>
  <c r="K182" i="1"/>
  <c r="J182" i="1"/>
  <c r="I182" i="1"/>
  <c r="G182" i="1"/>
  <c r="F182" i="1"/>
  <c r="E182" i="1"/>
  <c r="D182" i="1"/>
  <c r="R181" i="1"/>
  <c r="O181" i="1" s="1"/>
  <c r="Q181" i="1"/>
  <c r="P181" i="1"/>
  <c r="N181" i="1"/>
  <c r="M181" i="1"/>
  <c r="L181" i="1"/>
  <c r="K181" i="1"/>
  <c r="J181" i="1"/>
  <c r="I181" i="1"/>
  <c r="G181" i="1"/>
  <c r="F181" i="1"/>
  <c r="E181" i="1"/>
  <c r="D181" i="1"/>
  <c r="R180" i="1"/>
  <c r="Q180" i="1"/>
  <c r="P180" i="1"/>
  <c r="O180" i="1"/>
  <c r="N180" i="1"/>
  <c r="M180" i="1"/>
  <c r="L180" i="1"/>
  <c r="K180" i="1"/>
  <c r="J180" i="1"/>
  <c r="I180" i="1"/>
  <c r="G180" i="1"/>
  <c r="F180" i="1"/>
  <c r="E180" i="1"/>
  <c r="D180" i="1"/>
  <c r="R179" i="1"/>
  <c r="Q179" i="1"/>
  <c r="P179" i="1"/>
  <c r="O179" i="1"/>
  <c r="N179" i="1"/>
  <c r="M179" i="1"/>
  <c r="L179" i="1"/>
  <c r="K179" i="1"/>
  <c r="J179" i="1"/>
  <c r="I179" i="1"/>
  <c r="G179" i="1"/>
  <c r="F179" i="1"/>
  <c r="E179" i="1"/>
  <c r="D179" i="1"/>
  <c r="R178" i="1"/>
  <c r="Q178" i="1"/>
  <c r="P178" i="1"/>
  <c r="O178" i="1"/>
  <c r="N178" i="1"/>
  <c r="M178" i="1"/>
  <c r="L178" i="1"/>
  <c r="K178" i="1"/>
  <c r="J178" i="1"/>
  <c r="I178" i="1"/>
  <c r="G178" i="1"/>
  <c r="F178" i="1"/>
  <c r="E178" i="1"/>
  <c r="D178" i="1"/>
  <c r="R177" i="1"/>
  <c r="Q177" i="1" s="1"/>
  <c r="P177" i="1"/>
  <c r="O177" i="1"/>
  <c r="N177" i="1"/>
  <c r="M177" i="1"/>
  <c r="L177" i="1"/>
  <c r="K177" i="1"/>
  <c r="J177" i="1"/>
  <c r="I177" i="1"/>
  <c r="G177" i="1"/>
  <c r="F177" i="1"/>
  <c r="E177" i="1"/>
  <c r="D177" i="1"/>
  <c r="R176" i="1"/>
  <c r="Q176" i="1" s="1"/>
  <c r="P176" i="1"/>
  <c r="O176" i="1"/>
  <c r="N176" i="1"/>
  <c r="M176" i="1"/>
  <c r="L176" i="1"/>
  <c r="K176" i="1"/>
  <c r="J176" i="1"/>
  <c r="I176" i="1"/>
  <c r="G176" i="1"/>
  <c r="F176" i="1"/>
  <c r="E176" i="1"/>
  <c r="D176" i="1"/>
  <c r="R175" i="1"/>
  <c r="Q175" i="1"/>
  <c r="P175" i="1"/>
  <c r="O175" i="1"/>
  <c r="N175" i="1"/>
  <c r="M175" i="1"/>
  <c r="L175" i="1"/>
  <c r="K175" i="1"/>
  <c r="J175" i="1"/>
  <c r="I175" i="1"/>
  <c r="G175" i="1"/>
  <c r="F175" i="1"/>
  <c r="E175" i="1"/>
  <c r="D175" i="1"/>
  <c r="R174" i="1"/>
  <c r="Q174" i="1"/>
  <c r="P174" i="1"/>
  <c r="O174" i="1"/>
  <c r="N174" i="1"/>
  <c r="M174" i="1"/>
  <c r="L174" i="1"/>
  <c r="K174" i="1"/>
  <c r="J174" i="1"/>
  <c r="I174" i="1"/>
  <c r="G174" i="1"/>
  <c r="F174" i="1"/>
  <c r="E174" i="1"/>
  <c r="D174" i="1"/>
  <c r="R173" i="1"/>
  <c r="Q173" i="1"/>
  <c r="P173" i="1"/>
  <c r="O173" i="1"/>
  <c r="N173" i="1"/>
  <c r="M173" i="1"/>
  <c r="L173" i="1"/>
  <c r="K173" i="1"/>
  <c r="J173" i="1"/>
  <c r="I173" i="1"/>
  <c r="G173" i="1"/>
  <c r="F173" i="1"/>
  <c r="E173" i="1"/>
  <c r="D173" i="1"/>
  <c r="R172" i="1"/>
  <c r="Q172" i="1"/>
  <c r="P172" i="1"/>
  <c r="O172" i="1"/>
  <c r="N172" i="1"/>
  <c r="M172" i="1"/>
  <c r="L172" i="1"/>
  <c r="K172" i="1"/>
  <c r="J172" i="1"/>
  <c r="I172" i="1"/>
  <c r="G172" i="1"/>
  <c r="F172" i="1"/>
  <c r="E172" i="1"/>
  <c r="D172" i="1"/>
  <c r="R171" i="1"/>
  <c r="Q171" i="1"/>
  <c r="P171" i="1"/>
  <c r="O171" i="1"/>
  <c r="N171" i="1"/>
  <c r="M171" i="1"/>
  <c r="L171" i="1"/>
  <c r="K171" i="1"/>
  <c r="J171" i="1"/>
  <c r="I171" i="1"/>
  <c r="G171" i="1"/>
  <c r="F171" i="1"/>
  <c r="E171" i="1"/>
  <c r="D171" i="1"/>
  <c r="R169" i="1"/>
  <c r="Q169" i="1"/>
  <c r="P169" i="1"/>
  <c r="O169" i="1"/>
  <c r="N169" i="1"/>
  <c r="M169" i="1"/>
  <c r="L169" i="1"/>
  <c r="K169" i="1"/>
  <c r="J169" i="1"/>
  <c r="I169" i="1"/>
  <c r="G169" i="1"/>
  <c r="F169" i="1"/>
  <c r="E169" i="1"/>
  <c r="D169" i="1"/>
  <c r="R168" i="1"/>
  <c r="Q168" i="1"/>
  <c r="P168" i="1"/>
  <c r="O168" i="1"/>
  <c r="N168" i="1"/>
  <c r="M168" i="1"/>
  <c r="L168" i="1"/>
  <c r="K168" i="1"/>
  <c r="J168" i="1"/>
  <c r="I168" i="1"/>
  <c r="G168" i="1"/>
  <c r="F168" i="1"/>
  <c r="E168" i="1"/>
  <c r="D168" i="1"/>
  <c r="R167" i="1"/>
  <c r="Q167" i="1"/>
  <c r="P167" i="1"/>
  <c r="O167" i="1"/>
  <c r="N167" i="1"/>
  <c r="M167" i="1"/>
  <c r="L167" i="1"/>
  <c r="K167" i="1"/>
  <c r="J167" i="1"/>
  <c r="I167" i="1"/>
  <c r="G167" i="1"/>
  <c r="F167" i="1"/>
  <c r="E167" i="1"/>
  <c r="D167" i="1"/>
  <c r="R166" i="1"/>
  <c r="Q166" i="1"/>
  <c r="P166" i="1"/>
  <c r="O166" i="1"/>
  <c r="N166" i="1"/>
  <c r="M166" i="1"/>
  <c r="L166" i="1"/>
  <c r="K166" i="1"/>
  <c r="J166" i="1"/>
  <c r="I166" i="1"/>
  <c r="G166" i="1"/>
  <c r="F166" i="1"/>
  <c r="E166" i="1"/>
  <c r="D166" i="1"/>
  <c r="R165" i="1"/>
  <c r="Q165" i="1"/>
  <c r="P165" i="1"/>
  <c r="O165" i="1"/>
  <c r="N165" i="1"/>
  <c r="M165" i="1"/>
  <c r="L165" i="1"/>
  <c r="K165" i="1"/>
  <c r="J165" i="1"/>
  <c r="I165" i="1"/>
  <c r="G165" i="1"/>
  <c r="F165" i="1"/>
  <c r="E165" i="1"/>
  <c r="D165" i="1"/>
  <c r="R164" i="1"/>
  <c r="Q164" i="1"/>
  <c r="P164" i="1"/>
  <c r="O164" i="1"/>
  <c r="N164" i="1"/>
  <c r="M164" i="1"/>
  <c r="L164" i="1"/>
  <c r="K164" i="1"/>
  <c r="J164" i="1"/>
  <c r="I164" i="1"/>
  <c r="G164" i="1"/>
  <c r="F164" i="1"/>
  <c r="E164" i="1"/>
  <c r="D164" i="1"/>
  <c r="R163" i="1"/>
  <c r="Q163" i="1"/>
  <c r="P163" i="1"/>
  <c r="O163" i="1"/>
  <c r="N163" i="1"/>
  <c r="M163" i="1"/>
  <c r="L163" i="1"/>
  <c r="K163" i="1"/>
  <c r="J163" i="1"/>
  <c r="I163" i="1"/>
  <c r="G163" i="1"/>
  <c r="F163" i="1"/>
  <c r="E163" i="1"/>
  <c r="D163" i="1"/>
  <c r="R162" i="1"/>
  <c r="Q162" i="1"/>
  <c r="P162" i="1"/>
  <c r="O162" i="1"/>
  <c r="N162" i="1"/>
  <c r="M162" i="1"/>
  <c r="L162" i="1"/>
  <c r="K162" i="1"/>
  <c r="J162" i="1"/>
  <c r="I162" i="1"/>
  <c r="G162" i="1"/>
  <c r="F162" i="1"/>
  <c r="E162" i="1"/>
  <c r="D162" i="1"/>
  <c r="R161" i="1"/>
  <c r="Q161" i="1"/>
  <c r="P161" i="1"/>
  <c r="O161" i="1"/>
  <c r="N161" i="1"/>
  <c r="M161" i="1"/>
  <c r="L161" i="1"/>
  <c r="K161" i="1"/>
  <c r="J161" i="1"/>
  <c r="I161" i="1"/>
  <c r="G161" i="1"/>
  <c r="F161" i="1"/>
  <c r="E161" i="1"/>
  <c r="D161" i="1"/>
  <c r="R160" i="1"/>
  <c r="Q160" i="1"/>
  <c r="P160" i="1"/>
  <c r="O160" i="1"/>
  <c r="N160" i="1"/>
  <c r="M160" i="1"/>
  <c r="L160" i="1"/>
  <c r="K160" i="1"/>
  <c r="J160" i="1"/>
  <c r="I160" i="1"/>
  <c r="G160" i="1"/>
  <c r="F160" i="1"/>
  <c r="E160" i="1"/>
  <c r="D160" i="1"/>
  <c r="R159" i="1"/>
  <c r="Q159" i="1"/>
  <c r="P159" i="1"/>
  <c r="O159" i="1"/>
  <c r="N159" i="1"/>
  <c r="M159" i="1"/>
  <c r="L159" i="1"/>
  <c r="K159" i="1"/>
  <c r="J159" i="1"/>
  <c r="I159" i="1"/>
  <c r="G159" i="1"/>
  <c r="F159" i="1"/>
  <c r="E159" i="1"/>
  <c r="D159" i="1"/>
  <c r="R158" i="1"/>
  <c r="Q158" i="1"/>
  <c r="P158" i="1"/>
  <c r="O158" i="1"/>
  <c r="N158" i="1"/>
  <c r="M158" i="1"/>
  <c r="L158" i="1"/>
  <c r="K158" i="1"/>
  <c r="J158" i="1"/>
  <c r="I158" i="1"/>
  <c r="G158" i="1"/>
  <c r="F158" i="1"/>
  <c r="E158" i="1"/>
  <c r="D158" i="1"/>
  <c r="R157" i="1"/>
  <c r="Q157" i="1"/>
  <c r="P157" i="1"/>
  <c r="O157" i="1"/>
  <c r="N157" i="1"/>
  <c r="M157" i="1"/>
  <c r="L157" i="1"/>
  <c r="K157" i="1"/>
  <c r="J157" i="1"/>
  <c r="I157" i="1"/>
  <c r="G157" i="1"/>
  <c r="F157" i="1"/>
  <c r="E157" i="1"/>
  <c r="D157" i="1"/>
  <c r="R156" i="1"/>
  <c r="Q156" i="1" s="1"/>
  <c r="P156" i="1"/>
  <c r="O156" i="1"/>
  <c r="N156" i="1"/>
  <c r="M156" i="1"/>
  <c r="L156" i="1"/>
  <c r="K156" i="1"/>
  <c r="J156" i="1"/>
  <c r="I156" i="1"/>
  <c r="G156" i="1"/>
  <c r="F156" i="1"/>
  <c r="E156" i="1"/>
  <c r="D156" i="1"/>
  <c r="R155" i="1"/>
  <c r="Q155" i="1" s="1"/>
  <c r="P155" i="1"/>
  <c r="O155" i="1"/>
  <c r="N155" i="1"/>
  <c r="M155" i="1"/>
  <c r="L155" i="1"/>
  <c r="K155" i="1"/>
  <c r="J155" i="1"/>
  <c r="I155" i="1"/>
  <c r="G155" i="1"/>
  <c r="F155" i="1"/>
  <c r="E155" i="1"/>
  <c r="D155" i="1"/>
  <c r="R154" i="1"/>
  <c r="Q154" i="1"/>
  <c r="P154" i="1"/>
  <c r="O154" i="1"/>
  <c r="N154" i="1"/>
  <c r="M154" i="1"/>
  <c r="L154" i="1"/>
  <c r="K154" i="1"/>
  <c r="J154" i="1"/>
  <c r="I154" i="1"/>
  <c r="G154" i="1"/>
  <c r="F154" i="1"/>
  <c r="E154" i="1"/>
  <c r="D154" i="1"/>
  <c r="R153" i="1"/>
  <c r="P153" i="1" s="1"/>
  <c r="O153" i="1"/>
  <c r="N153" i="1"/>
  <c r="M153" i="1"/>
  <c r="L153" i="1"/>
  <c r="K153" i="1"/>
  <c r="J153" i="1"/>
  <c r="I153" i="1"/>
  <c r="G153" i="1"/>
  <c r="F153" i="1"/>
  <c r="E153" i="1"/>
  <c r="D153" i="1"/>
  <c r="R152" i="1"/>
  <c r="Q152" i="1"/>
  <c r="P152" i="1"/>
  <c r="O152" i="1"/>
  <c r="N152" i="1"/>
  <c r="M152" i="1"/>
  <c r="L152" i="1"/>
  <c r="K152" i="1"/>
  <c r="J152" i="1"/>
  <c r="I152" i="1"/>
  <c r="G152" i="1"/>
  <c r="F152" i="1"/>
  <c r="E152" i="1"/>
  <c r="D152" i="1"/>
  <c r="R151" i="1"/>
  <c r="Q151" i="1"/>
  <c r="P151" i="1"/>
  <c r="O151" i="1"/>
  <c r="N151" i="1"/>
  <c r="M151" i="1"/>
  <c r="L151" i="1"/>
  <c r="K151" i="1"/>
  <c r="J151" i="1"/>
  <c r="I151" i="1"/>
  <c r="G151" i="1"/>
  <c r="F151" i="1"/>
  <c r="E151" i="1"/>
  <c r="D151" i="1"/>
  <c r="R150" i="1"/>
  <c r="Q150" i="1" s="1"/>
  <c r="P150" i="1"/>
  <c r="O150" i="1"/>
  <c r="N150" i="1"/>
  <c r="M150" i="1"/>
  <c r="L150" i="1"/>
  <c r="K150" i="1"/>
  <c r="J150" i="1"/>
  <c r="I150" i="1"/>
  <c r="G150" i="1"/>
  <c r="F150" i="1"/>
  <c r="E150" i="1"/>
  <c r="D150" i="1"/>
  <c r="R149" i="1"/>
  <c r="Q149" i="1"/>
  <c r="P149" i="1"/>
  <c r="O149" i="1"/>
  <c r="N149" i="1"/>
  <c r="M149" i="1"/>
  <c r="L149" i="1"/>
  <c r="K149" i="1"/>
  <c r="J149" i="1"/>
  <c r="I149" i="1"/>
  <c r="G149" i="1"/>
  <c r="F149" i="1"/>
  <c r="E149" i="1"/>
  <c r="D149" i="1"/>
  <c r="R148" i="1"/>
  <c r="Q148" i="1"/>
  <c r="P148" i="1"/>
  <c r="O148" i="1"/>
  <c r="N148" i="1"/>
  <c r="M148" i="1"/>
  <c r="L148" i="1"/>
  <c r="K148" i="1"/>
  <c r="J148" i="1"/>
  <c r="I148" i="1"/>
  <c r="G148" i="1"/>
  <c r="F148" i="1"/>
  <c r="E148" i="1"/>
  <c r="D148" i="1"/>
  <c r="R147" i="1"/>
  <c r="O147" i="1" s="1"/>
  <c r="Q147" i="1"/>
  <c r="P147" i="1"/>
  <c r="N147" i="1"/>
  <c r="M147" i="1"/>
  <c r="L147" i="1"/>
  <c r="K147" i="1"/>
  <c r="J147" i="1"/>
  <c r="I147" i="1"/>
  <c r="G147" i="1"/>
  <c r="F147" i="1"/>
  <c r="E147" i="1"/>
  <c r="D147" i="1"/>
  <c r="R146" i="1"/>
  <c r="Q146" i="1"/>
  <c r="P146" i="1"/>
  <c r="O146" i="1"/>
  <c r="N146" i="1"/>
  <c r="M146" i="1"/>
  <c r="L146" i="1"/>
  <c r="K146" i="1"/>
  <c r="J146" i="1"/>
  <c r="I146" i="1"/>
  <c r="G146" i="1"/>
  <c r="F146" i="1"/>
  <c r="E146" i="1"/>
  <c r="D146" i="1"/>
  <c r="R145" i="1"/>
  <c r="Q145" i="1"/>
  <c r="P145" i="1"/>
  <c r="O145" i="1"/>
  <c r="N145" i="1"/>
  <c r="M145" i="1"/>
  <c r="L145" i="1"/>
  <c r="K145" i="1"/>
  <c r="J145" i="1"/>
  <c r="I145" i="1"/>
  <c r="G145" i="1"/>
  <c r="F145" i="1"/>
  <c r="E145" i="1"/>
  <c r="D145" i="1"/>
  <c r="R144" i="1"/>
  <c r="Q144" i="1"/>
  <c r="P144" i="1"/>
  <c r="O144" i="1"/>
  <c r="N144" i="1"/>
  <c r="M144" i="1"/>
  <c r="L144" i="1"/>
  <c r="K144" i="1"/>
  <c r="J144" i="1"/>
  <c r="I144" i="1"/>
  <c r="G144" i="1"/>
  <c r="F144" i="1"/>
  <c r="E144" i="1"/>
  <c r="D144" i="1"/>
  <c r="R143" i="1"/>
  <c r="Q143" i="1" s="1"/>
  <c r="P143" i="1"/>
  <c r="O143" i="1"/>
  <c r="N143" i="1"/>
  <c r="M143" i="1"/>
  <c r="L143" i="1"/>
  <c r="K143" i="1"/>
  <c r="J143" i="1"/>
  <c r="I143" i="1"/>
  <c r="G143" i="1"/>
  <c r="F143" i="1"/>
  <c r="E143" i="1"/>
  <c r="D143" i="1"/>
  <c r="R142" i="1"/>
  <c r="Q142" i="1" s="1"/>
  <c r="P142" i="1"/>
  <c r="O142" i="1"/>
  <c r="N142" i="1"/>
  <c r="M142" i="1"/>
  <c r="L142" i="1"/>
  <c r="K142" i="1"/>
  <c r="J142" i="1"/>
  <c r="I142" i="1"/>
  <c r="G142" i="1"/>
  <c r="F142" i="1"/>
  <c r="E142" i="1"/>
  <c r="D142" i="1"/>
  <c r="R141" i="1"/>
  <c r="Q141" i="1"/>
  <c r="P141" i="1"/>
  <c r="O141" i="1"/>
  <c r="N141" i="1"/>
  <c r="M141" i="1"/>
  <c r="L141" i="1"/>
  <c r="K141" i="1"/>
  <c r="J141" i="1"/>
  <c r="I141" i="1"/>
  <c r="G141" i="1"/>
  <c r="F141" i="1"/>
  <c r="E141" i="1"/>
  <c r="D141" i="1"/>
  <c r="R140" i="1"/>
  <c r="Q140" i="1"/>
  <c r="P140" i="1"/>
  <c r="O140" i="1"/>
  <c r="N140" i="1"/>
  <c r="M140" i="1"/>
  <c r="L140" i="1"/>
  <c r="K140" i="1"/>
  <c r="J140" i="1"/>
  <c r="I140" i="1"/>
  <c r="G140" i="1"/>
  <c r="F140" i="1"/>
  <c r="E140" i="1"/>
  <c r="D140" i="1"/>
  <c r="R139" i="1"/>
  <c r="Q139" i="1"/>
  <c r="P139" i="1"/>
  <c r="O139" i="1"/>
  <c r="N139" i="1"/>
  <c r="M139" i="1"/>
  <c r="L139" i="1"/>
  <c r="K139" i="1"/>
  <c r="J139" i="1"/>
  <c r="I139" i="1"/>
  <c r="G139" i="1"/>
  <c r="F139" i="1"/>
  <c r="E139" i="1"/>
  <c r="D139" i="1"/>
  <c r="R138" i="1"/>
  <c r="Q138" i="1"/>
  <c r="P138" i="1"/>
  <c r="O138" i="1"/>
  <c r="N138" i="1"/>
  <c r="M138" i="1"/>
  <c r="L138" i="1"/>
  <c r="K138" i="1"/>
  <c r="J138" i="1"/>
  <c r="I138" i="1"/>
  <c r="G138" i="1"/>
  <c r="F138" i="1"/>
  <c r="E138" i="1"/>
  <c r="D138" i="1"/>
  <c r="R137" i="1"/>
  <c r="Q137" i="1"/>
  <c r="P137" i="1"/>
  <c r="O137" i="1"/>
  <c r="N137" i="1"/>
  <c r="M137" i="1"/>
  <c r="L137" i="1"/>
  <c r="K137" i="1"/>
  <c r="J137" i="1"/>
  <c r="I137" i="1"/>
  <c r="G137" i="1"/>
  <c r="F137" i="1"/>
  <c r="E137" i="1"/>
  <c r="D137" i="1"/>
  <c r="R135" i="1"/>
  <c r="Q135" i="1"/>
  <c r="P135" i="1"/>
  <c r="O135" i="1"/>
  <c r="N135" i="1"/>
  <c r="M135" i="1"/>
  <c r="L135" i="1"/>
  <c r="K135" i="1"/>
  <c r="J135" i="1"/>
  <c r="I135" i="1"/>
  <c r="G135" i="1"/>
  <c r="F135" i="1"/>
  <c r="E135" i="1"/>
  <c r="D135" i="1"/>
  <c r="R134" i="1"/>
  <c r="Q134" i="1"/>
  <c r="P134" i="1"/>
  <c r="O134" i="1"/>
  <c r="N134" i="1"/>
  <c r="M134" i="1"/>
  <c r="L134" i="1"/>
  <c r="K134" i="1"/>
  <c r="J134" i="1"/>
  <c r="I134" i="1"/>
  <c r="G134" i="1"/>
  <c r="F134" i="1"/>
  <c r="E134" i="1"/>
  <c r="D134" i="1"/>
  <c r="R133" i="1"/>
  <c r="Q133" i="1"/>
  <c r="P133" i="1"/>
  <c r="O133" i="1"/>
  <c r="N133" i="1"/>
  <c r="M133" i="1"/>
  <c r="L133" i="1"/>
  <c r="K133" i="1"/>
  <c r="J133" i="1"/>
  <c r="I133" i="1"/>
  <c r="G133" i="1"/>
  <c r="F133" i="1"/>
  <c r="E133" i="1"/>
  <c r="D133" i="1"/>
  <c r="R132" i="1"/>
  <c r="Q132" i="1"/>
  <c r="P132" i="1"/>
  <c r="O132" i="1"/>
  <c r="N132" i="1"/>
  <c r="M132" i="1"/>
  <c r="L132" i="1"/>
  <c r="K132" i="1"/>
  <c r="J132" i="1"/>
  <c r="I132" i="1"/>
  <c r="G132" i="1"/>
  <c r="F132" i="1"/>
  <c r="E132" i="1"/>
  <c r="D132" i="1"/>
  <c r="R131" i="1"/>
  <c r="Q131" i="1"/>
  <c r="P131" i="1"/>
  <c r="O131" i="1"/>
  <c r="N131" i="1"/>
  <c r="M131" i="1"/>
  <c r="L131" i="1"/>
  <c r="K131" i="1"/>
  <c r="J131" i="1"/>
  <c r="I131" i="1"/>
  <c r="G131" i="1"/>
  <c r="F131" i="1"/>
  <c r="E131" i="1"/>
  <c r="D131" i="1"/>
  <c r="R130" i="1"/>
  <c r="Q130" i="1"/>
  <c r="P130" i="1"/>
  <c r="O130" i="1"/>
  <c r="N130" i="1"/>
  <c r="M130" i="1"/>
  <c r="L130" i="1"/>
  <c r="K130" i="1"/>
  <c r="J130" i="1"/>
  <c r="I130" i="1"/>
  <c r="G130" i="1"/>
  <c r="F130" i="1"/>
  <c r="E130" i="1"/>
  <c r="D130" i="1"/>
  <c r="R129" i="1"/>
  <c r="Q129" i="1"/>
  <c r="P129" i="1"/>
  <c r="O129" i="1"/>
  <c r="N129" i="1"/>
  <c r="M129" i="1"/>
  <c r="L129" i="1"/>
  <c r="K129" i="1"/>
  <c r="J129" i="1"/>
  <c r="I129" i="1"/>
  <c r="G129" i="1"/>
  <c r="F129" i="1"/>
  <c r="E129" i="1"/>
  <c r="D129" i="1"/>
  <c r="R128" i="1"/>
  <c r="Q128" i="1"/>
  <c r="P128" i="1"/>
  <c r="O128" i="1"/>
  <c r="N128" i="1"/>
  <c r="M128" i="1"/>
  <c r="L128" i="1"/>
  <c r="K128" i="1"/>
  <c r="J128" i="1"/>
  <c r="I128" i="1"/>
  <c r="G128" i="1"/>
  <c r="F128" i="1"/>
  <c r="E128" i="1"/>
  <c r="D128" i="1"/>
  <c r="R127" i="1"/>
  <c r="Q127" i="1"/>
  <c r="P127" i="1"/>
  <c r="O127" i="1"/>
  <c r="N127" i="1"/>
  <c r="M127" i="1"/>
  <c r="L127" i="1"/>
  <c r="K127" i="1"/>
  <c r="J127" i="1"/>
  <c r="I127" i="1"/>
  <c r="G127" i="1"/>
  <c r="F127" i="1"/>
  <c r="E127" i="1"/>
  <c r="D127" i="1"/>
  <c r="R126" i="1"/>
  <c r="Q126" i="1"/>
  <c r="P126" i="1"/>
  <c r="O126" i="1"/>
  <c r="N126" i="1"/>
  <c r="M126" i="1"/>
  <c r="L126" i="1"/>
  <c r="K126" i="1"/>
  <c r="J126" i="1"/>
  <c r="I126" i="1"/>
  <c r="G126" i="1"/>
  <c r="F126" i="1"/>
  <c r="E126" i="1"/>
  <c r="D126" i="1"/>
  <c r="R125" i="1"/>
  <c r="Q125" i="1"/>
  <c r="P125" i="1"/>
  <c r="O125" i="1"/>
  <c r="N125" i="1"/>
  <c r="M125" i="1"/>
  <c r="L125" i="1"/>
  <c r="K125" i="1"/>
  <c r="J125" i="1"/>
  <c r="I125" i="1"/>
  <c r="G125" i="1"/>
  <c r="F125" i="1"/>
  <c r="E125" i="1"/>
  <c r="D125" i="1"/>
  <c r="R124" i="1"/>
  <c r="Q124" i="1"/>
  <c r="P124" i="1"/>
  <c r="O124" i="1"/>
  <c r="N124" i="1"/>
  <c r="M124" i="1"/>
  <c r="L124" i="1"/>
  <c r="K124" i="1"/>
  <c r="J124" i="1"/>
  <c r="I124" i="1"/>
  <c r="G124" i="1"/>
  <c r="F124" i="1"/>
  <c r="E124" i="1"/>
  <c r="D124" i="1"/>
  <c r="R123" i="1"/>
  <c r="Q123" i="1"/>
  <c r="P123" i="1"/>
  <c r="O123" i="1"/>
  <c r="N123" i="1"/>
  <c r="M123" i="1"/>
  <c r="L123" i="1"/>
  <c r="K123" i="1"/>
  <c r="J123" i="1"/>
  <c r="I123" i="1"/>
  <c r="G123" i="1"/>
  <c r="F123" i="1"/>
  <c r="E123" i="1"/>
  <c r="D123" i="1"/>
  <c r="R122" i="1"/>
  <c r="P122" i="1" s="1"/>
  <c r="Q122" i="1"/>
  <c r="O122" i="1"/>
  <c r="N122" i="1"/>
  <c r="M122" i="1"/>
  <c r="L122" i="1"/>
  <c r="K122" i="1"/>
  <c r="J122" i="1"/>
  <c r="I122" i="1"/>
  <c r="G122" i="1"/>
  <c r="F122" i="1"/>
  <c r="E122" i="1"/>
  <c r="D122" i="1"/>
  <c r="R121" i="1"/>
  <c r="P121" i="1" s="1"/>
  <c r="Q121" i="1"/>
  <c r="O121" i="1"/>
  <c r="N121" i="1"/>
  <c r="M121" i="1"/>
  <c r="L121" i="1"/>
  <c r="K121" i="1"/>
  <c r="J121" i="1"/>
  <c r="I121" i="1"/>
  <c r="G121" i="1"/>
  <c r="F121" i="1"/>
  <c r="E121" i="1"/>
  <c r="D121" i="1"/>
  <c r="R120" i="1"/>
  <c r="Q120" i="1"/>
  <c r="P120" i="1"/>
  <c r="O120" i="1"/>
  <c r="N120" i="1"/>
  <c r="M120" i="1"/>
  <c r="L120" i="1"/>
  <c r="K120" i="1"/>
  <c r="J120" i="1"/>
  <c r="I120" i="1"/>
  <c r="G120" i="1"/>
  <c r="F120" i="1"/>
  <c r="E120" i="1"/>
  <c r="D120" i="1"/>
  <c r="R119" i="1"/>
  <c r="P119" i="1" s="1"/>
  <c r="Q119" i="1"/>
  <c r="O119" i="1"/>
  <c r="N119" i="1"/>
  <c r="M119" i="1"/>
  <c r="L119" i="1"/>
  <c r="K119" i="1"/>
  <c r="J119" i="1"/>
  <c r="I119" i="1"/>
  <c r="G119" i="1"/>
  <c r="F119" i="1"/>
  <c r="E119" i="1"/>
  <c r="D119" i="1"/>
  <c r="R118" i="1"/>
  <c r="Q118" i="1"/>
  <c r="P118" i="1"/>
  <c r="O118" i="1"/>
  <c r="N118" i="1"/>
  <c r="M118" i="1"/>
  <c r="L118" i="1"/>
  <c r="K118" i="1"/>
  <c r="J118" i="1"/>
  <c r="I118" i="1"/>
  <c r="G118" i="1"/>
  <c r="F118" i="1"/>
  <c r="E118" i="1"/>
  <c r="D118" i="1"/>
  <c r="R117" i="1"/>
  <c r="Q117" i="1"/>
  <c r="P117" i="1"/>
  <c r="O117" i="1"/>
  <c r="N117" i="1"/>
  <c r="M117" i="1"/>
  <c r="L117" i="1"/>
  <c r="K117" i="1"/>
  <c r="J117" i="1"/>
  <c r="I117" i="1"/>
  <c r="G117" i="1"/>
  <c r="F117" i="1"/>
  <c r="E117" i="1"/>
  <c r="D117" i="1"/>
  <c r="R116" i="1"/>
  <c r="P116" i="1" s="1"/>
  <c r="Q116" i="1"/>
  <c r="O116" i="1"/>
  <c r="N116" i="1"/>
  <c r="M116" i="1"/>
  <c r="L116" i="1"/>
  <c r="K116" i="1"/>
  <c r="J116" i="1"/>
  <c r="I116" i="1"/>
  <c r="G116" i="1"/>
  <c r="F116" i="1"/>
  <c r="E116" i="1"/>
  <c r="D116" i="1"/>
  <c r="R115" i="1"/>
  <c r="Q115" i="1"/>
  <c r="P115" i="1"/>
  <c r="O115" i="1"/>
  <c r="N115" i="1"/>
  <c r="M115" i="1"/>
  <c r="L115" i="1"/>
  <c r="K115" i="1"/>
  <c r="J115" i="1"/>
  <c r="I115" i="1"/>
  <c r="G115" i="1"/>
  <c r="F115" i="1"/>
  <c r="E115" i="1"/>
  <c r="D115" i="1"/>
  <c r="R114" i="1"/>
  <c r="Q114" i="1"/>
  <c r="P114" i="1"/>
  <c r="O114" i="1"/>
  <c r="N114" i="1"/>
  <c r="M114" i="1"/>
  <c r="L114" i="1"/>
  <c r="K114" i="1"/>
  <c r="J114" i="1"/>
  <c r="I114" i="1"/>
  <c r="G114" i="1"/>
  <c r="F114" i="1"/>
  <c r="E114" i="1"/>
  <c r="D114" i="1"/>
  <c r="R113" i="1"/>
  <c r="O113" i="1" s="1"/>
  <c r="Q113" i="1"/>
  <c r="P113" i="1"/>
  <c r="N113" i="1"/>
  <c r="M113" i="1"/>
  <c r="L113" i="1"/>
  <c r="K113" i="1"/>
  <c r="J113" i="1"/>
  <c r="I113" i="1"/>
  <c r="G113" i="1"/>
  <c r="F113" i="1"/>
  <c r="E113" i="1"/>
  <c r="D113" i="1"/>
  <c r="R112" i="1"/>
  <c r="Q112" i="1"/>
  <c r="P112" i="1"/>
  <c r="O112" i="1"/>
  <c r="N112" i="1"/>
  <c r="M112" i="1"/>
  <c r="L112" i="1"/>
  <c r="K112" i="1"/>
  <c r="J112" i="1"/>
  <c r="I112" i="1"/>
  <c r="G112" i="1"/>
  <c r="F112" i="1"/>
  <c r="E112" i="1"/>
  <c r="D112" i="1"/>
  <c r="R111" i="1"/>
  <c r="Q111" i="1"/>
  <c r="P111" i="1"/>
  <c r="O111" i="1"/>
  <c r="N111" i="1"/>
  <c r="M111" i="1"/>
  <c r="L111" i="1"/>
  <c r="K111" i="1"/>
  <c r="J111" i="1"/>
  <c r="I111" i="1"/>
  <c r="G111" i="1"/>
  <c r="F111" i="1"/>
  <c r="E111" i="1"/>
  <c r="D111" i="1"/>
  <c r="R110" i="1"/>
  <c r="Q110" i="1"/>
  <c r="P110" i="1"/>
  <c r="O110" i="1"/>
  <c r="N110" i="1"/>
  <c r="M110" i="1"/>
  <c r="L110" i="1"/>
  <c r="K110" i="1"/>
  <c r="J110" i="1"/>
  <c r="I110" i="1"/>
  <c r="G110" i="1"/>
  <c r="F110" i="1"/>
  <c r="E110" i="1"/>
  <c r="D110" i="1"/>
  <c r="R109" i="1"/>
  <c r="P109" i="1" s="1"/>
  <c r="Q109" i="1"/>
  <c r="O109" i="1"/>
  <c r="N109" i="1"/>
  <c r="M109" i="1"/>
  <c r="L109" i="1"/>
  <c r="K109" i="1"/>
  <c r="J109" i="1"/>
  <c r="I109" i="1"/>
  <c r="G109" i="1"/>
  <c r="F109" i="1"/>
  <c r="E109" i="1"/>
  <c r="D109" i="1"/>
  <c r="R108" i="1"/>
  <c r="P108" i="1" s="1"/>
  <c r="Q108" i="1"/>
  <c r="O108" i="1"/>
  <c r="N108" i="1"/>
  <c r="M108" i="1"/>
  <c r="L108" i="1"/>
  <c r="K108" i="1"/>
  <c r="J108" i="1"/>
  <c r="I108" i="1"/>
  <c r="G108" i="1"/>
  <c r="F108" i="1"/>
  <c r="E108" i="1"/>
  <c r="D108" i="1"/>
  <c r="R107" i="1"/>
  <c r="Q107" i="1"/>
  <c r="P107" i="1"/>
  <c r="O107" i="1"/>
  <c r="N107" i="1"/>
  <c r="M107" i="1"/>
  <c r="L107" i="1"/>
  <c r="K107" i="1"/>
  <c r="J107" i="1"/>
  <c r="I107" i="1"/>
  <c r="G107" i="1"/>
  <c r="F107" i="1"/>
  <c r="E107" i="1"/>
  <c r="D107" i="1"/>
  <c r="R106" i="1"/>
  <c r="Q106" i="1"/>
  <c r="P106" i="1"/>
  <c r="O106" i="1"/>
  <c r="N106" i="1"/>
  <c r="M106" i="1"/>
  <c r="L106" i="1"/>
  <c r="K106" i="1"/>
  <c r="J106" i="1"/>
  <c r="I106" i="1"/>
  <c r="G106" i="1"/>
  <c r="F106" i="1"/>
  <c r="E106" i="1"/>
  <c r="D106" i="1"/>
  <c r="R105" i="1"/>
  <c r="Q105" i="1"/>
  <c r="P105" i="1"/>
  <c r="O105" i="1"/>
  <c r="N105" i="1"/>
  <c r="M105" i="1"/>
  <c r="L105" i="1"/>
  <c r="K105" i="1"/>
  <c r="J105" i="1"/>
  <c r="I105" i="1"/>
  <c r="G105" i="1"/>
  <c r="F105" i="1"/>
  <c r="E105" i="1"/>
  <c r="D105" i="1"/>
  <c r="R104" i="1"/>
  <c r="Q104" i="1"/>
  <c r="P104" i="1"/>
  <c r="O104" i="1"/>
  <c r="N104" i="1"/>
  <c r="M104" i="1"/>
  <c r="L104" i="1"/>
  <c r="K104" i="1"/>
  <c r="J104" i="1"/>
  <c r="I104" i="1"/>
  <c r="G104" i="1"/>
  <c r="F104" i="1"/>
  <c r="E104" i="1"/>
  <c r="D104" i="1"/>
  <c r="R103" i="1"/>
  <c r="Q103" i="1"/>
  <c r="P103" i="1"/>
  <c r="O103" i="1"/>
  <c r="N103" i="1"/>
  <c r="M103" i="1"/>
  <c r="L103" i="1"/>
  <c r="K103" i="1"/>
  <c r="J103" i="1"/>
  <c r="I103" i="1"/>
  <c r="G103" i="1"/>
  <c r="F103" i="1"/>
  <c r="E103" i="1"/>
  <c r="D103" i="1"/>
  <c r="R101" i="1"/>
  <c r="Q101" i="1"/>
  <c r="P101" i="1"/>
  <c r="O101" i="1"/>
  <c r="N101" i="1"/>
  <c r="M101" i="1"/>
  <c r="L101" i="1"/>
  <c r="K101" i="1"/>
  <c r="J101" i="1"/>
  <c r="I101" i="1"/>
  <c r="G101" i="1"/>
  <c r="F101" i="1"/>
  <c r="E101" i="1"/>
  <c r="D101" i="1"/>
  <c r="R100" i="1"/>
  <c r="Q100" i="1"/>
  <c r="P100" i="1"/>
  <c r="O100" i="1"/>
  <c r="N100" i="1"/>
  <c r="M100" i="1"/>
  <c r="L100" i="1"/>
  <c r="K100" i="1"/>
  <c r="J100" i="1"/>
  <c r="I100" i="1"/>
  <c r="G100" i="1"/>
  <c r="F100" i="1"/>
  <c r="E100" i="1"/>
  <c r="D100" i="1"/>
  <c r="R99" i="1"/>
  <c r="Q99" i="1"/>
  <c r="P99" i="1"/>
  <c r="O99" i="1"/>
  <c r="N99" i="1"/>
  <c r="M99" i="1"/>
  <c r="L99" i="1"/>
  <c r="K99" i="1"/>
  <c r="J99" i="1"/>
  <c r="I99" i="1"/>
  <c r="G99" i="1"/>
  <c r="F99" i="1"/>
  <c r="E99" i="1"/>
  <c r="D99" i="1"/>
  <c r="R98" i="1"/>
  <c r="Q98" i="1"/>
  <c r="P98" i="1"/>
  <c r="O98" i="1"/>
  <c r="N98" i="1"/>
  <c r="M98" i="1"/>
  <c r="L98" i="1"/>
  <c r="K98" i="1"/>
  <c r="J98" i="1"/>
  <c r="I98" i="1"/>
  <c r="G98" i="1"/>
  <c r="F98" i="1"/>
  <c r="E98" i="1"/>
  <c r="D98" i="1"/>
  <c r="R97" i="1"/>
  <c r="Q97" i="1"/>
  <c r="P97" i="1"/>
  <c r="O97" i="1"/>
  <c r="N97" i="1"/>
  <c r="M97" i="1"/>
  <c r="L97" i="1"/>
  <c r="K97" i="1"/>
  <c r="J97" i="1"/>
  <c r="I97" i="1"/>
  <c r="G97" i="1"/>
  <c r="F97" i="1"/>
  <c r="E97" i="1"/>
  <c r="D97" i="1"/>
  <c r="R96" i="1"/>
  <c r="Q96" i="1"/>
  <c r="P96" i="1"/>
  <c r="O96" i="1"/>
  <c r="N96" i="1"/>
  <c r="M96" i="1"/>
  <c r="L96" i="1"/>
  <c r="K96" i="1"/>
  <c r="J96" i="1"/>
  <c r="I96" i="1"/>
  <c r="G96" i="1"/>
  <c r="F96" i="1"/>
  <c r="E96" i="1"/>
  <c r="D96" i="1"/>
  <c r="R95" i="1"/>
  <c r="Q95" i="1"/>
  <c r="P95" i="1"/>
  <c r="O95" i="1"/>
  <c r="N95" i="1"/>
  <c r="M95" i="1"/>
  <c r="L95" i="1"/>
  <c r="K95" i="1"/>
  <c r="J95" i="1"/>
  <c r="I95" i="1"/>
  <c r="G95" i="1"/>
  <c r="F95" i="1"/>
  <c r="E95" i="1"/>
  <c r="D95" i="1"/>
  <c r="R94" i="1"/>
  <c r="Q94" i="1"/>
  <c r="P94" i="1"/>
  <c r="O94" i="1"/>
  <c r="N94" i="1"/>
  <c r="M94" i="1"/>
  <c r="L94" i="1"/>
  <c r="K94" i="1"/>
  <c r="J94" i="1"/>
  <c r="I94" i="1"/>
  <c r="G94" i="1"/>
  <c r="F94" i="1"/>
  <c r="E94" i="1"/>
  <c r="D94" i="1"/>
  <c r="R93" i="1"/>
  <c r="Q93" i="1"/>
  <c r="P93" i="1"/>
  <c r="O93" i="1"/>
  <c r="N93" i="1"/>
  <c r="M93" i="1"/>
  <c r="L93" i="1"/>
  <c r="K93" i="1"/>
  <c r="J93" i="1"/>
  <c r="I93" i="1"/>
  <c r="G93" i="1"/>
  <c r="F93" i="1"/>
  <c r="E93" i="1"/>
  <c r="D93" i="1"/>
  <c r="R92" i="1"/>
  <c r="Q92" i="1"/>
  <c r="P92" i="1"/>
  <c r="O92" i="1"/>
  <c r="N92" i="1"/>
  <c r="M92" i="1"/>
  <c r="L92" i="1"/>
  <c r="K92" i="1"/>
  <c r="J92" i="1"/>
  <c r="I92" i="1"/>
  <c r="G92" i="1"/>
  <c r="F92" i="1"/>
  <c r="E92" i="1"/>
  <c r="D92" i="1"/>
  <c r="R91" i="1"/>
  <c r="Q91" i="1"/>
  <c r="P91" i="1"/>
  <c r="O91" i="1"/>
  <c r="N91" i="1"/>
  <c r="M91" i="1"/>
  <c r="L91" i="1"/>
  <c r="K91" i="1"/>
  <c r="J91" i="1"/>
  <c r="I91" i="1"/>
  <c r="G91" i="1"/>
  <c r="F91" i="1"/>
  <c r="E91" i="1"/>
  <c r="D91" i="1"/>
  <c r="R90" i="1"/>
  <c r="Q90" i="1"/>
  <c r="P90" i="1"/>
  <c r="O90" i="1"/>
  <c r="N90" i="1"/>
  <c r="M90" i="1"/>
  <c r="L90" i="1"/>
  <c r="K90" i="1"/>
  <c r="J90" i="1"/>
  <c r="I90" i="1"/>
  <c r="G90" i="1"/>
  <c r="F90" i="1"/>
  <c r="E90" i="1"/>
  <c r="D90" i="1"/>
  <c r="R89" i="1"/>
  <c r="Q89" i="1"/>
  <c r="P89" i="1"/>
  <c r="O89" i="1"/>
  <c r="N89" i="1"/>
  <c r="M89" i="1"/>
  <c r="L89" i="1"/>
  <c r="K89" i="1"/>
  <c r="J89" i="1"/>
  <c r="I89" i="1"/>
  <c r="G89" i="1"/>
  <c r="F89" i="1"/>
  <c r="E89" i="1"/>
  <c r="D89" i="1"/>
  <c r="R88" i="1"/>
  <c r="P88" i="1" s="1"/>
  <c r="Q88" i="1"/>
  <c r="O88" i="1"/>
  <c r="N88" i="1"/>
  <c r="M88" i="1"/>
  <c r="L88" i="1"/>
  <c r="K88" i="1"/>
  <c r="J88" i="1"/>
  <c r="I88" i="1"/>
  <c r="G88" i="1"/>
  <c r="F88" i="1"/>
  <c r="E88" i="1"/>
  <c r="D88" i="1"/>
  <c r="R87" i="1"/>
  <c r="P87" i="1" s="1"/>
  <c r="Q87" i="1"/>
  <c r="O87" i="1"/>
  <c r="N87" i="1"/>
  <c r="M87" i="1"/>
  <c r="L87" i="1"/>
  <c r="K87" i="1"/>
  <c r="J87" i="1"/>
  <c r="I87" i="1"/>
  <c r="G87" i="1"/>
  <c r="F87" i="1"/>
  <c r="E87" i="1"/>
  <c r="D87" i="1"/>
  <c r="R86" i="1"/>
  <c r="Q86" i="1"/>
  <c r="P86" i="1"/>
  <c r="O86" i="1"/>
  <c r="N86" i="1"/>
  <c r="M86" i="1"/>
  <c r="L86" i="1"/>
  <c r="K86" i="1"/>
  <c r="J86" i="1"/>
  <c r="I86" i="1"/>
  <c r="G86" i="1"/>
  <c r="F86" i="1"/>
  <c r="E86" i="1"/>
  <c r="D86" i="1"/>
  <c r="R85" i="1"/>
  <c r="P85" i="1" s="1"/>
  <c r="Q85" i="1"/>
  <c r="O85" i="1"/>
  <c r="N85" i="1"/>
  <c r="M85" i="1"/>
  <c r="L85" i="1"/>
  <c r="K85" i="1"/>
  <c r="J85" i="1"/>
  <c r="I85" i="1"/>
  <c r="G85" i="1"/>
  <c r="F85" i="1"/>
  <c r="E85" i="1"/>
  <c r="D85" i="1"/>
  <c r="R84" i="1"/>
  <c r="P84" i="1" s="1"/>
  <c r="Q84" i="1"/>
  <c r="O84" i="1"/>
  <c r="N84" i="1"/>
  <c r="M84" i="1"/>
  <c r="L84" i="1"/>
  <c r="K84" i="1"/>
  <c r="J84" i="1"/>
  <c r="I84" i="1"/>
  <c r="G84" i="1"/>
  <c r="F84" i="1"/>
  <c r="E84" i="1"/>
  <c r="D84" i="1"/>
  <c r="R83" i="1"/>
  <c r="Q83" i="1"/>
  <c r="P83" i="1"/>
  <c r="O83" i="1"/>
  <c r="N83" i="1"/>
  <c r="M83" i="1"/>
  <c r="L83" i="1"/>
  <c r="K83" i="1"/>
  <c r="J83" i="1"/>
  <c r="I83" i="1"/>
  <c r="G83" i="1"/>
  <c r="F83" i="1"/>
  <c r="E83" i="1"/>
  <c r="D83" i="1"/>
  <c r="R82" i="1"/>
  <c r="Q82" i="1"/>
  <c r="P82" i="1"/>
  <c r="O82" i="1"/>
  <c r="N82" i="1"/>
  <c r="M82" i="1"/>
  <c r="L82" i="1"/>
  <c r="K82" i="1"/>
  <c r="J82" i="1"/>
  <c r="I82" i="1"/>
  <c r="G82" i="1"/>
  <c r="F82" i="1"/>
  <c r="E82" i="1"/>
  <c r="D82" i="1"/>
  <c r="R81" i="1"/>
  <c r="O81" i="1" s="1"/>
  <c r="Q81" i="1"/>
  <c r="P81" i="1"/>
  <c r="N81" i="1"/>
  <c r="M81" i="1"/>
  <c r="L81" i="1"/>
  <c r="K81" i="1"/>
  <c r="J81" i="1"/>
  <c r="I81" i="1"/>
  <c r="G81" i="1"/>
  <c r="F81" i="1"/>
  <c r="E81" i="1"/>
  <c r="D81" i="1"/>
  <c r="R80" i="1"/>
  <c r="Q80" i="1"/>
  <c r="P80" i="1"/>
  <c r="O80" i="1"/>
  <c r="N80" i="1"/>
  <c r="M80" i="1"/>
  <c r="L80" i="1"/>
  <c r="K80" i="1"/>
  <c r="J80" i="1"/>
  <c r="I80" i="1"/>
  <c r="G80" i="1"/>
  <c r="F80" i="1"/>
  <c r="E80" i="1"/>
  <c r="D80" i="1"/>
  <c r="R79" i="1"/>
  <c r="Q79" i="1"/>
  <c r="P79" i="1"/>
  <c r="O79" i="1"/>
  <c r="N79" i="1"/>
  <c r="M79" i="1"/>
  <c r="L79" i="1"/>
  <c r="K79" i="1"/>
  <c r="J79" i="1"/>
  <c r="I79" i="1"/>
  <c r="G79" i="1"/>
  <c r="F79" i="1"/>
  <c r="E79" i="1"/>
  <c r="D79" i="1"/>
  <c r="R78" i="1"/>
  <c r="Q78" i="1"/>
  <c r="P78" i="1"/>
  <c r="O78" i="1"/>
  <c r="N78" i="1"/>
  <c r="M78" i="1"/>
  <c r="L78" i="1"/>
  <c r="K78" i="1"/>
  <c r="J78" i="1"/>
  <c r="I78" i="1"/>
  <c r="G78" i="1"/>
  <c r="F78" i="1"/>
  <c r="E78" i="1"/>
  <c r="D78" i="1"/>
  <c r="R77" i="1"/>
  <c r="P77" i="1" s="1"/>
  <c r="Q77" i="1"/>
  <c r="O77" i="1"/>
  <c r="N77" i="1"/>
  <c r="M77" i="1"/>
  <c r="L77" i="1"/>
  <c r="K77" i="1"/>
  <c r="J77" i="1"/>
  <c r="I77" i="1"/>
  <c r="G77" i="1"/>
  <c r="F77" i="1"/>
  <c r="E77" i="1"/>
  <c r="D77" i="1"/>
  <c r="R76" i="1"/>
  <c r="P76" i="1" s="1"/>
  <c r="Q76" i="1"/>
  <c r="O76" i="1"/>
  <c r="N76" i="1"/>
  <c r="M76" i="1"/>
  <c r="L76" i="1"/>
  <c r="K76" i="1"/>
  <c r="J76" i="1"/>
  <c r="I76" i="1"/>
  <c r="G76" i="1"/>
  <c r="F76" i="1"/>
  <c r="E76" i="1"/>
  <c r="D76" i="1"/>
  <c r="R75" i="1"/>
  <c r="Q75" i="1"/>
  <c r="P75" i="1"/>
  <c r="O75" i="1"/>
  <c r="N75" i="1"/>
  <c r="M75" i="1"/>
  <c r="L75" i="1"/>
  <c r="K75" i="1"/>
  <c r="J75" i="1"/>
  <c r="I75" i="1"/>
  <c r="G75" i="1"/>
  <c r="F75" i="1"/>
  <c r="E75" i="1"/>
  <c r="D75" i="1"/>
  <c r="R74" i="1"/>
  <c r="Q74" i="1"/>
  <c r="P74" i="1"/>
  <c r="O74" i="1"/>
  <c r="N74" i="1"/>
  <c r="M74" i="1"/>
  <c r="L74" i="1"/>
  <c r="K74" i="1"/>
  <c r="J74" i="1"/>
  <c r="I74" i="1"/>
  <c r="G74" i="1"/>
  <c r="F74" i="1"/>
  <c r="E74" i="1"/>
  <c r="D74" i="1"/>
  <c r="R73" i="1"/>
  <c r="Q73" i="1"/>
  <c r="P73" i="1"/>
  <c r="O73" i="1"/>
  <c r="N73" i="1"/>
  <c r="M73" i="1"/>
  <c r="L73" i="1"/>
  <c r="K73" i="1"/>
  <c r="J73" i="1"/>
  <c r="I73" i="1"/>
  <c r="G73" i="1"/>
  <c r="F73" i="1"/>
  <c r="E73" i="1"/>
  <c r="D73" i="1"/>
  <c r="R72" i="1"/>
  <c r="Q72" i="1"/>
  <c r="P72" i="1"/>
  <c r="O72" i="1"/>
  <c r="N72" i="1"/>
  <c r="M72" i="1"/>
  <c r="L72" i="1"/>
  <c r="K72" i="1"/>
  <c r="J72" i="1"/>
  <c r="I72" i="1"/>
  <c r="G72" i="1"/>
  <c r="F72" i="1"/>
  <c r="E72" i="1"/>
  <c r="D72" i="1"/>
  <c r="R71" i="1"/>
  <c r="Q71" i="1"/>
  <c r="P71" i="1"/>
  <c r="O71" i="1"/>
  <c r="N71" i="1"/>
  <c r="M71" i="1"/>
  <c r="L71" i="1"/>
  <c r="K71" i="1"/>
  <c r="J71" i="1"/>
  <c r="I71" i="1"/>
  <c r="G71" i="1"/>
  <c r="F71" i="1"/>
  <c r="E71" i="1"/>
  <c r="D71" i="1"/>
  <c r="R69" i="1"/>
  <c r="Q69" i="1"/>
  <c r="P69" i="1"/>
  <c r="O69" i="1"/>
  <c r="N69" i="1"/>
  <c r="M69" i="1"/>
  <c r="L69" i="1"/>
  <c r="K69" i="1"/>
  <c r="J69" i="1"/>
  <c r="I69" i="1"/>
  <c r="G69" i="1"/>
  <c r="F69" i="1"/>
  <c r="E69" i="1"/>
  <c r="D69" i="1"/>
  <c r="R68" i="1"/>
  <c r="Q68" i="1"/>
  <c r="P68" i="1"/>
  <c r="O68" i="1"/>
  <c r="N68" i="1"/>
  <c r="M68" i="1"/>
  <c r="L68" i="1"/>
  <c r="K68" i="1"/>
  <c r="J68" i="1"/>
  <c r="I68" i="1"/>
  <c r="G68" i="1"/>
  <c r="F68" i="1"/>
  <c r="E68" i="1"/>
  <c r="D68" i="1"/>
  <c r="R67" i="1"/>
  <c r="Q67" i="1"/>
  <c r="P67" i="1"/>
  <c r="O67" i="1"/>
  <c r="N67" i="1"/>
  <c r="M67" i="1"/>
  <c r="L67" i="1"/>
  <c r="K67" i="1"/>
  <c r="J67" i="1"/>
  <c r="I67" i="1"/>
  <c r="G67" i="1"/>
  <c r="F67" i="1"/>
  <c r="E67" i="1"/>
  <c r="D67" i="1"/>
  <c r="R66" i="1"/>
  <c r="Q66" i="1"/>
  <c r="P66" i="1"/>
  <c r="O66" i="1"/>
  <c r="N66" i="1"/>
  <c r="M66" i="1"/>
  <c r="L66" i="1"/>
  <c r="K66" i="1"/>
  <c r="J66" i="1"/>
  <c r="I66" i="1"/>
  <c r="G66" i="1"/>
  <c r="F66" i="1"/>
  <c r="E66" i="1"/>
  <c r="D66" i="1"/>
  <c r="R65" i="1"/>
  <c r="Q65" i="1"/>
  <c r="P65" i="1"/>
  <c r="O65" i="1"/>
  <c r="N65" i="1"/>
  <c r="M65" i="1"/>
  <c r="L65" i="1"/>
  <c r="K65" i="1"/>
  <c r="J65" i="1"/>
  <c r="I65" i="1"/>
  <c r="G65" i="1"/>
  <c r="F65" i="1"/>
  <c r="E65" i="1"/>
  <c r="D65" i="1"/>
  <c r="R64" i="1"/>
  <c r="Q64" i="1"/>
  <c r="P64" i="1"/>
  <c r="O64" i="1"/>
  <c r="N64" i="1"/>
  <c r="M64" i="1"/>
  <c r="L64" i="1"/>
  <c r="K64" i="1"/>
  <c r="J64" i="1"/>
  <c r="I64" i="1"/>
  <c r="G64" i="1"/>
  <c r="F64" i="1"/>
  <c r="E64" i="1"/>
  <c r="D64" i="1"/>
  <c r="R63" i="1"/>
  <c r="Q63" i="1"/>
  <c r="P63" i="1"/>
  <c r="O63" i="1"/>
  <c r="N63" i="1"/>
  <c r="M63" i="1"/>
  <c r="L63" i="1"/>
  <c r="K63" i="1"/>
  <c r="J63" i="1"/>
  <c r="I63" i="1"/>
  <c r="G63" i="1"/>
  <c r="F63" i="1"/>
  <c r="E63" i="1"/>
  <c r="D63" i="1"/>
  <c r="R62" i="1"/>
  <c r="Q62" i="1"/>
  <c r="P62" i="1"/>
  <c r="O62" i="1"/>
  <c r="N62" i="1"/>
  <c r="M62" i="1"/>
  <c r="L62" i="1"/>
  <c r="K62" i="1"/>
  <c r="J62" i="1"/>
  <c r="I62" i="1"/>
  <c r="G62" i="1"/>
  <c r="F62" i="1"/>
  <c r="E62" i="1"/>
  <c r="D62" i="1"/>
  <c r="R61" i="1"/>
  <c r="Q61" i="1"/>
  <c r="P61" i="1"/>
  <c r="O61" i="1"/>
  <c r="N61" i="1"/>
  <c r="M61" i="1"/>
  <c r="L61" i="1"/>
  <c r="K61" i="1"/>
  <c r="J61" i="1"/>
  <c r="I61" i="1"/>
  <c r="G61" i="1"/>
  <c r="F61" i="1"/>
  <c r="E61" i="1"/>
  <c r="D61" i="1"/>
  <c r="R60" i="1"/>
  <c r="Q60" i="1"/>
  <c r="P60" i="1"/>
  <c r="O60" i="1"/>
  <c r="N60" i="1"/>
  <c r="M60" i="1"/>
  <c r="L60" i="1"/>
  <c r="K60" i="1"/>
  <c r="J60" i="1"/>
  <c r="I60" i="1"/>
  <c r="G60" i="1"/>
  <c r="F60" i="1"/>
  <c r="E60" i="1"/>
  <c r="D60" i="1"/>
  <c r="R59" i="1"/>
  <c r="Q59" i="1"/>
  <c r="P59" i="1"/>
  <c r="O59" i="1"/>
  <c r="N59" i="1"/>
  <c r="M59" i="1"/>
  <c r="L59" i="1"/>
  <c r="K59" i="1"/>
  <c r="J59" i="1"/>
  <c r="I59" i="1"/>
  <c r="G59" i="1"/>
  <c r="F59" i="1"/>
  <c r="E59" i="1"/>
  <c r="D59" i="1"/>
  <c r="R58" i="1"/>
  <c r="Q58" i="1"/>
  <c r="P58" i="1"/>
  <c r="O58" i="1"/>
  <c r="N58" i="1"/>
  <c r="M58" i="1"/>
  <c r="L58" i="1"/>
  <c r="K58" i="1"/>
  <c r="J58" i="1"/>
  <c r="I58" i="1"/>
  <c r="G58" i="1"/>
  <c r="F58" i="1"/>
  <c r="E58" i="1"/>
  <c r="D58" i="1"/>
  <c r="R57" i="1"/>
  <c r="Q57" i="1"/>
  <c r="P57" i="1"/>
  <c r="O57" i="1"/>
  <c r="N57" i="1"/>
  <c r="M57" i="1"/>
  <c r="L57" i="1"/>
  <c r="K57" i="1"/>
  <c r="J57" i="1"/>
  <c r="I57" i="1"/>
  <c r="G57" i="1"/>
  <c r="F57" i="1"/>
  <c r="E57" i="1"/>
  <c r="D57" i="1"/>
  <c r="R56" i="1"/>
  <c r="P56" i="1" s="1"/>
  <c r="Q56" i="1"/>
  <c r="O56" i="1"/>
  <c r="N56" i="1"/>
  <c r="M56" i="1"/>
  <c r="L56" i="1"/>
  <c r="K56" i="1"/>
  <c r="J56" i="1"/>
  <c r="I56" i="1"/>
  <c r="G56" i="1"/>
  <c r="F56" i="1"/>
  <c r="E56" i="1"/>
  <c r="D56" i="1"/>
  <c r="R55" i="1"/>
  <c r="P55" i="1" s="1"/>
  <c r="Q55" i="1"/>
  <c r="O55" i="1"/>
  <c r="N55" i="1"/>
  <c r="M55" i="1"/>
  <c r="L55" i="1"/>
  <c r="K55" i="1"/>
  <c r="J55" i="1"/>
  <c r="I55" i="1"/>
  <c r="G55" i="1"/>
  <c r="F55" i="1"/>
  <c r="E55" i="1"/>
  <c r="D55" i="1"/>
  <c r="R54" i="1"/>
  <c r="Q54" i="1"/>
  <c r="P54" i="1"/>
  <c r="O54" i="1"/>
  <c r="N54" i="1"/>
  <c r="M54" i="1"/>
  <c r="L54" i="1"/>
  <c r="K54" i="1"/>
  <c r="J54" i="1"/>
  <c r="I54" i="1"/>
  <c r="G54" i="1"/>
  <c r="F54" i="1"/>
  <c r="E54" i="1"/>
  <c r="D54" i="1"/>
  <c r="R53" i="1"/>
  <c r="P53" i="1" s="1"/>
  <c r="Q53" i="1"/>
  <c r="O53" i="1"/>
  <c r="N53" i="1"/>
  <c r="M53" i="1"/>
  <c r="L53" i="1"/>
  <c r="K53" i="1"/>
  <c r="J53" i="1"/>
  <c r="I53" i="1"/>
  <c r="G53" i="1"/>
  <c r="F53" i="1"/>
  <c r="E53" i="1"/>
  <c r="D53" i="1"/>
  <c r="R52" i="1"/>
  <c r="Q52" i="1"/>
  <c r="P52" i="1"/>
  <c r="O52" i="1"/>
  <c r="N52" i="1"/>
  <c r="M52" i="1"/>
  <c r="L52" i="1"/>
  <c r="K52" i="1"/>
  <c r="J52" i="1"/>
  <c r="I52" i="1"/>
  <c r="G52" i="1"/>
  <c r="F52" i="1"/>
  <c r="E52" i="1"/>
  <c r="D52" i="1"/>
  <c r="R51" i="1"/>
  <c r="Q51" i="1"/>
  <c r="P51" i="1"/>
  <c r="O51" i="1"/>
  <c r="N51" i="1"/>
  <c r="M51" i="1"/>
  <c r="L51" i="1"/>
  <c r="K51" i="1"/>
  <c r="J51" i="1"/>
  <c r="I51" i="1"/>
  <c r="G51" i="1"/>
  <c r="F51" i="1"/>
  <c r="E51" i="1"/>
  <c r="D51" i="1"/>
  <c r="R50" i="1"/>
  <c r="P50" i="1" s="1"/>
  <c r="Q50" i="1"/>
  <c r="O50" i="1"/>
  <c r="N50" i="1"/>
  <c r="M50" i="1"/>
  <c r="L50" i="1"/>
  <c r="K50" i="1"/>
  <c r="J50" i="1"/>
  <c r="I50" i="1"/>
  <c r="G50" i="1"/>
  <c r="F50" i="1"/>
  <c r="E50" i="1"/>
  <c r="D50" i="1"/>
  <c r="R49" i="1"/>
  <c r="Q49" i="1"/>
  <c r="P49" i="1"/>
  <c r="O49" i="1"/>
  <c r="N49" i="1"/>
  <c r="M49" i="1"/>
  <c r="L49" i="1"/>
  <c r="K49" i="1"/>
  <c r="J49" i="1"/>
  <c r="I49" i="1"/>
  <c r="G49" i="1"/>
  <c r="F49" i="1"/>
  <c r="E49" i="1"/>
  <c r="D49" i="1"/>
  <c r="R48" i="1"/>
  <c r="Q48" i="1"/>
  <c r="P48" i="1"/>
  <c r="O48" i="1"/>
  <c r="N48" i="1"/>
  <c r="M48" i="1"/>
  <c r="L48" i="1"/>
  <c r="K48" i="1"/>
  <c r="J48" i="1"/>
  <c r="I48" i="1"/>
  <c r="G48" i="1"/>
  <c r="F48" i="1"/>
  <c r="E48" i="1"/>
  <c r="D48" i="1"/>
  <c r="R47" i="1"/>
  <c r="O47" i="1" s="1"/>
  <c r="Q47" i="1"/>
  <c r="P47" i="1"/>
  <c r="N47" i="1"/>
  <c r="M47" i="1"/>
  <c r="L47" i="1"/>
  <c r="K47" i="1"/>
  <c r="J47" i="1"/>
  <c r="I47" i="1"/>
  <c r="G47" i="1"/>
  <c r="F47" i="1"/>
  <c r="E47" i="1"/>
  <c r="D47" i="1"/>
  <c r="R46" i="1"/>
  <c r="Q46" i="1"/>
  <c r="P46" i="1"/>
  <c r="O46" i="1"/>
  <c r="N46" i="1"/>
  <c r="M46" i="1"/>
  <c r="L46" i="1"/>
  <c r="K46" i="1"/>
  <c r="J46" i="1"/>
  <c r="I46" i="1"/>
  <c r="G46" i="1"/>
  <c r="F46" i="1"/>
  <c r="E46" i="1"/>
  <c r="D46" i="1"/>
  <c r="R45" i="1"/>
  <c r="Q45" i="1"/>
  <c r="P45" i="1"/>
  <c r="O45" i="1"/>
  <c r="N45" i="1"/>
  <c r="M45" i="1"/>
  <c r="L45" i="1"/>
  <c r="K45" i="1"/>
  <c r="J45" i="1"/>
  <c r="I45" i="1"/>
  <c r="G45" i="1"/>
  <c r="F45" i="1"/>
  <c r="E45" i="1"/>
  <c r="D45" i="1"/>
  <c r="R44" i="1"/>
  <c r="Q44" i="1"/>
  <c r="P44" i="1"/>
  <c r="O44" i="1"/>
  <c r="N44" i="1"/>
  <c r="M44" i="1"/>
  <c r="L44" i="1"/>
  <c r="K44" i="1"/>
  <c r="J44" i="1"/>
  <c r="I44" i="1"/>
  <c r="G44" i="1"/>
  <c r="F44" i="1"/>
  <c r="E44" i="1"/>
  <c r="D44" i="1"/>
  <c r="R43" i="1"/>
  <c r="P43" i="1" s="1"/>
  <c r="Q43" i="1"/>
  <c r="O43" i="1"/>
  <c r="N43" i="1"/>
  <c r="M43" i="1"/>
  <c r="L43" i="1"/>
  <c r="K43" i="1"/>
  <c r="J43" i="1"/>
  <c r="I43" i="1"/>
  <c r="G43" i="1"/>
  <c r="F43" i="1"/>
  <c r="E43" i="1"/>
  <c r="D43" i="1"/>
  <c r="R42" i="1"/>
  <c r="P42" i="1" s="1"/>
  <c r="Q42" i="1"/>
  <c r="O42" i="1"/>
  <c r="N42" i="1"/>
  <c r="M42" i="1"/>
  <c r="L42" i="1"/>
  <c r="K42" i="1"/>
  <c r="J42" i="1"/>
  <c r="I42" i="1"/>
  <c r="G42" i="1"/>
  <c r="F42" i="1"/>
  <c r="E42" i="1"/>
  <c r="D42" i="1"/>
  <c r="R41" i="1"/>
  <c r="Q41" i="1"/>
  <c r="P41" i="1"/>
  <c r="O41" i="1"/>
  <c r="N41" i="1"/>
  <c r="M41" i="1"/>
  <c r="L41" i="1"/>
  <c r="K41" i="1"/>
  <c r="J41" i="1"/>
  <c r="I41" i="1"/>
  <c r="G41" i="1"/>
  <c r="F41" i="1"/>
  <c r="E41" i="1"/>
  <c r="D41" i="1"/>
  <c r="R40" i="1"/>
  <c r="Q40" i="1"/>
  <c r="P40" i="1"/>
  <c r="O40" i="1"/>
  <c r="N40" i="1"/>
  <c r="M40" i="1"/>
  <c r="L40" i="1"/>
  <c r="K40" i="1"/>
  <c r="J40" i="1"/>
  <c r="I40" i="1"/>
  <c r="G40" i="1"/>
  <c r="F40" i="1"/>
  <c r="E40" i="1"/>
  <c r="D40" i="1"/>
  <c r="R39" i="1"/>
  <c r="Q39" i="1"/>
  <c r="P39" i="1"/>
  <c r="O39" i="1"/>
  <c r="N39" i="1"/>
  <c r="M39" i="1"/>
  <c r="L39" i="1"/>
  <c r="K39" i="1"/>
  <c r="J39" i="1"/>
  <c r="I39" i="1"/>
  <c r="G39" i="1"/>
  <c r="F39" i="1"/>
  <c r="E39" i="1"/>
  <c r="D39" i="1"/>
  <c r="R38" i="1"/>
  <c r="Q38" i="1"/>
  <c r="P38" i="1"/>
  <c r="O38" i="1"/>
  <c r="N38" i="1"/>
  <c r="M38" i="1"/>
  <c r="L38" i="1"/>
  <c r="K38" i="1"/>
  <c r="J38" i="1"/>
  <c r="I38" i="1"/>
  <c r="G38" i="1"/>
  <c r="F38" i="1"/>
  <c r="E38" i="1"/>
  <c r="D38" i="1"/>
  <c r="R37" i="1"/>
  <c r="Q37" i="1"/>
  <c r="P37" i="1"/>
  <c r="O37" i="1"/>
  <c r="N37" i="1"/>
  <c r="M37" i="1"/>
  <c r="L37" i="1"/>
  <c r="K37" i="1"/>
  <c r="J37" i="1"/>
  <c r="I37" i="1"/>
  <c r="G37" i="1"/>
  <c r="F37" i="1"/>
  <c r="E37" i="1"/>
  <c r="D37" i="1"/>
  <c r="R35" i="1"/>
  <c r="Q35" i="1"/>
  <c r="P35" i="1"/>
  <c r="O35" i="1"/>
  <c r="N35" i="1"/>
  <c r="M35" i="1"/>
  <c r="L35" i="1"/>
  <c r="K35" i="1"/>
  <c r="J35" i="1"/>
  <c r="I35" i="1"/>
  <c r="G35" i="1"/>
  <c r="F35" i="1"/>
  <c r="E35" i="1"/>
  <c r="D35" i="1"/>
  <c r="R34" i="1"/>
  <c r="Q34" i="1"/>
  <c r="P34" i="1"/>
  <c r="O34" i="1"/>
  <c r="N34" i="1"/>
  <c r="M34" i="1"/>
  <c r="L34" i="1"/>
  <c r="K34" i="1"/>
  <c r="J34" i="1"/>
  <c r="I34" i="1"/>
  <c r="G34" i="1"/>
  <c r="F34" i="1"/>
  <c r="E34" i="1"/>
  <c r="D34" i="1"/>
  <c r="R33" i="1"/>
  <c r="Q33" i="1"/>
  <c r="P33" i="1"/>
  <c r="O33" i="1"/>
  <c r="N33" i="1"/>
  <c r="M33" i="1"/>
  <c r="L33" i="1"/>
  <c r="K33" i="1"/>
  <c r="J33" i="1"/>
  <c r="I33" i="1"/>
  <c r="G33" i="1"/>
  <c r="F33" i="1"/>
  <c r="E33" i="1"/>
  <c r="D33" i="1"/>
  <c r="R32" i="1"/>
  <c r="Q32" i="1"/>
  <c r="P32" i="1"/>
  <c r="O32" i="1"/>
  <c r="N32" i="1"/>
  <c r="M32" i="1"/>
  <c r="L32" i="1"/>
  <c r="K32" i="1"/>
  <c r="J32" i="1"/>
  <c r="I32" i="1"/>
  <c r="G32" i="1"/>
  <c r="F32" i="1"/>
  <c r="E32" i="1"/>
  <c r="D32" i="1"/>
  <c r="R31" i="1"/>
  <c r="Q31" i="1"/>
  <c r="P31" i="1"/>
  <c r="O31" i="1"/>
  <c r="N31" i="1"/>
  <c r="M31" i="1"/>
  <c r="L31" i="1"/>
  <c r="K31" i="1"/>
  <c r="J31" i="1"/>
  <c r="I31" i="1"/>
  <c r="G31" i="1"/>
  <c r="F31" i="1"/>
  <c r="E31" i="1"/>
  <c r="D31" i="1"/>
  <c r="R30" i="1"/>
  <c r="Q30" i="1"/>
  <c r="P30" i="1"/>
  <c r="O30" i="1"/>
  <c r="N30" i="1"/>
  <c r="M30" i="1"/>
  <c r="L30" i="1"/>
  <c r="K30" i="1"/>
  <c r="J30" i="1"/>
  <c r="I30" i="1"/>
  <c r="G30" i="1"/>
  <c r="F30" i="1"/>
  <c r="E30" i="1"/>
  <c r="D30" i="1"/>
  <c r="R29" i="1"/>
  <c r="Q29" i="1"/>
  <c r="P29" i="1"/>
  <c r="O29" i="1"/>
  <c r="N29" i="1"/>
  <c r="M29" i="1"/>
  <c r="L29" i="1"/>
  <c r="K29" i="1"/>
  <c r="J29" i="1"/>
  <c r="I29" i="1"/>
  <c r="G29" i="1"/>
  <c r="F29" i="1"/>
  <c r="E29" i="1"/>
  <c r="D29" i="1"/>
  <c r="R28" i="1"/>
  <c r="Q28" i="1"/>
  <c r="P28" i="1"/>
  <c r="O28" i="1"/>
  <c r="N28" i="1"/>
  <c r="M28" i="1"/>
  <c r="L28" i="1"/>
  <c r="K28" i="1"/>
  <c r="J28" i="1"/>
  <c r="I28" i="1"/>
  <c r="G28" i="1"/>
  <c r="F28" i="1"/>
  <c r="E28" i="1"/>
  <c r="D28" i="1"/>
  <c r="R27" i="1"/>
  <c r="Q27" i="1"/>
  <c r="P27" i="1"/>
  <c r="O27" i="1"/>
  <c r="N27" i="1"/>
  <c r="M27" i="1"/>
  <c r="L27" i="1"/>
  <c r="K27" i="1"/>
  <c r="J27" i="1"/>
  <c r="I27" i="1"/>
  <c r="G27" i="1"/>
  <c r="F27" i="1"/>
  <c r="E27" i="1"/>
  <c r="D27" i="1"/>
  <c r="R26" i="1"/>
  <c r="Q26" i="1"/>
  <c r="P26" i="1"/>
  <c r="O26" i="1"/>
  <c r="N26" i="1"/>
  <c r="M26" i="1"/>
  <c r="L26" i="1"/>
  <c r="K26" i="1"/>
  <c r="J26" i="1"/>
  <c r="I26" i="1"/>
  <c r="G26" i="1"/>
  <c r="F26" i="1"/>
  <c r="E26" i="1"/>
  <c r="D26" i="1"/>
  <c r="R25" i="1"/>
  <c r="Q25" i="1"/>
  <c r="P25" i="1"/>
  <c r="O25" i="1"/>
  <c r="N25" i="1"/>
  <c r="M25" i="1"/>
  <c r="L25" i="1"/>
  <c r="K25" i="1"/>
  <c r="J25" i="1"/>
  <c r="I25" i="1"/>
  <c r="G25" i="1"/>
  <c r="F25" i="1"/>
  <c r="E25" i="1"/>
  <c r="D25" i="1"/>
  <c r="R24" i="1"/>
  <c r="Q24" i="1"/>
  <c r="P24" i="1"/>
  <c r="O24" i="1"/>
  <c r="N24" i="1"/>
  <c r="M24" i="1"/>
  <c r="L24" i="1"/>
  <c r="K24" i="1"/>
  <c r="J24" i="1"/>
  <c r="I24" i="1"/>
  <c r="G24" i="1"/>
  <c r="F24" i="1"/>
  <c r="E24" i="1"/>
  <c r="D24" i="1"/>
  <c r="R23" i="1"/>
  <c r="Q23" i="1"/>
  <c r="P23" i="1"/>
  <c r="O23" i="1"/>
  <c r="N23" i="1"/>
  <c r="M23" i="1"/>
  <c r="L23" i="1"/>
  <c r="K23" i="1"/>
  <c r="J23" i="1"/>
  <c r="I23" i="1"/>
  <c r="G23" i="1"/>
  <c r="F23" i="1"/>
  <c r="E23" i="1"/>
  <c r="D23" i="1"/>
  <c r="R22" i="1"/>
  <c r="P22" i="1" s="1"/>
  <c r="Q22" i="1"/>
  <c r="O22" i="1"/>
  <c r="N22" i="1"/>
  <c r="M22" i="1"/>
  <c r="L22" i="1"/>
  <c r="K22" i="1"/>
  <c r="J22" i="1"/>
  <c r="I22" i="1"/>
  <c r="G22" i="1"/>
  <c r="F22" i="1"/>
  <c r="E22" i="1"/>
  <c r="D22" i="1"/>
  <c r="R21" i="1"/>
  <c r="P21" i="1" s="1"/>
  <c r="Q21" i="1"/>
  <c r="O21" i="1"/>
  <c r="N21" i="1"/>
  <c r="M21" i="1"/>
  <c r="L21" i="1"/>
  <c r="K21" i="1"/>
  <c r="J21" i="1"/>
  <c r="I21" i="1"/>
  <c r="G21" i="1"/>
  <c r="F21" i="1"/>
  <c r="E21" i="1"/>
  <c r="D21" i="1"/>
  <c r="R20" i="1"/>
  <c r="Q20" i="1"/>
  <c r="P20" i="1"/>
  <c r="O20" i="1"/>
  <c r="N20" i="1"/>
  <c r="M20" i="1"/>
  <c r="L20" i="1"/>
  <c r="K20" i="1"/>
  <c r="J20" i="1"/>
  <c r="I20" i="1"/>
  <c r="G20" i="1"/>
  <c r="F20" i="1"/>
  <c r="E20" i="1"/>
  <c r="D20" i="1"/>
  <c r="R19" i="1"/>
  <c r="P19" i="1" s="1"/>
  <c r="Q19" i="1"/>
  <c r="O19" i="1"/>
  <c r="N19" i="1"/>
  <c r="M19" i="1"/>
  <c r="L19" i="1"/>
  <c r="K19" i="1"/>
  <c r="J19" i="1"/>
  <c r="I19" i="1"/>
  <c r="G19" i="1"/>
  <c r="F19" i="1"/>
  <c r="E19" i="1"/>
  <c r="D19" i="1"/>
  <c r="R18" i="1"/>
  <c r="Q18" i="1"/>
  <c r="P18" i="1"/>
  <c r="O18" i="1"/>
  <c r="N18" i="1"/>
  <c r="M18" i="1"/>
  <c r="L18" i="1"/>
  <c r="K18" i="1"/>
  <c r="J18" i="1"/>
  <c r="I18" i="1"/>
  <c r="G18" i="1"/>
  <c r="F18" i="1"/>
  <c r="E18" i="1"/>
  <c r="D18" i="1"/>
  <c r="R17" i="1"/>
  <c r="Q17" i="1"/>
  <c r="P17" i="1"/>
  <c r="O17" i="1"/>
  <c r="N17" i="1"/>
  <c r="M17" i="1"/>
  <c r="L17" i="1"/>
  <c r="K17" i="1"/>
  <c r="J17" i="1"/>
  <c r="I17" i="1"/>
  <c r="G17" i="1"/>
  <c r="F17" i="1"/>
  <c r="E17" i="1"/>
  <c r="D17" i="1"/>
  <c r="R16" i="1"/>
  <c r="P16" i="1" s="1"/>
  <c r="Q16" i="1"/>
  <c r="O16" i="1"/>
  <c r="N16" i="1"/>
  <c r="M16" i="1"/>
  <c r="L16" i="1"/>
  <c r="K16" i="1"/>
  <c r="J16" i="1"/>
  <c r="I16" i="1"/>
  <c r="G16" i="1"/>
  <c r="F16" i="1"/>
  <c r="E16" i="1"/>
  <c r="D16" i="1"/>
  <c r="R15" i="1"/>
  <c r="Q15" i="1"/>
  <c r="P15" i="1"/>
  <c r="O15" i="1"/>
  <c r="N15" i="1"/>
  <c r="M15" i="1"/>
  <c r="L15" i="1"/>
  <c r="K15" i="1"/>
  <c r="J15" i="1"/>
  <c r="I15" i="1"/>
  <c r="G15" i="1"/>
  <c r="F15" i="1"/>
  <c r="E15" i="1"/>
  <c r="D15" i="1"/>
  <c r="R14" i="1"/>
  <c r="Q14" i="1"/>
  <c r="P14" i="1"/>
  <c r="O14" i="1"/>
  <c r="N14" i="1"/>
  <c r="M14" i="1"/>
  <c r="L14" i="1"/>
  <c r="K14" i="1"/>
  <c r="J14" i="1"/>
  <c r="I14" i="1"/>
  <c r="G14" i="1"/>
  <c r="F14" i="1"/>
  <c r="E14" i="1"/>
  <c r="D14" i="1"/>
  <c r="R13" i="1"/>
  <c r="O13" i="1" s="1"/>
  <c r="Q13" i="1"/>
  <c r="P13" i="1"/>
  <c r="N13" i="1"/>
  <c r="M13" i="1"/>
  <c r="L13" i="1"/>
  <c r="K13" i="1"/>
  <c r="J13" i="1"/>
  <c r="I13" i="1"/>
  <c r="G13" i="1"/>
  <c r="F13" i="1"/>
  <c r="E13" i="1"/>
  <c r="D13" i="1"/>
  <c r="R12" i="1"/>
  <c r="Q12" i="1"/>
  <c r="P12" i="1"/>
  <c r="O12" i="1"/>
  <c r="N12" i="1"/>
  <c r="M12" i="1"/>
  <c r="L12" i="1"/>
  <c r="K12" i="1"/>
  <c r="J12" i="1"/>
  <c r="I12" i="1"/>
  <c r="G12" i="1"/>
  <c r="F12" i="1"/>
  <c r="E12" i="1"/>
  <c r="D12" i="1"/>
  <c r="R11" i="1"/>
  <c r="Q11" i="1"/>
  <c r="P11" i="1"/>
  <c r="O11" i="1"/>
  <c r="N11" i="1"/>
  <c r="M11" i="1"/>
  <c r="L11" i="1"/>
  <c r="K11" i="1"/>
  <c r="J11" i="1"/>
  <c r="I11" i="1"/>
  <c r="G11" i="1"/>
  <c r="F11" i="1"/>
  <c r="E11" i="1"/>
  <c r="D11" i="1"/>
  <c r="R10" i="1"/>
  <c r="Q10" i="1"/>
  <c r="P10" i="1"/>
  <c r="O10" i="1"/>
  <c r="N10" i="1"/>
  <c r="M10" i="1"/>
  <c r="L10" i="1"/>
  <c r="K10" i="1"/>
  <c r="J10" i="1"/>
  <c r="I10" i="1"/>
  <c r="G10" i="1"/>
  <c r="F10" i="1"/>
  <c r="E10" i="1"/>
  <c r="D10" i="1"/>
  <c r="R9" i="1"/>
  <c r="P9" i="1" s="1"/>
  <c r="Q9" i="1"/>
  <c r="O9" i="1"/>
  <c r="N9" i="1"/>
  <c r="M9" i="1"/>
  <c r="L9" i="1"/>
  <c r="K9" i="1"/>
  <c r="J9" i="1"/>
  <c r="I9" i="1"/>
  <c r="G9" i="1"/>
  <c r="F9" i="1"/>
  <c r="E9" i="1"/>
  <c r="D9" i="1"/>
  <c r="R8" i="1"/>
  <c r="P8" i="1" s="1"/>
  <c r="Q8" i="1"/>
  <c r="O8" i="1"/>
  <c r="N8" i="1"/>
  <c r="M8" i="1"/>
  <c r="L8" i="1"/>
  <c r="K8" i="1"/>
  <c r="J8" i="1"/>
  <c r="I8" i="1"/>
  <c r="G8" i="1"/>
  <c r="F8" i="1"/>
  <c r="E8" i="1"/>
  <c r="D8" i="1"/>
  <c r="R7" i="1"/>
  <c r="Q7" i="1"/>
  <c r="P7" i="1"/>
  <c r="O7" i="1"/>
  <c r="N7" i="1"/>
  <c r="M7" i="1"/>
  <c r="L7" i="1"/>
  <c r="K7" i="1"/>
  <c r="J7" i="1"/>
  <c r="I7" i="1"/>
  <c r="G7" i="1"/>
  <c r="F7" i="1"/>
  <c r="E7" i="1"/>
  <c r="D7" i="1"/>
  <c r="R6" i="1"/>
  <c r="Q6" i="1"/>
  <c r="P6" i="1"/>
  <c r="O6" i="1"/>
  <c r="N6" i="1"/>
  <c r="M6" i="1"/>
  <c r="L6" i="1"/>
  <c r="K6" i="1"/>
  <c r="J6" i="1"/>
  <c r="I6" i="1"/>
  <c r="G6" i="1"/>
  <c r="F6" i="1"/>
  <c r="E6" i="1"/>
  <c r="D6" i="1"/>
  <c r="R5" i="1"/>
  <c r="Q5" i="1"/>
  <c r="P5" i="1"/>
  <c r="O5" i="1"/>
  <c r="N5" i="1"/>
  <c r="M5" i="1"/>
  <c r="L5" i="1"/>
  <c r="K5" i="1"/>
  <c r="J5" i="1"/>
  <c r="I5" i="1"/>
  <c r="G5" i="1"/>
  <c r="F5" i="1"/>
  <c r="E5" i="1"/>
  <c r="D5" i="1"/>
  <c r="R4" i="1"/>
  <c r="Q4" i="1"/>
  <c r="P4" i="1"/>
  <c r="O4" i="1"/>
  <c r="N4" i="1"/>
  <c r="M4" i="1"/>
  <c r="L4" i="1"/>
  <c r="K4" i="1"/>
  <c r="J4" i="1"/>
  <c r="I4" i="1"/>
  <c r="G4" i="1"/>
  <c r="F4" i="1"/>
  <c r="E4" i="1"/>
  <c r="R3" i="1"/>
  <c r="Q3" i="1"/>
  <c r="P3" i="1"/>
  <c r="O3" i="1"/>
  <c r="N3" i="1"/>
  <c r="M3" i="1"/>
  <c r="L3" i="1"/>
  <c r="K3" i="1"/>
  <c r="J3" i="1"/>
  <c r="I3" i="1"/>
  <c r="G3" i="1"/>
  <c r="F3" i="1"/>
  <c r="E3" i="1"/>
  <c r="D3" i="1"/>
  <c r="D4" i="1"/>
  <c r="F42" i="75" l="1"/>
  <c r="F44" i="75" s="1"/>
  <c r="C102" i="75" s="1"/>
  <c r="E102" i="75" s="1"/>
  <c r="O44" i="75"/>
  <c r="R1330" i="34"/>
  <c r="P1330" i="34"/>
  <c r="O1330" i="34"/>
  <c r="N1330" i="34"/>
  <c r="M1330" i="34"/>
  <c r="L1330" i="34"/>
  <c r="K1330" i="34"/>
  <c r="J1330" i="34"/>
  <c r="I1330" i="34"/>
  <c r="H1330" i="34"/>
  <c r="G1330" i="34"/>
  <c r="F1330" i="34"/>
  <c r="E1330" i="34"/>
  <c r="R1329" i="34"/>
  <c r="P1329" i="34"/>
  <c r="O1329" i="34"/>
  <c r="N1329" i="34"/>
  <c r="M1329" i="34"/>
  <c r="L1329" i="34"/>
  <c r="K1329" i="34"/>
  <c r="J1329" i="34"/>
  <c r="I1329" i="34"/>
  <c r="H1329" i="34"/>
  <c r="G1329" i="34"/>
  <c r="F1329" i="34"/>
  <c r="E1329" i="34"/>
  <c r="R1328" i="34"/>
  <c r="P1328" i="34"/>
  <c r="O1328" i="34"/>
  <c r="N1328" i="34"/>
  <c r="M1328" i="34"/>
  <c r="L1328" i="34"/>
  <c r="K1328" i="34"/>
  <c r="J1328" i="34"/>
  <c r="I1328" i="34"/>
  <c r="H1328" i="34"/>
  <c r="G1328" i="34"/>
  <c r="F1328" i="34"/>
  <c r="E1328" i="34"/>
  <c r="R1327" i="34"/>
  <c r="P1327" i="34"/>
  <c r="O1327" i="34"/>
  <c r="N1327" i="34"/>
  <c r="M1327" i="34"/>
  <c r="L1327" i="34"/>
  <c r="K1327" i="34"/>
  <c r="J1327" i="34"/>
  <c r="I1327" i="34"/>
  <c r="H1327" i="34"/>
  <c r="G1327" i="34"/>
  <c r="F1327" i="34"/>
  <c r="E1327" i="34"/>
  <c r="R1326" i="34"/>
  <c r="P1326" i="34"/>
  <c r="O1326" i="34"/>
  <c r="N1326" i="34"/>
  <c r="M1326" i="34"/>
  <c r="L1326" i="34"/>
  <c r="K1326" i="34"/>
  <c r="J1326" i="34"/>
  <c r="I1326" i="34"/>
  <c r="H1326" i="34"/>
  <c r="G1326" i="34"/>
  <c r="F1326" i="34"/>
  <c r="E1326" i="34"/>
  <c r="R1325" i="34"/>
  <c r="P1325" i="34"/>
  <c r="O1325" i="34"/>
  <c r="N1325" i="34"/>
  <c r="M1325" i="34"/>
  <c r="L1325" i="34"/>
  <c r="K1325" i="34"/>
  <c r="J1325" i="34"/>
  <c r="I1325" i="34"/>
  <c r="H1325" i="34"/>
  <c r="G1325" i="34"/>
  <c r="F1325" i="34"/>
  <c r="E1325" i="34"/>
  <c r="R1324" i="34"/>
  <c r="P1324" i="34"/>
  <c r="O1324" i="34"/>
  <c r="N1324" i="34"/>
  <c r="M1324" i="34"/>
  <c r="L1324" i="34"/>
  <c r="K1324" i="34"/>
  <c r="J1324" i="34"/>
  <c r="I1324" i="34"/>
  <c r="H1324" i="34"/>
  <c r="G1324" i="34"/>
  <c r="F1324" i="34"/>
  <c r="E1324" i="34"/>
  <c r="R1323" i="34"/>
  <c r="P1323" i="34"/>
  <c r="O1323" i="34"/>
  <c r="N1323" i="34"/>
  <c r="M1323" i="34"/>
  <c r="L1323" i="34"/>
  <c r="K1323" i="34"/>
  <c r="J1323" i="34"/>
  <c r="I1323" i="34"/>
  <c r="H1323" i="34"/>
  <c r="G1323" i="34"/>
  <c r="F1323" i="34"/>
  <c r="E1323" i="34"/>
  <c r="R1322" i="34"/>
  <c r="P1322" i="34"/>
  <c r="O1322" i="34"/>
  <c r="N1322" i="34"/>
  <c r="M1322" i="34"/>
  <c r="L1322" i="34"/>
  <c r="K1322" i="34"/>
  <c r="J1322" i="34"/>
  <c r="I1322" i="34"/>
  <c r="H1322" i="34"/>
  <c r="G1322" i="34"/>
  <c r="F1322" i="34"/>
  <c r="E1322" i="34"/>
  <c r="R1321" i="34"/>
  <c r="P1321" i="34"/>
  <c r="O1321" i="34"/>
  <c r="N1321" i="34"/>
  <c r="M1321" i="34"/>
  <c r="L1321" i="34"/>
  <c r="K1321" i="34"/>
  <c r="J1321" i="34"/>
  <c r="I1321" i="34"/>
  <c r="H1321" i="34"/>
  <c r="G1321" i="34"/>
  <c r="F1321" i="34"/>
  <c r="E1321" i="34"/>
  <c r="R1320" i="34"/>
  <c r="P1320" i="34"/>
  <c r="O1320" i="34"/>
  <c r="N1320" i="34"/>
  <c r="M1320" i="34"/>
  <c r="L1320" i="34"/>
  <c r="K1320" i="34"/>
  <c r="J1320" i="34"/>
  <c r="I1320" i="34"/>
  <c r="H1320" i="34"/>
  <c r="G1320" i="34"/>
  <c r="F1320" i="34"/>
  <c r="E1320" i="34"/>
  <c r="R1319" i="34"/>
  <c r="P1319" i="34"/>
  <c r="O1319" i="34"/>
  <c r="N1319" i="34"/>
  <c r="M1319" i="34"/>
  <c r="L1319" i="34"/>
  <c r="K1319" i="34"/>
  <c r="J1319" i="34"/>
  <c r="I1319" i="34"/>
  <c r="H1319" i="34"/>
  <c r="G1319" i="34"/>
  <c r="F1319" i="34"/>
  <c r="E1319" i="34"/>
  <c r="R1318" i="34"/>
  <c r="P1318" i="34"/>
  <c r="O1318" i="34"/>
  <c r="N1318" i="34"/>
  <c r="M1318" i="34"/>
  <c r="L1318" i="34"/>
  <c r="K1318" i="34"/>
  <c r="J1318" i="34"/>
  <c r="I1318" i="34"/>
  <c r="H1318" i="34"/>
  <c r="G1318" i="34"/>
  <c r="F1318" i="34"/>
  <c r="E1318" i="34"/>
  <c r="R1317" i="34"/>
  <c r="P1317" i="34"/>
  <c r="O1317" i="34"/>
  <c r="N1317" i="34"/>
  <c r="M1317" i="34"/>
  <c r="L1317" i="34"/>
  <c r="K1317" i="34"/>
  <c r="J1317" i="34"/>
  <c r="I1317" i="34"/>
  <c r="H1317" i="34"/>
  <c r="G1317" i="34"/>
  <c r="F1317" i="34"/>
  <c r="E1317" i="34"/>
  <c r="R1316" i="34"/>
  <c r="P1316" i="34"/>
  <c r="O1316" i="34"/>
  <c r="N1316" i="34"/>
  <c r="M1316" i="34"/>
  <c r="L1316" i="34"/>
  <c r="K1316" i="34"/>
  <c r="J1316" i="34"/>
  <c r="I1316" i="34"/>
  <c r="H1316" i="34"/>
  <c r="G1316" i="34"/>
  <c r="F1316" i="34"/>
  <c r="E1316" i="34"/>
  <c r="R1315" i="34"/>
  <c r="P1315" i="34"/>
  <c r="O1315" i="34"/>
  <c r="N1315" i="34"/>
  <c r="M1315" i="34"/>
  <c r="L1315" i="34"/>
  <c r="K1315" i="34"/>
  <c r="J1315" i="34"/>
  <c r="I1315" i="34"/>
  <c r="H1315" i="34"/>
  <c r="G1315" i="34"/>
  <c r="F1315" i="34"/>
  <c r="E1315" i="34"/>
  <c r="R1314" i="34"/>
  <c r="P1314" i="34"/>
  <c r="O1314" i="34"/>
  <c r="N1314" i="34"/>
  <c r="M1314" i="34"/>
  <c r="L1314" i="34"/>
  <c r="K1314" i="34"/>
  <c r="J1314" i="34"/>
  <c r="I1314" i="34"/>
  <c r="H1314" i="34"/>
  <c r="G1314" i="34"/>
  <c r="F1314" i="34"/>
  <c r="E1314" i="34"/>
  <c r="R1313" i="34"/>
  <c r="P1313" i="34"/>
  <c r="O1313" i="34"/>
  <c r="N1313" i="34"/>
  <c r="M1313" i="34"/>
  <c r="L1313" i="34"/>
  <c r="K1313" i="34"/>
  <c r="J1313" i="34"/>
  <c r="I1313" i="34"/>
  <c r="H1313" i="34"/>
  <c r="G1313" i="34"/>
  <c r="F1313" i="34"/>
  <c r="E1313" i="34"/>
  <c r="R1312" i="34"/>
  <c r="P1312" i="34"/>
  <c r="O1312" i="34"/>
  <c r="N1312" i="34"/>
  <c r="M1312" i="34"/>
  <c r="L1312" i="34"/>
  <c r="K1312" i="34"/>
  <c r="J1312" i="34"/>
  <c r="I1312" i="34"/>
  <c r="H1312" i="34"/>
  <c r="G1312" i="34"/>
  <c r="F1312" i="34"/>
  <c r="E1312" i="34"/>
  <c r="R1311" i="34"/>
  <c r="P1311" i="34"/>
  <c r="O1311" i="34"/>
  <c r="N1311" i="34"/>
  <c r="M1311" i="34"/>
  <c r="L1311" i="34"/>
  <c r="K1311" i="34"/>
  <c r="J1311" i="34"/>
  <c r="I1311" i="34"/>
  <c r="H1311" i="34"/>
  <c r="G1311" i="34"/>
  <c r="F1311" i="34"/>
  <c r="E1311" i="34"/>
  <c r="R1310" i="34"/>
  <c r="P1310" i="34"/>
  <c r="O1310" i="34"/>
  <c r="N1310" i="34"/>
  <c r="M1310" i="34"/>
  <c r="L1310" i="34"/>
  <c r="K1310" i="34"/>
  <c r="J1310" i="34"/>
  <c r="I1310" i="34"/>
  <c r="H1310" i="34"/>
  <c r="G1310" i="34"/>
  <c r="F1310" i="34"/>
  <c r="E1310" i="34"/>
  <c r="R1309" i="34"/>
  <c r="P1309" i="34"/>
  <c r="O1309" i="34"/>
  <c r="N1309" i="34"/>
  <c r="M1309" i="34"/>
  <c r="L1309" i="34"/>
  <c r="K1309" i="34"/>
  <c r="J1309" i="34"/>
  <c r="I1309" i="34"/>
  <c r="H1309" i="34"/>
  <c r="G1309" i="34"/>
  <c r="F1309" i="34"/>
  <c r="E1309" i="34"/>
  <c r="R1308" i="34"/>
  <c r="P1308" i="34"/>
  <c r="O1308" i="34"/>
  <c r="N1308" i="34"/>
  <c r="M1308" i="34"/>
  <c r="L1308" i="34"/>
  <c r="K1308" i="34"/>
  <c r="J1308" i="34"/>
  <c r="I1308" i="34"/>
  <c r="H1308" i="34"/>
  <c r="G1308" i="34"/>
  <c r="F1308" i="34"/>
  <c r="E1308" i="34"/>
  <c r="R1307" i="34"/>
  <c r="P1307" i="34"/>
  <c r="O1307" i="34"/>
  <c r="N1307" i="34"/>
  <c r="M1307" i="34"/>
  <c r="L1307" i="34"/>
  <c r="K1307" i="34"/>
  <c r="J1307" i="34"/>
  <c r="I1307" i="34"/>
  <c r="H1307" i="34"/>
  <c r="G1307" i="34"/>
  <c r="F1307" i="34"/>
  <c r="E1307" i="34"/>
  <c r="R1306" i="34"/>
  <c r="P1306" i="34"/>
  <c r="O1306" i="34"/>
  <c r="N1306" i="34"/>
  <c r="M1306" i="34"/>
  <c r="L1306" i="34"/>
  <c r="K1306" i="34"/>
  <c r="J1306" i="34"/>
  <c r="I1306" i="34"/>
  <c r="H1306" i="34"/>
  <c r="G1306" i="34"/>
  <c r="F1306" i="34"/>
  <c r="E1306" i="34"/>
  <c r="R1305" i="34"/>
  <c r="P1305" i="34"/>
  <c r="O1305" i="34"/>
  <c r="M1305" i="34"/>
  <c r="L1305" i="34"/>
  <c r="K1305" i="34"/>
  <c r="J1305" i="34"/>
  <c r="H1305" i="34"/>
  <c r="G1305" i="34"/>
  <c r="F1305" i="34"/>
  <c r="E1305" i="34"/>
  <c r="R1304" i="34"/>
  <c r="P1304" i="34"/>
  <c r="O1304" i="34"/>
  <c r="N1304" i="34"/>
  <c r="M1304" i="34"/>
  <c r="L1304" i="34"/>
  <c r="K1304" i="34"/>
  <c r="J1304" i="34"/>
  <c r="I1304" i="34"/>
  <c r="H1304" i="34"/>
  <c r="G1304" i="34"/>
  <c r="F1304" i="34"/>
  <c r="E1304" i="34"/>
  <c r="R1303" i="34"/>
  <c r="P1303" i="34"/>
  <c r="O1303" i="34"/>
  <c r="N1303" i="34"/>
  <c r="M1303" i="34"/>
  <c r="L1303" i="34"/>
  <c r="K1303" i="34"/>
  <c r="J1303" i="34"/>
  <c r="I1303" i="34"/>
  <c r="H1303" i="34"/>
  <c r="G1303" i="34"/>
  <c r="F1303" i="34"/>
  <c r="E1303" i="34"/>
  <c r="R1302" i="34"/>
  <c r="P1302" i="34"/>
  <c r="O1302" i="34"/>
  <c r="N1302" i="34"/>
  <c r="M1302" i="34"/>
  <c r="L1302" i="34"/>
  <c r="K1302" i="34"/>
  <c r="J1302" i="34"/>
  <c r="I1302" i="34"/>
  <c r="H1302" i="34"/>
  <c r="G1302" i="34"/>
  <c r="F1302" i="34"/>
  <c r="E1302" i="34"/>
  <c r="R1301" i="34"/>
  <c r="P1301" i="34"/>
  <c r="O1301" i="34"/>
  <c r="N1301" i="34"/>
  <c r="M1301" i="34"/>
  <c r="L1301" i="34"/>
  <c r="K1301" i="34"/>
  <c r="J1301" i="34"/>
  <c r="I1301" i="34"/>
  <c r="H1301" i="34"/>
  <c r="G1301" i="34"/>
  <c r="F1301" i="34"/>
  <c r="E1301" i="34"/>
  <c r="R1300" i="34"/>
  <c r="P1300" i="34"/>
  <c r="O1300" i="34"/>
  <c r="N1300" i="34"/>
  <c r="M1300" i="34"/>
  <c r="L1300" i="34"/>
  <c r="K1300" i="34"/>
  <c r="J1300" i="34"/>
  <c r="I1300" i="34"/>
  <c r="H1300" i="34"/>
  <c r="G1300" i="34"/>
  <c r="F1300" i="34"/>
  <c r="E1300" i="34"/>
  <c r="R1299" i="34"/>
  <c r="P1299" i="34"/>
  <c r="O1299" i="34"/>
  <c r="N1299" i="34"/>
  <c r="M1299" i="34"/>
  <c r="L1299" i="34"/>
  <c r="K1299" i="34"/>
  <c r="J1299" i="34"/>
  <c r="I1299" i="34"/>
  <c r="H1299" i="34"/>
  <c r="G1299" i="34"/>
  <c r="F1299" i="34"/>
  <c r="E1299" i="34"/>
  <c r="R1298" i="34"/>
  <c r="P1298" i="34"/>
  <c r="O1298" i="34"/>
  <c r="N1298" i="34"/>
  <c r="M1298" i="34"/>
  <c r="L1298" i="34"/>
  <c r="K1298" i="34"/>
  <c r="J1298" i="34"/>
  <c r="I1298" i="34"/>
  <c r="H1298" i="34"/>
  <c r="G1298" i="34"/>
  <c r="F1298" i="34"/>
  <c r="E1298" i="34"/>
  <c r="R1297" i="34"/>
  <c r="P1297" i="34"/>
  <c r="O1297" i="34"/>
  <c r="N1297" i="34"/>
  <c r="M1297" i="34"/>
  <c r="L1297" i="34"/>
  <c r="K1297" i="34"/>
  <c r="J1297" i="34"/>
  <c r="I1297" i="34"/>
  <c r="H1297" i="34"/>
  <c r="G1297" i="34"/>
  <c r="F1297" i="34"/>
  <c r="E1297" i="34"/>
  <c r="R1296" i="34"/>
  <c r="P1296" i="34"/>
  <c r="O1296" i="34"/>
  <c r="N1296" i="34"/>
  <c r="M1296" i="34"/>
  <c r="L1296" i="34"/>
  <c r="K1296" i="34"/>
  <c r="J1296" i="34"/>
  <c r="I1296" i="34"/>
  <c r="H1296" i="34"/>
  <c r="G1296" i="34"/>
  <c r="F1296" i="34"/>
  <c r="E1296" i="34"/>
  <c r="R1295" i="34"/>
  <c r="P1295" i="34"/>
  <c r="O1295" i="34"/>
  <c r="N1295" i="34"/>
  <c r="M1295" i="34"/>
  <c r="L1295" i="34"/>
  <c r="K1295" i="34"/>
  <c r="J1295" i="34"/>
  <c r="I1295" i="34"/>
  <c r="H1295" i="34"/>
  <c r="G1295" i="34"/>
  <c r="F1295" i="34"/>
  <c r="E1295" i="34"/>
  <c r="R1294" i="34"/>
  <c r="P1294" i="34"/>
  <c r="O1294" i="34"/>
  <c r="N1294" i="34"/>
  <c r="M1294" i="34"/>
  <c r="L1294" i="34"/>
  <c r="K1294" i="34"/>
  <c r="J1294" i="34"/>
  <c r="I1294" i="34"/>
  <c r="H1294" i="34"/>
  <c r="G1294" i="34"/>
  <c r="F1294" i="34"/>
  <c r="E1294" i="34"/>
  <c r="R1293" i="34"/>
  <c r="B9" i="76" s="1"/>
  <c r="P1293" i="34"/>
  <c r="O1293" i="34"/>
  <c r="N1293" i="34"/>
  <c r="M1293" i="34"/>
  <c r="C9" i="76" s="1"/>
  <c r="L1293" i="34"/>
  <c r="K1293" i="34"/>
  <c r="J1293" i="34"/>
  <c r="I1293" i="34"/>
  <c r="H1293" i="34"/>
  <c r="G1293" i="34"/>
  <c r="F1293" i="34"/>
  <c r="E1293" i="34"/>
  <c r="L9" i="76" s="1"/>
  <c r="R1213" i="34"/>
  <c r="P1213" i="34"/>
  <c r="O1213" i="34"/>
  <c r="N1213" i="34"/>
  <c r="M1213" i="34"/>
  <c r="L1213" i="34"/>
  <c r="K1213" i="34"/>
  <c r="J1213" i="34"/>
  <c r="I1213" i="34"/>
  <c r="H1213" i="34"/>
  <c r="G1213" i="34"/>
  <c r="F1213" i="34"/>
  <c r="E1213" i="34"/>
  <c r="R1212" i="34"/>
  <c r="P1212" i="34"/>
  <c r="O1212" i="34"/>
  <c r="N1212" i="34"/>
  <c r="M1212" i="34"/>
  <c r="L1212" i="34"/>
  <c r="K1212" i="34"/>
  <c r="J1212" i="34"/>
  <c r="I1212" i="34"/>
  <c r="H1212" i="34"/>
  <c r="G1212" i="34"/>
  <c r="F1212" i="34"/>
  <c r="E1212" i="34"/>
  <c r="R1211" i="34"/>
  <c r="P1211" i="34"/>
  <c r="O1211" i="34"/>
  <c r="N1211" i="34"/>
  <c r="M1211" i="34"/>
  <c r="L1211" i="34"/>
  <c r="K1211" i="34"/>
  <c r="J1211" i="34"/>
  <c r="I1211" i="34"/>
  <c r="H1211" i="34"/>
  <c r="G1211" i="34"/>
  <c r="F1211" i="34"/>
  <c r="E1211" i="34"/>
  <c r="R1210" i="34"/>
  <c r="P1210" i="34"/>
  <c r="O1210" i="34"/>
  <c r="N1210" i="34"/>
  <c r="M1210" i="34"/>
  <c r="L1210" i="34"/>
  <c r="K1210" i="34"/>
  <c r="J1210" i="34"/>
  <c r="I1210" i="34"/>
  <c r="H1210" i="34"/>
  <c r="G1210" i="34"/>
  <c r="F1210" i="34"/>
  <c r="E1210" i="34"/>
  <c r="R1209" i="34"/>
  <c r="P1209" i="34"/>
  <c r="O1209" i="34"/>
  <c r="N1209" i="34"/>
  <c r="M1209" i="34"/>
  <c r="L1209" i="34"/>
  <c r="K1209" i="34"/>
  <c r="J1209" i="34"/>
  <c r="I1209" i="34"/>
  <c r="H1209" i="34"/>
  <c r="G1209" i="34"/>
  <c r="F1209" i="34"/>
  <c r="E1209" i="34"/>
  <c r="R1208" i="34"/>
  <c r="P1208" i="34"/>
  <c r="O1208" i="34"/>
  <c r="N1208" i="34"/>
  <c r="M1208" i="34"/>
  <c r="L1208" i="34"/>
  <c r="K1208" i="34"/>
  <c r="J1208" i="34"/>
  <c r="I1208" i="34"/>
  <c r="H1208" i="34"/>
  <c r="G1208" i="34"/>
  <c r="F1208" i="34"/>
  <c r="E1208" i="34"/>
  <c r="R1207" i="34"/>
  <c r="P1207" i="34"/>
  <c r="O1207" i="34"/>
  <c r="N1207" i="34"/>
  <c r="M1207" i="34"/>
  <c r="L1207" i="34"/>
  <c r="K1207" i="34"/>
  <c r="J1207" i="34"/>
  <c r="I1207" i="34"/>
  <c r="H1207" i="34"/>
  <c r="G1207" i="34"/>
  <c r="F1207" i="34"/>
  <c r="E1207" i="34"/>
  <c r="R1206" i="34"/>
  <c r="P1206" i="34"/>
  <c r="O1206" i="34"/>
  <c r="N1206" i="34"/>
  <c r="M1206" i="34"/>
  <c r="L1206" i="34"/>
  <c r="K1206" i="34"/>
  <c r="J1206" i="34"/>
  <c r="I1206" i="34"/>
  <c r="H1206" i="34"/>
  <c r="G1206" i="34"/>
  <c r="F1206" i="34"/>
  <c r="E1206" i="34"/>
  <c r="R1205" i="34"/>
  <c r="P1205" i="34"/>
  <c r="O1205" i="34"/>
  <c r="N1205" i="34"/>
  <c r="M1205" i="34"/>
  <c r="L1205" i="34"/>
  <c r="K1205" i="34"/>
  <c r="J1205" i="34"/>
  <c r="I1205" i="34"/>
  <c r="H1205" i="34"/>
  <c r="G1205" i="34"/>
  <c r="F1205" i="34"/>
  <c r="E1205" i="34"/>
  <c r="R1204" i="34"/>
  <c r="P1204" i="34"/>
  <c r="O1204" i="34"/>
  <c r="N1204" i="34"/>
  <c r="M1204" i="34"/>
  <c r="L1204" i="34"/>
  <c r="K1204" i="34"/>
  <c r="J1204" i="34"/>
  <c r="I1204" i="34"/>
  <c r="H1204" i="34"/>
  <c r="G1204" i="34"/>
  <c r="F1204" i="34"/>
  <c r="E1204" i="34"/>
  <c r="R1203" i="34"/>
  <c r="P1203" i="34"/>
  <c r="O1203" i="34"/>
  <c r="N1203" i="34"/>
  <c r="M1203" i="34"/>
  <c r="L1203" i="34"/>
  <c r="K1203" i="34"/>
  <c r="J1203" i="34"/>
  <c r="I1203" i="34"/>
  <c r="H1203" i="34"/>
  <c r="G1203" i="34"/>
  <c r="F1203" i="34"/>
  <c r="E1203" i="34"/>
  <c r="R1202" i="34"/>
  <c r="P1202" i="34"/>
  <c r="O1202" i="34"/>
  <c r="N1202" i="34"/>
  <c r="M1202" i="34"/>
  <c r="L1202" i="34"/>
  <c r="K1202" i="34"/>
  <c r="J1202" i="34"/>
  <c r="I1202" i="34"/>
  <c r="H1202" i="34"/>
  <c r="G1202" i="34"/>
  <c r="F1202" i="34"/>
  <c r="E1202" i="34"/>
  <c r="R1201" i="34"/>
  <c r="P1201" i="34"/>
  <c r="O1201" i="34"/>
  <c r="N1201" i="34"/>
  <c r="M1201" i="34"/>
  <c r="L1201" i="34"/>
  <c r="K1201" i="34"/>
  <c r="J1201" i="34"/>
  <c r="I1201" i="34"/>
  <c r="H1201" i="34"/>
  <c r="G1201" i="34"/>
  <c r="F1201" i="34"/>
  <c r="E1201" i="34"/>
  <c r="R1200" i="34"/>
  <c r="P1200" i="34"/>
  <c r="O1200" i="34"/>
  <c r="N1200" i="34"/>
  <c r="M1200" i="34"/>
  <c r="L1200" i="34"/>
  <c r="K1200" i="34"/>
  <c r="J1200" i="34"/>
  <c r="I1200" i="34"/>
  <c r="H1200" i="34"/>
  <c r="G1200" i="34"/>
  <c r="F1200" i="34"/>
  <c r="E1200" i="34"/>
  <c r="R1199" i="34"/>
  <c r="P1199" i="34"/>
  <c r="O1199" i="34"/>
  <c r="N1199" i="34"/>
  <c r="M1199" i="34"/>
  <c r="L1199" i="34"/>
  <c r="K1199" i="34"/>
  <c r="J1199" i="34"/>
  <c r="I1199" i="34"/>
  <c r="H1199" i="34"/>
  <c r="G1199" i="34"/>
  <c r="F1199" i="34"/>
  <c r="E1199" i="34"/>
  <c r="R1198" i="34"/>
  <c r="P1198" i="34"/>
  <c r="O1198" i="34"/>
  <c r="N1198" i="34"/>
  <c r="M1198" i="34"/>
  <c r="L1198" i="34"/>
  <c r="K1198" i="34"/>
  <c r="J1198" i="34"/>
  <c r="I1198" i="34"/>
  <c r="H1198" i="34"/>
  <c r="G1198" i="34"/>
  <c r="F1198" i="34"/>
  <c r="E1198" i="34"/>
  <c r="R1197" i="34"/>
  <c r="P1197" i="34"/>
  <c r="O1197" i="34"/>
  <c r="N1197" i="34"/>
  <c r="M1197" i="34"/>
  <c r="L1197" i="34"/>
  <c r="K1197" i="34"/>
  <c r="J1197" i="34"/>
  <c r="I1197" i="34"/>
  <c r="H1197" i="34"/>
  <c r="G1197" i="34"/>
  <c r="F1197" i="34"/>
  <c r="E1197" i="34"/>
  <c r="R1196" i="34"/>
  <c r="P1196" i="34"/>
  <c r="O1196" i="34"/>
  <c r="N1196" i="34"/>
  <c r="M1196" i="34"/>
  <c r="L1196" i="34"/>
  <c r="K1196" i="34"/>
  <c r="J1196" i="34"/>
  <c r="I1196" i="34"/>
  <c r="H1196" i="34"/>
  <c r="G1196" i="34"/>
  <c r="F1196" i="34"/>
  <c r="E1196" i="34"/>
  <c r="R1195" i="34"/>
  <c r="P1195" i="34"/>
  <c r="O1195" i="34"/>
  <c r="N1195" i="34"/>
  <c r="M1195" i="34"/>
  <c r="L1195" i="34"/>
  <c r="K1195" i="34"/>
  <c r="J1195" i="34"/>
  <c r="I1195" i="34"/>
  <c r="H1195" i="34"/>
  <c r="G1195" i="34"/>
  <c r="F1195" i="34"/>
  <c r="E1195" i="34"/>
  <c r="R1194" i="34"/>
  <c r="P1194" i="34"/>
  <c r="O1194" i="34"/>
  <c r="N1194" i="34"/>
  <c r="M1194" i="34"/>
  <c r="L1194" i="34"/>
  <c r="K1194" i="34"/>
  <c r="J1194" i="34"/>
  <c r="I1194" i="34"/>
  <c r="H1194" i="34"/>
  <c r="G1194" i="34"/>
  <c r="F1194" i="34"/>
  <c r="E1194" i="34"/>
  <c r="R1193" i="34"/>
  <c r="P1193" i="34"/>
  <c r="O1193" i="34"/>
  <c r="N1193" i="34"/>
  <c r="M1193" i="34"/>
  <c r="L1193" i="34"/>
  <c r="K1193" i="34"/>
  <c r="J1193" i="34"/>
  <c r="I1193" i="34"/>
  <c r="H1193" i="34"/>
  <c r="G1193" i="34"/>
  <c r="F1193" i="34"/>
  <c r="E1193" i="34"/>
  <c r="R1192" i="34"/>
  <c r="P1192" i="34"/>
  <c r="O1192" i="34"/>
  <c r="N1192" i="34"/>
  <c r="M1192" i="34"/>
  <c r="L1192" i="34"/>
  <c r="K1192" i="34"/>
  <c r="J1192" i="34"/>
  <c r="I1192" i="34"/>
  <c r="H1192" i="34"/>
  <c r="G1192" i="34"/>
  <c r="F1192" i="34"/>
  <c r="E1192" i="34"/>
  <c r="R1191" i="34"/>
  <c r="P1191" i="34"/>
  <c r="O1191" i="34"/>
  <c r="N1191" i="34"/>
  <c r="M1191" i="34"/>
  <c r="L1191" i="34"/>
  <c r="K1191" i="34"/>
  <c r="J1191" i="34"/>
  <c r="I1191" i="34"/>
  <c r="H1191" i="34"/>
  <c r="G1191" i="34"/>
  <c r="F1191" i="34"/>
  <c r="E1191" i="34"/>
  <c r="R1190" i="34"/>
  <c r="P1190" i="34"/>
  <c r="O1190" i="34"/>
  <c r="N1190" i="34"/>
  <c r="M1190" i="34"/>
  <c r="L1190" i="34"/>
  <c r="K1190" i="34"/>
  <c r="J1190" i="34"/>
  <c r="I1190" i="34"/>
  <c r="H1190" i="34"/>
  <c r="G1190" i="34"/>
  <c r="F1190" i="34"/>
  <c r="E1190" i="34"/>
  <c r="R1189" i="34"/>
  <c r="P1189" i="34"/>
  <c r="O1189" i="34"/>
  <c r="N1189" i="34"/>
  <c r="M1189" i="34"/>
  <c r="L1189" i="34"/>
  <c r="K1189" i="34"/>
  <c r="J1189" i="34"/>
  <c r="I1189" i="34"/>
  <c r="H1189" i="34"/>
  <c r="G1189" i="34"/>
  <c r="F1189" i="34"/>
  <c r="E1189" i="34"/>
  <c r="R1188" i="34"/>
  <c r="P1188" i="34"/>
  <c r="O1188" i="34"/>
  <c r="M1188" i="34"/>
  <c r="L1188" i="34"/>
  <c r="K1188" i="34"/>
  <c r="J1188" i="34"/>
  <c r="H1188" i="34"/>
  <c r="G1188" i="34"/>
  <c r="F1188" i="34"/>
  <c r="E1188" i="34"/>
  <c r="R1187" i="34"/>
  <c r="P1187" i="34"/>
  <c r="O1187" i="34"/>
  <c r="N1187" i="34"/>
  <c r="M1187" i="34"/>
  <c r="L1187" i="34"/>
  <c r="K1187" i="34"/>
  <c r="J1187" i="34"/>
  <c r="I1187" i="34"/>
  <c r="H1187" i="34"/>
  <c r="G1187" i="34"/>
  <c r="F1187" i="34"/>
  <c r="E1187" i="34"/>
  <c r="R1186" i="34"/>
  <c r="P1186" i="34"/>
  <c r="O1186" i="34"/>
  <c r="N1186" i="34"/>
  <c r="M1186" i="34"/>
  <c r="L1186" i="34"/>
  <c r="K1186" i="34"/>
  <c r="J1186" i="34"/>
  <c r="I1186" i="34"/>
  <c r="H1186" i="34"/>
  <c r="G1186" i="34"/>
  <c r="F1186" i="34"/>
  <c r="E1186" i="34"/>
  <c r="R1185" i="34"/>
  <c r="P1185" i="34"/>
  <c r="O1185" i="34"/>
  <c r="N1185" i="34"/>
  <c r="M1185" i="34"/>
  <c r="L1185" i="34"/>
  <c r="K1185" i="34"/>
  <c r="J1185" i="34"/>
  <c r="I1185" i="34"/>
  <c r="H1185" i="34"/>
  <c r="G1185" i="34"/>
  <c r="F1185" i="34"/>
  <c r="E1185" i="34"/>
  <c r="R1184" i="34"/>
  <c r="P1184" i="34"/>
  <c r="O1184" i="34"/>
  <c r="N1184" i="34"/>
  <c r="M1184" i="34"/>
  <c r="L1184" i="34"/>
  <c r="K1184" i="34"/>
  <c r="J1184" i="34"/>
  <c r="I1184" i="34"/>
  <c r="H1184" i="34"/>
  <c r="G1184" i="34"/>
  <c r="F1184" i="34"/>
  <c r="E1184" i="34"/>
  <c r="R1183" i="34"/>
  <c r="P1183" i="34"/>
  <c r="O1183" i="34"/>
  <c r="N1183" i="34"/>
  <c r="M1183" i="34"/>
  <c r="L1183" i="34"/>
  <c r="K1183" i="34"/>
  <c r="J1183" i="34"/>
  <c r="I1183" i="34"/>
  <c r="H1183" i="34"/>
  <c r="G1183" i="34"/>
  <c r="F1183" i="34"/>
  <c r="E1183" i="34"/>
  <c r="R1182" i="34"/>
  <c r="P1182" i="34"/>
  <c r="O1182" i="34"/>
  <c r="N1182" i="34"/>
  <c r="M1182" i="34"/>
  <c r="L1182" i="34"/>
  <c r="K1182" i="34"/>
  <c r="J1182" i="34"/>
  <c r="I1182" i="34"/>
  <c r="H1182" i="34"/>
  <c r="G1182" i="34"/>
  <c r="F1182" i="34"/>
  <c r="E1182" i="34"/>
  <c r="R1181" i="34"/>
  <c r="P1181" i="34"/>
  <c r="O1181" i="34"/>
  <c r="N1181" i="34"/>
  <c r="M1181" i="34"/>
  <c r="L1181" i="34"/>
  <c r="K1181" i="34"/>
  <c r="J1181" i="34"/>
  <c r="I1181" i="34"/>
  <c r="H1181" i="34"/>
  <c r="G1181" i="34"/>
  <c r="F1181" i="34"/>
  <c r="E1181" i="34"/>
  <c r="R1180" i="34"/>
  <c r="P1180" i="34"/>
  <c r="O1180" i="34"/>
  <c r="N1180" i="34"/>
  <c r="M1180" i="34"/>
  <c r="L1180" i="34"/>
  <c r="K1180" i="34"/>
  <c r="J1180" i="34"/>
  <c r="I1180" i="34"/>
  <c r="H1180" i="34"/>
  <c r="G1180" i="34"/>
  <c r="F1180" i="34"/>
  <c r="E1180" i="34"/>
  <c r="R1179" i="34"/>
  <c r="P1179" i="34"/>
  <c r="O1179" i="34"/>
  <c r="N1179" i="34"/>
  <c r="M1179" i="34"/>
  <c r="L1179" i="34"/>
  <c r="K1179" i="34"/>
  <c r="J1179" i="34"/>
  <c r="I1179" i="34"/>
  <c r="H1179" i="34"/>
  <c r="G1179" i="34"/>
  <c r="F1179" i="34"/>
  <c r="E1179" i="34"/>
  <c r="R1178" i="34"/>
  <c r="P1178" i="34"/>
  <c r="O1178" i="34"/>
  <c r="N1178" i="34"/>
  <c r="M1178" i="34"/>
  <c r="L1178" i="34"/>
  <c r="K1178" i="34"/>
  <c r="J1178" i="34"/>
  <c r="I1178" i="34"/>
  <c r="H1178" i="34"/>
  <c r="G1178" i="34"/>
  <c r="F1178" i="34"/>
  <c r="E1178" i="34"/>
  <c r="R1177" i="34"/>
  <c r="P1177" i="34"/>
  <c r="O1177" i="34"/>
  <c r="N1177" i="34"/>
  <c r="M1177" i="34"/>
  <c r="L1177" i="34"/>
  <c r="K1177" i="34"/>
  <c r="J1177" i="34"/>
  <c r="I1177" i="34"/>
  <c r="H1177" i="34"/>
  <c r="G1177" i="34"/>
  <c r="F1177" i="34"/>
  <c r="E1177" i="34"/>
  <c r="R1176" i="34"/>
  <c r="B8" i="76" s="1"/>
  <c r="P1176" i="34"/>
  <c r="O1176" i="34"/>
  <c r="N1176" i="34"/>
  <c r="M1176" i="34"/>
  <c r="C8" i="76" s="1"/>
  <c r="L1176" i="34"/>
  <c r="K1176" i="34"/>
  <c r="J1176" i="34"/>
  <c r="I1176" i="34"/>
  <c r="H1176" i="34"/>
  <c r="G1176" i="34"/>
  <c r="F1176" i="34"/>
  <c r="E1176" i="34"/>
  <c r="L8" i="76" s="1"/>
  <c r="R1096" i="34"/>
  <c r="P1096" i="34"/>
  <c r="O1096" i="34"/>
  <c r="N1096" i="34"/>
  <c r="M1096" i="34"/>
  <c r="L1096" i="34"/>
  <c r="K1096" i="34"/>
  <c r="J1096" i="34"/>
  <c r="I1096" i="34"/>
  <c r="H1096" i="34"/>
  <c r="G1096" i="34"/>
  <c r="F1096" i="34"/>
  <c r="E1096" i="34"/>
  <c r="R1095" i="34"/>
  <c r="P1095" i="34"/>
  <c r="O1095" i="34"/>
  <c r="N1095" i="34"/>
  <c r="M1095" i="34"/>
  <c r="L1095" i="34"/>
  <c r="K1095" i="34"/>
  <c r="J1095" i="34"/>
  <c r="I1095" i="34"/>
  <c r="H1095" i="34"/>
  <c r="G1095" i="34"/>
  <c r="F1095" i="34"/>
  <c r="E1095" i="34"/>
  <c r="R1094" i="34"/>
  <c r="P1094" i="34"/>
  <c r="O1094" i="34"/>
  <c r="N1094" i="34"/>
  <c r="M1094" i="34"/>
  <c r="L1094" i="34"/>
  <c r="K1094" i="34"/>
  <c r="J1094" i="34"/>
  <c r="I1094" i="34"/>
  <c r="H1094" i="34"/>
  <c r="G1094" i="34"/>
  <c r="F1094" i="34"/>
  <c r="E1094" i="34"/>
  <c r="R1093" i="34"/>
  <c r="P1093" i="34"/>
  <c r="O1093" i="34"/>
  <c r="N1093" i="34"/>
  <c r="M1093" i="34"/>
  <c r="L1093" i="34"/>
  <c r="K1093" i="34"/>
  <c r="J1093" i="34"/>
  <c r="I1093" i="34"/>
  <c r="H1093" i="34"/>
  <c r="G1093" i="34"/>
  <c r="F1093" i="34"/>
  <c r="E1093" i="34"/>
  <c r="R1092" i="34"/>
  <c r="P1092" i="34"/>
  <c r="O1092" i="34"/>
  <c r="N1092" i="34"/>
  <c r="M1092" i="34"/>
  <c r="L1092" i="34"/>
  <c r="K1092" i="34"/>
  <c r="J1092" i="34"/>
  <c r="I1092" i="34"/>
  <c r="H1092" i="34"/>
  <c r="G1092" i="34"/>
  <c r="F1092" i="34"/>
  <c r="E1092" i="34"/>
  <c r="R1091" i="34"/>
  <c r="P1091" i="34"/>
  <c r="O1091" i="34"/>
  <c r="N1091" i="34"/>
  <c r="M1091" i="34"/>
  <c r="L1091" i="34"/>
  <c r="K1091" i="34"/>
  <c r="J1091" i="34"/>
  <c r="I1091" i="34"/>
  <c r="H1091" i="34"/>
  <c r="G1091" i="34"/>
  <c r="F1091" i="34"/>
  <c r="E1091" i="34"/>
  <c r="R1090" i="34"/>
  <c r="P1090" i="34"/>
  <c r="O1090" i="34"/>
  <c r="N1090" i="34"/>
  <c r="M1090" i="34"/>
  <c r="L1090" i="34"/>
  <c r="K1090" i="34"/>
  <c r="J1090" i="34"/>
  <c r="I1090" i="34"/>
  <c r="H1090" i="34"/>
  <c r="G1090" i="34"/>
  <c r="F1090" i="34"/>
  <c r="E1090" i="34"/>
  <c r="R1089" i="34"/>
  <c r="P1089" i="34"/>
  <c r="O1089" i="34"/>
  <c r="N1089" i="34"/>
  <c r="M1089" i="34"/>
  <c r="L1089" i="34"/>
  <c r="K1089" i="34"/>
  <c r="J1089" i="34"/>
  <c r="I1089" i="34"/>
  <c r="H1089" i="34"/>
  <c r="G1089" i="34"/>
  <c r="F1089" i="34"/>
  <c r="E1089" i="34"/>
  <c r="R1088" i="34"/>
  <c r="P1088" i="34"/>
  <c r="O1088" i="34"/>
  <c r="N1088" i="34"/>
  <c r="M1088" i="34"/>
  <c r="L1088" i="34"/>
  <c r="K1088" i="34"/>
  <c r="J1088" i="34"/>
  <c r="I1088" i="34"/>
  <c r="H1088" i="34"/>
  <c r="G1088" i="34"/>
  <c r="F1088" i="34"/>
  <c r="E1088" i="34"/>
  <c r="R1087" i="34"/>
  <c r="P1087" i="34"/>
  <c r="O1087" i="34"/>
  <c r="N1087" i="34"/>
  <c r="M1087" i="34"/>
  <c r="L1087" i="34"/>
  <c r="K1087" i="34"/>
  <c r="J1087" i="34"/>
  <c r="I1087" i="34"/>
  <c r="H1087" i="34"/>
  <c r="G1087" i="34"/>
  <c r="F1087" i="34"/>
  <c r="E1087" i="34"/>
  <c r="R1086" i="34"/>
  <c r="P1086" i="34"/>
  <c r="O1086" i="34"/>
  <c r="N1086" i="34"/>
  <c r="M1086" i="34"/>
  <c r="L1086" i="34"/>
  <c r="K1086" i="34"/>
  <c r="J1086" i="34"/>
  <c r="I1086" i="34"/>
  <c r="H1086" i="34"/>
  <c r="G1086" i="34"/>
  <c r="F1086" i="34"/>
  <c r="E1086" i="34"/>
  <c r="R1085" i="34"/>
  <c r="P1085" i="34"/>
  <c r="O1085" i="34"/>
  <c r="N1085" i="34"/>
  <c r="M1085" i="34"/>
  <c r="L1085" i="34"/>
  <c r="K1085" i="34"/>
  <c r="J1085" i="34"/>
  <c r="I1085" i="34"/>
  <c r="H1085" i="34"/>
  <c r="G1085" i="34"/>
  <c r="F1085" i="34"/>
  <c r="E1085" i="34"/>
  <c r="R1084" i="34"/>
  <c r="P1084" i="34"/>
  <c r="O1084" i="34"/>
  <c r="N1084" i="34"/>
  <c r="M1084" i="34"/>
  <c r="L1084" i="34"/>
  <c r="K1084" i="34"/>
  <c r="J1084" i="34"/>
  <c r="I1084" i="34"/>
  <c r="H1084" i="34"/>
  <c r="G1084" i="34"/>
  <c r="F1084" i="34"/>
  <c r="E1084" i="34"/>
  <c r="R1083" i="34"/>
  <c r="P1083" i="34"/>
  <c r="O1083" i="34"/>
  <c r="N1083" i="34"/>
  <c r="M1083" i="34"/>
  <c r="L1083" i="34"/>
  <c r="K1083" i="34"/>
  <c r="J1083" i="34"/>
  <c r="I1083" i="34"/>
  <c r="H1083" i="34"/>
  <c r="G1083" i="34"/>
  <c r="F1083" i="34"/>
  <c r="E1083" i="34"/>
  <c r="R1082" i="34"/>
  <c r="P1082" i="34"/>
  <c r="O1082" i="34"/>
  <c r="N1082" i="34"/>
  <c r="M1082" i="34"/>
  <c r="L1082" i="34"/>
  <c r="K1082" i="34"/>
  <c r="J1082" i="34"/>
  <c r="I1082" i="34"/>
  <c r="H1082" i="34"/>
  <c r="G1082" i="34"/>
  <c r="F1082" i="34"/>
  <c r="E1082" i="34"/>
  <c r="R1081" i="34"/>
  <c r="P1081" i="34"/>
  <c r="O1081" i="34"/>
  <c r="N1081" i="34"/>
  <c r="M1081" i="34"/>
  <c r="L1081" i="34"/>
  <c r="K1081" i="34"/>
  <c r="J1081" i="34"/>
  <c r="I1081" i="34"/>
  <c r="H1081" i="34"/>
  <c r="G1081" i="34"/>
  <c r="F1081" i="34"/>
  <c r="E1081" i="34"/>
  <c r="R1080" i="34"/>
  <c r="P1080" i="34"/>
  <c r="O1080" i="34"/>
  <c r="N1080" i="34"/>
  <c r="M1080" i="34"/>
  <c r="L1080" i="34"/>
  <c r="K1080" i="34"/>
  <c r="J1080" i="34"/>
  <c r="I1080" i="34"/>
  <c r="H1080" i="34"/>
  <c r="G1080" i="34"/>
  <c r="F1080" i="34"/>
  <c r="E1080" i="34"/>
  <c r="R1079" i="34"/>
  <c r="P1079" i="34"/>
  <c r="O1079" i="34"/>
  <c r="N1079" i="34"/>
  <c r="M1079" i="34"/>
  <c r="L1079" i="34"/>
  <c r="K1079" i="34"/>
  <c r="J1079" i="34"/>
  <c r="I1079" i="34"/>
  <c r="H1079" i="34"/>
  <c r="G1079" i="34"/>
  <c r="F1079" i="34"/>
  <c r="E1079" i="34"/>
  <c r="R1078" i="34"/>
  <c r="P1078" i="34"/>
  <c r="O1078" i="34"/>
  <c r="N1078" i="34"/>
  <c r="M1078" i="34"/>
  <c r="L1078" i="34"/>
  <c r="K1078" i="34"/>
  <c r="J1078" i="34"/>
  <c r="I1078" i="34"/>
  <c r="H1078" i="34"/>
  <c r="G1078" i="34"/>
  <c r="F1078" i="34"/>
  <c r="E1078" i="34"/>
  <c r="R1077" i="34"/>
  <c r="P1077" i="34"/>
  <c r="O1077" i="34"/>
  <c r="N1077" i="34"/>
  <c r="M1077" i="34"/>
  <c r="L1077" i="34"/>
  <c r="K1077" i="34"/>
  <c r="J1077" i="34"/>
  <c r="I1077" i="34"/>
  <c r="H1077" i="34"/>
  <c r="G1077" i="34"/>
  <c r="F1077" i="34"/>
  <c r="E1077" i="34"/>
  <c r="R1076" i="34"/>
  <c r="P1076" i="34"/>
  <c r="O1076" i="34"/>
  <c r="N1076" i="34"/>
  <c r="M1076" i="34"/>
  <c r="L1076" i="34"/>
  <c r="K1076" i="34"/>
  <c r="J1076" i="34"/>
  <c r="I1076" i="34"/>
  <c r="H1076" i="34"/>
  <c r="G1076" i="34"/>
  <c r="F1076" i="34"/>
  <c r="E1076" i="34"/>
  <c r="R1075" i="34"/>
  <c r="P1075" i="34"/>
  <c r="O1075" i="34"/>
  <c r="N1075" i="34"/>
  <c r="M1075" i="34"/>
  <c r="L1075" i="34"/>
  <c r="K1075" i="34"/>
  <c r="J1075" i="34"/>
  <c r="I1075" i="34"/>
  <c r="H1075" i="34"/>
  <c r="G1075" i="34"/>
  <c r="F1075" i="34"/>
  <c r="E1075" i="34"/>
  <c r="R1074" i="34"/>
  <c r="P1074" i="34"/>
  <c r="O1074" i="34"/>
  <c r="N1074" i="34"/>
  <c r="M1074" i="34"/>
  <c r="L1074" i="34"/>
  <c r="K1074" i="34"/>
  <c r="J1074" i="34"/>
  <c r="I1074" i="34"/>
  <c r="H1074" i="34"/>
  <c r="G1074" i="34"/>
  <c r="F1074" i="34"/>
  <c r="E1074" i="34"/>
  <c r="R1073" i="34"/>
  <c r="P1073" i="34"/>
  <c r="O1073" i="34"/>
  <c r="N1073" i="34"/>
  <c r="M1073" i="34"/>
  <c r="L1073" i="34"/>
  <c r="K1073" i="34"/>
  <c r="J1073" i="34"/>
  <c r="I1073" i="34"/>
  <c r="H1073" i="34"/>
  <c r="G1073" i="34"/>
  <c r="F1073" i="34"/>
  <c r="E1073" i="34"/>
  <c r="R1072" i="34"/>
  <c r="P1072" i="34"/>
  <c r="O1072" i="34"/>
  <c r="N1072" i="34"/>
  <c r="M1072" i="34"/>
  <c r="L1072" i="34"/>
  <c r="K1072" i="34"/>
  <c r="J1072" i="34"/>
  <c r="I1072" i="34"/>
  <c r="H1072" i="34"/>
  <c r="G1072" i="34"/>
  <c r="F1072" i="34"/>
  <c r="E1072" i="34"/>
  <c r="R1071" i="34"/>
  <c r="P1071" i="34"/>
  <c r="O1071" i="34"/>
  <c r="M1071" i="34"/>
  <c r="L1071" i="34"/>
  <c r="K1071" i="34"/>
  <c r="J1071" i="34"/>
  <c r="H1071" i="34"/>
  <c r="G1071" i="34"/>
  <c r="F1071" i="34"/>
  <c r="E1071" i="34"/>
  <c r="R1070" i="34"/>
  <c r="P1070" i="34"/>
  <c r="O1070" i="34"/>
  <c r="N1070" i="34"/>
  <c r="M1070" i="34"/>
  <c r="L1070" i="34"/>
  <c r="K1070" i="34"/>
  <c r="J1070" i="34"/>
  <c r="I1070" i="34"/>
  <c r="H1070" i="34"/>
  <c r="G1070" i="34"/>
  <c r="F1070" i="34"/>
  <c r="E1070" i="34"/>
  <c r="R1069" i="34"/>
  <c r="P1069" i="34"/>
  <c r="O1069" i="34"/>
  <c r="N1069" i="34"/>
  <c r="M1069" i="34"/>
  <c r="L1069" i="34"/>
  <c r="K1069" i="34"/>
  <c r="J1069" i="34"/>
  <c r="I1069" i="34"/>
  <c r="H1069" i="34"/>
  <c r="G1069" i="34"/>
  <c r="F1069" i="34"/>
  <c r="E1069" i="34"/>
  <c r="R1068" i="34"/>
  <c r="P1068" i="34"/>
  <c r="O1068" i="34"/>
  <c r="N1068" i="34"/>
  <c r="M1068" i="34"/>
  <c r="L1068" i="34"/>
  <c r="K1068" i="34"/>
  <c r="J1068" i="34"/>
  <c r="I1068" i="34"/>
  <c r="H1068" i="34"/>
  <c r="G1068" i="34"/>
  <c r="F1068" i="34"/>
  <c r="E1068" i="34"/>
  <c r="R1067" i="34"/>
  <c r="P1067" i="34"/>
  <c r="O1067" i="34"/>
  <c r="N1067" i="34"/>
  <c r="M1067" i="34"/>
  <c r="L1067" i="34"/>
  <c r="K1067" i="34"/>
  <c r="J1067" i="34"/>
  <c r="I1067" i="34"/>
  <c r="H1067" i="34"/>
  <c r="G1067" i="34"/>
  <c r="F1067" i="34"/>
  <c r="E1067" i="34"/>
  <c r="R1066" i="34"/>
  <c r="P1066" i="34"/>
  <c r="O1066" i="34"/>
  <c r="N1066" i="34"/>
  <c r="M1066" i="34"/>
  <c r="L1066" i="34"/>
  <c r="K1066" i="34"/>
  <c r="J1066" i="34"/>
  <c r="I1066" i="34"/>
  <c r="H1066" i="34"/>
  <c r="G1066" i="34"/>
  <c r="F1066" i="34"/>
  <c r="E1066" i="34"/>
  <c r="R1065" i="34"/>
  <c r="P1065" i="34"/>
  <c r="O1065" i="34"/>
  <c r="N1065" i="34"/>
  <c r="M1065" i="34"/>
  <c r="L1065" i="34"/>
  <c r="K1065" i="34"/>
  <c r="J1065" i="34"/>
  <c r="I1065" i="34"/>
  <c r="H1065" i="34"/>
  <c r="G1065" i="34"/>
  <c r="F1065" i="34"/>
  <c r="E1065" i="34"/>
  <c r="R1064" i="34"/>
  <c r="P1064" i="34"/>
  <c r="O1064" i="34"/>
  <c r="N1064" i="34"/>
  <c r="M1064" i="34"/>
  <c r="L1064" i="34"/>
  <c r="K1064" i="34"/>
  <c r="J1064" i="34"/>
  <c r="I1064" i="34"/>
  <c r="H1064" i="34"/>
  <c r="G1064" i="34"/>
  <c r="F1064" i="34"/>
  <c r="E1064" i="34"/>
  <c r="R1063" i="34"/>
  <c r="P1063" i="34"/>
  <c r="O1063" i="34"/>
  <c r="N1063" i="34"/>
  <c r="M1063" i="34"/>
  <c r="L1063" i="34"/>
  <c r="K1063" i="34"/>
  <c r="J1063" i="34"/>
  <c r="I1063" i="34"/>
  <c r="H1063" i="34"/>
  <c r="G1063" i="34"/>
  <c r="F1063" i="34"/>
  <c r="E1063" i="34"/>
  <c r="R1062" i="34"/>
  <c r="P1062" i="34"/>
  <c r="O1062" i="34"/>
  <c r="N1062" i="34"/>
  <c r="M1062" i="34"/>
  <c r="L1062" i="34"/>
  <c r="K1062" i="34"/>
  <c r="J1062" i="34"/>
  <c r="I1062" i="34"/>
  <c r="H1062" i="34"/>
  <c r="G1062" i="34"/>
  <c r="F1062" i="34"/>
  <c r="E1062" i="34"/>
  <c r="R1061" i="34"/>
  <c r="P1061" i="34"/>
  <c r="O1061" i="34"/>
  <c r="N1061" i="34"/>
  <c r="M1061" i="34"/>
  <c r="L1061" i="34"/>
  <c r="K1061" i="34"/>
  <c r="J1061" i="34"/>
  <c r="I1061" i="34"/>
  <c r="H1061" i="34"/>
  <c r="G1061" i="34"/>
  <c r="F1061" i="34"/>
  <c r="E1061" i="34"/>
  <c r="R1060" i="34"/>
  <c r="P1060" i="34"/>
  <c r="O1060" i="34"/>
  <c r="N1060" i="34"/>
  <c r="M1060" i="34"/>
  <c r="L1060" i="34"/>
  <c r="K1060" i="34"/>
  <c r="J1060" i="34"/>
  <c r="I1060" i="34"/>
  <c r="H1060" i="34"/>
  <c r="G1060" i="34"/>
  <c r="F1060" i="34"/>
  <c r="E1060" i="34"/>
  <c r="R1059" i="34"/>
  <c r="B7" i="76" s="1"/>
  <c r="P1059" i="34"/>
  <c r="O1059" i="34"/>
  <c r="N1059" i="34"/>
  <c r="M1059" i="34"/>
  <c r="C7" i="76" s="1"/>
  <c r="L1059" i="34"/>
  <c r="K1059" i="34"/>
  <c r="J1059" i="34"/>
  <c r="I1059" i="34"/>
  <c r="H1059" i="34"/>
  <c r="G1059" i="34"/>
  <c r="F1059" i="34"/>
  <c r="E1059" i="34"/>
  <c r="L7" i="76" s="1"/>
  <c r="R979" i="34"/>
  <c r="P979" i="34"/>
  <c r="O979" i="34"/>
  <c r="N979" i="34"/>
  <c r="M979" i="34"/>
  <c r="L979" i="34"/>
  <c r="K979" i="34"/>
  <c r="J979" i="34"/>
  <c r="I979" i="34"/>
  <c r="H979" i="34"/>
  <c r="G979" i="34"/>
  <c r="F979" i="34"/>
  <c r="E979" i="34"/>
  <c r="R978" i="34"/>
  <c r="P978" i="34"/>
  <c r="O978" i="34"/>
  <c r="N978" i="34"/>
  <c r="M978" i="34"/>
  <c r="L978" i="34"/>
  <c r="K978" i="34"/>
  <c r="J978" i="34"/>
  <c r="I978" i="34"/>
  <c r="H978" i="34"/>
  <c r="G978" i="34"/>
  <c r="F978" i="34"/>
  <c r="E978" i="34"/>
  <c r="R977" i="34"/>
  <c r="P977" i="34"/>
  <c r="O977" i="34"/>
  <c r="N977" i="34"/>
  <c r="M977" i="34"/>
  <c r="L977" i="34"/>
  <c r="K977" i="34"/>
  <c r="J977" i="34"/>
  <c r="I977" i="34"/>
  <c r="H977" i="34"/>
  <c r="G977" i="34"/>
  <c r="F977" i="34"/>
  <c r="E977" i="34"/>
  <c r="R976" i="34"/>
  <c r="P976" i="34"/>
  <c r="O976" i="34"/>
  <c r="N976" i="34"/>
  <c r="M976" i="34"/>
  <c r="L976" i="34"/>
  <c r="K976" i="34"/>
  <c r="J976" i="34"/>
  <c r="I976" i="34"/>
  <c r="H976" i="34"/>
  <c r="G976" i="34"/>
  <c r="F976" i="34"/>
  <c r="E976" i="34"/>
  <c r="R975" i="34"/>
  <c r="P975" i="34"/>
  <c r="O975" i="34"/>
  <c r="N975" i="34"/>
  <c r="M975" i="34"/>
  <c r="L975" i="34"/>
  <c r="K975" i="34"/>
  <c r="J975" i="34"/>
  <c r="I975" i="34"/>
  <c r="H975" i="34"/>
  <c r="G975" i="34"/>
  <c r="F975" i="34"/>
  <c r="E975" i="34"/>
  <c r="R974" i="34"/>
  <c r="P974" i="34"/>
  <c r="O974" i="34"/>
  <c r="N974" i="34"/>
  <c r="M974" i="34"/>
  <c r="L974" i="34"/>
  <c r="K974" i="34"/>
  <c r="J974" i="34"/>
  <c r="I974" i="34"/>
  <c r="H974" i="34"/>
  <c r="G974" i="34"/>
  <c r="F974" i="34"/>
  <c r="E974" i="34"/>
  <c r="R973" i="34"/>
  <c r="P973" i="34"/>
  <c r="O973" i="34"/>
  <c r="N973" i="34"/>
  <c r="M973" i="34"/>
  <c r="L973" i="34"/>
  <c r="K973" i="34"/>
  <c r="J973" i="34"/>
  <c r="I973" i="34"/>
  <c r="H973" i="34"/>
  <c r="G973" i="34"/>
  <c r="F973" i="34"/>
  <c r="E973" i="34"/>
  <c r="R972" i="34"/>
  <c r="P972" i="34"/>
  <c r="O972" i="34"/>
  <c r="N972" i="34"/>
  <c r="M972" i="34"/>
  <c r="L972" i="34"/>
  <c r="K972" i="34"/>
  <c r="J972" i="34"/>
  <c r="I972" i="34"/>
  <c r="H972" i="34"/>
  <c r="G972" i="34"/>
  <c r="F972" i="34"/>
  <c r="E972" i="34"/>
  <c r="R971" i="34"/>
  <c r="P971" i="34"/>
  <c r="O971" i="34"/>
  <c r="N971" i="34"/>
  <c r="M971" i="34"/>
  <c r="L971" i="34"/>
  <c r="K971" i="34"/>
  <c r="J971" i="34"/>
  <c r="I971" i="34"/>
  <c r="H971" i="34"/>
  <c r="G971" i="34"/>
  <c r="F971" i="34"/>
  <c r="E971" i="34"/>
  <c r="R970" i="34"/>
  <c r="P970" i="34"/>
  <c r="O970" i="34"/>
  <c r="N970" i="34"/>
  <c r="M970" i="34"/>
  <c r="L970" i="34"/>
  <c r="K970" i="34"/>
  <c r="J970" i="34"/>
  <c r="I970" i="34"/>
  <c r="H970" i="34"/>
  <c r="G970" i="34"/>
  <c r="F970" i="34"/>
  <c r="E970" i="34"/>
  <c r="R969" i="34"/>
  <c r="P969" i="34"/>
  <c r="O969" i="34"/>
  <c r="N969" i="34"/>
  <c r="M969" i="34"/>
  <c r="L969" i="34"/>
  <c r="K969" i="34"/>
  <c r="J969" i="34"/>
  <c r="I969" i="34"/>
  <c r="H969" i="34"/>
  <c r="G969" i="34"/>
  <c r="F969" i="34"/>
  <c r="E969" i="34"/>
  <c r="R968" i="34"/>
  <c r="P968" i="34"/>
  <c r="O968" i="34"/>
  <c r="N968" i="34"/>
  <c r="M968" i="34"/>
  <c r="L968" i="34"/>
  <c r="K968" i="34"/>
  <c r="J968" i="34"/>
  <c r="I968" i="34"/>
  <c r="H968" i="34"/>
  <c r="G968" i="34"/>
  <c r="F968" i="34"/>
  <c r="E968" i="34"/>
  <c r="R967" i="34"/>
  <c r="P967" i="34"/>
  <c r="O967" i="34"/>
  <c r="N967" i="34"/>
  <c r="M967" i="34"/>
  <c r="L967" i="34"/>
  <c r="K967" i="34"/>
  <c r="J967" i="34"/>
  <c r="I967" i="34"/>
  <c r="H967" i="34"/>
  <c r="G967" i="34"/>
  <c r="F967" i="34"/>
  <c r="E967" i="34"/>
  <c r="R966" i="34"/>
  <c r="P966" i="34"/>
  <c r="O966" i="34"/>
  <c r="N966" i="34"/>
  <c r="M966" i="34"/>
  <c r="L966" i="34"/>
  <c r="K966" i="34"/>
  <c r="J966" i="34"/>
  <c r="I966" i="34"/>
  <c r="H966" i="34"/>
  <c r="G966" i="34"/>
  <c r="F966" i="34"/>
  <c r="E966" i="34"/>
  <c r="R965" i="34"/>
  <c r="P965" i="34"/>
  <c r="O965" i="34"/>
  <c r="N965" i="34"/>
  <c r="M965" i="34"/>
  <c r="L965" i="34"/>
  <c r="K965" i="34"/>
  <c r="J965" i="34"/>
  <c r="I965" i="34"/>
  <c r="H965" i="34"/>
  <c r="G965" i="34"/>
  <c r="F965" i="34"/>
  <c r="E965" i="34"/>
  <c r="R964" i="34"/>
  <c r="P964" i="34"/>
  <c r="O964" i="34"/>
  <c r="N964" i="34"/>
  <c r="M964" i="34"/>
  <c r="L964" i="34"/>
  <c r="K964" i="34"/>
  <c r="J964" i="34"/>
  <c r="I964" i="34"/>
  <c r="H964" i="34"/>
  <c r="G964" i="34"/>
  <c r="F964" i="34"/>
  <c r="E964" i="34"/>
  <c r="R963" i="34"/>
  <c r="P963" i="34"/>
  <c r="O963" i="34"/>
  <c r="N963" i="34"/>
  <c r="M963" i="34"/>
  <c r="L963" i="34"/>
  <c r="K963" i="34"/>
  <c r="J963" i="34"/>
  <c r="I963" i="34"/>
  <c r="H963" i="34"/>
  <c r="G963" i="34"/>
  <c r="F963" i="34"/>
  <c r="E963" i="34"/>
  <c r="R962" i="34"/>
  <c r="P962" i="34"/>
  <c r="O962" i="34"/>
  <c r="N962" i="34"/>
  <c r="M962" i="34"/>
  <c r="L962" i="34"/>
  <c r="K962" i="34"/>
  <c r="J962" i="34"/>
  <c r="I962" i="34"/>
  <c r="H962" i="34"/>
  <c r="G962" i="34"/>
  <c r="F962" i="34"/>
  <c r="E962" i="34"/>
  <c r="R961" i="34"/>
  <c r="P961" i="34"/>
  <c r="O961" i="34"/>
  <c r="N961" i="34"/>
  <c r="M961" i="34"/>
  <c r="L961" i="34"/>
  <c r="K961" i="34"/>
  <c r="J961" i="34"/>
  <c r="I961" i="34"/>
  <c r="H961" i="34"/>
  <c r="G961" i="34"/>
  <c r="F961" i="34"/>
  <c r="E961" i="34"/>
  <c r="R960" i="34"/>
  <c r="P960" i="34"/>
  <c r="O960" i="34"/>
  <c r="N960" i="34"/>
  <c r="M960" i="34"/>
  <c r="L960" i="34"/>
  <c r="K960" i="34"/>
  <c r="J960" i="34"/>
  <c r="I960" i="34"/>
  <c r="H960" i="34"/>
  <c r="G960" i="34"/>
  <c r="F960" i="34"/>
  <c r="E960" i="34"/>
  <c r="R959" i="34"/>
  <c r="P959" i="34"/>
  <c r="O959" i="34"/>
  <c r="N959" i="34"/>
  <c r="M959" i="34"/>
  <c r="L959" i="34"/>
  <c r="K959" i="34"/>
  <c r="J959" i="34"/>
  <c r="I959" i="34"/>
  <c r="H959" i="34"/>
  <c r="G959" i="34"/>
  <c r="F959" i="34"/>
  <c r="E959" i="34"/>
  <c r="R958" i="34"/>
  <c r="P958" i="34"/>
  <c r="O958" i="34"/>
  <c r="N958" i="34"/>
  <c r="M958" i="34"/>
  <c r="L958" i="34"/>
  <c r="K958" i="34"/>
  <c r="J958" i="34"/>
  <c r="I958" i="34"/>
  <c r="H958" i="34"/>
  <c r="G958" i="34"/>
  <c r="F958" i="34"/>
  <c r="E958" i="34"/>
  <c r="R957" i="34"/>
  <c r="P957" i="34"/>
  <c r="O957" i="34"/>
  <c r="N957" i="34"/>
  <c r="M957" i="34"/>
  <c r="L957" i="34"/>
  <c r="K957" i="34"/>
  <c r="J957" i="34"/>
  <c r="I957" i="34"/>
  <c r="H957" i="34"/>
  <c r="G957" i="34"/>
  <c r="F957" i="34"/>
  <c r="E957" i="34"/>
  <c r="R956" i="34"/>
  <c r="P956" i="34"/>
  <c r="O956" i="34"/>
  <c r="N956" i="34"/>
  <c r="M956" i="34"/>
  <c r="L956" i="34"/>
  <c r="K956" i="34"/>
  <c r="J956" i="34"/>
  <c r="I956" i="34"/>
  <c r="H956" i="34"/>
  <c r="G956" i="34"/>
  <c r="F956" i="34"/>
  <c r="E956" i="34"/>
  <c r="R955" i="34"/>
  <c r="P955" i="34"/>
  <c r="O955" i="34"/>
  <c r="N955" i="34"/>
  <c r="M955" i="34"/>
  <c r="L955" i="34"/>
  <c r="K955" i="34"/>
  <c r="J955" i="34"/>
  <c r="I955" i="34"/>
  <c r="H955" i="34"/>
  <c r="G955" i="34"/>
  <c r="F955" i="34"/>
  <c r="E955" i="34"/>
  <c r="R954" i="34"/>
  <c r="P954" i="34"/>
  <c r="O954" i="34"/>
  <c r="M954" i="34"/>
  <c r="L954" i="34"/>
  <c r="K954" i="34"/>
  <c r="J954" i="34"/>
  <c r="H954" i="34"/>
  <c r="G954" i="34"/>
  <c r="F954" i="34"/>
  <c r="E954" i="34"/>
  <c r="R953" i="34"/>
  <c r="P953" i="34"/>
  <c r="O953" i="34"/>
  <c r="N953" i="34"/>
  <c r="M953" i="34"/>
  <c r="L953" i="34"/>
  <c r="K953" i="34"/>
  <c r="J953" i="34"/>
  <c r="I953" i="34"/>
  <c r="H953" i="34"/>
  <c r="G953" i="34"/>
  <c r="F953" i="34"/>
  <c r="E953" i="34"/>
  <c r="R952" i="34"/>
  <c r="P952" i="34"/>
  <c r="O952" i="34"/>
  <c r="N952" i="34"/>
  <c r="M952" i="34"/>
  <c r="L952" i="34"/>
  <c r="K952" i="34"/>
  <c r="J952" i="34"/>
  <c r="I952" i="34"/>
  <c r="H952" i="34"/>
  <c r="G952" i="34"/>
  <c r="F952" i="34"/>
  <c r="E952" i="34"/>
  <c r="R951" i="34"/>
  <c r="P951" i="34"/>
  <c r="O951" i="34"/>
  <c r="N951" i="34"/>
  <c r="M951" i="34"/>
  <c r="L951" i="34"/>
  <c r="K951" i="34"/>
  <c r="J951" i="34"/>
  <c r="I951" i="34"/>
  <c r="H951" i="34"/>
  <c r="G951" i="34"/>
  <c r="F951" i="34"/>
  <c r="E951" i="34"/>
  <c r="R950" i="34"/>
  <c r="P950" i="34"/>
  <c r="O950" i="34"/>
  <c r="N950" i="34"/>
  <c r="M950" i="34"/>
  <c r="L950" i="34"/>
  <c r="K950" i="34"/>
  <c r="J950" i="34"/>
  <c r="I950" i="34"/>
  <c r="H950" i="34"/>
  <c r="G950" i="34"/>
  <c r="F950" i="34"/>
  <c r="E950" i="34"/>
  <c r="R949" i="34"/>
  <c r="P949" i="34"/>
  <c r="O949" i="34"/>
  <c r="N949" i="34"/>
  <c r="M949" i="34"/>
  <c r="L949" i="34"/>
  <c r="K949" i="34"/>
  <c r="J949" i="34"/>
  <c r="I949" i="34"/>
  <c r="H949" i="34"/>
  <c r="G949" i="34"/>
  <c r="F949" i="34"/>
  <c r="E949" i="34"/>
  <c r="R948" i="34"/>
  <c r="P948" i="34"/>
  <c r="O948" i="34"/>
  <c r="N948" i="34"/>
  <c r="M948" i="34"/>
  <c r="L948" i="34"/>
  <c r="K948" i="34"/>
  <c r="J948" i="34"/>
  <c r="I948" i="34"/>
  <c r="H948" i="34"/>
  <c r="G948" i="34"/>
  <c r="F948" i="34"/>
  <c r="E948" i="34"/>
  <c r="R947" i="34"/>
  <c r="P947" i="34"/>
  <c r="O947" i="34"/>
  <c r="N947" i="34"/>
  <c r="M947" i="34"/>
  <c r="L947" i="34"/>
  <c r="K947" i="34"/>
  <c r="J947" i="34"/>
  <c r="I947" i="34"/>
  <c r="H947" i="34"/>
  <c r="G947" i="34"/>
  <c r="F947" i="34"/>
  <c r="E947" i="34"/>
  <c r="R946" i="34"/>
  <c r="P946" i="34"/>
  <c r="O946" i="34"/>
  <c r="N946" i="34"/>
  <c r="M946" i="34"/>
  <c r="L946" i="34"/>
  <c r="K946" i="34"/>
  <c r="J946" i="34"/>
  <c r="I946" i="34"/>
  <c r="H946" i="34"/>
  <c r="G946" i="34"/>
  <c r="F946" i="34"/>
  <c r="E946" i="34"/>
  <c r="R945" i="34"/>
  <c r="P945" i="34"/>
  <c r="O945" i="34"/>
  <c r="N945" i="34"/>
  <c r="M945" i="34"/>
  <c r="L945" i="34"/>
  <c r="K945" i="34"/>
  <c r="J945" i="34"/>
  <c r="I945" i="34"/>
  <c r="H945" i="34"/>
  <c r="G945" i="34"/>
  <c r="F945" i="34"/>
  <c r="E945" i="34"/>
  <c r="R944" i="34"/>
  <c r="P944" i="34"/>
  <c r="O944" i="34"/>
  <c r="N944" i="34"/>
  <c r="M944" i="34"/>
  <c r="L944" i="34"/>
  <c r="K944" i="34"/>
  <c r="J944" i="34"/>
  <c r="I944" i="34"/>
  <c r="H944" i="34"/>
  <c r="G944" i="34"/>
  <c r="F944" i="34"/>
  <c r="E944" i="34"/>
  <c r="R943" i="34"/>
  <c r="P943" i="34"/>
  <c r="O943" i="34"/>
  <c r="N943" i="34"/>
  <c r="M943" i="34"/>
  <c r="L943" i="34"/>
  <c r="K943" i="34"/>
  <c r="J943" i="34"/>
  <c r="I943" i="34"/>
  <c r="H943" i="34"/>
  <c r="G943" i="34"/>
  <c r="F943" i="34"/>
  <c r="E943" i="34"/>
  <c r="R942" i="34"/>
  <c r="B6" i="76" s="1"/>
  <c r="P942" i="34"/>
  <c r="O942" i="34"/>
  <c r="N942" i="34"/>
  <c r="M942" i="34"/>
  <c r="C6" i="76" s="1"/>
  <c r="L942" i="34"/>
  <c r="K942" i="34"/>
  <c r="J942" i="34"/>
  <c r="I942" i="34"/>
  <c r="H942" i="34"/>
  <c r="G942" i="34"/>
  <c r="F942" i="34"/>
  <c r="E942" i="34"/>
  <c r="L6" i="76" s="1"/>
  <c r="R862" i="34"/>
  <c r="P862" i="34"/>
  <c r="O862" i="34"/>
  <c r="N862" i="34"/>
  <c r="M862" i="34"/>
  <c r="L862" i="34"/>
  <c r="K862" i="34"/>
  <c r="J862" i="34"/>
  <c r="I862" i="34"/>
  <c r="H862" i="34"/>
  <c r="G862" i="34"/>
  <c r="F862" i="34"/>
  <c r="E862" i="34"/>
  <c r="R861" i="34"/>
  <c r="P861" i="34"/>
  <c r="O861" i="34"/>
  <c r="N861" i="34"/>
  <c r="M861" i="34"/>
  <c r="L861" i="34"/>
  <c r="K861" i="34"/>
  <c r="J861" i="34"/>
  <c r="I861" i="34"/>
  <c r="H861" i="34"/>
  <c r="G861" i="34"/>
  <c r="F861" i="34"/>
  <c r="E861" i="34"/>
  <c r="R860" i="34"/>
  <c r="P860" i="34"/>
  <c r="O860" i="34"/>
  <c r="N860" i="34"/>
  <c r="M860" i="34"/>
  <c r="L860" i="34"/>
  <c r="K860" i="34"/>
  <c r="J860" i="34"/>
  <c r="I860" i="34"/>
  <c r="H860" i="34"/>
  <c r="G860" i="34"/>
  <c r="F860" i="34"/>
  <c r="E860" i="34"/>
  <c r="R859" i="34"/>
  <c r="P859" i="34"/>
  <c r="O859" i="34"/>
  <c r="N859" i="34"/>
  <c r="M859" i="34"/>
  <c r="L859" i="34"/>
  <c r="K859" i="34"/>
  <c r="J859" i="34"/>
  <c r="I859" i="34"/>
  <c r="H859" i="34"/>
  <c r="G859" i="34"/>
  <c r="F859" i="34"/>
  <c r="E859" i="34"/>
  <c r="R858" i="34"/>
  <c r="P858" i="34"/>
  <c r="O858" i="34"/>
  <c r="N858" i="34"/>
  <c r="M858" i="34"/>
  <c r="L858" i="34"/>
  <c r="K858" i="34"/>
  <c r="J858" i="34"/>
  <c r="I858" i="34"/>
  <c r="H858" i="34"/>
  <c r="G858" i="34"/>
  <c r="F858" i="34"/>
  <c r="E858" i="34"/>
  <c r="R857" i="34"/>
  <c r="P857" i="34"/>
  <c r="O857" i="34"/>
  <c r="N857" i="34"/>
  <c r="M857" i="34"/>
  <c r="L857" i="34"/>
  <c r="K857" i="34"/>
  <c r="J857" i="34"/>
  <c r="I857" i="34"/>
  <c r="H857" i="34"/>
  <c r="G857" i="34"/>
  <c r="F857" i="34"/>
  <c r="E857" i="34"/>
  <c r="R856" i="34"/>
  <c r="P856" i="34"/>
  <c r="O856" i="34"/>
  <c r="N856" i="34"/>
  <c r="M856" i="34"/>
  <c r="L856" i="34"/>
  <c r="K856" i="34"/>
  <c r="J856" i="34"/>
  <c r="I856" i="34"/>
  <c r="H856" i="34"/>
  <c r="G856" i="34"/>
  <c r="F856" i="34"/>
  <c r="E856" i="34"/>
  <c r="R855" i="34"/>
  <c r="P855" i="34"/>
  <c r="O855" i="34"/>
  <c r="N855" i="34"/>
  <c r="M855" i="34"/>
  <c r="L855" i="34"/>
  <c r="K855" i="34"/>
  <c r="J855" i="34"/>
  <c r="I855" i="34"/>
  <c r="H855" i="34"/>
  <c r="G855" i="34"/>
  <c r="F855" i="34"/>
  <c r="E855" i="34"/>
  <c r="R854" i="34"/>
  <c r="P854" i="34"/>
  <c r="O854" i="34"/>
  <c r="N854" i="34"/>
  <c r="M854" i="34"/>
  <c r="L854" i="34"/>
  <c r="K854" i="34"/>
  <c r="J854" i="34"/>
  <c r="I854" i="34"/>
  <c r="H854" i="34"/>
  <c r="G854" i="34"/>
  <c r="F854" i="34"/>
  <c r="E854" i="34"/>
  <c r="R853" i="34"/>
  <c r="P853" i="34"/>
  <c r="O853" i="34"/>
  <c r="N853" i="34"/>
  <c r="M853" i="34"/>
  <c r="L853" i="34"/>
  <c r="K853" i="34"/>
  <c r="J853" i="34"/>
  <c r="I853" i="34"/>
  <c r="H853" i="34"/>
  <c r="G853" i="34"/>
  <c r="F853" i="34"/>
  <c r="E853" i="34"/>
  <c r="R852" i="34"/>
  <c r="P852" i="34"/>
  <c r="O852" i="34"/>
  <c r="N852" i="34"/>
  <c r="M852" i="34"/>
  <c r="L852" i="34"/>
  <c r="K852" i="34"/>
  <c r="J852" i="34"/>
  <c r="I852" i="34"/>
  <c r="H852" i="34"/>
  <c r="G852" i="34"/>
  <c r="F852" i="34"/>
  <c r="E852" i="34"/>
  <c r="R851" i="34"/>
  <c r="P851" i="34"/>
  <c r="O851" i="34"/>
  <c r="N851" i="34"/>
  <c r="M851" i="34"/>
  <c r="L851" i="34"/>
  <c r="K851" i="34"/>
  <c r="J851" i="34"/>
  <c r="I851" i="34"/>
  <c r="H851" i="34"/>
  <c r="G851" i="34"/>
  <c r="F851" i="34"/>
  <c r="E851" i="34"/>
  <c r="R850" i="34"/>
  <c r="P850" i="34"/>
  <c r="O850" i="34"/>
  <c r="N850" i="34"/>
  <c r="M850" i="34"/>
  <c r="L850" i="34"/>
  <c r="K850" i="34"/>
  <c r="J850" i="34"/>
  <c r="I850" i="34"/>
  <c r="H850" i="34"/>
  <c r="G850" i="34"/>
  <c r="F850" i="34"/>
  <c r="E850" i="34"/>
  <c r="R849" i="34"/>
  <c r="P849" i="34"/>
  <c r="O849" i="34"/>
  <c r="N849" i="34"/>
  <c r="M849" i="34"/>
  <c r="L849" i="34"/>
  <c r="K849" i="34"/>
  <c r="J849" i="34"/>
  <c r="I849" i="34"/>
  <c r="H849" i="34"/>
  <c r="G849" i="34"/>
  <c r="F849" i="34"/>
  <c r="E849" i="34"/>
  <c r="R848" i="34"/>
  <c r="P848" i="34"/>
  <c r="O848" i="34"/>
  <c r="N848" i="34"/>
  <c r="M848" i="34"/>
  <c r="L848" i="34"/>
  <c r="K848" i="34"/>
  <c r="J848" i="34"/>
  <c r="I848" i="34"/>
  <c r="H848" i="34"/>
  <c r="G848" i="34"/>
  <c r="F848" i="34"/>
  <c r="E848" i="34"/>
  <c r="R847" i="34"/>
  <c r="P847" i="34"/>
  <c r="O847" i="34"/>
  <c r="N847" i="34"/>
  <c r="M847" i="34"/>
  <c r="L847" i="34"/>
  <c r="K847" i="34"/>
  <c r="J847" i="34"/>
  <c r="I847" i="34"/>
  <c r="H847" i="34"/>
  <c r="G847" i="34"/>
  <c r="F847" i="34"/>
  <c r="E847" i="34"/>
  <c r="R846" i="34"/>
  <c r="P846" i="34"/>
  <c r="O846" i="34"/>
  <c r="N846" i="34"/>
  <c r="M846" i="34"/>
  <c r="L846" i="34"/>
  <c r="K846" i="34"/>
  <c r="J846" i="34"/>
  <c r="I846" i="34"/>
  <c r="H846" i="34"/>
  <c r="G846" i="34"/>
  <c r="F846" i="34"/>
  <c r="E846" i="34"/>
  <c r="R845" i="34"/>
  <c r="P845" i="34"/>
  <c r="O845" i="34"/>
  <c r="N845" i="34"/>
  <c r="M845" i="34"/>
  <c r="L845" i="34"/>
  <c r="K845" i="34"/>
  <c r="J845" i="34"/>
  <c r="I845" i="34"/>
  <c r="H845" i="34"/>
  <c r="G845" i="34"/>
  <c r="F845" i="34"/>
  <c r="E845" i="34"/>
  <c r="R844" i="34"/>
  <c r="P844" i="34"/>
  <c r="O844" i="34"/>
  <c r="N844" i="34"/>
  <c r="M844" i="34"/>
  <c r="L844" i="34"/>
  <c r="K844" i="34"/>
  <c r="J844" i="34"/>
  <c r="I844" i="34"/>
  <c r="H844" i="34"/>
  <c r="G844" i="34"/>
  <c r="F844" i="34"/>
  <c r="E844" i="34"/>
  <c r="R843" i="34"/>
  <c r="P843" i="34"/>
  <c r="O843" i="34"/>
  <c r="N843" i="34"/>
  <c r="M843" i="34"/>
  <c r="L843" i="34"/>
  <c r="K843" i="34"/>
  <c r="J843" i="34"/>
  <c r="I843" i="34"/>
  <c r="H843" i="34"/>
  <c r="G843" i="34"/>
  <c r="F843" i="34"/>
  <c r="E843" i="34"/>
  <c r="R842" i="34"/>
  <c r="P842" i="34"/>
  <c r="O842" i="34"/>
  <c r="N842" i="34"/>
  <c r="M842" i="34"/>
  <c r="L842" i="34"/>
  <c r="K842" i="34"/>
  <c r="J842" i="34"/>
  <c r="I842" i="34"/>
  <c r="H842" i="34"/>
  <c r="G842" i="34"/>
  <c r="F842" i="34"/>
  <c r="E842" i="34"/>
  <c r="R841" i="34"/>
  <c r="P841" i="34"/>
  <c r="O841" i="34"/>
  <c r="N841" i="34"/>
  <c r="M841" i="34"/>
  <c r="L841" i="34"/>
  <c r="K841" i="34"/>
  <c r="J841" i="34"/>
  <c r="I841" i="34"/>
  <c r="H841" i="34"/>
  <c r="G841" i="34"/>
  <c r="F841" i="34"/>
  <c r="E841" i="34"/>
  <c r="R840" i="34"/>
  <c r="P840" i="34"/>
  <c r="O840" i="34"/>
  <c r="N840" i="34"/>
  <c r="M840" i="34"/>
  <c r="L840" i="34"/>
  <c r="K840" i="34"/>
  <c r="J840" i="34"/>
  <c r="I840" i="34"/>
  <c r="H840" i="34"/>
  <c r="G840" i="34"/>
  <c r="F840" i="34"/>
  <c r="E840" i="34"/>
  <c r="R839" i="34"/>
  <c r="P839" i="34"/>
  <c r="O839" i="34"/>
  <c r="N839" i="34"/>
  <c r="M839" i="34"/>
  <c r="L839" i="34"/>
  <c r="K839" i="34"/>
  <c r="J839" i="34"/>
  <c r="I839" i="34"/>
  <c r="H839" i="34"/>
  <c r="G839" i="34"/>
  <c r="F839" i="34"/>
  <c r="E839" i="34"/>
  <c r="R838" i="34"/>
  <c r="P838" i="34"/>
  <c r="O838" i="34"/>
  <c r="N838" i="34"/>
  <c r="M838" i="34"/>
  <c r="L838" i="34"/>
  <c r="K838" i="34"/>
  <c r="J838" i="34"/>
  <c r="I838" i="34"/>
  <c r="H838" i="34"/>
  <c r="G838" i="34"/>
  <c r="F838" i="34"/>
  <c r="E838" i="34"/>
  <c r="R837" i="34"/>
  <c r="P837" i="34"/>
  <c r="O837" i="34"/>
  <c r="M837" i="34"/>
  <c r="L837" i="34"/>
  <c r="K837" i="34"/>
  <c r="J837" i="34"/>
  <c r="H837" i="34"/>
  <c r="G837" i="34"/>
  <c r="F837" i="34"/>
  <c r="E837" i="34"/>
  <c r="R836" i="34"/>
  <c r="P836" i="34"/>
  <c r="O836" i="34"/>
  <c r="N836" i="34"/>
  <c r="M836" i="34"/>
  <c r="L836" i="34"/>
  <c r="K836" i="34"/>
  <c r="J836" i="34"/>
  <c r="I836" i="34"/>
  <c r="H836" i="34"/>
  <c r="G836" i="34"/>
  <c r="F836" i="34"/>
  <c r="E836" i="34"/>
  <c r="R835" i="34"/>
  <c r="P835" i="34"/>
  <c r="O835" i="34"/>
  <c r="N835" i="34"/>
  <c r="M835" i="34"/>
  <c r="L835" i="34"/>
  <c r="K835" i="34"/>
  <c r="J835" i="34"/>
  <c r="I835" i="34"/>
  <c r="H835" i="34"/>
  <c r="G835" i="34"/>
  <c r="F835" i="34"/>
  <c r="E835" i="34"/>
  <c r="R834" i="34"/>
  <c r="P834" i="34"/>
  <c r="O834" i="34"/>
  <c r="N834" i="34"/>
  <c r="M834" i="34"/>
  <c r="L834" i="34"/>
  <c r="K834" i="34"/>
  <c r="J834" i="34"/>
  <c r="I834" i="34"/>
  <c r="H834" i="34"/>
  <c r="G834" i="34"/>
  <c r="F834" i="34"/>
  <c r="E834" i="34"/>
  <c r="R833" i="34"/>
  <c r="P833" i="34"/>
  <c r="O833" i="34"/>
  <c r="N833" i="34"/>
  <c r="M833" i="34"/>
  <c r="L833" i="34"/>
  <c r="K833" i="34"/>
  <c r="J833" i="34"/>
  <c r="I833" i="34"/>
  <c r="H833" i="34"/>
  <c r="G833" i="34"/>
  <c r="F833" i="34"/>
  <c r="E833" i="34"/>
  <c r="R832" i="34"/>
  <c r="P832" i="34"/>
  <c r="O832" i="34"/>
  <c r="N832" i="34"/>
  <c r="M832" i="34"/>
  <c r="L832" i="34"/>
  <c r="K832" i="34"/>
  <c r="J832" i="34"/>
  <c r="I832" i="34"/>
  <c r="H832" i="34"/>
  <c r="G832" i="34"/>
  <c r="F832" i="34"/>
  <c r="E832" i="34"/>
  <c r="R831" i="34"/>
  <c r="P831" i="34"/>
  <c r="O831" i="34"/>
  <c r="N831" i="34"/>
  <c r="M831" i="34"/>
  <c r="L831" i="34"/>
  <c r="K831" i="34"/>
  <c r="J831" i="34"/>
  <c r="I831" i="34"/>
  <c r="H831" i="34"/>
  <c r="G831" i="34"/>
  <c r="F831" i="34"/>
  <c r="E831" i="34"/>
  <c r="R830" i="34"/>
  <c r="P830" i="34"/>
  <c r="O830" i="34"/>
  <c r="N830" i="34"/>
  <c r="M830" i="34"/>
  <c r="L830" i="34"/>
  <c r="K830" i="34"/>
  <c r="J830" i="34"/>
  <c r="I830" i="34"/>
  <c r="H830" i="34"/>
  <c r="G830" i="34"/>
  <c r="F830" i="34"/>
  <c r="E830" i="34"/>
  <c r="R829" i="34"/>
  <c r="P829" i="34"/>
  <c r="O829" i="34"/>
  <c r="N829" i="34"/>
  <c r="M829" i="34"/>
  <c r="L829" i="34"/>
  <c r="K829" i="34"/>
  <c r="J829" i="34"/>
  <c r="I829" i="34"/>
  <c r="H829" i="34"/>
  <c r="G829" i="34"/>
  <c r="F829" i="34"/>
  <c r="E829" i="34"/>
  <c r="R828" i="34"/>
  <c r="P828" i="34"/>
  <c r="O828" i="34"/>
  <c r="N828" i="34"/>
  <c r="M828" i="34"/>
  <c r="L828" i="34"/>
  <c r="K828" i="34"/>
  <c r="J828" i="34"/>
  <c r="I828" i="34"/>
  <c r="H828" i="34"/>
  <c r="G828" i="34"/>
  <c r="F828" i="34"/>
  <c r="E828" i="34"/>
  <c r="R827" i="34"/>
  <c r="P827" i="34"/>
  <c r="O827" i="34"/>
  <c r="N827" i="34"/>
  <c r="M827" i="34"/>
  <c r="L827" i="34"/>
  <c r="K827" i="34"/>
  <c r="J827" i="34"/>
  <c r="I827" i="34"/>
  <c r="H827" i="34"/>
  <c r="G827" i="34"/>
  <c r="F827" i="34"/>
  <c r="E827" i="34"/>
  <c r="R826" i="34"/>
  <c r="P826" i="34"/>
  <c r="O826" i="34"/>
  <c r="N826" i="34"/>
  <c r="M826" i="34"/>
  <c r="L826" i="34"/>
  <c r="K826" i="34"/>
  <c r="J826" i="34"/>
  <c r="I826" i="34"/>
  <c r="H826" i="34"/>
  <c r="G826" i="34"/>
  <c r="F826" i="34"/>
  <c r="E826" i="34"/>
  <c r="R825" i="34"/>
  <c r="B5" i="76" s="1"/>
  <c r="P825" i="34"/>
  <c r="O825" i="34"/>
  <c r="N825" i="34"/>
  <c r="M825" i="34"/>
  <c r="C5" i="76" s="1"/>
  <c r="L825" i="34"/>
  <c r="K825" i="34"/>
  <c r="J825" i="34"/>
  <c r="I825" i="34"/>
  <c r="H825" i="34"/>
  <c r="G825" i="34"/>
  <c r="F825" i="34"/>
  <c r="E825" i="34"/>
  <c r="L5" i="76" s="1"/>
  <c r="R745" i="34"/>
  <c r="P745" i="34"/>
  <c r="O745" i="34"/>
  <c r="N745" i="34"/>
  <c r="M745" i="34"/>
  <c r="L745" i="34"/>
  <c r="K745" i="34"/>
  <c r="J745" i="34"/>
  <c r="I745" i="34"/>
  <c r="H745" i="34"/>
  <c r="G745" i="34"/>
  <c r="F745" i="34"/>
  <c r="E745" i="34"/>
  <c r="R744" i="34"/>
  <c r="P744" i="34"/>
  <c r="O744" i="34"/>
  <c r="N744" i="34"/>
  <c r="M744" i="34"/>
  <c r="L744" i="34"/>
  <c r="K744" i="34"/>
  <c r="J744" i="34"/>
  <c r="I744" i="34"/>
  <c r="H744" i="34"/>
  <c r="G744" i="34"/>
  <c r="F744" i="34"/>
  <c r="E744" i="34"/>
  <c r="R743" i="34"/>
  <c r="P743" i="34"/>
  <c r="O743" i="34"/>
  <c r="N743" i="34"/>
  <c r="M743" i="34"/>
  <c r="L743" i="34"/>
  <c r="K743" i="34"/>
  <c r="J743" i="34"/>
  <c r="I743" i="34"/>
  <c r="H743" i="34"/>
  <c r="G743" i="34"/>
  <c r="F743" i="34"/>
  <c r="E743" i="34"/>
  <c r="R742" i="34"/>
  <c r="P742" i="34"/>
  <c r="O742" i="34"/>
  <c r="N742" i="34"/>
  <c r="M742" i="34"/>
  <c r="L742" i="34"/>
  <c r="K742" i="34"/>
  <c r="J742" i="34"/>
  <c r="I742" i="34"/>
  <c r="H742" i="34"/>
  <c r="G742" i="34"/>
  <c r="F742" i="34"/>
  <c r="E742" i="34"/>
  <c r="R741" i="34"/>
  <c r="P741" i="34"/>
  <c r="O741" i="34"/>
  <c r="N741" i="34"/>
  <c r="M741" i="34"/>
  <c r="L741" i="34"/>
  <c r="K741" i="34"/>
  <c r="J741" i="34"/>
  <c r="I741" i="34"/>
  <c r="H741" i="34"/>
  <c r="G741" i="34"/>
  <c r="F741" i="34"/>
  <c r="E741" i="34"/>
  <c r="R740" i="34"/>
  <c r="P740" i="34"/>
  <c r="O740" i="34"/>
  <c r="N740" i="34"/>
  <c r="M740" i="34"/>
  <c r="L740" i="34"/>
  <c r="K740" i="34"/>
  <c r="J740" i="34"/>
  <c r="I740" i="34"/>
  <c r="H740" i="34"/>
  <c r="G740" i="34"/>
  <c r="F740" i="34"/>
  <c r="E740" i="34"/>
  <c r="R739" i="34"/>
  <c r="P739" i="34"/>
  <c r="O739" i="34"/>
  <c r="N739" i="34"/>
  <c r="M739" i="34"/>
  <c r="L739" i="34"/>
  <c r="K739" i="34"/>
  <c r="J739" i="34"/>
  <c r="I739" i="34"/>
  <c r="H739" i="34"/>
  <c r="G739" i="34"/>
  <c r="F739" i="34"/>
  <c r="E739" i="34"/>
  <c r="R738" i="34"/>
  <c r="P738" i="34"/>
  <c r="O738" i="34"/>
  <c r="N738" i="34"/>
  <c r="M738" i="34"/>
  <c r="L738" i="34"/>
  <c r="K738" i="34"/>
  <c r="J738" i="34"/>
  <c r="I738" i="34"/>
  <c r="H738" i="34"/>
  <c r="G738" i="34"/>
  <c r="F738" i="34"/>
  <c r="E738" i="34"/>
  <c r="R737" i="34"/>
  <c r="P737" i="34"/>
  <c r="O737" i="34"/>
  <c r="N737" i="34"/>
  <c r="M737" i="34"/>
  <c r="L737" i="34"/>
  <c r="K737" i="34"/>
  <c r="J737" i="34"/>
  <c r="I737" i="34"/>
  <c r="H737" i="34"/>
  <c r="G737" i="34"/>
  <c r="F737" i="34"/>
  <c r="E737" i="34"/>
  <c r="R736" i="34"/>
  <c r="P736" i="34"/>
  <c r="O736" i="34"/>
  <c r="N736" i="34"/>
  <c r="M736" i="34"/>
  <c r="L736" i="34"/>
  <c r="K736" i="34"/>
  <c r="J736" i="34"/>
  <c r="I736" i="34"/>
  <c r="H736" i="34"/>
  <c r="G736" i="34"/>
  <c r="F736" i="34"/>
  <c r="E736" i="34"/>
  <c r="R735" i="34"/>
  <c r="P735" i="34"/>
  <c r="O735" i="34"/>
  <c r="N735" i="34"/>
  <c r="M735" i="34"/>
  <c r="L735" i="34"/>
  <c r="K735" i="34"/>
  <c r="J735" i="34"/>
  <c r="I735" i="34"/>
  <c r="H735" i="34"/>
  <c r="G735" i="34"/>
  <c r="F735" i="34"/>
  <c r="E735" i="34"/>
  <c r="R734" i="34"/>
  <c r="P734" i="34"/>
  <c r="O734" i="34"/>
  <c r="N734" i="34"/>
  <c r="M734" i="34"/>
  <c r="L734" i="34"/>
  <c r="K734" i="34"/>
  <c r="J734" i="34"/>
  <c r="I734" i="34"/>
  <c r="H734" i="34"/>
  <c r="G734" i="34"/>
  <c r="F734" i="34"/>
  <c r="E734" i="34"/>
  <c r="R733" i="34"/>
  <c r="P733" i="34"/>
  <c r="O733" i="34"/>
  <c r="N733" i="34"/>
  <c r="M733" i="34"/>
  <c r="L733" i="34"/>
  <c r="K733" i="34"/>
  <c r="J733" i="34"/>
  <c r="I733" i="34"/>
  <c r="H733" i="34"/>
  <c r="G733" i="34"/>
  <c r="F733" i="34"/>
  <c r="E733" i="34"/>
  <c r="R732" i="34"/>
  <c r="P732" i="34"/>
  <c r="O732" i="34"/>
  <c r="N732" i="34"/>
  <c r="M732" i="34"/>
  <c r="L732" i="34"/>
  <c r="K732" i="34"/>
  <c r="J732" i="34"/>
  <c r="I732" i="34"/>
  <c r="H732" i="34"/>
  <c r="G732" i="34"/>
  <c r="F732" i="34"/>
  <c r="E732" i="34"/>
  <c r="R731" i="34"/>
  <c r="P731" i="34"/>
  <c r="O731" i="34"/>
  <c r="N731" i="34"/>
  <c r="M731" i="34"/>
  <c r="L731" i="34"/>
  <c r="K731" i="34"/>
  <c r="J731" i="34"/>
  <c r="I731" i="34"/>
  <c r="H731" i="34"/>
  <c r="G731" i="34"/>
  <c r="F731" i="34"/>
  <c r="E731" i="34"/>
  <c r="R730" i="34"/>
  <c r="P730" i="34"/>
  <c r="O730" i="34"/>
  <c r="N730" i="34"/>
  <c r="M730" i="34"/>
  <c r="L730" i="34"/>
  <c r="K730" i="34"/>
  <c r="J730" i="34"/>
  <c r="I730" i="34"/>
  <c r="H730" i="34"/>
  <c r="G730" i="34"/>
  <c r="F730" i="34"/>
  <c r="E730" i="34"/>
  <c r="R729" i="34"/>
  <c r="P729" i="34"/>
  <c r="O729" i="34"/>
  <c r="N729" i="34"/>
  <c r="M729" i="34"/>
  <c r="L729" i="34"/>
  <c r="K729" i="34"/>
  <c r="J729" i="34"/>
  <c r="I729" i="34"/>
  <c r="H729" i="34"/>
  <c r="G729" i="34"/>
  <c r="F729" i="34"/>
  <c r="E729" i="34"/>
  <c r="R728" i="34"/>
  <c r="P728" i="34"/>
  <c r="O728" i="34"/>
  <c r="N728" i="34"/>
  <c r="M728" i="34"/>
  <c r="L728" i="34"/>
  <c r="K728" i="34"/>
  <c r="J728" i="34"/>
  <c r="I728" i="34"/>
  <c r="H728" i="34"/>
  <c r="G728" i="34"/>
  <c r="F728" i="34"/>
  <c r="E728" i="34"/>
  <c r="R727" i="34"/>
  <c r="P727" i="34"/>
  <c r="O727" i="34"/>
  <c r="N727" i="34"/>
  <c r="M727" i="34"/>
  <c r="L727" i="34"/>
  <c r="K727" i="34"/>
  <c r="J727" i="34"/>
  <c r="I727" i="34"/>
  <c r="H727" i="34"/>
  <c r="G727" i="34"/>
  <c r="F727" i="34"/>
  <c r="E727" i="34"/>
  <c r="R726" i="34"/>
  <c r="P726" i="34"/>
  <c r="O726" i="34"/>
  <c r="N726" i="34"/>
  <c r="M726" i="34"/>
  <c r="L726" i="34"/>
  <c r="K726" i="34"/>
  <c r="J726" i="34"/>
  <c r="I726" i="34"/>
  <c r="H726" i="34"/>
  <c r="G726" i="34"/>
  <c r="F726" i="34"/>
  <c r="E726" i="34"/>
  <c r="R725" i="34"/>
  <c r="P725" i="34"/>
  <c r="O725" i="34"/>
  <c r="N725" i="34"/>
  <c r="M725" i="34"/>
  <c r="L725" i="34"/>
  <c r="K725" i="34"/>
  <c r="J725" i="34"/>
  <c r="I725" i="34"/>
  <c r="H725" i="34"/>
  <c r="G725" i="34"/>
  <c r="F725" i="34"/>
  <c r="E725" i="34"/>
  <c r="R724" i="34"/>
  <c r="P724" i="34"/>
  <c r="O724" i="34"/>
  <c r="N724" i="34"/>
  <c r="M724" i="34"/>
  <c r="L724" i="34"/>
  <c r="K724" i="34"/>
  <c r="J724" i="34"/>
  <c r="I724" i="34"/>
  <c r="H724" i="34"/>
  <c r="G724" i="34"/>
  <c r="F724" i="34"/>
  <c r="E724" i="34"/>
  <c r="R723" i="34"/>
  <c r="P723" i="34"/>
  <c r="O723" i="34"/>
  <c r="N723" i="34"/>
  <c r="M723" i="34"/>
  <c r="L723" i="34"/>
  <c r="K723" i="34"/>
  <c r="J723" i="34"/>
  <c r="I723" i="34"/>
  <c r="H723" i="34"/>
  <c r="G723" i="34"/>
  <c r="F723" i="34"/>
  <c r="E723" i="34"/>
  <c r="R722" i="34"/>
  <c r="P722" i="34"/>
  <c r="O722" i="34"/>
  <c r="N722" i="34"/>
  <c r="M722" i="34"/>
  <c r="L722" i="34"/>
  <c r="K722" i="34"/>
  <c r="J722" i="34"/>
  <c r="I722" i="34"/>
  <c r="H722" i="34"/>
  <c r="G722" i="34"/>
  <c r="F722" i="34"/>
  <c r="E722" i="34"/>
  <c r="R721" i="34"/>
  <c r="P721" i="34"/>
  <c r="O721" i="34"/>
  <c r="N721" i="34"/>
  <c r="M721" i="34"/>
  <c r="L721" i="34"/>
  <c r="K721" i="34"/>
  <c r="J721" i="34"/>
  <c r="I721" i="34"/>
  <c r="H721" i="34"/>
  <c r="G721" i="34"/>
  <c r="F721" i="34"/>
  <c r="E721" i="34"/>
  <c r="R720" i="34"/>
  <c r="P720" i="34"/>
  <c r="O720" i="34"/>
  <c r="M720" i="34"/>
  <c r="L720" i="34"/>
  <c r="K720" i="34"/>
  <c r="J720" i="34"/>
  <c r="H720" i="34"/>
  <c r="G720" i="34"/>
  <c r="F720" i="34"/>
  <c r="E720" i="34"/>
  <c r="R719" i="34"/>
  <c r="P719" i="34"/>
  <c r="O719" i="34"/>
  <c r="N719" i="34"/>
  <c r="M719" i="34"/>
  <c r="L719" i="34"/>
  <c r="K719" i="34"/>
  <c r="J719" i="34"/>
  <c r="I719" i="34"/>
  <c r="H719" i="34"/>
  <c r="G719" i="34"/>
  <c r="F719" i="34"/>
  <c r="E719" i="34"/>
  <c r="R718" i="34"/>
  <c r="P718" i="34"/>
  <c r="O718" i="34"/>
  <c r="N718" i="34"/>
  <c r="M718" i="34"/>
  <c r="L718" i="34"/>
  <c r="K718" i="34"/>
  <c r="J718" i="34"/>
  <c r="I718" i="34"/>
  <c r="H718" i="34"/>
  <c r="G718" i="34"/>
  <c r="F718" i="34"/>
  <c r="E718" i="34"/>
  <c r="R717" i="34"/>
  <c r="P717" i="34"/>
  <c r="O717" i="34"/>
  <c r="N717" i="34"/>
  <c r="M717" i="34"/>
  <c r="L717" i="34"/>
  <c r="K717" i="34"/>
  <c r="J717" i="34"/>
  <c r="I717" i="34"/>
  <c r="H717" i="34"/>
  <c r="G717" i="34"/>
  <c r="F717" i="34"/>
  <c r="E717" i="34"/>
  <c r="R716" i="34"/>
  <c r="P716" i="34"/>
  <c r="O716" i="34"/>
  <c r="N716" i="34"/>
  <c r="M716" i="34"/>
  <c r="L716" i="34"/>
  <c r="K716" i="34"/>
  <c r="J716" i="34"/>
  <c r="I716" i="34"/>
  <c r="H716" i="34"/>
  <c r="G716" i="34"/>
  <c r="F716" i="34"/>
  <c r="E716" i="34"/>
  <c r="R715" i="34"/>
  <c r="P715" i="34"/>
  <c r="O715" i="34"/>
  <c r="N715" i="34"/>
  <c r="M715" i="34"/>
  <c r="L715" i="34"/>
  <c r="K715" i="34"/>
  <c r="J715" i="34"/>
  <c r="I715" i="34"/>
  <c r="H715" i="34"/>
  <c r="G715" i="34"/>
  <c r="F715" i="34"/>
  <c r="E715" i="34"/>
  <c r="R714" i="34"/>
  <c r="P714" i="34"/>
  <c r="O714" i="34"/>
  <c r="N714" i="34"/>
  <c r="M714" i="34"/>
  <c r="L714" i="34"/>
  <c r="K714" i="34"/>
  <c r="J714" i="34"/>
  <c r="I714" i="34"/>
  <c r="H714" i="34"/>
  <c r="G714" i="34"/>
  <c r="F714" i="34"/>
  <c r="E714" i="34"/>
  <c r="R713" i="34"/>
  <c r="P713" i="34"/>
  <c r="O713" i="34"/>
  <c r="N713" i="34"/>
  <c r="M713" i="34"/>
  <c r="L713" i="34"/>
  <c r="K713" i="34"/>
  <c r="J713" i="34"/>
  <c r="I713" i="34"/>
  <c r="H713" i="34"/>
  <c r="G713" i="34"/>
  <c r="F713" i="34"/>
  <c r="E713" i="34"/>
  <c r="R712" i="34"/>
  <c r="P712" i="34"/>
  <c r="O712" i="34"/>
  <c r="N712" i="34"/>
  <c r="M712" i="34"/>
  <c r="L712" i="34"/>
  <c r="K712" i="34"/>
  <c r="J712" i="34"/>
  <c r="I712" i="34"/>
  <c r="H712" i="34"/>
  <c r="G712" i="34"/>
  <c r="F712" i="34"/>
  <c r="E712" i="34"/>
  <c r="R711" i="34"/>
  <c r="P711" i="34"/>
  <c r="O711" i="34"/>
  <c r="N711" i="34"/>
  <c r="M711" i="34"/>
  <c r="L711" i="34"/>
  <c r="K711" i="34"/>
  <c r="J711" i="34"/>
  <c r="I711" i="34"/>
  <c r="H711" i="34"/>
  <c r="G711" i="34"/>
  <c r="F711" i="34"/>
  <c r="E711" i="34"/>
  <c r="R710" i="34"/>
  <c r="P710" i="34"/>
  <c r="O710" i="34"/>
  <c r="N710" i="34"/>
  <c r="M710" i="34"/>
  <c r="L710" i="34"/>
  <c r="K710" i="34"/>
  <c r="J710" i="34"/>
  <c r="I710" i="34"/>
  <c r="H710" i="34"/>
  <c r="G710" i="34"/>
  <c r="F710" i="34"/>
  <c r="E710" i="34"/>
  <c r="R709" i="34"/>
  <c r="P709" i="34"/>
  <c r="O709" i="34"/>
  <c r="N709" i="34"/>
  <c r="M709" i="34"/>
  <c r="L709" i="34"/>
  <c r="K709" i="34"/>
  <c r="J709" i="34"/>
  <c r="I709" i="34"/>
  <c r="H709" i="34"/>
  <c r="G709" i="34"/>
  <c r="F709" i="34"/>
  <c r="E709" i="34"/>
  <c r="R708" i="34"/>
  <c r="B4" i="76" s="1"/>
  <c r="P708" i="34"/>
  <c r="O708" i="34"/>
  <c r="N708" i="34"/>
  <c r="M708" i="34"/>
  <c r="C4" i="76" s="1"/>
  <c r="L708" i="34"/>
  <c r="K708" i="34"/>
  <c r="J708" i="34"/>
  <c r="I708" i="34"/>
  <c r="H708" i="34"/>
  <c r="G708" i="34"/>
  <c r="F708" i="34"/>
  <c r="E708" i="34"/>
  <c r="L4" i="76" s="1"/>
  <c r="R628" i="34"/>
  <c r="P628" i="34"/>
  <c r="O628" i="34"/>
  <c r="N628" i="34"/>
  <c r="M628" i="34"/>
  <c r="L628" i="34"/>
  <c r="K628" i="34"/>
  <c r="J628" i="34"/>
  <c r="I628" i="34"/>
  <c r="H628" i="34"/>
  <c r="G628" i="34"/>
  <c r="F628" i="34"/>
  <c r="E628" i="34"/>
  <c r="R627" i="34"/>
  <c r="P627" i="34"/>
  <c r="O627" i="34"/>
  <c r="N627" i="34"/>
  <c r="M627" i="34"/>
  <c r="L627" i="34"/>
  <c r="K627" i="34"/>
  <c r="J627" i="34"/>
  <c r="I627" i="34"/>
  <c r="H627" i="34"/>
  <c r="G627" i="34"/>
  <c r="F627" i="34"/>
  <c r="E627" i="34"/>
  <c r="R626" i="34"/>
  <c r="P626" i="34"/>
  <c r="O626" i="34"/>
  <c r="N626" i="34"/>
  <c r="M626" i="34"/>
  <c r="L626" i="34"/>
  <c r="K626" i="34"/>
  <c r="J626" i="34"/>
  <c r="I626" i="34"/>
  <c r="H626" i="34"/>
  <c r="G626" i="34"/>
  <c r="F626" i="34"/>
  <c r="E626" i="34"/>
  <c r="R625" i="34"/>
  <c r="P625" i="34"/>
  <c r="O625" i="34"/>
  <c r="N625" i="34"/>
  <c r="M625" i="34"/>
  <c r="L625" i="34"/>
  <c r="K625" i="34"/>
  <c r="J625" i="34"/>
  <c r="I625" i="34"/>
  <c r="H625" i="34"/>
  <c r="G625" i="34"/>
  <c r="F625" i="34"/>
  <c r="E625" i="34"/>
  <c r="R624" i="34"/>
  <c r="P624" i="34"/>
  <c r="O624" i="34"/>
  <c r="N624" i="34"/>
  <c r="M624" i="34"/>
  <c r="L624" i="34"/>
  <c r="K624" i="34"/>
  <c r="J624" i="34"/>
  <c r="I624" i="34"/>
  <c r="H624" i="34"/>
  <c r="G624" i="34"/>
  <c r="F624" i="34"/>
  <c r="E624" i="34"/>
  <c r="R623" i="34"/>
  <c r="P623" i="34"/>
  <c r="O623" i="34"/>
  <c r="N623" i="34"/>
  <c r="M623" i="34"/>
  <c r="L623" i="34"/>
  <c r="K623" i="34"/>
  <c r="J623" i="34"/>
  <c r="I623" i="34"/>
  <c r="H623" i="34"/>
  <c r="G623" i="34"/>
  <c r="F623" i="34"/>
  <c r="E623" i="34"/>
  <c r="R622" i="34"/>
  <c r="P622" i="34"/>
  <c r="O622" i="34"/>
  <c r="N622" i="34"/>
  <c r="M622" i="34"/>
  <c r="L622" i="34"/>
  <c r="K622" i="34"/>
  <c r="J622" i="34"/>
  <c r="I622" i="34"/>
  <c r="H622" i="34"/>
  <c r="G622" i="34"/>
  <c r="F622" i="34"/>
  <c r="E622" i="34"/>
  <c r="R621" i="34"/>
  <c r="P621" i="34"/>
  <c r="O621" i="34"/>
  <c r="N621" i="34"/>
  <c r="M621" i="34"/>
  <c r="L621" i="34"/>
  <c r="K621" i="34"/>
  <c r="J621" i="34"/>
  <c r="I621" i="34"/>
  <c r="H621" i="34"/>
  <c r="G621" i="34"/>
  <c r="F621" i="34"/>
  <c r="E621" i="34"/>
  <c r="R620" i="34"/>
  <c r="P620" i="34"/>
  <c r="O620" i="34"/>
  <c r="N620" i="34"/>
  <c r="M620" i="34"/>
  <c r="L620" i="34"/>
  <c r="K620" i="34"/>
  <c r="J620" i="34"/>
  <c r="I620" i="34"/>
  <c r="H620" i="34"/>
  <c r="G620" i="34"/>
  <c r="F620" i="34"/>
  <c r="E620" i="34"/>
  <c r="R619" i="34"/>
  <c r="P619" i="34"/>
  <c r="O619" i="34"/>
  <c r="N619" i="34"/>
  <c r="M619" i="34"/>
  <c r="L619" i="34"/>
  <c r="K619" i="34"/>
  <c r="J619" i="34"/>
  <c r="I619" i="34"/>
  <c r="H619" i="34"/>
  <c r="G619" i="34"/>
  <c r="F619" i="34"/>
  <c r="E619" i="34"/>
  <c r="R618" i="34"/>
  <c r="P618" i="34"/>
  <c r="O618" i="34"/>
  <c r="N618" i="34"/>
  <c r="M618" i="34"/>
  <c r="L618" i="34"/>
  <c r="K618" i="34"/>
  <c r="J618" i="34"/>
  <c r="I618" i="34"/>
  <c r="H618" i="34"/>
  <c r="G618" i="34"/>
  <c r="F618" i="34"/>
  <c r="E618" i="34"/>
  <c r="R617" i="34"/>
  <c r="P617" i="34"/>
  <c r="O617" i="34"/>
  <c r="N617" i="34"/>
  <c r="M617" i="34"/>
  <c r="L617" i="34"/>
  <c r="K617" i="34"/>
  <c r="J617" i="34"/>
  <c r="I617" i="34"/>
  <c r="H617" i="34"/>
  <c r="G617" i="34"/>
  <c r="F617" i="34"/>
  <c r="E617" i="34"/>
  <c r="R616" i="34"/>
  <c r="P616" i="34"/>
  <c r="O616" i="34"/>
  <c r="N616" i="34"/>
  <c r="M616" i="34"/>
  <c r="L616" i="34"/>
  <c r="K616" i="34"/>
  <c r="J616" i="34"/>
  <c r="I616" i="34"/>
  <c r="H616" i="34"/>
  <c r="G616" i="34"/>
  <c r="F616" i="34"/>
  <c r="E616" i="34"/>
  <c r="R615" i="34"/>
  <c r="P615" i="34"/>
  <c r="O615" i="34"/>
  <c r="N615" i="34"/>
  <c r="M615" i="34"/>
  <c r="L615" i="34"/>
  <c r="K615" i="34"/>
  <c r="J615" i="34"/>
  <c r="I615" i="34"/>
  <c r="H615" i="34"/>
  <c r="G615" i="34"/>
  <c r="F615" i="34"/>
  <c r="E615" i="34"/>
  <c r="R614" i="34"/>
  <c r="P614" i="34"/>
  <c r="O614" i="34"/>
  <c r="N614" i="34"/>
  <c r="M614" i="34"/>
  <c r="L614" i="34"/>
  <c r="K614" i="34"/>
  <c r="J614" i="34"/>
  <c r="I614" i="34"/>
  <c r="H614" i="34"/>
  <c r="G614" i="34"/>
  <c r="F614" i="34"/>
  <c r="E614" i="34"/>
  <c r="R613" i="34"/>
  <c r="P613" i="34"/>
  <c r="O613" i="34"/>
  <c r="N613" i="34"/>
  <c r="M613" i="34"/>
  <c r="L613" i="34"/>
  <c r="K613" i="34"/>
  <c r="J613" i="34"/>
  <c r="I613" i="34"/>
  <c r="H613" i="34"/>
  <c r="G613" i="34"/>
  <c r="F613" i="34"/>
  <c r="E613" i="34"/>
  <c r="R612" i="34"/>
  <c r="P612" i="34"/>
  <c r="O612" i="34"/>
  <c r="N612" i="34"/>
  <c r="M612" i="34"/>
  <c r="L612" i="34"/>
  <c r="K612" i="34"/>
  <c r="J612" i="34"/>
  <c r="I612" i="34"/>
  <c r="H612" i="34"/>
  <c r="G612" i="34"/>
  <c r="F612" i="34"/>
  <c r="E612" i="34"/>
  <c r="R611" i="34"/>
  <c r="P611" i="34"/>
  <c r="O611" i="34"/>
  <c r="N611" i="34"/>
  <c r="M611" i="34"/>
  <c r="L611" i="34"/>
  <c r="K611" i="34"/>
  <c r="J611" i="34"/>
  <c r="I611" i="34"/>
  <c r="H611" i="34"/>
  <c r="G611" i="34"/>
  <c r="F611" i="34"/>
  <c r="E611" i="34"/>
  <c r="R610" i="34"/>
  <c r="P610" i="34"/>
  <c r="O610" i="34"/>
  <c r="N610" i="34"/>
  <c r="M610" i="34"/>
  <c r="L610" i="34"/>
  <c r="K610" i="34"/>
  <c r="J610" i="34"/>
  <c r="I610" i="34"/>
  <c r="H610" i="34"/>
  <c r="G610" i="34"/>
  <c r="F610" i="34"/>
  <c r="E610" i="34"/>
  <c r="R609" i="34"/>
  <c r="P609" i="34"/>
  <c r="O609" i="34"/>
  <c r="N609" i="34"/>
  <c r="M609" i="34"/>
  <c r="L609" i="34"/>
  <c r="K609" i="34"/>
  <c r="J609" i="34"/>
  <c r="I609" i="34"/>
  <c r="H609" i="34"/>
  <c r="G609" i="34"/>
  <c r="F609" i="34"/>
  <c r="E609" i="34"/>
  <c r="R608" i="34"/>
  <c r="P608" i="34"/>
  <c r="O608" i="34"/>
  <c r="N608" i="34"/>
  <c r="M608" i="34"/>
  <c r="L608" i="34"/>
  <c r="K608" i="34"/>
  <c r="J608" i="34"/>
  <c r="I608" i="34"/>
  <c r="H608" i="34"/>
  <c r="G608" i="34"/>
  <c r="F608" i="34"/>
  <c r="E608" i="34"/>
  <c r="R607" i="34"/>
  <c r="P607" i="34"/>
  <c r="O607" i="34"/>
  <c r="N607" i="34"/>
  <c r="M607" i="34"/>
  <c r="L607" i="34"/>
  <c r="K607" i="34"/>
  <c r="J607" i="34"/>
  <c r="I607" i="34"/>
  <c r="H607" i="34"/>
  <c r="G607" i="34"/>
  <c r="F607" i="34"/>
  <c r="E607" i="34"/>
  <c r="R606" i="34"/>
  <c r="P606" i="34"/>
  <c r="O606" i="34"/>
  <c r="N606" i="34"/>
  <c r="M606" i="34"/>
  <c r="L606" i="34"/>
  <c r="K606" i="34"/>
  <c r="J606" i="34"/>
  <c r="I606" i="34"/>
  <c r="H606" i="34"/>
  <c r="G606" i="34"/>
  <c r="F606" i="34"/>
  <c r="E606" i="34"/>
  <c r="R605" i="34"/>
  <c r="P605" i="34"/>
  <c r="O605" i="34"/>
  <c r="N605" i="34"/>
  <c r="M605" i="34"/>
  <c r="L605" i="34"/>
  <c r="K605" i="34"/>
  <c r="J605" i="34"/>
  <c r="I605" i="34"/>
  <c r="H605" i="34"/>
  <c r="G605" i="34"/>
  <c r="F605" i="34"/>
  <c r="E605" i="34"/>
  <c r="R604" i="34"/>
  <c r="P604" i="34"/>
  <c r="O604" i="34"/>
  <c r="N604" i="34"/>
  <c r="M604" i="34"/>
  <c r="L604" i="34"/>
  <c r="K604" i="34"/>
  <c r="J604" i="34"/>
  <c r="I604" i="34"/>
  <c r="H604" i="34"/>
  <c r="G604" i="34"/>
  <c r="F604" i="34"/>
  <c r="E604" i="34"/>
  <c r="R603" i="34"/>
  <c r="P603" i="34"/>
  <c r="O603" i="34"/>
  <c r="M603" i="34"/>
  <c r="L603" i="34"/>
  <c r="K603" i="34"/>
  <c r="J603" i="34"/>
  <c r="H603" i="34"/>
  <c r="G603" i="34"/>
  <c r="F603" i="34"/>
  <c r="E603" i="34"/>
  <c r="R602" i="34"/>
  <c r="P602" i="34"/>
  <c r="O602" i="34"/>
  <c r="N602" i="34"/>
  <c r="M602" i="34"/>
  <c r="L602" i="34"/>
  <c r="K602" i="34"/>
  <c r="J602" i="34"/>
  <c r="I602" i="34"/>
  <c r="H602" i="34"/>
  <c r="G602" i="34"/>
  <c r="F602" i="34"/>
  <c r="E602" i="34"/>
  <c r="R601" i="34"/>
  <c r="P601" i="34"/>
  <c r="O601" i="34"/>
  <c r="N601" i="34"/>
  <c r="M601" i="34"/>
  <c r="L601" i="34"/>
  <c r="K601" i="34"/>
  <c r="J601" i="34"/>
  <c r="I601" i="34"/>
  <c r="H601" i="34"/>
  <c r="G601" i="34"/>
  <c r="F601" i="34"/>
  <c r="E601" i="34"/>
  <c r="R600" i="34"/>
  <c r="P600" i="34"/>
  <c r="O600" i="34"/>
  <c r="N600" i="34"/>
  <c r="M600" i="34"/>
  <c r="L600" i="34"/>
  <c r="K600" i="34"/>
  <c r="J600" i="34"/>
  <c r="I600" i="34"/>
  <c r="H600" i="34"/>
  <c r="G600" i="34"/>
  <c r="F600" i="34"/>
  <c r="E600" i="34"/>
  <c r="R599" i="34"/>
  <c r="P599" i="34"/>
  <c r="O599" i="34"/>
  <c r="N599" i="34"/>
  <c r="M599" i="34"/>
  <c r="L599" i="34"/>
  <c r="K599" i="34"/>
  <c r="J599" i="34"/>
  <c r="I599" i="34"/>
  <c r="H599" i="34"/>
  <c r="G599" i="34"/>
  <c r="F599" i="34"/>
  <c r="E599" i="34"/>
  <c r="R598" i="34"/>
  <c r="P598" i="34"/>
  <c r="O598" i="34"/>
  <c r="N598" i="34"/>
  <c r="M598" i="34"/>
  <c r="L598" i="34"/>
  <c r="K598" i="34"/>
  <c r="J598" i="34"/>
  <c r="I598" i="34"/>
  <c r="H598" i="34"/>
  <c r="G598" i="34"/>
  <c r="F598" i="34"/>
  <c r="E598" i="34"/>
  <c r="R597" i="34"/>
  <c r="P597" i="34"/>
  <c r="O597" i="34"/>
  <c r="N597" i="34"/>
  <c r="M597" i="34"/>
  <c r="L597" i="34"/>
  <c r="K597" i="34"/>
  <c r="J597" i="34"/>
  <c r="I597" i="34"/>
  <c r="H597" i="34"/>
  <c r="G597" i="34"/>
  <c r="F597" i="34"/>
  <c r="E597" i="34"/>
  <c r="R596" i="34"/>
  <c r="P596" i="34"/>
  <c r="O596" i="34"/>
  <c r="N596" i="34"/>
  <c r="M596" i="34"/>
  <c r="L596" i="34"/>
  <c r="K596" i="34"/>
  <c r="J596" i="34"/>
  <c r="I596" i="34"/>
  <c r="H596" i="34"/>
  <c r="G596" i="34"/>
  <c r="F596" i="34"/>
  <c r="E596" i="34"/>
  <c r="R595" i="34"/>
  <c r="P595" i="34"/>
  <c r="O595" i="34"/>
  <c r="N595" i="34"/>
  <c r="M595" i="34"/>
  <c r="L595" i="34"/>
  <c r="K595" i="34"/>
  <c r="J595" i="34"/>
  <c r="I595" i="34"/>
  <c r="H595" i="34"/>
  <c r="G595" i="34"/>
  <c r="F595" i="34"/>
  <c r="E595" i="34"/>
  <c r="R594" i="34"/>
  <c r="P594" i="34"/>
  <c r="O594" i="34"/>
  <c r="N594" i="34"/>
  <c r="M594" i="34"/>
  <c r="L594" i="34"/>
  <c r="K594" i="34"/>
  <c r="J594" i="34"/>
  <c r="I594" i="34"/>
  <c r="H594" i="34"/>
  <c r="G594" i="34"/>
  <c r="F594" i="34"/>
  <c r="E594" i="34"/>
  <c r="R593" i="34"/>
  <c r="P593" i="34"/>
  <c r="O593" i="34"/>
  <c r="N593" i="34"/>
  <c r="M593" i="34"/>
  <c r="L593" i="34"/>
  <c r="K593" i="34"/>
  <c r="J593" i="34"/>
  <c r="I593" i="34"/>
  <c r="H593" i="34"/>
  <c r="G593" i="34"/>
  <c r="F593" i="34"/>
  <c r="E593" i="34"/>
  <c r="R592" i="34"/>
  <c r="P592" i="34"/>
  <c r="O592" i="34"/>
  <c r="N592" i="34"/>
  <c r="M592" i="34"/>
  <c r="L592" i="34"/>
  <c r="K592" i="34"/>
  <c r="J592" i="34"/>
  <c r="I592" i="34"/>
  <c r="H592" i="34"/>
  <c r="G592" i="34"/>
  <c r="F592" i="34"/>
  <c r="E592" i="34"/>
  <c r="R591" i="34"/>
  <c r="B15" i="76" s="1"/>
  <c r="P591" i="34"/>
  <c r="O591" i="34"/>
  <c r="N591" i="34"/>
  <c r="M591" i="34"/>
  <c r="C15" i="76" s="1"/>
  <c r="L591" i="34"/>
  <c r="K591" i="34"/>
  <c r="J591" i="34"/>
  <c r="I591" i="34"/>
  <c r="H591" i="34"/>
  <c r="G591" i="34"/>
  <c r="F591" i="34"/>
  <c r="E591" i="34"/>
  <c r="L15" i="76" s="1"/>
  <c r="R511" i="34"/>
  <c r="P511" i="34"/>
  <c r="O511" i="34"/>
  <c r="N511" i="34"/>
  <c r="M511" i="34"/>
  <c r="L511" i="34"/>
  <c r="K511" i="34"/>
  <c r="J511" i="34"/>
  <c r="I511" i="34"/>
  <c r="H511" i="34"/>
  <c r="G511" i="34"/>
  <c r="F511" i="34"/>
  <c r="E511" i="34"/>
  <c r="R510" i="34"/>
  <c r="P510" i="34"/>
  <c r="O510" i="34"/>
  <c r="N510" i="34"/>
  <c r="M510" i="34"/>
  <c r="L510" i="34"/>
  <c r="K510" i="34"/>
  <c r="J510" i="34"/>
  <c r="I510" i="34"/>
  <c r="H510" i="34"/>
  <c r="G510" i="34"/>
  <c r="F510" i="34"/>
  <c r="E510" i="34"/>
  <c r="R509" i="34"/>
  <c r="P509" i="34"/>
  <c r="O509" i="34"/>
  <c r="N509" i="34"/>
  <c r="M509" i="34"/>
  <c r="L509" i="34"/>
  <c r="K509" i="34"/>
  <c r="J509" i="34"/>
  <c r="I509" i="34"/>
  <c r="H509" i="34"/>
  <c r="G509" i="34"/>
  <c r="F509" i="34"/>
  <c r="E509" i="34"/>
  <c r="R508" i="34"/>
  <c r="P508" i="34"/>
  <c r="O508" i="34"/>
  <c r="N508" i="34"/>
  <c r="M508" i="34"/>
  <c r="L508" i="34"/>
  <c r="K508" i="34"/>
  <c r="J508" i="34"/>
  <c r="I508" i="34"/>
  <c r="H508" i="34"/>
  <c r="G508" i="34"/>
  <c r="F508" i="34"/>
  <c r="E508" i="34"/>
  <c r="R507" i="34"/>
  <c r="P507" i="34"/>
  <c r="O507" i="34"/>
  <c r="N507" i="34"/>
  <c r="M507" i="34"/>
  <c r="L507" i="34"/>
  <c r="K507" i="34"/>
  <c r="J507" i="34"/>
  <c r="I507" i="34"/>
  <c r="H507" i="34"/>
  <c r="G507" i="34"/>
  <c r="F507" i="34"/>
  <c r="E507" i="34"/>
  <c r="R506" i="34"/>
  <c r="P506" i="34"/>
  <c r="O506" i="34"/>
  <c r="N506" i="34"/>
  <c r="M506" i="34"/>
  <c r="L506" i="34"/>
  <c r="K506" i="34"/>
  <c r="J506" i="34"/>
  <c r="I506" i="34"/>
  <c r="H506" i="34"/>
  <c r="G506" i="34"/>
  <c r="F506" i="34"/>
  <c r="E506" i="34"/>
  <c r="R505" i="34"/>
  <c r="P505" i="34"/>
  <c r="O505" i="34"/>
  <c r="N505" i="34"/>
  <c r="M505" i="34"/>
  <c r="L505" i="34"/>
  <c r="K505" i="34"/>
  <c r="J505" i="34"/>
  <c r="I505" i="34"/>
  <c r="H505" i="34"/>
  <c r="G505" i="34"/>
  <c r="F505" i="34"/>
  <c r="E505" i="34"/>
  <c r="R504" i="34"/>
  <c r="P504" i="34"/>
  <c r="O504" i="34"/>
  <c r="N504" i="34"/>
  <c r="M504" i="34"/>
  <c r="L504" i="34"/>
  <c r="K504" i="34"/>
  <c r="J504" i="34"/>
  <c r="I504" i="34"/>
  <c r="H504" i="34"/>
  <c r="G504" i="34"/>
  <c r="F504" i="34"/>
  <c r="E504" i="34"/>
  <c r="R503" i="34"/>
  <c r="P503" i="34"/>
  <c r="O503" i="34"/>
  <c r="N503" i="34"/>
  <c r="M503" i="34"/>
  <c r="L503" i="34"/>
  <c r="K503" i="34"/>
  <c r="J503" i="34"/>
  <c r="I503" i="34"/>
  <c r="H503" i="34"/>
  <c r="G503" i="34"/>
  <c r="F503" i="34"/>
  <c r="E503" i="34"/>
  <c r="R502" i="34"/>
  <c r="P502" i="34"/>
  <c r="O502" i="34"/>
  <c r="N502" i="34"/>
  <c r="M502" i="34"/>
  <c r="L502" i="34"/>
  <c r="K502" i="34"/>
  <c r="J502" i="34"/>
  <c r="I502" i="34"/>
  <c r="H502" i="34"/>
  <c r="G502" i="34"/>
  <c r="F502" i="34"/>
  <c r="E502" i="34"/>
  <c r="R501" i="34"/>
  <c r="P501" i="34"/>
  <c r="O501" i="34"/>
  <c r="N501" i="34"/>
  <c r="M501" i="34"/>
  <c r="L501" i="34"/>
  <c r="K501" i="34"/>
  <c r="J501" i="34"/>
  <c r="I501" i="34"/>
  <c r="H501" i="34"/>
  <c r="G501" i="34"/>
  <c r="F501" i="34"/>
  <c r="E501" i="34"/>
  <c r="R500" i="34"/>
  <c r="P500" i="34"/>
  <c r="O500" i="34"/>
  <c r="N500" i="34"/>
  <c r="M500" i="34"/>
  <c r="L500" i="34"/>
  <c r="K500" i="34"/>
  <c r="J500" i="34"/>
  <c r="I500" i="34"/>
  <c r="H500" i="34"/>
  <c r="G500" i="34"/>
  <c r="F500" i="34"/>
  <c r="E500" i="34"/>
  <c r="R499" i="34"/>
  <c r="P499" i="34"/>
  <c r="O499" i="34"/>
  <c r="N499" i="34"/>
  <c r="M499" i="34"/>
  <c r="L499" i="34"/>
  <c r="K499" i="34"/>
  <c r="J499" i="34"/>
  <c r="I499" i="34"/>
  <c r="H499" i="34"/>
  <c r="G499" i="34"/>
  <c r="F499" i="34"/>
  <c r="E499" i="34"/>
  <c r="R498" i="34"/>
  <c r="P498" i="34"/>
  <c r="O498" i="34"/>
  <c r="N498" i="34"/>
  <c r="M498" i="34"/>
  <c r="L498" i="34"/>
  <c r="K498" i="34"/>
  <c r="J498" i="34"/>
  <c r="I498" i="34"/>
  <c r="H498" i="34"/>
  <c r="G498" i="34"/>
  <c r="F498" i="34"/>
  <c r="E498" i="34"/>
  <c r="R497" i="34"/>
  <c r="P497" i="34"/>
  <c r="O497" i="34"/>
  <c r="N497" i="34"/>
  <c r="M497" i="34"/>
  <c r="L497" i="34"/>
  <c r="K497" i="34"/>
  <c r="J497" i="34"/>
  <c r="I497" i="34"/>
  <c r="H497" i="34"/>
  <c r="G497" i="34"/>
  <c r="F497" i="34"/>
  <c r="E497" i="34"/>
  <c r="R496" i="34"/>
  <c r="P496" i="34"/>
  <c r="O496" i="34"/>
  <c r="N496" i="34"/>
  <c r="M496" i="34"/>
  <c r="L496" i="34"/>
  <c r="K496" i="34"/>
  <c r="J496" i="34"/>
  <c r="I496" i="34"/>
  <c r="H496" i="34"/>
  <c r="G496" i="34"/>
  <c r="F496" i="34"/>
  <c r="E496" i="34"/>
  <c r="R495" i="34"/>
  <c r="P495" i="34"/>
  <c r="O495" i="34"/>
  <c r="N495" i="34"/>
  <c r="M495" i="34"/>
  <c r="L495" i="34"/>
  <c r="K495" i="34"/>
  <c r="J495" i="34"/>
  <c r="I495" i="34"/>
  <c r="H495" i="34"/>
  <c r="G495" i="34"/>
  <c r="F495" i="34"/>
  <c r="E495" i="34"/>
  <c r="R494" i="34"/>
  <c r="P494" i="34"/>
  <c r="O494" i="34"/>
  <c r="N494" i="34"/>
  <c r="M494" i="34"/>
  <c r="L494" i="34"/>
  <c r="K494" i="34"/>
  <c r="J494" i="34"/>
  <c r="I494" i="34"/>
  <c r="H494" i="34"/>
  <c r="G494" i="34"/>
  <c r="F494" i="34"/>
  <c r="E494" i="34"/>
  <c r="R493" i="34"/>
  <c r="P493" i="34"/>
  <c r="O493" i="34"/>
  <c r="N493" i="34"/>
  <c r="M493" i="34"/>
  <c r="L493" i="34"/>
  <c r="K493" i="34"/>
  <c r="J493" i="34"/>
  <c r="I493" i="34"/>
  <c r="H493" i="34"/>
  <c r="G493" i="34"/>
  <c r="F493" i="34"/>
  <c r="E493" i="34"/>
  <c r="R492" i="34"/>
  <c r="P492" i="34"/>
  <c r="O492" i="34"/>
  <c r="N492" i="34"/>
  <c r="M492" i="34"/>
  <c r="L492" i="34"/>
  <c r="K492" i="34"/>
  <c r="J492" i="34"/>
  <c r="I492" i="34"/>
  <c r="H492" i="34"/>
  <c r="G492" i="34"/>
  <c r="F492" i="34"/>
  <c r="E492" i="34"/>
  <c r="R491" i="34"/>
  <c r="P491" i="34"/>
  <c r="O491" i="34"/>
  <c r="N491" i="34"/>
  <c r="M491" i="34"/>
  <c r="L491" i="34"/>
  <c r="K491" i="34"/>
  <c r="J491" i="34"/>
  <c r="I491" i="34"/>
  <c r="H491" i="34"/>
  <c r="G491" i="34"/>
  <c r="F491" i="34"/>
  <c r="E491" i="34"/>
  <c r="R490" i="34"/>
  <c r="P490" i="34"/>
  <c r="O490" i="34"/>
  <c r="N490" i="34"/>
  <c r="M490" i="34"/>
  <c r="L490" i="34"/>
  <c r="K490" i="34"/>
  <c r="J490" i="34"/>
  <c r="I490" i="34"/>
  <c r="H490" i="34"/>
  <c r="G490" i="34"/>
  <c r="F490" i="34"/>
  <c r="E490" i="34"/>
  <c r="R489" i="34"/>
  <c r="P489" i="34"/>
  <c r="O489" i="34"/>
  <c r="N489" i="34"/>
  <c r="M489" i="34"/>
  <c r="L489" i="34"/>
  <c r="K489" i="34"/>
  <c r="J489" i="34"/>
  <c r="I489" i="34"/>
  <c r="H489" i="34"/>
  <c r="G489" i="34"/>
  <c r="F489" i="34"/>
  <c r="E489" i="34"/>
  <c r="R488" i="34"/>
  <c r="P488" i="34"/>
  <c r="O488" i="34"/>
  <c r="N488" i="34"/>
  <c r="M488" i="34"/>
  <c r="L488" i="34"/>
  <c r="K488" i="34"/>
  <c r="J488" i="34"/>
  <c r="I488" i="34"/>
  <c r="H488" i="34"/>
  <c r="G488" i="34"/>
  <c r="F488" i="34"/>
  <c r="E488" i="34"/>
  <c r="R487" i="34"/>
  <c r="P487" i="34"/>
  <c r="O487" i="34"/>
  <c r="N487" i="34"/>
  <c r="M487" i="34"/>
  <c r="L487" i="34"/>
  <c r="K487" i="34"/>
  <c r="J487" i="34"/>
  <c r="I487" i="34"/>
  <c r="H487" i="34"/>
  <c r="G487" i="34"/>
  <c r="F487" i="34"/>
  <c r="E487" i="34"/>
  <c r="R486" i="34"/>
  <c r="P486" i="34"/>
  <c r="O486" i="34"/>
  <c r="M486" i="34"/>
  <c r="L486" i="34"/>
  <c r="K486" i="34"/>
  <c r="J486" i="34"/>
  <c r="H486" i="34"/>
  <c r="G486" i="34"/>
  <c r="F486" i="34"/>
  <c r="E486" i="34"/>
  <c r="R485" i="34"/>
  <c r="P485" i="34"/>
  <c r="O485" i="34"/>
  <c r="N485" i="34"/>
  <c r="M485" i="34"/>
  <c r="L485" i="34"/>
  <c r="K485" i="34"/>
  <c r="J485" i="34"/>
  <c r="I485" i="34"/>
  <c r="H485" i="34"/>
  <c r="G485" i="34"/>
  <c r="F485" i="34"/>
  <c r="E485" i="34"/>
  <c r="R484" i="34"/>
  <c r="P484" i="34"/>
  <c r="O484" i="34"/>
  <c r="N484" i="34"/>
  <c r="M484" i="34"/>
  <c r="L484" i="34"/>
  <c r="K484" i="34"/>
  <c r="J484" i="34"/>
  <c r="I484" i="34"/>
  <c r="H484" i="34"/>
  <c r="G484" i="34"/>
  <c r="F484" i="34"/>
  <c r="E484" i="34"/>
  <c r="R483" i="34"/>
  <c r="P483" i="34"/>
  <c r="O483" i="34"/>
  <c r="N483" i="34"/>
  <c r="M483" i="34"/>
  <c r="L483" i="34"/>
  <c r="K483" i="34"/>
  <c r="J483" i="34"/>
  <c r="I483" i="34"/>
  <c r="H483" i="34"/>
  <c r="G483" i="34"/>
  <c r="F483" i="34"/>
  <c r="E483" i="34"/>
  <c r="R482" i="34"/>
  <c r="P482" i="34"/>
  <c r="O482" i="34"/>
  <c r="N482" i="34"/>
  <c r="M482" i="34"/>
  <c r="L482" i="34"/>
  <c r="K482" i="34"/>
  <c r="J482" i="34"/>
  <c r="I482" i="34"/>
  <c r="H482" i="34"/>
  <c r="G482" i="34"/>
  <c r="F482" i="34"/>
  <c r="E482" i="34"/>
  <c r="R481" i="34"/>
  <c r="P481" i="34"/>
  <c r="O481" i="34"/>
  <c r="N481" i="34"/>
  <c r="M481" i="34"/>
  <c r="L481" i="34"/>
  <c r="K481" i="34"/>
  <c r="J481" i="34"/>
  <c r="I481" i="34"/>
  <c r="H481" i="34"/>
  <c r="G481" i="34"/>
  <c r="F481" i="34"/>
  <c r="E481" i="34"/>
  <c r="R480" i="34"/>
  <c r="P480" i="34"/>
  <c r="O480" i="34"/>
  <c r="N480" i="34"/>
  <c r="M480" i="34"/>
  <c r="L480" i="34"/>
  <c r="K480" i="34"/>
  <c r="J480" i="34"/>
  <c r="I480" i="34"/>
  <c r="H480" i="34"/>
  <c r="G480" i="34"/>
  <c r="F480" i="34"/>
  <c r="E480" i="34"/>
  <c r="R479" i="34"/>
  <c r="P479" i="34"/>
  <c r="O479" i="34"/>
  <c r="N479" i="34"/>
  <c r="M479" i="34"/>
  <c r="L479" i="34"/>
  <c r="K479" i="34"/>
  <c r="J479" i="34"/>
  <c r="I479" i="34"/>
  <c r="H479" i="34"/>
  <c r="G479" i="34"/>
  <c r="F479" i="34"/>
  <c r="E479" i="34"/>
  <c r="R478" i="34"/>
  <c r="P478" i="34"/>
  <c r="O478" i="34"/>
  <c r="N478" i="34"/>
  <c r="M478" i="34"/>
  <c r="L478" i="34"/>
  <c r="K478" i="34"/>
  <c r="J478" i="34"/>
  <c r="I478" i="34"/>
  <c r="H478" i="34"/>
  <c r="G478" i="34"/>
  <c r="F478" i="34"/>
  <c r="E478" i="34"/>
  <c r="R477" i="34"/>
  <c r="P477" i="34"/>
  <c r="O477" i="34"/>
  <c r="N477" i="34"/>
  <c r="M477" i="34"/>
  <c r="L477" i="34"/>
  <c r="K477" i="34"/>
  <c r="J477" i="34"/>
  <c r="I477" i="34"/>
  <c r="H477" i="34"/>
  <c r="G477" i="34"/>
  <c r="F477" i="34"/>
  <c r="E477" i="34"/>
  <c r="R476" i="34"/>
  <c r="P476" i="34"/>
  <c r="O476" i="34"/>
  <c r="N476" i="34"/>
  <c r="M476" i="34"/>
  <c r="L476" i="34"/>
  <c r="K476" i="34"/>
  <c r="J476" i="34"/>
  <c r="I476" i="34"/>
  <c r="H476" i="34"/>
  <c r="G476" i="34"/>
  <c r="F476" i="34"/>
  <c r="E476" i="34"/>
  <c r="R475" i="34"/>
  <c r="P475" i="34"/>
  <c r="O475" i="34"/>
  <c r="N475" i="34"/>
  <c r="M475" i="34"/>
  <c r="L475" i="34"/>
  <c r="K475" i="34"/>
  <c r="J475" i="34"/>
  <c r="I475" i="34"/>
  <c r="H475" i="34"/>
  <c r="G475" i="34"/>
  <c r="F475" i="34"/>
  <c r="E475" i="34"/>
  <c r="R474" i="34"/>
  <c r="B14" i="76" s="1"/>
  <c r="P474" i="34"/>
  <c r="O474" i="34"/>
  <c r="N474" i="34"/>
  <c r="M474" i="34"/>
  <c r="C14" i="76" s="1"/>
  <c r="L474" i="34"/>
  <c r="K474" i="34"/>
  <c r="J474" i="34"/>
  <c r="I474" i="34"/>
  <c r="H474" i="34"/>
  <c r="G474" i="34"/>
  <c r="F474" i="34"/>
  <c r="E474" i="34"/>
  <c r="L14" i="76" s="1"/>
  <c r="R387" i="34"/>
  <c r="P387" i="34"/>
  <c r="O387" i="34"/>
  <c r="N387" i="34"/>
  <c r="M387" i="34"/>
  <c r="L387" i="34"/>
  <c r="K387" i="34"/>
  <c r="J387" i="34"/>
  <c r="I387" i="34"/>
  <c r="H387" i="34"/>
  <c r="G387" i="34"/>
  <c r="F387" i="34"/>
  <c r="E387" i="34"/>
  <c r="R386" i="34"/>
  <c r="P386" i="34"/>
  <c r="O386" i="34"/>
  <c r="N386" i="34"/>
  <c r="M386" i="34"/>
  <c r="L386" i="34"/>
  <c r="K386" i="34"/>
  <c r="J386" i="34"/>
  <c r="I386" i="34"/>
  <c r="H386" i="34"/>
  <c r="G386" i="34"/>
  <c r="F386" i="34"/>
  <c r="E386" i="34"/>
  <c r="R385" i="34"/>
  <c r="P385" i="34"/>
  <c r="O385" i="34"/>
  <c r="N385" i="34"/>
  <c r="M385" i="34"/>
  <c r="L385" i="34"/>
  <c r="K385" i="34"/>
  <c r="J385" i="34"/>
  <c r="I385" i="34"/>
  <c r="H385" i="34"/>
  <c r="G385" i="34"/>
  <c r="F385" i="34"/>
  <c r="E385" i="34"/>
  <c r="R384" i="34"/>
  <c r="P384" i="34"/>
  <c r="O384" i="34"/>
  <c r="N384" i="34"/>
  <c r="M384" i="34"/>
  <c r="L384" i="34"/>
  <c r="K384" i="34"/>
  <c r="J384" i="34"/>
  <c r="I384" i="34"/>
  <c r="H384" i="34"/>
  <c r="G384" i="34"/>
  <c r="F384" i="34"/>
  <c r="E384" i="34"/>
  <c r="R383" i="34"/>
  <c r="P383" i="34"/>
  <c r="O383" i="34"/>
  <c r="N383" i="34"/>
  <c r="M383" i="34"/>
  <c r="L383" i="34"/>
  <c r="K383" i="34"/>
  <c r="J383" i="34"/>
  <c r="I383" i="34"/>
  <c r="H383" i="34"/>
  <c r="G383" i="34"/>
  <c r="F383" i="34"/>
  <c r="E383" i="34"/>
  <c r="R382" i="34"/>
  <c r="P382" i="34"/>
  <c r="O382" i="34"/>
  <c r="N382" i="34"/>
  <c r="M382" i="34"/>
  <c r="L382" i="34"/>
  <c r="K382" i="34"/>
  <c r="J382" i="34"/>
  <c r="I382" i="34"/>
  <c r="H382" i="34"/>
  <c r="G382" i="34"/>
  <c r="F382" i="34"/>
  <c r="E382" i="34"/>
  <c r="R381" i="34"/>
  <c r="P381" i="34"/>
  <c r="O381" i="34"/>
  <c r="N381" i="34"/>
  <c r="M381" i="34"/>
  <c r="L381" i="34"/>
  <c r="K381" i="34"/>
  <c r="J381" i="34"/>
  <c r="I381" i="34"/>
  <c r="H381" i="34"/>
  <c r="G381" i="34"/>
  <c r="F381" i="34"/>
  <c r="E381" i="34"/>
  <c r="R380" i="34"/>
  <c r="P380" i="34"/>
  <c r="O380" i="34"/>
  <c r="N380" i="34"/>
  <c r="M380" i="34"/>
  <c r="L380" i="34"/>
  <c r="K380" i="34"/>
  <c r="J380" i="34"/>
  <c r="I380" i="34"/>
  <c r="H380" i="34"/>
  <c r="G380" i="34"/>
  <c r="F380" i="34"/>
  <c r="E380" i="34"/>
  <c r="R379" i="34"/>
  <c r="P379" i="34"/>
  <c r="O379" i="34"/>
  <c r="N379" i="34"/>
  <c r="M379" i="34"/>
  <c r="L379" i="34"/>
  <c r="K379" i="34"/>
  <c r="J379" i="34"/>
  <c r="I379" i="34"/>
  <c r="H379" i="34"/>
  <c r="G379" i="34"/>
  <c r="F379" i="34"/>
  <c r="E379" i="34"/>
  <c r="R378" i="34"/>
  <c r="P378" i="34"/>
  <c r="O378" i="34"/>
  <c r="N378" i="34"/>
  <c r="M378" i="34"/>
  <c r="L378" i="34"/>
  <c r="K378" i="34"/>
  <c r="J378" i="34"/>
  <c r="I378" i="34"/>
  <c r="H378" i="34"/>
  <c r="G378" i="34"/>
  <c r="F378" i="34"/>
  <c r="E378" i="34"/>
  <c r="R377" i="34"/>
  <c r="P377" i="34"/>
  <c r="O377" i="34"/>
  <c r="N377" i="34"/>
  <c r="M377" i="34"/>
  <c r="L377" i="34"/>
  <c r="K377" i="34"/>
  <c r="J377" i="34"/>
  <c r="I377" i="34"/>
  <c r="H377" i="34"/>
  <c r="G377" i="34"/>
  <c r="F377" i="34"/>
  <c r="E377" i="34"/>
  <c r="R376" i="34"/>
  <c r="P376" i="34"/>
  <c r="O376" i="34"/>
  <c r="N376" i="34"/>
  <c r="M376" i="34"/>
  <c r="L376" i="34"/>
  <c r="K376" i="34"/>
  <c r="J376" i="34"/>
  <c r="I376" i="34"/>
  <c r="H376" i="34"/>
  <c r="G376" i="34"/>
  <c r="F376" i="34"/>
  <c r="E376" i="34"/>
  <c r="R375" i="34"/>
  <c r="P375" i="34"/>
  <c r="O375" i="34"/>
  <c r="N375" i="34"/>
  <c r="M375" i="34"/>
  <c r="L375" i="34"/>
  <c r="K375" i="34"/>
  <c r="J375" i="34"/>
  <c r="I375" i="34"/>
  <c r="H375" i="34"/>
  <c r="G375" i="34"/>
  <c r="F375" i="34"/>
  <c r="E375" i="34"/>
  <c r="R374" i="34"/>
  <c r="P374" i="34"/>
  <c r="O374" i="34"/>
  <c r="N374" i="34"/>
  <c r="M374" i="34"/>
  <c r="L374" i="34"/>
  <c r="K374" i="34"/>
  <c r="J374" i="34"/>
  <c r="I374" i="34"/>
  <c r="H374" i="34"/>
  <c r="G374" i="34"/>
  <c r="F374" i="34"/>
  <c r="E374" i="34"/>
  <c r="R373" i="34"/>
  <c r="P373" i="34"/>
  <c r="O373" i="34"/>
  <c r="N373" i="34"/>
  <c r="M373" i="34"/>
  <c r="L373" i="34"/>
  <c r="K373" i="34"/>
  <c r="J373" i="34"/>
  <c r="I373" i="34"/>
  <c r="H373" i="34"/>
  <c r="G373" i="34"/>
  <c r="F373" i="34"/>
  <c r="E373" i="34"/>
  <c r="R372" i="34"/>
  <c r="P372" i="34"/>
  <c r="O372" i="34"/>
  <c r="N372" i="34"/>
  <c r="M372" i="34"/>
  <c r="L372" i="34"/>
  <c r="K372" i="34"/>
  <c r="J372" i="34"/>
  <c r="I372" i="34"/>
  <c r="H372" i="34"/>
  <c r="G372" i="34"/>
  <c r="F372" i="34"/>
  <c r="E372" i="34"/>
  <c r="R371" i="34"/>
  <c r="P371" i="34"/>
  <c r="O371" i="34"/>
  <c r="N371" i="34"/>
  <c r="M371" i="34"/>
  <c r="L371" i="34"/>
  <c r="K371" i="34"/>
  <c r="J371" i="34"/>
  <c r="I371" i="34"/>
  <c r="H371" i="34"/>
  <c r="G371" i="34"/>
  <c r="F371" i="34"/>
  <c r="E371" i="34"/>
  <c r="R370" i="34"/>
  <c r="P370" i="34"/>
  <c r="O370" i="34"/>
  <c r="N370" i="34"/>
  <c r="M370" i="34"/>
  <c r="L370" i="34"/>
  <c r="K370" i="34"/>
  <c r="J370" i="34"/>
  <c r="I370" i="34"/>
  <c r="H370" i="34"/>
  <c r="G370" i="34"/>
  <c r="F370" i="34"/>
  <c r="E370" i="34"/>
  <c r="R369" i="34"/>
  <c r="P369" i="34"/>
  <c r="O369" i="34"/>
  <c r="M369" i="34"/>
  <c r="L369" i="34"/>
  <c r="K369" i="34"/>
  <c r="J369" i="34"/>
  <c r="H369" i="34"/>
  <c r="G369" i="34"/>
  <c r="F369" i="34"/>
  <c r="E369" i="34"/>
  <c r="R368" i="34"/>
  <c r="P368" i="34"/>
  <c r="O368" i="34"/>
  <c r="N368" i="34"/>
  <c r="M368" i="34"/>
  <c r="L368" i="34"/>
  <c r="K368" i="34"/>
  <c r="J368" i="34"/>
  <c r="I368" i="34"/>
  <c r="H368" i="34"/>
  <c r="G368" i="34"/>
  <c r="F368" i="34"/>
  <c r="E368" i="34"/>
  <c r="R367" i="34"/>
  <c r="P367" i="34"/>
  <c r="O367" i="34"/>
  <c r="N367" i="34"/>
  <c r="M367" i="34"/>
  <c r="L367" i="34"/>
  <c r="K367" i="34"/>
  <c r="J367" i="34"/>
  <c r="I367" i="34"/>
  <c r="H367" i="34"/>
  <c r="G367" i="34"/>
  <c r="F367" i="34"/>
  <c r="E367" i="34"/>
  <c r="R366" i="34"/>
  <c r="P366" i="34"/>
  <c r="O366" i="34"/>
  <c r="N366" i="34"/>
  <c r="M366" i="34"/>
  <c r="L366" i="34"/>
  <c r="K366" i="34"/>
  <c r="J366" i="34"/>
  <c r="I366" i="34"/>
  <c r="H366" i="34"/>
  <c r="G366" i="34"/>
  <c r="F366" i="34"/>
  <c r="E366" i="34"/>
  <c r="R365" i="34"/>
  <c r="P365" i="34"/>
  <c r="O365" i="34"/>
  <c r="N365" i="34"/>
  <c r="M365" i="34"/>
  <c r="L365" i="34"/>
  <c r="K365" i="34"/>
  <c r="J365" i="34"/>
  <c r="I365" i="34"/>
  <c r="H365" i="34"/>
  <c r="G365" i="34"/>
  <c r="F365" i="34"/>
  <c r="E365" i="34"/>
  <c r="R364" i="34"/>
  <c r="P364" i="34"/>
  <c r="O364" i="34"/>
  <c r="N364" i="34"/>
  <c r="M364" i="34"/>
  <c r="L364" i="34"/>
  <c r="K364" i="34"/>
  <c r="J364" i="34"/>
  <c r="I364" i="34"/>
  <c r="H364" i="34"/>
  <c r="G364" i="34"/>
  <c r="F364" i="34"/>
  <c r="E364" i="34"/>
  <c r="R363" i="34"/>
  <c r="P363" i="34"/>
  <c r="O363" i="34"/>
  <c r="N363" i="34"/>
  <c r="M363" i="34"/>
  <c r="L363" i="34"/>
  <c r="K363" i="34"/>
  <c r="J363" i="34"/>
  <c r="I363" i="34"/>
  <c r="H363" i="34"/>
  <c r="G363" i="34"/>
  <c r="F363" i="34"/>
  <c r="E363" i="34"/>
  <c r="R362" i="34"/>
  <c r="P362" i="34"/>
  <c r="O362" i="34"/>
  <c r="N362" i="34"/>
  <c r="M362" i="34"/>
  <c r="L362" i="34"/>
  <c r="K362" i="34"/>
  <c r="J362" i="34"/>
  <c r="I362" i="34"/>
  <c r="H362" i="34"/>
  <c r="G362" i="34"/>
  <c r="F362" i="34"/>
  <c r="E362" i="34"/>
  <c r="R361" i="34"/>
  <c r="P361" i="34"/>
  <c r="O361" i="34"/>
  <c r="N361" i="34"/>
  <c r="M361" i="34"/>
  <c r="L361" i="34"/>
  <c r="K361" i="34"/>
  <c r="J361" i="34"/>
  <c r="I361" i="34"/>
  <c r="H361" i="34"/>
  <c r="G361" i="34"/>
  <c r="F361" i="34"/>
  <c r="E361" i="34"/>
  <c r="R360" i="34"/>
  <c r="P360" i="34"/>
  <c r="O360" i="34"/>
  <c r="N360" i="34"/>
  <c r="M360" i="34"/>
  <c r="L360" i="34"/>
  <c r="K360" i="34"/>
  <c r="J360" i="34"/>
  <c r="I360" i="34"/>
  <c r="H360" i="34"/>
  <c r="G360" i="34"/>
  <c r="F360" i="34"/>
  <c r="E360" i="34"/>
  <c r="R359" i="34"/>
  <c r="P359" i="34"/>
  <c r="O359" i="34"/>
  <c r="N359" i="34"/>
  <c r="M359" i="34"/>
  <c r="L359" i="34"/>
  <c r="K359" i="34"/>
  <c r="J359" i="34"/>
  <c r="I359" i="34"/>
  <c r="H359" i="34"/>
  <c r="G359" i="34"/>
  <c r="F359" i="34"/>
  <c r="E359" i="34"/>
  <c r="R358" i="34"/>
  <c r="P358" i="34"/>
  <c r="O358" i="34"/>
  <c r="N358" i="34"/>
  <c r="M358" i="34"/>
  <c r="L358" i="34"/>
  <c r="K358" i="34"/>
  <c r="J358" i="34"/>
  <c r="I358" i="34"/>
  <c r="H358" i="34"/>
  <c r="G358" i="34"/>
  <c r="F358" i="34"/>
  <c r="E358" i="34"/>
  <c r="R357" i="34"/>
  <c r="B13" i="76" s="1"/>
  <c r="P357" i="34"/>
  <c r="O357" i="34"/>
  <c r="N357" i="34"/>
  <c r="M357" i="34"/>
  <c r="C13" i="76" s="1"/>
  <c r="L357" i="34"/>
  <c r="K357" i="34"/>
  <c r="J357" i="34"/>
  <c r="I357" i="34"/>
  <c r="H357" i="34"/>
  <c r="G357" i="34"/>
  <c r="F357" i="34"/>
  <c r="E357" i="34"/>
  <c r="L13" i="76" s="1"/>
  <c r="R277" i="34"/>
  <c r="P277" i="34"/>
  <c r="O277" i="34"/>
  <c r="N277" i="34"/>
  <c r="M277" i="34"/>
  <c r="L277" i="34"/>
  <c r="K277" i="34"/>
  <c r="J277" i="34"/>
  <c r="I277" i="34"/>
  <c r="H277" i="34"/>
  <c r="G277" i="34"/>
  <c r="F277" i="34"/>
  <c r="E277" i="34"/>
  <c r="R276" i="34"/>
  <c r="P276" i="34"/>
  <c r="O276" i="34"/>
  <c r="N276" i="34"/>
  <c r="M276" i="34"/>
  <c r="L276" i="34"/>
  <c r="K276" i="34"/>
  <c r="J276" i="34"/>
  <c r="I276" i="34"/>
  <c r="H276" i="34"/>
  <c r="G276" i="34"/>
  <c r="F276" i="34"/>
  <c r="E276" i="34"/>
  <c r="R275" i="34"/>
  <c r="P275" i="34"/>
  <c r="O275" i="34"/>
  <c r="N275" i="34"/>
  <c r="M275" i="34"/>
  <c r="L275" i="34"/>
  <c r="K275" i="34"/>
  <c r="J275" i="34"/>
  <c r="I275" i="34"/>
  <c r="H275" i="34"/>
  <c r="G275" i="34"/>
  <c r="F275" i="34"/>
  <c r="E275" i="34"/>
  <c r="R274" i="34"/>
  <c r="P274" i="34"/>
  <c r="O274" i="34"/>
  <c r="N274" i="34"/>
  <c r="M274" i="34"/>
  <c r="L274" i="34"/>
  <c r="K274" i="34"/>
  <c r="J274" i="34"/>
  <c r="I274" i="34"/>
  <c r="H274" i="34"/>
  <c r="G274" i="34"/>
  <c r="F274" i="34"/>
  <c r="E274" i="34"/>
  <c r="R273" i="34"/>
  <c r="P273" i="34"/>
  <c r="O273" i="34"/>
  <c r="N273" i="34"/>
  <c r="M273" i="34"/>
  <c r="L273" i="34"/>
  <c r="K273" i="34"/>
  <c r="J273" i="34"/>
  <c r="I273" i="34"/>
  <c r="H273" i="34"/>
  <c r="G273" i="34"/>
  <c r="F273" i="34"/>
  <c r="E273" i="34"/>
  <c r="R272" i="34"/>
  <c r="P272" i="34"/>
  <c r="O272" i="34"/>
  <c r="N272" i="34"/>
  <c r="M272" i="34"/>
  <c r="L272" i="34"/>
  <c r="K272" i="34"/>
  <c r="J272" i="34"/>
  <c r="I272" i="34"/>
  <c r="H272" i="34"/>
  <c r="G272" i="34"/>
  <c r="F272" i="34"/>
  <c r="E272" i="34"/>
  <c r="R271" i="34"/>
  <c r="P271" i="34"/>
  <c r="O271" i="34"/>
  <c r="N271" i="34"/>
  <c r="M271" i="34"/>
  <c r="L271" i="34"/>
  <c r="K271" i="34"/>
  <c r="J271" i="34"/>
  <c r="I271" i="34"/>
  <c r="H271" i="34"/>
  <c r="G271" i="34"/>
  <c r="F271" i="34"/>
  <c r="E271" i="34"/>
  <c r="R270" i="34"/>
  <c r="P270" i="34"/>
  <c r="O270" i="34"/>
  <c r="N270" i="34"/>
  <c r="M270" i="34"/>
  <c r="L270" i="34"/>
  <c r="K270" i="34"/>
  <c r="J270" i="34"/>
  <c r="I270" i="34"/>
  <c r="H270" i="34"/>
  <c r="G270" i="34"/>
  <c r="F270" i="34"/>
  <c r="E270" i="34"/>
  <c r="R269" i="34"/>
  <c r="P269" i="34"/>
  <c r="O269" i="34"/>
  <c r="N269" i="34"/>
  <c r="M269" i="34"/>
  <c r="L269" i="34"/>
  <c r="K269" i="34"/>
  <c r="J269" i="34"/>
  <c r="I269" i="34"/>
  <c r="H269" i="34"/>
  <c r="G269" i="34"/>
  <c r="F269" i="34"/>
  <c r="E269" i="34"/>
  <c r="R268" i="34"/>
  <c r="P268" i="34"/>
  <c r="O268" i="34"/>
  <c r="N268" i="34"/>
  <c r="M268" i="34"/>
  <c r="L268" i="34"/>
  <c r="K268" i="34"/>
  <c r="J268" i="34"/>
  <c r="I268" i="34"/>
  <c r="H268" i="34"/>
  <c r="G268" i="34"/>
  <c r="F268" i="34"/>
  <c r="E268" i="34"/>
  <c r="R267" i="34"/>
  <c r="P267" i="34"/>
  <c r="O267" i="34"/>
  <c r="N267" i="34"/>
  <c r="M267" i="34"/>
  <c r="L267" i="34"/>
  <c r="K267" i="34"/>
  <c r="J267" i="34"/>
  <c r="I267" i="34"/>
  <c r="H267" i="34"/>
  <c r="G267" i="34"/>
  <c r="F267" i="34"/>
  <c r="E267" i="34"/>
  <c r="R266" i="34"/>
  <c r="P266" i="34"/>
  <c r="O266" i="34"/>
  <c r="N266" i="34"/>
  <c r="M266" i="34"/>
  <c r="L266" i="34"/>
  <c r="K266" i="34"/>
  <c r="J266" i="34"/>
  <c r="I266" i="34"/>
  <c r="H266" i="34"/>
  <c r="G266" i="34"/>
  <c r="F266" i="34"/>
  <c r="E266" i="34"/>
  <c r="R265" i="34"/>
  <c r="P265" i="34"/>
  <c r="O265" i="34"/>
  <c r="N265" i="34"/>
  <c r="M265" i="34"/>
  <c r="L265" i="34"/>
  <c r="K265" i="34"/>
  <c r="J265" i="34"/>
  <c r="I265" i="34"/>
  <c r="H265" i="34"/>
  <c r="G265" i="34"/>
  <c r="F265" i="34"/>
  <c r="E265" i="34"/>
  <c r="R264" i="34"/>
  <c r="P264" i="34"/>
  <c r="O264" i="34"/>
  <c r="N264" i="34"/>
  <c r="M264" i="34"/>
  <c r="L264" i="34"/>
  <c r="K264" i="34"/>
  <c r="J264" i="34"/>
  <c r="I264" i="34"/>
  <c r="H264" i="34"/>
  <c r="G264" i="34"/>
  <c r="F264" i="34"/>
  <c r="E264" i="34"/>
  <c r="R263" i="34"/>
  <c r="P263" i="34"/>
  <c r="O263" i="34"/>
  <c r="N263" i="34"/>
  <c r="M263" i="34"/>
  <c r="L263" i="34"/>
  <c r="K263" i="34"/>
  <c r="J263" i="34"/>
  <c r="I263" i="34"/>
  <c r="H263" i="34"/>
  <c r="G263" i="34"/>
  <c r="F263" i="34"/>
  <c r="E263" i="34"/>
  <c r="R262" i="34"/>
  <c r="P262" i="34"/>
  <c r="O262" i="34"/>
  <c r="N262" i="34"/>
  <c r="M262" i="34"/>
  <c r="L262" i="34"/>
  <c r="K262" i="34"/>
  <c r="J262" i="34"/>
  <c r="I262" i="34"/>
  <c r="H262" i="34"/>
  <c r="G262" i="34"/>
  <c r="F262" i="34"/>
  <c r="E262" i="34"/>
  <c r="R261" i="34"/>
  <c r="P261" i="34"/>
  <c r="O261" i="34"/>
  <c r="N261" i="34"/>
  <c r="M261" i="34"/>
  <c r="L261" i="34"/>
  <c r="K261" i="34"/>
  <c r="J261" i="34"/>
  <c r="I261" i="34"/>
  <c r="H261" i="34"/>
  <c r="G261" i="34"/>
  <c r="F261" i="34"/>
  <c r="E261" i="34"/>
  <c r="R260" i="34"/>
  <c r="P260" i="34"/>
  <c r="O260" i="34"/>
  <c r="N260" i="34"/>
  <c r="M260" i="34"/>
  <c r="L260" i="34"/>
  <c r="K260" i="34"/>
  <c r="J260" i="34"/>
  <c r="I260" i="34"/>
  <c r="H260" i="34"/>
  <c r="G260" i="34"/>
  <c r="F260" i="34"/>
  <c r="E260" i="34"/>
  <c r="R259" i="34"/>
  <c r="P259" i="34"/>
  <c r="O259" i="34"/>
  <c r="N259" i="34"/>
  <c r="M259" i="34"/>
  <c r="L259" i="34"/>
  <c r="K259" i="34"/>
  <c r="J259" i="34"/>
  <c r="I259" i="34"/>
  <c r="H259" i="34"/>
  <c r="G259" i="34"/>
  <c r="F259" i="34"/>
  <c r="E259" i="34"/>
  <c r="R258" i="34"/>
  <c r="P258" i="34"/>
  <c r="O258" i="34"/>
  <c r="N258" i="34"/>
  <c r="M258" i="34"/>
  <c r="L258" i="34"/>
  <c r="K258" i="34"/>
  <c r="J258" i="34"/>
  <c r="I258" i="34"/>
  <c r="H258" i="34"/>
  <c r="G258" i="34"/>
  <c r="F258" i="34"/>
  <c r="E258" i="34"/>
  <c r="R257" i="34"/>
  <c r="P257" i="34"/>
  <c r="O257" i="34"/>
  <c r="N257" i="34"/>
  <c r="M257" i="34"/>
  <c r="L257" i="34"/>
  <c r="K257" i="34"/>
  <c r="J257" i="34"/>
  <c r="I257" i="34"/>
  <c r="H257" i="34"/>
  <c r="G257" i="34"/>
  <c r="F257" i="34"/>
  <c r="E257" i="34"/>
  <c r="R256" i="34"/>
  <c r="P256" i="34"/>
  <c r="O256" i="34"/>
  <c r="N256" i="34"/>
  <c r="M256" i="34"/>
  <c r="L256" i="34"/>
  <c r="K256" i="34"/>
  <c r="J256" i="34"/>
  <c r="I256" i="34"/>
  <c r="H256" i="34"/>
  <c r="G256" i="34"/>
  <c r="F256" i="34"/>
  <c r="E256" i="34"/>
  <c r="R255" i="34"/>
  <c r="P255" i="34"/>
  <c r="O255" i="34"/>
  <c r="N255" i="34"/>
  <c r="M255" i="34"/>
  <c r="L255" i="34"/>
  <c r="K255" i="34"/>
  <c r="J255" i="34"/>
  <c r="I255" i="34"/>
  <c r="H255" i="34"/>
  <c r="G255" i="34"/>
  <c r="F255" i="34"/>
  <c r="E255" i="34"/>
  <c r="R254" i="34"/>
  <c r="P254" i="34"/>
  <c r="O254" i="34"/>
  <c r="N254" i="34"/>
  <c r="M254" i="34"/>
  <c r="L254" i="34"/>
  <c r="K254" i="34"/>
  <c r="J254" i="34"/>
  <c r="I254" i="34"/>
  <c r="H254" i="34"/>
  <c r="G254" i="34"/>
  <c r="F254" i="34"/>
  <c r="E254" i="34"/>
  <c r="R253" i="34"/>
  <c r="P253" i="34"/>
  <c r="O253" i="34"/>
  <c r="N253" i="34"/>
  <c r="M253" i="34"/>
  <c r="L253" i="34"/>
  <c r="K253" i="34"/>
  <c r="J253" i="34"/>
  <c r="I253" i="34"/>
  <c r="H253" i="34"/>
  <c r="G253" i="34"/>
  <c r="F253" i="34"/>
  <c r="E253" i="34"/>
  <c r="R252" i="34"/>
  <c r="P252" i="34"/>
  <c r="O252" i="34"/>
  <c r="M252" i="34"/>
  <c r="L252" i="34"/>
  <c r="K252" i="34"/>
  <c r="J252" i="34"/>
  <c r="H252" i="34"/>
  <c r="G252" i="34"/>
  <c r="F252" i="34"/>
  <c r="E252" i="34"/>
  <c r="R251" i="34"/>
  <c r="P251" i="34"/>
  <c r="O251" i="34"/>
  <c r="N251" i="34"/>
  <c r="M251" i="34"/>
  <c r="L251" i="34"/>
  <c r="K251" i="34"/>
  <c r="J251" i="34"/>
  <c r="I251" i="34"/>
  <c r="H251" i="34"/>
  <c r="G251" i="34"/>
  <c r="F251" i="34"/>
  <c r="E251" i="34"/>
  <c r="R250" i="34"/>
  <c r="P250" i="34"/>
  <c r="O250" i="34"/>
  <c r="N250" i="34"/>
  <c r="M250" i="34"/>
  <c r="L250" i="34"/>
  <c r="K250" i="34"/>
  <c r="J250" i="34"/>
  <c r="I250" i="34"/>
  <c r="H250" i="34"/>
  <c r="G250" i="34"/>
  <c r="F250" i="34"/>
  <c r="E250" i="34"/>
  <c r="R249" i="34"/>
  <c r="P249" i="34"/>
  <c r="O249" i="34"/>
  <c r="N249" i="34"/>
  <c r="M249" i="34"/>
  <c r="L249" i="34"/>
  <c r="K249" i="34"/>
  <c r="J249" i="34"/>
  <c r="I249" i="34"/>
  <c r="H249" i="34"/>
  <c r="G249" i="34"/>
  <c r="F249" i="34"/>
  <c r="E249" i="34"/>
  <c r="R248" i="34"/>
  <c r="P248" i="34"/>
  <c r="O248" i="34"/>
  <c r="N248" i="34"/>
  <c r="M248" i="34"/>
  <c r="L248" i="34"/>
  <c r="K248" i="34"/>
  <c r="J248" i="34"/>
  <c r="I248" i="34"/>
  <c r="H248" i="34"/>
  <c r="G248" i="34"/>
  <c r="F248" i="34"/>
  <c r="E248" i="34"/>
  <c r="R247" i="34"/>
  <c r="P247" i="34"/>
  <c r="O247" i="34"/>
  <c r="N247" i="34"/>
  <c r="M247" i="34"/>
  <c r="L247" i="34"/>
  <c r="K247" i="34"/>
  <c r="J247" i="34"/>
  <c r="I247" i="34"/>
  <c r="H247" i="34"/>
  <c r="G247" i="34"/>
  <c r="F247" i="34"/>
  <c r="E247" i="34"/>
  <c r="R246" i="34"/>
  <c r="P246" i="34"/>
  <c r="O246" i="34"/>
  <c r="N246" i="34"/>
  <c r="M246" i="34"/>
  <c r="L246" i="34"/>
  <c r="K246" i="34"/>
  <c r="J246" i="34"/>
  <c r="I246" i="34"/>
  <c r="H246" i="34"/>
  <c r="G246" i="34"/>
  <c r="F246" i="34"/>
  <c r="E246" i="34"/>
  <c r="R245" i="34"/>
  <c r="P245" i="34"/>
  <c r="O245" i="34"/>
  <c r="N245" i="34"/>
  <c r="M245" i="34"/>
  <c r="L245" i="34"/>
  <c r="K245" i="34"/>
  <c r="J245" i="34"/>
  <c r="I245" i="34"/>
  <c r="H245" i="34"/>
  <c r="G245" i="34"/>
  <c r="F245" i="34"/>
  <c r="E245" i="34"/>
  <c r="R244" i="34"/>
  <c r="P244" i="34"/>
  <c r="O244" i="34"/>
  <c r="N244" i="34"/>
  <c r="M244" i="34"/>
  <c r="L244" i="34"/>
  <c r="K244" i="34"/>
  <c r="J244" i="34"/>
  <c r="I244" i="34"/>
  <c r="H244" i="34"/>
  <c r="G244" i="34"/>
  <c r="F244" i="34"/>
  <c r="E244" i="34"/>
  <c r="R243" i="34"/>
  <c r="P243" i="34"/>
  <c r="O243" i="34"/>
  <c r="N243" i="34"/>
  <c r="M243" i="34"/>
  <c r="L243" i="34"/>
  <c r="K243" i="34"/>
  <c r="J243" i="34"/>
  <c r="I243" i="34"/>
  <c r="H243" i="34"/>
  <c r="G243" i="34"/>
  <c r="F243" i="34"/>
  <c r="E243" i="34"/>
  <c r="R242" i="34"/>
  <c r="P242" i="34"/>
  <c r="O242" i="34"/>
  <c r="N242" i="34"/>
  <c r="M242" i="34"/>
  <c r="L242" i="34"/>
  <c r="K242" i="34"/>
  <c r="J242" i="34"/>
  <c r="I242" i="34"/>
  <c r="H242" i="34"/>
  <c r="G242" i="34"/>
  <c r="F242" i="34"/>
  <c r="E242" i="34"/>
  <c r="R241" i="34"/>
  <c r="P241" i="34"/>
  <c r="O241" i="34"/>
  <c r="N241" i="34"/>
  <c r="M241" i="34"/>
  <c r="L241" i="34"/>
  <c r="K241" i="34"/>
  <c r="J241" i="34"/>
  <c r="I241" i="34"/>
  <c r="H241" i="34"/>
  <c r="G241" i="34"/>
  <c r="F241" i="34"/>
  <c r="E241" i="34"/>
  <c r="R240" i="34"/>
  <c r="B12" i="76" s="1"/>
  <c r="P240" i="34"/>
  <c r="O240" i="34"/>
  <c r="N240" i="34"/>
  <c r="M240" i="34"/>
  <c r="C12" i="76" s="1"/>
  <c r="L240" i="34"/>
  <c r="K240" i="34"/>
  <c r="J240" i="34"/>
  <c r="I240" i="34"/>
  <c r="H240" i="34"/>
  <c r="G240" i="34"/>
  <c r="F240" i="34"/>
  <c r="E240" i="34"/>
  <c r="L12" i="76" s="1"/>
  <c r="R160" i="34"/>
  <c r="P160" i="34"/>
  <c r="O160" i="34"/>
  <c r="N160" i="34"/>
  <c r="M160" i="34"/>
  <c r="L160" i="34"/>
  <c r="K160" i="34"/>
  <c r="J160" i="34"/>
  <c r="I160" i="34"/>
  <c r="H160" i="34"/>
  <c r="G160" i="34"/>
  <c r="F160" i="34"/>
  <c r="E160" i="34"/>
  <c r="R159" i="34"/>
  <c r="P159" i="34"/>
  <c r="O159" i="34"/>
  <c r="N159" i="34"/>
  <c r="M159" i="34"/>
  <c r="L159" i="34"/>
  <c r="K159" i="34"/>
  <c r="J159" i="34"/>
  <c r="I159" i="34"/>
  <c r="H159" i="34"/>
  <c r="G159" i="34"/>
  <c r="F159" i="34"/>
  <c r="E159" i="34"/>
  <c r="R158" i="34"/>
  <c r="P158" i="34"/>
  <c r="O158" i="34"/>
  <c r="N158" i="34"/>
  <c r="M158" i="34"/>
  <c r="L158" i="34"/>
  <c r="K158" i="34"/>
  <c r="J158" i="34"/>
  <c r="I158" i="34"/>
  <c r="H158" i="34"/>
  <c r="G158" i="34"/>
  <c r="F158" i="34"/>
  <c r="E158" i="34"/>
  <c r="R157" i="34"/>
  <c r="P157" i="34"/>
  <c r="O157" i="34"/>
  <c r="N157" i="34"/>
  <c r="M157" i="34"/>
  <c r="L157" i="34"/>
  <c r="K157" i="34"/>
  <c r="J157" i="34"/>
  <c r="I157" i="34"/>
  <c r="H157" i="34"/>
  <c r="G157" i="34"/>
  <c r="F157" i="34"/>
  <c r="E157" i="34"/>
  <c r="R156" i="34"/>
  <c r="P156" i="34"/>
  <c r="O156" i="34"/>
  <c r="N156" i="34"/>
  <c r="M156" i="34"/>
  <c r="L156" i="34"/>
  <c r="K156" i="34"/>
  <c r="J156" i="34"/>
  <c r="I156" i="34"/>
  <c r="H156" i="34"/>
  <c r="G156" i="34"/>
  <c r="F156" i="34"/>
  <c r="E156" i="34"/>
  <c r="R155" i="34"/>
  <c r="P155" i="34"/>
  <c r="O155" i="34"/>
  <c r="N155" i="34"/>
  <c r="M155" i="34"/>
  <c r="L155" i="34"/>
  <c r="K155" i="34"/>
  <c r="J155" i="34"/>
  <c r="I155" i="34"/>
  <c r="H155" i="34"/>
  <c r="G155" i="34"/>
  <c r="F155" i="34"/>
  <c r="E155" i="34"/>
  <c r="R154" i="34"/>
  <c r="P154" i="34"/>
  <c r="O154" i="34"/>
  <c r="N154" i="34"/>
  <c r="M154" i="34"/>
  <c r="L154" i="34"/>
  <c r="K154" i="34"/>
  <c r="J154" i="34"/>
  <c r="I154" i="34"/>
  <c r="H154" i="34"/>
  <c r="G154" i="34"/>
  <c r="F154" i="34"/>
  <c r="E154" i="34"/>
  <c r="R153" i="34"/>
  <c r="P153" i="34"/>
  <c r="O153" i="34"/>
  <c r="N153" i="34"/>
  <c r="M153" i="34"/>
  <c r="L153" i="34"/>
  <c r="K153" i="34"/>
  <c r="J153" i="34"/>
  <c r="I153" i="34"/>
  <c r="H153" i="34"/>
  <c r="G153" i="34"/>
  <c r="F153" i="34"/>
  <c r="E153" i="34"/>
  <c r="R152" i="34"/>
  <c r="P152" i="34"/>
  <c r="O152" i="34"/>
  <c r="N152" i="34"/>
  <c r="M152" i="34"/>
  <c r="L152" i="34"/>
  <c r="K152" i="34"/>
  <c r="J152" i="34"/>
  <c r="I152" i="34"/>
  <c r="H152" i="34"/>
  <c r="G152" i="34"/>
  <c r="F152" i="34"/>
  <c r="E152" i="34"/>
  <c r="R151" i="34"/>
  <c r="P151" i="34"/>
  <c r="O151" i="34"/>
  <c r="N151" i="34"/>
  <c r="M151" i="34"/>
  <c r="L151" i="34"/>
  <c r="K151" i="34"/>
  <c r="J151" i="34"/>
  <c r="I151" i="34"/>
  <c r="H151" i="34"/>
  <c r="G151" i="34"/>
  <c r="F151" i="34"/>
  <c r="E151" i="34"/>
  <c r="R150" i="34"/>
  <c r="P150" i="34"/>
  <c r="O150" i="34"/>
  <c r="N150" i="34"/>
  <c r="M150" i="34"/>
  <c r="L150" i="34"/>
  <c r="K150" i="34"/>
  <c r="J150" i="34"/>
  <c r="I150" i="34"/>
  <c r="H150" i="34"/>
  <c r="G150" i="34"/>
  <c r="F150" i="34"/>
  <c r="E150" i="34"/>
  <c r="R149" i="34"/>
  <c r="P149" i="34"/>
  <c r="O149" i="34"/>
  <c r="N149" i="34"/>
  <c r="M149" i="34"/>
  <c r="L149" i="34"/>
  <c r="K149" i="34"/>
  <c r="J149" i="34"/>
  <c r="I149" i="34"/>
  <c r="H149" i="34"/>
  <c r="G149" i="34"/>
  <c r="F149" i="34"/>
  <c r="E149" i="34"/>
  <c r="R148" i="34"/>
  <c r="P148" i="34"/>
  <c r="O148" i="34"/>
  <c r="N148" i="34"/>
  <c r="M148" i="34"/>
  <c r="L148" i="34"/>
  <c r="K148" i="34"/>
  <c r="J148" i="34"/>
  <c r="I148" i="34"/>
  <c r="H148" i="34"/>
  <c r="G148" i="34"/>
  <c r="F148" i="34"/>
  <c r="E148" i="34"/>
  <c r="R147" i="34"/>
  <c r="P147" i="34"/>
  <c r="O147" i="34"/>
  <c r="N147" i="34"/>
  <c r="M147" i="34"/>
  <c r="L147" i="34"/>
  <c r="K147" i="34"/>
  <c r="J147" i="34"/>
  <c r="I147" i="34"/>
  <c r="H147" i="34"/>
  <c r="G147" i="34"/>
  <c r="F147" i="34"/>
  <c r="E147" i="34"/>
  <c r="R146" i="34"/>
  <c r="P146" i="34"/>
  <c r="O146" i="34"/>
  <c r="N146" i="34"/>
  <c r="M146" i="34"/>
  <c r="L146" i="34"/>
  <c r="K146" i="34"/>
  <c r="J146" i="34"/>
  <c r="I146" i="34"/>
  <c r="H146" i="34"/>
  <c r="G146" i="34"/>
  <c r="F146" i="34"/>
  <c r="E146" i="34"/>
  <c r="R145" i="34"/>
  <c r="P145" i="34"/>
  <c r="O145" i="34"/>
  <c r="N145" i="34"/>
  <c r="M145" i="34"/>
  <c r="L145" i="34"/>
  <c r="K145" i="34"/>
  <c r="J145" i="34"/>
  <c r="I145" i="34"/>
  <c r="H145" i="34"/>
  <c r="G145" i="34"/>
  <c r="F145" i="34"/>
  <c r="E145" i="34"/>
  <c r="R144" i="34"/>
  <c r="P144" i="34"/>
  <c r="O144" i="34"/>
  <c r="N144" i="34"/>
  <c r="M144" i="34"/>
  <c r="L144" i="34"/>
  <c r="K144" i="34"/>
  <c r="J144" i="34"/>
  <c r="I144" i="34"/>
  <c r="H144" i="34"/>
  <c r="G144" i="34"/>
  <c r="F144" i="34"/>
  <c r="E144" i="34"/>
  <c r="R143" i="34"/>
  <c r="P143" i="34"/>
  <c r="O143" i="34"/>
  <c r="N143" i="34"/>
  <c r="M143" i="34"/>
  <c r="L143" i="34"/>
  <c r="K143" i="34"/>
  <c r="J143" i="34"/>
  <c r="I143" i="34"/>
  <c r="H143" i="34"/>
  <c r="G143" i="34"/>
  <c r="F143" i="34"/>
  <c r="E143" i="34"/>
  <c r="R142" i="34"/>
  <c r="P142" i="34"/>
  <c r="O142" i="34"/>
  <c r="N142" i="34"/>
  <c r="M142" i="34"/>
  <c r="L142" i="34"/>
  <c r="K142" i="34"/>
  <c r="J142" i="34"/>
  <c r="I142" i="34"/>
  <c r="H142" i="34"/>
  <c r="G142" i="34"/>
  <c r="F142" i="34"/>
  <c r="E142" i="34"/>
  <c r="R141" i="34"/>
  <c r="P141" i="34"/>
  <c r="O141" i="34"/>
  <c r="N141" i="34"/>
  <c r="M141" i="34"/>
  <c r="L141" i="34"/>
  <c r="K141" i="34"/>
  <c r="J141" i="34"/>
  <c r="I141" i="34"/>
  <c r="H141" i="34"/>
  <c r="G141" i="34"/>
  <c r="F141" i="34"/>
  <c r="E141" i="34"/>
  <c r="R140" i="34"/>
  <c r="P140" i="34"/>
  <c r="O140" i="34"/>
  <c r="N140" i="34"/>
  <c r="M140" i="34"/>
  <c r="L140" i="34"/>
  <c r="K140" i="34"/>
  <c r="J140" i="34"/>
  <c r="I140" i="34"/>
  <c r="H140" i="34"/>
  <c r="G140" i="34"/>
  <c r="F140" i="34"/>
  <c r="E140" i="34"/>
  <c r="R139" i="34"/>
  <c r="P139" i="34"/>
  <c r="O139" i="34"/>
  <c r="N139" i="34"/>
  <c r="M139" i="34"/>
  <c r="L139" i="34"/>
  <c r="K139" i="34"/>
  <c r="J139" i="34"/>
  <c r="I139" i="34"/>
  <c r="H139" i="34"/>
  <c r="G139" i="34"/>
  <c r="F139" i="34"/>
  <c r="E139" i="34"/>
  <c r="R138" i="34"/>
  <c r="P138" i="34"/>
  <c r="O138" i="34"/>
  <c r="N138" i="34"/>
  <c r="M138" i="34"/>
  <c r="L138" i="34"/>
  <c r="K138" i="34"/>
  <c r="J138" i="34"/>
  <c r="I138" i="34"/>
  <c r="H138" i="34"/>
  <c r="G138" i="34"/>
  <c r="F138" i="34"/>
  <c r="E138" i="34"/>
  <c r="R137" i="34"/>
  <c r="P137" i="34"/>
  <c r="O137" i="34"/>
  <c r="N137" i="34"/>
  <c r="M137" i="34"/>
  <c r="L137" i="34"/>
  <c r="K137" i="34"/>
  <c r="J137" i="34"/>
  <c r="I137" i="34"/>
  <c r="H137" i="34"/>
  <c r="G137" i="34"/>
  <c r="F137" i="34"/>
  <c r="E137" i="34"/>
  <c r="R136" i="34"/>
  <c r="P136" i="34"/>
  <c r="O136" i="34"/>
  <c r="N136" i="34"/>
  <c r="M136" i="34"/>
  <c r="L136" i="34"/>
  <c r="K136" i="34"/>
  <c r="J136" i="34"/>
  <c r="I136" i="34"/>
  <c r="H136" i="34"/>
  <c r="G136" i="34"/>
  <c r="F136" i="34"/>
  <c r="E136" i="34"/>
  <c r="R135" i="34"/>
  <c r="P135" i="34"/>
  <c r="O135" i="34"/>
  <c r="M135" i="34"/>
  <c r="L135" i="34"/>
  <c r="K135" i="34"/>
  <c r="J135" i="34"/>
  <c r="H135" i="34"/>
  <c r="G135" i="34"/>
  <c r="F135" i="34"/>
  <c r="E135" i="34"/>
  <c r="R134" i="34"/>
  <c r="P134" i="34"/>
  <c r="O134" i="34"/>
  <c r="N134" i="34"/>
  <c r="M134" i="34"/>
  <c r="L134" i="34"/>
  <c r="K134" i="34"/>
  <c r="J134" i="34"/>
  <c r="I134" i="34"/>
  <c r="H134" i="34"/>
  <c r="G134" i="34"/>
  <c r="F134" i="34"/>
  <c r="E134" i="34"/>
  <c r="R133" i="34"/>
  <c r="P133" i="34"/>
  <c r="O133" i="34"/>
  <c r="N133" i="34"/>
  <c r="M133" i="34"/>
  <c r="L133" i="34"/>
  <c r="K133" i="34"/>
  <c r="J133" i="34"/>
  <c r="I133" i="34"/>
  <c r="H133" i="34"/>
  <c r="G133" i="34"/>
  <c r="F133" i="34"/>
  <c r="E133" i="34"/>
  <c r="R132" i="34"/>
  <c r="P132" i="34"/>
  <c r="O132" i="34"/>
  <c r="N132" i="34"/>
  <c r="M132" i="34"/>
  <c r="L132" i="34"/>
  <c r="K132" i="34"/>
  <c r="J132" i="34"/>
  <c r="I132" i="34"/>
  <c r="H132" i="34"/>
  <c r="G132" i="34"/>
  <c r="F132" i="34"/>
  <c r="E132" i="34"/>
  <c r="R131" i="34"/>
  <c r="P131" i="34"/>
  <c r="O131" i="34"/>
  <c r="N131" i="34"/>
  <c r="M131" i="34"/>
  <c r="L131" i="34"/>
  <c r="K131" i="34"/>
  <c r="J131" i="34"/>
  <c r="I131" i="34"/>
  <c r="H131" i="34"/>
  <c r="G131" i="34"/>
  <c r="F131" i="34"/>
  <c r="E131" i="34"/>
  <c r="R130" i="34"/>
  <c r="P130" i="34"/>
  <c r="O130" i="34"/>
  <c r="N130" i="34"/>
  <c r="M130" i="34"/>
  <c r="L130" i="34"/>
  <c r="K130" i="34"/>
  <c r="J130" i="34"/>
  <c r="I130" i="34"/>
  <c r="H130" i="34"/>
  <c r="G130" i="34"/>
  <c r="F130" i="34"/>
  <c r="E130" i="34"/>
  <c r="R129" i="34"/>
  <c r="P129" i="34"/>
  <c r="O129" i="34"/>
  <c r="N129" i="34"/>
  <c r="M129" i="34"/>
  <c r="L129" i="34"/>
  <c r="K129" i="34"/>
  <c r="J129" i="34"/>
  <c r="I129" i="34"/>
  <c r="H129" i="34"/>
  <c r="G129" i="34"/>
  <c r="F129" i="34"/>
  <c r="E129" i="34"/>
  <c r="R128" i="34"/>
  <c r="P128" i="34"/>
  <c r="O128" i="34"/>
  <c r="N128" i="34"/>
  <c r="M128" i="34"/>
  <c r="L128" i="34"/>
  <c r="K128" i="34"/>
  <c r="J128" i="34"/>
  <c r="I128" i="34"/>
  <c r="H128" i="34"/>
  <c r="G128" i="34"/>
  <c r="F128" i="34"/>
  <c r="E128" i="34"/>
  <c r="R127" i="34"/>
  <c r="P127" i="34"/>
  <c r="O127" i="34"/>
  <c r="N127" i="34"/>
  <c r="M127" i="34"/>
  <c r="L127" i="34"/>
  <c r="K127" i="34"/>
  <c r="J127" i="34"/>
  <c r="I127" i="34"/>
  <c r="H127" i="34"/>
  <c r="G127" i="34"/>
  <c r="F127" i="34"/>
  <c r="E127" i="34"/>
  <c r="R126" i="34"/>
  <c r="P126" i="34"/>
  <c r="O126" i="34"/>
  <c r="N126" i="34"/>
  <c r="M126" i="34"/>
  <c r="L126" i="34"/>
  <c r="K126" i="34"/>
  <c r="J126" i="34"/>
  <c r="I126" i="34"/>
  <c r="H126" i="34"/>
  <c r="G126" i="34"/>
  <c r="F126" i="34"/>
  <c r="E126" i="34"/>
  <c r="R125" i="34"/>
  <c r="P125" i="34"/>
  <c r="O125" i="34"/>
  <c r="N125" i="34"/>
  <c r="M125" i="34"/>
  <c r="L125" i="34"/>
  <c r="K125" i="34"/>
  <c r="J125" i="34"/>
  <c r="I125" i="34"/>
  <c r="H125" i="34"/>
  <c r="G125" i="34"/>
  <c r="F125" i="34"/>
  <c r="E125" i="34"/>
  <c r="R124" i="34"/>
  <c r="P124" i="34"/>
  <c r="O124" i="34"/>
  <c r="N124" i="34"/>
  <c r="M124" i="34"/>
  <c r="L124" i="34"/>
  <c r="K124" i="34"/>
  <c r="J124" i="34"/>
  <c r="I124" i="34"/>
  <c r="H124" i="34"/>
  <c r="G124" i="34"/>
  <c r="F124" i="34"/>
  <c r="E124" i="34"/>
  <c r="R123" i="34"/>
  <c r="B11" i="76" s="1"/>
  <c r="P123" i="34"/>
  <c r="O123" i="34"/>
  <c r="N123" i="34"/>
  <c r="M123" i="34"/>
  <c r="C11" i="76" s="1"/>
  <c r="L123" i="34"/>
  <c r="K123" i="34"/>
  <c r="J123" i="34"/>
  <c r="I123" i="34"/>
  <c r="H123" i="34"/>
  <c r="G123" i="34"/>
  <c r="F123" i="34"/>
  <c r="E123" i="34"/>
  <c r="L11" i="76" s="1"/>
  <c r="R44" i="34"/>
  <c r="P44" i="34"/>
  <c r="O44" i="34"/>
  <c r="N44" i="34"/>
  <c r="M44" i="34"/>
  <c r="L44" i="34"/>
  <c r="K44" i="34"/>
  <c r="J44" i="34"/>
  <c r="I44" i="34"/>
  <c r="H44" i="34"/>
  <c r="G44" i="34"/>
  <c r="F44" i="34"/>
  <c r="E44" i="34"/>
  <c r="R43" i="34"/>
  <c r="P43" i="34"/>
  <c r="O43" i="34"/>
  <c r="N43" i="34"/>
  <c r="M43" i="34"/>
  <c r="L43" i="34"/>
  <c r="K43" i="34"/>
  <c r="J43" i="34"/>
  <c r="I43" i="34"/>
  <c r="H43" i="34"/>
  <c r="G43" i="34"/>
  <c r="F43" i="34"/>
  <c r="E43" i="34"/>
  <c r="R42" i="34"/>
  <c r="P42" i="34"/>
  <c r="O42" i="34"/>
  <c r="N42" i="34"/>
  <c r="M42" i="34"/>
  <c r="L42" i="34"/>
  <c r="K42" i="34"/>
  <c r="J42" i="34"/>
  <c r="I42" i="34"/>
  <c r="H42" i="34"/>
  <c r="G42" i="34"/>
  <c r="F42" i="34"/>
  <c r="E42" i="34"/>
  <c r="R41" i="34"/>
  <c r="P41" i="34"/>
  <c r="O41" i="34"/>
  <c r="N41" i="34"/>
  <c r="M41" i="34"/>
  <c r="L41" i="34"/>
  <c r="K41" i="34"/>
  <c r="J41" i="34"/>
  <c r="I41" i="34"/>
  <c r="H41" i="34"/>
  <c r="G41" i="34"/>
  <c r="F41" i="34"/>
  <c r="E41" i="34"/>
  <c r="R40" i="34"/>
  <c r="P40" i="34"/>
  <c r="O40" i="34"/>
  <c r="N40" i="34"/>
  <c r="M40" i="34"/>
  <c r="G107" i="75" s="1"/>
  <c r="I107" i="75" s="1"/>
  <c r="L40" i="34"/>
  <c r="K40" i="34"/>
  <c r="J40" i="34"/>
  <c r="I40" i="34"/>
  <c r="H40" i="34"/>
  <c r="G40" i="34"/>
  <c r="F40" i="34"/>
  <c r="G102" i="75" s="1"/>
  <c r="E40" i="34"/>
  <c r="R39" i="34"/>
  <c r="P39" i="34"/>
  <c r="O39" i="34"/>
  <c r="N39" i="34"/>
  <c r="M39" i="34"/>
  <c r="L39" i="34"/>
  <c r="K39" i="34"/>
  <c r="J39" i="34"/>
  <c r="I39" i="34"/>
  <c r="H39" i="34"/>
  <c r="G39" i="34"/>
  <c r="F39" i="34"/>
  <c r="E39" i="34"/>
  <c r="R38" i="34"/>
  <c r="P38" i="34"/>
  <c r="O38" i="34"/>
  <c r="N38" i="34"/>
  <c r="M38" i="34"/>
  <c r="L38" i="34"/>
  <c r="K38" i="34"/>
  <c r="J38" i="34"/>
  <c r="I38" i="34"/>
  <c r="H38" i="34"/>
  <c r="G38" i="34"/>
  <c r="F38" i="34"/>
  <c r="E38" i="34"/>
  <c r="R37" i="34"/>
  <c r="P37" i="34"/>
  <c r="O37" i="34"/>
  <c r="N37" i="34"/>
  <c r="M37" i="34"/>
  <c r="L37" i="34"/>
  <c r="K37" i="34"/>
  <c r="J37" i="34"/>
  <c r="I37" i="34"/>
  <c r="H37" i="34"/>
  <c r="G37" i="34"/>
  <c r="F37" i="34"/>
  <c r="E37" i="34"/>
  <c r="R36" i="34"/>
  <c r="P36" i="34"/>
  <c r="O36" i="34"/>
  <c r="N36" i="34"/>
  <c r="M36" i="34"/>
  <c r="L36" i="34"/>
  <c r="K36" i="34"/>
  <c r="J36" i="34"/>
  <c r="I36" i="34"/>
  <c r="H36" i="34"/>
  <c r="G36" i="34"/>
  <c r="F36" i="34"/>
  <c r="E36" i="34"/>
  <c r="R35" i="34"/>
  <c r="P35" i="34"/>
  <c r="O35" i="34"/>
  <c r="N35" i="34"/>
  <c r="M35" i="34"/>
  <c r="L35" i="34"/>
  <c r="K35" i="34"/>
  <c r="J35" i="34"/>
  <c r="I35" i="34"/>
  <c r="H35" i="34"/>
  <c r="G35" i="34"/>
  <c r="F35" i="34"/>
  <c r="E35" i="34"/>
  <c r="R34" i="34"/>
  <c r="P34" i="34"/>
  <c r="O34" i="34"/>
  <c r="N34" i="34"/>
  <c r="M34" i="34"/>
  <c r="L34" i="34"/>
  <c r="K34" i="34"/>
  <c r="J34" i="34"/>
  <c r="I34" i="34"/>
  <c r="H34" i="34"/>
  <c r="G34" i="34"/>
  <c r="F34" i="34"/>
  <c r="E34" i="34"/>
  <c r="R33" i="34"/>
  <c r="P33" i="34"/>
  <c r="O33" i="34"/>
  <c r="N33" i="34"/>
  <c r="M33" i="34"/>
  <c r="L33" i="34"/>
  <c r="K33" i="34"/>
  <c r="J33" i="34"/>
  <c r="I33" i="34"/>
  <c r="H33" i="34"/>
  <c r="G33" i="34"/>
  <c r="F33" i="34"/>
  <c r="E33" i="34"/>
  <c r="R32" i="34"/>
  <c r="P32" i="34"/>
  <c r="O32" i="34"/>
  <c r="N32" i="34"/>
  <c r="M32" i="34"/>
  <c r="L32" i="34"/>
  <c r="K32" i="34"/>
  <c r="J32" i="34"/>
  <c r="I32" i="34"/>
  <c r="H32" i="34"/>
  <c r="G32" i="34"/>
  <c r="F32" i="34"/>
  <c r="E32" i="34"/>
  <c r="R31" i="34"/>
  <c r="P31" i="34"/>
  <c r="O31" i="34"/>
  <c r="N31" i="34"/>
  <c r="M31" i="34"/>
  <c r="L31" i="34"/>
  <c r="K31" i="34"/>
  <c r="J31" i="34"/>
  <c r="I31" i="34"/>
  <c r="H31" i="34"/>
  <c r="G31" i="34"/>
  <c r="F31" i="34"/>
  <c r="E31" i="34"/>
  <c r="R30" i="34"/>
  <c r="P30" i="34"/>
  <c r="O30" i="34"/>
  <c r="N30" i="34"/>
  <c r="M30" i="34"/>
  <c r="L30" i="34"/>
  <c r="K30" i="34"/>
  <c r="J30" i="34"/>
  <c r="I30" i="34"/>
  <c r="H30" i="34"/>
  <c r="G30" i="34"/>
  <c r="F30" i="34"/>
  <c r="E30" i="34"/>
  <c r="R29" i="34"/>
  <c r="P29" i="34"/>
  <c r="O29" i="34"/>
  <c r="N29" i="34"/>
  <c r="M29" i="34"/>
  <c r="L29" i="34"/>
  <c r="K29" i="34"/>
  <c r="J29" i="34"/>
  <c r="I29" i="34"/>
  <c r="H29" i="34"/>
  <c r="G29" i="34"/>
  <c r="F29" i="34"/>
  <c r="E29" i="34"/>
  <c r="R28" i="34"/>
  <c r="P28" i="34"/>
  <c r="O28" i="34"/>
  <c r="N28" i="34"/>
  <c r="M28" i="34"/>
  <c r="L28" i="34"/>
  <c r="K28" i="34"/>
  <c r="J28" i="34"/>
  <c r="I28" i="34"/>
  <c r="H28" i="34"/>
  <c r="G28" i="34"/>
  <c r="F28" i="34"/>
  <c r="E28" i="34"/>
  <c r="R27" i="34"/>
  <c r="P27" i="34"/>
  <c r="O27" i="34"/>
  <c r="N27" i="34"/>
  <c r="M27" i="34"/>
  <c r="L27" i="34"/>
  <c r="K27" i="34"/>
  <c r="J27" i="34"/>
  <c r="I27" i="34"/>
  <c r="H27" i="34"/>
  <c r="G27" i="34"/>
  <c r="F27" i="34"/>
  <c r="E27" i="34"/>
  <c r="R26" i="34"/>
  <c r="P26" i="34"/>
  <c r="O26" i="34"/>
  <c r="N26" i="34"/>
  <c r="M26" i="34"/>
  <c r="L26" i="34"/>
  <c r="K26" i="34"/>
  <c r="J26" i="34"/>
  <c r="I26" i="34"/>
  <c r="H26" i="34"/>
  <c r="G26" i="34"/>
  <c r="F26" i="34"/>
  <c r="E26" i="34"/>
  <c r="R25" i="34"/>
  <c r="P25" i="34"/>
  <c r="O25" i="34"/>
  <c r="N25" i="34"/>
  <c r="M25" i="34"/>
  <c r="L25" i="34"/>
  <c r="K25" i="34"/>
  <c r="J25" i="34"/>
  <c r="I25" i="34"/>
  <c r="H25" i="34"/>
  <c r="G25" i="34"/>
  <c r="F25" i="34"/>
  <c r="E25" i="34"/>
  <c r="R24" i="34"/>
  <c r="P24" i="34"/>
  <c r="O24" i="34"/>
  <c r="N24" i="34"/>
  <c r="M24" i="34"/>
  <c r="L24" i="34"/>
  <c r="K24" i="34"/>
  <c r="J24" i="34"/>
  <c r="I24" i="34"/>
  <c r="H24" i="34"/>
  <c r="G24" i="34"/>
  <c r="F24" i="34"/>
  <c r="E24" i="34"/>
  <c r="R23" i="34"/>
  <c r="P23" i="34"/>
  <c r="O23" i="34"/>
  <c r="N23" i="34"/>
  <c r="M23" i="34"/>
  <c r="L23" i="34"/>
  <c r="K23" i="34"/>
  <c r="J23" i="34"/>
  <c r="I23" i="34"/>
  <c r="H23" i="34"/>
  <c r="G23" i="34"/>
  <c r="F23" i="34"/>
  <c r="E23" i="34"/>
  <c r="R22" i="34"/>
  <c r="P22" i="34"/>
  <c r="O22" i="34"/>
  <c r="N22" i="34"/>
  <c r="M22" i="34"/>
  <c r="L22" i="34"/>
  <c r="K22" i="34"/>
  <c r="J22" i="34"/>
  <c r="I22" i="34"/>
  <c r="H22" i="34"/>
  <c r="G22" i="34"/>
  <c r="F22" i="34"/>
  <c r="E22" i="34"/>
  <c r="R21" i="34"/>
  <c r="P21" i="34"/>
  <c r="O21" i="34"/>
  <c r="N21" i="34"/>
  <c r="M21" i="34"/>
  <c r="L21" i="34"/>
  <c r="K21" i="34"/>
  <c r="J21" i="34"/>
  <c r="I21" i="34"/>
  <c r="H21" i="34"/>
  <c r="G21" i="34"/>
  <c r="F21" i="34"/>
  <c r="E21" i="34"/>
  <c r="R20" i="34"/>
  <c r="P20" i="34"/>
  <c r="O20" i="34"/>
  <c r="N20" i="34"/>
  <c r="M20" i="34"/>
  <c r="L20" i="34"/>
  <c r="K20" i="34"/>
  <c r="J20" i="34"/>
  <c r="I20" i="34"/>
  <c r="H20" i="34"/>
  <c r="G20" i="34"/>
  <c r="F20" i="34"/>
  <c r="E20" i="34"/>
  <c r="R19" i="34"/>
  <c r="P19" i="34"/>
  <c r="O19" i="34"/>
  <c r="M19" i="34"/>
  <c r="L19" i="34"/>
  <c r="K19" i="34"/>
  <c r="J19" i="34"/>
  <c r="H19" i="34"/>
  <c r="G19" i="34"/>
  <c r="F19" i="34"/>
  <c r="E19" i="34"/>
  <c r="R18" i="34"/>
  <c r="P18" i="34"/>
  <c r="O18" i="34"/>
  <c r="N18" i="34"/>
  <c r="M18" i="34"/>
  <c r="L18" i="34"/>
  <c r="K18" i="34"/>
  <c r="J18" i="34"/>
  <c r="I18" i="34"/>
  <c r="H18" i="34"/>
  <c r="G18" i="34"/>
  <c r="F18" i="34"/>
  <c r="E18" i="34"/>
  <c r="R17" i="34"/>
  <c r="P17" i="34"/>
  <c r="O17" i="34"/>
  <c r="N17" i="34"/>
  <c r="M17" i="34"/>
  <c r="L17" i="34"/>
  <c r="K17" i="34"/>
  <c r="J17" i="34"/>
  <c r="I17" i="34"/>
  <c r="H17" i="34"/>
  <c r="G17" i="34"/>
  <c r="F17" i="34"/>
  <c r="E17" i="34"/>
  <c r="R16" i="34"/>
  <c r="P16" i="34"/>
  <c r="O16" i="34"/>
  <c r="N16" i="34"/>
  <c r="M16" i="34"/>
  <c r="L16" i="34"/>
  <c r="K16" i="34"/>
  <c r="J16" i="34"/>
  <c r="I16" i="34"/>
  <c r="H16" i="34"/>
  <c r="G16" i="34"/>
  <c r="F16" i="34"/>
  <c r="E16" i="34"/>
  <c r="R15" i="34"/>
  <c r="P15" i="34"/>
  <c r="O15" i="34"/>
  <c r="N15" i="34"/>
  <c r="M15" i="34"/>
  <c r="L15" i="34"/>
  <c r="K15" i="34"/>
  <c r="J15" i="34"/>
  <c r="I15" i="34"/>
  <c r="H15" i="34"/>
  <c r="G15" i="34"/>
  <c r="F15" i="34"/>
  <c r="E15" i="34"/>
  <c r="R14" i="34"/>
  <c r="P14" i="34"/>
  <c r="O14" i="34"/>
  <c r="N14" i="34"/>
  <c r="M14" i="34"/>
  <c r="L14" i="34"/>
  <c r="K14" i="34"/>
  <c r="J14" i="34"/>
  <c r="I14" i="34"/>
  <c r="H14" i="34"/>
  <c r="G14" i="34"/>
  <c r="F14" i="34"/>
  <c r="E14" i="34"/>
  <c r="R13" i="34"/>
  <c r="P13" i="34"/>
  <c r="O13" i="34"/>
  <c r="N13" i="34"/>
  <c r="M13" i="34"/>
  <c r="L13" i="34"/>
  <c r="K13" i="34"/>
  <c r="J13" i="34"/>
  <c r="I13" i="34"/>
  <c r="H13" i="34"/>
  <c r="G13" i="34"/>
  <c r="F13" i="34"/>
  <c r="E13" i="34"/>
  <c r="R12" i="34"/>
  <c r="P12" i="34"/>
  <c r="O12" i="34"/>
  <c r="N12" i="34"/>
  <c r="M12" i="34"/>
  <c r="L12" i="34"/>
  <c r="K12" i="34"/>
  <c r="J12" i="34"/>
  <c r="I12" i="34"/>
  <c r="H12" i="34"/>
  <c r="G12" i="34"/>
  <c r="F12" i="34"/>
  <c r="E12" i="34"/>
  <c r="R10" i="34"/>
  <c r="P10" i="34"/>
  <c r="O10" i="34"/>
  <c r="N10" i="34"/>
  <c r="M10" i="34"/>
  <c r="L10" i="34"/>
  <c r="K10" i="34"/>
  <c r="J10" i="34"/>
  <c r="I10" i="34"/>
  <c r="H10" i="34"/>
  <c r="G10" i="34"/>
  <c r="F10" i="34"/>
  <c r="E10" i="34"/>
  <c r="R9" i="34"/>
  <c r="P9" i="34"/>
  <c r="O9" i="34"/>
  <c r="N9" i="34"/>
  <c r="M9" i="34"/>
  <c r="L9" i="34"/>
  <c r="K9" i="34"/>
  <c r="J9" i="34"/>
  <c r="I9" i="34"/>
  <c r="H9" i="34"/>
  <c r="G9" i="34"/>
  <c r="F9" i="34"/>
  <c r="E9" i="34"/>
  <c r="R8" i="34"/>
  <c r="P8" i="34"/>
  <c r="O8" i="34"/>
  <c r="N8" i="34"/>
  <c r="M8" i="34"/>
  <c r="L8" i="34"/>
  <c r="K8" i="34"/>
  <c r="J8" i="34"/>
  <c r="I8" i="34"/>
  <c r="H8" i="34"/>
  <c r="G8" i="34"/>
  <c r="F8" i="34"/>
  <c r="E8" i="34"/>
  <c r="R7" i="34"/>
  <c r="B10" i="76" s="1"/>
  <c r="P7" i="34"/>
  <c r="O7" i="34"/>
  <c r="N7" i="34"/>
  <c r="M7" i="34"/>
  <c r="C10" i="76" s="1"/>
  <c r="L7" i="34"/>
  <c r="K7" i="34"/>
  <c r="J7" i="34"/>
  <c r="I7" i="34"/>
  <c r="H7" i="34"/>
  <c r="G7" i="34"/>
  <c r="F7" i="34"/>
  <c r="E7" i="34"/>
  <c r="L10" i="76" s="1"/>
  <c r="R11" i="34"/>
  <c r="P11" i="34"/>
  <c r="O11" i="34"/>
  <c r="N11" i="34"/>
  <c r="M11" i="34"/>
  <c r="L11" i="34"/>
  <c r="K11" i="34"/>
  <c r="J11" i="34"/>
  <c r="I11" i="34"/>
  <c r="H11" i="34"/>
  <c r="G11" i="34"/>
  <c r="E11" i="34"/>
  <c r="F11" i="34"/>
  <c r="AG481" i="4" l="1"/>
  <c r="D12" i="58"/>
  <c r="P12" i="58" s="1"/>
  <c r="G23" i="59" s="1"/>
  <c r="J23" i="59" s="1"/>
  <c r="G108" i="75"/>
  <c r="N10" i="76"/>
  <c r="N11" i="76"/>
  <c r="N12" i="76"/>
  <c r="N13" i="76"/>
  <c r="N4" i="76"/>
  <c r="C17" i="76"/>
  <c r="B17" i="76"/>
  <c r="N14" i="76"/>
  <c r="N15" i="76"/>
  <c r="L17" i="76"/>
  <c r="N5" i="76"/>
  <c r="N6" i="76"/>
  <c r="N7" i="76"/>
  <c r="N8" i="76"/>
  <c r="N9" i="76"/>
  <c r="I102" i="75"/>
  <c r="F46" i="75"/>
  <c r="F48" i="75"/>
  <c r="F1408" i="34"/>
  <c r="J1408" i="34"/>
  <c r="O1408" i="34"/>
  <c r="L1408" i="34"/>
  <c r="M1408" i="34"/>
  <c r="R1408" i="34"/>
  <c r="K1408" i="34"/>
  <c r="G1408" i="34"/>
  <c r="H1408" i="34"/>
  <c r="P1408" i="34"/>
  <c r="E1408" i="34"/>
  <c r="Q1433" i="34"/>
  <c r="Q1432" i="34"/>
  <c r="Q1431" i="34"/>
  <c r="Q1430" i="34"/>
  <c r="Q1429" i="34"/>
  <c r="Q1428" i="34"/>
  <c r="Q1427" i="34"/>
  <c r="Q1426" i="34"/>
  <c r="Q1425" i="34"/>
  <c r="Q1424" i="34"/>
  <c r="Q1423" i="34"/>
  <c r="Q1422" i="34"/>
  <c r="U236" i="34" l="1"/>
  <c r="T236" i="34"/>
  <c r="S236" i="34"/>
  <c r="U235" i="34"/>
  <c r="T235" i="34"/>
  <c r="S235" i="34"/>
  <c r="U234" i="34"/>
  <c r="T234" i="34"/>
  <c r="S234" i="34"/>
  <c r="U233" i="34"/>
  <c r="T233" i="34"/>
  <c r="S233" i="34"/>
  <c r="U232" i="34"/>
  <c r="T232" i="34"/>
  <c r="S232" i="34"/>
  <c r="U231" i="34"/>
  <c r="T231" i="34"/>
  <c r="S231" i="34"/>
  <c r="U230" i="34"/>
  <c r="T230" i="34"/>
  <c r="S230" i="34"/>
  <c r="U229" i="34"/>
  <c r="T229" i="34"/>
  <c r="S229" i="34"/>
  <c r="U228" i="34"/>
  <c r="T228" i="34"/>
  <c r="S228" i="34"/>
  <c r="U227" i="34"/>
  <c r="T227" i="34"/>
  <c r="S227" i="34"/>
  <c r="U226" i="34"/>
  <c r="T226" i="34"/>
  <c r="S226" i="34"/>
  <c r="U225" i="34"/>
  <c r="T225" i="34"/>
  <c r="S225" i="34"/>
  <c r="U224" i="34"/>
  <c r="T224" i="34"/>
  <c r="S224" i="34"/>
  <c r="U223" i="34"/>
  <c r="T223" i="34"/>
  <c r="S223" i="34"/>
  <c r="U222" i="34"/>
  <c r="T222" i="34"/>
  <c r="S222" i="34"/>
  <c r="U221" i="34"/>
  <c r="T221" i="34"/>
  <c r="S221" i="34"/>
  <c r="U220" i="34"/>
  <c r="T220" i="34"/>
  <c r="S220" i="34"/>
  <c r="U219" i="34"/>
  <c r="T219" i="34"/>
  <c r="S219" i="34"/>
  <c r="U218" i="34"/>
  <c r="T218" i="34"/>
  <c r="S218" i="34"/>
  <c r="U217" i="34"/>
  <c r="T217" i="34"/>
  <c r="S217" i="34"/>
  <c r="U216" i="34"/>
  <c r="T216" i="34"/>
  <c r="S216" i="34"/>
  <c r="U215" i="34"/>
  <c r="T215" i="34"/>
  <c r="S215" i="34"/>
  <c r="U214" i="34"/>
  <c r="T214" i="34"/>
  <c r="S214" i="34"/>
  <c r="U213" i="34"/>
  <c r="T213" i="34"/>
  <c r="S213" i="34"/>
  <c r="U212" i="34"/>
  <c r="T212" i="34"/>
  <c r="S212" i="34"/>
  <c r="U211" i="34"/>
  <c r="T211" i="34"/>
  <c r="S211" i="34"/>
  <c r="U210" i="34"/>
  <c r="T210" i="34"/>
  <c r="S210" i="34"/>
  <c r="U209" i="34"/>
  <c r="T209" i="34"/>
  <c r="S209" i="34"/>
  <c r="U208" i="34"/>
  <c r="T208" i="34"/>
  <c r="S208" i="34"/>
  <c r="U207" i="34"/>
  <c r="T207" i="34"/>
  <c r="S207" i="34"/>
  <c r="U206" i="34"/>
  <c r="T206" i="34"/>
  <c r="S206" i="34"/>
  <c r="U205" i="34"/>
  <c r="T205" i="34"/>
  <c r="S205" i="34"/>
  <c r="U204" i="34"/>
  <c r="T204" i="34"/>
  <c r="S204" i="34"/>
  <c r="U203" i="34"/>
  <c r="T203" i="34"/>
  <c r="S203" i="34"/>
  <c r="U202" i="34"/>
  <c r="T202" i="34"/>
  <c r="S202" i="34"/>
  <c r="U201" i="34"/>
  <c r="T201" i="34"/>
  <c r="S201" i="34"/>
  <c r="U200" i="34"/>
  <c r="T200" i="34"/>
  <c r="S200" i="34"/>
  <c r="U199" i="34"/>
  <c r="T199" i="34"/>
  <c r="S199" i="34"/>
  <c r="U198" i="34"/>
  <c r="T198" i="34"/>
  <c r="S198" i="34"/>
  <c r="U197" i="34"/>
  <c r="T197" i="34"/>
  <c r="S197" i="34"/>
  <c r="U196" i="34"/>
  <c r="T196" i="34"/>
  <c r="S196" i="34"/>
  <c r="U195" i="34"/>
  <c r="T195" i="34"/>
  <c r="S195" i="34"/>
  <c r="U194" i="34"/>
  <c r="T194" i="34"/>
  <c r="S194" i="34"/>
  <c r="U193" i="34"/>
  <c r="T193" i="34"/>
  <c r="S193" i="34"/>
  <c r="U192" i="34"/>
  <c r="T192" i="34"/>
  <c r="S192" i="34"/>
  <c r="U191" i="34"/>
  <c r="T191" i="34"/>
  <c r="S191" i="34"/>
  <c r="U190" i="34"/>
  <c r="T190" i="34"/>
  <c r="S190" i="34"/>
  <c r="U189" i="34"/>
  <c r="T189" i="34"/>
  <c r="S189" i="34"/>
  <c r="U188" i="34"/>
  <c r="T188" i="34"/>
  <c r="S188" i="34"/>
  <c r="U187" i="34"/>
  <c r="T187" i="34"/>
  <c r="S187" i="34"/>
  <c r="U186" i="34"/>
  <c r="T186" i="34"/>
  <c r="S186" i="34"/>
  <c r="U185" i="34"/>
  <c r="T185" i="34"/>
  <c r="S185" i="34"/>
  <c r="U184" i="34"/>
  <c r="T184" i="34"/>
  <c r="S184" i="34"/>
  <c r="U183" i="34"/>
  <c r="T183" i="34"/>
  <c r="S183" i="34"/>
  <c r="U182" i="34"/>
  <c r="T182" i="34"/>
  <c r="S182" i="34"/>
  <c r="U181" i="34"/>
  <c r="T181" i="34"/>
  <c r="S181" i="34"/>
  <c r="U180" i="34"/>
  <c r="T180" i="34"/>
  <c r="S180" i="34"/>
  <c r="U179" i="34"/>
  <c r="T179" i="34"/>
  <c r="S179" i="34"/>
  <c r="U178" i="34"/>
  <c r="T178" i="34"/>
  <c r="S178" i="34"/>
  <c r="U177" i="34"/>
  <c r="T177" i="34"/>
  <c r="S177" i="34"/>
  <c r="U176" i="34"/>
  <c r="T176" i="34"/>
  <c r="S176" i="34"/>
  <c r="U175" i="34"/>
  <c r="T175" i="34"/>
  <c r="S175" i="34"/>
  <c r="U174" i="34"/>
  <c r="T174" i="34"/>
  <c r="S174" i="34"/>
  <c r="U173" i="34"/>
  <c r="T173" i="34"/>
  <c r="S173" i="34"/>
  <c r="U172" i="34"/>
  <c r="T172" i="34"/>
  <c r="S172" i="34"/>
  <c r="U171" i="34"/>
  <c r="T171" i="34"/>
  <c r="S171" i="34"/>
  <c r="U170" i="34"/>
  <c r="T170" i="34"/>
  <c r="S170" i="34"/>
  <c r="U169" i="34"/>
  <c r="T169" i="34"/>
  <c r="S169" i="34"/>
  <c r="U168" i="34"/>
  <c r="T168" i="34"/>
  <c r="S168" i="34"/>
  <c r="U167" i="34"/>
  <c r="T167" i="34"/>
  <c r="S167" i="34"/>
  <c r="U166" i="34"/>
  <c r="T166" i="34"/>
  <c r="S166" i="34"/>
  <c r="U165" i="34"/>
  <c r="T165" i="34"/>
  <c r="S165" i="34"/>
  <c r="U164" i="34"/>
  <c r="T164" i="34"/>
  <c r="S164" i="34"/>
  <c r="U163" i="34"/>
  <c r="T163" i="34"/>
  <c r="S163" i="34"/>
  <c r="U162" i="34"/>
  <c r="T162" i="34"/>
  <c r="S162" i="34"/>
  <c r="U161" i="34"/>
  <c r="T161" i="34"/>
  <c r="S161" i="34"/>
  <c r="U160" i="34"/>
  <c r="T160" i="34"/>
  <c r="S160" i="34"/>
  <c r="U159" i="34"/>
  <c r="T159" i="34"/>
  <c r="S159" i="34"/>
  <c r="U158" i="34"/>
  <c r="T158" i="34"/>
  <c r="S158" i="34"/>
  <c r="U157" i="34"/>
  <c r="T157" i="34"/>
  <c r="S157" i="34"/>
  <c r="U156" i="34"/>
  <c r="T156" i="34"/>
  <c r="S156" i="34"/>
  <c r="U155" i="34"/>
  <c r="T155" i="34"/>
  <c r="S155" i="34"/>
  <c r="U154" i="34"/>
  <c r="T154" i="34"/>
  <c r="S154" i="34"/>
  <c r="U153" i="34"/>
  <c r="T153" i="34"/>
  <c r="S153" i="34"/>
  <c r="U152" i="34"/>
  <c r="T152" i="34"/>
  <c r="S152" i="34"/>
  <c r="U151" i="34"/>
  <c r="T151" i="34"/>
  <c r="S151" i="34"/>
  <c r="U150" i="34"/>
  <c r="T150" i="34"/>
  <c r="S150" i="34"/>
  <c r="U149" i="34"/>
  <c r="T149" i="34"/>
  <c r="S149" i="34"/>
  <c r="U148" i="34"/>
  <c r="T148" i="34"/>
  <c r="S148" i="34"/>
  <c r="U147" i="34"/>
  <c r="T147" i="34"/>
  <c r="S147" i="34"/>
  <c r="U146" i="34"/>
  <c r="T146" i="34"/>
  <c r="S146" i="34"/>
  <c r="U145" i="34"/>
  <c r="T145" i="34"/>
  <c r="S145" i="34"/>
  <c r="U144" i="34"/>
  <c r="T144" i="34"/>
  <c r="S144" i="34"/>
  <c r="U143" i="34"/>
  <c r="T143" i="34"/>
  <c r="S143" i="34"/>
  <c r="U142" i="34"/>
  <c r="T142" i="34"/>
  <c r="S142" i="34"/>
  <c r="U141" i="34"/>
  <c r="T141" i="34"/>
  <c r="S141" i="34"/>
  <c r="U140" i="34"/>
  <c r="T140" i="34"/>
  <c r="S140" i="34"/>
  <c r="U139" i="34"/>
  <c r="T139" i="34"/>
  <c r="S139" i="34"/>
  <c r="U138" i="34"/>
  <c r="T138" i="34"/>
  <c r="S138" i="34"/>
  <c r="U137" i="34"/>
  <c r="T137" i="34"/>
  <c r="S137" i="34"/>
  <c r="U136" i="34"/>
  <c r="T136" i="34"/>
  <c r="S136" i="34"/>
  <c r="T135" i="34"/>
  <c r="U134" i="34"/>
  <c r="T134" i="34"/>
  <c r="S134" i="34"/>
  <c r="U133" i="34"/>
  <c r="T133" i="34"/>
  <c r="S133" i="34"/>
  <c r="U132" i="34"/>
  <c r="T132" i="34"/>
  <c r="S132" i="34"/>
  <c r="U131" i="34"/>
  <c r="T131" i="34"/>
  <c r="S131" i="34"/>
  <c r="U130" i="34"/>
  <c r="T130" i="34"/>
  <c r="S130" i="34"/>
  <c r="U129" i="34"/>
  <c r="T129" i="34"/>
  <c r="S129" i="34"/>
  <c r="U128" i="34"/>
  <c r="T128" i="34"/>
  <c r="S128" i="34"/>
  <c r="U127" i="34"/>
  <c r="T127" i="34"/>
  <c r="S127" i="34"/>
  <c r="U126" i="34"/>
  <c r="T126" i="34"/>
  <c r="S126" i="34"/>
  <c r="U125" i="34"/>
  <c r="T125" i="34"/>
  <c r="S125" i="34"/>
  <c r="U124" i="34"/>
  <c r="T124" i="34"/>
  <c r="S124" i="34"/>
  <c r="U123" i="34"/>
  <c r="D11" i="76" s="1"/>
  <c r="T123" i="34"/>
  <c r="S123" i="34"/>
  <c r="U122" i="34"/>
  <c r="T122" i="34"/>
  <c r="S122" i="34"/>
  <c r="W121" i="34"/>
  <c r="X121" i="34" s="1"/>
  <c r="U121" i="34"/>
  <c r="T121" i="34"/>
  <c r="S121" i="34"/>
  <c r="W5" i="34"/>
  <c r="X5" i="34" s="1"/>
  <c r="S823" i="34"/>
  <c r="T823" i="34"/>
  <c r="U823" i="34"/>
  <c r="S824" i="34"/>
  <c r="T824" i="34"/>
  <c r="U824" i="34"/>
  <c r="S825" i="34"/>
  <c r="T825" i="34"/>
  <c r="U825" i="34"/>
  <c r="D5" i="76" s="1"/>
  <c r="S826" i="34"/>
  <c r="T826" i="34"/>
  <c r="U826" i="34"/>
  <c r="S827" i="34"/>
  <c r="T827" i="34"/>
  <c r="U827" i="34"/>
  <c r="S828" i="34"/>
  <c r="T828" i="34"/>
  <c r="U828" i="34"/>
  <c r="S829" i="34"/>
  <c r="T829" i="34"/>
  <c r="U829" i="34"/>
  <c r="S830" i="34"/>
  <c r="T830" i="34"/>
  <c r="U830" i="34"/>
  <c r="S831" i="34"/>
  <c r="T831" i="34"/>
  <c r="U831" i="34"/>
  <c r="S832" i="34"/>
  <c r="T832" i="34"/>
  <c r="U832" i="34"/>
  <c r="S833" i="34"/>
  <c r="T833" i="34"/>
  <c r="U833" i="34"/>
  <c r="S834" i="34"/>
  <c r="T834" i="34"/>
  <c r="U834" i="34"/>
  <c r="S835" i="34"/>
  <c r="T835" i="34"/>
  <c r="U835" i="34"/>
  <c r="S836" i="34"/>
  <c r="T836" i="34"/>
  <c r="U836" i="34"/>
  <c r="T837" i="34"/>
  <c r="O5" i="76" l="1"/>
  <c r="E5" i="76"/>
  <c r="O11" i="76"/>
  <c r="E11" i="76"/>
  <c r="J77" i="59"/>
  <c r="J78" i="59"/>
  <c r="J80" i="59"/>
  <c r="J79" i="59"/>
  <c r="J87" i="59"/>
  <c r="J84" i="59"/>
  <c r="G77" i="59"/>
  <c r="G78" i="59" l="1"/>
  <c r="G80" i="59"/>
  <c r="G83" i="59" l="1"/>
  <c r="G85" i="59" s="1"/>
  <c r="G89" i="59" s="1"/>
  <c r="G96" i="59" s="1"/>
  <c r="J87" i="65" l="1"/>
  <c r="J86" i="65"/>
  <c r="J85" i="65"/>
  <c r="J84" i="65"/>
  <c r="J83" i="65"/>
  <c r="J82" i="65"/>
  <c r="C99" i="65"/>
  <c r="C40" i="65"/>
  <c r="C36" i="65"/>
  <c r="F65" i="61" l="1"/>
  <c r="F64" i="61"/>
  <c r="F62" i="61"/>
  <c r="F57" i="61"/>
  <c r="F56" i="61"/>
  <c r="F51" i="61"/>
  <c r="F50" i="61"/>
  <c r="F49" i="61"/>
  <c r="F44" i="61"/>
  <c r="F43" i="61"/>
  <c r="F37" i="61"/>
  <c r="F36" i="61"/>
  <c r="F30" i="61"/>
  <c r="F29" i="61"/>
  <c r="F23" i="61"/>
  <c r="F22" i="61"/>
  <c r="F18" i="61"/>
  <c r="F6" i="61"/>
  <c r="F11" i="61"/>
  <c r="F5" i="61"/>
  <c r="E20" i="67" l="1"/>
  <c r="E19" i="67"/>
  <c r="Y265" i="29"/>
  <c r="Y264" i="29"/>
  <c r="Y263" i="29"/>
  <c r="Y262" i="29"/>
  <c r="Y261" i="29"/>
  <c r="Y260" i="29"/>
  <c r="Y259" i="29"/>
  <c r="Y258" i="29"/>
  <c r="Y289" i="29"/>
  <c r="Y288" i="29"/>
  <c r="Y287" i="29"/>
  <c r="Y286" i="29"/>
  <c r="Y285" i="29"/>
  <c r="Y284" i="29"/>
  <c r="Y283" i="29"/>
  <c r="Y282" i="29"/>
  <c r="Y281" i="29"/>
  <c r="Y280" i="29"/>
  <c r="Y279" i="29"/>
  <c r="Y278" i="29"/>
  <c r="Y277" i="29"/>
  <c r="Y276" i="29"/>
  <c r="Y275" i="29"/>
  <c r="Y274" i="29"/>
  <c r="Y273" i="29"/>
  <c r="Y272" i="29"/>
  <c r="Y271" i="29"/>
  <c r="Y270" i="29"/>
  <c r="Y269" i="29"/>
  <c r="Y268" i="29"/>
  <c r="Y267" i="29"/>
  <c r="Y266" i="29"/>
  <c r="Y257" i="29"/>
  <c r="Y256" i="29"/>
  <c r="Y255" i="29"/>
  <c r="Y254" i="29"/>
  <c r="Y253" i="29"/>
  <c r="Y252" i="29"/>
  <c r="Y251" i="29"/>
  <c r="Y250" i="29"/>
  <c r="Y249" i="29"/>
  <c r="Y248" i="29"/>
  <c r="Y247" i="29"/>
  <c r="Y246" i="29"/>
  <c r="Y245" i="29"/>
  <c r="Y244" i="29"/>
  <c r="Y243" i="29"/>
  <c r="Y242" i="29"/>
  <c r="E18" i="67" l="1"/>
  <c r="J83" i="59"/>
  <c r="J85" i="59" s="1"/>
  <c r="J89" i="59" s="1"/>
  <c r="J96" i="59" l="1"/>
  <c r="J98" i="59" s="1"/>
  <c r="AX459" i="4"/>
  <c r="AX458" i="4"/>
  <c r="AX457" i="4"/>
  <c r="AX456" i="4"/>
  <c r="AX455" i="4"/>
  <c r="AX454" i="4"/>
  <c r="AX453" i="4"/>
  <c r="AX452" i="4"/>
  <c r="AX451" i="4"/>
  <c r="AX450" i="4"/>
  <c r="AX449" i="4"/>
  <c r="AX448" i="4"/>
  <c r="AX447" i="4"/>
  <c r="AX446" i="4"/>
  <c r="AX445" i="4"/>
  <c r="AX444" i="4"/>
  <c r="AX443" i="4"/>
  <c r="AX442" i="4"/>
  <c r="AX441" i="4"/>
  <c r="AX440" i="4"/>
  <c r="AX439" i="4"/>
  <c r="AX438" i="4"/>
  <c r="AX437" i="4"/>
  <c r="AX436" i="4"/>
  <c r="AX435" i="4"/>
  <c r="AX434" i="4"/>
  <c r="AX433" i="4"/>
  <c r="AX432" i="4"/>
  <c r="AX431" i="4"/>
  <c r="AX430" i="4"/>
  <c r="AX429" i="4"/>
  <c r="AX428" i="4"/>
  <c r="AX427" i="4"/>
  <c r="AX426" i="4"/>
  <c r="AX425" i="4"/>
  <c r="AX424" i="4"/>
  <c r="AX423" i="4"/>
  <c r="AX422" i="4"/>
  <c r="AX421" i="4"/>
  <c r="AX420" i="4"/>
  <c r="AX419" i="4"/>
  <c r="AX418" i="4"/>
  <c r="AX417" i="4"/>
  <c r="AX416" i="4"/>
  <c r="AX415" i="4"/>
  <c r="AX414" i="4"/>
  <c r="AX413" i="4"/>
  <c r="AX412" i="4"/>
  <c r="AX411" i="4"/>
  <c r="AX410" i="4"/>
  <c r="AX409" i="4"/>
  <c r="AX408" i="4"/>
  <c r="AX407" i="4"/>
  <c r="AX406" i="4"/>
  <c r="AX405" i="4"/>
  <c r="AX404" i="4"/>
  <c r="AX403" i="4"/>
  <c r="AX402" i="4"/>
  <c r="AX401" i="4"/>
  <c r="AX400" i="4"/>
  <c r="AX399" i="4"/>
  <c r="AX398" i="4"/>
  <c r="AX397" i="4"/>
  <c r="AX396" i="4"/>
  <c r="AX395" i="4"/>
  <c r="AX394" i="4"/>
  <c r="AX393" i="4"/>
  <c r="AX392" i="4"/>
  <c r="AX391" i="4"/>
  <c r="AX390" i="4"/>
  <c r="AX389" i="4"/>
  <c r="AX388" i="4"/>
  <c r="AX387" i="4"/>
  <c r="AX386" i="4"/>
  <c r="AX385" i="4"/>
  <c r="AX384" i="4"/>
  <c r="AX383" i="4"/>
  <c r="AX382" i="4"/>
  <c r="AX381" i="4"/>
  <c r="AX380" i="4"/>
  <c r="AX379" i="4"/>
  <c r="AX378" i="4"/>
  <c r="AX377" i="4"/>
  <c r="AX376" i="4"/>
  <c r="AX375" i="4"/>
  <c r="AX374" i="4"/>
  <c r="AX373" i="4"/>
  <c r="AX372" i="4"/>
  <c r="AX371" i="4"/>
  <c r="AX370" i="4"/>
  <c r="AX369" i="4"/>
  <c r="AX368" i="4"/>
  <c r="AX367" i="4"/>
  <c r="AX366" i="4"/>
  <c r="AX365" i="4"/>
  <c r="AX364" i="4"/>
  <c r="AX363" i="4"/>
  <c r="AX362" i="4"/>
  <c r="AX361" i="4"/>
  <c r="AX360" i="4"/>
  <c r="AX359" i="4"/>
  <c r="AX358" i="4"/>
  <c r="AX357" i="4"/>
  <c r="AX356" i="4"/>
  <c r="AX355" i="4"/>
  <c r="AX354" i="4"/>
  <c r="AX353" i="4"/>
  <c r="AX352" i="4"/>
  <c r="AX351" i="4"/>
  <c r="AX350" i="4"/>
  <c r="AX349" i="4"/>
  <c r="AX348" i="4"/>
  <c r="AX347" i="4"/>
  <c r="AX346" i="4"/>
  <c r="AX345" i="4"/>
  <c r="AX344" i="4"/>
  <c r="AX343" i="4"/>
  <c r="AX342" i="4"/>
  <c r="AX341" i="4"/>
  <c r="AX340" i="4"/>
  <c r="AX339" i="4"/>
  <c r="AX338" i="4"/>
  <c r="AX337" i="4"/>
  <c r="AX336" i="4"/>
  <c r="AX335" i="4"/>
  <c r="AX334" i="4"/>
  <c r="AX333" i="4"/>
  <c r="AX332" i="4"/>
  <c r="AX331" i="4"/>
  <c r="AX330" i="4"/>
  <c r="AX329" i="4"/>
  <c r="AX328" i="4"/>
  <c r="AX327" i="4"/>
  <c r="AX326" i="4"/>
  <c r="AX325" i="4"/>
  <c r="AX324" i="4"/>
  <c r="AX323" i="4"/>
  <c r="AX322" i="4"/>
  <c r="AX321" i="4"/>
  <c r="AX320" i="4"/>
  <c r="AX319" i="4"/>
  <c r="AX318" i="4"/>
  <c r="AX317" i="4"/>
  <c r="AX316" i="4"/>
  <c r="AX315" i="4"/>
  <c r="AX314" i="4"/>
  <c r="AX313" i="4"/>
  <c r="AX312" i="4"/>
  <c r="AX311" i="4"/>
  <c r="AX310" i="4"/>
  <c r="AX309" i="4"/>
  <c r="AX308" i="4"/>
  <c r="AX307" i="4"/>
  <c r="AX306" i="4"/>
  <c r="AX305" i="4"/>
  <c r="AX304" i="4"/>
  <c r="AX303" i="4"/>
  <c r="AX302" i="4"/>
  <c r="AX301" i="4"/>
  <c r="AX300" i="4"/>
  <c r="AX299" i="4"/>
  <c r="AX298" i="4"/>
  <c r="AX297" i="4"/>
  <c r="AX296" i="4"/>
  <c r="AX295" i="4"/>
  <c r="AX294" i="4"/>
  <c r="AX293" i="4"/>
  <c r="AX292" i="4"/>
  <c r="AX291" i="4"/>
  <c r="AX290" i="4"/>
  <c r="AX289" i="4"/>
  <c r="AX288" i="4"/>
  <c r="AX287" i="4"/>
  <c r="AX286" i="4"/>
  <c r="AX285" i="4"/>
  <c r="AX284" i="4"/>
  <c r="AX283" i="4"/>
  <c r="AX282" i="4"/>
  <c r="AX281" i="4"/>
  <c r="AX280" i="4"/>
  <c r="AX279" i="4"/>
  <c r="AX278" i="4"/>
  <c r="AX277" i="4"/>
  <c r="AX276" i="4"/>
  <c r="AX275" i="4"/>
  <c r="AX274" i="4"/>
  <c r="AX273" i="4"/>
  <c r="AX272" i="4"/>
  <c r="AX271" i="4"/>
  <c r="AX270" i="4"/>
  <c r="AX269" i="4"/>
  <c r="AX268" i="4"/>
  <c r="AX267" i="4"/>
  <c r="AX266" i="4"/>
  <c r="AX265" i="4"/>
  <c r="AX264" i="4"/>
  <c r="AX263" i="4"/>
  <c r="AX262" i="4"/>
  <c r="AX261" i="4"/>
  <c r="AX260" i="4"/>
  <c r="AX259" i="4"/>
  <c r="AX258" i="4"/>
  <c r="AX257" i="4"/>
  <c r="AX256" i="4"/>
  <c r="AX255" i="4"/>
  <c r="AX254" i="4"/>
  <c r="AX253" i="4"/>
  <c r="AX252" i="4"/>
  <c r="AX251" i="4"/>
  <c r="AX250" i="4"/>
  <c r="AX249" i="4"/>
  <c r="AX248" i="4"/>
  <c r="AX247" i="4"/>
  <c r="AX246" i="4"/>
  <c r="AX245" i="4"/>
  <c r="AX244" i="4"/>
  <c r="AX243" i="4"/>
  <c r="AX242" i="4"/>
  <c r="AX241" i="4"/>
  <c r="AX240" i="4"/>
  <c r="AX239" i="4"/>
  <c r="AX238" i="4"/>
  <c r="AX237" i="4"/>
  <c r="AX236" i="4"/>
  <c r="AX235" i="4"/>
  <c r="AX234" i="4"/>
  <c r="AX233" i="4"/>
  <c r="AX232" i="4"/>
  <c r="AX231" i="4"/>
  <c r="AX230" i="4"/>
  <c r="AX229" i="4"/>
  <c r="AX228" i="4"/>
  <c r="AX227" i="4"/>
  <c r="AX226" i="4"/>
  <c r="AX225" i="4"/>
  <c r="AX224" i="4"/>
  <c r="AX223" i="4"/>
  <c r="AX222" i="4"/>
  <c r="AX221" i="4"/>
  <c r="AX220" i="4"/>
  <c r="AX219" i="4"/>
  <c r="AX218" i="4"/>
  <c r="AX217" i="4"/>
  <c r="AX216" i="4"/>
  <c r="AX215" i="4"/>
  <c r="AX214" i="4"/>
  <c r="AX213" i="4"/>
  <c r="AX212" i="4"/>
  <c r="AX211" i="4"/>
  <c r="AX210" i="4"/>
  <c r="AX209" i="4"/>
  <c r="AX208" i="4"/>
  <c r="AX207" i="4"/>
  <c r="AX206" i="4"/>
  <c r="AX205" i="4"/>
  <c r="AX204" i="4"/>
  <c r="AX203" i="4"/>
  <c r="AX202" i="4"/>
  <c r="AX201" i="4"/>
  <c r="AX200" i="4"/>
  <c r="AX199" i="4"/>
  <c r="AX198" i="4"/>
  <c r="AX197" i="4"/>
  <c r="AX196" i="4"/>
  <c r="AX195" i="4"/>
  <c r="AX194" i="4"/>
  <c r="AX193" i="4"/>
  <c r="AX192" i="4"/>
  <c r="AX191" i="4"/>
  <c r="AX190" i="4"/>
  <c r="AX189" i="4"/>
  <c r="AX188" i="4"/>
  <c r="AX187" i="4"/>
  <c r="AX186" i="4"/>
  <c r="AX185" i="4"/>
  <c r="AX184" i="4"/>
  <c r="AX183" i="4"/>
  <c r="AX182" i="4"/>
  <c r="AX181" i="4"/>
  <c r="AX180" i="4"/>
  <c r="AX179" i="4"/>
  <c r="AX178" i="4"/>
  <c r="AX177" i="4"/>
  <c r="AX176" i="4"/>
  <c r="AX175" i="4"/>
  <c r="AX174" i="4"/>
  <c r="AX173" i="4"/>
  <c r="AX172" i="4"/>
  <c r="AX171" i="4"/>
  <c r="AX170" i="4"/>
  <c r="AX169" i="4"/>
  <c r="AX168" i="4"/>
  <c r="AX167" i="4"/>
  <c r="AX166" i="4"/>
  <c r="AX165" i="4"/>
  <c r="AX164" i="4"/>
  <c r="AX163" i="4"/>
  <c r="AX162" i="4"/>
  <c r="AX161" i="4"/>
  <c r="AX160" i="4"/>
  <c r="AX159" i="4"/>
  <c r="AX158" i="4"/>
  <c r="AX157" i="4"/>
  <c r="AX156" i="4"/>
  <c r="AX155" i="4"/>
  <c r="AX154" i="4"/>
  <c r="AX153" i="4"/>
  <c r="AX152" i="4"/>
  <c r="AX151" i="4"/>
  <c r="AX150" i="4"/>
  <c r="AX149" i="4"/>
  <c r="AX148" i="4"/>
  <c r="AX147" i="4"/>
  <c r="AX146" i="4"/>
  <c r="AX145" i="4"/>
  <c r="AX144" i="4"/>
  <c r="AX143" i="4"/>
  <c r="AX142" i="4"/>
  <c r="AX141" i="4"/>
  <c r="AX140" i="4"/>
  <c r="AX139" i="4"/>
  <c r="AX138" i="4"/>
  <c r="AX137" i="4"/>
  <c r="AX136" i="4"/>
  <c r="AX135" i="4"/>
  <c r="AX134" i="4"/>
  <c r="AX133" i="4"/>
  <c r="AX132" i="4"/>
  <c r="AX131" i="4"/>
  <c r="AX130" i="4"/>
  <c r="AX129" i="4"/>
  <c r="AX128" i="4"/>
  <c r="AX127" i="4"/>
  <c r="AX126" i="4"/>
  <c r="AX125" i="4"/>
  <c r="AX124" i="4"/>
  <c r="AX123" i="4"/>
  <c r="AX122" i="4"/>
  <c r="AX121" i="4"/>
  <c r="AX120" i="4"/>
  <c r="AX119" i="4"/>
  <c r="AX118" i="4"/>
  <c r="AX117" i="4"/>
  <c r="AX116" i="4"/>
  <c r="AX115" i="4"/>
  <c r="AX114" i="4"/>
  <c r="AX113" i="4"/>
  <c r="AX112" i="4"/>
  <c r="AX111" i="4"/>
  <c r="AX110" i="4"/>
  <c r="AX109" i="4"/>
  <c r="AX108" i="4"/>
  <c r="AX107" i="4"/>
  <c r="AX106" i="4"/>
  <c r="AX105" i="4"/>
  <c r="AX104" i="4"/>
  <c r="AX103" i="4"/>
  <c r="AX102" i="4"/>
  <c r="AX101" i="4"/>
  <c r="AX100" i="4"/>
  <c r="AX99" i="4"/>
  <c r="AX98" i="4"/>
  <c r="AX97" i="4"/>
  <c r="AX96" i="4"/>
  <c r="AX95" i="4"/>
  <c r="AX94" i="4"/>
  <c r="AX93" i="4"/>
  <c r="AX92" i="4"/>
  <c r="AX91" i="4"/>
  <c r="AX90" i="4"/>
  <c r="AX89" i="4"/>
  <c r="AX88" i="4"/>
  <c r="AX87" i="4"/>
  <c r="AX86" i="4"/>
  <c r="AX85" i="4"/>
  <c r="AX84" i="4"/>
  <c r="AX83" i="4"/>
  <c r="AX82" i="4"/>
  <c r="AX81" i="4"/>
  <c r="AX80" i="4"/>
  <c r="AX79" i="4"/>
  <c r="AX78" i="4"/>
  <c r="AX77" i="4"/>
  <c r="AX76" i="4"/>
  <c r="AX75" i="4"/>
  <c r="AX74" i="4"/>
  <c r="AX73" i="4"/>
  <c r="AX72" i="4"/>
  <c r="AX71" i="4"/>
  <c r="AX70" i="4"/>
  <c r="AX69" i="4"/>
  <c r="AX68" i="4"/>
  <c r="AX67" i="4"/>
  <c r="AX66" i="4"/>
  <c r="AX65" i="4"/>
  <c r="AX64" i="4"/>
  <c r="AX63" i="4"/>
  <c r="AX62" i="4"/>
  <c r="AX61" i="4"/>
  <c r="AX60" i="4"/>
  <c r="AX59" i="4"/>
  <c r="AX58" i="4"/>
  <c r="AX57" i="4"/>
  <c r="AX56" i="4"/>
  <c r="AX55" i="4"/>
  <c r="AX54" i="4"/>
  <c r="AX53" i="4"/>
  <c r="AX52" i="4"/>
  <c r="AX51" i="4"/>
  <c r="AX50" i="4"/>
  <c r="AX49" i="4"/>
  <c r="AX48" i="4"/>
  <c r="AX47" i="4"/>
  <c r="AX46" i="4"/>
  <c r="AX45" i="4"/>
  <c r="AX44" i="4"/>
  <c r="AX43" i="4"/>
  <c r="AX42" i="4"/>
  <c r="AX41" i="4"/>
  <c r="AX40" i="4"/>
  <c r="AX39" i="4"/>
  <c r="AX38" i="4"/>
  <c r="AX37" i="4"/>
  <c r="AX36" i="4"/>
  <c r="AX35" i="4"/>
  <c r="AX34" i="4"/>
  <c r="AX33" i="4"/>
  <c r="AX32" i="4"/>
  <c r="AX31" i="4"/>
  <c r="AX30" i="4"/>
  <c r="AX29" i="4"/>
  <c r="AX28" i="4"/>
  <c r="AX27" i="4"/>
  <c r="AX26" i="4"/>
  <c r="AX25" i="4"/>
  <c r="AX24" i="4"/>
  <c r="AX23" i="4"/>
  <c r="AX22" i="4"/>
  <c r="AX21" i="4"/>
  <c r="AX20" i="4"/>
  <c r="AX19" i="4"/>
  <c r="AX18" i="4"/>
  <c r="AX17" i="4"/>
  <c r="AX16" i="4"/>
  <c r="AX15" i="4"/>
  <c r="AX14" i="4"/>
  <c r="AX13" i="4"/>
  <c r="AX12" i="4"/>
  <c r="AX11" i="4"/>
  <c r="AX10" i="4"/>
  <c r="AX9" i="4"/>
  <c r="AX7" i="4"/>
  <c r="AX6" i="4"/>
  <c r="AX5" i="4"/>
  <c r="AX4" i="4"/>
  <c r="AD879" i="28"/>
  <c r="AD878" i="28"/>
  <c r="AD877" i="28"/>
  <c r="AD876" i="28"/>
  <c r="AD875" i="28"/>
  <c r="AD874" i="28"/>
  <c r="AD873" i="28"/>
  <c r="AD872" i="28"/>
  <c r="AD871" i="28"/>
  <c r="AD870" i="28"/>
  <c r="AD869" i="28"/>
  <c r="AD868" i="28"/>
  <c r="AD855" i="28"/>
  <c r="AD854" i="28"/>
  <c r="AD853" i="28"/>
  <c r="AD852" i="28"/>
  <c r="AD851" i="28"/>
  <c r="AD850" i="28"/>
  <c r="AD849" i="28"/>
  <c r="AD848" i="28"/>
  <c r="AD847" i="28"/>
  <c r="AD846" i="28"/>
  <c r="AD845" i="28"/>
  <c r="AD844" i="28"/>
  <c r="AD843" i="28"/>
  <c r="AD842" i="28"/>
  <c r="AD841" i="28"/>
  <c r="AD840" i="28"/>
  <c r="AD839" i="28"/>
  <c r="AD838" i="28"/>
  <c r="AD837" i="28"/>
  <c r="AD836" i="28"/>
  <c r="AD835" i="28"/>
  <c r="AD834" i="28"/>
  <c r="AD833" i="28"/>
  <c r="AD832" i="28"/>
  <c r="AD831" i="28"/>
  <c r="AD830" i="28"/>
  <c r="AD829" i="28"/>
  <c r="AD828" i="28"/>
  <c r="AD827" i="28"/>
  <c r="AD826" i="28"/>
  <c r="AD825" i="28"/>
  <c r="AD824" i="28"/>
  <c r="AD823" i="28"/>
  <c r="AD822" i="28"/>
  <c r="AD821" i="28"/>
  <c r="AD820" i="28"/>
  <c r="AD819" i="28"/>
  <c r="AD818" i="28"/>
  <c r="AD817" i="28"/>
  <c r="AD816" i="28"/>
  <c r="AD815" i="28"/>
  <c r="AD814" i="28"/>
  <c r="AD813" i="28"/>
  <c r="AD812" i="28"/>
  <c r="AD811" i="28"/>
  <c r="AD810" i="28"/>
  <c r="AD809" i="28"/>
  <c r="AD808" i="28"/>
  <c r="AD807" i="28"/>
  <c r="AD806" i="28"/>
  <c r="AD805" i="28"/>
  <c r="AD804" i="28"/>
  <c r="AD803" i="28"/>
  <c r="AD802" i="28"/>
  <c r="AD801" i="28"/>
  <c r="AD800" i="28"/>
  <c r="AD799" i="28"/>
  <c r="AD798" i="28"/>
  <c r="AD797" i="28"/>
  <c r="AD796" i="28"/>
  <c r="AD795" i="28"/>
  <c r="AD794" i="28"/>
  <c r="AD793" i="28"/>
  <c r="AD792" i="28"/>
  <c r="AD791" i="28"/>
  <c r="AD790" i="28"/>
  <c r="AD789" i="28"/>
  <c r="AD788" i="28"/>
  <c r="AD787" i="28"/>
  <c r="AD786" i="28"/>
  <c r="AD785" i="28"/>
  <c r="AD784" i="28"/>
  <c r="AD783" i="28"/>
  <c r="AD782" i="28"/>
  <c r="AD781" i="28"/>
  <c r="AD780" i="28"/>
  <c r="AD779" i="28"/>
  <c r="AD778" i="28"/>
  <c r="AD777" i="28"/>
  <c r="AD776" i="28"/>
  <c r="AD775" i="28"/>
  <c r="AD774" i="28"/>
  <c r="AD773" i="28"/>
  <c r="AD772" i="28"/>
  <c r="AD771" i="28"/>
  <c r="AD770" i="28"/>
  <c r="AD769" i="28"/>
  <c r="AD768" i="28"/>
  <c r="AD767" i="28"/>
  <c r="AD766" i="28"/>
  <c r="AD765" i="28"/>
  <c r="AD764" i="28"/>
  <c r="AD763" i="28"/>
  <c r="AD762" i="28"/>
  <c r="AD761" i="28"/>
  <c r="AD760" i="28"/>
  <c r="AD759" i="28"/>
  <c r="AD758" i="28"/>
  <c r="AD757" i="28"/>
  <c r="AD756" i="28"/>
  <c r="AD755" i="28"/>
  <c r="AD754" i="28"/>
  <c r="AD753" i="28"/>
  <c r="AD752" i="28"/>
  <c r="AD751" i="28"/>
  <c r="AD750" i="28"/>
  <c r="AD749" i="28"/>
  <c r="AD748" i="28"/>
  <c r="AD747" i="28"/>
  <c r="AD746" i="28"/>
  <c r="AD745" i="28"/>
  <c r="AD744" i="28"/>
  <c r="AD743" i="28"/>
  <c r="AD742" i="28"/>
  <c r="AD741" i="28"/>
  <c r="AD740" i="28"/>
  <c r="AD739" i="28"/>
  <c r="AD738" i="28"/>
  <c r="AD737" i="28"/>
  <c r="AD736" i="28"/>
  <c r="AD735" i="28"/>
  <c r="AD734" i="28"/>
  <c r="AD733" i="28"/>
  <c r="AD732" i="28"/>
  <c r="AD731" i="28"/>
  <c r="AD730" i="28"/>
  <c r="AD729" i="28"/>
  <c r="AD728" i="28"/>
  <c r="AD727" i="28"/>
  <c r="AD726" i="28"/>
  <c r="AD725" i="28"/>
  <c r="AD724" i="28"/>
  <c r="AD723" i="28"/>
  <c r="AD722" i="28"/>
  <c r="AD721" i="28"/>
  <c r="AD720" i="28"/>
  <c r="AD719" i="28"/>
  <c r="AD718" i="28"/>
  <c r="AD717" i="28"/>
  <c r="AD716" i="28"/>
  <c r="AD715" i="28"/>
  <c r="AD714" i="28"/>
  <c r="AD713" i="28"/>
  <c r="AD712" i="28"/>
  <c r="AD711" i="28"/>
  <c r="AD710" i="28"/>
  <c r="AD709" i="28"/>
  <c r="AD708" i="28"/>
  <c r="AD707" i="28"/>
  <c r="AD706" i="28"/>
  <c r="AD705" i="28"/>
  <c r="AD704" i="28"/>
  <c r="AD703" i="28"/>
  <c r="AD702" i="28"/>
  <c r="AD701" i="28"/>
  <c r="AD700" i="28"/>
  <c r="AD699" i="28"/>
  <c r="AD698" i="28"/>
  <c r="AD697" i="28"/>
  <c r="AD696" i="28"/>
  <c r="AD695" i="28"/>
  <c r="AD694" i="28"/>
  <c r="AD693" i="28"/>
  <c r="AD692" i="28"/>
  <c r="AD691" i="28"/>
  <c r="AD690" i="28"/>
  <c r="AD689" i="28"/>
  <c r="AD688" i="28"/>
  <c r="AD687" i="28"/>
  <c r="AD686" i="28"/>
  <c r="AD685" i="28"/>
  <c r="AD684" i="28"/>
  <c r="AD683" i="28"/>
  <c r="AD682" i="28"/>
  <c r="AD681" i="28"/>
  <c r="AD680" i="28"/>
  <c r="AD679" i="28"/>
  <c r="AD678" i="28"/>
  <c r="AD677" i="28"/>
  <c r="AD676" i="28"/>
  <c r="AD675" i="28"/>
  <c r="AD674" i="28"/>
  <c r="AD673" i="28"/>
  <c r="AD672" i="28"/>
  <c r="AD671" i="28"/>
  <c r="AD670" i="28"/>
  <c r="AD669" i="28"/>
  <c r="AD668" i="28"/>
  <c r="AD667" i="28"/>
  <c r="AD666" i="28"/>
  <c r="AD665" i="28"/>
  <c r="AD664" i="28"/>
  <c r="AD663" i="28"/>
  <c r="AD662" i="28"/>
  <c r="AD661" i="28"/>
  <c r="AD660" i="28"/>
  <c r="AD659" i="28"/>
  <c r="AD658" i="28"/>
  <c r="AD657" i="28"/>
  <c r="AD656" i="28"/>
  <c r="AD655" i="28"/>
  <c r="AD654" i="28"/>
  <c r="AD653" i="28"/>
  <c r="AD652" i="28"/>
  <c r="AD651" i="28"/>
  <c r="AD650" i="28"/>
  <c r="AD649" i="28"/>
  <c r="AD648" i="28"/>
  <c r="AD647" i="28"/>
  <c r="AD646" i="28"/>
  <c r="AD645" i="28"/>
  <c r="AD644" i="28"/>
  <c r="AD643" i="28"/>
  <c r="AD642" i="28"/>
  <c r="AD641" i="28"/>
  <c r="AD640" i="28"/>
  <c r="AD639" i="28"/>
  <c r="AD638" i="28"/>
  <c r="AD637" i="28"/>
  <c r="AD636" i="28"/>
  <c r="AD635" i="28"/>
  <c r="AD634" i="28"/>
  <c r="AD633" i="28"/>
  <c r="AD632" i="28"/>
  <c r="AD631" i="28"/>
  <c r="AD630" i="28"/>
  <c r="AD629" i="28"/>
  <c r="AD628" i="28"/>
  <c r="AD627" i="28"/>
  <c r="AD626" i="28"/>
  <c r="AD625" i="28"/>
  <c r="AD624" i="28"/>
  <c r="AD623" i="28"/>
  <c r="AD622" i="28"/>
  <c r="AD621" i="28"/>
  <c r="AD620" i="28"/>
  <c r="AD619" i="28"/>
  <c r="AD618" i="28"/>
  <c r="AD617" i="28"/>
  <c r="AD616" i="28"/>
  <c r="AD615" i="28"/>
  <c r="AD614" i="28"/>
  <c r="AD613" i="28"/>
  <c r="AD612" i="28"/>
  <c r="AD611" i="28"/>
  <c r="AD610" i="28"/>
  <c r="AD609" i="28"/>
  <c r="AD608" i="28"/>
  <c r="AD607" i="28"/>
  <c r="AD606" i="28"/>
  <c r="AD605" i="28"/>
  <c r="AD604" i="28"/>
  <c r="AD603" i="28"/>
  <c r="AD602" i="28"/>
  <c r="AD601" i="28"/>
  <c r="AD600" i="28"/>
  <c r="AD599" i="28"/>
  <c r="AD598" i="28"/>
  <c r="AD597" i="28"/>
  <c r="AD596" i="28"/>
  <c r="AD595" i="28"/>
  <c r="AD594" i="28"/>
  <c r="AD593" i="28"/>
  <c r="AD592" i="28"/>
  <c r="AD591" i="28"/>
  <c r="AD590" i="28"/>
  <c r="AD589" i="28"/>
  <c r="AD588" i="28"/>
  <c r="AD587" i="28"/>
  <c r="AD586" i="28"/>
  <c r="AD585" i="28"/>
  <c r="AD584" i="28"/>
  <c r="AD583" i="28"/>
  <c r="AD582" i="28"/>
  <c r="AD581" i="28"/>
  <c r="AD580" i="28"/>
  <c r="AD579" i="28"/>
  <c r="AD578" i="28"/>
  <c r="AD577" i="28"/>
  <c r="AD576" i="28"/>
  <c r="AD575" i="28"/>
  <c r="AD574" i="28"/>
  <c r="AD573" i="28"/>
  <c r="AD572" i="28"/>
  <c r="AD571" i="28"/>
  <c r="AD570" i="28"/>
  <c r="AD569" i="28"/>
  <c r="AD568" i="28"/>
  <c r="AD567" i="28"/>
  <c r="AD566" i="28"/>
  <c r="AD565" i="28"/>
  <c r="AD564" i="28"/>
  <c r="AD563" i="28"/>
  <c r="AD562" i="28"/>
  <c r="AD561" i="28"/>
  <c r="AD560" i="28"/>
  <c r="AD559" i="28"/>
  <c r="AD558" i="28"/>
  <c r="AD557" i="28"/>
  <c r="AD556" i="28"/>
  <c r="AD555" i="28"/>
  <c r="AD554" i="28"/>
  <c r="AD553" i="28"/>
  <c r="AD552" i="28"/>
  <c r="AD551" i="28"/>
  <c r="AD550" i="28"/>
  <c r="AD549" i="28"/>
  <c r="AD548" i="28"/>
  <c r="AD547" i="28"/>
  <c r="AD546" i="28"/>
  <c r="AD545" i="28"/>
  <c r="AD544" i="28"/>
  <c r="AD543" i="28"/>
  <c r="AD542" i="28"/>
  <c r="AD541" i="28"/>
  <c r="AD540" i="28"/>
  <c r="AD539" i="28"/>
  <c r="AD538" i="28"/>
  <c r="AD537" i="28"/>
  <c r="AD536" i="28"/>
  <c r="AD535" i="28"/>
  <c r="AD534" i="28"/>
  <c r="AD533" i="28"/>
  <c r="AD532" i="28"/>
  <c r="AD531" i="28"/>
  <c r="AD530" i="28"/>
  <c r="AD529" i="28"/>
  <c r="AD528" i="28"/>
  <c r="AD527" i="28"/>
  <c r="AD526" i="28"/>
  <c r="AD525" i="28"/>
  <c r="AD524" i="28"/>
  <c r="AD523" i="28"/>
  <c r="AD522" i="28"/>
  <c r="AD521" i="28"/>
  <c r="AD520" i="28"/>
  <c r="AD519" i="28"/>
  <c r="AD518" i="28"/>
  <c r="AD517" i="28"/>
  <c r="AD516" i="28"/>
  <c r="AD515" i="28"/>
  <c r="AD514" i="28"/>
  <c r="AD513" i="28"/>
  <c r="AD512" i="28"/>
  <c r="AD511" i="28"/>
  <c r="AD510" i="28"/>
  <c r="AD509" i="28"/>
  <c r="AD508" i="28"/>
  <c r="AD507" i="28"/>
  <c r="AD506" i="28"/>
  <c r="AD505" i="28"/>
  <c r="AD504" i="28"/>
  <c r="AD503" i="28"/>
  <c r="AD502" i="28"/>
  <c r="AD501" i="28"/>
  <c r="AD500" i="28"/>
  <c r="AD499" i="28"/>
  <c r="AD498" i="28"/>
  <c r="AD497" i="28"/>
  <c r="AD496" i="28"/>
  <c r="AD495" i="28"/>
  <c r="AD494" i="28"/>
  <c r="AD493" i="28"/>
  <c r="AD492" i="28"/>
  <c r="AD491" i="28"/>
  <c r="AD490" i="28"/>
  <c r="AD489" i="28"/>
  <c r="AD488" i="28"/>
  <c r="AD487" i="28"/>
  <c r="AD486" i="28"/>
  <c r="AD485" i="28"/>
  <c r="AD484" i="28"/>
  <c r="AD483" i="28"/>
  <c r="AD482" i="28"/>
  <c r="AD481" i="28"/>
  <c r="AD480" i="28"/>
  <c r="AD479" i="28"/>
  <c r="AD478" i="28"/>
  <c r="AD477" i="28"/>
  <c r="AD476" i="28"/>
  <c r="AD475" i="28"/>
  <c r="AD474" i="28"/>
  <c r="AD473" i="28"/>
  <c r="AD472" i="28"/>
  <c r="AD471" i="28"/>
  <c r="AD470" i="28"/>
  <c r="AD469" i="28"/>
  <c r="AD468" i="28"/>
  <c r="AD467" i="28"/>
  <c r="AD466" i="28"/>
  <c r="AD465" i="28"/>
  <c r="AD464" i="28"/>
  <c r="AD463" i="28"/>
  <c r="AD462" i="28"/>
  <c r="AD461" i="28"/>
  <c r="AD460" i="28"/>
  <c r="AD459" i="28"/>
  <c r="AD458" i="28"/>
  <c r="AD457" i="28"/>
  <c r="AD456" i="28"/>
  <c r="AD455" i="28"/>
  <c r="AD454" i="28"/>
  <c r="AD453" i="28"/>
  <c r="AD452" i="28"/>
  <c r="AD451" i="28"/>
  <c r="AD450" i="28"/>
  <c r="AD449" i="28"/>
  <c r="AD448" i="28"/>
  <c r="AD447" i="28"/>
  <c r="AD446" i="28"/>
  <c r="AD445" i="28"/>
  <c r="AD444" i="28"/>
  <c r="AD443" i="28"/>
  <c r="AD442" i="28"/>
  <c r="AD441" i="28"/>
  <c r="AD440" i="28"/>
  <c r="AD439" i="28"/>
  <c r="AD438" i="28"/>
  <c r="AD437" i="28"/>
  <c r="AD436" i="28"/>
  <c r="AD435" i="28"/>
  <c r="AD434" i="28"/>
  <c r="AD433" i="28"/>
  <c r="AD432" i="28"/>
  <c r="AD431" i="28"/>
  <c r="AD430" i="28"/>
  <c r="AD429" i="28"/>
  <c r="AD428" i="28"/>
  <c r="AD427" i="28"/>
  <c r="AD426" i="28"/>
  <c r="AD425" i="28"/>
  <c r="AD424" i="28"/>
  <c r="AD423" i="28"/>
  <c r="AD422" i="28"/>
  <c r="AD421" i="28"/>
  <c r="AD420" i="28"/>
  <c r="AD419" i="28"/>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AD96"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AD60" i="28"/>
  <c r="AD59" i="28"/>
  <c r="AD58" i="28"/>
  <c r="AD57" i="28"/>
  <c r="AD56" i="28"/>
  <c r="AD55" i="28"/>
  <c r="AD54" i="28"/>
  <c r="AD53" i="28"/>
  <c r="AD52" i="28"/>
  <c r="AD51" i="28"/>
  <c r="AD50" i="28"/>
  <c r="AD49" i="28"/>
  <c r="AD48" i="28"/>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Y190" i="29"/>
  <c r="Y189" i="29"/>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Y153" i="29"/>
  <c r="Y152" i="29"/>
  <c r="Y151" i="29"/>
  <c r="Y150" i="29"/>
  <c r="Y149" i="29"/>
  <c r="Y148" i="29"/>
  <c r="Y147" i="29"/>
  <c r="Y146" i="29"/>
  <c r="Y145" i="29"/>
  <c r="Y144" i="29"/>
  <c r="Y143" i="29"/>
  <c r="Y142" i="29"/>
  <c r="Y141" i="29"/>
  <c r="Y140" i="29"/>
  <c r="Y139" i="29"/>
  <c r="Y138" i="29"/>
  <c r="Y137" i="29"/>
  <c r="Y136" i="29"/>
  <c r="Y135" i="29"/>
  <c r="Y134" i="29"/>
  <c r="Y133" i="29"/>
  <c r="Y132" i="29"/>
  <c r="Y131" i="29"/>
  <c r="Y130" i="29"/>
  <c r="Y129" i="29"/>
  <c r="Y128" i="29"/>
  <c r="Y127" i="29"/>
  <c r="Y126" i="29"/>
  <c r="Y125" i="29"/>
  <c r="Y124" i="29"/>
  <c r="Y123" i="29"/>
  <c r="Y122" i="29"/>
  <c r="Y121" i="29"/>
  <c r="Y120" i="29"/>
  <c r="Y119" i="29"/>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38" i="29"/>
  <c r="Y37" i="29"/>
  <c r="Y36" i="29"/>
  <c r="Y35" i="29"/>
  <c r="Y34" i="29"/>
  <c r="Y33" i="29"/>
  <c r="Y32" i="29"/>
  <c r="Y31" i="29"/>
  <c r="Y30" i="29"/>
  <c r="Y29" i="29"/>
  <c r="Y28" i="29"/>
  <c r="Y27" i="29"/>
  <c r="Y26" i="29"/>
  <c r="Y25" i="29"/>
  <c r="Y24" i="29"/>
  <c r="Y23" i="29"/>
  <c r="Y22" i="29"/>
  <c r="Y21" i="29"/>
  <c r="Y20" i="29"/>
  <c r="Y19" i="29"/>
  <c r="Y18" i="29"/>
  <c r="Y17" i="29"/>
  <c r="Y16" i="29"/>
  <c r="Y15" i="29"/>
  <c r="Y14" i="29"/>
  <c r="Y13" i="29"/>
  <c r="Y12" i="29"/>
  <c r="Y11" i="29"/>
  <c r="Y10" i="29"/>
  <c r="Y9" i="29"/>
  <c r="Y8" i="29"/>
  <c r="Y7" i="29"/>
  <c r="Y6" i="29"/>
  <c r="Y5" i="29"/>
  <c r="Y4" i="29"/>
  <c r="Y3" i="29"/>
  <c r="Y2" i="29"/>
  <c r="S277" i="2" l="1"/>
  <c r="R277" i="2"/>
  <c r="Q277" i="2"/>
  <c r="L277" i="2"/>
  <c r="I277" i="2" s="1"/>
  <c r="D105" i="75" s="1"/>
  <c r="E105" i="75" s="1"/>
  <c r="E277" i="2"/>
  <c r="C277" i="2"/>
  <c r="G277" i="2" l="1"/>
  <c r="D103" i="75" s="1"/>
  <c r="E103" i="75" s="1"/>
  <c r="H277" i="2"/>
  <c r="D104" i="75" s="1"/>
  <c r="E104" i="75" s="1"/>
  <c r="E111" i="75" l="1"/>
  <c r="D1" i="3"/>
  <c r="C13" i="58" l="1"/>
  <c r="I9" i="60" s="1"/>
  <c r="AL482" i="4"/>
  <c r="AE482" i="4" s="1"/>
  <c r="AF482" i="4" s="1"/>
  <c r="G50" i="59" s="1"/>
  <c r="U596" i="34"/>
  <c r="T596" i="34"/>
  <c r="S596" i="34"/>
  <c r="U595" i="34"/>
  <c r="T595" i="34"/>
  <c r="S595" i="34"/>
  <c r="U594" i="34"/>
  <c r="T594" i="34"/>
  <c r="S594" i="34"/>
  <c r="U593" i="34"/>
  <c r="T593" i="34"/>
  <c r="S593" i="34"/>
  <c r="U592" i="34"/>
  <c r="T592" i="34"/>
  <c r="S592" i="34"/>
  <c r="U591" i="34"/>
  <c r="D15" i="76" s="1"/>
  <c r="T591" i="34"/>
  <c r="S591" i="34"/>
  <c r="U590" i="34"/>
  <c r="T590" i="34"/>
  <c r="S590" i="34"/>
  <c r="U589" i="34"/>
  <c r="T589" i="34"/>
  <c r="S589" i="34"/>
  <c r="U588" i="34"/>
  <c r="T588" i="34"/>
  <c r="S588" i="34"/>
  <c r="U587" i="34"/>
  <c r="T587" i="34"/>
  <c r="S587" i="34"/>
  <c r="U586" i="34"/>
  <c r="T586" i="34"/>
  <c r="S586" i="34"/>
  <c r="U585" i="34"/>
  <c r="T585" i="34"/>
  <c r="S585" i="34"/>
  <c r="U584" i="34"/>
  <c r="T584" i="34"/>
  <c r="S584" i="34"/>
  <c r="U583" i="34"/>
  <c r="T583" i="34"/>
  <c r="S583" i="34"/>
  <c r="U582" i="34"/>
  <c r="T582" i="34"/>
  <c r="S582" i="34"/>
  <c r="U581" i="34"/>
  <c r="T581" i="34"/>
  <c r="S581" i="34"/>
  <c r="U580" i="34"/>
  <c r="T580" i="34"/>
  <c r="S580" i="34"/>
  <c r="U579" i="34"/>
  <c r="T579" i="34"/>
  <c r="S579" i="34"/>
  <c r="U578" i="34"/>
  <c r="T578" i="34"/>
  <c r="S578" i="34"/>
  <c r="U577" i="34"/>
  <c r="T577" i="34"/>
  <c r="S577" i="34"/>
  <c r="U576" i="34"/>
  <c r="T576" i="34"/>
  <c r="S576" i="34"/>
  <c r="U575" i="34"/>
  <c r="T575" i="34"/>
  <c r="S575" i="34"/>
  <c r="U574" i="34"/>
  <c r="T574" i="34"/>
  <c r="S574" i="34"/>
  <c r="U573" i="34"/>
  <c r="T573" i="34"/>
  <c r="S573" i="34"/>
  <c r="U572" i="34"/>
  <c r="T572" i="34"/>
  <c r="S572" i="34"/>
  <c r="U571" i="34"/>
  <c r="T571" i="34"/>
  <c r="S571" i="34"/>
  <c r="U570" i="34"/>
  <c r="T570" i="34"/>
  <c r="S570" i="34"/>
  <c r="U569" i="34"/>
  <c r="T569" i="34"/>
  <c r="S569" i="34"/>
  <c r="U568" i="34"/>
  <c r="T568" i="34"/>
  <c r="S568" i="34"/>
  <c r="U567" i="34"/>
  <c r="T567" i="34"/>
  <c r="S567" i="34"/>
  <c r="U566" i="34"/>
  <c r="T566" i="34"/>
  <c r="S566" i="34"/>
  <c r="U565" i="34"/>
  <c r="T565" i="34"/>
  <c r="S565" i="34"/>
  <c r="U564" i="34"/>
  <c r="T564" i="34"/>
  <c r="S564" i="34"/>
  <c r="U563" i="34"/>
  <c r="T563" i="34"/>
  <c r="S563" i="34"/>
  <c r="U562" i="34"/>
  <c r="T562" i="34"/>
  <c r="S562" i="34"/>
  <c r="U561" i="34"/>
  <c r="T561" i="34"/>
  <c r="S561" i="34"/>
  <c r="U560" i="34"/>
  <c r="T560" i="34"/>
  <c r="S560" i="34"/>
  <c r="U559" i="34"/>
  <c r="T559" i="34"/>
  <c r="S559" i="34"/>
  <c r="U558" i="34"/>
  <c r="T558" i="34"/>
  <c r="S558" i="34"/>
  <c r="U557" i="34"/>
  <c r="T557" i="34"/>
  <c r="S557" i="34"/>
  <c r="U556" i="34"/>
  <c r="T556" i="34"/>
  <c r="S556" i="34"/>
  <c r="U555" i="34"/>
  <c r="T555" i="34"/>
  <c r="S555" i="34"/>
  <c r="U554" i="34"/>
  <c r="T554" i="34"/>
  <c r="S554" i="34"/>
  <c r="U553" i="34"/>
  <c r="T553" i="34"/>
  <c r="S553" i="34"/>
  <c r="U552" i="34"/>
  <c r="T552" i="34"/>
  <c r="S552" i="34"/>
  <c r="U551" i="34"/>
  <c r="T551" i="34"/>
  <c r="S551" i="34"/>
  <c r="U550" i="34"/>
  <c r="T550" i="34"/>
  <c r="S550" i="34"/>
  <c r="U549" i="34"/>
  <c r="T549" i="34"/>
  <c r="S549" i="34"/>
  <c r="U548" i="34"/>
  <c r="T548" i="34"/>
  <c r="S548" i="34"/>
  <c r="U547" i="34"/>
  <c r="T547" i="34"/>
  <c r="S547" i="34"/>
  <c r="U546" i="34"/>
  <c r="T546" i="34"/>
  <c r="S546" i="34"/>
  <c r="U545" i="34"/>
  <c r="T545" i="34"/>
  <c r="S545" i="34"/>
  <c r="U544" i="34"/>
  <c r="T544" i="34"/>
  <c r="S544" i="34"/>
  <c r="U543" i="34"/>
  <c r="T543" i="34"/>
  <c r="S543" i="34"/>
  <c r="U542" i="34"/>
  <c r="T542" i="34"/>
  <c r="S542" i="34"/>
  <c r="U541" i="34"/>
  <c r="T541" i="34"/>
  <c r="S541" i="34"/>
  <c r="U540" i="34"/>
  <c r="T540" i="34"/>
  <c r="S540" i="34"/>
  <c r="U539" i="34"/>
  <c r="T539" i="34"/>
  <c r="S539" i="34"/>
  <c r="U538" i="34"/>
  <c r="T538" i="34"/>
  <c r="S538" i="34"/>
  <c r="U537" i="34"/>
  <c r="T537" i="34"/>
  <c r="S537" i="34"/>
  <c r="U536" i="34"/>
  <c r="T536" i="34"/>
  <c r="S536" i="34"/>
  <c r="U535" i="34"/>
  <c r="T535" i="34"/>
  <c r="S535" i="34"/>
  <c r="U534" i="34"/>
  <c r="T534" i="34"/>
  <c r="S534" i="34"/>
  <c r="U533" i="34"/>
  <c r="T533" i="34"/>
  <c r="S533" i="34"/>
  <c r="U532" i="34"/>
  <c r="T532" i="34"/>
  <c r="S532" i="34"/>
  <c r="U531" i="34"/>
  <c r="T531" i="34"/>
  <c r="S531" i="34"/>
  <c r="U530" i="34"/>
  <c r="T530" i="34"/>
  <c r="S530" i="34"/>
  <c r="U529" i="34"/>
  <c r="T529" i="34"/>
  <c r="S529" i="34"/>
  <c r="U528" i="34"/>
  <c r="T528" i="34"/>
  <c r="S528" i="34"/>
  <c r="U527" i="34"/>
  <c r="T527" i="34"/>
  <c r="S527" i="34"/>
  <c r="U526" i="34"/>
  <c r="T526" i="34"/>
  <c r="S526" i="34"/>
  <c r="U525" i="34"/>
  <c r="T525" i="34"/>
  <c r="S525" i="34"/>
  <c r="U524" i="34"/>
  <c r="T524" i="34"/>
  <c r="S524" i="34"/>
  <c r="U523" i="34"/>
  <c r="T523" i="34"/>
  <c r="S523" i="34"/>
  <c r="U522" i="34"/>
  <c r="T522" i="34"/>
  <c r="S522" i="34"/>
  <c r="U521" i="34"/>
  <c r="T521" i="34"/>
  <c r="S521" i="34"/>
  <c r="U520" i="34"/>
  <c r="T520" i="34"/>
  <c r="S520" i="34"/>
  <c r="U519" i="34"/>
  <c r="T519" i="34"/>
  <c r="S519" i="34"/>
  <c r="U518" i="34"/>
  <c r="T518" i="34"/>
  <c r="S518" i="34"/>
  <c r="U517" i="34"/>
  <c r="T517" i="34"/>
  <c r="S517" i="34"/>
  <c r="U516" i="34"/>
  <c r="T516" i="34"/>
  <c r="S516" i="34"/>
  <c r="U515" i="34"/>
  <c r="T515" i="34"/>
  <c r="S515" i="34"/>
  <c r="U514" i="34"/>
  <c r="T514" i="34"/>
  <c r="S514" i="34"/>
  <c r="U513" i="34"/>
  <c r="T513" i="34"/>
  <c r="S513" i="34"/>
  <c r="U512" i="34"/>
  <c r="T512" i="34"/>
  <c r="S512" i="34"/>
  <c r="U511" i="34"/>
  <c r="T511" i="34"/>
  <c r="S511" i="34"/>
  <c r="U510" i="34"/>
  <c r="T510" i="34"/>
  <c r="S510" i="34"/>
  <c r="U509" i="34"/>
  <c r="T509" i="34"/>
  <c r="S509" i="34"/>
  <c r="U508" i="34"/>
  <c r="T508" i="34"/>
  <c r="S508" i="34"/>
  <c r="U507" i="34"/>
  <c r="T507" i="34"/>
  <c r="S507" i="34"/>
  <c r="U506" i="34"/>
  <c r="T506" i="34"/>
  <c r="S506" i="34"/>
  <c r="U505" i="34"/>
  <c r="T505" i="34"/>
  <c r="S505" i="34"/>
  <c r="U504" i="34"/>
  <c r="T504" i="34"/>
  <c r="S504" i="34"/>
  <c r="U503" i="34"/>
  <c r="T503" i="34"/>
  <c r="S503" i="34"/>
  <c r="U502" i="34"/>
  <c r="T502" i="34"/>
  <c r="S502" i="34"/>
  <c r="U501" i="34"/>
  <c r="T501" i="34"/>
  <c r="S501" i="34"/>
  <c r="U500" i="34"/>
  <c r="T500" i="34"/>
  <c r="S500" i="34"/>
  <c r="U499" i="34"/>
  <c r="T499" i="34"/>
  <c r="S499" i="34"/>
  <c r="U498" i="34"/>
  <c r="T498" i="34"/>
  <c r="S498" i="34"/>
  <c r="U497" i="34"/>
  <c r="T497" i="34"/>
  <c r="S497" i="34"/>
  <c r="U496" i="34"/>
  <c r="T496" i="34"/>
  <c r="S496" i="34"/>
  <c r="U495" i="34"/>
  <c r="T495" i="34"/>
  <c r="S495" i="34"/>
  <c r="U494" i="34"/>
  <c r="T494" i="34"/>
  <c r="S494" i="34"/>
  <c r="U493" i="34"/>
  <c r="T493" i="34"/>
  <c r="S493" i="34"/>
  <c r="U492" i="34"/>
  <c r="T492" i="34"/>
  <c r="S492" i="34"/>
  <c r="U491" i="34"/>
  <c r="T491" i="34"/>
  <c r="S491" i="34"/>
  <c r="U490" i="34"/>
  <c r="T490" i="34"/>
  <c r="S490" i="34"/>
  <c r="U489" i="34"/>
  <c r="T489" i="34"/>
  <c r="S489" i="34"/>
  <c r="U488" i="34"/>
  <c r="T488" i="34"/>
  <c r="S488" i="34"/>
  <c r="U487" i="34"/>
  <c r="T487" i="34"/>
  <c r="S487" i="34"/>
  <c r="T486" i="34"/>
  <c r="U485" i="34"/>
  <c r="T485" i="34"/>
  <c r="S485" i="34"/>
  <c r="U484" i="34"/>
  <c r="T484" i="34"/>
  <c r="S484" i="34"/>
  <c r="U483" i="34"/>
  <c r="T483" i="34"/>
  <c r="S483" i="34"/>
  <c r="U482" i="34"/>
  <c r="T482" i="34"/>
  <c r="S482" i="34"/>
  <c r="U481" i="34"/>
  <c r="T481" i="34"/>
  <c r="S481" i="34"/>
  <c r="U480" i="34"/>
  <c r="T480" i="34"/>
  <c r="S480" i="34"/>
  <c r="U479" i="34"/>
  <c r="T479" i="34"/>
  <c r="S479" i="34"/>
  <c r="U478" i="34"/>
  <c r="T478" i="34"/>
  <c r="S478" i="34"/>
  <c r="U477" i="34"/>
  <c r="T477" i="34"/>
  <c r="S477" i="34"/>
  <c r="U476" i="34"/>
  <c r="T476" i="34"/>
  <c r="S476" i="34"/>
  <c r="U475" i="34"/>
  <c r="T475" i="34"/>
  <c r="S475" i="34"/>
  <c r="U474" i="34"/>
  <c r="D14" i="76" s="1"/>
  <c r="T474" i="34"/>
  <c r="S474" i="34"/>
  <c r="U361" i="34"/>
  <c r="T361" i="34"/>
  <c r="S361" i="34"/>
  <c r="U360" i="34"/>
  <c r="T360" i="34"/>
  <c r="S360" i="34"/>
  <c r="U359" i="34"/>
  <c r="T359" i="34"/>
  <c r="S359" i="34"/>
  <c r="U358" i="34"/>
  <c r="T358" i="34"/>
  <c r="S358" i="34"/>
  <c r="U357" i="34"/>
  <c r="D13" i="76" s="1"/>
  <c r="T357" i="34"/>
  <c r="S357" i="34"/>
  <c r="U356" i="34"/>
  <c r="T356" i="34"/>
  <c r="S356" i="34"/>
  <c r="U355" i="34"/>
  <c r="T355" i="34"/>
  <c r="S355" i="34"/>
  <c r="U354" i="34"/>
  <c r="T354" i="34"/>
  <c r="S354" i="34"/>
  <c r="U353" i="34"/>
  <c r="T353" i="34"/>
  <c r="S353" i="34"/>
  <c r="S352" i="34"/>
  <c r="T352" i="34"/>
  <c r="U352" i="34"/>
  <c r="U239" i="34"/>
  <c r="T239" i="34"/>
  <c r="S239" i="34"/>
  <c r="U238" i="34"/>
  <c r="T238" i="34"/>
  <c r="S238" i="34"/>
  <c r="U237" i="34"/>
  <c r="T237" i="34"/>
  <c r="S237" i="34"/>
  <c r="G13" i="58" l="1"/>
  <c r="O13" i="76"/>
  <c r="E13" i="76"/>
  <c r="O15" i="76"/>
  <c r="E15" i="76"/>
  <c r="O14" i="76"/>
  <c r="E14" i="76"/>
  <c r="U120" i="34"/>
  <c r="T120" i="34"/>
  <c r="S120" i="34"/>
  <c r="U119" i="34"/>
  <c r="T119" i="34"/>
  <c r="S119" i="34"/>
  <c r="U118" i="34"/>
  <c r="T118" i="34"/>
  <c r="S118" i="34"/>
  <c r="U117" i="34"/>
  <c r="T117" i="34"/>
  <c r="S117" i="34"/>
  <c r="U116" i="34"/>
  <c r="T116" i="34"/>
  <c r="S116" i="34"/>
  <c r="U115" i="34"/>
  <c r="T115" i="34"/>
  <c r="S115" i="34"/>
  <c r="U114" i="34"/>
  <c r="T114" i="34"/>
  <c r="S114" i="34"/>
  <c r="U113" i="34"/>
  <c r="T113" i="34"/>
  <c r="S113" i="34"/>
  <c r="U112" i="34"/>
  <c r="T112" i="34"/>
  <c r="S112" i="34"/>
  <c r="U111" i="34"/>
  <c r="T111" i="34"/>
  <c r="S111" i="34"/>
  <c r="U110" i="34"/>
  <c r="T110" i="34"/>
  <c r="S110" i="34"/>
  <c r="U109" i="34"/>
  <c r="T109" i="34"/>
  <c r="S109" i="34"/>
  <c r="U108" i="34"/>
  <c r="T108" i="34"/>
  <c r="S108" i="34"/>
  <c r="U107" i="34"/>
  <c r="T107" i="34"/>
  <c r="S107" i="34"/>
  <c r="U106" i="34"/>
  <c r="T106" i="34"/>
  <c r="S106" i="34"/>
  <c r="U105" i="34"/>
  <c r="T105" i="34"/>
  <c r="S105" i="34"/>
  <c r="U104" i="34"/>
  <c r="T104" i="34"/>
  <c r="S104" i="34"/>
  <c r="U103" i="34"/>
  <c r="T103" i="34"/>
  <c r="S103" i="34"/>
  <c r="U102" i="34"/>
  <c r="T102" i="34"/>
  <c r="S102" i="34"/>
  <c r="U101" i="34"/>
  <c r="T101" i="34"/>
  <c r="S101" i="34"/>
  <c r="U100" i="34"/>
  <c r="T100" i="34"/>
  <c r="S100" i="34"/>
  <c r="U99" i="34"/>
  <c r="T99" i="34"/>
  <c r="S99" i="34"/>
  <c r="U98" i="34"/>
  <c r="T98" i="34"/>
  <c r="S98" i="34"/>
  <c r="U97" i="34"/>
  <c r="T97" i="34"/>
  <c r="S97" i="34"/>
  <c r="U96" i="34"/>
  <c r="T96" i="34"/>
  <c r="S96" i="34"/>
  <c r="U95" i="34"/>
  <c r="T95" i="34"/>
  <c r="S95" i="34"/>
  <c r="U94" i="34"/>
  <c r="T94" i="34"/>
  <c r="S94" i="34"/>
  <c r="U93" i="34"/>
  <c r="T93" i="34"/>
  <c r="S93" i="34"/>
  <c r="U92" i="34"/>
  <c r="T92" i="34"/>
  <c r="S92" i="34"/>
  <c r="U91" i="34"/>
  <c r="T91" i="34"/>
  <c r="S91" i="34"/>
  <c r="U90" i="34"/>
  <c r="T90" i="34"/>
  <c r="S90" i="34"/>
  <c r="U89" i="34"/>
  <c r="T89" i="34"/>
  <c r="S89" i="34"/>
  <c r="U88" i="34"/>
  <c r="T88" i="34"/>
  <c r="S88" i="34"/>
  <c r="U87" i="34"/>
  <c r="T87" i="34"/>
  <c r="S87" i="34"/>
  <c r="U86" i="34"/>
  <c r="T86" i="34"/>
  <c r="S86" i="34"/>
  <c r="U85" i="34"/>
  <c r="T85" i="34"/>
  <c r="S85" i="34"/>
  <c r="U84" i="34"/>
  <c r="T84" i="34"/>
  <c r="S84" i="34"/>
  <c r="U83" i="34"/>
  <c r="T83" i="34"/>
  <c r="S83" i="34"/>
  <c r="U82" i="34"/>
  <c r="T82" i="34"/>
  <c r="S82" i="34"/>
  <c r="U81" i="34"/>
  <c r="T81" i="34"/>
  <c r="S81" i="34"/>
  <c r="U80" i="34"/>
  <c r="T80" i="34"/>
  <c r="S80" i="34"/>
  <c r="U79" i="34"/>
  <c r="T79" i="34"/>
  <c r="S79" i="34"/>
  <c r="U78" i="34"/>
  <c r="T78" i="34"/>
  <c r="S78" i="34"/>
  <c r="U77" i="34"/>
  <c r="T77" i="34"/>
  <c r="S77" i="34"/>
  <c r="U76" i="34"/>
  <c r="T76" i="34"/>
  <c r="S76" i="34"/>
  <c r="U75" i="34"/>
  <c r="T75" i="34"/>
  <c r="S75" i="34"/>
  <c r="U74" i="34"/>
  <c r="T74" i="34"/>
  <c r="S74" i="34"/>
  <c r="U73" i="34"/>
  <c r="T73" i="34"/>
  <c r="S73" i="34"/>
  <c r="U72" i="34"/>
  <c r="T72" i="34"/>
  <c r="S72" i="34"/>
  <c r="U71" i="34"/>
  <c r="T71" i="34"/>
  <c r="S71" i="34"/>
  <c r="U70" i="34"/>
  <c r="T70" i="34"/>
  <c r="S70" i="34"/>
  <c r="U69" i="34"/>
  <c r="T69" i="34"/>
  <c r="S69" i="34"/>
  <c r="U68" i="34"/>
  <c r="T68" i="34"/>
  <c r="S68" i="34"/>
  <c r="U67" i="34"/>
  <c r="T67" i="34"/>
  <c r="S67" i="34"/>
  <c r="U66" i="34"/>
  <c r="T66" i="34"/>
  <c r="S66" i="34"/>
  <c r="U65" i="34"/>
  <c r="T65" i="34"/>
  <c r="S65" i="34"/>
  <c r="U64" i="34"/>
  <c r="T64" i="34"/>
  <c r="S64" i="34"/>
  <c r="U63" i="34"/>
  <c r="T63" i="34"/>
  <c r="S63" i="34"/>
  <c r="U62" i="34"/>
  <c r="T62" i="34"/>
  <c r="S62" i="34"/>
  <c r="U61" i="34"/>
  <c r="T61" i="34"/>
  <c r="S61" i="34"/>
  <c r="U60" i="34"/>
  <c r="T60" i="34"/>
  <c r="S60" i="34"/>
  <c r="U59" i="34"/>
  <c r="T59" i="34"/>
  <c r="S59" i="34"/>
  <c r="U58" i="34"/>
  <c r="T58" i="34"/>
  <c r="S58" i="34"/>
  <c r="U57" i="34"/>
  <c r="T57" i="34"/>
  <c r="S57" i="34"/>
  <c r="U56" i="34"/>
  <c r="T56" i="34"/>
  <c r="S56" i="34"/>
  <c r="U55" i="34"/>
  <c r="T55" i="34"/>
  <c r="S55" i="34"/>
  <c r="U54" i="34"/>
  <c r="T54" i="34"/>
  <c r="S54" i="34"/>
  <c r="U53" i="34"/>
  <c r="T53" i="34"/>
  <c r="S53" i="34"/>
  <c r="U52" i="34"/>
  <c r="T52" i="34"/>
  <c r="S52" i="34"/>
  <c r="U51" i="34"/>
  <c r="T51" i="34"/>
  <c r="S51" i="34"/>
  <c r="U50" i="34"/>
  <c r="T50" i="34"/>
  <c r="S50" i="34"/>
  <c r="U49" i="34"/>
  <c r="T49" i="34"/>
  <c r="S49" i="34"/>
  <c r="U48" i="34"/>
  <c r="T48" i="34"/>
  <c r="S48" i="34"/>
  <c r="U47" i="34"/>
  <c r="T47" i="34"/>
  <c r="S47" i="34"/>
  <c r="U46" i="34"/>
  <c r="T46" i="34"/>
  <c r="S46" i="34"/>
  <c r="U45" i="34"/>
  <c r="T45" i="34"/>
  <c r="S45" i="34"/>
  <c r="U44" i="34"/>
  <c r="T44" i="34"/>
  <c r="S44" i="34"/>
  <c r="U43" i="34"/>
  <c r="T43" i="34"/>
  <c r="S43" i="34"/>
  <c r="U42" i="34"/>
  <c r="T42" i="34"/>
  <c r="S42" i="34"/>
  <c r="U41" i="34"/>
  <c r="T41" i="34"/>
  <c r="S41" i="34"/>
  <c r="U40" i="34"/>
  <c r="T40" i="34"/>
  <c r="S40" i="34"/>
  <c r="U39" i="34"/>
  <c r="T39" i="34"/>
  <c r="S39" i="34"/>
  <c r="U38" i="34"/>
  <c r="T38" i="34"/>
  <c r="S38" i="34"/>
  <c r="U37" i="34"/>
  <c r="T37" i="34"/>
  <c r="S37" i="34"/>
  <c r="U36" i="34"/>
  <c r="T36" i="34"/>
  <c r="S36" i="34"/>
  <c r="U35" i="34"/>
  <c r="T35" i="34"/>
  <c r="S35" i="34"/>
  <c r="U34" i="34"/>
  <c r="T34" i="34"/>
  <c r="S34" i="34"/>
  <c r="U33" i="34"/>
  <c r="T33" i="34"/>
  <c r="S33" i="34"/>
  <c r="U32" i="34"/>
  <c r="T32" i="34"/>
  <c r="S32" i="34"/>
  <c r="U31" i="34"/>
  <c r="T31" i="34"/>
  <c r="S31" i="34"/>
  <c r="U30" i="34"/>
  <c r="T30" i="34"/>
  <c r="S30" i="34"/>
  <c r="U29" i="34"/>
  <c r="T29" i="34"/>
  <c r="S29" i="34"/>
  <c r="U28" i="34"/>
  <c r="T28" i="34"/>
  <c r="S28" i="34"/>
  <c r="U27" i="34"/>
  <c r="T27" i="34"/>
  <c r="S27" i="34"/>
  <c r="U26" i="34"/>
  <c r="T26" i="34"/>
  <c r="S26" i="34"/>
  <c r="U25" i="34"/>
  <c r="T25" i="34"/>
  <c r="S25" i="34"/>
  <c r="U24" i="34"/>
  <c r="T24" i="34"/>
  <c r="S24" i="34"/>
  <c r="U23" i="34"/>
  <c r="T23" i="34"/>
  <c r="S23" i="34"/>
  <c r="U22" i="34"/>
  <c r="T22" i="34"/>
  <c r="S22" i="34"/>
  <c r="U21" i="34"/>
  <c r="T21" i="34"/>
  <c r="S21" i="34"/>
  <c r="U20" i="34"/>
  <c r="T20" i="34"/>
  <c r="S20" i="34"/>
  <c r="T19" i="34"/>
  <c r="U18" i="34"/>
  <c r="T18" i="34"/>
  <c r="S18" i="34"/>
  <c r="U17" i="34"/>
  <c r="T17" i="34"/>
  <c r="S17" i="34"/>
  <c r="U16" i="34"/>
  <c r="T16" i="34"/>
  <c r="S16" i="34"/>
  <c r="U15" i="34"/>
  <c r="T15" i="34"/>
  <c r="S15" i="34"/>
  <c r="U14" i="34"/>
  <c r="T14" i="34"/>
  <c r="S14" i="34"/>
  <c r="U13" i="34"/>
  <c r="T13" i="34"/>
  <c r="S13" i="34"/>
  <c r="U12" i="34"/>
  <c r="T12" i="34"/>
  <c r="S12" i="34"/>
  <c r="U11" i="34"/>
  <c r="T11" i="34"/>
  <c r="S11" i="34"/>
  <c r="U10" i="34"/>
  <c r="T10" i="34"/>
  <c r="S10" i="34"/>
  <c r="U9" i="34"/>
  <c r="T9" i="34"/>
  <c r="S9" i="34"/>
  <c r="U8" i="34"/>
  <c r="T8" i="34"/>
  <c r="S8" i="34"/>
  <c r="U7" i="34"/>
  <c r="D10" i="76" s="1"/>
  <c r="T7" i="34"/>
  <c r="S7" i="34"/>
  <c r="U6" i="34"/>
  <c r="T6" i="34"/>
  <c r="S6" i="34"/>
  <c r="U5" i="34"/>
  <c r="T5" i="34"/>
  <c r="S5" i="34"/>
  <c r="O10" i="76" l="1"/>
  <c r="E10" i="76"/>
  <c r="S237" i="2"/>
  <c r="U1407" i="34" l="1"/>
  <c r="T1407" i="34"/>
  <c r="S1407" i="34"/>
  <c r="U1406" i="34"/>
  <c r="T1406" i="34"/>
  <c r="S1406" i="34"/>
  <c r="U1405" i="34"/>
  <c r="T1405" i="34"/>
  <c r="S1405" i="34"/>
  <c r="U1404" i="34"/>
  <c r="T1404" i="34"/>
  <c r="S1404" i="34"/>
  <c r="U1403" i="34"/>
  <c r="T1403" i="34"/>
  <c r="S1403" i="34"/>
  <c r="U1402" i="34"/>
  <c r="T1402" i="34"/>
  <c r="S1402" i="34"/>
  <c r="U1401" i="34"/>
  <c r="T1401" i="34"/>
  <c r="S1401" i="34"/>
  <c r="U1400" i="34"/>
  <c r="T1400" i="34"/>
  <c r="S1400" i="34"/>
  <c r="U1399" i="34"/>
  <c r="T1399" i="34"/>
  <c r="S1399" i="34"/>
  <c r="U1398" i="34"/>
  <c r="T1398" i="34"/>
  <c r="S1398" i="34"/>
  <c r="U1397" i="34"/>
  <c r="T1397" i="34"/>
  <c r="S1397" i="34"/>
  <c r="U1396" i="34"/>
  <c r="T1396" i="34"/>
  <c r="S1396" i="34"/>
  <c r="U1395" i="34"/>
  <c r="T1395" i="34"/>
  <c r="S1395" i="34"/>
  <c r="U1394" i="34"/>
  <c r="T1394" i="34"/>
  <c r="S1394" i="34"/>
  <c r="U1393" i="34"/>
  <c r="T1393" i="34"/>
  <c r="S1393" i="34"/>
  <c r="U1392" i="34"/>
  <c r="T1392" i="34"/>
  <c r="S1392" i="34"/>
  <c r="U1391" i="34"/>
  <c r="T1391" i="34"/>
  <c r="S1391" i="34"/>
  <c r="U1390" i="34"/>
  <c r="T1390" i="34"/>
  <c r="S1390" i="34"/>
  <c r="U1389" i="34"/>
  <c r="T1389" i="34"/>
  <c r="S1389" i="34"/>
  <c r="U1388" i="34"/>
  <c r="T1388" i="34"/>
  <c r="S1388" i="34"/>
  <c r="U1387" i="34"/>
  <c r="T1387" i="34"/>
  <c r="S1387" i="34"/>
  <c r="U1386" i="34"/>
  <c r="T1386" i="34"/>
  <c r="S1386" i="34"/>
  <c r="U1385" i="34"/>
  <c r="T1385" i="34"/>
  <c r="S1385" i="34"/>
  <c r="U1384" i="34"/>
  <c r="T1384" i="34"/>
  <c r="S1384" i="34"/>
  <c r="U1383" i="34"/>
  <c r="T1383" i="34"/>
  <c r="S1383" i="34"/>
  <c r="U1382" i="34"/>
  <c r="T1382" i="34"/>
  <c r="S1382" i="34"/>
  <c r="U1381" i="34"/>
  <c r="T1381" i="34"/>
  <c r="S1381" i="34"/>
  <c r="U1380" i="34"/>
  <c r="T1380" i="34"/>
  <c r="S1380" i="34"/>
  <c r="U1379" i="34"/>
  <c r="T1379" i="34"/>
  <c r="S1379" i="34"/>
  <c r="U1378" i="34"/>
  <c r="T1378" i="34"/>
  <c r="S1378" i="34"/>
  <c r="U1377" i="34"/>
  <c r="T1377" i="34"/>
  <c r="S1377" i="34"/>
  <c r="U1376" i="34"/>
  <c r="T1376" i="34"/>
  <c r="S1376" i="34"/>
  <c r="U1375" i="34"/>
  <c r="T1375" i="34"/>
  <c r="S1375" i="34"/>
  <c r="U1374" i="34"/>
  <c r="T1374" i="34"/>
  <c r="S1374" i="34"/>
  <c r="U1373" i="34"/>
  <c r="T1373" i="34"/>
  <c r="S1373" i="34"/>
  <c r="U1372" i="34"/>
  <c r="T1372" i="34"/>
  <c r="S1372" i="34"/>
  <c r="U1371" i="34"/>
  <c r="T1371" i="34"/>
  <c r="S1371" i="34"/>
  <c r="U1370" i="34"/>
  <c r="T1370" i="34"/>
  <c r="S1370" i="34"/>
  <c r="U1369" i="34"/>
  <c r="T1369" i="34"/>
  <c r="S1369" i="34"/>
  <c r="U1368" i="34"/>
  <c r="T1368" i="34"/>
  <c r="S1368" i="34"/>
  <c r="U1367" i="34"/>
  <c r="T1367" i="34"/>
  <c r="S1367" i="34"/>
  <c r="U1366" i="34"/>
  <c r="T1366" i="34"/>
  <c r="S1366" i="34"/>
  <c r="U1365" i="34"/>
  <c r="T1365" i="34"/>
  <c r="S1365" i="34"/>
  <c r="U1364" i="34"/>
  <c r="T1364" i="34"/>
  <c r="S1364" i="34"/>
  <c r="U1363" i="34"/>
  <c r="T1363" i="34"/>
  <c r="S1363" i="34"/>
  <c r="U1362" i="34"/>
  <c r="T1362" i="34"/>
  <c r="S1362" i="34"/>
  <c r="U1361" i="34"/>
  <c r="T1361" i="34"/>
  <c r="S1361" i="34"/>
  <c r="U1360" i="34"/>
  <c r="T1360" i="34"/>
  <c r="S1360" i="34"/>
  <c r="U1359" i="34"/>
  <c r="T1359" i="34"/>
  <c r="S1359" i="34"/>
  <c r="U1358" i="34"/>
  <c r="T1358" i="34"/>
  <c r="S1358" i="34"/>
  <c r="U1357" i="34"/>
  <c r="T1357" i="34"/>
  <c r="S1357" i="34"/>
  <c r="U1356" i="34"/>
  <c r="T1356" i="34"/>
  <c r="S1356" i="34"/>
  <c r="U1355" i="34"/>
  <c r="T1355" i="34"/>
  <c r="S1355" i="34"/>
  <c r="U1354" i="34"/>
  <c r="T1354" i="34"/>
  <c r="S1354" i="34"/>
  <c r="U1353" i="34"/>
  <c r="T1353" i="34"/>
  <c r="S1353" i="34"/>
  <c r="U1352" i="34"/>
  <c r="T1352" i="34"/>
  <c r="S1352" i="34"/>
  <c r="U1351" i="34"/>
  <c r="T1351" i="34"/>
  <c r="S1351" i="34"/>
  <c r="U1350" i="34"/>
  <c r="T1350" i="34"/>
  <c r="S1350" i="34"/>
  <c r="U1349" i="34"/>
  <c r="T1349" i="34"/>
  <c r="S1349" i="34"/>
  <c r="U1348" i="34"/>
  <c r="T1348" i="34"/>
  <c r="S1348" i="34"/>
  <c r="U1347" i="34"/>
  <c r="T1347" i="34"/>
  <c r="S1347" i="34"/>
  <c r="U1346" i="34"/>
  <c r="T1346" i="34"/>
  <c r="S1346" i="34"/>
  <c r="U1345" i="34"/>
  <c r="T1345" i="34"/>
  <c r="S1345" i="34"/>
  <c r="U1344" i="34"/>
  <c r="T1344" i="34"/>
  <c r="S1344" i="34"/>
  <c r="U1343" i="34"/>
  <c r="T1343" i="34"/>
  <c r="S1343" i="34"/>
  <c r="U1342" i="34"/>
  <c r="T1342" i="34"/>
  <c r="S1342" i="34"/>
  <c r="U1341" i="34"/>
  <c r="T1341" i="34"/>
  <c r="S1341" i="34"/>
  <c r="U1340" i="34"/>
  <c r="T1340" i="34"/>
  <c r="S1340" i="34"/>
  <c r="U1339" i="34"/>
  <c r="T1339" i="34"/>
  <c r="S1339" i="34"/>
  <c r="U1338" i="34"/>
  <c r="T1338" i="34"/>
  <c r="S1338" i="34"/>
  <c r="U1337" i="34"/>
  <c r="T1337" i="34"/>
  <c r="S1337" i="34"/>
  <c r="U1336" i="34"/>
  <c r="T1336" i="34"/>
  <c r="S1336" i="34"/>
  <c r="U1335" i="34"/>
  <c r="T1335" i="34"/>
  <c r="S1335" i="34"/>
  <c r="U1334" i="34"/>
  <c r="T1334" i="34"/>
  <c r="S1334" i="34"/>
  <c r="U1333" i="34"/>
  <c r="T1333" i="34"/>
  <c r="S1333" i="34"/>
  <c r="U1332" i="34"/>
  <c r="T1332" i="34"/>
  <c r="S1332" i="34"/>
  <c r="U1331" i="34"/>
  <c r="T1331" i="34"/>
  <c r="S1331" i="34"/>
  <c r="U1330" i="34"/>
  <c r="T1330" i="34"/>
  <c r="S1330" i="34"/>
  <c r="U1329" i="34"/>
  <c r="T1329" i="34"/>
  <c r="S1329" i="34"/>
  <c r="U1328" i="34"/>
  <c r="T1328" i="34"/>
  <c r="S1328" i="34"/>
  <c r="U1327" i="34"/>
  <c r="T1327" i="34"/>
  <c r="S1327" i="34"/>
  <c r="U1326" i="34"/>
  <c r="T1326" i="34"/>
  <c r="S1326" i="34"/>
  <c r="U1325" i="34"/>
  <c r="T1325" i="34"/>
  <c r="S1325" i="34"/>
  <c r="U1324" i="34"/>
  <c r="T1324" i="34"/>
  <c r="S1324" i="34"/>
  <c r="U1323" i="34"/>
  <c r="T1323" i="34"/>
  <c r="S1323" i="34"/>
  <c r="U1322" i="34"/>
  <c r="T1322" i="34"/>
  <c r="S1322" i="34"/>
  <c r="U1321" i="34"/>
  <c r="T1321" i="34"/>
  <c r="S1321" i="34"/>
  <c r="U1320" i="34"/>
  <c r="T1320" i="34"/>
  <c r="S1320" i="34"/>
  <c r="U1319" i="34"/>
  <c r="T1319" i="34"/>
  <c r="S1319" i="34"/>
  <c r="U1318" i="34"/>
  <c r="T1318" i="34"/>
  <c r="S1318" i="34"/>
  <c r="U1317" i="34"/>
  <c r="T1317" i="34"/>
  <c r="S1317" i="34"/>
  <c r="U1316" i="34"/>
  <c r="T1316" i="34"/>
  <c r="S1316" i="34"/>
  <c r="U1315" i="34"/>
  <c r="T1315" i="34"/>
  <c r="S1315" i="34"/>
  <c r="U1314" i="34"/>
  <c r="T1314" i="34"/>
  <c r="S1314" i="34"/>
  <c r="U1313" i="34"/>
  <c r="T1313" i="34"/>
  <c r="S1313" i="34"/>
  <c r="U1312" i="34"/>
  <c r="T1312" i="34"/>
  <c r="S1312" i="34"/>
  <c r="U1311" i="34"/>
  <c r="T1311" i="34"/>
  <c r="S1311" i="34"/>
  <c r="U1310" i="34"/>
  <c r="T1310" i="34"/>
  <c r="S1310" i="34"/>
  <c r="U1309" i="34"/>
  <c r="T1309" i="34"/>
  <c r="S1309" i="34"/>
  <c r="U1308" i="34"/>
  <c r="T1308" i="34"/>
  <c r="S1308" i="34"/>
  <c r="U1307" i="34"/>
  <c r="T1307" i="34"/>
  <c r="S1307" i="34"/>
  <c r="U1306" i="34"/>
  <c r="T1306" i="34"/>
  <c r="S1306" i="34"/>
  <c r="T1305" i="34"/>
  <c r="U1304" i="34"/>
  <c r="T1304" i="34"/>
  <c r="S1304" i="34"/>
  <c r="U1303" i="34"/>
  <c r="T1303" i="34"/>
  <c r="S1303" i="34"/>
  <c r="U1302" i="34"/>
  <c r="T1302" i="34"/>
  <c r="S1302" i="34"/>
  <c r="U1301" i="34"/>
  <c r="T1301" i="34"/>
  <c r="S1301" i="34"/>
  <c r="U1300" i="34"/>
  <c r="T1300" i="34"/>
  <c r="S1300" i="34"/>
  <c r="U1299" i="34"/>
  <c r="T1299" i="34"/>
  <c r="S1299" i="34"/>
  <c r="U1298" i="34"/>
  <c r="T1298" i="34"/>
  <c r="S1298" i="34"/>
  <c r="U1297" i="34"/>
  <c r="T1297" i="34"/>
  <c r="S1297" i="34"/>
  <c r="U1296" i="34"/>
  <c r="T1296" i="34"/>
  <c r="S1296" i="34"/>
  <c r="U1295" i="34"/>
  <c r="T1295" i="34"/>
  <c r="S1295" i="34"/>
  <c r="U1294" i="34"/>
  <c r="T1294" i="34"/>
  <c r="S1294" i="34"/>
  <c r="U1293" i="34"/>
  <c r="D9" i="76" s="1"/>
  <c r="T1293" i="34"/>
  <c r="S1293" i="34"/>
  <c r="U1292" i="34"/>
  <c r="T1292" i="34"/>
  <c r="S1292" i="34"/>
  <c r="U1291" i="34"/>
  <c r="T1291" i="34"/>
  <c r="S1291" i="34"/>
  <c r="U1290" i="34"/>
  <c r="T1290" i="34"/>
  <c r="S1290" i="34"/>
  <c r="U1289" i="34"/>
  <c r="T1289" i="34"/>
  <c r="S1289" i="34"/>
  <c r="U1288" i="34"/>
  <c r="T1288" i="34"/>
  <c r="S1288" i="34"/>
  <c r="U1287" i="34"/>
  <c r="T1287" i="34"/>
  <c r="S1287" i="34"/>
  <c r="U1286" i="34"/>
  <c r="T1286" i="34"/>
  <c r="S1286" i="34"/>
  <c r="U1285" i="34"/>
  <c r="T1285" i="34"/>
  <c r="S1285" i="34"/>
  <c r="U1284" i="34"/>
  <c r="T1284" i="34"/>
  <c r="S1284" i="34"/>
  <c r="U1283" i="34"/>
  <c r="T1283" i="34"/>
  <c r="S1283" i="34"/>
  <c r="U1282" i="34"/>
  <c r="T1282" i="34"/>
  <c r="S1282" i="34"/>
  <c r="U1281" i="34"/>
  <c r="T1281" i="34"/>
  <c r="S1281" i="34"/>
  <c r="U1280" i="34"/>
  <c r="T1280" i="34"/>
  <c r="S1280" i="34"/>
  <c r="U1279" i="34"/>
  <c r="T1279" i="34"/>
  <c r="S1279" i="34"/>
  <c r="U1278" i="34"/>
  <c r="T1278" i="34"/>
  <c r="S1278" i="34"/>
  <c r="U1277" i="34"/>
  <c r="T1277" i="34"/>
  <c r="S1277" i="34"/>
  <c r="U1276" i="34"/>
  <c r="T1276" i="34"/>
  <c r="S1276" i="34"/>
  <c r="U1275" i="34"/>
  <c r="T1275" i="34"/>
  <c r="S1275" i="34"/>
  <c r="U1274" i="34"/>
  <c r="T1274" i="34"/>
  <c r="S1274" i="34"/>
  <c r="U1273" i="34"/>
  <c r="T1273" i="34"/>
  <c r="S1273" i="34"/>
  <c r="U1272" i="34"/>
  <c r="T1272" i="34"/>
  <c r="S1272" i="34"/>
  <c r="U1271" i="34"/>
  <c r="T1271" i="34"/>
  <c r="S1271" i="34"/>
  <c r="U1270" i="34"/>
  <c r="T1270" i="34"/>
  <c r="S1270" i="34"/>
  <c r="U1269" i="34"/>
  <c r="T1269" i="34"/>
  <c r="S1269" i="34"/>
  <c r="U1268" i="34"/>
  <c r="T1268" i="34"/>
  <c r="S1268" i="34"/>
  <c r="U1267" i="34"/>
  <c r="T1267" i="34"/>
  <c r="S1267" i="34"/>
  <c r="U1266" i="34"/>
  <c r="T1266" i="34"/>
  <c r="S1266" i="34"/>
  <c r="U1265" i="34"/>
  <c r="T1265" i="34"/>
  <c r="S1265" i="34"/>
  <c r="U1264" i="34"/>
  <c r="T1264" i="34"/>
  <c r="S1264" i="34"/>
  <c r="U1263" i="34"/>
  <c r="T1263" i="34"/>
  <c r="S1263" i="34"/>
  <c r="U1262" i="34"/>
  <c r="T1262" i="34"/>
  <c r="S1262" i="34"/>
  <c r="U1261" i="34"/>
  <c r="T1261" i="34"/>
  <c r="S1261" i="34"/>
  <c r="U1260" i="34"/>
  <c r="T1260" i="34"/>
  <c r="S1260" i="34"/>
  <c r="U1259" i="34"/>
  <c r="T1259" i="34"/>
  <c r="S1259" i="34"/>
  <c r="U1258" i="34"/>
  <c r="T1258" i="34"/>
  <c r="S1258" i="34"/>
  <c r="U1257" i="34"/>
  <c r="T1257" i="34"/>
  <c r="S1257" i="34"/>
  <c r="U1256" i="34"/>
  <c r="T1256" i="34"/>
  <c r="S1256" i="34"/>
  <c r="U1255" i="34"/>
  <c r="T1255" i="34"/>
  <c r="S1255" i="34"/>
  <c r="U1254" i="34"/>
  <c r="T1254" i="34"/>
  <c r="S1254" i="34"/>
  <c r="U1253" i="34"/>
  <c r="T1253" i="34"/>
  <c r="S1253" i="34"/>
  <c r="U1252" i="34"/>
  <c r="T1252" i="34"/>
  <c r="S1252" i="34"/>
  <c r="U1251" i="34"/>
  <c r="T1251" i="34"/>
  <c r="S1251" i="34"/>
  <c r="U1250" i="34"/>
  <c r="T1250" i="34"/>
  <c r="S1250" i="34"/>
  <c r="U1249" i="34"/>
  <c r="T1249" i="34"/>
  <c r="S1249" i="34"/>
  <c r="U1248" i="34"/>
  <c r="T1248" i="34"/>
  <c r="S1248" i="34"/>
  <c r="U1247" i="34"/>
  <c r="T1247" i="34"/>
  <c r="S1247" i="34"/>
  <c r="U1246" i="34"/>
  <c r="T1246" i="34"/>
  <c r="S1246" i="34"/>
  <c r="U1245" i="34"/>
  <c r="T1245" i="34"/>
  <c r="S1245" i="34"/>
  <c r="U1244" i="34"/>
  <c r="T1244" i="34"/>
  <c r="S1244" i="34"/>
  <c r="U1243" i="34"/>
  <c r="T1243" i="34"/>
  <c r="S1243" i="34"/>
  <c r="U1242" i="34"/>
  <c r="T1242" i="34"/>
  <c r="S1242" i="34"/>
  <c r="U1241" i="34"/>
  <c r="T1241" i="34"/>
  <c r="S1241" i="34"/>
  <c r="U1240" i="34"/>
  <c r="T1240" i="34"/>
  <c r="S1240" i="34"/>
  <c r="U1239" i="34"/>
  <c r="T1239" i="34"/>
  <c r="S1239" i="34"/>
  <c r="U1238" i="34"/>
  <c r="T1238" i="34"/>
  <c r="S1238" i="34"/>
  <c r="U1237" i="34"/>
  <c r="T1237" i="34"/>
  <c r="S1237" i="34"/>
  <c r="U1236" i="34"/>
  <c r="T1236" i="34"/>
  <c r="S1236" i="34"/>
  <c r="U1235" i="34"/>
  <c r="T1235" i="34"/>
  <c r="S1235" i="34"/>
  <c r="U1234" i="34"/>
  <c r="T1234" i="34"/>
  <c r="S1234" i="34"/>
  <c r="U1233" i="34"/>
  <c r="T1233" i="34"/>
  <c r="S1233" i="34"/>
  <c r="U1232" i="34"/>
  <c r="T1232" i="34"/>
  <c r="S1232" i="34"/>
  <c r="U1231" i="34"/>
  <c r="T1231" i="34"/>
  <c r="S1231" i="34"/>
  <c r="U1230" i="34"/>
  <c r="T1230" i="34"/>
  <c r="S1230" i="34"/>
  <c r="U1229" i="34"/>
  <c r="T1229" i="34"/>
  <c r="S1229" i="34"/>
  <c r="U1228" i="34"/>
  <c r="T1228" i="34"/>
  <c r="S1228" i="34"/>
  <c r="U1227" i="34"/>
  <c r="T1227" i="34"/>
  <c r="S1227" i="34"/>
  <c r="U1226" i="34"/>
  <c r="T1226" i="34"/>
  <c r="S1226" i="34"/>
  <c r="U1225" i="34"/>
  <c r="T1225" i="34"/>
  <c r="S1225" i="34"/>
  <c r="U1224" i="34"/>
  <c r="T1224" i="34"/>
  <c r="S1224" i="34"/>
  <c r="U1223" i="34"/>
  <c r="T1223" i="34"/>
  <c r="S1223" i="34"/>
  <c r="U1222" i="34"/>
  <c r="T1222" i="34"/>
  <c r="S1222" i="34"/>
  <c r="U1221" i="34"/>
  <c r="T1221" i="34"/>
  <c r="S1221" i="34"/>
  <c r="U1220" i="34"/>
  <c r="T1220" i="34"/>
  <c r="S1220" i="34"/>
  <c r="U1219" i="34"/>
  <c r="T1219" i="34"/>
  <c r="S1219" i="34"/>
  <c r="U1218" i="34"/>
  <c r="T1218" i="34"/>
  <c r="S1218" i="34"/>
  <c r="U1217" i="34"/>
  <c r="T1217" i="34"/>
  <c r="S1217" i="34"/>
  <c r="U1216" i="34"/>
  <c r="T1216" i="34"/>
  <c r="S1216" i="34"/>
  <c r="U1215" i="34"/>
  <c r="T1215" i="34"/>
  <c r="S1215" i="34"/>
  <c r="U1214" i="34"/>
  <c r="T1214" i="34"/>
  <c r="S1214" i="34"/>
  <c r="U1213" i="34"/>
  <c r="T1213" i="34"/>
  <c r="S1213" i="34"/>
  <c r="U1212" i="34"/>
  <c r="T1212" i="34"/>
  <c r="S1212" i="34"/>
  <c r="U1211" i="34"/>
  <c r="T1211" i="34"/>
  <c r="S1211" i="34"/>
  <c r="U1210" i="34"/>
  <c r="T1210" i="34"/>
  <c r="S1210" i="34"/>
  <c r="U1209" i="34"/>
  <c r="T1209" i="34"/>
  <c r="S1209" i="34"/>
  <c r="U1208" i="34"/>
  <c r="T1208" i="34"/>
  <c r="S1208" i="34"/>
  <c r="U1207" i="34"/>
  <c r="T1207" i="34"/>
  <c r="S1207" i="34"/>
  <c r="U1206" i="34"/>
  <c r="T1206" i="34"/>
  <c r="S1206" i="34"/>
  <c r="U1205" i="34"/>
  <c r="T1205" i="34"/>
  <c r="S1205" i="34"/>
  <c r="U1204" i="34"/>
  <c r="T1204" i="34"/>
  <c r="S1204" i="34"/>
  <c r="U1203" i="34"/>
  <c r="T1203" i="34"/>
  <c r="S1203" i="34"/>
  <c r="U1202" i="34"/>
  <c r="T1202" i="34"/>
  <c r="S1202" i="34"/>
  <c r="U1201" i="34"/>
  <c r="T1201" i="34"/>
  <c r="S1201" i="34"/>
  <c r="U1200" i="34"/>
  <c r="T1200" i="34"/>
  <c r="S1200" i="34"/>
  <c r="U1199" i="34"/>
  <c r="T1199" i="34"/>
  <c r="S1199" i="34"/>
  <c r="U1198" i="34"/>
  <c r="T1198" i="34"/>
  <c r="S1198" i="34"/>
  <c r="U1197" i="34"/>
  <c r="T1197" i="34"/>
  <c r="S1197" i="34"/>
  <c r="U1196" i="34"/>
  <c r="T1196" i="34"/>
  <c r="S1196" i="34"/>
  <c r="U1195" i="34"/>
  <c r="T1195" i="34"/>
  <c r="S1195" i="34"/>
  <c r="U1194" i="34"/>
  <c r="T1194" i="34"/>
  <c r="S1194" i="34"/>
  <c r="U1193" i="34"/>
  <c r="T1193" i="34"/>
  <c r="S1193" i="34"/>
  <c r="U1192" i="34"/>
  <c r="T1192" i="34"/>
  <c r="S1192" i="34"/>
  <c r="U1191" i="34"/>
  <c r="T1191" i="34"/>
  <c r="S1191" i="34"/>
  <c r="U1190" i="34"/>
  <c r="T1190" i="34"/>
  <c r="S1190" i="34"/>
  <c r="U1189" i="34"/>
  <c r="T1189" i="34"/>
  <c r="S1189" i="34"/>
  <c r="T1188" i="34"/>
  <c r="U1187" i="34"/>
  <c r="T1187" i="34"/>
  <c r="S1187" i="34"/>
  <c r="U1186" i="34"/>
  <c r="T1186" i="34"/>
  <c r="S1186" i="34"/>
  <c r="U1185" i="34"/>
  <c r="T1185" i="34"/>
  <c r="S1185" i="34"/>
  <c r="U1184" i="34"/>
  <c r="T1184" i="34"/>
  <c r="S1184" i="34"/>
  <c r="U1183" i="34"/>
  <c r="T1183" i="34"/>
  <c r="S1183" i="34"/>
  <c r="U1182" i="34"/>
  <c r="T1182" i="34"/>
  <c r="S1182" i="34"/>
  <c r="U1181" i="34"/>
  <c r="T1181" i="34"/>
  <c r="S1181" i="34"/>
  <c r="U1180" i="34"/>
  <c r="T1180" i="34"/>
  <c r="S1180" i="34"/>
  <c r="U1179" i="34"/>
  <c r="T1179" i="34"/>
  <c r="S1179" i="34"/>
  <c r="U1178" i="34"/>
  <c r="T1178" i="34"/>
  <c r="S1178" i="34"/>
  <c r="U1177" i="34"/>
  <c r="T1177" i="34"/>
  <c r="S1177" i="34"/>
  <c r="U1176" i="34"/>
  <c r="D8" i="76" s="1"/>
  <c r="T1176" i="34"/>
  <c r="S1176" i="34"/>
  <c r="U1175" i="34"/>
  <c r="T1175" i="34"/>
  <c r="S1175" i="34"/>
  <c r="U1174" i="34"/>
  <c r="T1174" i="34"/>
  <c r="S1174" i="34"/>
  <c r="U1173" i="34"/>
  <c r="T1173" i="34"/>
  <c r="S1173" i="34"/>
  <c r="U1172" i="34"/>
  <c r="T1172" i="34"/>
  <c r="S1172" i="34"/>
  <c r="U1171" i="34"/>
  <c r="T1171" i="34"/>
  <c r="S1171" i="34"/>
  <c r="U1170" i="34"/>
  <c r="T1170" i="34"/>
  <c r="S1170" i="34"/>
  <c r="U1169" i="34"/>
  <c r="T1169" i="34"/>
  <c r="S1169" i="34"/>
  <c r="U1168" i="34"/>
  <c r="T1168" i="34"/>
  <c r="S1168" i="34"/>
  <c r="U1167" i="34"/>
  <c r="T1167" i="34"/>
  <c r="S1167" i="34"/>
  <c r="U1166" i="34"/>
  <c r="T1166" i="34"/>
  <c r="S1166" i="34"/>
  <c r="U1165" i="34"/>
  <c r="T1165" i="34"/>
  <c r="S1165" i="34"/>
  <c r="U1164" i="34"/>
  <c r="T1164" i="34"/>
  <c r="S1164" i="34"/>
  <c r="U1163" i="34"/>
  <c r="T1163" i="34"/>
  <c r="S1163" i="34"/>
  <c r="U1162" i="34"/>
  <c r="T1162" i="34"/>
  <c r="S1162" i="34"/>
  <c r="U1161" i="34"/>
  <c r="T1161" i="34"/>
  <c r="S1161" i="34"/>
  <c r="U1160" i="34"/>
  <c r="T1160" i="34"/>
  <c r="S1160" i="34"/>
  <c r="U1159" i="34"/>
  <c r="T1159" i="34"/>
  <c r="S1159" i="34"/>
  <c r="U1158" i="34"/>
  <c r="T1158" i="34"/>
  <c r="S1158" i="34"/>
  <c r="U1157" i="34"/>
  <c r="T1157" i="34"/>
  <c r="S1157" i="34"/>
  <c r="U1156" i="34"/>
  <c r="T1156" i="34"/>
  <c r="S1156" i="34"/>
  <c r="U1155" i="34"/>
  <c r="T1155" i="34"/>
  <c r="S1155" i="34"/>
  <c r="U1154" i="34"/>
  <c r="T1154" i="34"/>
  <c r="S1154" i="34"/>
  <c r="U1153" i="34"/>
  <c r="T1153" i="34"/>
  <c r="S1153" i="34"/>
  <c r="U1152" i="34"/>
  <c r="T1152" i="34"/>
  <c r="S1152" i="34"/>
  <c r="U1151" i="34"/>
  <c r="T1151" i="34"/>
  <c r="S1151" i="34"/>
  <c r="U1150" i="34"/>
  <c r="T1150" i="34"/>
  <c r="S1150" i="34"/>
  <c r="U1149" i="34"/>
  <c r="T1149" i="34"/>
  <c r="S1149" i="34"/>
  <c r="U1148" i="34"/>
  <c r="T1148" i="34"/>
  <c r="S1148" i="34"/>
  <c r="U1147" i="34"/>
  <c r="T1147" i="34"/>
  <c r="S1147" i="34"/>
  <c r="U1146" i="34"/>
  <c r="T1146" i="34"/>
  <c r="S1146" i="34"/>
  <c r="U1145" i="34"/>
  <c r="T1145" i="34"/>
  <c r="S1145" i="34"/>
  <c r="U1144" i="34"/>
  <c r="T1144" i="34"/>
  <c r="S1144" i="34"/>
  <c r="U1143" i="34"/>
  <c r="T1143" i="34"/>
  <c r="S1143" i="34"/>
  <c r="U1142" i="34"/>
  <c r="T1142" i="34"/>
  <c r="S1142" i="34"/>
  <c r="U1141" i="34"/>
  <c r="T1141" i="34"/>
  <c r="S1141" i="34"/>
  <c r="U1140" i="34"/>
  <c r="T1140" i="34"/>
  <c r="S1140" i="34"/>
  <c r="U1139" i="34"/>
  <c r="T1139" i="34"/>
  <c r="S1139" i="34"/>
  <c r="U1138" i="34"/>
  <c r="T1138" i="34"/>
  <c r="S1138" i="34"/>
  <c r="U1137" i="34"/>
  <c r="T1137" i="34"/>
  <c r="S1137" i="34"/>
  <c r="U1136" i="34"/>
  <c r="T1136" i="34"/>
  <c r="S1136" i="34"/>
  <c r="U1135" i="34"/>
  <c r="T1135" i="34"/>
  <c r="S1135" i="34"/>
  <c r="U1134" i="34"/>
  <c r="T1134" i="34"/>
  <c r="S1134" i="34"/>
  <c r="U1133" i="34"/>
  <c r="T1133" i="34"/>
  <c r="S1133" i="34"/>
  <c r="U1132" i="34"/>
  <c r="T1132" i="34"/>
  <c r="S1132" i="34"/>
  <c r="U1131" i="34"/>
  <c r="T1131" i="34"/>
  <c r="S1131" i="34"/>
  <c r="U1130" i="34"/>
  <c r="T1130" i="34"/>
  <c r="S1130" i="34"/>
  <c r="U1129" i="34"/>
  <c r="T1129" i="34"/>
  <c r="S1129" i="34"/>
  <c r="U1128" i="34"/>
  <c r="T1128" i="34"/>
  <c r="S1128" i="34"/>
  <c r="U1127" i="34"/>
  <c r="T1127" i="34"/>
  <c r="S1127" i="34"/>
  <c r="U1126" i="34"/>
  <c r="T1126" i="34"/>
  <c r="S1126" i="34"/>
  <c r="U1125" i="34"/>
  <c r="T1125" i="34"/>
  <c r="S1125" i="34"/>
  <c r="U1124" i="34"/>
  <c r="T1124" i="34"/>
  <c r="S1124" i="34"/>
  <c r="U1123" i="34"/>
  <c r="T1123" i="34"/>
  <c r="S1123" i="34"/>
  <c r="U1122" i="34"/>
  <c r="T1122" i="34"/>
  <c r="S1122" i="34"/>
  <c r="U1121" i="34"/>
  <c r="T1121" i="34"/>
  <c r="S1121" i="34"/>
  <c r="U1120" i="34"/>
  <c r="T1120" i="34"/>
  <c r="S1120" i="34"/>
  <c r="U1119" i="34"/>
  <c r="T1119" i="34"/>
  <c r="S1119" i="34"/>
  <c r="U1118" i="34"/>
  <c r="T1118" i="34"/>
  <c r="S1118" i="34"/>
  <c r="U1117" i="34"/>
  <c r="T1117" i="34"/>
  <c r="S1117" i="34"/>
  <c r="U1116" i="34"/>
  <c r="T1116" i="34"/>
  <c r="S1116" i="34"/>
  <c r="U1115" i="34"/>
  <c r="T1115" i="34"/>
  <c r="S1115" i="34"/>
  <c r="U1114" i="34"/>
  <c r="T1114" i="34"/>
  <c r="S1114" i="34"/>
  <c r="U1113" i="34"/>
  <c r="T1113" i="34"/>
  <c r="S1113" i="34"/>
  <c r="U1112" i="34"/>
  <c r="T1112" i="34"/>
  <c r="S1112" i="34"/>
  <c r="U1111" i="34"/>
  <c r="T1111" i="34"/>
  <c r="S1111" i="34"/>
  <c r="U1110" i="34"/>
  <c r="T1110" i="34"/>
  <c r="S1110" i="34"/>
  <c r="U1109" i="34"/>
  <c r="T1109" i="34"/>
  <c r="S1109" i="34"/>
  <c r="U1108" i="34"/>
  <c r="T1108" i="34"/>
  <c r="S1108" i="34"/>
  <c r="U1107" i="34"/>
  <c r="T1107" i="34"/>
  <c r="S1107" i="34"/>
  <c r="U1106" i="34"/>
  <c r="T1106" i="34"/>
  <c r="S1106" i="34"/>
  <c r="U1105" i="34"/>
  <c r="T1105" i="34"/>
  <c r="S1105" i="34"/>
  <c r="U1104" i="34"/>
  <c r="T1104" i="34"/>
  <c r="S1104" i="34"/>
  <c r="U1103" i="34"/>
  <c r="T1103" i="34"/>
  <c r="S1103" i="34"/>
  <c r="U1102" i="34"/>
  <c r="T1102" i="34"/>
  <c r="S1102" i="34"/>
  <c r="U1101" i="34"/>
  <c r="T1101" i="34"/>
  <c r="S1101" i="34"/>
  <c r="U1100" i="34"/>
  <c r="T1100" i="34"/>
  <c r="S1100" i="34"/>
  <c r="U1099" i="34"/>
  <c r="T1099" i="34"/>
  <c r="S1099" i="34"/>
  <c r="U1098" i="34"/>
  <c r="T1098" i="34"/>
  <c r="S1098" i="34"/>
  <c r="U1097" i="34"/>
  <c r="T1097" i="34"/>
  <c r="S1097" i="34"/>
  <c r="U1096" i="34"/>
  <c r="T1096" i="34"/>
  <c r="S1096" i="34"/>
  <c r="U1095" i="34"/>
  <c r="T1095" i="34"/>
  <c r="S1095" i="34"/>
  <c r="U1094" i="34"/>
  <c r="T1094" i="34"/>
  <c r="S1094" i="34"/>
  <c r="U1093" i="34"/>
  <c r="T1093" i="34"/>
  <c r="S1093" i="34"/>
  <c r="U1092" i="34"/>
  <c r="T1092" i="34"/>
  <c r="S1092" i="34"/>
  <c r="U1091" i="34"/>
  <c r="T1091" i="34"/>
  <c r="S1091" i="34"/>
  <c r="U1090" i="34"/>
  <c r="T1090" i="34"/>
  <c r="S1090" i="34"/>
  <c r="U1089" i="34"/>
  <c r="T1089" i="34"/>
  <c r="S1089" i="34"/>
  <c r="U1088" i="34"/>
  <c r="T1088" i="34"/>
  <c r="S1088" i="34"/>
  <c r="U1087" i="34"/>
  <c r="T1087" i="34"/>
  <c r="S1087" i="34"/>
  <c r="U1086" i="34"/>
  <c r="T1086" i="34"/>
  <c r="S1086" i="34"/>
  <c r="U1085" i="34"/>
  <c r="T1085" i="34"/>
  <c r="S1085" i="34"/>
  <c r="U1084" i="34"/>
  <c r="T1084" i="34"/>
  <c r="S1084" i="34"/>
  <c r="U1083" i="34"/>
  <c r="T1083" i="34"/>
  <c r="S1083" i="34"/>
  <c r="U1082" i="34"/>
  <c r="T1082" i="34"/>
  <c r="S1082" i="34"/>
  <c r="U1081" i="34"/>
  <c r="T1081" i="34"/>
  <c r="S1081" i="34"/>
  <c r="U1080" i="34"/>
  <c r="T1080" i="34"/>
  <c r="S1080" i="34"/>
  <c r="U1079" i="34"/>
  <c r="T1079" i="34"/>
  <c r="S1079" i="34"/>
  <c r="U1078" i="34"/>
  <c r="T1078" i="34"/>
  <c r="S1078" i="34"/>
  <c r="U1077" i="34"/>
  <c r="T1077" i="34"/>
  <c r="S1077" i="34"/>
  <c r="U1076" i="34"/>
  <c r="T1076" i="34"/>
  <c r="S1076" i="34"/>
  <c r="U1075" i="34"/>
  <c r="T1075" i="34"/>
  <c r="S1075" i="34"/>
  <c r="U1074" i="34"/>
  <c r="T1074" i="34"/>
  <c r="S1074" i="34"/>
  <c r="U1073" i="34"/>
  <c r="T1073" i="34"/>
  <c r="S1073" i="34"/>
  <c r="U1072" i="34"/>
  <c r="T1072" i="34"/>
  <c r="S1072" i="34"/>
  <c r="T1071" i="34"/>
  <c r="U1070" i="34"/>
  <c r="T1070" i="34"/>
  <c r="S1070" i="34"/>
  <c r="U1069" i="34"/>
  <c r="T1069" i="34"/>
  <c r="S1069" i="34"/>
  <c r="U1068" i="34"/>
  <c r="T1068" i="34"/>
  <c r="S1068" i="34"/>
  <c r="U1067" i="34"/>
  <c r="T1067" i="34"/>
  <c r="S1067" i="34"/>
  <c r="U1066" i="34"/>
  <c r="T1066" i="34"/>
  <c r="S1066" i="34"/>
  <c r="U1065" i="34"/>
  <c r="T1065" i="34"/>
  <c r="S1065" i="34"/>
  <c r="U1064" i="34"/>
  <c r="T1064" i="34"/>
  <c r="S1064" i="34"/>
  <c r="U1063" i="34"/>
  <c r="T1063" i="34"/>
  <c r="S1063" i="34"/>
  <c r="U1062" i="34"/>
  <c r="T1062" i="34"/>
  <c r="S1062" i="34"/>
  <c r="U1061" i="34"/>
  <c r="T1061" i="34"/>
  <c r="S1061" i="34"/>
  <c r="U1060" i="34"/>
  <c r="T1060" i="34"/>
  <c r="S1060" i="34"/>
  <c r="U1059" i="34"/>
  <c r="D7" i="76" s="1"/>
  <c r="T1059" i="34"/>
  <c r="S1059" i="34"/>
  <c r="U1058" i="34"/>
  <c r="T1058" i="34"/>
  <c r="S1058" i="34"/>
  <c r="U1057" i="34"/>
  <c r="T1057" i="34"/>
  <c r="S1057" i="34"/>
  <c r="U1056" i="34"/>
  <c r="T1056" i="34"/>
  <c r="S1056" i="34"/>
  <c r="U1055" i="34"/>
  <c r="T1055" i="34"/>
  <c r="S1055" i="34"/>
  <c r="U1054" i="34"/>
  <c r="T1054" i="34"/>
  <c r="S1054" i="34"/>
  <c r="U1053" i="34"/>
  <c r="T1053" i="34"/>
  <c r="S1053" i="34"/>
  <c r="U1052" i="34"/>
  <c r="T1052" i="34"/>
  <c r="S1052" i="34"/>
  <c r="U1051" i="34"/>
  <c r="T1051" i="34"/>
  <c r="S1051" i="34"/>
  <c r="U1050" i="34"/>
  <c r="T1050" i="34"/>
  <c r="S1050" i="34"/>
  <c r="U1049" i="34"/>
  <c r="T1049" i="34"/>
  <c r="S1049" i="34"/>
  <c r="U1048" i="34"/>
  <c r="T1048" i="34"/>
  <c r="S1048" i="34"/>
  <c r="U1047" i="34"/>
  <c r="T1047" i="34"/>
  <c r="S1047" i="34"/>
  <c r="U1046" i="34"/>
  <c r="T1046" i="34"/>
  <c r="S1046" i="34"/>
  <c r="U1045" i="34"/>
  <c r="T1045" i="34"/>
  <c r="S1045" i="34"/>
  <c r="U1044" i="34"/>
  <c r="T1044" i="34"/>
  <c r="S1044" i="34"/>
  <c r="U1043" i="34"/>
  <c r="T1043" i="34"/>
  <c r="S1043" i="34"/>
  <c r="U1042" i="34"/>
  <c r="T1042" i="34"/>
  <c r="S1042" i="34"/>
  <c r="U1041" i="34"/>
  <c r="T1041" i="34"/>
  <c r="S1041" i="34"/>
  <c r="U1040" i="34"/>
  <c r="T1040" i="34"/>
  <c r="S1040" i="34"/>
  <c r="U1039" i="34"/>
  <c r="T1039" i="34"/>
  <c r="S1039" i="34"/>
  <c r="U1038" i="34"/>
  <c r="T1038" i="34"/>
  <c r="S1038" i="34"/>
  <c r="U1037" i="34"/>
  <c r="T1037" i="34"/>
  <c r="S1037" i="34"/>
  <c r="U1036" i="34"/>
  <c r="T1036" i="34"/>
  <c r="S1036" i="34"/>
  <c r="U1035" i="34"/>
  <c r="T1035" i="34"/>
  <c r="S1035" i="34"/>
  <c r="U1034" i="34"/>
  <c r="T1034" i="34"/>
  <c r="S1034" i="34"/>
  <c r="U1033" i="34"/>
  <c r="T1033" i="34"/>
  <c r="S1033" i="34"/>
  <c r="U1032" i="34"/>
  <c r="T1032" i="34"/>
  <c r="S1032" i="34"/>
  <c r="U1031" i="34"/>
  <c r="T1031" i="34"/>
  <c r="S1031" i="34"/>
  <c r="U1030" i="34"/>
  <c r="T1030" i="34"/>
  <c r="S1030" i="34"/>
  <c r="U1029" i="34"/>
  <c r="T1029" i="34"/>
  <c r="S1029" i="34"/>
  <c r="U1028" i="34"/>
  <c r="T1028" i="34"/>
  <c r="S1028" i="34"/>
  <c r="U1027" i="34"/>
  <c r="T1027" i="34"/>
  <c r="S1027" i="34"/>
  <c r="U1026" i="34"/>
  <c r="T1026" i="34"/>
  <c r="S1026" i="34"/>
  <c r="U1025" i="34"/>
  <c r="T1025" i="34"/>
  <c r="S1025" i="34"/>
  <c r="U1024" i="34"/>
  <c r="T1024" i="34"/>
  <c r="S1024" i="34"/>
  <c r="U1023" i="34"/>
  <c r="T1023" i="34"/>
  <c r="S1023" i="34"/>
  <c r="U1022" i="34"/>
  <c r="T1022" i="34"/>
  <c r="S1022" i="34"/>
  <c r="U1021" i="34"/>
  <c r="T1021" i="34"/>
  <c r="S1021" i="34"/>
  <c r="U1020" i="34"/>
  <c r="T1020" i="34"/>
  <c r="S1020" i="34"/>
  <c r="U1019" i="34"/>
  <c r="T1019" i="34"/>
  <c r="S1019" i="34"/>
  <c r="U1018" i="34"/>
  <c r="T1018" i="34"/>
  <c r="S1018" i="34"/>
  <c r="U1017" i="34"/>
  <c r="T1017" i="34"/>
  <c r="S1017" i="34"/>
  <c r="U1016" i="34"/>
  <c r="T1016" i="34"/>
  <c r="S1016" i="34"/>
  <c r="U1015" i="34"/>
  <c r="T1015" i="34"/>
  <c r="S1015" i="34"/>
  <c r="U1014" i="34"/>
  <c r="T1014" i="34"/>
  <c r="S1014" i="34"/>
  <c r="U1013" i="34"/>
  <c r="T1013" i="34"/>
  <c r="S1013" i="34"/>
  <c r="U1012" i="34"/>
  <c r="T1012" i="34"/>
  <c r="S1012" i="34"/>
  <c r="U1011" i="34"/>
  <c r="T1011" i="34"/>
  <c r="S1011" i="34"/>
  <c r="U1010" i="34"/>
  <c r="T1010" i="34"/>
  <c r="S1010" i="34"/>
  <c r="U1009" i="34"/>
  <c r="T1009" i="34"/>
  <c r="S1009" i="34"/>
  <c r="U1008" i="34"/>
  <c r="T1008" i="34"/>
  <c r="S1008" i="34"/>
  <c r="U1007" i="34"/>
  <c r="T1007" i="34"/>
  <c r="S1007" i="34"/>
  <c r="U1006" i="34"/>
  <c r="T1006" i="34"/>
  <c r="S1006" i="34"/>
  <c r="U1005" i="34"/>
  <c r="T1005" i="34"/>
  <c r="S1005" i="34"/>
  <c r="U1004" i="34"/>
  <c r="T1004" i="34"/>
  <c r="S1004" i="34"/>
  <c r="U1003" i="34"/>
  <c r="T1003" i="34"/>
  <c r="S1003" i="34"/>
  <c r="U1002" i="34"/>
  <c r="T1002" i="34"/>
  <c r="S1002" i="34"/>
  <c r="U1001" i="34"/>
  <c r="T1001" i="34"/>
  <c r="S1001" i="34"/>
  <c r="U1000" i="34"/>
  <c r="T1000" i="34"/>
  <c r="S1000" i="34"/>
  <c r="U999" i="34"/>
  <c r="T999" i="34"/>
  <c r="S999" i="34"/>
  <c r="U998" i="34"/>
  <c r="T998" i="34"/>
  <c r="S998" i="34"/>
  <c r="U997" i="34"/>
  <c r="T997" i="34"/>
  <c r="S997" i="34"/>
  <c r="U996" i="34"/>
  <c r="T996" i="34"/>
  <c r="S996" i="34"/>
  <c r="U995" i="34"/>
  <c r="T995" i="34"/>
  <c r="S995" i="34"/>
  <c r="U994" i="34"/>
  <c r="T994" i="34"/>
  <c r="S994" i="34"/>
  <c r="U993" i="34"/>
  <c r="T993" i="34"/>
  <c r="S993" i="34"/>
  <c r="U992" i="34"/>
  <c r="T992" i="34"/>
  <c r="S992" i="34"/>
  <c r="U991" i="34"/>
  <c r="T991" i="34"/>
  <c r="S991" i="34"/>
  <c r="U990" i="34"/>
  <c r="T990" i="34"/>
  <c r="S990" i="34"/>
  <c r="U989" i="34"/>
  <c r="T989" i="34"/>
  <c r="S989" i="34"/>
  <c r="U988" i="34"/>
  <c r="T988" i="34"/>
  <c r="S988" i="34"/>
  <c r="U987" i="34"/>
  <c r="T987" i="34"/>
  <c r="S987" i="34"/>
  <c r="U986" i="34"/>
  <c r="T986" i="34"/>
  <c r="S986" i="34"/>
  <c r="U985" i="34"/>
  <c r="T985" i="34"/>
  <c r="S985" i="34"/>
  <c r="U984" i="34"/>
  <c r="T984" i="34"/>
  <c r="S984" i="34"/>
  <c r="U983" i="34"/>
  <c r="T983" i="34"/>
  <c r="S983" i="34"/>
  <c r="U982" i="34"/>
  <c r="T982" i="34"/>
  <c r="S982" i="34"/>
  <c r="U981" i="34"/>
  <c r="T981" i="34"/>
  <c r="S981" i="34"/>
  <c r="U980" i="34"/>
  <c r="T980" i="34"/>
  <c r="S980" i="34"/>
  <c r="U979" i="34"/>
  <c r="T979" i="34"/>
  <c r="S979" i="34"/>
  <c r="U978" i="34"/>
  <c r="T978" i="34"/>
  <c r="S978" i="34"/>
  <c r="U977" i="34"/>
  <c r="T977" i="34"/>
  <c r="S977" i="34"/>
  <c r="U976" i="34"/>
  <c r="T976" i="34"/>
  <c r="S976" i="34"/>
  <c r="U975" i="34"/>
  <c r="T975" i="34"/>
  <c r="S975" i="34"/>
  <c r="U974" i="34"/>
  <c r="T974" i="34"/>
  <c r="S974" i="34"/>
  <c r="U973" i="34"/>
  <c r="T973" i="34"/>
  <c r="S973" i="34"/>
  <c r="U972" i="34"/>
  <c r="T972" i="34"/>
  <c r="S972" i="34"/>
  <c r="U971" i="34"/>
  <c r="T971" i="34"/>
  <c r="S971" i="34"/>
  <c r="U970" i="34"/>
  <c r="T970" i="34"/>
  <c r="S970" i="34"/>
  <c r="U969" i="34"/>
  <c r="T969" i="34"/>
  <c r="S969" i="34"/>
  <c r="U968" i="34"/>
  <c r="T968" i="34"/>
  <c r="S968" i="34"/>
  <c r="U967" i="34"/>
  <c r="T967" i="34"/>
  <c r="S967" i="34"/>
  <c r="U966" i="34"/>
  <c r="T966" i="34"/>
  <c r="S966" i="34"/>
  <c r="U965" i="34"/>
  <c r="T965" i="34"/>
  <c r="S965" i="34"/>
  <c r="U964" i="34"/>
  <c r="T964" i="34"/>
  <c r="S964" i="34"/>
  <c r="U963" i="34"/>
  <c r="T963" i="34"/>
  <c r="S963" i="34"/>
  <c r="U962" i="34"/>
  <c r="T962" i="34"/>
  <c r="S962" i="34"/>
  <c r="U961" i="34"/>
  <c r="T961" i="34"/>
  <c r="S961" i="34"/>
  <c r="U960" i="34"/>
  <c r="T960" i="34"/>
  <c r="S960" i="34"/>
  <c r="U959" i="34"/>
  <c r="T959" i="34"/>
  <c r="S959" i="34"/>
  <c r="U958" i="34"/>
  <c r="T958" i="34"/>
  <c r="S958" i="34"/>
  <c r="U957" i="34"/>
  <c r="T957" i="34"/>
  <c r="S957" i="34"/>
  <c r="U956" i="34"/>
  <c r="T956" i="34"/>
  <c r="S956" i="34"/>
  <c r="U955" i="34"/>
  <c r="T955" i="34"/>
  <c r="S955" i="34"/>
  <c r="T954" i="34"/>
  <c r="U953" i="34"/>
  <c r="T953" i="34"/>
  <c r="S953" i="34"/>
  <c r="U952" i="34"/>
  <c r="T952" i="34"/>
  <c r="S952" i="34"/>
  <c r="U951" i="34"/>
  <c r="T951" i="34"/>
  <c r="S951" i="34"/>
  <c r="U950" i="34"/>
  <c r="T950" i="34"/>
  <c r="S950" i="34"/>
  <c r="U949" i="34"/>
  <c r="T949" i="34"/>
  <c r="S949" i="34"/>
  <c r="U948" i="34"/>
  <c r="T948" i="34"/>
  <c r="S948" i="34"/>
  <c r="U947" i="34"/>
  <c r="T947" i="34"/>
  <c r="S947" i="34"/>
  <c r="U946" i="34"/>
  <c r="T946" i="34"/>
  <c r="S946" i="34"/>
  <c r="U945" i="34"/>
  <c r="T945" i="34"/>
  <c r="S945" i="34"/>
  <c r="U944" i="34"/>
  <c r="T944" i="34"/>
  <c r="S944" i="34"/>
  <c r="U943" i="34"/>
  <c r="T943" i="34"/>
  <c r="S943" i="34"/>
  <c r="U942" i="34"/>
  <c r="D6" i="76" s="1"/>
  <c r="T942" i="34"/>
  <c r="S942" i="34"/>
  <c r="U941" i="34"/>
  <c r="T941" i="34"/>
  <c r="S941" i="34"/>
  <c r="U940" i="34"/>
  <c r="T940" i="34"/>
  <c r="S940" i="34"/>
  <c r="U939" i="34"/>
  <c r="T939" i="34"/>
  <c r="S939" i="34"/>
  <c r="U938" i="34"/>
  <c r="T938" i="34"/>
  <c r="S938" i="34"/>
  <c r="U937" i="34"/>
  <c r="T937" i="34"/>
  <c r="S937" i="34"/>
  <c r="U936" i="34"/>
  <c r="T936" i="34"/>
  <c r="S936" i="34"/>
  <c r="U935" i="34"/>
  <c r="T935" i="34"/>
  <c r="S935" i="34"/>
  <c r="U934" i="34"/>
  <c r="T934" i="34"/>
  <c r="S934" i="34"/>
  <c r="U933" i="34"/>
  <c r="T933" i="34"/>
  <c r="S933" i="34"/>
  <c r="U932" i="34"/>
  <c r="T932" i="34"/>
  <c r="S932" i="34"/>
  <c r="U931" i="34"/>
  <c r="T931" i="34"/>
  <c r="S931" i="34"/>
  <c r="U930" i="34"/>
  <c r="T930" i="34"/>
  <c r="S930" i="34"/>
  <c r="U929" i="34"/>
  <c r="T929" i="34"/>
  <c r="S929" i="34"/>
  <c r="U928" i="34"/>
  <c r="T928" i="34"/>
  <c r="S928" i="34"/>
  <c r="U927" i="34"/>
  <c r="T927" i="34"/>
  <c r="S927" i="34"/>
  <c r="U926" i="34"/>
  <c r="T926" i="34"/>
  <c r="S926" i="34"/>
  <c r="U925" i="34"/>
  <c r="T925" i="34"/>
  <c r="S925" i="34"/>
  <c r="U924" i="34"/>
  <c r="T924" i="34"/>
  <c r="S924" i="34"/>
  <c r="U923" i="34"/>
  <c r="T923" i="34"/>
  <c r="S923" i="34"/>
  <c r="U922" i="34"/>
  <c r="T922" i="34"/>
  <c r="S922" i="34"/>
  <c r="U921" i="34"/>
  <c r="T921" i="34"/>
  <c r="S921" i="34"/>
  <c r="U920" i="34"/>
  <c r="T920" i="34"/>
  <c r="S920" i="34"/>
  <c r="U919" i="34"/>
  <c r="T919" i="34"/>
  <c r="S919" i="34"/>
  <c r="U918" i="34"/>
  <c r="T918" i="34"/>
  <c r="S918" i="34"/>
  <c r="U917" i="34"/>
  <c r="T917" i="34"/>
  <c r="S917" i="34"/>
  <c r="U916" i="34"/>
  <c r="T916" i="34"/>
  <c r="S916" i="34"/>
  <c r="U915" i="34"/>
  <c r="T915" i="34"/>
  <c r="S915" i="34"/>
  <c r="U914" i="34"/>
  <c r="T914" i="34"/>
  <c r="S914" i="34"/>
  <c r="U913" i="34"/>
  <c r="T913" i="34"/>
  <c r="S913" i="34"/>
  <c r="U912" i="34"/>
  <c r="T912" i="34"/>
  <c r="S912" i="34"/>
  <c r="U911" i="34"/>
  <c r="T911" i="34"/>
  <c r="S911" i="34"/>
  <c r="U910" i="34"/>
  <c r="T910" i="34"/>
  <c r="S910" i="34"/>
  <c r="U909" i="34"/>
  <c r="T909" i="34"/>
  <c r="S909" i="34"/>
  <c r="U908" i="34"/>
  <c r="T908" i="34"/>
  <c r="S908" i="34"/>
  <c r="U907" i="34"/>
  <c r="T907" i="34"/>
  <c r="S907" i="34"/>
  <c r="U906" i="34"/>
  <c r="T906" i="34"/>
  <c r="S906" i="34"/>
  <c r="U905" i="34"/>
  <c r="T905" i="34"/>
  <c r="S905" i="34"/>
  <c r="U904" i="34"/>
  <c r="T904" i="34"/>
  <c r="S904" i="34"/>
  <c r="U903" i="34"/>
  <c r="T903" i="34"/>
  <c r="S903" i="34"/>
  <c r="U902" i="34"/>
  <c r="T902" i="34"/>
  <c r="S902" i="34"/>
  <c r="U901" i="34"/>
  <c r="T901" i="34"/>
  <c r="S901" i="34"/>
  <c r="U900" i="34"/>
  <c r="T900" i="34"/>
  <c r="S900" i="34"/>
  <c r="U899" i="34"/>
  <c r="T899" i="34"/>
  <c r="S899" i="34"/>
  <c r="U898" i="34"/>
  <c r="T898" i="34"/>
  <c r="S898" i="34"/>
  <c r="U897" i="34"/>
  <c r="T897" i="34"/>
  <c r="S897" i="34"/>
  <c r="U896" i="34"/>
  <c r="T896" i="34"/>
  <c r="S896" i="34"/>
  <c r="U895" i="34"/>
  <c r="T895" i="34"/>
  <c r="S895" i="34"/>
  <c r="U894" i="34"/>
  <c r="T894" i="34"/>
  <c r="S894" i="34"/>
  <c r="U893" i="34"/>
  <c r="T893" i="34"/>
  <c r="S893" i="34"/>
  <c r="U892" i="34"/>
  <c r="T892" i="34"/>
  <c r="S892" i="34"/>
  <c r="U891" i="34"/>
  <c r="T891" i="34"/>
  <c r="S891" i="34"/>
  <c r="U890" i="34"/>
  <c r="T890" i="34"/>
  <c r="S890" i="34"/>
  <c r="U889" i="34"/>
  <c r="T889" i="34"/>
  <c r="S889" i="34"/>
  <c r="U888" i="34"/>
  <c r="T888" i="34"/>
  <c r="S888" i="34"/>
  <c r="U887" i="34"/>
  <c r="T887" i="34"/>
  <c r="S887" i="34"/>
  <c r="U886" i="34"/>
  <c r="T886" i="34"/>
  <c r="S886" i="34"/>
  <c r="U885" i="34"/>
  <c r="T885" i="34"/>
  <c r="S885" i="34"/>
  <c r="U884" i="34"/>
  <c r="T884" i="34"/>
  <c r="S884" i="34"/>
  <c r="U883" i="34"/>
  <c r="T883" i="34"/>
  <c r="S883" i="34"/>
  <c r="U882" i="34"/>
  <c r="T882" i="34"/>
  <c r="S882" i="34"/>
  <c r="U881" i="34"/>
  <c r="T881" i="34"/>
  <c r="S881" i="34"/>
  <c r="U880" i="34"/>
  <c r="T880" i="34"/>
  <c r="S880" i="34"/>
  <c r="U879" i="34"/>
  <c r="T879" i="34"/>
  <c r="S879" i="34"/>
  <c r="U878" i="34"/>
  <c r="T878" i="34"/>
  <c r="S878" i="34"/>
  <c r="U877" i="34"/>
  <c r="T877" i="34"/>
  <c r="S877" i="34"/>
  <c r="U876" i="34"/>
  <c r="T876" i="34"/>
  <c r="S876" i="34"/>
  <c r="U875" i="34"/>
  <c r="T875" i="34"/>
  <c r="S875" i="34"/>
  <c r="U874" i="34"/>
  <c r="T874" i="34"/>
  <c r="S874" i="34"/>
  <c r="U873" i="34"/>
  <c r="T873" i="34"/>
  <c r="S873" i="34"/>
  <c r="U872" i="34"/>
  <c r="T872" i="34"/>
  <c r="S872" i="34"/>
  <c r="U871" i="34"/>
  <c r="T871" i="34"/>
  <c r="S871" i="34"/>
  <c r="U870" i="34"/>
  <c r="T870" i="34"/>
  <c r="S870" i="34"/>
  <c r="U869" i="34"/>
  <c r="T869" i="34"/>
  <c r="S869" i="34"/>
  <c r="U868" i="34"/>
  <c r="T868" i="34"/>
  <c r="S868" i="34"/>
  <c r="U867" i="34"/>
  <c r="T867" i="34"/>
  <c r="S867" i="34"/>
  <c r="U866" i="34"/>
  <c r="T866" i="34"/>
  <c r="S866" i="34"/>
  <c r="U865" i="34"/>
  <c r="T865" i="34"/>
  <c r="S865" i="34"/>
  <c r="U864" i="34"/>
  <c r="T864" i="34"/>
  <c r="S864" i="34"/>
  <c r="U863" i="34"/>
  <c r="T863" i="34"/>
  <c r="S863" i="34"/>
  <c r="U862" i="34"/>
  <c r="T862" i="34"/>
  <c r="S862" i="34"/>
  <c r="U861" i="34"/>
  <c r="T861" i="34"/>
  <c r="S861" i="34"/>
  <c r="U860" i="34"/>
  <c r="T860" i="34"/>
  <c r="S860" i="34"/>
  <c r="U859" i="34"/>
  <c r="T859" i="34"/>
  <c r="S859" i="34"/>
  <c r="U858" i="34"/>
  <c r="T858" i="34"/>
  <c r="S858" i="34"/>
  <c r="U857" i="34"/>
  <c r="T857" i="34"/>
  <c r="S857" i="34"/>
  <c r="U856" i="34"/>
  <c r="T856" i="34"/>
  <c r="S856" i="34"/>
  <c r="U855" i="34"/>
  <c r="T855" i="34"/>
  <c r="S855" i="34"/>
  <c r="U854" i="34"/>
  <c r="T854" i="34"/>
  <c r="S854" i="34"/>
  <c r="U853" i="34"/>
  <c r="T853" i="34"/>
  <c r="S853" i="34"/>
  <c r="U852" i="34"/>
  <c r="T852" i="34"/>
  <c r="S852" i="34"/>
  <c r="U851" i="34"/>
  <c r="T851" i="34"/>
  <c r="S851" i="34"/>
  <c r="U850" i="34"/>
  <c r="T850" i="34"/>
  <c r="S850" i="34"/>
  <c r="U849" i="34"/>
  <c r="T849" i="34"/>
  <c r="S849" i="34"/>
  <c r="U848" i="34"/>
  <c r="T848" i="34"/>
  <c r="S848" i="34"/>
  <c r="U847" i="34"/>
  <c r="T847" i="34"/>
  <c r="S847" i="34"/>
  <c r="U846" i="34"/>
  <c r="T846" i="34"/>
  <c r="S846" i="34"/>
  <c r="U845" i="34"/>
  <c r="T845" i="34"/>
  <c r="S845" i="34"/>
  <c r="U844" i="34"/>
  <c r="T844" i="34"/>
  <c r="S844" i="34"/>
  <c r="U843" i="34"/>
  <c r="T843" i="34"/>
  <c r="S843" i="34"/>
  <c r="U842" i="34"/>
  <c r="T842" i="34"/>
  <c r="S842" i="34"/>
  <c r="U841" i="34"/>
  <c r="T841" i="34"/>
  <c r="S841" i="34"/>
  <c r="U840" i="34"/>
  <c r="T840" i="34"/>
  <c r="S840" i="34"/>
  <c r="U839" i="34"/>
  <c r="T839" i="34"/>
  <c r="S839" i="34"/>
  <c r="U838" i="34"/>
  <c r="T838" i="34"/>
  <c r="S838" i="34"/>
  <c r="U822" i="34"/>
  <c r="T822" i="34"/>
  <c r="S822" i="34"/>
  <c r="U821" i="34"/>
  <c r="T821" i="34"/>
  <c r="S821" i="34"/>
  <c r="U820" i="34"/>
  <c r="T820" i="34"/>
  <c r="S820" i="34"/>
  <c r="U819" i="34"/>
  <c r="T819" i="34"/>
  <c r="S819" i="34"/>
  <c r="U818" i="34"/>
  <c r="T818" i="34"/>
  <c r="S818" i="34"/>
  <c r="U817" i="34"/>
  <c r="T817" i="34"/>
  <c r="S817" i="34"/>
  <c r="U816" i="34"/>
  <c r="T816" i="34"/>
  <c r="S816" i="34"/>
  <c r="U815" i="34"/>
  <c r="T815" i="34"/>
  <c r="S815" i="34"/>
  <c r="U814" i="34"/>
  <c r="T814" i="34"/>
  <c r="S814" i="34"/>
  <c r="U813" i="34"/>
  <c r="T813" i="34"/>
  <c r="S813" i="34"/>
  <c r="U812" i="34"/>
  <c r="T812" i="34"/>
  <c r="S812" i="34"/>
  <c r="U811" i="34"/>
  <c r="T811" i="34"/>
  <c r="S811" i="34"/>
  <c r="U810" i="34"/>
  <c r="T810" i="34"/>
  <c r="S810" i="34"/>
  <c r="U809" i="34"/>
  <c r="T809" i="34"/>
  <c r="S809" i="34"/>
  <c r="U808" i="34"/>
  <c r="T808" i="34"/>
  <c r="S808" i="34"/>
  <c r="U807" i="34"/>
  <c r="T807" i="34"/>
  <c r="S807" i="34"/>
  <c r="U806" i="34"/>
  <c r="T806" i="34"/>
  <c r="S806" i="34"/>
  <c r="U805" i="34"/>
  <c r="T805" i="34"/>
  <c r="S805" i="34"/>
  <c r="U804" i="34"/>
  <c r="T804" i="34"/>
  <c r="S804" i="34"/>
  <c r="U803" i="34"/>
  <c r="T803" i="34"/>
  <c r="S803" i="34"/>
  <c r="U802" i="34"/>
  <c r="T802" i="34"/>
  <c r="S802" i="34"/>
  <c r="U801" i="34"/>
  <c r="T801" i="34"/>
  <c r="S801" i="34"/>
  <c r="U800" i="34"/>
  <c r="T800" i="34"/>
  <c r="S800" i="34"/>
  <c r="U799" i="34"/>
  <c r="T799" i="34"/>
  <c r="S799" i="34"/>
  <c r="U798" i="34"/>
  <c r="T798" i="34"/>
  <c r="S798" i="34"/>
  <c r="U797" i="34"/>
  <c r="T797" i="34"/>
  <c r="S797" i="34"/>
  <c r="U796" i="34"/>
  <c r="T796" i="34"/>
  <c r="S796" i="34"/>
  <c r="U795" i="34"/>
  <c r="T795" i="34"/>
  <c r="S795" i="34"/>
  <c r="U794" i="34"/>
  <c r="T794" i="34"/>
  <c r="S794" i="34"/>
  <c r="U793" i="34"/>
  <c r="T793" i="34"/>
  <c r="S793" i="34"/>
  <c r="U792" i="34"/>
  <c r="T792" i="34"/>
  <c r="S792" i="34"/>
  <c r="U791" i="34"/>
  <c r="T791" i="34"/>
  <c r="S791" i="34"/>
  <c r="U790" i="34"/>
  <c r="T790" i="34"/>
  <c r="S790" i="34"/>
  <c r="U789" i="34"/>
  <c r="T789" i="34"/>
  <c r="S789" i="34"/>
  <c r="U788" i="34"/>
  <c r="T788" i="34"/>
  <c r="S788" i="34"/>
  <c r="U787" i="34"/>
  <c r="T787" i="34"/>
  <c r="S787" i="34"/>
  <c r="U786" i="34"/>
  <c r="T786" i="34"/>
  <c r="S786" i="34"/>
  <c r="U785" i="34"/>
  <c r="T785" i="34"/>
  <c r="S785" i="34"/>
  <c r="U784" i="34"/>
  <c r="T784" i="34"/>
  <c r="S784" i="34"/>
  <c r="U783" i="34"/>
  <c r="T783" i="34"/>
  <c r="S783" i="34"/>
  <c r="U782" i="34"/>
  <c r="T782" i="34"/>
  <c r="S782" i="34"/>
  <c r="U781" i="34"/>
  <c r="T781" i="34"/>
  <c r="S781" i="34"/>
  <c r="U780" i="34"/>
  <c r="T780" i="34"/>
  <c r="S780" i="34"/>
  <c r="U779" i="34"/>
  <c r="T779" i="34"/>
  <c r="S779" i="34"/>
  <c r="U778" i="34"/>
  <c r="T778" i="34"/>
  <c r="S778" i="34"/>
  <c r="U777" i="34"/>
  <c r="T777" i="34"/>
  <c r="S777" i="34"/>
  <c r="U776" i="34"/>
  <c r="T776" i="34"/>
  <c r="S776" i="34"/>
  <c r="U775" i="34"/>
  <c r="T775" i="34"/>
  <c r="S775" i="34"/>
  <c r="U774" i="34"/>
  <c r="T774" i="34"/>
  <c r="S774" i="34"/>
  <c r="U773" i="34"/>
  <c r="T773" i="34"/>
  <c r="S773" i="34"/>
  <c r="U772" i="34"/>
  <c r="T772" i="34"/>
  <c r="S772" i="34"/>
  <c r="U771" i="34"/>
  <c r="T771" i="34"/>
  <c r="S771" i="34"/>
  <c r="U770" i="34"/>
  <c r="T770" i="34"/>
  <c r="S770" i="34"/>
  <c r="U769" i="34"/>
  <c r="T769" i="34"/>
  <c r="S769" i="34"/>
  <c r="U768" i="34"/>
  <c r="T768" i="34"/>
  <c r="S768" i="34"/>
  <c r="U767" i="34"/>
  <c r="T767" i="34"/>
  <c r="S767" i="34"/>
  <c r="U766" i="34"/>
  <c r="T766" i="34"/>
  <c r="S766" i="34"/>
  <c r="U765" i="34"/>
  <c r="T765" i="34"/>
  <c r="S765" i="34"/>
  <c r="U764" i="34"/>
  <c r="T764" i="34"/>
  <c r="S764" i="34"/>
  <c r="U763" i="34"/>
  <c r="T763" i="34"/>
  <c r="S763" i="34"/>
  <c r="U762" i="34"/>
  <c r="T762" i="34"/>
  <c r="S762" i="34"/>
  <c r="U761" i="34"/>
  <c r="T761" i="34"/>
  <c r="S761" i="34"/>
  <c r="U760" i="34"/>
  <c r="T760" i="34"/>
  <c r="S760" i="34"/>
  <c r="U759" i="34"/>
  <c r="T759" i="34"/>
  <c r="S759" i="34"/>
  <c r="U758" i="34"/>
  <c r="T758" i="34"/>
  <c r="S758" i="34"/>
  <c r="U757" i="34"/>
  <c r="T757" i="34"/>
  <c r="S757" i="34"/>
  <c r="U756" i="34"/>
  <c r="T756" i="34"/>
  <c r="S756" i="34"/>
  <c r="U755" i="34"/>
  <c r="T755" i="34"/>
  <c r="S755" i="34"/>
  <c r="U754" i="34"/>
  <c r="T754" i="34"/>
  <c r="S754" i="34"/>
  <c r="U753" i="34"/>
  <c r="T753" i="34"/>
  <c r="S753" i="34"/>
  <c r="U752" i="34"/>
  <c r="T752" i="34"/>
  <c r="S752" i="34"/>
  <c r="U751" i="34"/>
  <c r="T751" i="34"/>
  <c r="S751" i="34"/>
  <c r="U750" i="34"/>
  <c r="T750" i="34"/>
  <c r="S750" i="34"/>
  <c r="U749" i="34"/>
  <c r="T749" i="34"/>
  <c r="S749" i="34"/>
  <c r="U748" i="34"/>
  <c r="T748" i="34"/>
  <c r="S748" i="34"/>
  <c r="U747" i="34"/>
  <c r="T747" i="34"/>
  <c r="S747" i="34"/>
  <c r="U746" i="34"/>
  <c r="T746" i="34"/>
  <c r="S746" i="34"/>
  <c r="U745" i="34"/>
  <c r="T745" i="34"/>
  <c r="S745" i="34"/>
  <c r="U744" i="34"/>
  <c r="T744" i="34"/>
  <c r="S744" i="34"/>
  <c r="U743" i="34"/>
  <c r="T743" i="34"/>
  <c r="S743" i="34"/>
  <c r="U742" i="34"/>
  <c r="T742" i="34"/>
  <c r="S742" i="34"/>
  <c r="U741" i="34"/>
  <c r="T741" i="34"/>
  <c r="S741" i="34"/>
  <c r="U740" i="34"/>
  <c r="T740" i="34"/>
  <c r="S740" i="34"/>
  <c r="U739" i="34"/>
  <c r="T739" i="34"/>
  <c r="S739" i="34"/>
  <c r="U738" i="34"/>
  <c r="T738" i="34"/>
  <c r="S738" i="34"/>
  <c r="U737" i="34"/>
  <c r="T737" i="34"/>
  <c r="S737" i="34"/>
  <c r="U736" i="34"/>
  <c r="T736" i="34"/>
  <c r="S736" i="34"/>
  <c r="U735" i="34"/>
  <c r="T735" i="34"/>
  <c r="S735" i="34"/>
  <c r="U734" i="34"/>
  <c r="T734" i="34"/>
  <c r="S734" i="34"/>
  <c r="U733" i="34"/>
  <c r="T733" i="34"/>
  <c r="S733" i="34"/>
  <c r="U732" i="34"/>
  <c r="T732" i="34"/>
  <c r="S732" i="34"/>
  <c r="U731" i="34"/>
  <c r="T731" i="34"/>
  <c r="S731" i="34"/>
  <c r="U730" i="34"/>
  <c r="T730" i="34"/>
  <c r="S730" i="34"/>
  <c r="U729" i="34"/>
  <c r="T729" i="34"/>
  <c r="S729" i="34"/>
  <c r="U728" i="34"/>
  <c r="T728" i="34"/>
  <c r="S728" i="34"/>
  <c r="U727" i="34"/>
  <c r="T727" i="34"/>
  <c r="S727" i="34"/>
  <c r="U726" i="34"/>
  <c r="T726" i="34"/>
  <c r="S726" i="34"/>
  <c r="U725" i="34"/>
  <c r="T725" i="34"/>
  <c r="S725" i="34"/>
  <c r="U724" i="34"/>
  <c r="T724" i="34"/>
  <c r="S724" i="34"/>
  <c r="U723" i="34"/>
  <c r="T723" i="34"/>
  <c r="S723" i="34"/>
  <c r="U722" i="34"/>
  <c r="T722" i="34"/>
  <c r="S722" i="34"/>
  <c r="U721" i="34"/>
  <c r="T721" i="34"/>
  <c r="S721" i="34"/>
  <c r="T720" i="34"/>
  <c r="U719" i="34"/>
  <c r="T719" i="34"/>
  <c r="S719" i="34"/>
  <c r="U718" i="34"/>
  <c r="T718" i="34"/>
  <c r="S718" i="34"/>
  <c r="U717" i="34"/>
  <c r="T717" i="34"/>
  <c r="S717" i="34"/>
  <c r="U716" i="34"/>
  <c r="T716" i="34"/>
  <c r="S716" i="34"/>
  <c r="U715" i="34"/>
  <c r="T715" i="34"/>
  <c r="S715" i="34"/>
  <c r="U714" i="34"/>
  <c r="T714" i="34"/>
  <c r="S714" i="34"/>
  <c r="U713" i="34"/>
  <c r="T713" i="34"/>
  <c r="S713" i="34"/>
  <c r="U712" i="34"/>
  <c r="T712" i="34"/>
  <c r="S712" i="34"/>
  <c r="U711" i="34"/>
  <c r="T711" i="34"/>
  <c r="S711" i="34"/>
  <c r="U710" i="34"/>
  <c r="T710" i="34"/>
  <c r="S710" i="34"/>
  <c r="U709" i="34"/>
  <c r="T709" i="34"/>
  <c r="S709" i="34"/>
  <c r="U708" i="34"/>
  <c r="D4" i="76" s="1"/>
  <c r="T708" i="34"/>
  <c r="S708" i="34"/>
  <c r="U707" i="34"/>
  <c r="T707" i="34"/>
  <c r="S707" i="34"/>
  <c r="U706" i="34"/>
  <c r="T706" i="34"/>
  <c r="S706" i="34"/>
  <c r="U705" i="34"/>
  <c r="T705" i="34"/>
  <c r="S705" i="34"/>
  <c r="U704" i="34"/>
  <c r="T704" i="34"/>
  <c r="S704" i="34"/>
  <c r="U703" i="34"/>
  <c r="T703" i="34"/>
  <c r="S703" i="34"/>
  <c r="U702" i="34"/>
  <c r="T702" i="34"/>
  <c r="S702" i="34"/>
  <c r="U701" i="34"/>
  <c r="T701" i="34"/>
  <c r="S701" i="34"/>
  <c r="U700" i="34"/>
  <c r="T700" i="34"/>
  <c r="S700" i="34"/>
  <c r="U699" i="34"/>
  <c r="T699" i="34"/>
  <c r="S699" i="34"/>
  <c r="U698" i="34"/>
  <c r="T698" i="34"/>
  <c r="S698" i="34"/>
  <c r="U697" i="34"/>
  <c r="T697" i="34"/>
  <c r="S697" i="34"/>
  <c r="U696" i="34"/>
  <c r="T696" i="34"/>
  <c r="S696" i="34"/>
  <c r="U695" i="34"/>
  <c r="T695" i="34"/>
  <c r="S695" i="34"/>
  <c r="U694" i="34"/>
  <c r="T694" i="34"/>
  <c r="S694" i="34"/>
  <c r="U693" i="34"/>
  <c r="T693" i="34"/>
  <c r="S693" i="34"/>
  <c r="U692" i="34"/>
  <c r="T692" i="34"/>
  <c r="S692" i="34"/>
  <c r="U691" i="34"/>
  <c r="T691" i="34"/>
  <c r="S691" i="34"/>
  <c r="U690" i="34"/>
  <c r="T690" i="34"/>
  <c r="S690" i="34"/>
  <c r="U689" i="34"/>
  <c r="T689" i="34"/>
  <c r="S689" i="34"/>
  <c r="U688" i="34"/>
  <c r="T688" i="34"/>
  <c r="S688" i="34"/>
  <c r="U687" i="34"/>
  <c r="T687" i="34"/>
  <c r="S687" i="34"/>
  <c r="U686" i="34"/>
  <c r="T686" i="34"/>
  <c r="S686" i="34"/>
  <c r="U685" i="34"/>
  <c r="T685" i="34"/>
  <c r="S685" i="34"/>
  <c r="U684" i="34"/>
  <c r="T684" i="34"/>
  <c r="S684" i="34"/>
  <c r="U683" i="34"/>
  <c r="T683" i="34"/>
  <c r="S683" i="34"/>
  <c r="U682" i="34"/>
  <c r="T682" i="34"/>
  <c r="S682" i="34"/>
  <c r="U681" i="34"/>
  <c r="T681" i="34"/>
  <c r="S681" i="34"/>
  <c r="U680" i="34"/>
  <c r="T680" i="34"/>
  <c r="S680" i="34"/>
  <c r="U679" i="34"/>
  <c r="T679" i="34"/>
  <c r="S679" i="34"/>
  <c r="U678" i="34"/>
  <c r="T678" i="34"/>
  <c r="S678" i="34"/>
  <c r="U677" i="34"/>
  <c r="T677" i="34"/>
  <c r="S677" i="34"/>
  <c r="U676" i="34"/>
  <c r="T676" i="34"/>
  <c r="S676" i="34"/>
  <c r="U675" i="34"/>
  <c r="T675" i="34"/>
  <c r="S675" i="34"/>
  <c r="U674" i="34"/>
  <c r="T674" i="34"/>
  <c r="S674" i="34"/>
  <c r="U673" i="34"/>
  <c r="T673" i="34"/>
  <c r="S673" i="34"/>
  <c r="U672" i="34"/>
  <c r="T672" i="34"/>
  <c r="S672" i="34"/>
  <c r="U671" i="34"/>
  <c r="T671" i="34"/>
  <c r="S671" i="34"/>
  <c r="U670" i="34"/>
  <c r="T670" i="34"/>
  <c r="S670" i="34"/>
  <c r="U669" i="34"/>
  <c r="T669" i="34"/>
  <c r="S669" i="34"/>
  <c r="U668" i="34"/>
  <c r="T668" i="34"/>
  <c r="S668" i="34"/>
  <c r="U667" i="34"/>
  <c r="T667" i="34"/>
  <c r="S667" i="34"/>
  <c r="U666" i="34"/>
  <c r="T666" i="34"/>
  <c r="S666" i="34"/>
  <c r="U665" i="34"/>
  <c r="T665" i="34"/>
  <c r="S665" i="34"/>
  <c r="U664" i="34"/>
  <c r="T664" i="34"/>
  <c r="S664" i="34"/>
  <c r="U663" i="34"/>
  <c r="T663" i="34"/>
  <c r="S663" i="34"/>
  <c r="U662" i="34"/>
  <c r="T662" i="34"/>
  <c r="S662" i="34"/>
  <c r="U661" i="34"/>
  <c r="T661" i="34"/>
  <c r="S661" i="34"/>
  <c r="U660" i="34"/>
  <c r="T660" i="34"/>
  <c r="S660" i="34"/>
  <c r="U659" i="34"/>
  <c r="T659" i="34"/>
  <c r="S659" i="34"/>
  <c r="U658" i="34"/>
  <c r="T658" i="34"/>
  <c r="S658" i="34"/>
  <c r="U657" i="34"/>
  <c r="T657" i="34"/>
  <c r="S657" i="34"/>
  <c r="U656" i="34"/>
  <c r="T656" i="34"/>
  <c r="S656" i="34"/>
  <c r="U655" i="34"/>
  <c r="T655" i="34"/>
  <c r="S655" i="34"/>
  <c r="U654" i="34"/>
  <c r="T654" i="34"/>
  <c r="S654" i="34"/>
  <c r="U653" i="34"/>
  <c r="T653" i="34"/>
  <c r="S653" i="34"/>
  <c r="U652" i="34"/>
  <c r="T652" i="34"/>
  <c r="S652" i="34"/>
  <c r="U651" i="34"/>
  <c r="T651" i="34"/>
  <c r="S651" i="34"/>
  <c r="U650" i="34"/>
  <c r="T650" i="34"/>
  <c r="S650" i="34"/>
  <c r="U649" i="34"/>
  <c r="T649" i="34"/>
  <c r="S649" i="34"/>
  <c r="U648" i="34"/>
  <c r="T648" i="34"/>
  <c r="S648" i="34"/>
  <c r="U647" i="34"/>
  <c r="T647" i="34"/>
  <c r="S647" i="34"/>
  <c r="U646" i="34"/>
  <c r="T646" i="34"/>
  <c r="S646" i="34"/>
  <c r="U645" i="34"/>
  <c r="T645" i="34"/>
  <c r="S645" i="34"/>
  <c r="U644" i="34"/>
  <c r="T644" i="34"/>
  <c r="S644" i="34"/>
  <c r="U643" i="34"/>
  <c r="T643" i="34"/>
  <c r="S643" i="34"/>
  <c r="U642" i="34"/>
  <c r="T642" i="34"/>
  <c r="S642" i="34"/>
  <c r="U641" i="34"/>
  <c r="T641" i="34"/>
  <c r="S641" i="34"/>
  <c r="U640" i="34"/>
  <c r="T640" i="34"/>
  <c r="S640" i="34"/>
  <c r="U639" i="34"/>
  <c r="T639" i="34"/>
  <c r="S639" i="34"/>
  <c r="U638" i="34"/>
  <c r="T638" i="34"/>
  <c r="S638" i="34"/>
  <c r="U637" i="34"/>
  <c r="T637" i="34"/>
  <c r="S637" i="34"/>
  <c r="U636" i="34"/>
  <c r="T636" i="34"/>
  <c r="S636" i="34"/>
  <c r="U635" i="34"/>
  <c r="T635" i="34"/>
  <c r="S635" i="34"/>
  <c r="U634" i="34"/>
  <c r="T634" i="34"/>
  <c r="S634" i="34"/>
  <c r="U633" i="34"/>
  <c r="T633" i="34"/>
  <c r="S633" i="34"/>
  <c r="U632" i="34"/>
  <c r="T632" i="34"/>
  <c r="S632" i="34"/>
  <c r="U631" i="34"/>
  <c r="T631" i="34"/>
  <c r="S631" i="34"/>
  <c r="U630" i="34"/>
  <c r="T630" i="34"/>
  <c r="S630" i="34"/>
  <c r="U629" i="34"/>
  <c r="T629" i="34"/>
  <c r="S629" i="34"/>
  <c r="U628" i="34"/>
  <c r="T628" i="34"/>
  <c r="S628" i="34"/>
  <c r="U627" i="34"/>
  <c r="T627" i="34"/>
  <c r="S627" i="34"/>
  <c r="U626" i="34"/>
  <c r="T626" i="34"/>
  <c r="S626" i="34"/>
  <c r="U625" i="34"/>
  <c r="T625" i="34"/>
  <c r="S625" i="34"/>
  <c r="U624" i="34"/>
  <c r="T624" i="34"/>
  <c r="S624" i="34"/>
  <c r="U623" i="34"/>
  <c r="T623" i="34"/>
  <c r="S623" i="34"/>
  <c r="U622" i="34"/>
  <c r="T622" i="34"/>
  <c r="S622" i="34"/>
  <c r="U621" i="34"/>
  <c r="T621" i="34"/>
  <c r="S621" i="34"/>
  <c r="U620" i="34"/>
  <c r="T620" i="34"/>
  <c r="S620" i="34"/>
  <c r="U619" i="34"/>
  <c r="T619" i="34"/>
  <c r="S619" i="34"/>
  <c r="U618" i="34"/>
  <c r="T618" i="34"/>
  <c r="S618" i="34"/>
  <c r="U617" i="34"/>
  <c r="T617" i="34"/>
  <c r="S617" i="34"/>
  <c r="U616" i="34"/>
  <c r="T616" i="34"/>
  <c r="S616" i="34"/>
  <c r="U615" i="34"/>
  <c r="T615" i="34"/>
  <c r="S615" i="34"/>
  <c r="U614" i="34"/>
  <c r="T614" i="34"/>
  <c r="S614" i="34"/>
  <c r="U613" i="34"/>
  <c r="T613" i="34"/>
  <c r="S613" i="34"/>
  <c r="U612" i="34"/>
  <c r="T612" i="34"/>
  <c r="S612" i="34"/>
  <c r="U611" i="34"/>
  <c r="T611" i="34"/>
  <c r="S611" i="34"/>
  <c r="U610" i="34"/>
  <c r="T610" i="34"/>
  <c r="S610" i="34"/>
  <c r="U609" i="34"/>
  <c r="T609" i="34"/>
  <c r="S609" i="34"/>
  <c r="U608" i="34"/>
  <c r="T608" i="34"/>
  <c r="S608" i="34"/>
  <c r="U607" i="34"/>
  <c r="T607" i="34"/>
  <c r="S607" i="34"/>
  <c r="U606" i="34"/>
  <c r="T606" i="34"/>
  <c r="S606" i="34"/>
  <c r="U605" i="34"/>
  <c r="T605" i="34"/>
  <c r="S605" i="34"/>
  <c r="U604" i="34"/>
  <c r="T604" i="34"/>
  <c r="S604" i="34"/>
  <c r="T603" i="34"/>
  <c r="U602" i="34"/>
  <c r="T602" i="34"/>
  <c r="S602" i="34"/>
  <c r="U601" i="34"/>
  <c r="T601" i="34"/>
  <c r="S601" i="34"/>
  <c r="U600" i="34"/>
  <c r="T600" i="34"/>
  <c r="S600" i="34"/>
  <c r="U599" i="34"/>
  <c r="T599" i="34"/>
  <c r="S599" i="34"/>
  <c r="U598" i="34"/>
  <c r="T598" i="34"/>
  <c r="S598" i="34"/>
  <c r="U597" i="34"/>
  <c r="T597" i="34"/>
  <c r="S597" i="34"/>
  <c r="O4" i="76" l="1"/>
  <c r="E4" i="76"/>
  <c r="O7" i="76"/>
  <c r="E7" i="76"/>
  <c r="O9" i="76"/>
  <c r="E9" i="76"/>
  <c r="O6" i="76"/>
  <c r="E6" i="76"/>
  <c r="O8" i="76"/>
  <c r="E8" i="76"/>
  <c r="P100" i="31"/>
  <c r="O100" i="31"/>
  <c r="N100" i="31"/>
  <c r="M100" i="31"/>
  <c r="E100" i="31"/>
  <c r="C100" i="31"/>
  <c r="P88" i="31"/>
  <c r="O88" i="31"/>
  <c r="N88" i="31"/>
  <c r="M88" i="31"/>
  <c r="E88" i="31"/>
  <c r="C88" i="31"/>
  <c r="P76" i="31"/>
  <c r="O76" i="31"/>
  <c r="N76" i="31"/>
  <c r="M76" i="31"/>
  <c r="E76" i="31"/>
  <c r="C76" i="31"/>
  <c r="AB2" i="29"/>
  <c r="AA2" i="29"/>
  <c r="C87" i="65" l="1"/>
  <c r="C86" i="65"/>
  <c r="C85" i="65"/>
  <c r="C84" i="65"/>
  <c r="C83" i="65"/>
  <c r="C82" i="65"/>
  <c r="J170" i="65"/>
  <c r="C170" i="65"/>
  <c r="J186" i="65" l="1"/>
  <c r="J185" i="65"/>
  <c r="J165" i="65"/>
  <c r="J164" i="65"/>
  <c r="J163" i="65"/>
  <c r="J162" i="65"/>
  <c r="J144" i="65"/>
  <c r="J143" i="65"/>
  <c r="J129" i="65"/>
  <c r="J116" i="65"/>
  <c r="J115" i="65"/>
  <c r="J114" i="65"/>
  <c r="J113" i="65"/>
  <c r="J79" i="65"/>
  <c r="J78" i="65"/>
  <c r="J77" i="65"/>
  <c r="J76" i="65"/>
  <c r="J75" i="65"/>
  <c r="J74" i="65"/>
  <c r="J49" i="65"/>
  <c r="J48" i="65"/>
  <c r="J71" i="65"/>
  <c r="J70" i="65"/>
  <c r="J69" i="65"/>
  <c r="J68" i="65"/>
  <c r="J67" i="65"/>
  <c r="J66" i="65"/>
  <c r="J55" i="65"/>
  <c r="J54" i="65"/>
  <c r="J53" i="65"/>
  <c r="J51" i="65"/>
  <c r="J46" i="65"/>
  <c r="J45" i="65"/>
  <c r="J43" i="65"/>
  <c r="J42" i="65"/>
  <c r="J39" i="65"/>
  <c r="J38" i="65"/>
  <c r="J35" i="65"/>
  <c r="J34" i="65"/>
  <c r="J22" i="65"/>
  <c r="J21" i="65"/>
  <c r="J20" i="65"/>
  <c r="C186" i="65"/>
  <c r="C185" i="65"/>
  <c r="C182" i="65"/>
  <c r="C181" i="65"/>
  <c r="C179" i="65"/>
  <c r="C178" i="65"/>
  <c r="C177" i="65"/>
  <c r="C176" i="65"/>
  <c r="C173" i="65"/>
  <c r="C172" i="65"/>
  <c r="C169" i="65"/>
  <c r="C168" i="65"/>
  <c r="C165" i="65"/>
  <c r="C164" i="65"/>
  <c r="C163" i="65"/>
  <c r="C162" i="65"/>
  <c r="C150" i="65"/>
  <c r="C149" i="65"/>
  <c r="C147" i="65"/>
  <c r="C146" i="65"/>
  <c r="C144" i="65"/>
  <c r="C143" i="65"/>
  <c r="C141" i="65"/>
  <c r="C140" i="65"/>
  <c r="C138" i="65"/>
  <c r="C137" i="65"/>
  <c r="C136" i="65"/>
  <c r="C134" i="65"/>
  <c r="C133" i="65"/>
  <c r="C132" i="65"/>
  <c r="C128" i="65"/>
  <c r="C116" i="65"/>
  <c r="C115" i="65"/>
  <c r="C114" i="65"/>
  <c r="C113" i="65"/>
  <c r="C110" i="65"/>
  <c r="C108" i="65"/>
  <c r="C107" i="65"/>
  <c r="C105" i="65"/>
  <c r="C104" i="65"/>
  <c r="C103" i="65"/>
  <c r="C101" i="65"/>
  <c r="C100" i="65"/>
  <c r="C79" i="65"/>
  <c r="C78" i="65"/>
  <c r="C77" i="65"/>
  <c r="C76" i="65"/>
  <c r="C75" i="65"/>
  <c r="C74" i="65"/>
  <c r="C49" i="65"/>
  <c r="C48" i="65"/>
  <c r="C71" i="65"/>
  <c r="C70" i="65"/>
  <c r="C69" i="65"/>
  <c r="C68" i="65"/>
  <c r="C67" i="65"/>
  <c r="C66" i="65"/>
  <c r="C55" i="65"/>
  <c r="C54" i="65"/>
  <c r="C53" i="65"/>
  <c r="C46" i="65"/>
  <c r="C45" i="65"/>
  <c r="C43" i="65"/>
  <c r="C42" i="65"/>
  <c r="C39" i="65"/>
  <c r="C38" i="65"/>
  <c r="C35" i="65"/>
  <c r="C34" i="65"/>
  <c r="C22" i="65"/>
  <c r="C21" i="65"/>
  <c r="C20" i="65"/>
  <c r="C17" i="65"/>
  <c r="C15" i="65"/>
  <c r="C14" i="65"/>
  <c r="C10" i="65"/>
  <c r="P104" i="31" l="1"/>
  <c r="O104" i="31"/>
  <c r="N104" i="31"/>
  <c r="M104" i="31"/>
  <c r="E104" i="31"/>
  <c r="C104" i="31"/>
  <c r="P103" i="31"/>
  <c r="O103" i="31"/>
  <c r="N103" i="31"/>
  <c r="M103" i="31"/>
  <c r="E103" i="31"/>
  <c r="C103" i="31"/>
  <c r="P102" i="31"/>
  <c r="O102" i="31"/>
  <c r="N102" i="31"/>
  <c r="M102" i="31"/>
  <c r="E102" i="31"/>
  <c r="C102" i="31"/>
  <c r="P101" i="31"/>
  <c r="O101" i="31"/>
  <c r="N101" i="31"/>
  <c r="M101" i="31"/>
  <c r="E101" i="31"/>
  <c r="C101" i="31"/>
  <c r="P99" i="31"/>
  <c r="O99" i="31"/>
  <c r="N99" i="31"/>
  <c r="M99" i="31"/>
  <c r="E99" i="31"/>
  <c r="C99" i="31"/>
  <c r="P98" i="31"/>
  <c r="O98" i="31"/>
  <c r="N98" i="31"/>
  <c r="M98" i="31"/>
  <c r="E98" i="31"/>
  <c r="C98" i="31"/>
  <c r="P97" i="31"/>
  <c r="O97" i="31"/>
  <c r="N97" i="31"/>
  <c r="M97" i="31"/>
  <c r="E97" i="31"/>
  <c r="C97" i="31"/>
  <c r="P96" i="31"/>
  <c r="O96" i="31"/>
  <c r="N96" i="31"/>
  <c r="M96" i="31"/>
  <c r="E96" i="31"/>
  <c r="C96" i="31"/>
  <c r="P95" i="31"/>
  <c r="O95" i="31"/>
  <c r="N95" i="31"/>
  <c r="M95" i="31"/>
  <c r="E95" i="31"/>
  <c r="C95" i="31"/>
  <c r="P94" i="31"/>
  <c r="O94" i="31"/>
  <c r="N94" i="31"/>
  <c r="M94" i="31"/>
  <c r="E94" i="31"/>
  <c r="C94" i="31"/>
  <c r="P93" i="31"/>
  <c r="O93" i="31"/>
  <c r="N93" i="31"/>
  <c r="M93" i="31"/>
  <c r="E93" i="31"/>
  <c r="C93" i="31"/>
  <c r="P92" i="31"/>
  <c r="O92" i="31"/>
  <c r="N92" i="31"/>
  <c r="M92" i="31"/>
  <c r="E92" i="31"/>
  <c r="C92" i="31"/>
  <c r="P91" i="31"/>
  <c r="O91" i="31"/>
  <c r="N91" i="31"/>
  <c r="M91" i="31"/>
  <c r="E91" i="31"/>
  <c r="C91" i="31"/>
  <c r="P90" i="31"/>
  <c r="O90" i="31"/>
  <c r="N90" i="31"/>
  <c r="M90" i="31"/>
  <c r="E90" i="31"/>
  <c r="C90" i="31"/>
  <c r="P89" i="31"/>
  <c r="O89" i="31"/>
  <c r="N89" i="31"/>
  <c r="M89" i="31"/>
  <c r="E89" i="31"/>
  <c r="C89" i="31"/>
  <c r="P87" i="31"/>
  <c r="O87" i="31"/>
  <c r="N87" i="31"/>
  <c r="M87" i="31"/>
  <c r="E87" i="31"/>
  <c r="C87" i="31"/>
  <c r="P86" i="31"/>
  <c r="O86" i="31"/>
  <c r="N86" i="31"/>
  <c r="M86" i="31"/>
  <c r="E86" i="31"/>
  <c r="C86" i="31"/>
  <c r="P85" i="31"/>
  <c r="O85" i="31"/>
  <c r="N85" i="31"/>
  <c r="M85" i="31"/>
  <c r="E85" i="31"/>
  <c r="C85" i="31"/>
  <c r="P84" i="31"/>
  <c r="O84" i="31"/>
  <c r="N84" i="31"/>
  <c r="M84" i="31"/>
  <c r="E84" i="31"/>
  <c r="C84" i="31"/>
  <c r="P83" i="31"/>
  <c r="O83" i="31"/>
  <c r="N83" i="31"/>
  <c r="M83" i="31"/>
  <c r="E83" i="31"/>
  <c r="C83" i="31"/>
  <c r="P82" i="31"/>
  <c r="O82" i="31"/>
  <c r="N82" i="31"/>
  <c r="M82" i="31"/>
  <c r="E82" i="31"/>
  <c r="C82" i="31"/>
  <c r="P81" i="31"/>
  <c r="O81" i="31"/>
  <c r="N81" i="31"/>
  <c r="M81" i="31"/>
  <c r="E81" i="31"/>
  <c r="C81" i="31"/>
  <c r="F140" i="61" l="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42" i="61"/>
  <c r="F35" i="61"/>
  <c r="F28" i="61"/>
  <c r="F17" i="61"/>
  <c r="F10" i="61"/>
  <c r="U351" i="34"/>
  <c r="T351" i="34"/>
  <c r="S351" i="34"/>
  <c r="U350" i="34"/>
  <c r="T350" i="34"/>
  <c r="S350" i="34"/>
  <c r="U349" i="34"/>
  <c r="T349" i="34"/>
  <c r="S349" i="34"/>
  <c r="U348" i="34"/>
  <c r="T348" i="34"/>
  <c r="S348" i="34"/>
  <c r="U347" i="34"/>
  <c r="T347" i="34"/>
  <c r="S347" i="34"/>
  <c r="U346" i="34"/>
  <c r="T346" i="34"/>
  <c r="S346" i="34"/>
  <c r="U345" i="34"/>
  <c r="T345" i="34"/>
  <c r="S345" i="34"/>
  <c r="U344" i="34"/>
  <c r="T344" i="34"/>
  <c r="S344" i="34"/>
  <c r="U343" i="34"/>
  <c r="T343" i="34"/>
  <c r="S343" i="34"/>
  <c r="U342" i="34"/>
  <c r="T342" i="34"/>
  <c r="S342" i="34"/>
  <c r="U341" i="34"/>
  <c r="T341" i="34"/>
  <c r="S341" i="34"/>
  <c r="U340" i="34"/>
  <c r="T340" i="34"/>
  <c r="S340" i="34"/>
  <c r="U339" i="34"/>
  <c r="T339" i="34"/>
  <c r="S339" i="34"/>
  <c r="U338" i="34"/>
  <c r="T338" i="34"/>
  <c r="S338" i="34"/>
  <c r="U337" i="34"/>
  <c r="T337" i="34"/>
  <c r="S337" i="34"/>
  <c r="U336" i="34"/>
  <c r="T336" i="34"/>
  <c r="S336" i="34"/>
  <c r="U335" i="34"/>
  <c r="T335" i="34"/>
  <c r="S335" i="34"/>
  <c r="U334" i="34"/>
  <c r="T334" i="34"/>
  <c r="S334" i="34"/>
  <c r="U333" i="34"/>
  <c r="T333" i="34"/>
  <c r="S333" i="34"/>
  <c r="U332" i="34"/>
  <c r="T332" i="34"/>
  <c r="S332" i="34"/>
  <c r="U331" i="34"/>
  <c r="T331" i="34"/>
  <c r="S331" i="34"/>
  <c r="U330" i="34"/>
  <c r="T330" i="34"/>
  <c r="S330" i="34"/>
  <c r="U329" i="34"/>
  <c r="T329" i="34"/>
  <c r="S329" i="34"/>
  <c r="U328" i="34"/>
  <c r="T328" i="34"/>
  <c r="S328" i="34"/>
  <c r="U327" i="34"/>
  <c r="T327" i="34"/>
  <c r="S327" i="34"/>
  <c r="U326" i="34"/>
  <c r="T326" i="34"/>
  <c r="S326" i="34"/>
  <c r="U325" i="34"/>
  <c r="T325" i="34"/>
  <c r="S325" i="34"/>
  <c r="U324" i="34"/>
  <c r="T324" i="34"/>
  <c r="S324" i="34"/>
  <c r="U323" i="34"/>
  <c r="T323" i="34"/>
  <c r="S323" i="34"/>
  <c r="U322" i="34"/>
  <c r="T322" i="34"/>
  <c r="S322" i="34"/>
  <c r="U321" i="34"/>
  <c r="T321" i="34"/>
  <c r="S321" i="34"/>
  <c r="U320" i="34"/>
  <c r="T320" i="34"/>
  <c r="S320" i="34"/>
  <c r="U319" i="34"/>
  <c r="T319" i="34"/>
  <c r="S319" i="34"/>
  <c r="U318" i="34"/>
  <c r="T318" i="34"/>
  <c r="S318" i="34"/>
  <c r="U317" i="34"/>
  <c r="T317" i="34"/>
  <c r="S317" i="34"/>
  <c r="U316" i="34"/>
  <c r="T316" i="34"/>
  <c r="S316" i="34"/>
  <c r="U315" i="34"/>
  <c r="T315" i="34"/>
  <c r="S315" i="34"/>
  <c r="U314" i="34"/>
  <c r="T314" i="34"/>
  <c r="S314" i="34"/>
  <c r="U313" i="34"/>
  <c r="T313" i="34"/>
  <c r="S313" i="34"/>
  <c r="U312" i="34"/>
  <c r="T312" i="34"/>
  <c r="S312" i="34"/>
  <c r="U311" i="34"/>
  <c r="T311" i="34"/>
  <c r="S311" i="34"/>
  <c r="U310" i="34"/>
  <c r="T310" i="34"/>
  <c r="S310" i="34"/>
  <c r="U309" i="34"/>
  <c r="T309" i="34"/>
  <c r="S309" i="34"/>
  <c r="U308" i="34"/>
  <c r="T308" i="34"/>
  <c r="S308" i="34"/>
  <c r="U307" i="34"/>
  <c r="T307" i="34"/>
  <c r="S307" i="34"/>
  <c r="U306" i="34"/>
  <c r="T306" i="34"/>
  <c r="S306" i="34"/>
  <c r="U305" i="34"/>
  <c r="T305" i="34"/>
  <c r="S305" i="34"/>
  <c r="U304" i="34"/>
  <c r="T304" i="34"/>
  <c r="S304" i="34"/>
  <c r="U303" i="34"/>
  <c r="T303" i="34"/>
  <c r="S303" i="34"/>
  <c r="U302" i="34"/>
  <c r="T302" i="34"/>
  <c r="S302" i="34"/>
  <c r="U301" i="34"/>
  <c r="T301" i="34"/>
  <c r="S301" i="34"/>
  <c r="U300" i="34"/>
  <c r="T300" i="34"/>
  <c r="S300" i="34"/>
  <c r="U299" i="34"/>
  <c r="T299" i="34"/>
  <c r="S299" i="34"/>
  <c r="U298" i="34"/>
  <c r="T298" i="34"/>
  <c r="S298" i="34"/>
  <c r="U297" i="34"/>
  <c r="T297" i="34"/>
  <c r="S297" i="34"/>
  <c r="U296" i="34"/>
  <c r="T296" i="34"/>
  <c r="S296" i="34"/>
  <c r="U295" i="34"/>
  <c r="T295" i="34"/>
  <c r="S295" i="34"/>
  <c r="U294" i="34"/>
  <c r="T294" i="34"/>
  <c r="S294" i="34"/>
  <c r="U293" i="34"/>
  <c r="T293" i="34"/>
  <c r="S293" i="34"/>
  <c r="U292" i="34"/>
  <c r="T292" i="34"/>
  <c r="S292" i="34"/>
  <c r="U291" i="34"/>
  <c r="T291" i="34"/>
  <c r="S291" i="34"/>
  <c r="U290" i="34"/>
  <c r="T290" i="34"/>
  <c r="S290" i="34"/>
  <c r="U289" i="34"/>
  <c r="T289" i="34"/>
  <c r="S289" i="34"/>
  <c r="U288" i="34"/>
  <c r="T288" i="34"/>
  <c r="S288" i="34"/>
  <c r="U287" i="34"/>
  <c r="T287" i="34"/>
  <c r="S287" i="34"/>
  <c r="U286" i="34"/>
  <c r="T286" i="34"/>
  <c r="S286" i="34"/>
  <c r="U285" i="34"/>
  <c r="T285" i="34"/>
  <c r="S285" i="34"/>
  <c r="U284" i="34"/>
  <c r="T284" i="34"/>
  <c r="S284" i="34"/>
  <c r="U283" i="34"/>
  <c r="T283" i="34"/>
  <c r="S283" i="34"/>
  <c r="U282" i="34"/>
  <c r="T282" i="34"/>
  <c r="S282" i="34"/>
  <c r="U281" i="34"/>
  <c r="T281" i="34"/>
  <c r="S281" i="34"/>
  <c r="U280" i="34"/>
  <c r="T280" i="34"/>
  <c r="S280" i="34"/>
  <c r="U279" i="34"/>
  <c r="T279" i="34"/>
  <c r="S279" i="34"/>
  <c r="U278" i="34"/>
  <c r="T278" i="34"/>
  <c r="S278" i="34"/>
  <c r="U277" i="34"/>
  <c r="T277" i="34"/>
  <c r="S277" i="34"/>
  <c r="U276" i="34"/>
  <c r="T276" i="34"/>
  <c r="S276" i="34"/>
  <c r="U275" i="34"/>
  <c r="T275" i="34"/>
  <c r="S275" i="34"/>
  <c r="U274" i="34"/>
  <c r="T274" i="34"/>
  <c r="S274" i="34"/>
  <c r="U273" i="34"/>
  <c r="T273" i="34"/>
  <c r="S273" i="34"/>
  <c r="U272" i="34"/>
  <c r="T272" i="34"/>
  <c r="S272" i="34"/>
  <c r="U271" i="34"/>
  <c r="T271" i="34"/>
  <c r="S271" i="34"/>
  <c r="U270" i="34"/>
  <c r="T270" i="34"/>
  <c r="S270" i="34"/>
  <c r="U269" i="34"/>
  <c r="T269" i="34"/>
  <c r="S269" i="34"/>
  <c r="U268" i="34"/>
  <c r="T268" i="34"/>
  <c r="S268" i="34"/>
  <c r="U267" i="34"/>
  <c r="T267" i="34"/>
  <c r="S267" i="34"/>
  <c r="U266" i="34"/>
  <c r="T266" i="34"/>
  <c r="S266" i="34"/>
  <c r="U265" i="34"/>
  <c r="T265" i="34"/>
  <c r="S265" i="34"/>
  <c r="U264" i="34"/>
  <c r="T264" i="34"/>
  <c r="S264" i="34"/>
  <c r="U263" i="34"/>
  <c r="T263" i="34"/>
  <c r="S263" i="34"/>
  <c r="U262" i="34"/>
  <c r="T262" i="34"/>
  <c r="S262" i="34"/>
  <c r="U261" i="34"/>
  <c r="T261" i="34"/>
  <c r="S261" i="34"/>
  <c r="U260" i="34"/>
  <c r="T260" i="34"/>
  <c r="S260" i="34"/>
  <c r="U259" i="34"/>
  <c r="T259" i="34"/>
  <c r="S259" i="34"/>
  <c r="U258" i="34"/>
  <c r="T258" i="34"/>
  <c r="S258" i="34"/>
  <c r="U257" i="34"/>
  <c r="T257" i="34"/>
  <c r="S257" i="34"/>
  <c r="U256" i="34"/>
  <c r="T256" i="34"/>
  <c r="S256" i="34"/>
  <c r="U255" i="34"/>
  <c r="T255" i="34"/>
  <c r="S255" i="34"/>
  <c r="U254" i="34"/>
  <c r="T254" i="34"/>
  <c r="S254" i="34"/>
  <c r="U253" i="34"/>
  <c r="T253" i="34"/>
  <c r="S253" i="34"/>
  <c r="T252" i="34"/>
  <c r="U251" i="34"/>
  <c r="T251" i="34"/>
  <c r="S251" i="34"/>
  <c r="U250" i="34"/>
  <c r="T250" i="34"/>
  <c r="S250" i="34"/>
  <c r="U249" i="34"/>
  <c r="T249" i="34"/>
  <c r="S249" i="34"/>
  <c r="U248" i="34"/>
  <c r="T248" i="34"/>
  <c r="S248" i="34"/>
  <c r="U247" i="34"/>
  <c r="T247" i="34"/>
  <c r="S247" i="34"/>
  <c r="U246" i="34"/>
  <c r="T246" i="34"/>
  <c r="S246" i="34"/>
  <c r="U245" i="34"/>
  <c r="T245" i="34"/>
  <c r="S245" i="34"/>
  <c r="U244" i="34"/>
  <c r="T244" i="34"/>
  <c r="S244" i="34"/>
  <c r="U243" i="34"/>
  <c r="T243" i="34"/>
  <c r="S243" i="34"/>
  <c r="U242" i="34"/>
  <c r="T242" i="34"/>
  <c r="S242" i="34"/>
  <c r="U241" i="34"/>
  <c r="T241" i="34"/>
  <c r="S241" i="34"/>
  <c r="U240" i="34"/>
  <c r="D12" i="76" s="1"/>
  <c r="T240" i="34"/>
  <c r="S240" i="34"/>
  <c r="O12" i="76" l="1"/>
  <c r="E12" i="76"/>
  <c r="E17" i="76" s="1"/>
  <c r="D17" i="76"/>
  <c r="F1446" i="30"/>
  <c r="F1445" i="30"/>
  <c r="F1444" i="30"/>
  <c r="F1443" i="30"/>
  <c r="F1442" i="30"/>
  <c r="F1441" i="30"/>
  <c r="F1440" i="30"/>
  <c r="F1439" i="30"/>
  <c r="F1438" i="30"/>
  <c r="F1437" i="30"/>
  <c r="F1436" i="30"/>
  <c r="F1435" i="30"/>
  <c r="F1434" i="30"/>
  <c r="F1433" i="30"/>
  <c r="F1432" i="30"/>
  <c r="F1431" i="30"/>
  <c r="F1430" i="30"/>
  <c r="F1429" i="30"/>
  <c r="F1428" i="30"/>
  <c r="F1427" i="30"/>
  <c r="F1426" i="30"/>
  <c r="F1425" i="30"/>
  <c r="F1424" i="30"/>
  <c r="F1423" i="30"/>
  <c r="F1422" i="30"/>
  <c r="F1421" i="30"/>
  <c r="F1420" i="30"/>
  <c r="F1419" i="30"/>
  <c r="F1418" i="30"/>
  <c r="F1417" i="30"/>
  <c r="F1416" i="30"/>
  <c r="F1415" i="30"/>
  <c r="F1414" i="30"/>
  <c r="F1413" i="30"/>
  <c r="F1412" i="30"/>
  <c r="F1411" i="30"/>
  <c r="F1410" i="30"/>
  <c r="F1409" i="30"/>
  <c r="F1408" i="30"/>
  <c r="F1407" i="30"/>
  <c r="F1406" i="30"/>
  <c r="F1405" i="30"/>
  <c r="F1404" i="30"/>
  <c r="F1403" i="30"/>
  <c r="F1402" i="30"/>
  <c r="F1401" i="30"/>
  <c r="F1400" i="30"/>
  <c r="F1399" i="30"/>
  <c r="F1398" i="30"/>
  <c r="F1397" i="30"/>
  <c r="F1396" i="30"/>
  <c r="F1395" i="30"/>
  <c r="F1394" i="30"/>
  <c r="F1393" i="30"/>
  <c r="F1392" i="30"/>
  <c r="F1391" i="30"/>
  <c r="F1390" i="30"/>
  <c r="F1389" i="30"/>
  <c r="F1388" i="30"/>
  <c r="F1387" i="30"/>
  <c r="F1386" i="30"/>
  <c r="F1385" i="30"/>
  <c r="F1384" i="30"/>
  <c r="F1383" i="30"/>
  <c r="F1382" i="30"/>
  <c r="F1381" i="30"/>
  <c r="F1380" i="30"/>
  <c r="F1379" i="30"/>
  <c r="F1378" i="30"/>
  <c r="F1377" i="30"/>
  <c r="F1376" i="30"/>
  <c r="F1375" i="30"/>
  <c r="E1374" i="30"/>
  <c r="C1374" i="30"/>
  <c r="E1373" i="30"/>
  <c r="C1373" i="30"/>
  <c r="E1372" i="30"/>
  <c r="C1372" i="30"/>
  <c r="E1371" i="30"/>
  <c r="C1371" i="30"/>
  <c r="E1370" i="30"/>
  <c r="C1370" i="30"/>
  <c r="E1369" i="30"/>
  <c r="C1369" i="30"/>
  <c r="E1368" i="30"/>
  <c r="C1368" i="30"/>
  <c r="E1367" i="30"/>
  <c r="C1367" i="30"/>
  <c r="E1366" i="30"/>
  <c r="C1366" i="30"/>
  <c r="E1365" i="30"/>
  <c r="C1365" i="30"/>
  <c r="E1364" i="30"/>
  <c r="C1364" i="30"/>
  <c r="E1363" i="30"/>
  <c r="C1363" i="30"/>
  <c r="E1362" i="30"/>
  <c r="C1362" i="30"/>
  <c r="E1361" i="30"/>
  <c r="C1361" i="30"/>
  <c r="E1360" i="30"/>
  <c r="C1360" i="30"/>
  <c r="E1359" i="30"/>
  <c r="C1359" i="30"/>
  <c r="E1358" i="30"/>
  <c r="C1358" i="30"/>
  <c r="E1357" i="30"/>
  <c r="C1357" i="30"/>
  <c r="E1356" i="30"/>
  <c r="C1356" i="30"/>
  <c r="E1355" i="30"/>
  <c r="C1355" i="30"/>
  <c r="E1354" i="30"/>
  <c r="C1354" i="30"/>
  <c r="E1353" i="30"/>
  <c r="C1353" i="30"/>
  <c r="E1352" i="30"/>
  <c r="C1352" i="30"/>
  <c r="E1351" i="30"/>
  <c r="C1351" i="30"/>
  <c r="E1350" i="30"/>
  <c r="C1350" i="30"/>
  <c r="E1349" i="30"/>
  <c r="C1349" i="30"/>
  <c r="E1348" i="30"/>
  <c r="C1348" i="30"/>
  <c r="E1347" i="30"/>
  <c r="C1347" i="30"/>
  <c r="E1346" i="30"/>
  <c r="C1346" i="30"/>
  <c r="E1345" i="30"/>
  <c r="C1345" i="30"/>
  <c r="E1344" i="30"/>
  <c r="C1344" i="30"/>
  <c r="E1343" i="30"/>
  <c r="C1343" i="30"/>
  <c r="E1342" i="30"/>
  <c r="C1342" i="30"/>
  <c r="E1341" i="30"/>
  <c r="C1341" i="30"/>
  <c r="E1340" i="30"/>
  <c r="C1340" i="30"/>
  <c r="E1339" i="30"/>
  <c r="C1339" i="30"/>
  <c r="E1338" i="30"/>
  <c r="C1338" i="30"/>
  <c r="E1337" i="30"/>
  <c r="C1337" i="30"/>
  <c r="E1336" i="30"/>
  <c r="C1336" i="30"/>
  <c r="E1335" i="30"/>
  <c r="C1335" i="30"/>
  <c r="E1334" i="30"/>
  <c r="C1334" i="30"/>
  <c r="E1333" i="30"/>
  <c r="C1333" i="30"/>
  <c r="E1332" i="30"/>
  <c r="C1332" i="30"/>
  <c r="E1331" i="30"/>
  <c r="C1331" i="30"/>
  <c r="E1330" i="30"/>
  <c r="C1330" i="30"/>
  <c r="E1329" i="30"/>
  <c r="C1329" i="30"/>
  <c r="E1328" i="30"/>
  <c r="C1328" i="30"/>
  <c r="E1327" i="30"/>
  <c r="C1327" i="30"/>
  <c r="E1326" i="30"/>
  <c r="C1326" i="30"/>
  <c r="E1325" i="30"/>
  <c r="C1325" i="30"/>
  <c r="E1324" i="30"/>
  <c r="C1324" i="30"/>
  <c r="E1323" i="30"/>
  <c r="C1323" i="30"/>
  <c r="E1322" i="30"/>
  <c r="C1322" i="30"/>
  <c r="E1321" i="30"/>
  <c r="C1321" i="30"/>
  <c r="E1320" i="30"/>
  <c r="C1320" i="30"/>
  <c r="E1319" i="30"/>
  <c r="C1319" i="30"/>
  <c r="E1318" i="30"/>
  <c r="C1318" i="30"/>
  <c r="E1317" i="30"/>
  <c r="C1317" i="30"/>
  <c r="E1316" i="30"/>
  <c r="C1316" i="30"/>
  <c r="E1315" i="30"/>
  <c r="C1315" i="30"/>
  <c r="E1314" i="30"/>
  <c r="C1314" i="30"/>
  <c r="E1313" i="30"/>
  <c r="C1313" i="30"/>
  <c r="E1312" i="30"/>
  <c r="C1312" i="30"/>
  <c r="E1311" i="30"/>
  <c r="C1311" i="30"/>
  <c r="E1310" i="30"/>
  <c r="C1310" i="30"/>
  <c r="E1309" i="30"/>
  <c r="C1309" i="30"/>
  <c r="E1308" i="30"/>
  <c r="C1308" i="30"/>
  <c r="E1307" i="30"/>
  <c r="C1307" i="30"/>
  <c r="E1306" i="30"/>
  <c r="C1306" i="30"/>
  <c r="E1305" i="30"/>
  <c r="C1305" i="30"/>
  <c r="E1304" i="30"/>
  <c r="C1304" i="30"/>
  <c r="E1303" i="30"/>
  <c r="C1303" i="30"/>
  <c r="E1302" i="30"/>
  <c r="C1302" i="30"/>
  <c r="E1301" i="30"/>
  <c r="C1301" i="30"/>
  <c r="E1300" i="30"/>
  <c r="C1300" i="30"/>
  <c r="E1299" i="30"/>
  <c r="C1299" i="30"/>
  <c r="E1298" i="30"/>
  <c r="C1298" i="30"/>
  <c r="E1297" i="30"/>
  <c r="C1297" i="30"/>
  <c r="E1296" i="30"/>
  <c r="C1296" i="30"/>
  <c r="E1295" i="30"/>
  <c r="C1295" i="30"/>
  <c r="E1294" i="30"/>
  <c r="C1294" i="30"/>
  <c r="E1293" i="30"/>
  <c r="C1293" i="30"/>
  <c r="E1292" i="30"/>
  <c r="C1292" i="30"/>
  <c r="E1291" i="30"/>
  <c r="C1291" i="30"/>
  <c r="E1290" i="30"/>
  <c r="C1290" i="30"/>
  <c r="E1289" i="30"/>
  <c r="C1289" i="30"/>
  <c r="E1288" i="30"/>
  <c r="C1288" i="30"/>
  <c r="E1287" i="30"/>
  <c r="C1287" i="30"/>
  <c r="E1286" i="30"/>
  <c r="C1286" i="30"/>
  <c r="E1285" i="30"/>
  <c r="C1285" i="30"/>
  <c r="E1284" i="30"/>
  <c r="C1284" i="30"/>
  <c r="E1283" i="30"/>
  <c r="C1283" i="30"/>
  <c r="E1282" i="30"/>
  <c r="C1282" i="30"/>
  <c r="E1281" i="30"/>
  <c r="C1281" i="30"/>
  <c r="E1280" i="30"/>
  <c r="C1280" i="30"/>
  <c r="E1279" i="30"/>
  <c r="C1279" i="30"/>
  <c r="E1278" i="30"/>
  <c r="C1278" i="30"/>
  <c r="E1277" i="30"/>
  <c r="C1277" i="30"/>
  <c r="E1276" i="30"/>
  <c r="C1276" i="30"/>
  <c r="E1275" i="30"/>
  <c r="C1275" i="30"/>
  <c r="E1274" i="30"/>
  <c r="C1274" i="30"/>
  <c r="E1273" i="30"/>
  <c r="C1273" i="30"/>
  <c r="E1272" i="30"/>
  <c r="C1272" i="30"/>
  <c r="E1271" i="30"/>
  <c r="C1271" i="30"/>
  <c r="E1270" i="30"/>
  <c r="C1270" i="30"/>
  <c r="E1269" i="30"/>
  <c r="C1269" i="30"/>
  <c r="E1268" i="30"/>
  <c r="C1268" i="30"/>
  <c r="E1267" i="30"/>
  <c r="C1267" i="30"/>
  <c r="E1266" i="30"/>
  <c r="C1266" i="30"/>
  <c r="E1265" i="30"/>
  <c r="C1265" i="30"/>
  <c r="E1264" i="30"/>
  <c r="C1264" i="30"/>
  <c r="E1263" i="30"/>
  <c r="C1263" i="30"/>
  <c r="E1262" i="30"/>
  <c r="C1262" i="30"/>
  <c r="E1261" i="30"/>
  <c r="C1261" i="30"/>
  <c r="E1260" i="30"/>
  <c r="C1260" i="30"/>
  <c r="E1259" i="30"/>
  <c r="C1259" i="30"/>
  <c r="E1258" i="30"/>
  <c r="C1258" i="30"/>
  <c r="E1257" i="30"/>
  <c r="C1257" i="30"/>
  <c r="E1256" i="30"/>
  <c r="C1256" i="30"/>
  <c r="E1255" i="30"/>
  <c r="C1255" i="30"/>
  <c r="E1254" i="30"/>
  <c r="C1254" i="30"/>
  <c r="E1253" i="30"/>
  <c r="C1253" i="30"/>
  <c r="E1252" i="30"/>
  <c r="C1252" i="30"/>
  <c r="E1251" i="30"/>
  <c r="C1251" i="30"/>
  <c r="E1250" i="30"/>
  <c r="C1250" i="30"/>
  <c r="E1249" i="30"/>
  <c r="C1249" i="30"/>
  <c r="E1248" i="30"/>
  <c r="C1248" i="30"/>
  <c r="E1247" i="30"/>
  <c r="C1247" i="30"/>
  <c r="E1246" i="30"/>
  <c r="C1246" i="30"/>
  <c r="E1245" i="30"/>
  <c r="C1245" i="30"/>
  <c r="E1244" i="30"/>
  <c r="C1244" i="30"/>
  <c r="E1243" i="30"/>
  <c r="C1243" i="30"/>
  <c r="E1242" i="30"/>
  <c r="C1242" i="30"/>
  <c r="E1241" i="30"/>
  <c r="C1241" i="30"/>
  <c r="E1240" i="30"/>
  <c r="C1240" i="30"/>
  <c r="E1239" i="30"/>
  <c r="C1239" i="30"/>
  <c r="E1238" i="30"/>
  <c r="C1238" i="30"/>
  <c r="E1237" i="30"/>
  <c r="C1237" i="30"/>
  <c r="E1236" i="30"/>
  <c r="C1236" i="30"/>
  <c r="E1235" i="30"/>
  <c r="C1235" i="30"/>
  <c r="E1234" i="30"/>
  <c r="C1234" i="30"/>
  <c r="E1233" i="30"/>
  <c r="C1233" i="30"/>
  <c r="E1232" i="30"/>
  <c r="C1232" i="30"/>
  <c r="E1231" i="30"/>
  <c r="C1231" i="30"/>
  <c r="E1230" i="30"/>
  <c r="C1230" i="30"/>
  <c r="E1229" i="30"/>
  <c r="C1229" i="30"/>
  <c r="E1228" i="30"/>
  <c r="C1228" i="30"/>
  <c r="E1227" i="30"/>
  <c r="C1227" i="30"/>
  <c r="E1226" i="30"/>
  <c r="C1226" i="30"/>
  <c r="E1225" i="30"/>
  <c r="C1225" i="30"/>
  <c r="E1224" i="30"/>
  <c r="C1224" i="30"/>
  <c r="E1223" i="30"/>
  <c r="C1223" i="30"/>
  <c r="E1222" i="30"/>
  <c r="C1222" i="30"/>
  <c r="E1221" i="30"/>
  <c r="C1221" i="30"/>
  <c r="E1220" i="30"/>
  <c r="C1220" i="30"/>
  <c r="E1219" i="30"/>
  <c r="C1219" i="30"/>
  <c r="E1218" i="30"/>
  <c r="C1218" i="30"/>
  <c r="E1217" i="30"/>
  <c r="C1217" i="30"/>
  <c r="E1216" i="30"/>
  <c r="C1216" i="30"/>
  <c r="E1215" i="30"/>
  <c r="C1215" i="30"/>
  <c r="E1214" i="30"/>
  <c r="C1214" i="30"/>
  <c r="E1213" i="30"/>
  <c r="C1213" i="30"/>
  <c r="E1212" i="30"/>
  <c r="C1212" i="30"/>
  <c r="E1211" i="30"/>
  <c r="C1211" i="30"/>
  <c r="E1210" i="30"/>
  <c r="C1210" i="30"/>
  <c r="E1209" i="30"/>
  <c r="C1209" i="30"/>
  <c r="E1208" i="30"/>
  <c r="C1208" i="30"/>
  <c r="E1207" i="30"/>
  <c r="C1207" i="30"/>
  <c r="E1206" i="30"/>
  <c r="C1206" i="30"/>
  <c r="E1205" i="30"/>
  <c r="C1205" i="30"/>
  <c r="E1204" i="30"/>
  <c r="C1204" i="30"/>
  <c r="H1203" i="30"/>
  <c r="G1203" i="30"/>
  <c r="H1202" i="30"/>
  <c r="G1202" i="30"/>
  <c r="H1201" i="30"/>
  <c r="G1201" i="30"/>
  <c r="G1372" i="30" s="1"/>
  <c r="H1372" i="30" s="1"/>
  <c r="H1200" i="30"/>
  <c r="G1200" i="30"/>
  <c r="G1371" i="30" s="1"/>
  <c r="H1371" i="30" s="1"/>
  <c r="H1199" i="30"/>
  <c r="G1199" i="30"/>
  <c r="G1370" i="30" s="1"/>
  <c r="H1370" i="30" s="1"/>
  <c r="H1198" i="30"/>
  <c r="G1198" i="30"/>
  <c r="H1197" i="30"/>
  <c r="G1197" i="30"/>
  <c r="H1196" i="30"/>
  <c r="G1196" i="30"/>
  <c r="H1195" i="30"/>
  <c r="G1195" i="30"/>
  <c r="H1194" i="30"/>
  <c r="G1194" i="30"/>
  <c r="G1365" i="30" s="1"/>
  <c r="H1365" i="30" s="1"/>
  <c r="H1193" i="30"/>
  <c r="G1193" i="30"/>
  <c r="G1364" i="30" s="1"/>
  <c r="H1364" i="30" s="1"/>
  <c r="H1192" i="30"/>
  <c r="G1192" i="30"/>
  <c r="G1363" i="30" s="1"/>
  <c r="H1363" i="30" s="1"/>
  <c r="H1191" i="30"/>
  <c r="G1191" i="30"/>
  <c r="H1190" i="30"/>
  <c r="G1190" i="30"/>
  <c r="G1361" i="30" s="1"/>
  <c r="H1361" i="30" s="1"/>
  <c r="H1189" i="30"/>
  <c r="G1189" i="30"/>
  <c r="G1360" i="30" s="1"/>
  <c r="H1360" i="30" s="1"/>
  <c r="H1188" i="30"/>
  <c r="G1188" i="30"/>
  <c r="H1187" i="30"/>
  <c r="G1187" i="30"/>
  <c r="H1186" i="30"/>
  <c r="G1186" i="30"/>
  <c r="H1185" i="30"/>
  <c r="G1185" i="30"/>
  <c r="H1184" i="30"/>
  <c r="G1184" i="30"/>
  <c r="G1355" i="30" s="1"/>
  <c r="H1355" i="30" s="1"/>
  <c r="H1183" i="30"/>
  <c r="G1183" i="30"/>
  <c r="G1354" i="30" s="1"/>
  <c r="H1354" i="30" s="1"/>
  <c r="H1182" i="30"/>
  <c r="G1182" i="30"/>
  <c r="G1353" i="30" s="1"/>
  <c r="H1353" i="30" s="1"/>
  <c r="H1181" i="30"/>
  <c r="G1181" i="30"/>
  <c r="G1352" i="30" s="1"/>
  <c r="H1352" i="30" s="1"/>
  <c r="H1180" i="30"/>
  <c r="G1180" i="30"/>
  <c r="H1179" i="30"/>
  <c r="G1179" i="30"/>
  <c r="H1178" i="30"/>
  <c r="G1178" i="30"/>
  <c r="G1349" i="30" s="1"/>
  <c r="H1349" i="30" s="1"/>
  <c r="H1177" i="30"/>
  <c r="G1177" i="30"/>
  <c r="G1348" i="30" s="1"/>
  <c r="H1348" i="30" s="1"/>
  <c r="H1176" i="30"/>
  <c r="G1176" i="30"/>
  <c r="G1347" i="30" s="1"/>
  <c r="H1347" i="30" s="1"/>
  <c r="H1175" i="30"/>
  <c r="G1175" i="30"/>
  <c r="G1346" i="30" s="1"/>
  <c r="H1346" i="30" s="1"/>
  <c r="H1174" i="30"/>
  <c r="G1174" i="30"/>
  <c r="H1173" i="30"/>
  <c r="G1173" i="30"/>
  <c r="H1172" i="30"/>
  <c r="G1172" i="30"/>
  <c r="H1171" i="30"/>
  <c r="G1171" i="30"/>
  <c r="H1170" i="30"/>
  <c r="G1170" i="30"/>
  <c r="H1169" i="30"/>
  <c r="G1169" i="30"/>
  <c r="G1340" i="30" s="1"/>
  <c r="H1340" i="30" s="1"/>
  <c r="H1168" i="30"/>
  <c r="G1168" i="30"/>
  <c r="G1339" i="30" s="1"/>
  <c r="H1339" i="30" s="1"/>
  <c r="H1167" i="30"/>
  <c r="G1167" i="30"/>
  <c r="G1338" i="30" s="1"/>
  <c r="H1338" i="30" s="1"/>
  <c r="H1166" i="30"/>
  <c r="G1166" i="30"/>
  <c r="G1337" i="30" s="1"/>
  <c r="H1337" i="30" s="1"/>
  <c r="H1165" i="30"/>
  <c r="G1165" i="30"/>
  <c r="G1336" i="30" s="1"/>
  <c r="H1336" i="30" s="1"/>
  <c r="H1164" i="30"/>
  <c r="G1164" i="30"/>
  <c r="H1163" i="30"/>
  <c r="G1163" i="30"/>
  <c r="H1162" i="30"/>
  <c r="G1162" i="30"/>
  <c r="G1333" i="30" s="1"/>
  <c r="H1333" i="30" s="1"/>
  <c r="H1161" i="30"/>
  <c r="G1161" i="30"/>
  <c r="G1332" i="30" s="1"/>
  <c r="H1332" i="30" s="1"/>
  <c r="H1160" i="30"/>
  <c r="G1160" i="30"/>
  <c r="G1331" i="30" s="1"/>
  <c r="H1331" i="30" s="1"/>
  <c r="H1159" i="30"/>
  <c r="G1159" i="30"/>
  <c r="G1330" i="30" s="1"/>
  <c r="H1330" i="30" s="1"/>
  <c r="H1158" i="30"/>
  <c r="G1158" i="30"/>
  <c r="G1329" i="30" s="1"/>
  <c r="H1329" i="30" s="1"/>
  <c r="H1157" i="30"/>
  <c r="G1157" i="30"/>
  <c r="G1328" i="30" s="1"/>
  <c r="H1328" i="30" s="1"/>
  <c r="H1156" i="30"/>
  <c r="G1156" i="30"/>
  <c r="H1155" i="30"/>
  <c r="G1155" i="30"/>
  <c r="H1154" i="30"/>
  <c r="G1154" i="30"/>
  <c r="H1153" i="30"/>
  <c r="G1153" i="30"/>
  <c r="G1324" i="30" s="1"/>
  <c r="H1324" i="30" s="1"/>
  <c r="H1152" i="30"/>
  <c r="G1152" i="30"/>
  <c r="G1323" i="30" s="1"/>
  <c r="H1323" i="30" s="1"/>
  <c r="H1151" i="30"/>
  <c r="G1151" i="30"/>
  <c r="G1322" i="30" s="1"/>
  <c r="H1322" i="30" s="1"/>
  <c r="H1150" i="30"/>
  <c r="G1150" i="30"/>
  <c r="H1149" i="30"/>
  <c r="G1149" i="30"/>
  <c r="G1320" i="30" s="1"/>
  <c r="H1320" i="30" s="1"/>
  <c r="H1148" i="30"/>
  <c r="G1148" i="30"/>
  <c r="H1147" i="30"/>
  <c r="G1147" i="30"/>
  <c r="H1146" i="30"/>
  <c r="G1146" i="30"/>
  <c r="G1317" i="30" s="1"/>
  <c r="H1317" i="30" s="1"/>
  <c r="H1145" i="30"/>
  <c r="G1145" i="30"/>
  <c r="H1144" i="30"/>
  <c r="G1144" i="30"/>
  <c r="H1143" i="30"/>
  <c r="G1143" i="30"/>
  <c r="H1142" i="30"/>
  <c r="G1142" i="30"/>
  <c r="H1141" i="30"/>
  <c r="G1141" i="30"/>
  <c r="H1140" i="30"/>
  <c r="G1140" i="30"/>
  <c r="H1139" i="30"/>
  <c r="G1139" i="30"/>
  <c r="H1138" i="30"/>
  <c r="G1138" i="30"/>
  <c r="H1137" i="30"/>
  <c r="G1137" i="30"/>
  <c r="H1136" i="30"/>
  <c r="G1136" i="30"/>
  <c r="H1135" i="30"/>
  <c r="G1135" i="30"/>
  <c r="H1134" i="30"/>
  <c r="G1134" i="30"/>
  <c r="H1133" i="30"/>
  <c r="G1133" i="30"/>
  <c r="H1132" i="30"/>
  <c r="G1132" i="30"/>
  <c r="H1131" i="30"/>
  <c r="G1131" i="30"/>
  <c r="H1130" i="30"/>
  <c r="G1130" i="30"/>
  <c r="H1129" i="30"/>
  <c r="G1129" i="30"/>
  <c r="H1128" i="30"/>
  <c r="G1128" i="30"/>
  <c r="H1127" i="30"/>
  <c r="G1127" i="30"/>
  <c r="H1126" i="30"/>
  <c r="G1126" i="30"/>
  <c r="H1125" i="30"/>
  <c r="G1125" i="30"/>
  <c r="H1124" i="30"/>
  <c r="G1124" i="30"/>
  <c r="H1123" i="30"/>
  <c r="G1123" i="30"/>
  <c r="H1122" i="30"/>
  <c r="G1122" i="30"/>
  <c r="H1121" i="30"/>
  <c r="G1121" i="30"/>
  <c r="H1120" i="30"/>
  <c r="G1120" i="30"/>
  <c r="H1119" i="30"/>
  <c r="G1119" i="30"/>
  <c r="H1118" i="30"/>
  <c r="G1118" i="30"/>
  <c r="H1117" i="30"/>
  <c r="G1117" i="30"/>
  <c r="H1116" i="30"/>
  <c r="G1116" i="30"/>
  <c r="H1115" i="30"/>
  <c r="G1115" i="30"/>
  <c r="H1114" i="30"/>
  <c r="G1114" i="30"/>
  <c r="H1113" i="30"/>
  <c r="G1113" i="30"/>
  <c r="H1112" i="30"/>
  <c r="G1112" i="30"/>
  <c r="G1283" i="30" s="1"/>
  <c r="H1283" i="30" s="1"/>
  <c r="H1111" i="30"/>
  <c r="G1111" i="30"/>
  <c r="G1282" i="30" s="1"/>
  <c r="H1282" i="30" s="1"/>
  <c r="H1110" i="30"/>
  <c r="G1110" i="30"/>
  <c r="G1281" i="30" s="1"/>
  <c r="H1281" i="30" s="1"/>
  <c r="H1109" i="30"/>
  <c r="G1109" i="30"/>
  <c r="H1108" i="30"/>
  <c r="G1108" i="30"/>
  <c r="H1107" i="30"/>
  <c r="G1107" i="30"/>
  <c r="H1106" i="30"/>
  <c r="G1106" i="30"/>
  <c r="H1105" i="30"/>
  <c r="G1105" i="30"/>
  <c r="H1104" i="30"/>
  <c r="G1104" i="30"/>
  <c r="H1103" i="30"/>
  <c r="G1103" i="30"/>
  <c r="H1102" i="30"/>
  <c r="G1102" i="30"/>
  <c r="H1101" i="30"/>
  <c r="G1101" i="30"/>
  <c r="H1100" i="30"/>
  <c r="G1100" i="30"/>
  <c r="H1099" i="30"/>
  <c r="G1099" i="30"/>
  <c r="H1098" i="30"/>
  <c r="G1098" i="30"/>
  <c r="H1097" i="30"/>
  <c r="G1097" i="30"/>
  <c r="G1268" i="30" s="1"/>
  <c r="H1268" i="30" s="1"/>
  <c r="H1096" i="30"/>
  <c r="G1096" i="30"/>
  <c r="G1267" i="30" s="1"/>
  <c r="H1267" i="30" s="1"/>
  <c r="H1095" i="30"/>
  <c r="G1095" i="30"/>
  <c r="H1094" i="30"/>
  <c r="G1094" i="30"/>
  <c r="H1093" i="30"/>
  <c r="G1093" i="30"/>
  <c r="H1092" i="30"/>
  <c r="G1092" i="30"/>
  <c r="H1091" i="30"/>
  <c r="G1091" i="30"/>
  <c r="H1090" i="30"/>
  <c r="G1090" i="30"/>
  <c r="H1089" i="30"/>
  <c r="G1089" i="30"/>
  <c r="H1088" i="30"/>
  <c r="G1088" i="30"/>
  <c r="H1087" i="30"/>
  <c r="G1087" i="30"/>
  <c r="H1086" i="30"/>
  <c r="G1086" i="30"/>
  <c r="H1085" i="30"/>
  <c r="G1085" i="30"/>
  <c r="H1084" i="30"/>
  <c r="G1084" i="30"/>
  <c r="H1083" i="30"/>
  <c r="G1083" i="30"/>
  <c r="H1082" i="30"/>
  <c r="G1082" i="30"/>
  <c r="G1253" i="30" s="1"/>
  <c r="H1253" i="30" s="1"/>
  <c r="H1081" i="30"/>
  <c r="G1081" i="30"/>
  <c r="G1252" i="30" s="1"/>
  <c r="H1252" i="30" s="1"/>
  <c r="H1080" i="30"/>
  <c r="G1080" i="30"/>
  <c r="G1251" i="30" s="1"/>
  <c r="H1251" i="30" s="1"/>
  <c r="H1079" i="30"/>
  <c r="G1079" i="30"/>
  <c r="G1250" i="30" s="1"/>
  <c r="H1250" i="30" s="1"/>
  <c r="H1078" i="30"/>
  <c r="G1078" i="30"/>
  <c r="G1249" i="30" s="1"/>
  <c r="H1249" i="30" s="1"/>
  <c r="H1077" i="30"/>
  <c r="G1077" i="30"/>
  <c r="G1248" i="30" s="1"/>
  <c r="H1248" i="30" s="1"/>
  <c r="H1076" i="30"/>
  <c r="G1076" i="30"/>
  <c r="H1075" i="30"/>
  <c r="G1075" i="30"/>
  <c r="H1074" i="30"/>
  <c r="G1074" i="30"/>
  <c r="G1245" i="30" s="1"/>
  <c r="H1245" i="30" s="1"/>
  <c r="H1073" i="30"/>
  <c r="G1073" i="30"/>
  <c r="G1244" i="30" s="1"/>
  <c r="H1244" i="30" s="1"/>
  <c r="H1072" i="30"/>
  <c r="G1072" i="30"/>
  <c r="H1071" i="30"/>
  <c r="G1071" i="30"/>
  <c r="H1070" i="30"/>
  <c r="G1070" i="30"/>
  <c r="H1069" i="30"/>
  <c r="G1069" i="30"/>
  <c r="G1240" i="30" s="1"/>
  <c r="H1240" i="30" s="1"/>
  <c r="H1068" i="30"/>
  <c r="G1068" i="30"/>
  <c r="H1067" i="30"/>
  <c r="G1067" i="30"/>
  <c r="H1066" i="30"/>
  <c r="G1066" i="30"/>
  <c r="H1065" i="30"/>
  <c r="G1065" i="30"/>
  <c r="H1064" i="30"/>
  <c r="G1064" i="30"/>
  <c r="H1063" i="30"/>
  <c r="G1063" i="30"/>
  <c r="H1062" i="30"/>
  <c r="G1062" i="30"/>
  <c r="H1061" i="30"/>
  <c r="G1061" i="30"/>
  <c r="H1060" i="30"/>
  <c r="G1060" i="30"/>
  <c r="H1059" i="30"/>
  <c r="G1059" i="30"/>
  <c r="H1058" i="30"/>
  <c r="G1058" i="30"/>
  <c r="H1057" i="30"/>
  <c r="G1057" i="30"/>
  <c r="G1228" i="30" s="1"/>
  <c r="H1228" i="30" s="1"/>
  <c r="H1056" i="30"/>
  <c r="G1056" i="30"/>
  <c r="H1055" i="30"/>
  <c r="G1055" i="30"/>
  <c r="H1054" i="30"/>
  <c r="G1054" i="30"/>
  <c r="H1053" i="30"/>
  <c r="G1053" i="30"/>
  <c r="H1052" i="30"/>
  <c r="G1052" i="30"/>
  <c r="H1051" i="30"/>
  <c r="G1051" i="30"/>
  <c r="H1050" i="30"/>
  <c r="G1050" i="30"/>
  <c r="H1049" i="30"/>
  <c r="G1049" i="30"/>
  <c r="H1048" i="30"/>
  <c r="G1048" i="30"/>
  <c r="H1047" i="30"/>
  <c r="G1047" i="30"/>
  <c r="H1046" i="30"/>
  <c r="G1046" i="30"/>
  <c r="H1045" i="30"/>
  <c r="G1045" i="30"/>
  <c r="G1216" i="30" s="1"/>
  <c r="H1216" i="30" s="1"/>
  <c r="H1044" i="30"/>
  <c r="G1044" i="30"/>
  <c r="H1043" i="30"/>
  <c r="G1043" i="30"/>
  <c r="H1042" i="30"/>
  <c r="G1042" i="30"/>
  <c r="G1213" i="30" s="1"/>
  <c r="H1213" i="30" s="1"/>
  <c r="H1041" i="30"/>
  <c r="G1041" i="30"/>
  <c r="G1212" i="30" s="1"/>
  <c r="H1212" i="30" s="1"/>
  <c r="H1040" i="30"/>
  <c r="G1040" i="30"/>
  <c r="H1039" i="30"/>
  <c r="G1039" i="30"/>
  <c r="G1210" i="30" s="1"/>
  <c r="H1210" i="30" s="1"/>
  <c r="H1038" i="30"/>
  <c r="G1038" i="30"/>
  <c r="G1209" i="30" s="1"/>
  <c r="H1209" i="30" s="1"/>
  <c r="H1037" i="30"/>
  <c r="G1037" i="30"/>
  <c r="H1036" i="30"/>
  <c r="G1036" i="30"/>
  <c r="G1207" i="30" s="1"/>
  <c r="H1207" i="30" s="1"/>
  <c r="H1035" i="30"/>
  <c r="G1035" i="30"/>
  <c r="H1034" i="30"/>
  <c r="G1034" i="30"/>
  <c r="H1033" i="30"/>
  <c r="G1033" i="30"/>
  <c r="S278" i="2"/>
  <c r="R278" i="2"/>
  <c r="Q278" i="2"/>
  <c r="S276" i="2"/>
  <c r="R276" i="2"/>
  <c r="Q276" i="2"/>
  <c r="S275" i="2"/>
  <c r="R275" i="2"/>
  <c r="Q275" i="2"/>
  <c r="S274" i="2"/>
  <c r="R274" i="2"/>
  <c r="Q274" i="2"/>
  <c r="S273" i="2"/>
  <c r="R273" i="2"/>
  <c r="Q273" i="2"/>
  <c r="S272" i="2"/>
  <c r="R272" i="2"/>
  <c r="Q272" i="2"/>
  <c r="S271" i="2"/>
  <c r="R271" i="2"/>
  <c r="Q271" i="2"/>
  <c r="S270" i="2"/>
  <c r="R270" i="2"/>
  <c r="Q270" i="2"/>
  <c r="S269" i="2"/>
  <c r="R269" i="2"/>
  <c r="Q269" i="2"/>
  <c r="S268" i="2"/>
  <c r="R268" i="2"/>
  <c r="Q268" i="2"/>
  <c r="S267" i="2"/>
  <c r="R267" i="2"/>
  <c r="Q267" i="2"/>
  <c r="S266" i="2"/>
  <c r="R266" i="2"/>
  <c r="Q266" i="2"/>
  <c r="S265" i="2"/>
  <c r="R265" i="2"/>
  <c r="Q265" i="2"/>
  <c r="S264" i="2"/>
  <c r="R264" i="2"/>
  <c r="Q264" i="2"/>
  <c r="S263" i="2"/>
  <c r="R263" i="2"/>
  <c r="Q263" i="2"/>
  <c r="S262" i="2"/>
  <c r="B54" i="74" s="1"/>
  <c r="R262" i="2"/>
  <c r="B53" i="74" s="1"/>
  <c r="Q262" i="2"/>
  <c r="B52" i="74" s="1"/>
  <c r="S261" i="2"/>
  <c r="R261" i="2"/>
  <c r="Q261" i="2"/>
  <c r="S260" i="2"/>
  <c r="B18" i="74" s="1"/>
  <c r="R260" i="2"/>
  <c r="B17" i="74" s="1"/>
  <c r="Q260" i="2"/>
  <c r="S259" i="2"/>
  <c r="R259" i="2"/>
  <c r="Q259" i="2"/>
  <c r="S258" i="2"/>
  <c r="R258" i="2"/>
  <c r="Q258" i="2"/>
  <c r="S257" i="2"/>
  <c r="R257" i="2"/>
  <c r="Q257" i="2"/>
  <c r="S256" i="2"/>
  <c r="R256" i="2"/>
  <c r="Q256" i="2"/>
  <c r="S255" i="2"/>
  <c r="B35" i="74" s="1"/>
  <c r="R255" i="2"/>
  <c r="B34" i="74" s="1"/>
  <c r="Q255" i="2"/>
  <c r="S254" i="2"/>
  <c r="R254" i="2"/>
  <c r="Q254" i="2"/>
  <c r="G240" i="2"/>
  <c r="L239" i="2"/>
  <c r="M239" i="2" s="1"/>
  <c r="E239" i="2"/>
  <c r="C239" i="2"/>
  <c r="Y238" i="2"/>
  <c r="X238" i="2"/>
  <c r="L238" i="2"/>
  <c r="M238" i="2" s="1"/>
  <c r="E238" i="2"/>
  <c r="C238" i="2"/>
  <c r="X237" i="2"/>
  <c r="L237" i="2"/>
  <c r="M237" i="2" s="1"/>
  <c r="E237" i="2"/>
  <c r="C237" i="2"/>
  <c r="P236" i="2"/>
  <c r="O236" i="2"/>
  <c r="N236" i="2"/>
  <c r="L236" i="2"/>
  <c r="M236" i="2" s="1"/>
  <c r="E236" i="2"/>
  <c r="C236" i="2"/>
  <c r="P235" i="2"/>
  <c r="O235" i="2"/>
  <c r="N235" i="2"/>
  <c r="L235" i="2"/>
  <c r="M235" i="2" s="1"/>
  <c r="E235" i="2"/>
  <c r="C235" i="2"/>
  <c r="P234" i="2"/>
  <c r="O234" i="2"/>
  <c r="N234" i="2"/>
  <c r="L234" i="2"/>
  <c r="M234" i="2" s="1"/>
  <c r="E234" i="2"/>
  <c r="C234" i="2"/>
  <c r="P233" i="2"/>
  <c r="O233" i="2"/>
  <c r="N233" i="2"/>
  <c r="L233" i="2"/>
  <c r="M233" i="2" s="1"/>
  <c r="E233" i="2"/>
  <c r="C233" i="2"/>
  <c r="P232" i="2"/>
  <c r="O232" i="2"/>
  <c r="N232" i="2"/>
  <c r="L232" i="2"/>
  <c r="M232" i="2" s="1"/>
  <c r="E232" i="2"/>
  <c r="C232" i="2"/>
  <c r="P231" i="2"/>
  <c r="O231" i="2"/>
  <c r="N231" i="2"/>
  <c r="L231" i="2"/>
  <c r="M231" i="2" s="1"/>
  <c r="E231" i="2"/>
  <c r="C231" i="2"/>
  <c r="P230" i="2"/>
  <c r="O230" i="2"/>
  <c r="N230" i="2"/>
  <c r="L230" i="2"/>
  <c r="M230" i="2" s="1"/>
  <c r="E230" i="2"/>
  <c r="C230" i="2"/>
  <c r="Y229" i="2"/>
  <c r="X229" i="2"/>
  <c r="W229" i="2"/>
  <c r="P229" i="2"/>
  <c r="O229" i="2"/>
  <c r="N229" i="2"/>
  <c r="L229" i="2"/>
  <c r="M229" i="2" s="1"/>
  <c r="E229" i="2"/>
  <c r="C229" i="2"/>
  <c r="Y228" i="2"/>
  <c r="X228" i="2"/>
  <c r="W228" i="2"/>
  <c r="P228" i="2"/>
  <c r="O228" i="2"/>
  <c r="N228" i="2"/>
  <c r="L228" i="2"/>
  <c r="M228" i="2" s="1"/>
  <c r="E228" i="2"/>
  <c r="C228" i="2"/>
  <c r="Y227" i="2"/>
  <c r="X227" i="2"/>
  <c r="W227" i="2"/>
  <c r="P227" i="2"/>
  <c r="O227" i="2"/>
  <c r="N227" i="2"/>
  <c r="L227" i="2"/>
  <c r="M227" i="2" s="1"/>
  <c r="E227" i="2"/>
  <c r="C227" i="2"/>
  <c r="Y226" i="2"/>
  <c r="X226" i="2"/>
  <c r="W226" i="2"/>
  <c r="P226" i="2"/>
  <c r="O226" i="2"/>
  <c r="N226" i="2"/>
  <c r="L226" i="2"/>
  <c r="M226" i="2" s="1"/>
  <c r="F226" i="2"/>
  <c r="E226" i="2"/>
  <c r="C226" i="2"/>
  <c r="Y225" i="2"/>
  <c r="X225" i="2"/>
  <c r="W225" i="2"/>
  <c r="P225" i="2"/>
  <c r="O225" i="2"/>
  <c r="N225" i="2"/>
  <c r="L225" i="2"/>
  <c r="M225" i="2" s="1"/>
  <c r="F225" i="2"/>
  <c r="E225" i="2"/>
  <c r="C225" i="2"/>
  <c r="Y224" i="2"/>
  <c r="X224" i="2"/>
  <c r="W224" i="2"/>
  <c r="P224" i="2"/>
  <c r="O224" i="2"/>
  <c r="N224" i="2"/>
  <c r="L224" i="2"/>
  <c r="M224" i="2" s="1"/>
  <c r="E224" i="2"/>
  <c r="C224" i="2"/>
  <c r="Y223" i="2"/>
  <c r="X223" i="2"/>
  <c r="P223" i="2"/>
  <c r="O223" i="2"/>
  <c r="N223" i="2"/>
  <c r="L223" i="2"/>
  <c r="M223" i="2" s="1"/>
  <c r="E223" i="2"/>
  <c r="C223" i="2"/>
  <c r="Y222" i="2"/>
  <c r="X222" i="2"/>
  <c r="P222" i="2"/>
  <c r="O222" i="2"/>
  <c r="N222" i="2"/>
  <c r="L222" i="2"/>
  <c r="M222" i="2" s="1"/>
  <c r="E222" i="2"/>
  <c r="C222" i="2"/>
  <c r="Y221" i="2"/>
  <c r="X221" i="2"/>
  <c r="W221" i="2"/>
  <c r="P221" i="2"/>
  <c r="O221" i="2"/>
  <c r="N221" i="2"/>
  <c r="L221" i="2"/>
  <c r="M221" i="2" s="1"/>
  <c r="E221" i="2"/>
  <c r="C221" i="2"/>
  <c r="Y220" i="2"/>
  <c r="X220" i="2"/>
  <c r="W220" i="2"/>
  <c r="P220" i="2"/>
  <c r="O220" i="2"/>
  <c r="N220" i="2"/>
  <c r="L220" i="2"/>
  <c r="M220" i="2" s="1"/>
  <c r="E220" i="2"/>
  <c r="C220" i="2"/>
  <c r="Y219" i="2"/>
  <c r="X219" i="2"/>
  <c r="P219" i="2"/>
  <c r="O219" i="2"/>
  <c r="N219" i="2"/>
  <c r="L219" i="2"/>
  <c r="M219" i="2" s="1"/>
  <c r="E219" i="2"/>
  <c r="C219" i="2"/>
  <c r="Y218" i="2"/>
  <c r="X218" i="2"/>
  <c r="P218" i="2"/>
  <c r="O218" i="2"/>
  <c r="N218" i="2"/>
  <c r="L218" i="2"/>
  <c r="M218" i="2" s="1"/>
  <c r="E218" i="2"/>
  <c r="C218" i="2"/>
  <c r="Y217" i="2"/>
  <c r="X217" i="2"/>
  <c r="P217" i="2"/>
  <c r="O217" i="2"/>
  <c r="N217" i="2"/>
  <c r="L217" i="2"/>
  <c r="M217" i="2" s="1"/>
  <c r="E217" i="2"/>
  <c r="C217" i="2"/>
  <c r="Y216" i="2"/>
  <c r="X216" i="2"/>
  <c r="P216" i="2"/>
  <c r="O216" i="2"/>
  <c r="N216" i="2"/>
  <c r="L216" i="2"/>
  <c r="M216" i="2" s="1"/>
  <c r="E216" i="2"/>
  <c r="C216" i="2"/>
  <c r="P215" i="2"/>
  <c r="O215" i="2"/>
  <c r="N215" i="2"/>
  <c r="L215" i="2"/>
  <c r="M215" i="2" s="1"/>
  <c r="E215" i="2"/>
  <c r="C215" i="2"/>
  <c r="P214" i="2"/>
  <c r="O214" i="2"/>
  <c r="N214" i="2"/>
  <c r="L214" i="2"/>
  <c r="M214" i="2" s="1"/>
  <c r="E214" i="2"/>
  <c r="C214" i="2"/>
  <c r="P213" i="2"/>
  <c r="O213" i="2"/>
  <c r="N213" i="2"/>
  <c r="L213" i="2"/>
  <c r="M213" i="2" s="1"/>
  <c r="E213" i="2"/>
  <c r="C213" i="2"/>
  <c r="P212" i="2"/>
  <c r="O212" i="2"/>
  <c r="N212" i="2"/>
  <c r="L212" i="2"/>
  <c r="M212" i="2" s="1"/>
  <c r="E212" i="2"/>
  <c r="C212" i="2"/>
  <c r="P211" i="2"/>
  <c r="O211" i="2"/>
  <c r="N211" i="2"/>
  <c r="L211" i="2"/>
  <c r="M211" i="2" s="1"/>
  <c r="E211" i="2"/>
  <c r="C211" i="2"/>
  <c r="P210" i="2"/>
  <c r="O210" i="2"/>
  <c r="N210" i="2"/>
  <c r="L210" i="2"/>
  <c r="M210" i="2" s="1"/>
  <c r="E210" i="2"/>
  <c r="C210" i="2"/>
  <c r="P209" i="2"/>
  <c r="O209" i="2"/>
  <c r="N209" i="2"/>
  <c r="L209" i="2"/>
  <c r="M209" i="2" s="1"/>
  <c r="E209" i="2"/>
  <c r="C209" i="2"/>
  <c r="P208" i="2"/>
  <c r="O208" i="2"/>
  <c r="N208" i="2"/>
  <c r="L208" i="2"/>
  <c r="M208" i="2" s="1"/>
  <c r="E208" i="2"/>
  <c r="C208" i="2"/>
  <c r="P207" i="2"/>
  <c r="O207" i="2"/>
  <c r="N207" i="2"/>
  <c r="L207" i="2"/>
  <c r="M207" i="2" s="1"/>
  <c r="E207" i="2"/>
  <c r="C207" i="2"/>
  <c r="P206" i="2"/>
  <c r="O206" i="2"/>
  <c r="N206" i="2"/>
  <c r="L206" i="2"/>
  <c r="M206" i="2" s="1"/>
  <c r="E206" i="2"/>
  <c r="C206" i="2"/>
  <c r="P205" i="2"/>
  <c r="O205" i="2"/>
  <c r="N205" i="2"/>
  <c r="L205" i="2"/>
  <c r="M205" i="2" s="1"/>
  <c r="E205" i="2"/>
  <c r="C205" i="2"/>
  <c r="P204" i="2"/>
  <c r="O204" i="2"/>
  <c r="N204" i="2"/>
  <c r="L204" i="2"/>
  <c r="M204" i="2" s="1"/>
  <c r="E204" i="2"/>
  <c r="C204" i="2"/>
  <c r="P203" i="2"/>
  <c r="O203" i="2"/>
  <c r="N203" i="2"/>
  <c r="L203" i="2"/>
  <c r="M203" i="2" s="1"/>
  <c r="E203" i="2"/>
  <c r="C203" i="2"/>
  <c r="P202" i="2"/>
  <c r="O202" i="2"/>
  <c r="N202" i="2"/>
  <c r="M202" i="2"/>
  <c r="E202" i="2"/>
  <c r="C202" i="2"/>
  <c r="I1086" i="30" l="1"/>
  <c r="I1091" i="30"/>
  <c r="I1099" i="30"/>
  <c r="I1107" i="30"/>
  <c r="I1147" i="30"/>
  <c r="I1155" i="30"/>
  <c r="I1171" i="30"/>
  <c r="I1052" i="30"/>
  <c r="I1054" i="30"/>
  <c r="I1060" i="30"/>
  <c r="I1062" i="30"/>
  <c r="I1068" i="30"/>
  <c r="I1070" i="30"/>
  <c r="I1076" i="30"/>
  <c r="I1090" i="30"/>
  <c r="I1106" i="30"/>
  <c r="I1110" i="30"/>
  <c r="I1150" i="30"/>
  <c r="I1043" i="30"/>
  <c r="I1083" i="30"/>
  <c r="I1201" i="30"/>
  <c r="I1180" i="30"/>
  <c r="I1188" i="30"/>
  <c r="I1198" i="30"/>
  <c r="I1202" i="30"/>
  <c r="I1057" i="30"/>
  <c r="I1065" i="30"/>
  <c r="I1073" i="30"/>
  <c r="I1154" i="30"/>
  <c r="I1170" i="30"/>
  <c r="I1174" i="30"/>
  <c r="I1113" i="30"/>
  <c r="I1121" i="30"/>
  <c r="I1129" i="30"/>
  <c r="I1137" i="30"/>
  <c r="I1049" i="30"/>
  <c r="I1042" i="30"/>
  <c r="I1046" i="30"/>
  <c r="I1116" i="30"/>
  <c r="I1118" i="30"/>
  <c r="I1124" i="30"/>
  <c r="I1126" i="30"/>
  <c r="I1132" i="30"/>
  <c r="I1134" i="30"/>
  <c r="I1140" i="30"/>
  <c r="I1142" i="30"/>
  <c r="I1177" i="30"/>
  <c r="I1185" i="30"/>
  <c r="I1193" i="30"/>
  <c r="I1145" i="30"/>
  <c r="G1373" i="30"/>
  <c r="H1373" i="30" s="1"/>
  <c r="I1041" i="30"/>
  <c r="I1051" i="30"/>
  <c r="I1058" i="30"/>
  <c r="I1074" i="30"/>
  <c r="I1084" i="30"/>
  <c r="I1089" i="30"/>
  <c r="I1097" i="30"/>
  <c r="I1105" i="30"/>
  <c r="I1115" i="30"/>
  <c r="I1122" i="30"/>
  <c r="I1138" i="30"/>
  <c r="I1148" i="30"/>
  <c r="I1153" i="30"/>
  <c r="I1161" i="30"/>
  <c r="I1169" i="30"/>
  <c r="I1179" i="30"/>
  <c r="I1182" i="30"/>
  <c r="I1186" i="30"/>
  <c r="G1241" i="30"/>
  <c r="H1241" i="30" s="1"/>
  <c r="G1351" i="30"/>
  <c r="H1351" i="30" s="1"/>
  <c r="G1318" i="30"/>
  <c r="H1318" i="30" s="1"/>
  <c r="I1081" i="30"/>
  <c r="G1369" i="30"/>
  <c r="H1369" i="30" s="1"/>
  <c r="I1036" i="30"/>
  <c r="I1044" i="30"/>
  <c r="I1059" i="30"/>
  <c r="I1067" i="30"/>
  <c r="I1075" i="30"/>
  <c r="I1078" i="30"/>
  <c r="I1092" i="30"/>
  <c r="I1094" i="30"/>
  <c r="I1100" i="30"/>
  <c r="I1102" i="30"/>
  <c r="I1108" i="30"/>
  <c r="I1123" i="30"/>
  <c r="I1131" i="30"/>
  <c r="I1139" i="30"/>
  <c r="I1156" i="30"/>
  <c r="I1172" i="30"/>
  <c r="I1187" i="30"/>
  <c r="I1203" i="30"/>
  <c r="I1158" i="30"/>
  <c r="I1190" i="30"/>
  <c r="G1326" i="30"/>
  <c r="H1326" i="30" s="1"/>
  <c r="I1035" i="30"/>
  <c r="I1038" i="30"/>
  <c r="I1050" i="30"/>
  <c r="I1082" i="30"/>
  <c r="I1114" i="30"/>
  <c r="I1146" i="30"/>
  <c r="I1163" i="30"/>
  <c r="G1334" i="30"/>
  <c r="H1334" i="30" s="1"/>
  <c r="I1166" i="30"/>
  <c r="I1178" i="30"/>
  <c r="I1195" i="30"/>
  <c r="G1366" i="30"/>
  <c r="H1366" i="30" s="1"/>
  <c r="G1319" i="30"/>
  <c r="H1319" i="30" s="1"/>
  <c r="G1215" i="30"/>
  <c r="H1215" i="30" s="1"/>
  <c r="G1247" i="30"/>
  <c r="H1247" i="30" s="1"/>
  <c r="I1034" i="30"/>
  <c r="I1066" i="30"/>
  <c r="I1098" i="30"/>
  <c r="I1130" i="30"/>
  <c r="I1162" i="30"/>
  <c r="I1164" i="30"/>
  <c r="G1335" i="30"/>
  <c r="H1335" i="30" s="1"/>
  <c r="I1194" i="30"/>
  <c r="I1196" i="30"/>
  <c r="G1367" i="30"/>
  <c r="H1367" i="30" s="1"/>
  <c r="G1214" i="30"/>
  <c r="H1214" i="30" s="1"/>
  <c r="G1246" i="30"/>
  <c r="H1246" i="30" s="1"/>
  <c r="G1271" i="30"/>
  <c r="H1271" i="30" s="1"/>
  <c r="G1327" i="30"/>
  <c r="H1327" i="30" s="1"/>
  <c r="G1350" i="30"/>
  <c r="H1350" i="30" s="1"/>
  <c r="G1374" i="30"/>
  <c r="H1374" i="30" s="1"/>
  <c r="I1040" i="30"/>
  <c r="I1045" i="30"/>
  <c r="I1047" i="30"/>
  <c r="I1056" i="30"/>
  <c r="I1061" i="30"/>
  <c r="I1063" i="30"/>
  <c r="I1072" i="30"/>
  <c r="I1077" i="30"/>
  <c r="I1079" i="30"/>
  <c r="I1088" i="30"/>
  <c r="I1093" i="30"/>
  <c r="I1095" i="30"/>
  <c r="I1104" i="30"/>
  <c r="I1109" i="30"/>
  <c r="I1111" i="30"/>
  <c r="I1120" i="30"/>
  <c r="I1125" i="30"/>
  <c r="I1127" i="30"/>
  <c r="I1136" i="30"/>
  <c r="I1141" i="30"/>
  <c r="I1143" i="30"/>
  <c r="I1152" i="30"/>
  <c r="I1157" i="30"/>
  <c r="I1159" i="30"/>
  <c r="I1168" i="30"/>
  <c r="I1173" i="30"/>
  <c r="I1175" i="30"/>
  <c r="I1184" i="30"/>
  <c r="I1189" i="30"/>
  <c r="I1191" i="30"/>
  <c r="I1200" i="30"/>
  <c r="I1037" i="30"/>
  <c r="I1039" i="30"/>
  <c r="I1048" i="30"/>
  <c r="I1053" i="30"/>
  <c r="I1055" i="30"/>
  <c r="I1064" i="30"/>
  <c r="I1069" i="30"/>
  <c r="I1071" i="30"/>
  <c r="I1080" i="30"/>
  <c r="I1085" i="30"/>
  <c r="I1087" i="30"/>
  <c r="I1096" i="30"/>
  <c r="I1101" i="30"/>
  <c r="I1103" i="30"/>
  <c r="I1112" i="30"/>
  <c r="I1117" i="30"/>
  <c r="I1119" i="30"/>
  <c r="I1128" i="30"/>
  <c r="I1133" i="30"/>
  <c r="I1135" i="30"/>
  <c r="I1144" i="30"/>
  <c r="I1149" i="30"/>
  <c r="I1151" i="30"/>
  <c r="I1160" i="30"/>
  <c r="I1165" i="30"/>
  <c r="I1167" i="30"/>
  <c r="I1176" i="30"/>
  <c r="I1181" i="30"/>
  <c r="I1183" i="30"/>
  <c r="I1192" i="30"/>
  <c r="I1197" i="30"/>
  <c r="I1199" i="30"/>
  <c r="N239" i="2"/>
  <c r="O239" i="2"/>
  <c r="E1427" i="30" l="1"/>
  <c r="C1427" i="30"/>
  <c r="E1446" i="30"/>
  <c r="C1446" i="30"/>
  <c r="E1445" i="30"/>
  <c r="C1445" i="30"/>
  <c r="E1444" i="30"/>
  <c r="C1444" i="30"/>
  <c r="E1443" i="30"/>
  <c r="C1443" i="30"/>
  <c r="E1442" i="30"/>
  <c r="C1442" i="30"/>
  <c r="E1441" i="30"/>
  <c r="C1441" i="30"/>
  <c r="E1440" i="30"/>
  <c r="C1440" i="30"/>
  <c r="E1439" i="30"/>
  <c r="C1439" i="30"/>
  <c r="E1438" i="30"/>
  <c r="C1438" i="30"/>
  <c r="E1437" i="30"/>
  <c r="C1437" i="30"/>
  <c r="E1436" i="30"/>
  <c r="C1436" i="30"/>
  <c r="E1435" i="30"/>
  <c r="C1435" i="30"/>
  <c r="E1434" i="30"/>
  <c r="C1434" i="30"/>
  <c r="E1433" i="30"/>
  <c r="C1433" i="30"/>
  <c r="E1432" i="30"/>
  <c r="C1432" i="30"/>
  <c r="E1431" i="30"/>
  <c r="C1431" i="30"/>
  <c r="E1430" i="30"/>
  <c r="C1430" i="30"/>
  <c r="E1429" i="30"/>
  <c r="C1429" i="30"/>
  <c r="E1428" i="30"/>
  <c r="C1428" i="30"/>
  <c r="E1426" i="30"/>
  <c r="C1426" i="30"/>
  <c r="E1425" i="30"/>
  <c r="C1425" i="30"/>
  <c r="E1424" i="30"/>
  <c r="C1424" i="30"/>
  <c r="E1423" i="30"/>
  <c r="C1423" i="30"/>
  <c r="E1422" i="30"/>
  <c r="C1422" i="30"/>
  <c r="E1421" i="30"/>
  <c r="C1421" i="30"/>
  <c r="E1420" i="30"/>
  <c r="C1420" i="30"/>
  <c r="E1419" i="30"/>
  <c r="C1419" i="30"/>
  <c r="E1418" i="30"/>
  <c r="C1418" i="30"/>
  <c r="E1417" i="30"/>
  <c r="C1417" i="30"/>
  <c r="E1416" i="30"/>
  <c r="C1416" i="30"/>
  <c r="E1415" i="30"/>
  <c r="C1415" i="30"/>
  <c r="E1414" i="30"/>
  <c r="C1414" i="30"/>
  <c r="E1413" i="30"/>
  <c r="C1413" i="30"/>
  <c r="E1412" i="30"/>
  <c r="C1412" i="30"/>
  <c r="E1411" i="30"/>
  <c r="C1411" i="30"/>
  <c r="E1410" i="30"/>
  <c r="C1410" i="30"/>
  <c r="E1409" i="30"/>
  <c r="C1409" i="30"/>
  <c r="E1408" i="30"/>
  <c r="C1408" i="30"/>
  <c r="E1407" i="30"/>
  <c r="C1407" i="30"/>
  <c r="E1406" i="30"/>
  <c r="C1406" i="30"/>
  <c r="E1405" i="30"/>
  <c r="C1405" i="30"/>
  <c r="E1404" i="30"/>
  <c r="C1404" i="30"/>
  <c r="E1403" i="30"/>
  <c r="C1403" i="30"/>
  <c r="E1402" i="30"/>
  <c r="C1402" i="30"/>
  <c r="E1401" i="30"/>
  <c r="C1401" i="30"/>
  <c r="E1400" i="30"/>
  <c r="C1400" i="30"/>
  <c r="E1399" i="30"/>
  <c r="C1399" i="30"/>
  <c r="E1398" i="30"/>
  <c r="C1398" i="30"/>
  <c r="E1397" i="30"/>
  <c r="C1397" i="30"/>
  <c r="E1396" i="30"/>
  <c r="C1396" i="30"/>
  <c r="E1395" i="30"/>
  <c r="C1395" i="30"/>
  <c r="E1394" i="30"/>
  <c r="C1394" i="30"/>
  <c r="E1393" i="30"/>
  <c r="C1393" i="30"/>
  <c r="E1392" i="30"/>
  <c r="C1392" i="30"/>
  <c r="E1391" i="30"/>
  <c r="C1391" i="30"/>
  <c r="E1390" i="30"/>
  <c r="C1390" i="30"/>
  <c r="E1389" i="30"/>
  <c r="C1389" i="30"/>
  <c r="E1388" i="30"/>
  <c r="C1388" i="30"/>
  <c r="E1387" i="30"/>
  <c r="C1387" i="30"/>
  <c r="E1386" i="30"/>
  <c r="C1386" i="30"/>
  <c r="E1385" i="30"/>
  <c r="C1385" i="30"/>
  <c r="E1384" i="30"/>
  <c r="C1384" i="30"/>
  <c r="E1383" i="30"/>
  <c r="C1383" i="30"/>
  <c r="E1382" i="30"/>
  <c r="C1382" i="30"/>
  <c r="E1381" i="30"/>
  <c r="C1381" i="30"/>
  <c r="E1380" i="30"/>
  <c r="C1380" i="30"/>
  <c r="E1379" i="30"/>
  <c r="C1379" i="30"/>
  <c r="E1378" i="30"/>
  <c r="C1378" i="30"/>
  <c r="E1377" i="30"/>
  <c r="C1377" i="30"/>
  <c r="E1376" i="30"/>
  <c r="C1376" i="30"/>
  <c r="E1375" i="30"/>
  <c r="C1375" i="30"/>
  <c r="L278" i="2"/>
  <c r="L276" i="2"/>
  <c r="G276" i="2" s="1"/>
  <c r="L275" i="2"/>
  <c r="G275" i="2" s="1"/>
  <c r="L274" i="2"/>
  <c r="G274" i="2" s="1"/>
  <c r="L273" i="2"/>
  <c r="G273" i="2" s="1"/>
  <c r="L272" i="2"/>
  <c r="G272" i="2" s="1"/>
  <c r="L271" i="2"/>
  <c r="G271" i="2" s="1"/>
  <c r="L270" i="2"/>
  <c r="G270" i="2" s="1"/>
  <c r="L269" i="2"/>
  <c r="G269" i="2" s="1"/>
  <c r="L268" i="2"/>
  <c r="G268" i="2" s="1"/>
  <c r="L267" i="2"/>
  <c r="G267" i="2" s="1"/>
  <c r="L266" i="2"/>
  <c r="G266" i="2" s="1"/>
  <c r="L265" i="2"/>
  <c r="G265" i="2" s="1"/>
  <c r="L264" i="2"/>
  <c r="G264" i="2" s="1"/>
  <c r="L263" i="2"/>
  <c r="G263" i="2" s="1"/>
  <c r="L262" i="2"/>
  <c r="G262" i="2" s="1"/>
  <c r="L261" i="2"/>
  <c r="G261" i="2" s="1"/>
  <c r="L260" i="2"/>
  <c r="G260" i="2" s="1"/>
  <c r="L259" i="2"/>
  <c r="G259" i="2" s="1"/>
  <c r="L258" i="2"/>
  <c r="G258" i="2" s="1"/>
  <c r="L257" i="2"/>
  <c r="G257" i="2" s="1"/>
  <c r="L256" i="2"/>
  <c r="G256" i="2" s="1"/>
  <c r="L255" i="2"/>
  <c r="G255" i="2" s="1"/>
  <c r="L254" i="2"/>
  <c r="G254" i="2" s="1"/>
  <c r="L253" i="2"/>
  <c r="G253" i="2" s="1"/>
  <c r="L252" i="2"/>
  <c r="G252" i="2" s="1"/>
  <c r="L251" i="2"/>
  <c r="G251" i="2" s="1"/>
  <c r="L250" i="2"/>
  <c r="G250" i="2" s="1"/>
  <c r="L249" i="2"/>
  <c r="G249" i="2" s="1"/>
  <c r="L248" i="2"/>
  <c r="G248" i="2" s="1"/>
  <c r="L247" i="2"/>
  <c r="G247" i="2" s="1"/>
  <c r="L246" i="2"/>
  <c r="G246" i="2" s="1"/>
  <c r="L245" i="2"/>
  <c r="G245" i="2" s="1"/>
  <c r="L244" i="2"/>
  <c r="G244" i="2" s="1"/>
  <c r="L243" i="2"/>
  <c r="G243" i="2" s="1"/>
  <c r="L242" i="2"/>
  <c r="G242" i="2" s="1"/>
  <c r="L241" i="2"/>
  <c r="G241" i="2" s="1"/>
  <c r="E278" i="2"/>
  <c r="C278" i="2"/>
  <c r="E276" i="2"/>
  <c r="C276" i="2"/>
  <c r="E275" i="2"/>
  <c r="C275" i="2"/>
  <c r="P274" i="2"/>
  <c r="E274" i="2"/>
  <c r="C274" i="2"/>
  <c r="P273" i="2"/>
  <c r="E273" i="2"/>
  <c r="C273" i="2"/>
  <c r="P272" i="2"/>
  <c r="E272" i="2"/>
  <c r="C272" i="2"/>
  <c r="P271" i="2"/>
  <c r="E271" i="2"/>
  <c r="C271" i="2"/>
  <c r="P270" i="2"/>
  <c r="E270" i="2"/>
  <c r="C270" i="2"/>
  <c r="P269" i="2"/>
  <c r="E269" i="2"/>
  <c r="C269" i="2"/>
  <c r="P268" i="2"/>
  <c r="E268" i="2"/>
  <c r="C268" i="2"/>
  <c r="P267" i="2"/>
  <c r="E267" i="2"/>
  <c r="C267" i="2"/>
  <c r="P266" i="2"/>
  <c r="E266" i="2"/>
  <c r="C266" i="2"/>
  <c r="P265" i="2"/>
  <c r="E265" i="2"/>
  <c r="C265" i="2"/>
  <c r="P264" i="2"/>
  <c r="F264" i="2"/>
  <c r="E264" i="2"/>
  <c r="C264" i="2"/>
  <c r="P263" i="2"/>
  <c r="F263" i="2"/>
  <c r="E263" i="2"/>
  <c r="C263" i="2"/>
  <c r="P262" i="2"/>
  <c r="E262" i="2"/>
  <c r="C262" i="2"/>
  <c r="P261" i="2"/>
  <c r="E261" i="2"/>
  <c r="C261" i="2"/>
  <c r="P260" i="2"/>
  <c r="E260" i="2"/>
  <c r="C260" i="2"/>
  <c r="P259" i="2"/>
  <c r="E259" i="2"/>
  <c r="C259" i="2"/>
  <c r="P258" i="2"/>
  <c r="E258" i="2"/>
  <c r="C258" i="2"/>
  <c r="P257" i="2"/>
  <c r="E257" i="2"/>
  <c r="C257" i="2"/>
  <c r="P256" i="2"/>
  <c r="E256" i="2"/>
  <c r="C256" i="2"/>
  <c r="P255" i="2"/>
  <c r="E255" i="2"/>
  <c r="C255" i="2"/>
  <c r="P254" i="2"/>
  <c r="E254" i="2"/>
  <c r="C254" i="2"/>
  <c r="P253" i="2"/>
  <c r="E253" i="2"/>
  <c r="C253" i="2"/>
  <c r="P252" i="2"/>
  <c r="E252" i="2"/>
  <c r="C252" i="2"/>
  <c r="P251" i="2"/>
  <c r="E251" i="2"/>
  <c r="C251" i="2"/>
  <c r="P250" i="2"/>
  <c r="E250" i="2"/>
  <c r="C250" i="2"/>
  <c r="P249" i="2"/>
  <c r="E249" i="2"/>
  <c r="C249" i="2"/>
  <c r="P248" i="2"/>
  <c r="E248" i="2"/>
  <c r="C248" i="2"/>
  <c r="P247" i="2"/>
  <c r="E247" i="2"/>
  <c r="C247" i="2"/>
  <c r="P246" i="2"/>
  <c r="E246" i="2"/>
  <c r="C246" i="2"/>
  <c r="P245" i="2"/>
  <c r="E245" i="2"/>
  <c r="C245" i="2"/>
  <c r="P244" i="2"/>
  <c r="E244" i="2"/>
  <c r="C244" i="2"/>
  <c r="P243" i="2"/>
  <c r="E243" i="2"/>
  <c r="C243" i="2"/>
  <c r="P242" i="2"/>
  <c r="E242" i="2"/>
  <c r="C242" i="2"/>
  <c r="P241" i="2"/>
  <c r="E241" i="2"/>
  <c r="C241" i="2"/>
  <c r="P240" i="2"/>
  <c r="E240" i="2"/>
  <c r="C240" i="2"/>
  <c r="A24" i="3"/>
  <c r="G278" i="2" l="1"/>
  <c r="H278" i="2"/>
  <c r="I278" i="2"/>
  <c r="AF4" i="28"/>
  <c r="AF6" i="3"/>
  <c r="AF7" i="3" s="1"/>
  <c r="AF8" i="3" s="1"/>
  <c r="AF9" i="3" s="1"/>
  <c r="AC6" i="3"/>
  <c r="AC7" i="3" s="1"/>
  <c r="AC8" i="3" s="1"/>
  <c r="AC9" i="3" s="1"/>
  <c r="AC10" i="3" s="1"/>
  <c r="AC11" i="3" s="1"/>
  <c r="AC12" i="3" s="1"/>
  <c r="AC13" i="3" s="1"/>
  <c r="AC14" i="3" s="1"/>
  <c r="AC15" i="3" s="1"/>
  <c r="AC16" i="3" s="1"/>
  <c r="AC17" i="3" s="1"/>
  <c r="AC18" i="3" s="1"/>
  <c r="AC19" i="3" s="1"/>
  <c r="AC20" i="3" s="1"/>
  <c r="AC21" i="3" s="1"/>
  <c r="AC22" i="3" s="1"/>
  <c r="AC23" i="3" s="1"/>
  <c r="AC24" i="3" s="1"/>
  <c r="AC25" i="3" s="1"/>
  <c r="AC26" i="3" s="1"/>
  <c r="AC27" i="3" s="1"/>
  <c r="AC28" i="3" s="1"/>
  <c r="AC29" i="3" s="1"/>
  <c r="AC30" i="3" s="1"/>
  <c r="AC31" i="3" s="1"/>
  <c r="AC32" i="3" s="1"/>
  <c r="AC33" i="3" s="1"/>
  <c r="AC34" i="3" s="1"/>
  <c r="AC35" i="3" s="1"/>
  <c r="AC36" i="3" s="1"/>
  <c r="AC37" i="3" s="1"/>
  <c r="AC38" i="3" s="1"/>
  <c r="AC39" i="3" s="1"/>
  <c r="AC40" i="3" s="1"/>
  <c r="AC41" i="3" s="1"/>
  <c r="AC42" i="3" s="1"/>
  <c r="AC43" i="3" s="1"/>
  <c r="AC44" i="3" s="1"/>
  <c r="AC45" i="3" s="1"/>
  <c r="AC46" i="3" s="1"/>
  <c r="AC47" i="3" s="1"/>
  <c r="AC48" i="3" s="1"/>
  <c r="AC49" i="3" s="1"/>
  <c r="AC50" i="3" s="1"/>
  <c r="AC51" i="3" s="1"/>
  <c r="AC52" i="3" s="1"/>
  <c r="AC53" i="3" s="1"/>
  <c r="AC54" i="3" s="1"/>
  <c r="AC55" i="3" s="1"/>
  <c r="AC56" i="3" s="1"/>
  <c r="AC57" i="3" s="1"/>
  <c r="AC58" i="3" s="1"/>
  <c r="AC59" i="3" s="1"/>
  <c r="AC60" i="3" s="1"/>
  <c r="AC61" i="3" s="1"/>
  <c r="AC62" i="3" s="1"/>
  <c r="AC63" i="3" s="1"/>
  <c r="AC64" i="3" s="1"/>
  <c r="AC65" i="3" s="1"/>
  <c r="AC66" i="3" s="1"/>
  <c r="AC67" i="3" s="1"/>
  <c r="AC68" i="3" s="1"/>
  <c r="AC69" i="3" s="1"/>
  <c r="AC70" i="3" s="1"/>
  <c r="AC71" i="3" s="1"/>
  <c r="AC72" i="3" s="1"/>
  <c r="AC73" i="3" s="1"/>
  <c r="AC74" i="3" s="1"/>
  <c r="AC75" i="3" s="1"/>
  <c r="AC76" i="3" s="1"/>
  <c r="AC77" i="3" s="1"/>
  <c r="AE5" i="28" l="1"/>
  <c r="AF5" i="28" s="1"/>
  <c r="AB5" i="28" s="1"/>
  <c r="AG4" i="28"/>
  <c r="AB4" i="28"/>
  <c r="AF10" i="3"/>
  <c r="AF11" i="3" s="1"/>
  <c r="AF12" i="3" s="1"/>
  <c r="AF13" i="3" s="1"/>
  <c r="AF14" i="3" l="1"/>
  <c r="AF15" i="3" s="1"/>
  <c r="AF16" i="3" s="1"/>
  <c r="AF17" i="3" s="1"/>
  <c r="AF18" i="3" s="1"/>
  <c r="AF19" i="3" s="1"/>
  <c r="AF20" i="3" s="1"/>
  <c r="AF21" i="3" s="1"/>
  <c r="AF22" i="3" s="1"/>
  <c r="AF23" i="3" s="1"/>
  <c r="AF24" i="3" s="1"/>
  <c r="AF25" i="3" s="1"/>
  <c r="AF26" i="3" s="1"/>
  <c r="AF27" i="3" s="1"/>
  <c r="AF28" i="3" s="1"/>
  <c r="Z3" i="29" s="1"/>
  <c r="AE6" i="28"/>
  <c r="AE7" i="28" s="1"/>
  <c r="AG5" i="28"/>
  <c r="Z4" i="29" l="1"/>
  <c r="AB4" i="29" s="1"/>
  <c r="AA3" i="29"/>
  <c r="AB3" i="29"/>
  <c r="AF6" i="28"/>
  <c r="AG6" i="28" s="1"/>
  <c r="Z5" i="29"/>
  <c r="AE8" i="28"/>
  <c r="AF7" i="28"/>
  <c r="AA4" i="29" l="1"/>
  <c r="AB6" i="28"/>
  <c r="Z6" i="29"/>
  <c r="AA5" i="29"/>
  <c r="AB5" i="29"/>
  <c r="AG7" i="28"/>
  <c r="AB7" i="28"/>
  <c r="AE9" i="28"/>
  <c r="AF8" i="28"/>
  <c r="AA6" i="29" l="1"/>
  <c r="AB6" i="29"/>
  <c r="Z7" i="29"/>
  <c r="AG8" i="28"/>
  <c r="AB8" i="28"/>
  <c r="AF9" i="28"/>
  <c r="AE10" i="28"/>
  <c r="AB7" i="29" l="1"/>
  <c r="AA7" i="29"/>
  <c r="Z8" i="29"/>
  <c r="AG9" i="28"/>
  <c r="AB9" i="28"/>
  <c r="AF10" i="28"/>
  <c r="AE11" i="28"/>
  <c r="Z9" i="29" l="1"/>
  <c r="AB8" i="29"/>
  <c r="AA8" i="29"/>
  <c r="AG10" i="28"/>
  <c r="AB10" i="28"/>
  <c r="AE12" i="28"/>
  <c r="AF11" i="28"/>
  <c r="AB9" i="29" l="1"/>
  <c r="Z10" i="29"/>
  <c r="AA9" i="29"/>
  <c r="AG11" i="28"/>
  <c r="AB11" i="28"/>
  <c r="AE13" i="28"/>
  <c r="AF12" i="28"/>
  <c r="AA10" i="29" l="1"/>
  <c r="Z11" i="29"/>
  <c r="AB10" i="29"/>
  <c r="AG12" i="28"/>
  <c r="AB12" i="28"/>
  <c r="AF13" i="28"/>
  <c r="AE14" i="28"/>
  <c r="AB11" i="29" l="1"/>
  <c r="Z12" i="29"/>
  <c r="AA11" i="29"/>
  <c r="AG13" i="28"/>
  <c r="AB13" i="28"/>
  <c r="AF14" i="28"/>
  <c r="AE15" i="28"/>
  <c r="Z13" i="29" l="1"/>
  <c r="AA12" i="29"/>
  <c r="AB12" i="29"/>
  <c r="AG14" i="28"/>
  <c r="AB14" i="28"/>
  <c r="AE16" i="28"/>
  <c r="AF15" i="28"/>
  <c r="Z14" i="29" l="1"/>
  <c r="AB13" i="29"/>
  <c r="AA13" i="29"/>
  <c r="AG15" i="28"/>
  <c r="AB15" i="28"/>
  <c r="AE17" i="28"/>
  <c r="AF16" i="28"/>
  <c r="AA14" i="29" l="1"/>
  <c r="Z15" i="29"/>
  <c r="AB14" i="29"/>
  <c r="AG16" i="28"/>
  <c r="AB16" i="28"/>
  <c r="AF17" i="28"/>
  <c r="AE18" i="28"/>
  <c r="AB15" i="29" l="1"/>
  <c r="AA15" i="29"/>
  <c r="Z16" i="29"/>
  <c r="AG17" i="28"/>
  <c r="AB17" i="28"/>
  <c r="AF18" i="28"/>
  <c r="AE19" i="28"/>
  <c r="Z17" i="29" l="1"/>
  <c r="AB16" i="29"/>
  <c r="AA16" i="29"/>
  <c r="AG18" i="28"/>
  <c r="AB18" i="28"/>
  <c r="AE20" i="28"/>
  <c r="AF19" i="28"/>
  <c r="AB17" i="29" l="1"/>
  <c r="AA17" i="29"/>
  <c r="Z18" i="29"/>
  <c r="AG19" i="28"/>
  <c r="AB19" i="28"/>
  <c r="AE21" i="28"/>
  <c r="AF20" i="28"/>
  <c r="AA18" i="29" l="1"/>
  <c r="Z19" i="29"/>
  <c r="AB18" i="29"/>
  <c r="AG20" i="28"/>
  <c r="AB20" i="28"/>
  <c r="AF21" i="28"/>
  <c r="AE22" i="28"/>
  <c r="AB19" i="29" l="1"/>
  <c r="Z20" i="29"/>
  <c r="AA19" i="29"/>
  <c r="AG21" i="28"/>
  <c r="AB21" i="28"/>
  <c r="AF22" i="28"/>
  <c r="AE23" i="28"/>
  <c r="Z21" i="29" l="1"/>
  <c r="AA20" i="29"/>
  <c r="AB20" i="29"/>
  <c r="AG22" i="28"/>
  <c r="AB22" i="28"/>
  <c r="AE24" i="28"/>
  <c r="AF23" i="28"/>
  <c r="Z22" i="29" l="1"/>
  <c r="AA21" i="29"/>
  <c r="AB21" i="29"/>
  <c r="AG23" i="28"/>
  <c r="AB23" i="28"/>
  <c r="AE25" i="28"/>
  <c r="AF24" i="28"/>
  <c r="AA22" i="29" l="1"/>
  <c r="Z23" i="29"/>
  <c r="AB22" i="29"/>
  <c r="AG24" i="28"/>
  <c r="AB24" i="28"/>
  <c r="AF25" i="28"/>
  <c r="AE26" i="28"/>
  <c r="AB23" i="29" l="1"/>
  <c r="AA23" i="29"/>
  <c r="Z24" i="29"/>
  <c r="AG25" i="28"/>
  <c r="AB25" i="28"/>
  <c r="AF26" i="28"/>
  <c r="AE27" i="28"/>
  <c r="Z25" i="29" l="1"/>
  <c r="AB24" i="29"/>
  <c r="AA24" i="29"/>
  <c r="AG26" i="28"/>
  <c r="AB26" i="28"/>
  <c r="AE28" i="28"/>
  <c r="AF27" i="28"/>
  <c r="AB25" i="29" l="1"/>
  <c r="AA25" i="29"/>
  <c r="Z26" i="29"/>
  <c r="AG27" i="28"/>
  <c r="AB27" i="28"/>
  <c r="AE29" i="28"/>
  <c r="AF28" i="28"/>
  <c r="A25" i="3"/>
  <c r="AA26" i="29" l="1"/>
  <c r="AB26" i="29"/>
  <c r="Z27" i="29"/>
  <c r="AG28" i="28"/>
  <c r="AB28" i="28"/>
  <c r="AF29" i="28"/>
  <c r="AE30" i="28"/>
  <c r="AB27" i="29" l="1"/>
  <c r="Z28" i="29"/>
  <c r="AA27" i="29"/>
  <c r="AG29" i="28"/>
  <c r="AB29" i="28"/>
  <c r="AF30" i="28"/>
  <c r="AE31" i="28"/>
  <c r="E1036" i="30"/>
  <c r="C1036" i="30"/>
  <c r="C1037" i="30"/>
  <c r="E1037" i="30"/>
  <c r="C1038" i="30"/>
  <c r="E1038" i="30"/>
  <c r="C1039" i="30"/>
  <c r="E1039" i="30"/>
  <c r="C1040" i="30"/>
  <c r="E1040" i="30"/>
  <c r="C1041" i="30"/>
  <c r="E1041" i="30"/>
  <c r="C1042" i="30"/>
  <c r="E1042" i="30"/>
  <c r="C1043" i="30"/>
  <c r="E1043" i="30"/>
  <c r="C1044" i="30"/>
  <c r="E1044" i="30"/>
  <c r="C1045" i="30"/>
  <c r="E1045" i="30"/>
  <c r="C1046" i="30"/>
  <c r="E1046" i="30"/>
  <c r="C1047" i="30"/>
  <c r="E1047" i="30"/>
  <c r="C1048" i="30"/>
  <c r="E1048" i="30"/>
  <c r="C1049" i="30"/>
  <c r="E1049" i="30"/>
  <c r="C1050" i="30"/>
  <c r="E1050" i="30"/>
  <c r="C1051" i="30"/>
  <c r="E1051" i="30"/>
  <c r="C1052" i="30"/>
  <c r="E1052" i="30"/>
  <c r="C1053" i="30"/>
  <c r="E1053" i="30"/>
  <c r="C1054" i="30"/>
  <c r="E1054" i="30"/>
  <c r="C1055" i="30"/>
  <c r="E1055" i="30"/>
  <c r="C1056" i="30"/>
  <c r="E1056" i="30"/>
  <c r="C1034" i="30"/>
  <c r="E1034" i="30"/>
  <c r="C1057" i="30"/>
  <c r="E1057" i="30"/>
  <c r="C1058" i="30"/>
  <c r="E1058" i="30"/>
  <c r="C1059" i="30"/>
  <c r="E1059" i="30"/>
  <c r="C1060" i="30"/>
  <c r="E1060" i="30"/>
  <c r="C1061" i="30"/>
  <c r="E1061" i="30"/>
  <c r="C1062" i="30"/>
  <c r="E1062" i="30"/>
  <c r="C1063" i="30"/>
  <c r="E1063" i="30"/>
  <c r="C1064" i="30"/>
  <c r="E1064" i="30"/>
  <c r="C1065" i="30"/>
  <c r="E1065" i="30"/>
  <c r="C1066" i="30"/>
  <c r="E1066" i="30"/>
  <c r="C1067" i="30"/>
  <c r="E1067" i="30"/>
  <c r="C1035" i="30"/>
  <c r="E1035" i="30"/>
  <c r="C1068" i="30"/>
  <c r="E1068" i="30"/>
  <c r="C1069" i="30"/>
  <c r="E1069" i="30"/>
  <c r="C1070" i="30"/>
  <c r="E1070" i="30"/>
  <c r="C1071" i="30"/>
  <c r="E1071" i="30"/>
  <c r="C1072" i="30"/>
  <c r="E1072" i="30"/>
  <c r="C1073" i="30"/>
  <c r="E1073" i="30"/>
  <c r="C1074" i="30"/>
  <c r="E1074" i="30"/>
  <c r="C1075" i="30"/>
  <c r="E1075" i="30"/>
  <c r="C1076" i="30"/>
  <c r="E1076" i="30"/>
  <c r="C1077" i="30"/>
  <c r="E1077" i="30"/>
  <c r="C1078" i="30"/>
  <c r="E1078" i="30"/>
  <c r="C1079" i="30"/>
  <c r="E1079" i="30"/>
  <c r="C1080" i="30"/>
  <c r="E1080" i="30"/>
  <c r="C1081" i="30"/>
  <c r="E1081" i="30"/>
  <c r="C1082" i="30"/>
  <c r="E1082" i="30"/>
  <c r="C1083" i="30"/>
  <c r="E1083" i="30"/>
  <c r="C1084" i="30"/>
  <c r="E1084" i="30"/>
  <c r="C1085" i="30"/>
  <c r="E1085" i="30"/>
  <c r="C1086" i="30"/>
  <c r="E1086" i="30"/>
  <c r="C1087" i="30"/>
  <c r="E1087" i="30"/>
  <c r="C1088" i="30"/>
  <c r="E1088" i="30"/>
  <c r="C1089" i="30"/>
  <c r="E1089" i="30"/>
  <c r="C1090" i="30"/>
  <c r="E1090" i="30"/>
  <c r="C1091" i="30"/>
  <c r="E1091" i="30"/>
  <c r="C1092" i="30"/>
  <c r="E1092" i="30"/>
  <c r="C1093" i="30"/>
  <c r="E1093" i="30"/>
  <c r="C1094" i="30"/>
  <c r="E1094" i="30"/>
  <c r="C1095" i="30"/>
  <c r="E1095" i="30"/>
  <c r="C1096" i="30"/>
  <c r="E1096" i="30"/>
  <c r="C1097" i="30"/>
  <c r="E1097" i="30"/>
  <c r="C1098" i="30"/>
  <c r="E1098" i="30"/>
  <c r="C1099" i="30"/>
  <c r="E1099" i="30"/>
  <c r="C1100" i="30"/>
  <c r="E1100" i="30"/>
  <c r="C1101" i="30"/>
  <c r="E1101" i="30"/>
  <c r="C1102" i="30"/>
  <c r="E1102" i="30"/>
  <c r="C1103" i="30"/>
  <c r="E1103" i="30"/>
  <c r="C1104" i="30"/>
  <c r="E1104" i="30"/>
  <c r="C1105" i="30"/>
  <c r="E1105" i="30"/>
  <c r="C1106" i="30"/>
  <c r="E1106" i="30"/>
  <c r="C1107" i="30"/>
  <c r="E1107" i="30"/>
  <c r="C1108" i="30"/>
  <c r="E1108" i="30"/>
  <c r="C1109" i="30"/>
  <c r="E1109" i="30"/>
  <c r="C1110" i="30"/>
  <c r="E1110" i="30"/>
  <c r="C1111" i="30"/>
  <c r="E1111" i="30"/>
  <c r="C1112" i="30"/>
  <c r="E1112" i="30"/>
  <c r="C1113" i="30"/>
  <c r="E1113" i="30"/>
  <c r="C1114" i="30"/>
  <c r="E1114" i="30"/>
  <c r="C1115" i="30"/>
  <c r="E1115" i="30"/>
  <c r="C1116" i="30"/>
  <c r="E1116" i="30"/>
  <c r="C1117" i="30"/>
  <c r="E1117" i="30"/>
  <c r="C1118" i="30"/>
  <c r="E1118" i="30"/>
  <c r="C1119" i="30"/>
  <c r="E1119" i="30"/>
  <c r="C1120" i="30"/>
  <c r="E1120" i="30"/>
  <c r="C1121" i="30"/>
  <c r="E1121" i="30"/>
  <c r="C1122" i="30"/>
  <c r="E1122" i="30"/>
  <c r="C1123" i="30"/>
  <c r="E1123" i="30"/>
  <c r="C1124" i="30"/>
  <c r="E1124" i="30"/>
  <c r="C1125" i="30"/>
  <c r="E1125" i="30"/>
  <c r="C1126" i="30"/>
  <c r="E1126" i="30"/>
  <c r="C1127" i="30"/>
  <c r="E1127" i="30"/>
  <c r="C1128" i="30"/>
  <c r="E1128" i="30"/>
  <c r="C1129" i="30"/>
  <c r="E1129" i="30"/>
  <c r="C1130" i="30"/>
  <c r="E1130" i="30"/>
  <c r="C1131" i="30"/>
  <c r="E1131" i="30"/>
  <c r="C1132" i="30"/>
  <c r="E1132" i="30"/>
  <c r="C1133" i="30"/>
  <c r="E1133" i="30"/>
  <c r="C1134" i="30"/>
  <c r="E1134" i="30"/>
  <c r="C1135" i="30"/>
  <c r="E1135" i="30"/>
  <c r="C1136" i="30"/>
  <c r="E1136" i="30"/>
  <c r="C1137" i="30"/>
  <c r="E1137" i="30"/>
  <c r="C1138" i="30"/>
  <c r="E1138" i="30"/>
  <c r="C1139" i="30"/>
  <c r="E1139" i="30"/>
  <c r="C1140" i="30"/>
  <c r="E1140" i="30"/>
  <c r="C1141" i="30"/>
  <c r="E1141" i="30"/>
  <c r="C1142" i="30"/>
  <c r="E1142" i="30"/>
  <c r="C1143" i="30"/>
  <c r="E1143" i="30"/>
  <c r="C1144" i="30"/>
  <c r="E1144" i="30"/>
  <c r="C1145" i="30"/>
  <c r="E1145" i="30"/>
  <c r="C1146" i="30"/>
  <c r="E1146" i="30"/>
  <c r="C1147" i="30"/>
  <c r="E1147" i="30"/>
  <c r="C1148" i="30"/>
  <c r="E1148" i="30"/>
  <c r="C1149" i="30"/>
  <c r="E1149" i="30"/>
  <c r="C1150" i="30"/>
  <c r="E1150" i="30"/>
  <c r="C1151" i="30"/>
  <c r="E1151" i="30"/>
  <c r="C1152" i="30"/>
  <c r="E1152" i="30"/>
  <c r="C1153" i="30"/>
  <c r="E1153" i="30"/>
  <c r="C1154" i="30"/>
  <c r="E1154" i="30"/>
  <c r="C1155" i="30"/>
  <c r="E1155" i="30"/>
  <c r="C1156" i="30"/>
  <c r="E1156" i="30"/>
  <c r="C1157" i="30"/>
  <c r="E1157" i="30"/>
  <c r="C1158" i="30"/>
  <c r="E1158" i="30"/>
  <c r="C1159" i="30"/>
  <c r="E1159" i="30"/>
  <c r="C1160" i="30"/>
  <c r="E1160" i="30"/>
  <c r="C1161" i="30"/>
  <c r="E1161" i="30"/>
  <c r="C1162" i="30"/>
  <c r="E1162" i="30"/>
  <c r="C1163" i="30"/>
  <c r="E1163" i="30"/>
  <c r="C1164" i="30"/>
  <c r="E1164" i="30"/>
  <c r="C1165" i="30"/>
  <c r="E1165" i="30"/>
  <c r="C1166" i="30"/>
  <c r="E1166" i="30"/>
  <c r="C1167" i="30"/>
  <c r="E1167" i="30"/>
  <c r="C1168" i="30"/>
  <c r="E1168" i="30"/>
  <c r="C1169" i="30"/>
  <c r="E1169" i="30"/>
  <c r="C1170" i="30"/>
  <c r="E1170" i="30"/>
  <c r="C1171" i="30"/>
  <c r="E1171" i="30"/>
  <c r="C1172" i="30"/>
  <c r="E1172" i="30"/>
  <c r="C1173" i="30"/>
  <c r="E1173" i="30"/>
  <c r="C1174" i="30"/>
  <c r="E1174" i="30"/>
  <c r="C1175" i="30"/>
  <c r="E1175" i="30"/>
  <c r="C1176" i="30"/>
  <c r="E1176" i="30"/>
  <c r="C1177" i="30"/>
  <c r="E1177" i="30"/>
  <c r="C1178" i="30"/>
  <c r="E1178" i="30"/>
  <c r="C1179" i="30"/>
  <c r="E1179" i="30"/>
  <c r="C1180" i="30"/>
  <c r="E1180" i="30"/>
  <c r="C1181" i="30"/>
  <c r="E1181" i="30"/>
  <c r="C1182" i="30"/>
  <c r="E1182" i="30"/>
  <c r="C1183" i="30"/>
  <c r="E1183" i="30"/>
  <c r="C1184" i="30"/>
  <c r="E1184" i="30"/>
  <c r="C1185" i="30"/>
  <c r="E1185" i="30"/>
  <c r="C1186" i="30"/>
  <c r="E1186" i="30"/>
  <c r="E1203" i="30"/>
  <c r="C1203" i="30"/>
  <c r="E1202" i="30"/>
  <c r="C1202" i="30"/>
  <c r="E1201" i="30"/>
  <c r="C1201" i="30"/>
  <c r="E1200" i="30"/>
  <c r="C1200" i="30"/>
  <c r="E1199" i="30"/>
  <c r="C1199" i="30"/>
  <c r="E1198" i="30"/>
  <c r="C1198" i="30"/>
  <c r="E1197" i="30"/>
  <c r="C1197" i="30"/>
  <c r="E1196" i="30"/>
  <c r="C1196" i="30"/>
  <c r="E1195" i="30"/>
  <c r="C1195" i="30"/>
  <c r="E1194" i="30"/>
  <c r="C1194" i="30"/>
  <c r="E1193" i="30"/>
  <c r="C1193" i="30"/>
  <c r="E1192" i="30"/>
  <c r="C1192" i="30"/>
  <c r="E1191" i="30"/>
  <c r="C1191" i="30"/>
  <c r="E1190" i="30"/>
  <c r="C1190" i="30"/>
  <c r="E1189" i="30"/>
  <c r="C1189" i="30"/>
  <c r="E1188" i="30"/>
  <c r="C1188" i="30"/>
  <c r="E1187" i="30"/>
  <c r="C1187" i="30"/>
  <c r="E1033" i="30"/>
  <c r="C1033" i="30"/>
  <c r="P80" i="31"/>
  <c r="O80" i="31"/>
  <c r="N80" i="31"/>
  <c r="M80" i="31"/>
  <c r="E80" i="31"/>
  <c r="C80" i="31"/>
  <c r="P79" i="31"/>
  <c r="O79" i="31"/>
  <c r="N79" i="31"/>
  <c r="M79" i="31"/>
  <c r="E79" i="31"/>
  <c r="C79" i="31"/>
  <c r="P78" i="31"/>
  <c r="O78" i="31"/>
  <c r="N78" i="31"/>
  <c r="M78" i="31"/>
  <c r="E78" i="31"/>
  <c r="C78" i="31"/>
  <c r="P77" i="31"/>
  <c r="O77" i="31"/>
  <c r="N77" i="31"/>
  <c r="M77" i="31"/>
  <c r="E77" i="31"/>
  <c r="C77" i="31"/>
  <c r="P75" i="31"/>
  <c r="O75" i="31"/>
  <c r="N75" i="31"/>
  <c r="M75" i="31"/>
  <c r="E75" i="31"/>
  <c r="C75" i="31"/>
  <c r="P74" i="31"/>
  <c r="O74" i="31"/>
  <c r="N74" i="31"/>
  <c r="M74" i="31"/>
  <c r="E74" i="31"/>
  <c r="C74" i="31"/>
  <c r="P73" i="31"/>
  <c r="O73" i="31"/>
  <c r="N73" i="31"/>
  <c r="M73" i="31"/>
  <c r="E73" i="31"/>
  <c r="C73" i="31"/>
  <c r="P72" i="31"/>
  <c r="O72" i="31"/>
  <c r="N72" i="31"/>
  <c r="M72" i="31"/>
  <c r="E72" i="31"/>
  <c r="C72" i="31"/>
  <c r="P71" i="31"/>
  <c r="O71" i="31"/>
  <c r="N71" i="31"/>
  <c r="M71" i="31"/>
  <c r="E71" i="31"/>
  <c r="C71" i="31"/>
  <c r="P70" i="31"/>
  <c r="O70" i="31"/>
  <c r="N70" i="31"/>
  <c r="M70" i="31"/>
  <c r="E70" i="31"/>
  <c r="C70" i="31"/>
  <c r="P69" i="31"/>
  <c r="O69" i="31"/>
  <c r="N69" i="31"/>
  <c r="M69" i="31"/>
  <c r="E69" i="31"/>
  <c r="C69" i="31"/>
  <c r="Z29" i="29" l="1"/>
  <c r="AA28" i="29"/>
  <c r="AB28" i="29"/>
  <c r="AG30" i="28"/>
  <c r="AB30" i="28"/>
  <c r="AE32" i="28"/>
  <c r="AF31" i="28"/>
  <c r="I1033" i="30"/>
  <c r="Z30" i="29" l="1"/>
  <c r="AB29" i="29"/>
  <c r="AA29" i="29"/>
  <c r="AG31" i="28"/>
  <c r="AB31" i="28"/>
  <c r="AE33" i="28"/>
  <c r="AF32" i="28"/>
  <c r="AA30" i="29" l="1"/>
  <c r="Z31" i="29"/>
  <c r="AB30" i="29"/>
  <c r="AG32" i="28"/>
  <c r="AB32" i="28"/>
  <c r="AF33" i="28"/>
  <c r="AE34" i="28"/>
  <c r="AB31" i="29" l="1"/>
  <c r="AA31" i="29"/>
  <c r="Z32" i="29"/>
  <c r="AG33" i="28"/>
  <c r="AB33" i="28"/>
  <c r="AF34" i="28"/>
  <c r="AE35" i="28"/>
  <c r="Z33" i="29" l="1"/>
  <c r="AB32" i="29"/>
  <c r="AA32" i="29"/>
  <c r="AG34" i="28"/>
  <c r="AB34" i="28"/>
  <c r="AE36" i="28"/>
  <c r="AF35" i="28"/>
  <c r="W473" i="34"/>
  <c r="X473" i="34" s="1"/>
  <c r="W472" i="34"/>
  <c r="X472" i="34" s="1"/>
  <c r="W471" i="34"/>
  <c r="X471" i="34" s="1"/>
  <c r="W470" i="34"/>
  <c r="X470" i="34" s="1"/>
  <c r="W469" i="34"/>
  <c r="X469" i="34" s="1"/>
  <c r="W468" i="34"/>
  <c r="X468" i="34" s="1"/>
  <c r="W467" i="34"/>
  <c r="X467" i="34" s="1"/>
  <c r="W466" i="34"/>
  <c r="X466" i="34" s="1"/>
  <c r="W465" i="34"/>
  <c r="X465" i="34" s="1"/>
  <c r="W464" i="34"/>
  <c r="X464" i="34" s="1"/>
  <c r="W463" i="34"/>
  <c r="X463" i="34" s="1"/>
  <c r="W462" i="34"/>
  <c r="X462" i="34" s="1"/>
  <c r="W461" i="34"/>
  <c r="X461" i="34" s="1"/>
  <c r="W460" i="34"/>
  <c r="X460" i="34" s="1"/>
  <c r="W459" i="34"/>
  <c r="X459" i="34" s="1"/>
  <c r="W458" i="34"/>
  <c r="X458" i="34" s="1"/>
  <c r="W457" i="34"/>
  <c r="X457" i="34" s="1"/>
  <c r="W456" i="34"/>
  <c r="X456" i="34" s="1"/>
  <c r="W455" i="34"/>
  <c r="X455" i="34" s="1"/>
  <c r="W454" i="34"/>
  <c r="X454" i="34" s="1"/>
  <c r="W453" i="34"/>
  <c r="X453" i="34" s="1"/>
  <c r="W452" i="34"/>
  <c r="X452" i="34" s="1"/>
  <c r="W451" i="34"/>
  <c r="X451" i="34" s="1"/>
  <c r="W450" i="34"/>
  <c r="X450" i="34" s="1"/>
  <c r="W449" i="34"/>
  <c r="X449" i="34" s="1"/>
  <c r="W448" i="34"/>
  <c r="X448" i="34" s="1"/>
  <c r="W447" i="34"/>
  <c r="X447" i="34" s="1"/>
  <c r="W446" i="34"/>
  <c r="X446" i="34" s="1"/>
  <c r="W445" i="34"/>
  <c r="X445" i="34" s="1"/>
  <c r="W444" i="34"/>
  <c r="X444" i="34" s="1"/>
  <c r="W443" i="34"/>
  <c r="X443" i="34" s="1"/>
  <c r="W442" i="34"/>
  <c r="X442" i="34" s="1"/>
  <c r="W441" i="34"/>
  <c r="X441" i="34" s="1"/>
  <c r="W440" i="34"/>
  <c r="X440" i="34" s="1"/>
  <c r="W439" i="34"/>
  <c r="X439" i="34" s="1"/>
  <c r="W438" i="34"/>
  <c r="X438" i="34" s="1"/>
  <c r="W437" i="34"/>
  <c r="X437" i="34" s="1"/>
  <c r="W436" i="34"/>
  <c r="X436" i="34" s="1"/>
  <c r="W435" i="34"/>
  <c r="X435" i="34" s="1"/>
  <c r="W434" i="34"/>
  <c r="X434" i="34" s="1"/>
  <c r="W433" i="34"/>
  <c r="X433" i="34" s="1"/>
  <c r="W432" i="34"/>
  <c r="X432" i="34" s="1"/>
  <c r="W431" i="34"/>
  <c r="X431" i="34" s="1"/>
  <c r="W430" i="34"/>
  <c r="X430" i="34" s="1"/>
  <c r="W429" i="34"/>
  <c r="X429" i="34" s="1"/>
  <c r="W428" i="34"/>
  <c r="X428" i="34" s="1"/>
  <c r="W427" i="34"/>
  <c r="X427" i="34" s="1"/>
  <c r="W426" i="34"/>
  <c r="X426" i="34" s="1"/>
  <c r="W425" i="34"/>
  <c r="X425" i="34" s="1"/>
  <c r="W424" i="34"/>
  <c r="X424" i="34" s="1"/>
  <c r="W423" i="34"/>
  <c r="X423" i="34" s="1"/>
  <c r="W422" i="34"/>
  <c r="X422" i="34" s="1"/>
  <c r="W421" i="34"/>
  <c r="X421" i="34" s="1"/>
  <c r="W420" i="34"/>
  <c r="X420" i="34" s="1"/>
  <c r="W419" i="34"/>
  <c r="X419" i="34" s="1"/>
  <c r="W418" i="34"/>
  <c r="X418" i="34" s="1"/>
  <c r="W417" i="34"/>
  <c r="X417" i="34" s="1"/>
  <c r="W416" i="34"/>
  <c r="X416" i="34" s="1"/>
  <c r="W415" i="34"/>
  <c r="X415" i="34" s="1"/>
  <c r="W414" i="34"/>
  <c r="X414" i="34" s="1"/>
  <c r="W413" i="34"/>
  <c r="X413" i="34" s="1"/>
  <c r="W412" i="34"/>
  <c r="X412" i="34" s="1"/>
  <c r="W411" i="34"/>
  <c r="X411" i="34" s="1"/>
  <c r="W410" i="34"/>
  <c r="X410" i="34" s="1"/>
  <c r="W409" i="34"/>
  <c r="X409" i="34" s="1"/>
  <c r="W408" i="34"/>
  <c r="X408" i="34" s="1"/>
  <c r="W407" i="34"/>
  <c r="X407" i="34" s="1"/>
  <c r="W406" i="34"/>
  <c r="X406" i="34" s="1"/>
  <c r="W405" i="34"/>
  <c r="X405" i="34" s="1"/>
  <c r="W404" i="34"/>
  <c r="X404" i="34" s="1"/>
  <c r="W403" i="34"/>
  <c r="X403" i="34" s="1"/>
  <c r="W402" i="34"/>
  <c r="X402" i="34" s="1"/>
  <c r="W401" i="34"/>
  <c r="X401" i="34" s="1"/>
  <c r="W400" i="34"/>
  <c r="X400" i="34" s="1"/>
  <c r="W399" i="34"/>
  <c r="X399" i="34" s="1"/>
  <c r="W398" i="34"/>
  <c r="X398" i="34" s="1"/>
  <c r="W397" i="34"/>
  <c r="X397" i="34" s="1"/>
  <c r="W396" i="34"/>
  <c r="X396" i="34" s="1"/>
  <c r="W395" i="34"/>
  <c r="X395" i="34" s="1"/>
  <c r="W394" i="34"/>
  <c r="X394" i="34" s="1"/>
  <c r="W393" i="34"/>
  <c r="X393" i="34" s="1"/>
  <c r="W392" i="34"/>
  <c r="X392" i="34" s="1"/>
  <c r="W391" i="34"/>
  <c r="X391" i="34" s="1"/>
  <c r="W390" i="34"/>
  <c r="X390" i="34" s="1"/>
  <c r="W389" i="34"/>
  <c r="X389" i="34" s="1"/>
  <c r="W388" i="34"/>
  <c r="X388" i="34" s="1"/>
  <c r="W387" i="34"/>
  <c r="X387" i="34" s="1"/>
  <c r="W386" i="34"/>
  <c r="X386" i="34" s="1"/>
  <c r="W385" i="34"/>
  <c r="X385" i="34" s="1"/>
  <c r="W384" i="34"/>
  <c r="X384" i="34" s="1"/>
  <c r="W383" i="34"/>
  <c r="X383" i="34" s="1"/>
  <c r="W382" i="34"/>
  <c r="X382" i="34" s="1"/>
  <c r="W381" i="34"/>
  <c r="X381" i="34" s="1"/>
  <c r="W380" i="34"/>
  <c r="X380" i="34" s="1"/>
  <c r="W379" i="34"/>
  <c r="X379" i="34" s="1"/>
  <c r="W377" i="34"/>
  <c r="X377" i="34" s="1"/>
  <c r="W376" i="34"/>
  <c r="X376" i="34" s="1"/>
  <c r="W375" i="34"/>
  <c r="X375" i="34" s="1"/>
  <c r="W374" i="34"/>
  <c r="X374" i="34" s="1"/>
  <c r="W373" i="34"/>
  <c r="X373" i="34" s="1"/>
  <c r="W372" i="34"/>
  <c r="X372" i="34" s="1"/>
  <c r="W371" i="34"/>
  <c r="X371" i="34" s="1"/>
  <c r="W370" i="34"/>
  <c r="X370" i="34" s="1"/>
  <c r="W368" i="34"/>
  <c r="X368" i="34" s="1"/>
  <c r="W367" i="34"/>
  <c r="X367" i="34" s="1"/>
  <c r="W366" i="34"/>
  <c r="X366" i="34" s="1"/>
  <c r="W365" i="34"/>
  <c r="X365" i="34" s="1"/>
  <c r="W364" i="34"/>
  <c r="X364" i="34" s="1"/>
  <c r="W363" i="34"/>
  <c r="X363" i="34" s="1"/>
  <c r="W362" i="34"/>
  <c r="X362" i="34" s="1"/>
  <c r="W361" i="34"/>
  <c r="X361" i="34" s="1"/>
  <c r="W360" i="34"/>
  <c r="X360" i="34" s="1"/>
  <c r="W359" i="34"/>
  <c r="X359" i="34" s="1"/>
  <c r="W358" i="34"/>
  <c r="X358" i="34" s="1"/>
  <c r="W357" i="34"/>
  <c r="X357" i="34" s="1"/>
  <c r="W356" i="34"/>
  <c r="X356" i="34" s="1"/>
  <c r="W355" i="34"/>
  <c r="X355" i="34" s="1"/>
  <c r="U473" i="34"/>
  <c r="T473" i="34"/>
  <c r="S473" i="34"/>
  <c r="U472" i="34"/>
  <c r="T472" i="34"/>
  <c r="S472" i="34"/>
  <c r="U471" i="34"/>
  <c r="T471" i="34"/>
  <c r="S471" i="34"/>
  <c r="U470" i="34"/>
  <c r="T470" i="34"/>
  <c r="S470" i="34"/>
  <c r="U469" i="34"/>
  <c r="T469" i="34"/>
  <c r="S469" i="34"/>
  <c r="U468" i="34"/>
  <c r="T468" i="34"/>
  <c r="S468" i="34"/>
  <c r="U467" i="34"/>
  <c r="T467" i="34"/>
  <c r="S467" i="34"/>
  <c r="U466" i="34"/>
  <c r="T466" i="34"/>
  <c r="S466" i="34"/>
  <c r="U465" i="34"/>
  <c r="T465" i="34"/>
  <c r="S465" i="34"/>
  <c r="U464" i="34"/>
  <c r="T464" i="34"/>
  <c r="S464" i="34"/>
  <c r="U463" i="34"/>
  <c r="T463" i="34"/>
  <c r="S463" i="34"/>
  <c r="U462" i="34"/>
  <c r="T462" i="34"/>
  <c r="S462" i="34"/>
  <c r="U461" i="34"/>
  <c r="T461" i="34"/>
  <c r="S461" i="34"/>
  <c r="U460" i="34"/>
  <c r="T460" i="34"/>
  <c r="S460" i="34"/>
  <c r="U459" i="34"/>
  <c r="T459" i="34"/>
  <c r="S459" i="34"/>
  <c r="U458" i="34"/>
  <c r="T458" i="34"/>
  <c r="S458" i="34"/>
  <c r="U457" i="34"/>
  <c r="T457" i="34"/>
  <c r="S457" i="34"/>
  <c r="U456" i="34"/>
  <c r="T456" i="34"/>
  <c r="S456" i="34"/>
  <c r="U455" i="34"/>
  <c r="T455" i="34"/>
  <c r="S455" i="34"/>
  <c r="U454" i="34"/>
  <c r="T454" i="34"/>
  <c r="S454" i="34"/>
  <c r="U453" i="34"/>
  <c r="T453" i="34"/>
  <c r="S453" i="34"/>
  <c r="U452" i="34"/>
  <c r="T452" i="34"/>
  <c r="S452" i="34"/>
  <c r="U451" i="34"/>
  <c r="T451" i="34"/>
  <c r="S451" i="34"/>
  <c r="U450" i="34"/>
  <c r="T450" i="34"/>
  <c r="S450" i="34"/>
  <c r="U449" i="34"/>
  <c r="T449" i="34"/>
  <c r="S449" i="34"/>
  <c r="U448" i="34"/>
  <c r="T448" i="34"/>
  <c r="S448" i="34"/>
  <c r="U447" i="34"/>
  <c r="T447" i="34"/>
  <c r="S447" i="34"/>
  <c r="U446" i="34"/>
  <c r="T446" i="34"/>
  <c r="S446" i="34"/>
  <c r="U445" i="34"/>
  <c r="T445" i="34"/>
  <c r="S445" i="34"/>
  <c r="U444" i="34"/>
  <c r="T444" i="34"/>
  <c r="S444" i="34"/>
  <c r="U443" i="34"/>
  <c r="T443" i="34"/>
  <c r="S443" i="34"/>
  <c r="U442" i="34"/>
  <c r="T442" i="34"/>
  <c r="S442" i="34"/>
  <c r="U441" i="34"/>
  <c r="T441" i="34"/>
  <c r="S441" i="34"/>
  <c r="U440" i="34"/>
  <c r="T440" i="34"/>
  <c r="S440" i="34"/>
  <c r="U439" i="34"/>
  <c r="T439" i="34"/>
  <c r="S439" i="34"/>
  <c r="U438" i="34"/>
  <c r="T438" i="34"/>
  <c r="S438" i="34"/>
  <c r="U437" i="34"/>
  <c r="T437" i="34"/>
  <c r="S437" i="34"/>
  <c r="U436" i="34"/>
  <c r="T436" i="34"/>
  <c r="S436" i="34"/>
  <c r="U435" i="34"/>
  <c r="T435" i="34"/>
  <c r="S435" i="34"/>
  <c r="U434" i="34"/>
  <c r="T434" i="34"/>
  <c r="S434" i="34"/>
  <c r="U433" i="34"/>
  <c r="T433" i="34"/>
  <c r="S433" i="34"/>
  <c r="U432" i="34"/>
  <c r="T432" i="34"/>
  <c r="S432" i="34"/>
  <c r="U431" i="34"/>
  <c r="T431" i="34"/>
  <c r="S431" i="34"/>
  <c r="U430" i="34"/>
  <c r="T430" i="34"/>
  <c r="S430" i="34"/>
  <c r="U429" i="34"/>
  <c r="T429" i="34"/>
  <c r="S429" i="34"/>
  <c r="U428" i="34"/>
  <c r="T428" i="34"/>
  <c r="S428" i="34"/>
  <c r="U427" i="34"/>
  <c r="T427" i="34"/>
  <c r="S427" i="34"/>
  <c r="U426" i="34"/>
  <c r="T426" i="34"/>
  <c r="S426" i="34"/>
  <c r="U425" i="34"/>
  <c r="T425" i="34"/>
  <c r="S425" i="34"/>
  <c r="U424" i="34"/>
  <c r="T424" i="34"/>
  <c r="S424" i="34"/>
  <c r="U423" i="34"/>
  <c r="T423" i="34"/>
  <c r="S423" i="34"/>
  <c r="U422" i="34"/>
  <c r="T422" i="34"/>
  <c r="S422" i="34"/>
  <c r="U421" i="34"/>
  <c r="T421" i="34"/>
  <c r="S421" i="34"/>
  <c r="U420" i="34"/>
  <c r="T420" i="34"/>
  <c r="S420" i="34"/>
  <c r="U419" i="34"/>
  <c r="T419" i="34"/>
  <c r="S419" i="34"/>
  <c r="U418" i="34"/>
  <c r="T418" i="34"/>
  <c r="S418" i="34"/>
  <c r="U417" i="34"/>
  <c r="T417" i="34"/>
  <c r="S417" i="34"/>
  <c r="U416" i="34"/>
  <c r="T416" i="34"/>
  <c r="S416" i="34"/>
  <c r="U415" i="34"/>
  <c r="T415" i="34"/>
  <c r="S415" i="34"/>
  <c r="U414" i="34"/>
  <c r="T414" i="34"/>
  <c r="S414" i="34"/>
  <c r="U413" i="34"/>
  <c r="T413" i="34"/>
  <c r="S413" i="34"/>
  <c r="U412" i="34"/>
  <c r="T412" i="34"/>
  <c r="S412" i="34"/>
  <c r="U411" i="34"/>
  <c r="T411" i="34"/>
  <c r="S411" i="34"/>
  <c r="U410" i="34"/>
  <c r="T410" i="34"/>
  <c r="S410" i="34"/>
  <c r="U409" i="34"/>
  <c r="T409" i="34"/>
  <c r="S409" i="34"/>
  <c r="U408" i="34"/>
  <c r="T408" i="34"/>
  <c r="S408" i="34"/>
  <c r="U407" i="34"/>
  <c r="T407" i="34"/>
  <c r="S407" i="34"/>
  <c r="U406" i="34"/>
  <c r="T406" i="34"/>
  <c r="S406" i="34"/>
  <c r="U405" i="34"/>
  <c r="T405" i="34"/>
  <c r="S405" i="34"/>
  <c r="U404" i="34"/>
  <c r="T404" i="34"/>
  <c r="S404" i="34"/>
  <c r="U403" i="34"/>
  <c r="T403" i="34"/>
  <c r="S403" i="34"/>
  <c r="U402" i="34"/>
  <c r="T402" i="34"/>
  <c r="S402" i="34"/>
  <c r="U401" i="34"/>
  <c r="T401" i="34"/>
  <c r="S401" i="34"/>
  <c r="U400" i="34"/>
  <c r="T400" i="34"/>
  <c r="S400" i="34"/>
  <c r="U399" i="34"/>
  <c r="T399" i="34"/>
  <c r="S399" i="34"/>
  <c r="U398" i="34"/>
  <c r="T398" i="34"/>
  <c r="S398" i="34"/>
  <c r="U397" i="34"/>
  <c r="T397" i="34"/>
  <c r="S397" i="34"/>
  <c r="U396" i="34"/>
  <c r="T396" i="34"/>
  <c r="S396" i="34"/>
  <c r="U395" i="34"/>
  <c r="T395" i="34"/>
  <c r="S395" i="34"/>
  <c r="U394" i="34"/>
  <c r="T394" i="34"/>
  <c r="S394" i="34"/>
  <c r="U393" i="34"/>
  <c r="T393" i="34"/>
  <c r="S393" i="34"/>
  <c r="U392" i="34"/>
  <c r="T392" i="34"/>
  <c r="S392" i="34"/>
  <c r="U391" i="34"/>
  <c r="T391" i="34"/>
  <c r="S391" i="34"/>
  <c r="U390" i="34"/>
  <c r="T390" i="34"/>
  <c r="S390" i="34"/>
  <c r="G103" i="75" s="1"/>
  <c r="U389" i="34"/>
  <c r="T389" i="34"/>
  <c r="S389" i="34"/>
  <c r="U388" i="34"/>
  <c r="T388" i="34"/>
  <c r="S388" i="34"/>
  <c r="U387" i="34"/>
  <c r="T387" i="34"/>
  <c r="S387" i="34"/>
  <c r="U386" i="34"/>
  <c r="T386" i="34"/>
  <c r="S386" i="34"/>
  <c r="U385" i="34"/>
  <c r="T385" i="34"/>
  <c r="S385" i="34"/>
  <c r="U384" i="34"/>
  <c r="T384" i="34"/>
  <c r="S384" i="34"/>
  <c r="U383" i="34"/>
  <c r="T383" i="34"/>
  <c r="S383" i="34"/>
  <c r="U382" i="34"/>
  <c r="T382" i="34"/>
  <c r="S382" i="34"/>
  <c r="U381" i="34"/>
  <c r="T381" i="34"/>
  <c r="F55" i="74" s="1"/>
  <c r="S381" i="34"/>
  <c r="U380" i="34"/>
  <c r="T380" i="34"/>
  <c r="S380" i="34"/>
  <c r="U379" i="34"/>
  <c r="T379" i="34"/>
  <c r="S379" i="34"/>
  <c r="U378" i="34"/>
  <c r="T378" i="34"/>
  <c r="S378" i="34"/>
  <c r="U377" i="34"/>
  <c r="T377" i="34"/>
  <c r="S377" i="34"/>
  <c r="U376" i="34"/>
  <c r="T376" i="34"/>
  <c r="S376" i="34"/>
  <c r="U375" i="34"/>
  <c r="T375" i="34"/>
  <c r="S375" i="34"/>
  <c r="U374" i="34"/>
  <c r="T374" i="34"/>
  <c r="S374" i="34"/>
  <c r="U373" i="34"/>
  <c r="T373" i="34"/>
  <c r="S373" i="34"/>
  <c r="U372" i="34"/>
  <c r="T372" i="34"/>
  <c r="S372" i="34"/>
  <c r="U371" i="34"/>
  <c r="T371" i="34"/>
  <c r="S371" i="34"/>
  <c r="U370" i="34"/>
  <c r="T370" i="34"/>
  <c r="S370" i="34"/>
  <c r="T369" i="34"/>
  <c r="U368" i="34"/>
  <c r="T368" i="34"/>
  <c r="S368" i="34"/>
  <c r="U367" i="34"/>
  <c r="T367" i="34"/>
  <c r="S367" i="34"/>
  <c r="U366" i="34"/>
  <c r="T366" i="34"/>
  <c r="S366" i="34"/>
  <c r="U365" i="34"/>
  <c r="T365" i="34"/>
  <c r="F19" i="74" s="1"/>
  <c r="S365" i="34"/>
  <c r="U364" i="34"/>
  <c r="T364" i="34"/>
  <c r="S364" i="34"/>
  <c r="U363" i="34"/>
  <c r="T363" i="34"/>
  <c r="S363" i="34"/>
  <c r="U362" i="34"/>
  <c r="T362" i="34"/>
  <c r="S362" i="34"/>
  <c r="I108" i="75" l="1"/>
  <c r="G109" i="75"/>
  <c r="I109" i="75" s="1"/>
  <c r="I103" i="75"/>
  <c r="F36" i="74"/>
  <c r="AB33" i="29"/>
  <c r="AA33" i="29"/>
  <c r="Z34" i="29"/>
  <c r="AG35" i="28"/>
  <c r="AB35" i="28"/>
  <c r="AE37" i="28"/>
  <c r="AF36" i="28"/>
  <c r="AI481" i="4" l="1"/>
  <c r="F12" i="58"/>
  <c r="R12" i="58" s="1"/>
  <c r="G25" i="59" s="1"/>
  <c r="J25" i="59" s="1"/>
  <c r="AH481" i="4"/>
  <c r="E12" i="58"/>
  <c r="G111" i="75"/>
  <c r="I111" i="75"/>
  <c r="AA34" i="29"/>
  <c r="Z35" i="29"/>
  <c r="AB34" i="29"/>
  <c r="AG36" i="28"/>
  <c r="AB36" i="28"/>
  <c r="AF37" i="28"/>
  <c r="AE38" i="28"/>
  <c r="C12" i="58" l="1"/>
  <c r="I8" i="60" s="1"/>
  <c r="AL481" i="4"/>
  <c r="AE481" i="4" s="1"/>
  <c r="Q12" i="58"/>
  <c r="G24" i="59" s="1"/>
  <c r="J24" i="59" s="1"/>
  <c r="AB35" i="29"/>
  <c r="Z36" i="29"/>
  <c r="AA35" i="29"/>
  <c r="AG37" i="28"/>
  <c r="AB37" i="28"/>
  <c r="AF38" i="28"/>
  <c r="AE39" i="28"/>
  <c r="Z37" i="29" l="1"/>
  <c r="AA36" i="29"/>
  <c r="AB36" i="29"/>
  <c r="AG38" i="28"/>
  <c r="AB38" i="28"/>
  <c r="AE40" i="28"/>
  <c r="AF39" i="28"/>
  <c r="Z38" i="29" l="1"/>
  <c r="AA37" i="29"/>
  <c r="AB37" i="29"/>
  <c r="AG39" i="28"/>
  <c r="AB39" i="28"/>
  <c r="AE41" i="28"/>
  <c r="AF40" i="28"/>
  <c r="AA38" i="29" l="1"/>
  <c r="Z39" i="29"/>
  <c r="AB38" i="29"/>
  <c r="AG40" i="28"/>
  <c r="AB40" i="28"/>
  <c r="AF41" i="28"/>
  <c r="AE42" i="28"/>
  <c r="AA39" i="29" l="1"/>
  <c r="Z40" i="29"/>
  <c r="AB39" i="29"/>
  <c r="AG41" i="28"/>
  <c r="AB41" i="28"/>
  <c r="AF42" i="28"/>
  <c r="AE43" i="28"/>
  <c r="Z41" i="29" l="1"/>
  <c r="AA40" i="29"/>
  <c r="AB40" i="29"/>
  <c r="AG42" i="28"/>
  <c r="AB42" i="28"/>
  <c r="AE44" i="28"/>
  <c r="AF43" i="28"/>
  <c r="J182" i="65"/>
  <c r="J176" i="65"/>
  <c r="J168" i="65"/>
  <c r="J146" i="65"/>
  <c r="J137" i="65"/>
  <c r="J132" i="65"/>
  <c r="J105" i="65"/>
  <c r="J12" i="65"/>
  <c r="J177" i="65"/>
  <c r="AA41" i="29" l="1"/>
  <c r="Z42" i="29"/>
  <c r="AB41" i="29"/>
  <c r="AG43" i="28"/>
  <c r="AB43" i="28"/>
  <c r="AE45" i="28"/>
  <c r="AF44" i="28"/>
  <c r="J11" i="65"/>
  <c r="J17" i="65"/>
  <c r="J104" i="65"/>
  <c r="J110" i="65"/>
  <c r="J136" i="65"/>
  <c r="J141" i="65"/>
  <c r="J150" i="65"/>
  <c r="J173" i="65"/>
  <c r="J181" i="65"/>
  <c r="J10" i="65"/>
  <c r="J15" i="65"/>
  <c r="J103" i="65"/>
  <c r="J108" i="65"/>
  <c r="J134" i="65"/>
  <c r="J140" i="65"/>
  <c r="J149" i="65"/>
  <c r="J172" i="65"/>
  <c r="J178" i="65"/>
  <c r="J14" i="65"/>
  <c r="J100" i="65"/>
  <c r="J107" i="65"/>
  <c r="J133" i="65"/>
  <c r="J138" i="65"/>
  <c r="J147" i="65"/>
  <c r="J169" i="65"/>
  <c r="Z43" i="29" l="1"/>
  <c r="AB42" i="29"/>
  <c r="AA42" i="29"/>
  <c r="AG44" i="28"/>
  <c r="AB44" i="28"/>
  <c r="AF45" i="28"/>
  <c r="AE46" i="28"/>
  <c r="I899" i="30"/>
  <c r="I898" i="30"/>
  <c r="Z44" i="29" l="1"/>
  <c r="AA43" i="29"/>
  <c r="AB43" i="29"/>
  <c r="AG45" i="28"/>
  <c r="AB45" i="28"/>
  <c r="AF46" i="28"/>
  <c r="AE47" i="28"/>
  <c r="AA44" i="29" l="1"/>
  <c r="AB44" i="29"/>
  <c r="Z45" i="29"/>
  <c r="AG46" i="28"/>
  <c r="AB46" i="28"/>
  <c r="AE48" i="28"/>
  <c r="AF47" i="28"/>
  <c r="J179" i="65"/>
  <c r="C51" i="65"/>
  <c r="C129" i="65"/>
  <c r="G49" i="58"/>
  <c r="K49" i="58" s="1"/>
  <c r="O49" i="58" s="1"/>
  <c r="T49" i="58" l="1"/>
  <c r="AB45" i="29"/>
  <c r="AA45" i="29"/>
  <c r="Z46" i="29"/>
  <c r="AG47" i="28"/>
  <c r="AB47" i="28"/>
  <c r="AE49" i="28"/>
  <c r="AF48" i="28"/>
  <c r="AA49" i="58" l="1"/>
  <c r="AB49" i="58" s="1"/>
  <c r="Z47" i="29"/>
  <c r="AB46" i="29"/>
  <c r="AA46" i="29"/>
  <c r="AG48" i="28"/>
  <c r="AB48" i="28"/>
  <c r="AF49" i="28"/>
  <c r="AE50" i="28"/>
  <c r="J128" i="65"/>
  <c r="AE49" i="58" l="1"/>
  <c r="AF49" i="58" s="1"/>
  <c r="AA47" i="29"/>
  <c r="Z48" i="29"/>
  <c r="AB47" i="29"/>
  <c r="AG49" i="28"/>
  <c r="AB49" i="28"/>
  <c r="AF50" i="28"/>
  <c r="AE51" i="28"/>
  <c r="AA48" i="29" l="1"/>
  <c r="AB48" i="29"/>
  <c r="Z49" i="29"/>
  <c r="AG50" i="28"/>
  <c r="AB50" i="28"/>
  <c r="AE52" i="28"/>
  <c r="AF51" i="28"/>
  <c r="Z50" i="29" l="1"/>
  <c r="AA49" i="29"/>
  <c r="AB49" i="29"/>
  <c r="AG51" i="28"/>
  <c r="AB51" i="28"/>
  <c r="AE53" i="28"/>
  <c r="AF52" i="28"/>
  <c r="Z51" i="29" l="1"/>
  <c r="AB50" i="29"/>
  <c r="AA50" i="29"/>
  <c r="AG52" i="28"/>
  <c r="AB52" i="28"/>
  <c r="AF53" i="28"/>
  <c r="AE54" i="28"/>
  <c r="Z52" i="29" l="1"/>
  <c r="AA51" i="29"/>
  <c r="AB51" i="29"/>
  <c r="AG53" i="28"/>
  <c r="AB53" i="28"/>
  <c r="AF54" i="28"/>
  <c r="AE55" i="28"/>
  <c r="AB52" i="29" l="1"/>
  <c r="AA52" i="29"/>
  <c r="Z53" i="29"/>
  <c r="AG54" i="28"/>
  <c r="AB54" i="28"/>
  <c r="AE56" i="28"/>
  <c r="AF55" i="28"/>
  <c r="Z54" i="29" l="1"/>
  <c r="AA53" i="29"/>
  <c r="AB53" i="29"/>
  <c r="AG55" i="28"/>
  <c r="AB55" i="28"/>
  <c r="AE57" i="28"/>
  <c r="AF56" i="28"/>
  <c r="AB54" i="29" l="1"/>
  <c r="AA54" i="29"/>
  <c r="Z55" i="29"/>
  <c r="AG56" i="28"/>
  <c r="AB56" i="28"/>
  <c r="AF57" i="28"/>
  <c r="AE58" i="28"/>
  <c r="AA55" i="29" l="1"/>
  <c r="Z56" i="29"/>
  <c r="AB55" i="29"/>
  <c r="AG57" i="28"/>
  <c r="AB57" i="28"/>
  <c r="AF58" i="28"/>
  <c r="AE59" i="28"/>
  <c r="AB56" i="29" l="1"/>
  <c r="AA56" i="29"/>
  <c r="Z57" i="29"/>
  <c r="AG58" i="28"/>
  <c r="AB58" i="28"/>
  <c r="AE60" i="28"/>
  <c r="AF59" i="28"/>
  <c r="AA57" i="29" l="1"/>
  <c r="Z58" i="29"/>
  <c r="AB57" i="29"/>
  <c r="AG59" i="28"/>
  <c r="AB59" i="28"/>
  <c r="AE61" i="28"/>
  <c r="AF60" i="28"/>
  <c r="AB58" i="29" l="1"/>
  <c r="AA58" i="29"/>
  <c r="Z59" i="29"/>
  <c r="AG60" i="28"/>
  <c r="AB60" i="28"/>
  <c r="AF61" i="28"/>
  <c r="AE62" i="28"/>
  <c r="AB59" i="29" l="1"/>
  <c r="Z60" i="29"/>
  <c r="AA59" i="29"/>
  <c r="AG61" i="28"/>
  <c r="AB61" i="28"/>
  <c r="AF62" i="28"/>
  <c r="AE63" i="28"/>
  <c r="Z61" i="29" l="1"/>
  <c r="AB60" i="29"/>
  <c r="AA60" i="29"/>
  <c r="AG62" i="28"/>
  <c r="AB62" i="28"/>
  <c r="AE64" i="28"/>
  <c r="AF63" i="28"/>
  <c r="AA61" i="29" l="1"/>
  <c r="Z62" i="29"/>
  <c r="AB61" i="29"/>
  <c r="AG63" i="28"/>
  <c r="AB63" i="28"/>
  <c r="AE65" i="28"/>
  <c r="AF64" i="28"/>
  <c r="AB62" i="29" l="1"/>
  <c r="AA62" i="29"/>
  <c r="Z63" i="29"/>
  <c r="AG64" i="28"/>
  <c r="AB64" i="28"/>
  <c r="AF65" i="28"/>
  <c r="AE66" i="28"/>
  <c r="AA63" i="29" l="1"/>
  <c r="AB63" i="29"/>
  <c r="Z64" i="29"/>
  <c r="AG65" i="28"/>
  <c r="AB65" i="28"/>
  <c r="AF66" i="28"/>
  <c r="AE67" i="28"/>
  <c r="Z65" i="29" l="1"/>
  <c r="AB64" i="29"/>
  <c r="AA64" i="29"/>
  <c r="AG66" i="28"/>
  <c r="AB66" i="28"/>
  <c r="AE68" i="28"/>
  <c r="AF67" i="28"/>
  <c r="AA65" i="29" l="1"/>
  <c r="AB65" i="29"/>
  <c r="Z66" i="29"/>
  <c r="AG67" i="28"/>
  <c r="AB67" i="28"/>
  <c r="AE69" i="28"/>
  <c r="AF68" i="28"/>
  <c r="AB66" i="29" l="1"/>
  <c r="AA66" i="29"/>
  <c r="Z67" i="29"/>
  <c r="AG68" i="28"/>
  <c r="AB68" i="28"/>
  <c r="AF69" i="28"/>
  <c r="AE70" i="28"/>
  <c r="Z68" i="29" l="1"/>
  <c r="AB67" i="29"/>
  <c r="AA67" i="29"/>
  <c r="AG69" i="28"/>
  <c r="AB69" i="28"/>
  <c r="AF70" i="28"/>
  <c r="AE71" i="28"/>
  <c r="Z69" i="29" l="1"/>
  <c r="AA68" i="29"/>
  <c r="AB68" i="29"/>
  <c r="AG70" i="28"/>
  <c r="AB70" i="28"/>
  <c r="AE72" i="28"/>
  <c r="AF71" i="28"/>
  <c r="Z70" i="29" l="1"/>
  <c r="AB69" i="29"/>
  <c r="AA69" i="29"/>
  <c r="AG71" i="28"/>
  <c r="AB71" i="28"/>
  <c r="AE73" i="28"/>
  <c r="AF72" i="28"/>
  <c r="AA70" i="29" l="1"/>
  <c r="Z71" i="29"/>
  <c r="AB70" i="29"/>
  <c r="AG72" i="28"/>
  <c r="AB72" i="28"/>
  <c r="AF73" i="28"/>
  <c r="AE74" i="28"/>
  <c r="AA71" i="29" l="1"/>
  <c r="Z72" i="29"/>
  <c r="AB71" i="29"/>
  <c r="AG73" i="28"/>
  <c r="AB73" i="28"/>
  <c r="AF74" i="28"/>
  <c r="AE75" i="28"/>
  <c r="AB72" i="29" l="1"/>
  <c r="C72" i="29" s="1"/>
  <c r="Z73" i="29"/>
  <c r="AA72" i="29"/>
  <c r="D72" i="29" s="1"/>
  <c r="AG74" i="28"/>
  <c r="AB74" i="28"/>
  <c r="AE76" i="28"/>
  <c r="AF75" i="28"/>
  <c r="Z74" i="29" l="1"/>
  <c r="AB73" i="29"/>
  <c r="C73" i="29" s="1"/>
  <c r="AA73" i="29"/>
  <c r="D73" i="29" s="1"/>
  <c r="AG75" i="28"/>
  <c r="AB75" i="28"/>
  <c r="AE77" i="28"/>
  <c r="AF76" i="28"/>
  <c r="AA74" i="29" l="1"/>
  <c r="D74" i="29" s="1"/>
  <c r="Z75" i="29"/>
  <c r="AB74" i="29"/>
  <c r="C74" i="29" s="1"/>
  <c r="AG76" i="28"/>
  <c r="AB76" i="28"/>
  <c r="AF77" i="28"/>
  <c r="AE78" i="28"/>
  <c r="AA75" i="29" l="1"/>
  <c r="D75" i="29" s="1"/>
  <c r="Z76" i="29"/>
  <c r="AB75" i="29"/>
  <c r="C75" i="29" s="1"/>
  <c r="AG77" i="28"/>
  <c r="AB77" i="28"/>
  <c r="AF78" i="28"/>
  <c r="AE79" i="28"/>
  <c r="AB76" i="29" l="1"/>
  <c r="C76" i="29" s="1"/>
  <c r="Z77" i="29"/>
  <c r="AA76" i="29"/>
  <c r="D76" i="29" s="1"/>
  <c r="AG78" i="28"/>
  <c r="AB78" i="28"/>
  <c r="AE80" i="28"/>
  <c r="AF79" i="28"/>
  <c r="Z78" i="29" l="1"/>
  <c r="AA77" i="29"/>
  <c r="D77" i="29" s="1"/>
  <c r="AB77" i="29"/>
  <c r="C77" i="29" s="1"/>
  <c r="AG79" i="28"/>
  <c r="AB79" i="28"/>
  <c r="AE81" i="28"/>
  <c r="AF80" i="28"/>
  <c r="AA78" i="29" l="1"/>
  <c r="D78" i="29" s="1"/>
  <c r="Z79" i="29"/>
  <c r="AB78" i="29"/>
  <c r="C78" i="29" s="1"/>
  <c r="AG80" i="28"/>
  <c r="AB80" i="28"/>
  <c r="AF81" i="28"/>
  <c r="AE82" i="28"/>
  <c r="AB79" i="29" l="1"/>
  <c r="C79" i="29" s="1"/>
  <c r="Z80" i="29"/>
  <c r="AA79" i="29"/>
  <c r="D79" i="29" s="1"/>
  <c r="AG81" i="28"/>
  <c r="AB81" i="28"/>
  <c r="AF82" i="28"/>
  <c r="AE83" i="28"/>
  <c r="AB80" i="29" l="1"/>
  <c r="C80" i="29" s="1"/>
  <c r="AA80" i="29"/>
  <c r="D80" i="29" s="1"/>
  <c r="Z81" i="29"/>
  <c r="AG82" i="28"/>
  <c r="AB82" i="28"/>
  <c r="AE84" i="28"/>
  <c r="AF83" i="28"/>
  <c r="Z82" i="29" l="1"/>
  <c r="AA81" i="29"/>
  <c r="D81" i="29" s="1"/>
  <c r="AB81" i="29"/>
  <c r="C81" i="29" s="1"/>
  <c r="AG83" i="28"/>
  <c r="AB83" i="28"/>
  <c r="AE85" i="28"/>
  <c r="AF84" i="28"/>
  <c r="AA82" i="29" l="1"/>
  <c r="D82" i="29" s="1"/>
  <c r="AB82" i="29"/>
  <c r="C82" i="29" s="1"/>
  <c r="Z83" i="29"/>
  <c r="AG84" i="28"/>
  <c r="AB84" i="28"/>
  <c r="AF85" i="28"/>
  <c r="AE86" i="28"/>
  <c r="AA83" i="29" l="1"/>
  <c r="D83" i="29" s="1"/>
  <c r="Z84" i="29"/>
  <c r="AB83" i="29"/>
  <c r="C83" i="29" s="1"/>
  <c r="AG85" i="28"/>
  <c r="AB85" i="28"/>
  <c r="AF86" i="28"/>
  <c r="AE87" i="28"/>
  <c r="Z85" i="29" l="1"/>
  <c r="AA84" i="29"/>
  <c r="D84" i="29" s="1"/>
  <c r="AB84" i="29"/>
  <c r="C84" i="29" s="1"/>
  <c r="AG86" i="28"/>
  <c r="AB86" i="28"/>
  <c r="AE88" i="28"/>
  <c r="AF87" i="28"/>
  <c r="Z86" i="29" l="1"/>
  <c r="AA85" i="29"/>
  <c r="D85" i="29" s="1"/>
  <c r="AB85" i="29"/>
  <c r="C85" i="29" s="1"/>
  <c r="AG87" i="28"/>
  <c r="AB87" i="28"/>
  <c r="AE89" i="28"/>
  <c r="AF88" i="28"/>
  <c r="AA86" i="29" l="1"/>
  <c r="D86" i="29" s="1"/>
  <c r="AB86" i="29"/>
  <c r="C86" i="29" s="1"/>
  <c r="Z87" i="29"/>
  <c r="AG88" i="28"/>
  <c r="AB88" i="28"/>
  <c r="AF89" i="28"/>
  <c r="AE90" i="28"/>
  <c r="AA87" i="29" l="1"/>
  <c r="D87" i="29" s="1"/>
  <c r="AB87" i="29"/>
  <c r="C87" i="29" s="1"/>
  <c r="Z88" i="29"/>
  <c r="AG89" i="28"/>
  <c r="AB89" i="28"/>
  <c r="AF90" i="28"/>
  <c r="AE91" i="28"/>
  <c r="B1" i="61"/>
  <c r="C1" i="61" s="1"/>
  <c r="D1" i="61" s="1"/>
  <c r="E1" i="61" s="1"/>
  <c r="F1" i="61" s="1"/>
  <c r="G1" i="61" s="1"/>
  <c r="AA88" i="29" l="1"/>
  <c r="D88" i="29" s="1"/>
  <c r="AB88" i="29"/>
  <c r="C88" i="29" s="1"/>
  <c r="Z89" i="29"/>
  <c r="AG90" i="28"/>
  <c r="AB90" i="28"/>
  <c r="AE92" i="28"/>
  <c r="AF91" i="28"/>
  <c r="Z90" i="29" l="1"/>
  <c r="AA89" i="29"/>
  <c r="D89" i="29" s="1"/>
  <c r="AB89" i="29"/>
  <c r="C89" i="29" s="1"/>
  <c r="AG91" i="28"/>
  <c r="AB91" i="28"/>
  <c r="AE93" i="28"/>
  <c r="AF92" i="28"/>
  <c r="AA90" i="29" l="1"/>
  <c r="D90" i="29" s="1"/>
  <c r="AB90" i="29"/>
  <c r="C90" i="29" s="1"/>
  <c r="Z91" i="29"/>
  <c r="AG92" i="28"/>
  <c r="AB92" i="28"/>
  <c r="AF93" i="28"/>
  <c r="AE94" i="28"/>
  <c r="AA91" i="29" l="1"/>
  <c r="D91" i="29" s="1"/>
  <c r="AB91" i="29"/>
  <c r="C91" i="29" s="1"/>
  <c r="Z92" i="29"/>
  <c r="AG93" i="28"/>
  <c r="AB93" i="28"/>
  <c r="AF94" i="28"/>
  <c r="AE95" i="28"/>
  <c r="AB92" i="29" l="1"/>
  <c r="C92" i="29" s="1"/>
  <c r="Z93" i="29"/>
  <c r="AA92" i="29"/>
  <c r="D92" i="29" s="1"/>
  <c r="AG94" i="28"/>
  <c r="AB94" i="28"/>
  <c r="AE96" i="28"/>
  <c r="AF95" i="28"/>
  <c r="Z94" i="29" l="1"/>
  <c r="AA93" i="29"/>
  <c r="D93" i="29" s="1"/>
  <c r="AB93" i="29"/>
  <c r="C93" i="29" s="1"/>
  <c r="AG95" i="28"/>
  <c r="AB95" i="28"/>
  <c r="AE97" i="28"/>
  <c r="AF96" i="28"/>
  <c r="AA94" i="29" l="1"/>
  <c r="D94" i="29" s="1"/>
  <c r="Z95" i="29"/>
  <c r="AB94" i="29"/>
  <c r="C94" i="29" s="1"/>
  <c r="AG96" i="28"/>
  <c r="AB96" i="28"/>
  <c r="AF97" i="28"/>
  <c r="AE98" i="28"/>
  <c r="AA95" i="29" l="1"/>
  <c r="D95" i="29" s="1"/>
  <c r="Z96" i="29"/>
  <c r="AB95" i="29"/>
  <c r="C95" i="29" s="1"/>
  <c r="AG97" i="28"/>
  <c r="AB97" i="28"/>
  <c r="AF98" i="28"/>
  <c r="AE99" i="28"/>
  <c r="AB96" i="29" l="1"/>
  <c r="C96" i="29" s="1"/>
  <c r="AA96" i="29"/>
  <c r="D96" i="29" s="1"/>
  <c r="Z97" i="29"/>
  <c r="AG98" i="28"/>
  <c r="AB98" i="28"/>
  <c r="AE100" i="28"/>
  <c r="AF99" i="28"/>
  <c r="Z98" i="29" l="1"/>
  <c r="AA97" i="29"/>
  <c r="D97" i="29" s="1"/>
  <c r="AB97" i="29"/>
  <c r="C97" i="29" s="1"/>
  <c r="AG99" i="28"/>
  <c r="AB99" i="28"/>
  <c r="AE101" i="28"/>
  <c r="AF100" i="28"/>
  <c r="AA98" i="29" l="1"/>
  <c r="D98" i="29" s="1"/>
  <c r="Z99" i="29"/>
  <c r="AB98" i="29"/>
  <c r="C98" i="29" s="1"/>
  <c r="AG100" i="28"/>
  <c r="AB100" i="28"/>
  <c r="AF101" i="28"/>
  <c r="AE102" i="28"/>
  <c r="AA99" i="29" l="1"/>
  <c r="D99" i="29" s="1"/>
  <c r="AB99" i="29"/>
  <c r="C99" i="29" s="1"/>
  <c r="Z100" i="29"/>
  <c r="AG101" i="28"/>
  <c r="AB101" i="28"/>
  <c r="AF102" i="28"/>
  <c r="AE103" i="28"/>
  <c r="AB100" i="29" l="1"/>
  <c r="C100" i="29" s="1"/>
  <c r="Z101" i="29"/>
  <c r="AA100" i="29"/>
  <c r="D100" i="29" s="1"/>
  <c r="AG102" i="28"/>
  <c r="AB102" i="28"/>
  <c r="AE104" i="28"/>
  <c r="AF103" i="28"/>
  <c r="AA101" i="29" l="1"/>
  <c r="D101" i="29" s="1"/>
  <c r="AB101" i="29"/>
  <c r="C101" i="29" s="1"/>
  <c r="Z102" i="29"/>
  <c r="AG103" i="28"/>
  <c r="AB103" i="28"/>
  <c r="AE105" i="28"/>
  <c r="AF104" i="28"/>
  <c r="BC4" i="4"/>
  <c r="BB4" i="4"/>
  <c r="AA102" i="29" l="1"/>
  <c r="D102" i="29" s="1"/>
  <c r="Z103" i="29"/>
  <c r="AB102" i="29"/>
  <c r="C102" i="29" s="1"/>
  <c r="AG104" i="28"/>
  <c r="AB104" i="28"/>
  <c r="AF105" i="28"/>
  <c r="AE106" i="28"/>
  <c r="Z104" i="29" l="1"/>
  <c r="AB103" i="29"/>
  <c r="C103" i="29" s="1"/>
  <c r="AA103" i="29"/>
  <c r="D103" i="29" s="1"/>
  <c r="AG105" i="28"/>
  <c r="AB105" i="28"/>
  <c r="AF106" i="28"/>
  <c r="AE107" i="28"/>
  <c r="AA104" i="29" l="1"/>
  <c r="D104" i="29" s="1"/>
  <c r="AB104" i="29"/>
  <c r="C104" i="29" s="1"/>
  <c r="Z105" i="29"/>
  <c r="AG106" i="28"/>
  <c r="AB106" i="28"/>
  <c r="AE108" i="28"/>
  <c r="AF107" i="28"/>
  <c r="AB105" i="29" l="1"/>
  <c r="C105" i="29" s="1"/>
  <c r="Z106" i="29"/>
  <c r="AA105" i="29"/>
  <c r="D105" i="29" s="1"/>
  <c r="AG107" i="28"/>
  <c r="AB107" i="28"/>
  <c r="AE109" i="28"/>
  <c r="AF108" i="28"/>
  <c r="AA106" i="29" l="1"/>
  <c r="D106" i="29" s="1"/>
  <c r="Z107" i="29"/>
  <c r="AB106" i="29"/>
  <c r="C106" i="29" s="1"/>
  <c r="AG108" i="28"/>
  <c r="AB108" i="28"/>
  <c r="AF109" i="28"/>
  <c r="AE110" i="28"/>
  <c r="Z108" i="29" l="1"/>
  <c r="AB107" i="29"/>
  <c r="C107" i="29" s="1"/>
  <c r="AA107" i="29"/>
  <c r="D107" i="29" s="1"/>
  <c r="AG109" i="28"/>
  <c r="AB109" i="28"/>
  <c r="AF110" i="28"/>
  <c r="AE111" i="28"/>
  <c r="AA108" i="29" l="1"/>
  <c r="D108" i="29" s="1"/>
  <c r="AB108" i="29"/>
  <c r="C108" i="29" s="1"/>
  <c r="Z109" i="29"/>
  <c r="AG110" i="28"/>
  <c r="AB110" i="28"/>
  <c r="AE112" i="28"/>
  <c r="AF111" i="28"/>
  <c r="I1032" i="30"/>
  <c r="I1031" i="30"/>
  <c r="I1030" i="30"/>
  <c r="I1029" i="30"/>
  <c r="I1028" i="30"/>
  <c r="I1027" i="30"/>
  <c r="I1026" i="30"/>
  <c r="I1025" i="30"/>
  <c r="I1024" i="30"/>
  <c r="I1023" i="30"/>
  <c r="I1022" i="30"/>
  <c r="I1021" i="30"/>
  <c r="I1020" i="30"/>
  <c r="I1019" i="30"/>
  <c r="I1018" i="30"/>
  <c r="I1017" i="30"/>
  <c r="I1016" i="30"/>
  <c r="I1015" i="30"/>
  <c r="I1014" i="30"/>
  <c r="I1013" i="30"/>
  <c r="I1012" i="30"/>
  <c r="I1011" i="30"/>
  <c r="I1010" i="30"/>
  <c r="I1009" i="30"/>
  <c r="I1008" i="30"/>
  <c r="I1007" i="30"/>
  <c r="I1006" i="30"/>
  <c r="I1005" i="30"/>
  <c r="I1004" i="30"/>
  <c r="I1003" i="30"/>
  <c r="I1002" i="30"/>
  <c r="I1001" i="30"/>
  <c r="I1000" i="30"/>
  <c r="I999" i="30"/>
  <c r="I998" i="30"/>
  <c r="I997" i="30"/>
  <c r="I996" i="30"/>
  <c r="I995" i="30"/>
  <c r="I994" i="30"/>
  <c r="I993" i="30"/>
  <c r="I992" i="30"/>
  <c r="I991" i="30"/>
  <c r="I990" i="30"/>
  <c r="I989" i="30"/>
  <c r="I988" i="30"/>
  <c r="I987" i="30"/>
  <c r="I986" i="30"/>
  <c r="I985" i="30"/>
  <c r="I984" i="30"/>
  <c r="I983" i="30"/>
  <c r="I982" i="30"/>
  <c r="I981" i="30"/>
  <c r="I980" i="30"/>
  <c r="I979" i="30"/>
  <c r="I978" i="30"/>
  <c r="I977" i="30"/>
  <c r="I976" i="30"/>
  <c r="I975" i="30"/>
  <c r="I974" i="30"/>
  <c r="I973" i="30"/>
  <c r="I972" i="30"/>
  <c r="I971" i="30"/>
  <c r="I970" i="30"/>
  <c r="I969" i="30"/>
  <c r="I968" i="30"/>
  <c r="I967" i="30"/>
  <c r="I966" i="30"/>
  <c r="I965" i="30"/>
  <c r="I964" i="30"/>
  <c r="I963" i="30"/>
  <c r="I962" i="30"/>
  <c r="I961" i="30"/>
  <c r="I960" i="30"/>
  <c r="I959" i="30"/>
  <c r="I958" i="30"/>
  <c r="I957" i="30"/>
  <c r="I956" i="30"/>
  <c r="I955" i="30"/>
  <c r="I954" i="30"/>
  <c r="I953" i="30"/>
  <c r="I952" i="30"/>
  <c r="I951" i="30"/>
  <c r="I950" i="30"/>
  <c r="I949" i="30"/>
  <c r="I948" i="30"/>
  <c r="I947" i="30"/>
  <c r="I946" i="30"/>
  <c r="I945" i="30"/>
  <c r="I944" i="30"/>
  <c r="I943" i="30"/>
  <c r="I942" i="30"/>
  <c r="I941" i="30"/>
  <c r="I940" i="30"/>
  <c r="I939" i="30"/>
  <c r="I938" i="30"/>
  <c r="I937" i="30"/>
  <c r="I936" i="30"/>
  <c r="I935" i="30"/>
  <c r="I934" i="30"/>
  <c r="I933" i="30"/>
  <c r="I932" i="30"/>
  <c r="I931" i="30"/>
  <c r="I930" i="30"/>
  <c r="I929" i="30"/>
  <c r="I928" i="30"/>
  <c r="I927" i="30"/>
  <c r="I926" i="30"/>
  <c r="I925" i="30"/>
  <c r="I924" i="30"/>
  <c r="I923" i="30"/>
  <c r="I922" i="30"/>
  <c r="I921" i="30"/>
  <c r="I920" i="30"/>
  <c r="I919" i="30"/>
  <c r="I918" i="30"/>
  <c r="I917" i="30"/>
  <c r="I916" i="30"/>
  <c r="I915" i="30"/>
  <c r="I914" i="30"/>
  <c r="I913" i="30"/>
  <c r="I912" i="30"/>
  <c r="I911" i="30"/>
  <c r="I910" i="30"/>
  <c r="I909" i="30"/>
  <c r="I908" i="30"/>
  <c r="I907" i="30"/>
  <c r="I906" i="30"/>
  <c r="I905" i="30"/>
  <c r="I904" i="30"/>
  <c r="I903" i="30"/>
  <c r="I902" i="30"/>
  <c r="I901" i="30"/>
  <c r="I900" i="30"/>
  <c r="I897" i="30"/>
  <c r="I896" i="30"/>
  <c r="I895" i="30"/>
  <c r="I894" i="30"/>
  <c r="I893" i="30"/>
  <c r="I892" i="30"/>
  <c r="I891" i="30"/>
  <c r="I890" i="30"/>
  <c r="I889" i="30"/>
  <c r="I888" i="30"/>
  <c r="I887" i="30"/>
  <c r="I886" i="30"/>
  <c r="I885" i="30"/>
  <c r="I884" i="30"/>
  <c r="I883" i="30"/>
  <c r="I882" i="30"/>
  <c r="I881" i="30"/>
  <c r="I880" i="30"/>
  <c r="I879" i="30"/>
  <c r="I878" i="30"/>
  <c r="I877" i="30"/>
  <c r="I876" i="30"/>
  <c r="I875" i="30"/>
  <c r="I874" i="30"/>
  <c r="I873" i="30"/>
  <c r="I872" i="30"/>
  <c r="I871" i="30"/>
  <c r="I870" i="30"/>
  <c r="I869" i="30"/>
  <c r="I868" i="30"/>
  <c r="I867" i="30"/>
  <c r="I866" i="30"/>
  <c r="I865" i="30"/>
  <c r="I864" i="30"/>
  <c r="I863" i="30"/>
  <c r="I862" i="30"/>
  <c r="I861" i="30"/>
  <c r="I860" i="30"/>
  <c r="I859" i="30"/>
  <c r="I858" i="30"/>
  <c r="I857" i="30"/>
  <c r="I856" i="30"/>
  <c r="I855" i="30"/>
  <c r="I854" i="30"/>
  <c r="I853" i="30"/>
  <c r="I852" i="30"/>
  <c r="I851" i="30"/>
  <c r="I850" i="30"/>
  <c r="I849" i="30"/>
  <c r="I848" i="30"/>
  <c r="I847" i="30"/>
  <c r="I846" i="30"/>
  <c r="I845" i="30"/>
  <c r="I844" i="30"/>
  <c r="I843" i="30"/>
  <c r="I842" i="30"/>
  <c r="I841" i="30"/>
  <c r="I840" i="30"/>
  <c r="I839" i="30"/>
  <c r="I838" i="30"/>
  <c r="I837" i="30"/>
  <c r="I836" i="30"/>
  <c r="I835" i="30"/>
  <c r="I834" i="30"/>
  <c r="I833" i="30"/>
  <c r="I832" i="30"/>
  <c r="I831" i="30"/>
  <c r="I830" i="30"/>
  <c r="I829" i="30"/>
  <c r="I828" i="30"/>
  <c r="I827" i="30"/>
  <c r="I826" i="30"/>
  <c r="I825" i="30"/>
  <c r="I824" i="30"/>
  <c r="I823" i="30"/>
  <c r="I822" i="30"/>
  <c r="I821" i="30"/>
  <c r="I820" i="30"/>
  <c r="I819" i="30"/>
  <c r="I818" i="30"/>
  <c r="I817" i="30"/>
  <c r="I816" i="30"/>
  <c r="I815" i="30"/>
  <c r="I814" i="30"/>
  <c r="I813" i="30"/>
  <c r="I812" i="30"/>
  <c r="I811" i="30"/>
  <c r="I810" i="30"/>
  <c r="I809" i="30"/>
  <c r="I808" i="30"/>
  <c r="I807" i="30"/>
  <c r="I806" i="30"/>
  <c r="I805" i="30"/>
  <c r="I804" i="30"/>
  <c r="I803" i="30"/>
  <c r="I802" i="30"/>
  <c r="I801" i="30"/>
  <c r="I800" i="30"/>
  <c r="I799" i="30"/>
  <c r="I798" i="30"/>
  <c r="I797" i="30"/>
  <c r="I796" i="30"/>
  <c r="I795" i="30"/>
  <c r="I794" i="30"/>
  <c r="I793" i="30"/>
  <c r="I792" i="30"/>
  <c r="I791" i="30"/>
  <c r="I790" i="30"/>
  <c r="I789" i="30"/>
  <c r="I788" i="30"/>
  <c r="I787" i="30"/>
  <c r="I786" i="30"/>
  <c r="I785" i="30"/>
  <c r="I784" i="30"/>
  <c r="I783" i="30"/>
  <c r="I782" i="30"/>
  <c r="I781" i="30"/>
  <c r="I780" i="30"/>
  <c r="I779" i="30"/>
  <c r="I778" i="30"/>
  <c r="I777" i="30"/>
  <c r="I776" i="30"/>
  <c r="I775" i="30"/>
  <c r="I774" i="30"/>
  <c r="I773" i="30"/>
  <c r="AB109" i="29" l="1"/>
  <c r="C109" i="29" s="1"/>
  <c r="Z110" i="29"/>
  <c r="AA109" i="29"/>
  <c r="D109" i="29" s="1"/>
  <c r="AG111" i="28"/>
  <c r="AB111" i="28"/>
  <c r="AE113" i="28"/>
  <c r="AF112" i="28"/>
  <c r="O201" i="2"/>
  <c r="N201" i="2"/>
  <c r="M201" i="2"/>
  <c r="E201" i="2"/>
  <c r="C201" i="2"/>
  <c r="Y200" i="2"/>
  <c r="X200" i="2"/>
  <c r="M200" i="2"/>
  <c r="E200" i="2"/>
  <c r="C200" i="2"/>
  <c r="Y199" i="2"/>
  <c r="X199" i="2"/>
  <c r="M199" i="2"/>
  <c r="E199" i="2"/>
  <c r="C199" i="2"/>
  <c r="P198" i="2"/>
  <c r="O198" i="2"/>
  <c r="N198" i="2"/>
  <c r="M198" i="2"/>
  <c r="E198" i="2"/>
  <c r="C198" i="2"/>
  <c r="P197" i="2"/>
  <c r="O197" i="2"/>
  <c r="N197" i="2"/>
  <c r="M197" i="2"/>
  <c r="E197" i="2"/>
  <c r="C197" i="2"/>
  <c r="P196" i="2"/>
  <c r="O196" i="2"/>
  <c r="N196" i="2"/>
  <c r="M196" i="2"/>
  <c r="E196" i="2"/>
  <c r="C196" i="2"/>
  <c r="P195" i="2"/>
  <c r="O195" i="2"/>
  <c r="N195" i="2"/>
  <c r="M195" i="2"/>
  <c r="E195" i="2"/>
  <c r="C195" i="2"/>
  <c r="P194" i="2"/>
  <c r="O194" i="2"/>
  <c r="N194" i="2"/>
  <c r="M194" i="2"/>
  <c r="E194" i="2"/>
  <c r="C194" i="2"/>
  <c r="P193" i="2"/>
  <c r="O193" i="2"/>
  <c r="N193" i="2"/>
  <c r="M193" i="2"/>
  <c r="E193" i="2"/>
  <c r="C193" i="2"/>
  <c r="P192" i="2"/>
  <c r="O192" i="2"/>
  <c r="N192" i="2"/>
  <c r="M192" i="2"/>
  <c r="E192" i="2"/>
  <c r="C192" i="2"/>
  <c r="Y191" i="2"/>
  <c r="X191" i="2"/>
  <c r="W191" i="2"/>
  <c r="P191" i="2"/>
  <c r="O191" i="2"/>
  <c r="N191" i="2"/>
  <c r="M191" i="2"/>
  <c r="E191" i="2"/>
  <c r="C191" i="2"/>
  <c r="Y190" i="2"/>
  <c r="X190" i="2"/>
  <c r="W190" i="2"/>
  <c r="P190" i="2"/>
  <c r="O190" i="2"/>
  <c r="N190" i="2"/>
  <c r="M190" i="2"/>
  <c r="E190" i="2"/>
  <c r="C190" i="2"/>
  <c r="Y189" i="2"/>
  <c r="X189" i="2"/>
  <c r="W189" i="2"/>
  <c r="P189" i="2"/>
  <c r="O189" i="2"/>
  <c r="N189" i="2"/>
  <c r="M189" i="2"/>
  <c r="E189" i="2"/>
  <c r="C189" i="2"/>
  <c r="Y188" i="2"/>
  <c r="X188" i="2"/>
  <c r="W188" i="2"/>
  <c r="P188" i="2"/>
  <c r="O188" i="2"/>
  <c r="N188" i="2"/>
  <c r="M188" i="2"/>
  <c r="F188" i="2"/>
  <c r="E188" i="2"/>
  <c r="C188" i="2"/>
  <c r="Y187" i="2"/>
  <c r="X187" i="2"/>
  <c r="W187" i="2"/>
  <c r="P187" i="2"/>
  <c r="O187" i="2"/>
  <c r="N187" i="2"/>
  <c r="M187" i="2"/>
  <c r="F187" i="2"/>
  <c r="E187" i="2"/>
  <c r="C187" i="2"/>
  <c r="Y186" i="2"/>
  <c r="X186" i="2"/>
  <c r="W186" i="2"/>
  <c r="P186" i="2"/>
  <c r="O186" i="2"/>
  <c r="N186" i="2"/>
  <c r="M186" i="2"/>
  <c r="E186" i="2"/>
  <c r="C186" i="2"/>
  <c r="Y185" i="2"/>
  <c r="X185" i="2"/>
  <c r="P185" i="2"/>
  <c r="O185" i="2"/>
  <c r="N185" i="2"/>
  <c r="M185" i="2"/>
  <c r="E185" i="2"/>
  <c r="C185" i="2"/>
  <c r="Y184" i="2"/>
  <c r="X184" i="2"/>
  <c r="P184" i="2"/>
  <c r="O184" i="2"/>
  <c r="N184" i="2"/>
  <c r="M184" i="2"/>
  <c r="E184" i="2"/>
  <c r="C184" i="2"/>
  <c r="Y183" i="2"/>
  <c r="X183" i="2"/>
  <c r="W183" i="2"/>
  <c r="P183" i="2"/>
  <c r="O183" i="2"/>
  <c r="N183" i="2"/>
  <c r="E183" i="2"/>
  <c r="C183" i="2"/>
  <c r="Y182" i="2"/>
  <c r="X182" i="2"/>
  <c r="W182" i="2"/>
  <c r="P182" i="2"/>
  <c r="O182" i="2"/>
  <c r="N182" i="2"/>
  <c r="E182" i="2"/>
  <c r="C182" i="2"/>
  <c r="Y181" i="2"/>
  <c r="X181" i="2"/>
  <c r="P181" i="2"/>
  <c r="O181" i="2"/>
  <c r="N181" i="2"/>
  <c r="E181" i="2"/>
  <c r="C181" i="2"/>
  <c r="Y180" i="2"/>
  <c r="X180" i="2"/>
  <c r="P180" i="2"/>
  <c r="O180" i="2"/>
  <c r="N180" i="2"/>
  <c r="E180" i="2"/>
  <c r="C180" i="2"/>
  <c r="Y179" i="2"/>
  <c r="X179" i="2"/>
  <c r="P179" i="2"/>
  <c r="O179" i="2"/>
  <c r="N179" i="2"/>
  <c r="E179" i="2"/>
  <c r="C179" i="2"/>
  <c r="Y178" i="2"/>
  <c r="X178" i="2"/>
  <c r="P178" i="2"/>
  <c r="O178" i="2"/>
  <c r="N178" i="2"/>
  <c r="E178" i="2"/>
  <c r="C178" i="2"/>
  <c r="P177" i="2"/>
  <c r="O177" i="2"/>
  <c r="N177" i="2"/>
  <c r="M177" i="2"/>
  <c r="E177" i="2"/>
  <c r="C177" i="2"/>
  <c r="P176" i="2"/>
  <c r="O176" i="2"/>
  <c r="N176" i="2"/>
  <c r="M176" i="2"/>
  <c r="E176" i="2"/>
  <c r="C176" i="2"/>
  <c r="P175" i="2"/>
  <c r="O175" i="2"/>
  <c r="N175" i="2"/>
  <c r="M175" i="2"/>
  <c r="E175" i="2"/>
  <c r="C175" i="2"/>
  <c r="P174" i="2"/>
  <c r="O174" i="2"/>
  <c r="N174" i="2"/>
  <c r="M174" i="2"/>
  <c r="E174" i="2"/>
  <c r="C174" i="2"/>
  <c r="P173" i="2"/>
  <c r="O173" i="2"/>
  <c r="N173" i="2"/>
  <c r="M173" i="2"/>
  <c r="E173" i="2"/>
  <c r="C173" i="2"/>
  <c r="P172" i="2"/>
  <c r="O172" i="2"/>
  <c r="N172" i="2"/>
  <c r="M172" i="2"/>
  <c r="E172" i="2"/>
  <c r="C172" i="2"/>
  <c r="P171" i="2"/>
  <c r="O171" i="2"/>
  <c r="N171" i="2"/>
  <c r="M171" i="2"/>
  <c r="E171" i="2"/>
  <c r="C171" i="2"/>
  <c r="P170" i="2"/>
  <c r="O170" i="2"/>
  <c r="N170" i="2"/>
  <c r="M170" i="2"/>
  <c r="E170" i="2"/>
  <c r="C170" i="2"/>
  <c r="P169" i="2"/>
  <c r="O169" i="2"/>
  <c r="N169" i="2"/>
  <c r="M169" i="2"/>
  <c r="E169" i="2"/>
  <c r="C169" i="2"/>
  <c r="P168" i="2"/>
  <c r="O168" i="2"/>
  <c r="N168" i="2"/>
  <c r="M168" i="2"/>
  <c r="E168" i="2"/>
  <c r="C168" i="2"/>
  <c r="P167" i="2"/>
  <c r="O167" i="2"/>
  <c r="N167" i="2"/>
  <c r="M167" i="2"/>
  <c r="E167" i="2"/>
  <c r="C167" i="2"/>
  <c r="P166" i="2"/>
  <c r="O166" i="2"/>
  <c r="N166" i="2"/>
  <c r="M166" i="2"/>
  <c r="E166" i="2"/>
  <c r="C166" i="2"/>
  <c r="P165" i="2"/>
  <c r="O165" i="2"/>
  <c r="N165" i="2"/>
  <c r="M165" i="2"/>
  <c r="E165" i="2"/>
  <c r="C165" i="2"/>
  <c r="P164" i="2"/>
  <c r="O164" i="2"/>
  <c r="N164" i="2"/>
  <c r="M164" i="2"/>
  <c r="E164" i="2"/>
  <c r="C164" i="2"/>
  <c r="P163" i="2"/>
  <c r="O163" i="2"/>
  <c r="N163" i="2"/>
  <c r="M163" i="2"/>
  <c r="E163" i="2"/>
  <c r="C163" i="2"/>
  <c r="P162" i="2"/>
  <c r="O162" i="2"/>
  <c r="N162" i="2"/>
  <c r="E162" i="2"/>
  <c r="C162" i="2"/>
  <c r="P161" i="2"/>
  <c r="O161" i="2"/>
  <c r="N161" i="2"/>
  <c r="M161" i="2"/>
  <c r="E161" i="2"/>
  <c r="C161" i="2"/>
  <c r="W150" i="2"/>
  <c r="W149" i="2"/>
  <c r="W148" i="2"/>
  <c r="W147" i="2"/>
  <c r="W146" i="2"/>
  <c r="W145" i="2"/>
  <c r="W142" i="2"/>
  <c r="W141" i="2"/>
  <c r="Y159" i="2"/>
  <c r="Y158" i="2"/>
  <c r="X159" i="2"/>
  <c r="X158" i="2"/>
  <c r="Y150" i="2"/>
  <c r="X150" i="2"/>
  <c r="Y149" i="2"/>
  <c r="X149" i="2"/>
  <c r="Y148" i="2"/>
  <c r="X148" i="2"/>
  <c r="Y147" i="2"/>
  <c r="X147" i="2"/>
  <c r="Y146" i="2"/>
  <c r="X146" i="2"/>
  <c r="Y145" i="2"/>
  <c r="X145" i="2"/>
  <c r="Y144" i="2"/>
  <c r="X144" i="2"/>
  <c r="Y143" i="2"/>
  <c r="X143" i="2"/>
  <c r="Y142" i="2"/>
  <c r="X142" i="2"/>
  <c r="Y141" i="2"/>
  <c r="X141" i="2"/>
  <c r="Y140" i="2"/>
  <c r="X140" i="2"/>
  <c r="Y139" i="2"/>
  <c r="X139" i="2"/>
  <c r="Y138" i="2"/>
  <c r="X138" i="2"/>
  <c r="Y137" i="2"/>
  <c r="X137" i="2"/>
  <c r="O160" i="2"/>
  <c r="N160" i="2"/>
  <c r="P136" i="2"/>
  <c r="O136" i="2"/>
  <c r="N136" i="2"/>
  <c r="P131" i="2"/>
  <c r="O131" i="2"/>
  <c r="N131" i="2"/>
  <c r="P125" i="2"/>
  <c r="O125" i="2"/>
  <c r="N125" i="2"/>
  <c r="M160" i="2"/>
  <c r="M159" i="2"/>
  <c r="M158" i="2"/>
  <c r="M157" i="2"/>
  <c r="M156" i="2"/>
  <c r="M155" i="2"/>
  <c r="M154" i="2"/>
  <c r="M153" i="2"/>
  <c r="M152" i="2"/>
  <c r="M151" i="2"/>
  <c r="M150" i="2"/>
  <c r="M149" i="2"/>
  <c r="M148" i="2"/>
  <c r="M147" i="2"/>
  <c r="M146" i="2"/>
  <c r="M145" i="2"/>
  <c r="M144" i="2"/>
  <c r="M143" i="2"/>
  <c r="M136" i="2"/>
  <c r="M135" i="2"/>
  <c r="M134" i="2"/>
  <c r="M133" i="2"/>
  <c r="M132" i="2"/>
  <c r="M131" i="2"/>
  <c r="M130" i="2"/>
  <c r="M129" i="2"/>
  <c r="M128" i="2"/>
  <c r="M127" i="2"/>
  <c r="M126" i="2"/>
  <c r="M125" i="2"/>
  <c r="M124" i="2"/>
  <c r="M123" i="2"/>
  <c r="M122" i="2"/>
  <c r="M120" i="2"/>
  <c r="Z111" i="29" l="1"/>
  <c r="AB110" i="29"/>
  <c r="C110" i="29" s="1"/>
  <c r="AA110" i="29"/>
  <c r="D110" i="29" s="1"/>
  <c r="AG112" i="28"/>
  <c r="AB112" i="28"/>
  <c r="AF113" i="28"/>
  <c r="AE114" i="28"/>
  <c r="Z112" i="29" l="1"/>
  <c r="AB111" i="29"/>
  <c r="C111" i="29" s="1"/>
  <c r="AA111" i="29"/>
  <c r="D111" i="29" s="1"/>
  <c r="AG113" i="28"/>
  <c r="AB113" i="28"/>
  <c r="AF114" i="28"/>
  <c r="AE115" i="28"/>
  <c r="AB112" i="29" l="1"/>
  <c r="C112" i="29" s="1"/>
  <c r="Z113" i="29"/>
  <c r="AA112" i="29"/>
  <c r="D112" i="29" s="1"/>
  <c r="AG114" i="28"/>
  <c r="AB114" i="28"/>
  <c r="AE116" i="28"/>
  <c r="AF115" i="28"/>
  <c r="AB113" i="29" l="1"/>
  <c r="C113" i="29" s="1"/>
  <c r="AA113" i="29"/>
  <c r="D113" i="29" s="1"/>
  <c r="Z114" i="29"/>
  <c r="AG115" i="28"/>
  <c r="AB115" i="28"/>
  <c r="AE117" i="28"/>
  <c r="AF116" i="28"/>
  <c r="N126" i="2"/>
  <c r="O126" i="2"/>
  <c r="P126" i="2"/>
  <c r="N127" i="2"/>
  <c r="O127" i="2"/>
  <c r="P127" i="2"/>
  <c r="N128" i="2"/>
  <c r="O128" i="2"/>
  <c r="P128" i="2"/>
  <c r="N129" i="2"/>
  <c r="O129" i="2"/>
  <c r="P129" i="2"/>
  <c r="N130" i="2"/>
  <c r="O130" i="2"/>
  <c r="P130" i="2"/>
  <c r="N132" i="2"/>
  <c r="O132" i="2"/>
  <c r="P132" i="2"/>
  <c r="N133" i="2"/>
  <c r="O133" i="2"/>
  <c r="P133" i="2"/>
  <c r="N134" i="2"/>
  <c r="O134" i="2"/>
  <c r="P134" i="2"/>
  <c r="N135" i="2"/>
  <c r="O135" i="2"/>
  <c r="P135" i="2"/>
  <c r="N137" i="2"/>
  <c r="O137" i="2"/>
  <c r="P137" i="2"/>
  <c r="Z115" i="29" l="1"/>
  <c r="AB114" i="29"/>
  <c r="C114" i="29" s="1"/>
  <c r="AA114" i="29"/>
  <c r="D114" i="29" s="1"/>
  <c r="AG116" i="28"/>
  <c r="AB116" i="28"/>
  <c r="AF117" i="28"/>
  <c r="AE118" i="28"/>
  <c r="Z116" i="29" l="1"/>
  <c r="AB115" i="29"/>
  <c r="C115" i="29" s="1"/>
  <c r="AA115" i="29"/>
  <c r="D115" i="29" s="1"/>
  <c r="AG117" i="28"/>
  <c r="AB117" i="28"/>
  <c r="AF118" i="28"/>
  <c r="AE119" i="28"/>
  <c r="AA116" i="29" l="1"/>
  <c r="D116" i="29" s="1"/>
  <c r="Z117" i="29"/>
  <c r="AB116" i="29"/>
  <c r="C116" i="29" s="1"/>
  <c r="AG118" i="28"/>
  <c r="AB118" i="28"/>
  <c r="AE120" i="28"/>
  <c r="AF119" i="28"/>
  <c r="P88" i="2"/>
  <c r="O88" i="2"/>
  <c r="N88" i="2"/>
  <c r="AB117" i="29" l="1"/>
  <c r="C117" i="29" s="1"/>
  <c r="Z118" i="29"/>
  <c r="AA117" i="29"/>
  <c r="D117" i="29" s="1"/>
  <c r="AG119" i="28"/>
  <c r="AB119" i="28"/>
  <c r="AE121" i="28"/>
  <c r="AF120" i="28"/>
  <c r="Z119" i="29" l="1"/>
  <c r="AB118" i="29"/>
  <c r="C118" i="29" s="1"/>
  <c r="AA118" i="29"/>
  <c r="D118" i="29" s="1"/>
  <c r="AG120" i="28"/>
  <c r="AB120" i="28"/>
  <c r="AF121" i="28"/>
  <c r="AE122" i="28"/>
  <c r="C4" i="4"/>
  <c r="D4" i="4"/>
  <c r="Z120" i="29" l="1"/>
  <c r="AA119" i="29"/>
  <c r="D119" i="29" s="1"/>
  <c r="AB119" i="29"/>
  <c r="C119" i="29" s="1"/>
  <c r="AG121" i="28"/>
  <c r="AB121" i="28"/>
  <c r="AF122" i="28"/>
  <c r="AE123" i="28"/>
  <c r="AA120" i="29" l="1"/>
  <c r="D120" i="29" s="1"/>
  <c r="Z121" i="29"/>
  <c r="AB120" i="29"/>
  <c r="C120" i="29" s="1"/>
  <c r="AG122" i="28"/>
  <c r="AB122" i="28"/>
  <c r="AE124" i="28"/>
  <c r="AF123" i="28"/>
  <c r="AB121" i="29" l="1"/>
  <c r="C121" i="29" s="1"/>
  <c r="AA121" i="29"/>
  <c r="D121" i="29" s="1"/>
  <c r="Z122" i="29"/>
  <c r="AG123" i="28"/>
  <c r="AB123" i="28"/>
  <c r="AE125" i="28"/>
  <c r="AF124" i="28"/>
  <c r="Z123" i="29" l="1"/>
  <c r="AB122" i="29"/>
  <c r="C122" i="29" s="1"/>
  <c r="AA122" i="29"/>
  <c r="D122" i="29" s="1"/>
  <c r="AG124" i="28"/>
  <c r="AB124" i="28"/>
  <c r="AE126" i="28"/>
  <c r="AF125" i="28"/>
  <c r="Z124" i="29" l="1"/>
  <c r="AA123" i="29"/>
  <c r="D123" i="29" s="1"/>
  <c r="AB123" i="29"/>
  <c r="C123" i="29" s="1"/>
  <c r="AG125" i="28"/>
  <c r="AB125" i="28"/>
  <c r="AE127" i="28"/>
  <c r="AF126" i="28"/>
  <c r="AA124" i="29" l="1"/>
  <c r="D124" i="29" s="1"/>
  <c r="AB124" i="29"/>
  <c r="C124" i="29" s="1"/>
  <c r="Z125" i="29"/>
  <c r="AG126" i="28"/>
  <c r="AB126" i="28"/>
  <c r="AF127" i="28"/>
  <c r="AE128" i="28"/>
  <c r="AB125" i="29" l="1"/>
  <c r="C125" i="29" s="1"/>
  <c r="AA125" i="29"/>
  <c r="D125" i="29" s="1"/>
  <c r="Z126" i="29"/>
  <c r="AG127" i="28"/>
  <c r="AB127" i="28"/>
  <c r="AE129" i="28"/>
  <c r="AF128" i="28"/>
  <c r="V111" i="2"/>
  <c r="W110" i="2"/>
  <c r="X110" i="2"/>
  <c r="Y110" i="2"/>
  <c r="U111" i="2"/>
  <c r="X111" i="2" s="1"/>
  <c r="T111" i="2"/>
  <c r="W111" i="2" s="1"/>
  <c r="S71" i="2"/>
  <c r="R71" i="2"/>
  <c r="Q71" i="2"/>
  <c r="G105" i="2"/>
  <c r="G104" i="2"/>
  <c r="Z127" i="29" l="1"/>
  <c r="AB126" i="29"/>
  <c r="C126" i="29" s="1"/>
  <c r="AA126" i="29"/>
  <c r="D126" i="29" s="1"/>
  <c r="AG128" i="28"/>
  <c r="AB128" i="28"/>
  <c r="AE130" i="28"/>
  <c r="AF129" i="28"/>
  <c r="Y111" i="2"/>
  <c r="P68" i="31"/>
  <c r="O68" i="31"/>
  <c r="N68" i="31"/>
  <c r="M68" i="31"/>
  <c r="E68" i="31"/>
  <c r="C68" i="31"/>
  <c r="P67" i="31"/>
  <c r="O67" i="31"/>
  <c r="N67" i="31"/>
  <c r="M67" i="31"/>
  <c r="E67" i="31"/>
  <c r="C67" i="31"/>
  <c r="P66" i="31"/>
  <c r="O66" i="31"/>
  <c r="N66" i="31"/>
  <c r="M66" i="31"/>
  <c r="E66" i="31"/>
  <c r="C66" i="31"/>
  <c r="P65" i="31"/>
  <c r="O65" i="31"/>
  <c r="N65" i="31"/>
  <c r="M65" i="31"/>
  <c r="E65" i="31"/>
  <c r="C65" i="31"/>
  <c r="P64" i="31"/>
  <c r="O64" i="31"/>
  <c r="N64" i="31"/>
  <c r="M64" i="31"/>
  <c r="E64" i="31"/>
  <c r="C64" i="31"/>
  <c r="P63" i="31"/>
  <c r="O63" i="31"/>
  <c r="N63" i="31"/>
  <c r="M63" i="31"/>
  <c r="E63" i="31"/>
  <c r="C63" i="31"/>
  <c r="P62" i="31"/>
  <c r="O62" i="31"/>
  <c r="N62" i="31"/>
  <c r="M62" i="31"/>
  <c r="E62" i="31"/>
  <c r="C62" i="31"/>
  <c r="P61" i="31"/>
  <c r="O61" i="31"/>
  <c r="N61" i="31"/>
  <c r="M61" i="31"/>
  <c r="E61" i="31"/>
  <c r="C61" i="31"/>
  <c r="P60" i="31"/>
  <c r="O60" i="31"/>
  <c r="N60" i="31"/>
  <c r="M60" i="31"/>
  <c r="E60" i="31"/>
  <c r="C60" i="31"/>
  <c r="P59" i="31"/>
  <c r="O59" i="31"/>
  <c r="N59" i="31"/>
  <c r="M59" i="31"/>
  <c r="E59" i="31"/>
  <c r="C59" i="31"/>
  <c r="P58" i="31"/>
  <c r="O58" i="31"/>
  <c r="N58" i="31"/>
  <c r="M58" i="31"/>
  <c r="E58" i="31"/>
  <c r="C58" i="31"/>
  <c r="P57" i="31"/>
  <c r="O57" i="31"/>
  <c r="N57" i="31"/>
  <c r="M57" i="31"/>
  <c r="E57" i="31"/>
  <c r="C57" i="31"/>
  <c r="E1032" i="30"/>
  <c r="C1032" i="30"/>
  <c r="E1031" i="30"/>
  <c r="C1031" i="30"/>
  <c r="E1030" i="30"/>
  <c r="C1030" i="30"/>
  <c r="E1029" i="30"/>
  <c r="C1029" i="30"/>
  <c r="E1028" i="30"/>
  <c r="C1028" i="30"/>
  <c r="E1027" i="30"/>
  <c r="C1027" i="30"/>
  <c r="E1026" i="30"/>
  <c r="C1026" i="30"/>
  <c r="E1025" i="30"/>
  <c r="C1025" i="30"/>
  <c r="E1024" i="30"/>
  <c r="C1024" i="30"/>
  <c r="E1023" i="30"/>
  <c r="C1023" i="30"/>
  <c r="E1022" i="30"/>
  <c r="C1022" i="30"/>
  <c r="E1021" i="30"/>
  <c r="C1021" i="30"/>
  <c r="E1020" i="30"/>
  <c r="C1020" i="30"/>
  <c r="E1019" i="30"/>
  <c r="C1019" i="30"/>
  <c r="E1018" i="30"/>
  <c r="C1018" i="30"/>
  <c r="E1017" i="30"/>
  <c r="C1017" i="30"/>
  <c r="E1016" i="30"/>
  <c r="C1016" i="30"/>
  <c r="E1015" i="30"/>
  <c r="C1015" i="30"/>
  <c r="E1014" i="30"/>
  <c r="C1014" i="30"/>
  <c r="E1013" i="30"/>
  <c r="C1013" i="30"/>
  <c r="E1012" i="30"/>
  <c r="C1012" i="30"/>
  <c r="E1011" i="30"/>
  <c r="C1011" i="30"/>
  <c r="E1010" i="30"/>
  <c r="C1010" i="30"/>
  <c r="E1009" i="30"/>
  <c r="C1009" i="30"/>
  <c r="E1008" i="30"/>
  <c r="C1008" i="30"/>
  <c r="E1007" i="30"/>
  <c r="C1007" i="30"/>
  <c r="E1006" i="30"/>
  <c r="C1006" i="30"/>
  <c r="E1005" i="30"/>
  <c r="C1005" i="30"/>
  <c r="E1004" i="30"/>
  <c r="C1004" i="30"/>
  <c r="E1003" i="30"/>
  <c r="C1003" i="30"/>
  <c r="E1002" i="30"/>
  <c r="C1002" i="30"/>
  <c r="E1001" i="30"/>
  <c r="C1001" i="30"/>
  <c r="E1000" i="30"/>
  <c r="C1000" i="30"/>
  <c r="E999" i="30"/>
  <c r="C999" i="30"/>
  <c r="E998" i="30"/>
  <c r="C998" i="30"/>
  <c r="E997" i="30"/>
  <c r="C997" i="30"/>
  <c r="E996" i="30"/>
  <c r="C996" i="30"/>
  <c r="E995" i="30"/>
  <c r="C995" i="30"/>
  <c r="E994" i="30"/>
  <c r="C994" i="30"/>
  <c r="E993" i="30"/>
  <c r="C993" i="30"/>
  <c r="E992" i="30"/>
  <c r="C992" i="30"/>
  <c r="E991" i="30"/>
  <c r="C991" i="30"/>
  <c r="E990" i="30"/>
  <c r="C990" i="30"/>
  <c r="E989" i="30"/>
  <c r="C989" i="30"/>
  <c r="E988" i="30"/>
  <c r="C988" i="30"/>
  <c r="E987" i="30"/>
  <c r="C987" i="30"/>
  <c r="E986" i="30"/>
  <c r="C986" i="30"/>
  <c r="E985" i="30"/>
  <c r="C985" i="30"/>
  <c r="E984" i="30"/>
  <c r="C984" i="30"/>
  <c r="E983" i="30"/>
  <c r="C983" i="30"/>
  <c r="E982" i="30"/>
  <c r="C982" i="30"/>
  <c r="E981" i="30"/>
  <c r="C981" i="30"/>
  <c r="E980" i="30"/>
  <c r="C980" i="30"/>
  <c r="E979" i="30"/>
  <c r="C979" i="30"/>
  <c r="E978" i="30"/>
  <c r="C978" i="30"/>
  <c r="E977" i="30"/>
  <c r="C977" i="30"/>
  <c r="E976" i="30"/>
  <c r="C976" i="30"/>
  <c r="E975" i="30"/>
  <c r="C975" i="30"/>
  <c r="E974" i="30"/>
  <c r="C974" i="30"/>
  <c r="E973" i="30"/>
  <c r="C973" i="30"/>
  <c r="E972" i="30"/>
  <c r="C972" i="30"/>
  <c r="E971" i="30"/>
  <c r="C971" i="30"/>
  <c r="E970" i="30"/>
  <c r="C970" i="30"/>
  <c r="E969" i="30"/>
  <c r="C969" i="30"/>
  <c r="E968" i="30"/>
  <c r="C968" i="30"/>
  <c r="E967" i="30"/>
  <c r="C967" i="30"/>
  <c r="E966" i="30"/>
  <c r="C966" i="30"/>
  <c r="E965" i="30"/>
  <c r="C965" i="30"/>
  <c r="E964" i="30"/>
  <c r="C964" i="30"/>
  <c r="E963" i="30"/>
  <c r="C963" i="30"/>
  <c r="E962" i="30"/>
  <c r="C962" i="30"/>
  <c r="E961" i="30"/>
  <c r="C961" i="30"/>
  <c r="E960" i="30"/>
  <c r="C960" i="30"/>
  <c r="E959" i="30"/>
  <c r="C959" i="30"/>
  <c r="E958" i="30"/>
  <c r="C958" i="30"/>
  <c r="E957" i="30"/>
  <c r="C957" i="30"/>
  <c r="E956" i="30"/>
  <c r="C956" i="30"/>
  <c r="E955" i="30"/>
  <c r="C955" i="30"/>
  <c r="E954" i="30"/>
  <c r="C954" i="30"/>
  <c r="E953" i="30"/>
  <c r="C953" i="30"/>
  <c r="E952" i="30"/>
  <c r="C952" i="30"/>
  <c r="E951" i="30"/>
  <c r="C951" i="30"/>
  <c r="E950" i="30"/>
  <c r="C950" i="30"/>
  <c r="E949" i="30"/>
  <c r="C949" i="30"/>
  <c r="E948" i="30"/>
  <c r="C948" i="30"/>
  <c r="E947" i="30"/>
  <c r="C947" i="30"/>
  <c r="E946" i="30"/>
  <c r="C946" i="30"/>
  <c r="E945" i="30"/>
  <c r="C945" i="30"/>
  <c r="E944" i="30"/>
  <c r="C944" i="30"/>
  <c r="E943" i="30"/>
  <c r="C943" i="30"/>
  <c r="E942" i="30"/>
  <c r="C942" i="30"/>
  <c r="E941" i="30"/>
  <c r="C941" i="30"/>
  <c r="E940" i="30"/>
  <c r="C940" i="30"/>
  <c r="E939" i="30"/>
  <c r="C939" i="30"/>
  <c r="E938" i="30"/>
  <c r="C938" i="30"/>
  <c r="E937" i="30"/>
  <c r="C937" i="30"/>
  <c r="E936" i="30"/>
  <c r="C936" i="30"/>
  <c r="E935" i="30"/>
  <c r="C935" i="30"/>
  <c r="E934" i="30"/>
  <c r="C934" i="30"/>
  <c r="E933" i="30"/>
  <c r="C933" i="30"/>
  <c r="E932" i="30"/>
  <c r="C932" i="30"/>
  <c r="E931" i="30"/>
  <c r="C931" i="30"/>
  <c r="E930" i="30"/>
  <c r="C930" i="30"/>
  <c r="E929" i="30"/>
  <c r="C929" i="30"/>
  <c r="E928" i="30"/>
  <c r="C928" i="30"/>
  <c r="E927" i="30"/>
  <c r="C927" i="30"/>
  <c r="E926" i="30"/>
  <c r="C926" i="30"/>
  <c r="E925" i="30"/>
  <c r="C925" i="30"/>
  <c r="E924" i="30"/>
  <c r="C924" i="30"/>
  <c r="E923" i="30"/>
  <c r="C923" i="30"/>
  <c r="E922" i="30"/>
  <c r="C922" i="30"/>
  <c r="E921" i="30"/>
  <c r="C921" i="30"/>
  <c r="E920" i="30"/>
  <c r="C920" i="30"/>
  <c r="E919" i="30"/>
  <c r="C919" i="30"/>
  <c r="E918" i="30"/>
  <c r="C918" i="30"/>
  <c r="E917" i="30"/>
  <c r="C917" i="30"/>
  <c r="E916" i="30"/>
  <c r="C916" i="30"/>
  <c r="E915" i="30"/>
  <c r="C915" i="30"/>
  <c r="E914" i="30"/>
  <c r="C914" i="30"/>
  <c r="E913" i="30"/>
  <c r="C913" i="30"/>
  <c r="E912" i="30"/>
  <c r="C912" i="30"/>
  <c r="E911" i="30"/>
  <c r="C911" i="30"/>
  <c r="E910" i="30"/>
  <c r="C910" i="30"/>
  <c r="E909" i="30"/>
  <c r="C909" i="30"/>
  <c r="E908" i="30"/>
  <c r="C908" i="30"/>
  <c r="E907" i="30"/>
  <c r="C907" i="30"/>
  <c r="E906" i="30"/>
  <c r="C906" i="30"/>
  <c r="E905" i="30"/>
  <c r="C905" i="30"/>
  <c r="E904" i="30"/>
  <c r="C904" i="30"/>
  <c r="E903" i="30"/>
  <c r="C903" i="30"/>
  <c r="E902" i="30"/>
  <c r="C902" i="30"/>
  <c r="E901" i="30"/>
  <c r="C901" i="30"/>
  <c r="E900" i="30"/>
  <c r="C900" i="30"/>
  <c r="E899" i="30"/>
  <c r="C899" i="30"/>
  <c r="E898" i="30"/>
  <c r="C898" i="30"/>
  <c r="E897" i="30"/>
  <c r="C897" i="30"/>
  <c r="E896" i="30"/>
  <c r="C896" i="30"/>
  <c r="E895" i="30"/>
  <c r="C895" i="30"/>
  <c r="E894" i="30"/>
  <c r="C894" i="30"/>
  <c r="E893" i="30"/>
  <c r="C893" i="30"/>
  <c r="E892" i="30"/>
  <c r="C892" i="30"/>
  <c r="E891" i="30"/>
  <c r="C891" i="30"/>
  <c r="E890" i="30"/>
  <c r="C890" i="30"/>
  <c r="E889" i="30"/>
  <c r="C889" i="30"/>
  <c r="E888" i="30"/>
  <c r="C888" i="30"/>
  <c r="E887" i="30"/>
  <c r="C887" i="30"/>
  <c r="E886" i="30"/>
  <c r="C886" i="30"/>
  <c r="E885" i="30"/>
  <c r="C885" i="30"/>
  <c r="E884" i="30"/>
  <c r="C884" i="30"/>
  <c r="E883" i="30"/>
  <c r="C883" i="30"/>
  <c r="E882" i="30"/>
  <c r="C882" i="30"/>
  <c r="E881" i="30"/>
  <c r="C881" i="30"/>
  <c r="E880" i="30"/>
  <c r="C880" i="30"/>
  <c r="E879" i="30"/>
  <c r="C879" i="30"/>
  <c r="E878" i="30"/>
  <c r="C878" i="30"/>
  <c r="E877" i="30"/>
  <c r="C877" i="30"/>
  <c r="E876" i="30"/>
  <c r="C876" i="30"/>
  <c r="E875" i="30"/>
  <c r="C875" i="30"/>
  <c r="E874" i="30"/>
  <c r="C874" i="30"/>
  <c r="E873" i="30"/>
  <c r="C873" i="30"/>
  <c r="E872" i="30"/>
  <c r="C872" i="30"/>
  <c r="E871" i="30"/>
  <c r="C871" i="30"/>
  <c r="E870" i="30"/>
  <c r="C870" i="30"/>
  <c r="E869" i="30"/>
  <c r="C869" i="30"/>
  <c r="E868" i="30"/>
  <c r="C868" i="30"/>
  <c r="E867" i="30"/>
  <c r="C867" i="30"/>
  <c r="E866" i="30"/>
  <c r="C866" i="30"/>
  <c r="E865" i="30"/>
  <c r="C865" i="30"/>
  <c r="E864" i="30"/>
  <c r="C864" i="30"/>
  <c r="E863" i="30"/>
  <c r="C863" i="30"/>
  <c r="E862" i="30"/>
  <c r="C862" i="30"/>
  <c r="E861" i="30"/>
  <c r="C861" i="30"/>
  <c r="E860" i="30"/>
  <c r="C860" i="30"/>
  <c r="E859" i="30"/>
  <c r="C859" i="30"/>
  <c r="E858" i="30"/>
  <c r="C858" i="30"/>
  <c r="E857" i="30"/>
  <c r="C857" i="30"/>
  <c r="E856" i="30"/>
  <c r="C856" i="30"/>
  <c r="E855" i="30"/>
  <c r="C855" i="30"/>
  <c r="E854" i="30"/>
  <c r="C854" i="30"/>
  <c r="E853" i="30"/>
  <c r="C853" i="30"/>
  <c r="E852" i="30"/>
  <c r="C852" i="30"/>
  <c r="E851" i="30"/>
  <c r="C851" i="30"/>
  <c r="E850" i="30"/>
  <c r="C850" i="30"/>
  <c r="E849" i="30"/>
  <c r="C849" i="30"/>
  <c r="E848" i="30"/>
  <c r="C848" i="30"/>
  <c r="E847" i="30"/>
  <c r="C847" i="30"/>
  <c r="E846" i="30"/>
  <c r="C846" i="30"/>
  <c r="E845" i="30"/>
  <c r="C845" i="30"/>
  <c r="E844" i="30"/>
  <c r="C844" i="30"/>
  <c r="E843" i="30"/>
  <c r="C843" i="30"/>
  <c r="E842" i="30"/>
  <c r="C842" i="30"/>
  <c r="E841" i="30"/>
  <c r="C841" i="30"/>
  <c r="E840" i="30"/>
  <c r="C840" i="30"/>
  <c r="E839" i="30"/>
  <c r="C839" i="30"/>
  <c r="E838" i="30"/>
  <c r="C838" i="30"/>
  <c r="E837" i="30"/>
  <c r="C837" i="30"/>
  <c r="E836" i="30"/>
  <c r="C836" i="30"/>
  <c r="E835" i="30"/>
  <c r="C835" i="30"/>
  <c r="E834" i="30"/>
  <c r="C834" i="30"/>
  <c r="E833" i="30"/>
  <c r="C833" i="30"/>
  <c r="E832" i="30"/>
  <c r="C832" i="30"/>
  <c r="E831" i="30"/>
  <c r="C831" i="30"/>
  <c r="E830" i="30"/>
  <c r="C830" i="30"/>
  <c r="E829" i="30"/>
  <c r="C829" i="30"/>
  <c r="E828" i="30"/>
  <c r="C828" i="30"/>
  <c r="E827" i="30"/>
  <c r="C827" i="30"/>
  <c r="E826" i="30"/>
  <c r="C826" i="30"/>
  <c r="E825" i="30"/>
  <c r="C825" i="30"/>
  <c r="E824" i="30"/>
  <c r="C824" i="30"/>
  <c r="E823" i="30"/>
  <c r="C823" i="30"/>
  <c r="E822" i="30"/>
  <c r="C822" i="30"/>
  <c r="E821" i="30"/>
  <c r="C821" i="30"/>
  <c r="E820" i="30"/>
  <c r="C820" i="30"/>
  <c r="E819" i="30"/>
  <c r="C819" i="30"/>
  <c r="E818" i="30"/>
  <c r="C818" i="30"/>
  <c r="E817" i="30"/>
  <c r="C817" i="30"/>
  <c r="E816" i="30"/>
  <c r="C816" i="30"/>
  <c r="E815" i="30"/>
  <c r="C815" i="30"/>
  <c r="E814" i="30"/>
  <c r="C814" i="30"/>
  <c r="E813" i="30"/>
  <c r="C813" i="30"/>
  <c r="E812" i="30"/>
  <c r="C812" i="30"/>
  <c r="E811" i="30"/>
  <c r="C811" i="30"/>
  <c r="E810" i="30"/>
  <c r="C810" i="30"/>
  <c r="E809" i="30"/>
  <c r="C809" i="30"/>
  <c r="E808" i="30"/>
  <c r="C808" i="30"/>
  <c r="E807" i="30"/>
  <c r="C807" i="30"/>
  <c r="E806" i="30"/>
  <c r="C806" i="30"/>
  <c r="E805" i="30"/>
  <c r="C805" i="30"/>
  <c r="E804" i="30"/>
  <c r="C804" i="30"/>
  <c r="E803" i="30"/>
  <c r="C803" i="30"/>
  <c r="E802" i="30"/>
  <c r="C802" i="30"/>
  <c r="E801" i="30"/>
  <c r="C801" i="30"/>
  <c r="E800" i="30"/>
  <c r="C800" i="30"/>
  <c r="E799" i="30"/>
  <c r="C799" i="30"/>
  <c r="E798" i="30"/>
  <c r="C798" i="30"/>
  <c r="E797" i="30"/>
  <c r="C797" i="30"/>
  <c r="E796" i="30"/>
  <c r="C796" i="30"/>
  <c r="E795" i="30"/>
  <c r="C795" i="30"/>
  <c r="E794" i="30"/>
  <c r="C794" i="30"/>
  <c r="E793" i="30"/>
  <c r="C793" i="30"/>
  <c r="E792" i="30"/>
  <c r="C792" i="30"/>
  <c r="E791" i="30"/>
  <c r="C791" i="30"/>
  <c r="E790" i="30"/>
  <c r="C790" i="30"/>
  <c r="E789" i="30"/>
  <c r="C789" i="30"/>
  <c r="E788" i="30"/>
  <c r="C788" i="30"/>
  <c r="E787" i="30"/>
  <c r="C787" i="30"/>
  <c r="E786" i="30"/>
  <c r="C786" i="30"/>
  <c r="E785" i="30"/>
  <c r="C785" i="30"/>
  <c r="E784" i="30"/>
  <c r="C784" i="30"/>
  <c r="E783" i="30"/>
  <c r="C783" i="30"/>
  <c r="E782" i="30"/>
  <c r="C782" i="30"/>
  <c r="E781" i="30"/>
  <c r="C781" i="30"/>
  <c r="E780" i="30"/>
  <c r="C780" i="30"/>
  <c r="E779" i="30"/>
  <c r="C779" i="30"/>
  <c r="E778" i="30"/>
  <c r="C778" i="30"/>
  <c r="E777" i="30"/>
  <c r="C777" i="30"/>
  <c r="E776" i="30"/>
  <c r="C776" i="30"/>
  <c r="E775" i="30"/>
  <c r="C775" i="30"/>
  <c r="E774" i="30"/>
  <c r="C774" i="30"/>
  <c r="E773" i="30"/>
  <c r="C773" i="30"/>
  <c r="E160" i="2"/>
  <c r="C160" i="2"/>
  <c r="E159" i="2"/>
  <c r="C159" i="2"/>
  <c r="E158" i="2"/>
  <c r="C158" i="2"/>
  <c r="P157" i="2"/>
  <c r="O157" i="2"/>
  <c r="N157" i="2"/>
  <c r="E157" i="2"/>
  <c r="C157" i="2"/>
  <c r="P156" i="2"/>
  <c r="O156" i="2"/>
  <c r="N156" i="2"/>
  <c r="E156" i="2"/>
  <c r="C156" i="2"/>
  <c r="P155" i="2"/>
  <c r="O155" i="2"/>
  <c r="N155" i="2"/>
  <c r="E155" i="2"/>
  <c r="C155" i="2"/>
  <c r="P154" i="2"/>
  <c r="O154" i="2"/>
  <c r="N154" i="2"/>
  <c r="E154" i="2"/>
  <c r="C154" i="2"/>
  <c r="P153" i="2"/>
  <c r="O153" i="2"/>
  <c r="N153" i="2"/>
  <c r="E153" i="2"/>
  <c r="C153" i="2"/>
  <c r="P152" i="2"/>
  <c r="O152" i="2"/>
  <c r="N152" i="2"/>
  <c r="E152" i="2"/>
  <c r="C152" i="2"/>
  <c r="P151" i="2"/>
  <c r="O151" i="2"/>
  <c r="N151" i="2"/>
  <c r="E151" i="2"/>
  <c r="C151" i="2"/>
  <c r="P150" i="2"/>
  <c r="O150" i="2"/>
  <c r="N150" i="2"/>
  <c r="E150" i="2"/>
  <c r="C150" i="2"/>
  <c r="P149" i="2"/>
  <c r="O149" i="2"/>
  <c r="N149" i="2"/>
  <c r="E149" i="2"/>
  <c r="C149" i="2"/>
  <c r="P148" i="2"/>
  <c r="O148" i="2"/>
  <c r="N148" i="2"/>
  <c r="E148" i="2"/>
  <c r="C148" i="2"/>
  <c r="P147" i="2"/>
  <c r="O147" i="2"/>
  <c r="N147" i="2"/>
  <c r="F147" i="2"/>
  <c r="E147" i="2"/>
  <c r="C147" i="2"/>
  <c r="P146" i="2"/>
  <c r="O146" i="2"/>
  <c r="N146" i="2"/>
  <c r="F146" i="2"/>
  <c r="E146" i="2"/>
  <c r="C146" i="2"/>
  <c r="P145" i="2"/>
  <c r="O145" i="2"/>
  <c r="N145" i="2"/>
  <c r="E145" i="2"/>
  <c r="C145" i="2"/>
  <c r="P144" i="2"/>
  <c r="O144" i="2"/>
  <c r="N144" i="2"/>
  <c r="E144" i="2"/>
  <c r="C144" i="2"/>
  <c r="P143" i="2"/>
  <c r="O143" i="2"/>
  <c r="N143" i="2"/>
  <c r="E143" i="2"/>
  <c r="C143" i="2"/>
  <c r="P142" i="2"/>
  <c r="O142" i="2"/>
  <c r="N142" i="2"/>
  <c r="F142" i="2"/>
  <c r="E142" i="2"/>
  <c r="C142" i="2"/>
  <c r="P141" i="2"/>
  <c r="O141" i="2"/>
  <c r="N141" i="2"/>
  <c r="E141" i="2"/>
  <c r="C141" i="2"/>
  <c r="P140" i="2"/>
  <c r="O140" i="2"/>
  <c r="N140" i="2"/>
  <c r="E140" i="2"/>
  <c r="C140" i="2"/>
  <c r="P139" i="2"/>
  <c r="O139" i="2"/>
  <c r="N139" i="2"/>
  <c r="E139" i="2"/>
  <c r="C139" i="2"/>
  <c r="P138" i="2"/>
  <c r="O138" i="2"/>
  <c r="N138" i="2"/>
  <c r="E138" i="2"/>
  <c r="C138" i="2"/>
  <c r="E137" i="2"/>
  <c r="C137" i="2"/>
  <c r="E136" i="2"/>
  <c r="C136" i="2"/>
  <c r="E135" i="2"/>
  <c r="C135" i="2"/>
  <c r="E134" i="2"/>
  <c r="C134" i="2"/>
  <c r="E133" i="2"/>
  <c r="C133" i="2"/>
  <c r="E132" i="2"/>
  <c r="C132" i="2"/>
  <c r="E131" i="2"/>
  <c r="C131" i="2"/>
  <c r="E130" i="2"/>
  <c r="C130" i="2"/>
  <c r="E129" i="2"/>
  <c r="C129" i="2"/>
  <c r="E128" i="2"/>
  <c r="C128" i="2"/>
  <c r="E127" i="2"/>
  <c r="C127" i="2"/>
  <c r="E126" i="2"/>
  <c r="C126" i="2"/>
  <c r="E125" i="2"/>
  <c r="C125" i="2"/>
  <c r="P124" i="2"/>
  <c r="O124" i="2"/>
  <c r="N124" i="2"/>
  <c r="E124" i="2"/>
  <c r="C124" i="2"/>
  <c r="P123" i="2"/>
  <c r="O123" i="2"/>
  <c r="N123" i="2"/>
  <c r="E123" i="2"/>
  <c r="C123" i="2"/>
  <c r="P122" i="2"/>
  <c r="O122" i="2"/>
  <c r="N122" i="2"/>
  <c r="E122" i="2"/>
  <c r="C122" i="2"/>
  <c r="P121" i="2"/>
  <c r="O121" i="2"/>
  <c r="N121" i="2"/>
  <c r="E121" i="2"/>
  <c r="C121" i="2"/>
  <c r="P120" i="2"/>
  <c r="O120" i="2"/>
  <c r="N120" i="2"/>
  <c r="E120" i="2"/>
  <c r="C120" i="2"/>
  <c r="Z128" i="29" l="1"/>
  <c r="AB127" i="29"/>
  <c r="C127" i="29" s="1"/>
  <c r="AA127" i="29"/>
  <c r="D127" i="29" s="1"/>
  <c r="AG129" i="28"/>
  <c r="AB129" i="28"/>
  <c r="AE131" i="28"/>
  <c r="AF130" i="28"/>
  <c r="AA128" i="29" l="1"/>
  <c r="D128" i="29" s="1"/>
  <c r="Z129" i="29"/>
  <c r="AB128" i="29"/>
  <c r="C128" i="29" s="1"/>
  <c r="AG130" i="28"/>
  <c r="AB130" i="28"/>
  <c r="AF131" i="28"/>
  <c r="AE132" i="28"/>
  <c r="AB129" i="29" l="1"/>
  <c r="C129" i="29" s="1"/>
  <c r="AA129" i="29"/>
  <c r="D129" i="29" s="1"/>
  <c r="Z130" i="29"/>
  <c r="AG131" i="28"/>
  <c r="AB131" i="28"/>
  <c r="AE133" i="28"/>
  <c r="AF132" i="28"/>
  <c r="Z131" i="29" l="1"/>
  <c r="AB130" i="29"/>
  <c r="C130" i="29" s="1"/>
  <c r="AA130" i="29"/>
  <c r="D130" i="29" s="1"/>
  <c r="AG132" i="28"/>
  <c r="AB132" i="28"/>
  <c r="AE134" i="28"/>
  <c r="AF133" i="28"/>
  <c r="E16" i="3"/>
  <c r="E15" i="3"/>
  <c r="E14" i="3"/>
  <c r="E13" i="3"/>
  <c r="E12" i="3"/>
  <c r="E11" i="3"/>
  <c r="E10" i="3"/>
  <c r="E9" i="3"/>
  <c r="E8" i="3"/>
  <c r="E7" i="3"/>
  <c r="E6" i="3"/>
  <c r="E5" i="3"/>
  <c r="Z132" i="29" l="1"/>
  <c r="AB131" i="29"/>
  <c r="C131" i="29" s="1"/>
  <c r="AA131" i="29"/>
  <c r="D131" i="29" s="1"/>
  <c r="AG133" i="28"/>
  <c r="AB133" i="28"/>
  <c r="AF134" i="28"/>
  <c r="AE135" i="28"/>
  <c r="Z6" i="3"/>
  <c r="Z7" i="3" s="1"/>
  <c r="Z8" i="3" s="1"/>
  <c r="Z9" i="3" s="1"/>
  <c r="Z10" i="3" s="1"/>
  <c r="Z11" i="3" s="1"/>
  <c r="Z12" i="3" s="1"/>
  <c r="Z13" i="3" s="1"/>
  <c r="Z14" i="3" s="1"/>
  <c r="Z15" i="3" s="1"/>
  <c r="Z16" i="3" s="1"/>
  <c r="Z17" i="3" s="1"/>
  <c r="Z18" i="3" s="1"/>
  <c r="Z19" i="3" s="1"/>
  <c r="Z20" i="3" s="1"/>
  <c r="Z21" i="3" s="1"/>
  <c r="Z22" i="3" s="1"/>
  <c r="Z23" i="3" s="1"/>
  <c r="Z24" i="3" s="1"/>
  <c r="Z25" i="3" s="1"/>
  <c r="Z26" i="3" s="1"/>
  <c r="Z27" i="3" s="1"/>
  <c r="Z28" i="3" s="1"/>
  <c r="Z29" i="3" s="1"/>
  <c r="Z30" i="3" s="1"/>
  <c r="Z31" i="3" s="1"/>
  <c r="Z32" i="3" s="1"/>
  <c r="Z33" i="3" s="1"/>
  <c r="Z34" i="3" s="1"/>
  <c r="Z35" i="3" s="1"/>
  <c r="Z36" i="3" s="1"/>
  <c r="Z37" i="3" s="1"/>
  <c r="Z38" i="3" s="1"/>
  <c r="Z39" i="3" s="1"/>
  <c r="Z40" i="3" s="1"/>
  <c r="Z41" i="3" s="1"/>
  <c r="Z42" i="3" s="1"/>
  <c r="Z133" i="29" l="1"/>
  <c r="Z134" i="29" s="1"/>
  <c r="AB132" i="29"/>
  <c r="C132" i="29" s="1"/>
  <c r="AA132" i="29"/>
  <c r="D132" i="29" s="1"/>
  <c r="AG134" i="28"/>
  <c r="AB134" i="28"/>
  <c r="BA5" i="4"/>
  <c r="BA6" i="4" s="1"/>
  <c r="BA7" i="4" s="1"/>
  <c r="AF135" i="28"/>
  <c r="AE136" i="28"/>
  <c r="BA8" i="4" l="1"/>
  <c r="Z135" i="29"/>
  <c r="AA134" i="29"/>
  <c r="D134" i="29" s="1"/>
  <c r="AB134" i="29"/>
  <c r="C134" i="29" s="1"/>
  <c r="AB133" i="29"/>
  <c r="C133" i="29" s="1"/>
  <c r="AA133" i="29"/>
  <c r="D133" i="29" s="1"/>
  <c r="AG135" i="28"/>
  <c r="AB135" i="28"/>
  <c r="AF136" i="28"/>
  <c r="AE137" i="28"/>
  <c r="BC5" i="4"/>
  <c r="C5" i="4" s="1"/>
  <c r="BB5" i="4"/>
  <c r="D5" i="4" s="1"/>
  <c r="BC8" i="4" l="1"/>
  <c r="AW8" i="4" s="1"/>
  <c r="BB8" i="4"/>
  <c r="BA9" i="4"/>
  <c r="BA10" i="4" s="1"/>
  <c r="BA11" i="4" s="1"/>
  <c r="BA12" i="4" s="1"/>
  <c r="BA13" i="4" s="1"/>
  <c r="BA14" i="4" s="1"/>
  <c r="BA15" i="4" s="1"/>
  <c r="BA16" i="4" s="1"/>
  <c r="BA17" i="4" s="1"/>
  <c r="BA18" i="4" s="1"/>
  <c r="BA19" i="4" s="1"/>
  <c r="BA20" i="4" s="1"/>
  <c r="BA21" i="4" s="1"/>
  <c r="BA22" i="4" s="1"/>
  <c r="BA23" i="4" s="1"/>
  <c r="BA24" i="4" s="1"/>
  <c r="BA25" i="4" s="1"/>
  <c r="BA26" i="4" s="1"/>
  <c r="BA27" i="4" s="1"/>
  <c r="BA28" i="4" s="1"/>
  <c r="BA29" i="4" s="1"/>
  <c r="BA30" i="4" s="1"/>
  <c r="BA31" i="4" s="1"/>
  <c r="BA32" i="4" s="1"/>
  <c r="BA33" i="4" s="1"/>
  <c r="BA34" i="4" s="1"/>
  <c r="BA35" i="4" s="1"/>
  <c r="BA36" i="4" s="1"/>
  <c r="BA37" i="4" s="1"/>
  <c r="BA38" i="4" s="1"/>
  <c r="BA39" i="4" s="1"/>
  <c r="BA40" i="4" s="1"/>
  <c r="BA41" i="4" s="1"/>
  <c r="BA42" i="4" s="1"/>
  <c r="BA43" i="4" s="1"/>
  <c r="BA44" i="4" s="1"/>
  <c r="BA45" i="4" s="1"/>
  <c r="BA46" i="4" s="1"/>
  <c r="BA47" i="4" s="1"/>
  <c r="BA48" i="4" s="1"/>
  <c r="BA49" i="4" s="1"/>
  <c r="BA50" i="4" s="1"/>
  <c r="BA51" i="4" s="1"/>
  <c r="BA52" i="4" s="1"/>
  <c r="BA53" i="4" s="1"/>
  <c r="BA54" i="4" s="1"/>
  <c r="BA55" i="4" s="1"/>
  <c r="BA56" i="4" s="1"/>
  <c r="BA57" i="4" s="1"/>
  <c r="BA58" i="4" s="1"/>
  <c r="BA59" i="4" s="1"/>
  <c r="BA60" i="4" s="1"/>
  <c r="BA61" i="4" s="1"/>
  <c r="BA62" i="4" s="1"/>
  <c r="BA63" i="4" s="1"/>
  <c r="BA64" i="4" s="1"/>
  <c r="BA65" i="4" s="1"/>
  <c r="BA66" i="4" s="1"/>
  <c r="BA67" i="4" s="1"/>
  <c r="BA68" i="4" s="1"/>
  <c r="BA69" i="4" s="1"/>
  <c r="BA70" i="4" s="1"/>
  <c r="BA71" i="4" s="1"/>
  <c r="BA72" i="4" s="1"/>
  <c r="BA73" i="4" s="1"/>
  <c r="BA74" i="4" s="1"/>
  <c r="BA75" i="4" s="1"/>
  <c r="BA76" i="4" s="1"/>
  <c r="BA77" i="4" s="1"/>
  <c r="BA78" i="4" s="1"/>
  <c r="BA79" i="4" s="1"/>
  <c r="BA80" i="4" s="1"/>
  <c r="BA81" i="4" s="1"/>
  <c r="BA82" i="4" s="1"/>
  <c r="BA83" i="4" s="1"/>
  <c r="BA84" i="4" s="1"/>
  <c r="BA85" i="4" s="1"/>
  <c r="BA86" i="4" s="1"/>
  <c r="BA87" i="4" s="1"/>
  <c r="BA88" i="4" s="1"/>
  <c r="BA89" i="4" s="1"/>
  <c r="BA90" i="4" s="1"/>
  <c r="BA91" i="4" s="1"/>
  <c r="BA92" i="4" s="1"/>
  <c r="BA93" i="4" s="1"/>
  <c r="BA94" i="4" s="1"/>
  <c r="BA95" i="4" s="1"/>
  <c r="BA96" i="4" s="1"/>
  <c r="BA97" i="4" s="1"/>
  <c r="BA98" i="4" s="1"/>
  <c r="BA99" i="4" s="1"/>
  <c r="BA100" i="4" s="1"/>
  <c r="BA101" i="4" s="1"/>
  <c r="BA102" i="4" s="1"/>
  <c r="BA103" i="4" s="1"/>
  <c r="BA104" i="4" s="1"/>
  <c r="BA105" i="4" s="1"/>
  <c r="BA106" i="4" s="1"/>
  <c r="BA107" i="4" s="1"/>
  <c r="BA108" i="4" s="1"/>
  <c r="BA109" i="4" s="1"/>
  <c r="BA110" i="4" s="1"/>
  <c r="BA111" i="4" s="1"/>
  <c r="BA112" i="4" s="1"/>
  <c r="BA113" i="4" s="1"/>
  <c r="BA114" i="4" s="1"/>
  <c r="BA115" i="4" s="1"/>
  <c r="BA116" i="4" s="1"/>
  <c r="BA117" i="4" s="1"/>
  <c r="BA118" i="4" s="1"/>
  <c r="BA119" i="4" s="1"/>
  <c r="BA120" i="4" s="1"/>
  <c r="BA121" i="4" s="1"/>
  <c r="BA122" i="4" s="1"/>
  <c r="BA123" i="4" s="1"/>
  <c r="BA124" i="4" s="1"/>
  <c r="BA125" i="4" s="1"/>
  <c r="BA126" i="4" s="1"/>
  <c r="BA127" i="4" s="1"/>
  <c r="BA128" i="4" s="1"/>
  <c r="BA129" i="4" s="1"/>
  <c r="BA130" i="4" s="1"/>
  <c r="BA131" i="4" s="1"/>
  <c r="BA132" i="4" s="1"/>
  <c r="BA133" i="4" s="1"/>
  <c r="BA134" i="4" s="1"/>
  <c r="BA135" i="4" s="1"/>
  <c r="BA136" i="4" s="1"/>
  <c r="BA137" i="4" s="1"/>
  <c r="BA138" i="4" s="1"/>
  <c r="BA139" i="4" s="1"/>
  <c r="BA140" i="4" s="1"/>
  <c r="BA141" i="4" s="1"/>
  <c r="BA142" i="4" s="1"/>
  <c r="BA143" i="4" s="1"/>
  <c r="BA144" i="4" s="1"/>
  <c r="BA145" i="4" s="1"/>
  <c r="BA146" i="4" s="1"/>
  <c r="BA147" i="4" s="1"/>
  <c r="BA148" i="4" s="1"/>
  <c r="BA149" i="4" s="1"/>
  <c r="BA150" i="4" s="1"/>
  <c r="BA151" i="4" s="1"/>
  <c r="BA152" i="4" s="1"/>
  <c r="BA153" i="4" s="1"/>
  <c r="BA154" i="4" s="1"/>
  <c r="BA155" i="4" s="1"/>
  <c r="BA156" i="4" s="1"/>
  <c r="BA157" i="4" s="1"/>
  <c r="BA158" i="4" s="1"/>
  <c r="BA159" i="4" s="1"/>
  <c r="BA160" i="4" s="1"/>
  <c r="BA161" i="4" s="1"/>
  <c r="BA162" i="4" s="1"/>
  <c r="BA163" i="4" s="1"/>
  <c r="BA164" i="4" s="1"/>
  <c r="BA165" i="4" s="1"/>
  <c r="BA166" i="4" s="1"/>
  <c r="BA167" i="4" s="1"/>
  <c r="BA168" i="4" s="1"/>
  <c r="BA169" i="4" s="1"/>
  <c r="BA170" i="4" s="1"/>
  <c r="BA171" i="4" s="1"/>
  <c r="BA172" i="4" s="1"/>
  <c r="BA173" i="4" s="1"/>
  <c r="BA174" i="4" s="1"/>
  <c r="BA175" i="4" s="1"/>
  <c r="BA176" i="4" s="1"/>
  <c r="BA177" i="4" s="1"/>
  <c r="BA178" i="4" s="1"/>
  <c r="BA179" i="4" s="1"/>
  <c r="BA180" i="4" s="1"/>
  <c r="BA181" i="4" s="1"/>
  <c r="BA182" i="4" s="1"/>
  <c r="BA183" i="4" s="1"/>
  <c r="BA184" i="4" s="1"/>
  <c r="BA185" i="4" s="1"/>
  <c r="BA186" i="4" s="1"/>
  <c r="BA187" i="4" s="1"/>
  <c r="BA188" i="4" s="1"/>
  <c r="BA189" i="4" s="1"/>
  <c r="BA190" i="4" s="1"/>
  <c r="BA191" i="4" s="1"/>
  <c r="BA192" i="4" s="1"/>
  <c r="BA193" i="4" s="1"/>
  <c r="BA194" i="4" s="1"/>
  <c r="BA195" i="4" s="1"/>
  <c r="BA196" i="4" s="1"/>
  <c r="BA197" i="4" s="1"/>
  <c r="BA198" i="4" s="1"/>
  <c r="BA199" i="4" s="1"/>
  <c r="BA200" i="4" s="1"/>
  <c r="BA201" i="4" s="1"/>
  <c r="BA202" i="4" s="1"/>
  <c r="BA203" i="4" s="1"/>
  <c r="BA204" i="4" s="1"/>
  <c r="BA205" i="4" s="1"/>
  <c r="BA206" i="4" s="1"/>
  <c r="BA207" i="4" s="1"/>
  <c r="BA208" i="4" s="1"/>
  <c r="BA209" i="4" s="1"/>
  <c r="BA210" i="4" s="1"/>
  <c r="BA211" i="4" s="1"/>
  <c r="BA212" i="4" s="1"/>
  <c r="BA213" i="4" s="1"/>
  <c r="BA214" i="4" s="1"/>
  <c r="BA215" i="4" s="1"/>
  <c r="BA216" i="4" s="1"/>
  <c r="BA217" i="4" s="1"/>
  <c r="BA218" i="4" s="1"/>
  <c r="BA219" i="4" s="1"/>
  <c r="BA220" i="4" s="1"/>
  <c r="BA221" i="4" s="1"/>
  <c r="BA222" i="4" s="1"/>
  <c r="BA223" i="4" s="1"/>
  <c r="BA224" i="4" s="1"/>
  <c r="BA225" i="4" s="1"/>
  <c r="BA226" i="4" s="1"/>
  <c r="BA227" i="4" s="1"/>
  <c r="BA228" i="4" s="1"/>
  <c r="BA229" i="4" s="1"/>
  <c r="BA230" i="4" s="1"/>
  <c r="BA231" i="4" s="1"/>
  <c r="BA232" i="4" s="1"/>
  <c r="BA233" i="4" s="1"/>
  <c r="BA234" i="4" s="1"/>
  <c r="BA235" i="4" s="1"/>
  <c r="BA236" i="4" s="1"/>
  <c r="BA237" i="4" s="1"/>
  <c r="BA238" i="4" s="1"/>
  <c r="BA239" i="4" s="1"/>
  <c r="BA240" i="4" s="1"/>
  <c r="BA241" i="4" s="1"/>
  <c r="BA242" i="4" s="1"/>
  <c r="BA243" i="4" s="1"/>
  <c r="BA244" i="4" s="1"/>
  <c r="BA245" i="4" s="1"/>
  <c r="BA246" i="4" s="1"/>
  <c r="BA247" i="4" s="1"/>
  <c r="BA248" i="4" s="1"/>
  <c r="BA249" i="4" s="1"/>
  <c r="BA250" i="4" s="1"/>
  <c r="BA251" i="4" s="1"/>
  <c r="BA252" i="4" s="1"/>
  <c r="BA253" i="4" s="1"/>
  <c r="BA254" i="4" s="1"/>
  <c r="BA255" i="4" s="1"/>
  <c r="BA256" i="4" s="1"/>
  <c r="BA257" i="4" s="1"/>
  <c r="BA258" i="4" s="1"/>
  <c r="BA259" i="4" s="1"/>
  <c r="BA260" i="4" s="1"/>
  <c r="BA261" i="4" s="1"/>
  <c r="BA262" i="4" s="1"/>
  <c r="BA263" i="4" s="1"/>
  <c r="BA264" i="4" s="1"/>
  <c r="BA265" i="4" s="1"/>
  <c r="BA266" i="4" s="1"/>
  <c r="BA267" i="4" s="1"/>
  <c r="BA268" i="4" s="1"/>
  <c r="BA269" i="4" s="1"/>
  <c r="BA270" i="4" s="1"/>
  <c r="BA271" i="4" s="1"/>
  <c r="BA272" i="4" s="1"/>
  <c r="BA273" i="4" s="1"/>
  <c r="BA274" i="4" s="1"/>
  <c r="BA275" i="4" s="1"/>
  <c r="BA276" i="4" s="1"/>
  <c r="BA277" i="4" s="1"/>
  <c r="BA278" i="4" s="1"/>
  <c r="BA279" i="4" s="1"/>
  <c r="BA280" i="4" s="1"/>
  <c r="BA281" i="4" s="1"/>
  <c r="BA282" i="4" s="1"/>
  <c r="BA283" i="4" s="1"/>
  <c r="BA284" i="4" s="1"/>
  <c r="BA285" i="4" s="1"/>
  <c r="BA286" i="4" s="1"/>
  <c r="BA287" i="4" s="1"/>
  <c r="BA288" i="4" s="1"/>
  <c r="BA289" i="4" s="1"/>
  <c r="BA290" i="4" s="1"/>
  <c r="BA291" i="4" s="1"/>
  <c r="BA292" i="4" s="1"/>
  <c r="BA293" i="4" s="1"/>
  <c r="BA294" i="4" s="1"/>
  <c r="BA295" i="4" s="1"/>
  <c r="BA296" i="4" s="1"/>
  <c r="BA297" i="4" s="1"/>
  <c r="BA298" i="4" s="1"/>
  <c r="BA299" i="4" s="1"/>
  <c r="BA300" i="4" s="1"/>
  <c r="BA301" i="4" s="1"/>
  <c r="BA302" i="4" s="1"/>
  <c r="BA303" i="4" s="1"/>
  <c r="BA304" i="4" s="1"/>
  <c r="BA305" i="4" s="1"/>
  <c r="BA306" i="4" s="1"/>
  <c r="BA307" i="4" s="1"/>
  <c r="BA308" i="4" s="1"/>
  <c r="BA309" i="4" s="1"/>
  <c r="BA310" i="4" s="1"/>
  <c r="BA311" i="4" s="1"/>
  <c r="BA312" i="4" s="1"/>
  <c r="BA313" i="4" s="1"/>
  <c r="BA314" i="4" s="1"/>
  <c r="BA315" i="4" s="1"/>
  <c r="BA316" i="4" s="1"/>
  <c r="BA317" i="4" s="1"/>
  <c r="BA318" i="4" s="1"/>
  <c r="BA319" i="4" s="1"/>
  <c r="BA320" i="4" s="1"/>
  <c r="BA321" i="4" s="1"/>
  <c r="BA322" i="4" s="1"/>
  <c r="BA323" i="4" s="1"/>
  <c r="BA324" i="4" s="1"/>
  <c r="BA325" i="4" s="1"/>
  <c r="BA326" i="4" s="1"/>
  <c r="BA327" i="4" s="1"/>
  <c r="BA328" i="4" s="1"/>
  <c r="BA329" i="4" s="1"/>
  <c r="BA330" i="4" s="1"/>
  <c r="BA331" i="4" s="1"/>
  <c r="BA332" i="4" s="1"/>
  <c r="BA333" i="4" s="1"/>
  <c r="BA334" i="4" s="1"/>
  <c r="BA335" i="4" s="1"/>
  <c r="BA336" i="4" s="1"/>
  <c r="BA337" i="4" s="1"/>
  <c r="BA338" i="4" s="1"/>
  <c r="BA339" i="4" s="1"/>
  <c r="BA340" i="4" s="1"/>
  <c r="BA341" i="4" s="1"/>
  <c r="BA342" i="4" s="1"/>
  <c r="BA343" i="4" s="1"/>
  <c r="BA344" i="4" s="1"/>
  <c r="BA345" i="4" s="1"/>
  <c r="BA346" i="4" s="1"/>
  <c r="BA347" i="4" s="1"/>
  <c r="BA348" i="4" s="1"/>
  <c r="BA349" i="4" s="1"/>
  <c r="BA350" i="4" s="1"/>
  <c r="BA351" i="4" s="1"/>
  <c r="BA352" i="4" s="1"/>
  <c r="BA353" i="4" s="1"/>
  <c r="BA354" i="4" s="1"/>
  <c r="BA355" i="4" s="1"/>
  <c r="BA356" i="4" s="1"/>
  <c r="BA357" i="4" s="1"/>
  <c r="BA358" i="4" s="1"/>
  <c r="BA359" i="4" s="1"/>
  <c r="BA360" i="4" s="1"/>
  <c r="BA361" i="4" s="1"/>
  <c r="BA362" i="4" s="1"/>
  <c r="BA363" i="4" s="1"/>
  <c r="BA364" i="4" s="1"/>
  <c r="BA365" i="4" s="1"/>
  <c r="BA366" i="4" s="1"/>
  <c r="BA367" i="4" s="1"/>
  <c r="BA368" i="4" s="1"/>
  <c r="BA369" i="4" s="1"/>
  <c r="BA370" i="4" s="1"/>
  <c r="BA371" i="4" s="1"/>
  <c r="BA372" i="4" s="1"/>
  <c r="BA373" i="4" s="1"/>
  <c r="BA374" i="4" s="1"/>
  <c r="BA375" i="4" s="1"/>
  <c r="BA376" i="4" s="1"/>
  <c r="BA377" i="4" s="1"/>
  <c r="BA378" i="4" s="1"/>
  <c r="BA379" i="4" s="1"/>
  <c r="BA380" i="4" s="1"/>
  <c r="BA381" i="4" s="1"/>
  <c r="BA382" i="4" s="1"/>
  <c r="BA383" i="4" s="1"/>
  <c r="BA384" i="4" s="1"/>
  <c r="BA385" i="4" s="1"/>
  <c r="BA386" i="4" s="1"/>
  <c r="BA387" i="4" s="1"/>
  <c r="BA388" i="4" s="1"/>
  <c r="BA389" i="4" s="1"/>
  <c r="BA390" i="4" s="1"/>
  <c r="BA391" i="4" s="1"/>
  <c r="BA392" i="4" s="1"/>
  <c r="BA393" i="4" s="1"/>
  <c r="BA394" i="4" s="1"/>
  <c r="BA395" i="4" s="1"/>
  <c r="BA396" i="4" s="1"/>
  <c r="BA397" i="4" s="1"/>
  <c r="BA398" i="4" s="1"/>
  <c r="BA399" i="4" s="1"/>
  <c r="BA400" i="4" s="1"/>
  <c r="BA401" i="4" s="1"/>
  <c r="BA402" i="4" s="1"/>
  <c r="BA403" i="4" s="1"/>
  <c r="BA404" i="4" s="1"/>
  <c r="BA405" i="4" s="1"/>
  <c r="BA406" i="4" s="1"/>
  <c r="BA407" i="4" s="1"/>
  <c r="BA408" i="4" s="1"/>
  <c r="BA409" i="4" s="1"/>
  <c r="BA410" i="4" s="1"/>
  <c r="BA411" i="4" s="1"/>
  <c r="BA412" i="4" s="1"/>
  <c r="BA413" i="4" s="1"/>
  <c r="BA414" i="4" s="1"/>
  <c r="BA415" i="4" s="1"/>
  <c r="BA416" i="4" s="1"/>
  <c r="BA417" i="4" s="1"/>
  <c r="BA418" i="4" s="1"/>
  <c r="BA419" i="4" s="1"/>
  <c r="BA420" i="4" s="1"/>
  <c r="BA421" i="4" s="1"/>
  <c r="BA422" i="4" s="1"/>
  <c r="BA423" i="4" s="1"/>
  <c r="BA424" i="4" s="1"/>
  <c r="BA425" i="4" s="1"/>
  <c r="BA426" i="4" s="1"/>
  <c r="BA427" i="4" s="1"/>
  <c r="BA428" i="4" s="1"/>
  <c r="BA429" i="4" s="1"/>
  <c r="BA430" i="4" s="1"/>
  <c r="BA431" i="4" s="1"/>
  <c r="BA432" i="4" s="1"/>
  <c r="BA433" i="4" s="1"/>
  <c r="BA434" i="4" s="1"/>
  <c r="BA435" i="4" s="1"/>
  <c r="BA436" i="4" s="1"/>
  <c r="BA437" i="4" s="1"/>
  <c r="BA438" i="4" s="1"/>
  <c r="BA439" i="4" s="1"/>
  <c r="BA440" i="4" s="1"/>
  <c r="BA441" i="4" s="1"/>
  <c r="BA442" i="4" s="1"/>
  <c r="BA443" i="4" s="1"/>
  <c r="BA444" i="4" s="1"/>
  <c r="BA445" i="4" s="1"/>
  <c r="BA446" i="4" s="1"/>
  <c r="BA447" i="4" s="1"/>
  <c r="Z136" i="29"/>
  <c r="AB135" i="29"/>
  <c r="C135" i="29" s="1"/>
  <c r="AA135" i="29"/>
  <c r="D135" i="29" s="1"/>
  <c r="AG136" i="28"/>
  <c r="AB136" i="28"/>
  <c r="AE138" i="28"/>
  <c r="AF137" i="28"/>
  <c r="BB6" i="4"/>
  <c r="D6" i="4" s="1"/>
  <c r="BC6" i="4"/>
  <c r="BB447" i="4" l="1"/>
  <c r="D447" i="4" s="1"/>
  <c r="BA448" i="4"/>
  <c r="BC447" i="4"/>
  <c r="C447" i="4" s="1"/>
  <c r="D8" i="4"/>
  <c r="AV8" i="4"/>
  <c r="Z137" i="29"/>
  <c r="AA136" i="29"/>
  <c r="D136" i="29" s="1"/>
  <c r="AB136" i="29"/>
  <c r="C136" i="29" s="1"/>
  <c r="AG137" i="28"/>
  <c r="AB137" i="28"/>
  <c r="AF138" i="28"/>
  <c r="AE139" i="28"/>
  <c r="BB7" i="4"/>
  <c r="D7" i="4" s="1"/>
  <c r="BC7" i="4"/>
  <c r="BB448" i="4" l="1"/>
  <c r="D448" i="4" s="1"/>
  <c r="BA449" i="4"/>
  <c r="BC448" i="4"/>
  <c r="C448" i="4" s="1"/>
  <c r="Z138" i="29"/>
  <c r="AB137" i="29"/>
  <c r="C137" i="29" s="1"/>
  <c r="AA137" i="29"/>
  <c r="D137" i="29" s="1"/>
  <c r="AG138" i="28"/>
  <c r="AB138" i="28"/>
  <c r="AF139" i="28"/>
  <c r="AE140" i="28"/>
  <c r="BA450" i="4" l="1"/>
  <c r="BC449" i="4"/>
  <c r="C449" i="4" s="1"/>
  <c r="BB449" i="4"/>
  <c r="D449" i="4" s="1"/>
  <c r="Z139" i="29"/>
  <c r="AB138" i="29"/>
  <c r="C138" i="29" s="1"/>
  <c r="AA138" i="29"/>
  <c r="D138" i="29" s="1"/>
  <c r="AG139" i="28"/>
  <c r="AB139" i="28"/>
  <c r="AE141" i="28"/>
  <c r="AF140" i="28"/>
  <c r="BC9" i="4"/>
  <c r="BB9" i="4"/>
  <c r="D9" i="4" s="1"/>
  <c r="BB450" i="4" l="1"/>
  <c r="D450" i="4" s="1"/>
  <c r="BC450" i="4"/>
  <c r="C450" i="4" s="1"/>
  <c r="BA451" i="4"/>
  <c r="Z140" i="29"/>
  <c r="AA139" i="29"/>
  <c r="D139" i="29" s="1"/>
  <c r="AB139" i="29"/>
  <c r="C139" i="29" s="1"/>
  <c r="AG140" i="28"/>
  <c r="AB140" i="28"/>
  <c r="AE142" i="28"/>
  <c r="AF141" i="28"/>
  <c r="BB10" i="4"/>
  <c r="D10" i="4" s="1"/>
  <c r="BC10" i="4"/>
  <c r="BA452" i="4" l="1"/>
  <c r="BB451" i="4"/>
  <c r="D451" i="4" s="1"/>
  <c r="BC451" i="4"/>
  <c r="C451" i="4" s="1"/>
  <c r="Z141" i="29"/>
  <c r="AA140" i="29"/>
  <c r="D140" i="29" s="1"/>
  <c r="AB140" i="29"/>
  <c r="C140" i="29" s="1"/>
  <c r="AG141" i="28"/>
  <c r="AB141" i="28"/>
  <c r="AE143" i="28"/>
  <c r="AF142" i="28"/>
  <c r="BC11" i="4"/>
  <c r="BB11" i="4"/>
  <c r="D11" i="4" s="1"/>
  <c r="BA453" i="4" l="1"/>
  <c r="BC452" i="4"/>
  <c r="C452" i="4" s="1"/>
  <c r="BB452" i="4"/>
  <c r="D452" i="4" s="1"/>
  <c r="Z142" i="29"/>
  <c r="AB141" i="29"/>
  <c r="C141" i="29" s="1"/>
  <c r="AA141" i="29"/>
  <c r="D141" i="29" s="1"/>
  <c r="AG142" i="28"/>
  <c r="AB142" i="28"/>
  <c r="AF143" i="28"/>
  <c r="AE144" i="28"/>
  <c r="BB12" i="4"/>
  <c r="D12" i="4" s="1"/>
  <c r="BC12" i="4"/>
  <c r="C12" i="4" s="1"/>
  <c r="BC453" i="4" l="1"/>
  <c r="C453" i="4" s="1"/>
  <c r="BA454" i="4"/>
  <c r="BB453" i="4"/>
  <c r="D453" i="4" s="1"/>
  <c r="Z143" i="29"/>
  <c r="AA142" i="29"/>
  <c r="D142" i="29" s="1"/>
  <c r="AB142" i="29"/>
  <c r="C142" i="29" s="1"/>
  <c r="AG143" i="28"/>
  <c r="AB143" i="28"/>
  <c r="AF144" i="28"/>
  <c r="AE145" i="28"/>
  <c r="BC13" i="4"/>
  <c r="C13" i="4" s="1"/>
  <c r="BB13" i="4"/>
  <c r="D13" i="4" s="1"/>
  <c r="BB454" i="4" l="1"/>
  <c r="D454" i="4" s="1"/>
  <c r="BA455" i="4"/>
  <c r="BC454" i="4"/>
  <c r="C454" i="4" s="1"/>
  <c r="Z144" i="29"/>
  <c r="AA143" i="29"/>
  <c r="D143" i="29" s="1"/>
  <c r="AB143" i="29"/>
  <c r="C143" i="29" s="1"/>
  <c r="AG144" i="28"/>
  <c r="AB144" i="28"/>
  <c r="AE146" i="28"/>
  <c r="AF145" i="28"/>
  <c r="BC14" i="4"/>
  <c r="C14" i="4" s="1"/>
  <c r="BB14" i="4"/>
  <c r="D14" i="4" s="1"/>
  <c r="BC455" i="4" l="1"/>
  <c r="C455" i="4" s="1"/>
  <c r="BA456" i="4"/>
  <c r="BB455" i="4"/>
  <c r="D455" i="4" s="1"/>
  <c r="Z145" i="29"/>
  <c r="AB144" i="29"/>
  <c r="C144" i="29" s="1"/>
  <c r="AA144" i="29"/>
  <c r="D144" i="29" s="1"/>
  <c r="AG145" i="28"/>
  <c r="AB145" i="28"/>
  <c r="AE147" i="28"/>
  <c r="AF146" i="28"/>
  <c r="BC15" i="4"/>
  <c r="C15" i="4" s="1"/>
  <c r="BB15" i="4"/>
  <c r="D15" i="4" s="1"/>
  <c r="BA457" i="4" l="1"/>
  <c r="BB456" i="4"/>
  <c r="D456" i="4" s="1"/>
  <c r="BC456" i="4"/>
  <c r="C456" i="4" s="1"/>
  <c r="Z146" i="29"/>
  <c r="AB145" i="29"/>
  <c r="C145" i="29" s="1"/>
  <c r="AA145" i="29"/>
  <c r="D145" i="29" s="1"/>
  <c r="AG146" i="28"/>
  <c r="AB146" i="28"/>
  <c r="AF147" i="28"/>
  <c r="AE148" i="28"/>
  <c r="BC16" i="4"/>
  <c r="C16" i="4" s="1"/>
  <c r="BB16" i="4"/>
  <c r="D16" i="4" s="1"/>
  <c r="BA458" i="4" l="1"/>
  <c r="BB457" i="4"/>
  <c r="D457" i="4" s="1"/>
  <c r="BC457" i="4"/>
  <c r="Z147" i="29"/>
  <c r="AA146" i="29"/>
  <c r="D146" i="29" s="1"/>
  <c r="AB146" i="29"/>
  <c r="C146" i="29" s="1"/>
  <c r="AG147" i="28"/>
  <c r="AB147" i="28"/>
  <c r="AE149" i="28"/>
  <c r="AF148" i="28"/>
  <c r="BB17" i="4"/>
  <c r="D17" i="4" s="1"/>
  <c r="BC17" i="4"/>
  <c r="C17" i="4" s="1"/>
  <c r="BA459" i="4" l="1"/>
  <c r="BC458" i="4"/>
  <c r="C458" i="4" s="1"/>
  <c r="BB458" i="4"/>
  <c r="D458" i="4" s="1"/>
  <c r="Z148" i="29"/>
  <c r="AA147" i="29"/>
  <c r="D147" i="29" s="1"/>
  <c r="AB147" i="29"/>
  <c r="C147" i="29" s="1"/>
  <c r="AG148" i="28"/>
  <c r="AB148" i="28"/>
  <c r="AE150" i="28"/>
  <c r="AF149" i="28"/>
  <c r="BB18" i="4"/>
  <c r="D18" i="4" s="1"/>
  <c r="BC18" i="4"/>
  <c r="C18" i="4" s="1"/>
  <c r="Z149" i="29" l="1"/>
  <c r="AA148" i="29"/>
  <c r="D148" i="29" s="1"/>
  <c r="AB148" i="29"/>
  <c r="C148" i="29" s="1"/>
  <c r="AG149" i="28"/>
  <c r="AB149" i="28"/>
  <c r="AF150" i="28"/>
  <c r="AE151" i="28"/>
  <c r="BB19" i="4"/>
  <c r="D19" i="4" s="1"/>
  <c r="BC19" i="4"/>
  <c r="C19" i="4" s="1"/>
  <c r="Z150" i="29" l="1"/>
  <c r="AB149" i="29"/>
  <c r="C149" i="29" s="1"/>
  <c r="AA149" i="29"/>
  <c r="D149" i="29" s="1"/>
  <c r="AG150" i="28"/>
  <c r="AB150" i="28"/>
  <c r="AF151" i="28"/>
  <c r="AE152" i="28"/>
  <c r="BB20" i="4"/>
  <c r="D20" i="4" s="1"/>
  <c r="BC20" i="4"/>
  <c r="C20" i="4" s="1"/>
  <c r="Z151" i="29" l="1"/>
  <c r="AA150" i="29"/>
  <c r="D150" i="29" s="1"/>
  <c r="AB150" i="29"/>
  <c r="C150" i="29" s="1"/>
  <c r="AG151" i="28"/>
  <c r="AB151" i="28"/>
  <c r="AF152" i="28"/>
  <c r="AE153" i="28"/>
  <c r="BC21" i="4"/>
  <c r="C21" i="4" s="1"/>
  <c r="BB21" i="4"/>
  <c r="D21" i="4" s="1"/>
  <c r="Z152" i="29" l="1"/>
  <c r="AA151" i="29"/>
  <c r="D151" i="29" s="1"/>
  <c r="AB151" i="29"/>
  <c r="C151" i="29" s="1"/>
  <c r="AG152" i="28"/>
  <c r="AB152" i="28"/>
  <c r="AE154" i="28"/>
  <c r="AF153" i="28"/>
  <c r="BC22" i="4"/>
  <c r="C22" i="4" s="1"/>
  <c r="BB22" i="4"/>
  <c r="D22" i="4" s="1"/>
  <c r="Z153" i="29" l="1"/>
  <c r="AB152" i="29"/>
  <c r="C152" i="29" s="1"/>
  <c r="AA152" i="29"/>
  <c r="D152" i="29" s="1"/>
  <c r="AG153" i="28"/>
  <c r="AB153" i="28"/>
  <c r="AF154" i="28"/>
  <c r="AE155" i="28"/>
  <c r="BB23" i="4"/>
  <c r="D23" i="4" s="1"/>
  <c r="BC23" i="4"/>
  <c r="C23" i="4" s="1"/>
  <c r="Z154" i="29" l="1"/>
  <c r="AB153" i="29"/>
  <c r="C153" i="29" s="1"/>
  <c r="AA153" i="29"/>
  <c r="D153" i="29" s="1"/>
  <c r="AG154" i="28"/>
  <c r="AB154" i="28"/>
  <c r="AF155" i="28"/>
  <c r="AE156" i="28"/>
  <c r="BB24" i="4"/>
  <c r="D24" i="4" s="1"/>
  <c r="BC24" i="4"/>
  <c r="C24" i="4" s="1"/>
  <c r="Z155" i="29" l="1"/>
  <c r="AB154" i="29"/>
  <c r="C154" i="29" s="1"/>
  <c r="AA154" i="29"/>
  <c r="D154" i="29" s="1"/>
  <c r="AG155" i="28"/>
  <c r="AB155" i="28"/>
  <c r="AE157" i="28"/>
  <c r="AF156" i="28"/>
  <c r="BC25" i="4"/>
  <c r="C25" i="4" s="1"/>
  <c r="BB25" i="4"/>
  <c r="D25" i="4" s="1"/>
  <c r="Z156" i="29" l="1"/>
  <c r="AA155" i="29"/>
  <c r="D155" i="29" s="1"/>
  <c r="AB155" i="29"/>
  <c r="C155" i="29" s="1"/>
  <c r="AG156" i="28"/>
  <c r="AB156" i="28"/>
  <c r="AE158" i="28"/>
  <c r="AF157" i="28"/>
  <c r="BC26" i="4"/>
  <c r="C26" i="4" s="1"/>
  <c r="BB26" i="4"/>
  <c r="D26" i="4" s="1"/>
  <c r="Z157" i="29" l="1"/>
  <c r="AB156" i="29"/>
  <c r="C156" i="29" s="1"/>
  <c r="AA156" i="29"/>
  <c r="D156" i="29" s="1"/>
  <c r="AG157" i="28"/>
  <c r="AB157" i="28"/>
  <c r="AE159" i="28"/>
  <c r="AF158" i="28"/>
  <c r="BC27" i="4"/>
  <c r="C27" i="4" s="1"/>
  <c r="BB27" i="4"/>
  <c r="D27" i="4" s="1"/>
  <c r="Z158" i="29" l="1"/>
  <c r="AB157" i="29"/>
  <c r="C157" i="29" s="1"/>
  <c r="AA157" i="29"/>
  <c r="D157" i="29" s="1"/>
  <c r="AG158" i="28"/>
  <c r="AB158" i="28"/>
  <c r="AF159" i="28"/>
  <c r="AE160" i="28"/>
  <c r="BB28" i="4"/>
  <c r="D28" i="4" s="1"/>
  <c r="BC28" i="4"/>
  <c r="C28" i="4" s="1"/>
  <c r="Z159" i="29" l="1"/>
  <c r="AB158" i="29"/>
  <c r="C158" i="29" s="1"/>
  <c r="AA158" i="29"/>
  <c r="D158" i="29" s="1"/>
  <c r="AG159" i="28"/>
  <c r="AB159" i="28"/>
  <c r="AF160" i="28"/>
  <c r="AE161" i="28"/>
  <c r="BC29" i="4"/>
  <c r="C29" i="4" s="1"/>
  <c r="BB29" i="4"/>
  <c r="D29" i="4" s="1"/>
  <c r="Z160" i="29" l="1"/>
  <c r="AB159" i="29"/>
  <c r="C159" i="29" s="1"/>
  <c r="AA159" i="29"/>
  <c r="D159" i="29" s="1"/>
  <c r="AG160" i="28"/>
  <c r="AB160" i="28"/>
  <c r="AE162" i="28"/>
  <c r="AF161" i="28"/>
  <c r="BB30" i="4"/>
  <c r="D30" i="4" s="1"/>
  <c r="BC30" i="4"/>
  <c r="C30" i="4" s="1"/>
  <c r="Z161" i="29" l="1"/>
  <c r="AB160" i="29"/>
  <c r="C160" i="29" s="1"/>
  <c r="AA160" i="29"/>
  <c r="D160" i="29" s="1"/>
  <c r="AG161" i="28"/>
  <c r="AB161" i="28"/>
  <c r="AE163" i="28"/>
  <c r="AF162" i="28"/>
  <c r="BB31" i="4"/>
  <c r="D31" i="4" s="1"/>
  <c r="BC31" i="4"/>
  <c r="C31" i="4" s="1"/>
  <c r="Z162" i="29" l="1"/>
  <c r="AB161" i="29"/>
  <c r="C161" i="29" s="1"/>
  <c r="AA161" i="29"/>
  <c r="D161" i="29" s="1"/>
  <c r="AG162" i="28"/>
  <c r="AB162" i="28"/>
  <c r="AF163" i="28"/>
  <c r="AE164" i="28"/>
  <c r="BC32" i="4"/>
  <c r="C32" i="4" s="1"/>
  <c r="BB32" i="4"/>
  <c r="D32" i="4" s="1"/>
  <c r="Z163" i="29" l="1"/>
  <c r="AA162" i="29"/>
  <c r="D162" i="29" s="1"/>
  <c r="AB162" i="29"/>
  <c r="C162" i="29" s="1"/>
  <c r="AG163" i="28"/>
  <c r="AB163" i="28"/>
  <c r="AE165" i="28"/>
  <c r="AF164" i="28"/>
  <c r="BB33" i="4"/>
  <c r="D33" i="4" s="1"/>
  <c r="BC33" i="4"/>
  <c r="C33" i="4" s="1"/>
  <c r="Z164" i="29" l="1"/>
  <c r="AA163" i="29"/>
  <c r="D163" i="29" s="1"/>
  <c r="AB163" i="29"/>
  <c r="C163" i="29" s="1"/>
  <c r="AG164" i="28"/>
  <c r="AB164" i="28"/>
  <c r="AE166" i="28"/>
  <c r="AF165" i="28"/>
  <c r="BB34" i="4"/>
  <c r="D34" i="4" s="1"/>
  <c r="BC34" i="4"/>
  <c r="C34" i="4" s="1"/>
  <c r="Z165" i="29" l="1"/>
  <c r="AA164" i="29"/>
  <c r="D164" i="29" s="1"/>
  <c r="AB164" i="29"/>
  <c r="C164" i="29" s="1"/>
  <c r="AG165" i="28"/>
  <c r="AB165" i="28"/>
  <c r="AF166" i="28"/>
  <c r="AE167" i="28"/>
  <c r="BB35" i="4"/>
  <c r="D35" i="4" s="1"/>
  <c r="BC35" i="4"/>
  <c r="C35" i="4" s="1"/>
  <c r="Z166" i="29" l="1"/>
  <c r="AA165" i="29"/>
  <c r="D165" i="29" s="1"/>
  <c r="AB165" i="29"/>
  <c r="C165" i="29" s="1"/>
  <c r="AG166" i="28"/>
  <c r="AB166" i="28"/>
  <c r="AF167" i="28"/>
  <c r="AE168" i="28"/>
  <c r="BC36" i="4"/>
  <c r="C36" i="4" s="1"/>
  <c r="BB36" i="4"/>
  <c r="D36" i="4" s="1"/>
  <c r="Z167" i="29" l="1"/>
  <c r="AB166" i="29"/>
  <c r="C166" i="29" s="1"/>
  <c r="AA166" i="29"/>
  <c r="D166" i="29" s="1"/>
  <c r="AG167" i="28"/>
  <c r="AB167" i="28"/>
  <c r="AF168" i="28"/>
  <c r="AE169" i="28"/>
  <c r="BC37" i="4"/>
  <c r="C37" i="4" s="1"/>
  <c r="BB37" i="4"/>
  <c r="D37" i="4" s="1"/>
  <c r="Z168" i="29" l="1"/>
  <c r="AA167" i="29"/>
  <c r="D167" i="29" s="1"/>
  <c r="AB167" i="29"/>
  <c r="C167" i="29" s="1"/>
  <c r="AG168" i="28"/>
  <c r="AB168" i="28"/>
  <c r="AE170" i="28"/>
  <c r="AF169" i="28"/>
  <c r="BC38" i="4"/>
  <c r="C38" i="4" s="1"/>
  <c r="BB38" i="4"/>
  <c r="D38" i="4" s="1"/>
  <c r="Z169" i="29" l="1"/>
  <c r="AB168" i="29"/>
  <c r="C168" i="29" s="1"/>
  <c r="AA168" i="29"/>
  <c r="D168" i="29" s="1"/>
  <c r="AG169" i="28"/>
  <c r="AB169" i="28"/>
  <c r="AF170" i="28"/>
  <c r="AE171" i="28"/>
  <c r="BC39" i="4"/>
  <c r="BB39" i="4"/>
  <c r="D39" i="4" s="1"/>
  <c r="Z170" i="29" l="1"/>
  <c r="AB169" i="29"/>
  <c r="C169" i="29" s="1"/>
  <c r="AA169" i="29"/>
  <c r="D169" i="29" s="1"/>
  <c r="AG170" i="28"/>
  <c r="AB170" i="28"/>
  <c r="AF171" i="28"/>
  <c r="AE172" i="28"/>
  <c r="BB40" i="4"/>
  <c r="D40" i="4" s="1"/>
  <c r="BC40" i="4"/>
  <c r="C40" i="4" s="1"/>
  <c r="Z171" i="29" l="1"/>
  <c r="AB170" i="29"/>
  <c r="C170" i="29" s="1"/>
  <c r="AA170" i="29"/>
  <c r="D170" i="29" s="1"/>
  <c r="AG171" i="28"/>
  <c r="AB171" i="28"/>
  <c r="AE173" i="28"/>
  <c r="AF172" i="28"/>
  <c r="BC41" i="4"/>
  <c r="C41" i="4" s="1"/>
  <c r="BB41" i="4"/>
  <c r="D41" i="4" s="1"/>
  <c r="Z172" i="29" l="1"/>
  <c r="AB171" i="29"/>
  <c r="C171" i="29" s="1"/>
  <c r="AA171" i="29"/>
  <c r="D171" i="29" s="1"/>
  <c r="AG172" i="28"/>
  <c r="AB172" i="28"/>
  <c r="AE174" i="28"/>
  <c r="AF173" i="28"/>
  <c r="BB42" i="4"/>
  <c r="D42" i="4" s="1"/>
  <c r="BC42" i="4"/>
  <c r="C42" i="4" s="1"/>
  <c r="Z173" i="29" l="1"/>
  <c r="AB172" i="29"/>
  <c r="C172" i="29" s="1"/>
  <c r="AA172" i="29"/>
  <c r="D172" i="29" s="1"/>
  <c r="AG173" i="28"/>
  <c r="AB173" i="28"/>
  <c r="AE175" i="28"/>
  <c r="AF174" i="28"/>
  <c r="BC43" i="4"/>
  <c r="C43" i="4" s="1"/>
  <c r="BB43" i="4"/>
  <c r="D43" i="4" s="1"/>
  <c r="Z174" i="29" l="1"/>
  <c r="AB173" i="29"/>
  <c r="C173" i="29" s="1"/>
  <c r="AA173" i="29"/>
  <c r="D173" i="29" s="1"/>
  <c r="AG174" i="28"/>
  <c r="AB174" i="28"/>
  <c r="AF175" i="28"/>
  <c r="AE176" i="28"/>
  <c r="BC44" i="4"/>
  <c r="BB44" i="4"/>
  <c r="D44" i="4" s="1"/>
  <c r="Z175" i="29" l="1"/>
  <c r="AB174" i="29"/>
  <c r="C174" i="29" s="1"/>
  <c r="AA174" i="29"/>
  <c r="D174" i="29" s="1"/>
  <c r="AG175" i="28"/>
  <c r="AB175" i="28"/>
  <c r="AE177" i="28"/>
  <c r="AF176" i="28"/>
  <c r="BC45" i="4"/>
  <c r="BB45" i="4"/>
  <c r="D45" i="4" s="1"/>
  <c r="Z176" i="29" l="1"/>
  <c r="AA175" i="29"/>
  <c r="D175" i="29" s="1"/>
  <c r="AB175" i="29"/>
  <c r="C175" i="29" s="1"/>
  <c r="AG176" i="28"/>
  <c r="AB176" i="28"/>
  <c r="AE178" i="28"/>
  <c r="AF177" i="28"/>
  <c r="BB46" i="4"/>
  <c r="D46" i="4" s="1"/>
  <c r="BC46" i="4"/>
  <c r="Z177" i="29" l="1"/>
  <c r="AB176" i="29"/>
  <c r="C176" i="29" s="1"/>
  <c r="AA176" i="29"/>
  <c r="D176" i="29" s="1"/>
  <c r="AG177" i="28"/>
  <c r="AB177" i="28"/>
  <c r="AE179" i="28"/>
  <c r="AF178" i="28"/>
  <c r="BB47" i="4"/>
  <c r="D47" i="4" s="1"/>
  <c r="BC47" i="4"/>
  <c r="Z178" i="29" l="1"/>
  <c r="AB177" i="29"/>
  <c r="C177" i="29" s="1"/>
  <c r="AA177" i="29"/>
  <c r="D177" i="29" s="1"/>
  <c r="AG178" i="28"/>
  <c r="AB178" i="28"/>
  <c r="AF179" i="28"/>
  <c r="AE180" i="28"/>
  <c r="BC48" i="4"/>
  <c r="BB48" i="4"/>
  <c r="D48" i="4" s="1"/>
  <c r="Z179" i="29" l="1"/>
  <c r="AA178" i="29"/>
  <c r="D178" i="29" s="1"/>
  <c r="AB178" i="29"/>
  <c r="C178" i="29" s="1"/>
  <c r="AG179" i="28"/>
  <c r="AB179" i="28"/>
  <c r="AE181" i="28"/>
  <c r="AF180" i="28"/>
  <c r="BC49" i="4"/>
  <c r="BB49" i="4"/>
  <c r="D49" i="4" s="1"/>
  <c r="Z180" i="29" l="1"/>
  <c r="AB179" i="29"/>
  <c r="C179" i="29" s="1"/>
  <c r="AA179" i="29"/>
  <c r="D179" i="29" s="1"/>
  <c r="AG180" i="28"/>
  <c r="AB180" i="28"/>
  <c r="AE182" i="28"/>
  <c r="AF181" i="28"/>
  <c r="BC50" i="4"/>
  <c r="C50" i="4" s="1"/>
  <c r="BB50" i="4"/>
  <c r="D50" i="4" s="1"/>
  <c r="Z181" i="29" l="1"/>
  <c r="AB180" i="29"/>
  <c r="C180" i="29" s="1"/>
  <c r="AA180" i="29"/>
  <c r="D180" i="29" s="1"/>
  <c r="AG181" i="28"/>
  <c r="AB181" i="28"/>
  <c r="AF182" i="28"/>
  <c r="AE183" i="28"/>
  <c r="BB51" i="4"/>
  <c r="D51" i="4" s="1"/>
  <c r="BC51" i="4"/>
  <c r="C51" i="4" s="1"/>
  <c r="Z182" i="29" l="1"/>
  <c r="AB181" i="29"/>
  <c r="C181" i="29" s="1"/>
  <c r="AA181" i="29"/>
  <c r="D181" i="29" s="1"/>
  <c r="AG182" i="28"/>
  <c r="AB182" i="28"/>
  <c r="AF183" i="28"/>
  <c r="AE184" i="28"/>
  <c r="BB52" i="4"/>
  <c r="D52" i="4" s="1"/>
  <c r="BC52" i="4"/>
  <c r="C52" i="4" s="1"/>
  <c r="Z183" i="29" l="1"/>
  <c r="AB182" i="29"/>
  <c r="C182" i="29" s="1"/>
  <c r="AA182" i="29"/>
  <c r="D182" i="29" s="1"/>
  <c r="AG183" i="28"/>
  <c r="AB183" i="28"/>
  <c r="AF184" i="28"/>
  <c r="AE185" i="28"/>
  <c r="BC53" i="4"/>
  <c r="C53" i="4" s="1"/>
  <c r="BB53" i="4"/>
  <c r="D53" i="4" s="1"/>
  <c r="Z184" i="29" l="1"/>
  <c r="AB183" i="29"/>
  <c r="C183" i="29" s="1"/>
  <c r="AA183" i="29"/>
  <c r="D183" i="29" s="1"/>
  <c r="AG184" i="28"/>
  <c r="AB184" i="28"/>
  <c r="AE186" i="28"/>
  <c r="AF185" i="28"/>
  <c r="BB54" i="4"/>
  <c r="D54" i="4" s="1"/>
  <c r="BC54" i="4"/>
  <c r="C54" i="4" s="1"/>
  <c r="Z185" i="29" l="1"/>
  <c r="AB184" i="29"/>
  <c r="C184" i="29" s="1"/>
  <c r="AA184" i="29"/>
  <c r="D184" i="29" s="1"/>
  <c r="AG185" i="28"/>
  <c r="AB185" i="28"/>
  <c r="AF186" i="28"/>
  <c r="AE187" i="28"/>
  <c r="BC55" i="4"/>
  <c r="C55" i="4" s="1"/>
  <c r="BB55" i="4"/>
  <c r="D55" i="4" s="1"/>
  <c r="Z186" i="29" l="1"/>
  <c r="AB185" i="29"/>
  <c r="C185" i="29" s="1"/>
  <c r="AA185" i="29"/>
  <c r="D185" i="29" s="1"/>
  <c r="AG186" i="28"/>
  <c r="AB186" i="28"/>
  <c r="AF187" i="28"/>
  <c r="AE188" i="28"/>
  <c r="BC56" i="4"/>
  <c r="C56" i="4" s="1"/>
  <c r="BB56" i="4"/>
  <c r="D56" i="4" s="1"/>
  <c r="Z187" i="29" l="1"/>
  <c r="AB186" i="29"/>
  <c r="C186" i="29" s="1"/>
  <c r="AA186" i="29"/>
  <c r="D186" i="29" s="1"/>
  <c r="AG187" i="28"/>
  <c r="AB187" i="28"/>
  <c r="AE189" i="28"/>
  <c r="AF188" i="28"/>
  <c r="BB57" i="4"/>
  <c r="D57" i="4" s="1"/>
  <c r="BC57" i="4"/>
  <c r="C57" i="4" s="1"/>
  <c r="Z188" i="29" l="1"/>
  <c r="AB187" i="29"/>
  <c r="C187" i="29" s="1"/>
  <c r="AA187" i="29"/>
  <c r="D187" i="29" s="1"/>
  <c r="AG188" i="28"/>
  <c r="AB188" i="28"/>
  <c r="AE190" i="28"/>
  <c r="AF189" i="28"/>
  <c r="BB58" i="4"/>
  <c r="D58" i="4" s="1"/>
  <c r="BC58" i="4"/>
  <c r="C58" i="4" s="1"/>
  <c r="Z189" i="29" l="1"/>
  <c r="AA188" i="29"/>
  <c r="D188" i="29" s="1"/>
  <c r="AB188" i="29"/>
  <c r="C188" i="29" s="1"/>
  <c r="AG189" i="28"/>
  <c r="AB189" i="28"/>
  <c r="AE191" i="28"/>
  <c r="AF190" i="28"/>
  <c r="BB59" i="4"/>
  <c r="D59" i="4" s="1"/>
  <c r="BC59" i="4"/>
  <c r="C59" i="4" s="1"/>
  <c r="Z190" i="29" l="1"/>
  <c r="AA189" i="29"/>
  <c r="D189" i="29" s="1"/>
  <c r="AB189" i="29"/>
  <c r="C189" i="29" s="1"/>
  <c r="AG190" i="28"/>
  <c r="AB190" i="28"/>
  <c r="AF191" i="28"/>
  <c r="AE192" i="28"/>
  <c r="BC60" i="4"/>
  <c r="C60" i="4" s="1"/>
  <c r="BB60" i="4"/>
  <c r="D60" i="4" s="1"/>
  <c r="Z191" i="29" l="1"/>
  <c r="AA190" i="29"/>
  <c r="D190" i="29" s="1"/>
  <c r="AB190" i="29"/>
  <c r="C190" i="29" s="1"/>
  <c r="AG191" i="28"/>
  <c r="AB191" i="28"/>
  <c r="AE193" i="28"/>
  <c r="AF192" i="28"/>
  <c r="BC61" i="4"/>
  <c r="C61" i="4" s="1"/>
  <c r="BB61" i="4"/>
  <c r="D61" i="4" s="1"/>
  <c r="Z192" i="29" l="1"/>
  <c r="AB191" i="29"/>
  <c r="C191" i="29" s="1"/>
  <c r="AA191" i="29"/>
  <c r="D191" i="29" s="1"/>
  <c r="AG192" i="28"/>
  <c r="AB192" i="28"/>
  <c r="AE194" i="28"/>
  <c r="AF193" i="28"/>
  <c r="BB62" i="4"/>
  <c r="D62" i="4" s="1"/>
  <c r="BC62" i="4"/>
  <c r="C62" i="4" s="1"/>
  <c r="Z193" i="29" l="1"/>
  <c r="AA192" i="29"/>
  <c r="D192" i="29" s="1"/>
  <c r="AB192" i="29"/>
  <c r="C192" i="29" s="1"/>
  <c r="AG193" i="28"/>
  <c r="AB193" i="28"/>
  <c r="AE195" i="28"/>
  <c r="AF194" i="28"/>
  <c r="BB63" i="4"/>
  <c r="D63" i="4" s="1"/>
  <c r="BC63" i="4"/>
  <c r="C63" i="4" s="1"/>
  <c r="Z194" i="29" l="1"/>
  <c r="AA193" i="29"/>
  <c r="D193" i="29" s="1"/>
  <c r="AB193" i="29"/>
  <c r="C193" i="29" s="1"/>
  <c r="AG194" i="28"/>
  <c r="AB194" i="28"/>
  <c r="AF195" i="28"/>
  <c r="AE196" i="28"/>
  <c r="BC64" i="4"/>
  <c r="C64" i="4" s="1"/>
  <c r="BB64" i="4"/>
  <c r="D64" i="4" s="1"/>
  <c r="Z195" i="29" l="1"/>
  <c r="AB194" i="29"/>
  <c r="C194" i="29" s="1"/>
  <c r="AA194" i="29"/>
  <c r="D194" i="29" s="1"/>
  <c r="AG195" i="28"/>
  <c r="AB195" i="28"/>
  <c r="AE197" i="28"/>
  <c r="AF196" i="28"/>
  <c r="BC65" i="4"/>
  <c r="C65" i="4" s="1"/>
  <c r="BB65" i="4"/>
  <c r="D65" i="4" s="1"/>
  <c r="Z196" i="29" l="1"/>
  <c r="AB195" i="29"/>
  <c r="C195" i="29" s="1"/>
  <c r="AA195" i="29"/>
  <c r="D195" i="29" s="1"/>
  <c r="AG196" i="28"/>
  <c r="AB196" i="28"/>
  <c r="AE198" i="28"/>
  <c r="AF197" i="28"/>
  <c r="BC66" i="4"/>
  <c r="C66" i="4" s="1"/>
  <c r="BB66" i="4"/>
  <c r="D66" i="4" s="1"/>
  <c r="Z197" i="29" l="1"/>
  <c r="AB196" i="29"/>
  <c r="C196" i="29" s="1"/>
  <c r="AA196" i="29"/>
  <c r="D196" i="29" s="1"/>
  <c r="AG197" i="28"/>
  <c r="AB197" i="28"/>
  <c r="AF198" i="28"/>
  <c r="AE199" i="28"/>
  <c r="BB67" i="4"/>
  <c r="D67" i="4" s="1"/>
  <c r="BC67" i="4"/>
  <c r="C67" i="4" s="1"/>
  <c r="Z198" i="29" l="1"/>
  <c r="AB197" i="29"/>
  <c r="C197" i="29" s="1"/>
  <c r="AA197" i="29"/>
  <c r="D197" i="29" s="1"/>
  <c r="AG198" i="28"/>
  <c r="AB198" i="28"/>
  <c r="AF199" i="28"/>
  <c r="AE200" i="28"/>
  <c r="BC68" i="4"/>
  <c r="C68" i="4" s="1"/>
  <c r="BB68" i="4"/>
  <c r="D68" i="4" s="1"/>
  <c r="Z199" i="29" l="1"/>
  <c r="AA198" i="29"/>
  <c r="D198" i="29" s="1"/>
  <c r="AB198" i="29"/>
  <c r="C198" i="29" s="1"/>
  <c r="AG199" i="28"/>
  <c r="AB199" i="28"/>
  <c r="AF200" i="28"/>
  <c r="AE201" i="28"/>
  <c r="BC69" i="4"/>
  <c r="C69" i="4" s="1"/>
  <c r="BB69" i="4"/>
  <c r="D69" i="4" s="1"/>
  <c r="Z200" i="29" l="1"/>
  <c r="AA199" i="29"/>
  <c r="D199" i="29" s="1"/>
  <c r="AB199" i="29"/>
  <c r="C199" i="29" s="1"/>
  <c r="AG200" i="28"/>
  <c r="AB200" i="28"/>
  <c r="AE202" i="28"/>
  <c r="AF201" i="28"/>
  <c r="BB70" i="4"/>
  <c r="D70" i="4" s="1"/>
  <c r="BC70" i="4"/>
  <c r="C70" i="4" s="1"/>
  <c r="Z201" i="29" l="1"/>
  <c r="AA200" i="29"/>
  <c r="D200" i="29" s="1"/>
  <c r="AB200" i="29"/>
  <c r="C200" i="29" s="1"/>
  <c r="AG201" i="28"/>
  <c r="AB201" i="28"/>
  <c r="AF202" i="28"/>
  <c r="AE203" i="28"/>
  <c r="BB71" i="4"/>
  <c r="D71" i="4" s="1"/>
  <c r="BC71" i="4"/>
  <c r="C71" i="4" s="1"/>
  <c r="Z202" i="29" l="1"/>
  <c r="AA201" i="29"/>
  <c r="D201" i="29" s="1"/>
  <c r="AB201" i="29"/>
  <c r="C201" i="29" s="1"/>
  <c r="AG202" i="28"/>
  <c r="AB202" i="28"/>
  <c r="AF203" i="28"/>
  <c r="AE204" i="28"/>
  <c r="BB72" i="4"/>
  <c r="D72" i="4" s="1"/>
  <c r="BC72" i="4"/>
  <c r="C72" i="4" s="1"/>
  <c r="Z203" i="29" l="1"/>
  <c r="AB202" i="29"/>
  <c r="C202" i="29" s="1"/>
  <c r="AA202" i="29"/>
  <c r="D202" i="29" s="1"/>
  <c r="AG203" i="28"/>
  <c r="AB203" i="28"/>
  <c r="AE205" i="28"/>
  <c r="AF204" i="28"/>
  <c r="BC73" i="4"/>
  <c r="C73" i="4" s="1"/>
  <c r="BB73" i="4"/>
  <c r="D73" i="4" s="1"/>
  <c r="Z204" i="29" l="1"/>
  <c r="AB203" i="29"/>
  <c r="C203" i="29" s="1"/>
  <c r="AA203" i="29"/>
  <c r="D203" i="29" s="1"/>
  <c r="AG204" i="28"/>
  <c r="AB204" i="28"/>
  <c r="AE206" i="28"/>
  <c r="AF205" i="28"/>
  <c r="BC74" i="4"/>
  <c r="C74" i="4" s="1"/>
  <c r="BB74" i="4"/>
  <c r="D74" i="4" s="1"/>
  <c r="Z205" i="29" l="1"/>
  <c r="AA204" i="29"/>
  <c r="D204" i="29" s="1"/>
  <c r="AB204" i="29"/>
  <c r="C204" i="29" s="1"/>
  <c r="AG205" i="28"/>
  <c r="AB205" i="28"/>
  <c r="AE207" i="28"/>
  <c r="AF206" i="28"/>
  <c r="BC75" i="4"/>
  <c r="C75" i="4" s="1"/>
  <c r="BB75" i="4"/>
  <c r="D75" i="4" s="1"/>
  <c r="Z206" i="29" l="1"/>
  <c r="AB205" i="29"/>
  <c r="C205" i="29" s="1"/>
  <c r="AA205" i="29"/>
  <c r="D205" i="29" s="1"/>
  <c r="AG206" i="28"/>
  <c r="AB206" i="28"/>
  <c r="AF207" i="28"/>
  <c r="AE208" i="28"/>
  <c r="BC76" i="4"/>
  <c r="C76" i="4" s="1"/>
  <c r="BB76" i="4"/>
  <c r="D76" i="4" s="1"/>
  <c r="Z207" i="29" l="1"/>
  <c r="AA206" i="29"/>
  <c r="D206" i="29" s="1"/>
  <c r="AB206" i="29"/>
  <c r="C206" i="29" s="1"/>
  <c r="AG207" i="28"/>
  <c r="AB207" i="28"/>
  <c r="AE209" i="28"/>
  <c r="AF208" i="28"/>
  <c r="BC77" i="4"/>
  <c r="BB77" i="4"/>
  <c r="D77" i="4" s="1"/>
  <c r="Z208" i="29" l="1"/>
  <c r="AA207" i="29"/>
  <c r="D207" i="29" s="1"/>
  <c r="AB207" i="29"/>
  <c r="C207" i="29" s="1"/>
  <c r="AG208" i="28"/>
  <c r="AB208" i="28"/>
  <c r="AE210" i="28"/>
  <c r="AF209" i="28"/>
  <c r="BB78" i="4"/>
  <c r="D78" i="4" s="1"/>
  <c r="BC78" i="4"/>
  <c r="C78" i="4" s="1"/>
  <c r="Z209" i="29" l="1"/>
  <c r="AB208" i="29"/>
  <c r="C208" i="29" s="1"/>
  <c r="AA208" i="29"/>
  <c r="D208" i="29" s="1"/>
  <c r="AG209" i="28"/>
  <c r="AB209" i="28"/>
  <c r="AE211" i="28"/>
  <c r="AF210" i="28"/>
  <c r="BC79" i="4"/>
  <c r="C79" i="4" s="1"/>
  <c r="BB79" i="4"/>
  <c r="D79" i="4" s="1"/>
  <c r="Z210" i="29" l="1"/>
  <c r="AA209" i="29"/>
  <c r="D209" i="29" s="1"/>
  <c r="AB209" i="29"/>
  <c r="C209" i="29" s="1"/>
  <c r="AG210" i="28"/>
  <c r="AB210" i="28"/>
  <c r="AF211" i="28"/>
  <c r="AE212" i="28"/>
  <c r="BB80" i="4"/>
  <c r="D80" i="4" s="1"/>
  <c r="BC80" i="4"/>
  <c r="C80" i="4" s="1"/>
  <c r="Z211" i="29" l="1"/>
  <c r="AA210" i="29"/>
  <c r="D210" i="29" s="1"/>
  <c r="AB210" i="29"/>
  <c r="C210" i="29" s="1"/>
  <c r="AG211" i="28"/>
  <c r="AB211" i="28"/>
  <c r="AE213" i="28"/>
  <c r="AF212" i="28"/>
  <c r="BC81" i="4"/>
  <c r="C81" i="4" s="1"/>
  <c r="BB81" i="4"/>
  <c r="D81" i="4" s="1"/>
  <c r="Z212" i="29" l="1"/>
  <c r="AA211" i="29"/>
  <c r="D211" i="29" s="1"/>
  <c r="AB211" i="29"/>
  <c r="C211" i="29" s="1"/>
  <c r="AG212" i="28"/>
  <c r="AB212" i="28"/>
  <c r="AE214" i="28"/>
  <c r="AF213" i="28"/>
  <c r="BC82" i="4"/>
  <c r="BB82" i="4"/>
  <c r="D82" i="4" s="1"/>
  <c r="Z213" i="29" l="1"/>
  <c r="AB212" i="29"/>
  <c r="C212" i="29" s="1"/>
  <c r="AA212" i="29"/>
  <c r="D212" i="29" s="1"/>
  <c r="AG213" i="28"/>
  <c r="AB213" i="28"/>
  <c r="AF214" i="28"/>
  <c r="AE215" i="28"/>
  <c r="BC83" i="4"/>
  <c r="BB83" i="4"/>
  <c r="D83" i="4" s="1"/>
  <c r="Z214" i="29" l="1"/>
  <c r="AA213" i="29"/>
  <c r="D213" i="29" s="1"/>
  <c r="AB213" i="29"/>
  <c r="C213" i="29" s="1"/>
  <c r="AG214" i="28"/>
  <c r="AB214" i="28"/>
  <c r="AF215" i="28"/>
  <c r="AE216" i="28"/>
  <c r="BC84" i="4"/>
  <c r="BB84" i="4"/>
  <c r="D84" i="4" s="1"/>
  <c r="Z215" i="29" l="1"/>
  <c r="AA214" i="29"/>
  <c r="D214" i="29" s="1"/>
  <c r="AB214" i="29"/>
  <c r="C214" i="29" s="1"/>
  <c r="AG215" i="28"/>
  <c r="AB215" i="28"/>
  <c r="AF216" i="28"/>
  <c r="AE217" i="28"/>
  <c r="BC85" i="4"/>
  <c r="BB85" i="4"/>
  <c r="D85" i="4" s="1"/>
  <c r="Z216" i="29" l="1"/>
  <c r="AB215" i="29"/>
  <c r="C215" i="29" s="1"/>
  <c r="AA215" i="29"/>
  <c r="D215" i="29" s="1"/>
  <c r="AG216" i="28"/>
  <c r="AB216" i="28"/>
  <c r="AE218" i="28"/>
  <c r="AF217" i="28"/>
  <c r="BB86" i="4"/>
  <c r="D86" i="4" s="1"/>
  <c r="BC86" i="4"/>
  <c r="Z217" i="29" l="1"/>
  <c r="AA216" i="29"/>
  <c r="D216" i="29" s="1"/>
  <c r="AB216" i="29"/>
  <c r="C216" i="29" s="1"/>
  <c r="AG217" i="28"/>
  <c r="AB217" i="28"/>
  <c r="AF218" i="28"/>
  <c r="AE219" i="28"/>
  <c r="BB87" i="4"/>
  <c r="D87" i="4" s="1"/>
  <c r="BC87" i="4"/>
  <c r="Z218" i="29" l="1"/>
  <c r="AB217" i="29"/>
  <c r="C217" i="29" s="1"/>
  <c r="AA217" i="29"/>
  <c r="D217" i="29" s="1"/>
  <c r="AG218" i="28"/>
  <c r="AB218" i="28"/>
  <c r="AF219" i="28"/>
  <c r="AE220" i="28"/>
  <c r="BB88" i="4"/>
  <c r="D88" i="4" s="1"/>
  <c r="BC88" i="4"/>
  <c r="C88" i="4" s="1"/>
  <c r="Z219" i="29" l="1"/>
  <c r="AB218" i="29"/>
  <c r="C218" i="29" s="1"/>
  <c r="AA218" i="29"/>
  <c r="D218" i="29" s="1"/>
  <c r="AG219" i="28"/>
  <c r="AB219" i="28"/>
  <c r="AE221" i="28"/>
  <c r="AF220" i="28"/>
  <c r="BC89" i="4"/>
  <c r="C89" i="4" s="1"/>
  <c r="BB89" i="4"/>
  <c r="D89" i="4" s="1"/>
  <c r="Z220" i="29" l="1"/>
  <c r="AB219" i="29"/>
  <c r="C219" i="29" s="1"/>
  <c r="AA219" i="29"/>
  <c r="D219" i="29" s="1"/>
  <c r="AG220" i="28"/>
  <c r="AB220" i="28"/>
  <c r="AE222" i="28"/>
  <c r="AF221" i="28"/>
  <c r="BC90" i="4"/>
  <c r="C90" i="4" s="1"/>
  <c r="BB90" i="4"/>
  <c r="D90" i="4" s="1"/>
  <c r="Z221" i="29" l="1"/>
  <c r="AB220" i="29"/>
  <c r="C220" i="29" s="1"/>
  <c r="AA220" i="29"/>
  <c r="D220" i="29" s="1"/>
  <c r="AG221" i="28"/>
  <c r="AB221" i="28"/>
  <c r="AE223" i="28"/>
  <c r="AF222" i="28"/>
  <c r="BC91" i="4"/>
  <c r="C91" i="4" s="1"/>
  <c r="BB91" i="4"/>
  <c r="D91" i="4" s="1"/>
  <c r="Z222" i="29" l="1"/>
  <c r="AB221" i="29"/>
  <c r="C221" i="29" s="1"/>
  <c r="AA221" i="29"/>
  <c r="D221" i="29" s="1"/>
  <c r="AG222" i="28"/>
  <c r="AB222" i="28"/>
  <c r="AF223" i="28"/>
  <c r="AE224" i="28"/>
  <c r="BC92" i="4"/>
  <c r="C92" i="4" s="1"/>
  <c r="BB92" i="4"/>
  <c r="D92" i="4" s="1"/>
  <c r="Z223" i="29" l="1"/>
  <c r="AB222" i="29"/>
  <c r="C222" i="29" s="1"/>
  <c r="AA222" i="29"/>
  <c r="D222" i="29" s="1"/>
  <c r="AG223" i="28"/>
  <c r="AB223" i="28"/>
  <c r="AE225" i="28"/>
  <c r="AF224" i="28"/>
  <c r="BB93" i="4"/>
  <c r="D93" i="4" s="1"/>
  <c r="BC93" i="4"/>
  <c r="C93" i="4" s="1"/>
  <c r="Z224" i="29" l="1"/>
  <c r="AA223" i="29"/>
  <c r="D223" i="29" s="1"/>
  <c r="AB223" i="29"/>
  <c r="C223" i="29" s="1"/>
  <c r="AG224" i="28"/>
  <c r="AB224" i="28"/>
  <c r="AE226" i="28"/>
  <c r="AF225" i="28"/>
  <c r="BB94" i="4"/>
  <c r="D94" i="4" s="1"/>
  <c r="BC94" i="4"/>
  <c r="C94" i="4" s="1"/>
  <c r="Z225" i="29" l="1"/>
  <c r="AA224" i="29"/>
  <c r="D224" i="29" s="1"/>
  <c r="AB224" i="29"/>
  <c r="C224" i="29" s="1"/>
  <c r="AG225" i="28"/>
  <c r="AB225" i="28"/>
  <c r="AE227" i="28"/>
  <c r="AF226" i="28"/>
  <c r="BB95" i="4"/>
  <c r="D95" i="4" s="1"/>
  <c r="BC95" i="4"/>
  <c r="C95" i="4" s="1"/>
  <c r="Z226" i="29" l="1"/>
  <c r="AA225" i="29"/>
  <c r="D225" i="29" s="1"/>
  <c r="AB225" i="29"/>
  <c r="C225" i="29" s="1"/>
  <c r="AG226" i="28"/>
  <c r="AB226" i="28"/>
  <c r="AF227" i="28"/>
  <c r="AE228" i="28"/>
  <c r="BC96" i="4"/>
  <c r="C96" i="4" s="1"/>
  <c r="BB96" i="4"/>
  <c r="D96" i="4" s="1"/>
  <c r="Z227" i="29" l="1"/>
  <c r="AA226" i="29"/>
  <c r="D226" i="29" s="1"/>
  <c r="AB226" i="29"/>
  <c r="C226" i="29" s="1"/>
  <c r="AG227" i="28"/>
  <c r="AB227" i="28"/>
  <c r="AE229" i="28"/>
  <c r="AF228" i="28"/>
  <c r="BC97" i="4"/>
  <c r="C97" i="4" s="1"/>
  <c r="BB97" i="4"/>
  <c r="D97" i="4" s="1"/>
  <c r="Z228" i="29" l="1"/>
  <c r="AA227" i="29"/>
  <c r="D227" i="29" s="1"/>
  <c r="AB227" i="29"/>
  <c r="C227" i="29" s="1"/>
  <c r="AG228" i="28"/>
  <c r="AB228" i="28"/>
  <c r="AE230" i="28"/>
  <c r="AF229" i="28"/>
  <c r="BB98" i="4"/>
  <c r="D98" i="4" s="1"/>
  <c r="BC98" i="4"/>
  <c r="C98" i="4" s="1"/>
  <c r="Z229" i="29" l="1"/>
  <c r="AA228" i="29"/>
  <c r="D228" i="29" s="1"/>
  <c r="AB228" i="29"/>
  <c r="C228" i="29" s="1"/>
  <c r="AG229" i="28"/>
  <c r="AB229" i="28"/>
  <c r="AF230" i="28"/>
  <c r="AE231" i="28"/>
  <c r="BC99" i="4"/>
  <c r="C99" i="4" s="1"/>
  <c r="BB99" i="4"/>
  <c r="D99" i="4" s="1"/>
  <c r="Z230" i="29" l="1"/>
  <c r="AB229" i="29"/>
  <c r="C229" i="29" s="1"/>
  <c r="AA229" i="29"/>
  <c r="D229" i="29" s="1"/>
  <c r="AG230" i="28"/>
  <c r="AB230" i="28"/>
  <c r="AF231" i="28"/>
  <c r="AE232" i="28"/>
  <c r="BC100" i="4"/>
  <c r="C100" i="4" s="1"/>
  <c r="BB100" i="4"/>
  <c r="D100" i="4" s="1"/>
  <c r="Z231" i="29" l="1"/>
  <c r="AA230" i="29"/>
  <c r="D230" i="29" s="1"/>
  <c r="AB230" i="29"/>
  <c r="C230" i="29" s="1"/>
  <c r="AG231" i="28"/>
  <c r="AB231" i="28"/>
  <c r="AF232" i="28"/>
  <c r="AE233" i="28"/>
  <c r="BC101" i="4"/>
  <c r="C101" i="4" s="1"/>
  <c r="BB101" i="4"/>
  <c r="D101" i="4" s="1"/>
  <c r="Z232" i="29" l="1"/>
  <c r="AB231" i="29"/>
  <c r="C231" i="29" s="1"/>
  <c r="AA231" i="29"/>
  <c r="D231" i="29" s="1"/>
  <c r="AG232" i="28"/>
  <c r="AB232" i="28"/>
  <c r="AE234" i="28"/>
  <c r="AF233" i="28"/>
  <c r="BB102" i="4"/>
  <c r="D102" i="4" s="1"/>
  <c r="BC102" i="4"/>
  <c r="C102" i="4" s="1"/>
  <c r="Z233" i="29" l="1"/>
  <c r="AA232" i="29"/>
  <c r="D232" i="29" s="1"/>
  <c r="AB232" i="29"/>
  <c r="C232" i="29" s="1"/>
  <c r="AG233" i="28"/>
  <c r="AB233" i="28"/>
  <c r="AF234" i="28"/>
  <c r="AE235" i="28"/>
  <c r="BB103" i="4"/>
  <c r="D103" i="4" s="1"/>
  <c r="BC103" i="4"/>
  <c r="C103" i="4" s="1"/>
  <c r="Z234" i="29" l="1"/>
  <c r="AA233" i="29"/>
  <c r="D233" i="29" s="1"/>
  <c r="AB233" i="29"/>
  <c r="C233" i="29" s="1"/>
  <c r="AG234" i="28"/>
  <c r="AB234" i="28"/>
  <c r="AF235" i="28"/>
  <c r="AE236" i="28"/>
  <c r="BC104" i="4"/>
  <c r="C104" i="4" s="1"/>
  <c r="BB104" i="4"/>
  <c r="D104" i="4" s="1"/>
  <c r="Z235" i="29" l="1"/>
  <c r="AB234" i="29"/>
  <c r="C234" i="29" s="1"/>
  <c r="AA234" i="29"/>
  <c r="D234" i="29" s="1"/>
  <c r="AG235" i="28"/>
  <c r="AB235" i="28"/>
  <c r="AE237" i="28"/>
  <c r="AF236" i="28"/>
  <c r="BC105" i="4"/>
  <c r="C105" i="4" s="1"/>
  <c r="BB105" i="4"/>
  <c r="D105" i="4" s="1"/>
  <c r="Z236" i="29" l="1"/>
  <c r="AA235" i="29"/>
  <c r="D235" i="29" s="1"/>
  <c r="AB235" i="29"/>
  <c r="C235" i="29" s="1"/>
  <c r="AG236" i="28"/>
  <c r="AB236" i="28"/>
  <c r="AE238" i="28"/>
  <c r="AF237" i="28"/>
  <c r="BC106" i="4"/>
  <c r="C106" i="4" s="1"/>
  <c r="BB106" i="4"/>
  <c r="D106" i="4" s="1"/>
  <c r="Z237" i="29" l="1"/>
  <c r="AA236" i="29"/>
  <c r="D236" i="29" s="1"/>
  <c r="AB236" i="29"/>
  <c r="C236" i="29" s="1"/>
  <c r="AG237" i="28"/>
  <c r="AB237" i="28"/>
  <c r="AE239" i="28"/>
  <c r="AF238" i="28"/>
  <c r="BC107" i="4"/>
  <c r="C107" i="4" s="1"/>
  <c r="BB107" i="4"/>
  <c r="D107" i="4" s="1"/>
  <c r="Z238" i="29" l="1"/>
  <c r="AB237" i="29"/>
  <c r="C237" i="29" s="1"/>
  <c r="AA237" i="29"/>
  <c r="D237" i="29" s="1"/>
  <c r="AG238" i="28"/>
  <c r="AB238" i="28"/>
  <c r="AF239" i="28"/>
  <c r="AE240" i="28"/>
  <c r="BC108" i="4"/>
  <c r="C108" i="4" s="1"/>
  <c r="BB108" i="4"/>
  <c r="D108" i="4" s="1"/>
  <c r="Z239" i="29" l="1"/>
  <c r="AA238" i="29"/>
  <c r="D238" i="29" s="1"/>
  <c r="AB238" i="29"/>
  <c r="C238" i="29" s="1"/>
  <c r="AG239" i="28"/>
  <c r="AB239" i="28"/>
  <c r="AF240" i="28"/>
  <c r="AE241" i="28"/>
  <c r="BC109" i="4"/>
  <c r="C109" i="4" s="1"/>
  <c r="BB109" i="4"/>
  <c r="D109" i="4" s="1"/>
  <c r="Z240" i="29" l="1"/>
  <c r="AA239" i="29"/>
  <c r="D239" i="29" s="1"/>
  <c r="AB239" i="29"/>
  <c r="C239" i="29" s="1"/>
  <c r="AG240" i="28"/>
  <c r="AB240" i="28"/>
  <c r="AE242" i="28"/>
  <c r="AF241" i="28"/>
  <c r="BB110" i="4"/>
  <c r="D110" i="4" s="1"/>
  <c r="BC110" i="4"/>
  <c r="C110" i="4" s="1"/>
  <c r="Z241" i="29" l="1"/>
  <c r="AB240" i="29"/>
  <c r="C240" i="29" s="1"/>
  <c r="AA240" i="29"/>
  <c r="D240" i="29" s="1"/>
  <c r="AG241" i="28"/>
  <c r="AB241" i="28"/>
  <c r="AE243" i="28"/>
  <c r="AF242" i="28"/>
  <c r="BB111" i="4"/>
  <c r="D111" i="4" s="1"/>
  <c r="BC111" i="4"/>
  <c r="C111" i="4" s="1"/>
  <c r="Z242" i="29" l="1"/>
  <c r="AA241" i="29"/>
  <c r="D241" i="29" s="1"/>
  <c r="AB241" i="29"/>
  <c r="C241" i="29" s="1"/>
  <c r="AG242" i="28"/>
  <c r="AB242" i="28"/>
  <c r="AF243" i="28"/>
  <c r="AE244" i="28"/>
  <c r="BC112" i="4"/>
  <c r="C112" i="4" s="1"/>
  <c r="BB112" i="4"/>
  <c r="D112" i="4" s="1"/>
  <c r="Z243" i="29" l="1"/>
  <c r="AA242" i="29"/>
  <c r="AB242" i="29"/>
  <c r="AG243" i="28"/>
  <c r="AB243" i="28"/>
  <c r="AE245" i="28"/>
  <c r="AF244" i="28"/>
  <c r="BC113" i="4"/>
  <c r="C113" i="4" s="1"/>
  <c r="BB113" i="4"/>
  <c r="D113" i="4" s="1"/>
  <c r="C242" i="29" l="1"/>
  <c r="V242" i="29"/>
  <c r="U242" i="29"/>
  <c r="D242" i="29"/>
  <c r="Z244" i="29"/>
  <c r="AB243" i="29"/>
  <c r="AA243" i="29"/>
  <c r="AG244" i="28"/>
  <c r="AB244" i="28"/>
  <c r="AE246" i="28"/>
  <c r="AF245" i="28"/>
  <c r="BC114" i="4"/>
  <c r="C114" i="4" s="1"/>
  <c r="BB114" i="4"/>
  <c r="D114" i="4" s="1"/>
  <c r="U243" i="29" l="1"/>
  <c r="D243" i="29"/>
  <c r="V243" i="29"/>
  <c r="C243" i="29"/>
  <c r="Z245" i="29"/>
  <c r="AA244" i="29"/>
  <c r="AB244" i="29"/>
  <c r="AG245" i="28"/>
  <c r="AB245" i="28"/>
  <c r="AF246" i="28"/>
  <c r="AE247" i="28"/>
  <c r="BB115" i="4"/>
  <c r="D115" i="4" s="1"/>
  <c r="BC115" i="4"/>
  <c r="Z246" i="29" l="1"/>
  <c r="AA245" i="29"/>
  <c r="AB245" i="29"/>
  <c r="C244" i="29"/>
  <c r="V244" i="29"/>
  <c r="U244" i="29"/>
  <c r="D244" i="29"/>
  <c r="AG246" i="28"/>
  <c r="AB246" i="28"/>
  <c r="AF247" i="28"/>
  <c r="AE248" i="28"/>
  <c r="BC116" i="4"/>
  <c r="C116" i="4" s="1"/>
  <c r="BB116" i="4"/>
  <c r="D116" i="4" s="1"/>
  <c r="V245" i="29" l="1"/>
  <c r="C245" i="29"/>
  <c r="U245" i="29"/>
  <c r="D245" i="29"/>
  <c r="Z247" i="29"/>
  <c r="AA246" i="29"/>
  <c r="AB246" i="29"/>
  <c r="AG247" i="28"/>
  <c r="AB247" i="28"/>
  <c r="AF248" i="28"/>
  <c r="AE249" i="28"/>
  <c r="BB117" i="4"/>
  <c r="D117" i="4" s="1"/>
  <c r="BC117" i="4"/>
  <c r="C117" i="4" s="1"/>
  <c r="U246" i="29" l="1"/>
  <c r="D246" i="29"/>
  <c r="C246" i="29"/>
  <c r="V246" i="29"/>
  <c r="Z248" i="29"/>
  <c r="AB247" i="29"/>
  <c r="AA247" i="29"/>
  <c r="AG248" i="28"/>
  <c r="AB248" i="28"/>
  <c r="AE250" i="28"/>
  <c r="AF249" i="28"/>
  <c r="BC118" i="4"/>
  <c r="C118" i="4" s="1"/>
  <c r="BB118" i="4"/>
  <c r="D118" i="4" s="1"/>
  <c r="Z249" i="29" l="1"/>
  <c r="AB248" i="29"/>
  <c r="AA248" i="29"/>
  <c r="U247" i="29"/>
  <c r="D247" i="29"/>
  <c r="V247" i="29"/>
  <c r="C247" i="29"/>
  <c r="AG249" i="28"/>
  <c r="AB249" i="28"/>
  <c r="AF250" i="28"/>
  <c r="AE251" i="28"/>
  <c r="BB119" i="4"/>
  <c r="D119" i="4" s="1"/>
  <c r="BC119" i="4"/>
  <c r="C119" i="4" s="1"/>
  <c r="V248" i="29" l="1"/>
  <c r="C248" i="29"/>
  <c r="U248" i="29"/>
  <c r="D248" i="29"/>
  <c r="Z250" i="29"/>
  <c r="AB249" i="29"/>
  <c r="AA249" i="29"/>
  <c r="AG250" i="28"/>
  <c r="AB250" i="28"/>
  <c r="AF251" i="28"/>
  <c r="AE252" i="28"/>
  <c r="BC120" i="4"/>
  <c r="BB120" i="4"/>
  <c r="D120" i="4" s="1"/>
  <c r="C249" i="29" l="1"/>
  <c r="V249" i="29"/>
  <c r="U249" i="29"/>
  <c r="D249" i="29"/>
  <c r="Z251" i="29"/>
  <c r="AA250" i="29"/>
  <c r="AB250" i="29"/>
  <c r="AG251" i="28"/>
  <c r="AB251" i="28"/>
  <c r="AE253" i="28"/>
  <c r="AF252" i="28"/>
  <c r="BC121" i="4"/>
  <c r="BB121" i="4"/>
  <c r="D121" i="4" s="1"/>
  <c r="U250" i="29" l="1"/>
  <c r="D250" i="29"/>
  <c r="V250" i="29"/>
  <c r="C250" i="29"/>
  <c r="Z252" i="29"/>
  <c r="AB251" i="29"/>
  <c r="AA251" i="29"/>
  <c r="AG252" i="28"/>
  <c r="AB252" i="28"/>
  <c r="AE254" i="28"/>
  <c r="AF253" i="28"/>
  <c r="BB122" i="4"/>
  <c r="D122" i="4" s="1"/>
  <c r="BC122" i="4"/>
  <c r="Z253" i="29" l="1"/>
  <c r="AA252" i="29"/>
  <c r="AB252" i="29"/>
  <c r="D251" i="29"/>
  <c r="U251" i="29"/>
  <c r="V251" i="29"/>
  <c r="C251" i="29"/>
  <c r="AG253" i="28"/>
  <c r="AB253" i="28"/>
  <c r="AE255" i="28"/>
  <c r="AF254" i="28"/>
  <c r="BB123" i="4"/>
  <c r="D123" i="4" s="1"/>
  <c r="BC123" i="4"/>
  <c r="C252" i="29" l="1"/>
  <c r="V252" i="29"/>
  <c r="U252" i="29"/>
  <c r="D252" i="29"/>
  <c r="Z254" i="29"/>
  <c r="AB253" i="29"/>
  <c r="AA253" i="29"/>
  <c r="AG254" i="28"/>
  <c r="AB254" i="28"/>
  <c r="AF255" i="28"/>
  <c r="AE256" i="28"/>
  <c r="BB124" i="4"/>
  <c r="D124" i="4" s="1"/>
  <c r="BC124" i="4"/>
  <c r="C253" i="29" l="1"/>
  <c r="V253" i="29"/>
  <c r="U253" i="29"/>
  <c r="D253" i="29"/>
  <c r="Z255" i="29"/>
  <c r="AA254" i="29"/>
  <c r="AB254" i="29"/>
  <c r="AG255" i="28"/>
  <c r="AB255" i="28"/>
  <c r="AE257" i="28"/>
  <c r="AF256" i="28"/>
  <c r="BC125" i="4"/>
  <c r="BB125" i="4"/>
  <c r="D125" i="4" s="1"/>
  <c r="D254" i="29" l="1"/>
  <c r="U254" i="29"/>
  <c r="C254" i="29"/>
  <c r="V254" i="29"/>
  <c r="Z256" i="29"/>
  <c r="AB255" i="29"/>
  <c r="AA255" i="29"/>
  <c r="AG256" i="28"/>
  <c r="AB256" i="28"/>
  <c r="AE258" i="28"/>
  <c r="AF257" i="28"/>
  <c r="BB126" i="4"/>
  <c r="D126" i="4" s="1"/>
  <c r="BC126" i="4"/>
  <c r="C126" i="4" s="1"/>
  <c r="C255" i="29" l="1"/>
  <c r="V255" i="29"/>
  <c r="U255" i="29"/>
  <c r="D255" i="29"/>
  <c r="Z257" i="29"/>
  <c r="AA256" i="29"/>
  <c r="AB256" i="29"/>
  <c r="AG257" i="28"/>
  <c r="AB257" i="28"/>
  <c r="AE259" i="28"/>
  <c r="AF258" i="28"/>
  <c r="BB127" i="4"/>
  <c r="D127" i="4" s="1"/>
  <c r="BC127" i="4"/>
  <c r="C127" i="4" s="1"/>
  <c r="D256" i="29" l="1"/>
  <c r="U256" i="29"/>
  <c r="V256" i="29"/>
  <c r="C256" i="29"/>
  <c r="Z258" i="29"/>
  <c r="AA257" i="29"/>
  <c r="AB257" i="29"/>
  <c r="AG258" i="28"/>
  <c r="AB258" i="28"/>
  <c r="AF259" i="28"/>
  <c r="AE260" i="28"/>
  <c r="BB128" i="4"/>
  <c r="D128" i="4" s="1"/>
  <c r="BC128" i="4"/>
  <c r="C128" i="4" s="1"/>
  <c r="V257" i="29" l="1"/>
  <c r="C257" i="29"/>
  <c r="U257" i="29"/>
  <c r="D257" i="29"/>
  <c r="AB258" i="29"/>
  <c r="Z259" i="29"/>
  <c r="AA258" i="29"/>
  <c r="AG259" i="28"/>
  <c r="AB259" i="28"/>
  <c r="AE261" i="28"/>
  <c r="AF260" i="28"/>
  <c r="BC129" i="4"/>
  <c r="C129" i="4" s="1"/>
  <c r="BB129" i="4"/>
  <c r="D129" i="4" s="1"/>
  <c r="D258" i="29" l="1"/>
  <c r="U258" i="29"/>
  <c r="AB259" i="29"/>
  <c r="Z260" i="29"/>
  <c r="AA259" i="29"/>
  <c r="V258" i="29"/>
  <c r="C258" i="29"/>
  <c r="AG260" i="28"/>
  <c r="AB260" i="28"/>
  <c r="AE262" i="28"/>
  <c r="AF261" i="28"/>
  <c r="BC130" i="4"/>
  <c r="C130" i="4" s="1"/>
  <c r="BB130" i="4"/>
  <c r="D130" i="4" s="1"/>
  <c r="Z261" i="29" l="1"/>
  <c r="AB260" i="29"/>
  <c r="AA260" i="29"/>
  <c r="V259" i="29"/>
  <c r="C259" i="29"/>
  <c r="D259" i="29"/>
  <c r="U259" i="29"/>
  <c r="AG261" i="28"/>
  <c r="AB261" i="28"/>
  <c r="AF262" i="28"/>
  <c r="AE263" i="28"/>
  <c r="BB131" i="4"/>
  <c r="D131" i="4" s="1"/>
  <c r="BC131" i="4"/>
  <c r="C131" i="4" s="1"/>
  <c r="D260" i="29" l="1"/>
  <c r="U260" i="29"/>
  <c r="V260" i="29"/>
  <c r="C260" i="29"/>
  <c r="AB261" i="29"/>
  <c r="AA261" i="29"/>
  <c r="Z262" i="29"/>
  <c r="AG262" i="28"/>
  <c r="AB262" i="28"/>
  <c r="AF263" i="28"/>
  <c r="AE264" i="28"/>
  <c r="BC132" i="4"/>
  <c r="C132" i="4" s="1"/>
  <c r="BB132" i="4"/>
  <c r="D132" i="4" s="1"/>
  <c r="D261" i="29" l="1"/>
  <c r="U261" i="29"/>
  <c r="Z263" i="29"/>
  <c r="AB262" i="29"/>
  <c r="AA262" i="29"/>
  <c r="V261" i="29"/>
  <c r="C261" i="29"/>
  <c r="AG263" i="28"/>
  <c r="AB263" i="28"/>
  <c r="AF264" i="28"/>
  <c r="AE265" i="28"/>
  <c r="BB133" i="4"/>
  <c r="D133" i="4" s="1"/>
  <c r="BC133" i="4"/>
  <c r="C133" i="4" s="1"/>
  <c r="AB263" i="29" l="1"/>
  <c r="Z264" i="29"/>
  <c r="AA263" i="29"/>
  <c r="V262" i="29"/>
  <c r="C262" i="29"/>
  <c r="D262" i="29"/>
  <c r="U262" i="29"/>
  <c r="AG264" i="28"/>
  <c r="AB264" i="28"/>
  <c r="AE266" i="28"/>
  <c r="AF265" i="28"/>
  <c r="BC134" i="4"/>
  <c r="C134" i="4" s="1"/>
  <c r="BB134" i="4"/>
  <c r="D134" i="4" s="1"/>
  <c r="D263" i="29" l="1"/>
  <c r="U263" i="29"/>
  <c r="Z265" i="29"/>
  <c r="AB264" i="29"/>
  <c r="AA264" i="29"/>
  <c r="V263" i="29"/>
  <c r="C263" i="29"/>
  <c r="AG265" i="28"/>
  <c r="AB265" i="28"/>
  <c r="AF266" i="28"/>
  <c r="AE267" i="28"/>
  <c r="BB135" i="4"/>
  <c r="D135" i="4" s="1"/>
  <c r="BC135" i="4"/>
  <c r="C135" i="4" s="1"/>
  <c r="D264" i="29" l="1"/>
  <c r="U264" i="29"/>
  <c r="AB265" i="29"/>
  <c r="Z266" i="29"/>
  <c r="AA265" i="29"/>
  <c r="C264" i="29"/>
  <c r="V264" i="29"/>
  <c r="AG266" i="28"/>
  <c r="AB266" i="28"/>
  <c r="AF267" i="28"/>
  <c r="AE268" i="28"/>
  <c r="BB136" i="4"/>
  <c r="D136" i="4" s="1"/>
  <c r="BC136" i="4"/>
  <c r="C136" i="4" s="1"/>
  <c r="Z267" i="29" l="1"/>
  <c r="AA266" i="29"/>
  <c r="AB266" i="29"/>
  <c r="C265" i="29"/>
  <c r="V265" i="29"/>
  <c r="D265" i="29"/>
  <c r="U265" i="29"/>
  <c r="AG267" i="28"/>
  <c r="AB267" i="28"/>
  <c r="AE269" i="28"/>
  <c r="AF268" i="28"/>
  <c r="BC137" i="4"/>
  <c r="C137" i="4" s="1"/>
  <c r="BB137" i="4"/>
  <c r="D137" i="4" s="1"/>
  <c r="C266" i="29" l="1"/>
  <c r="V266" i="29"/>
  <c r="D266" i="29"/>
  <c r="U266" i="29"/>
  <c r="Z268" i="29"/>
  <c r="AB267" i="29"/>
  <c r="AA267" i="29"/>
  <c r="AG268" i="28"/>
  <c r="AB268" i="28"/>
  <c r="AE270" i="28"/>
  <c r="AF269" i="28"/>
  <c r="BC138" i="4"/>
  <c r="C138" i="4" s="1"/>
  <c r="BB138" i="4"/>
  <c r="D138" i="4" s="1"/>
  <c r="D267" i="29" l="1"/>
  <c r="U267" i="29"/>
  <c r="C267" i="29"/>
  <c r="V267" i="29"/>
  <c r="Z269" i="29"/>
  <c r="AA268" i="29"/>
  <c r="AB268" i="29"/>
  <c r="AG269" i="28"/>
  <c r="AB269" i="28"/>
  <c r="AE271" i="28"/>
  <c r="AF270" i="28"/>
  <c r="BC139" i="4"/>
  <c r="C139" i="4" s="1"/>
  <c r="BB139" i="4"/>
  <c r="D139" i="4" s="1"/>
  <c r="V268" i="29" l="1"/>
  <c r="C268" i="29"/>
  <c r="D268" i="29"/>
  <c r="U268" i="29"/>
  <c r="Z270" i="29"/>
  <c r="AA269" i="29"/>
  <c r="AB269" i="29"/>
  <c r="AG270" i="28"/>
  <c r="AB270" i="28"/>
  <c r="AF271" i="28"/>
  <c r="AE272" i="28"/>
  <c r="BC140" i="4"/>
  <c r="C140" i="4" s="1"/>
  <c r="BB140" i="4"/>
  <c r="D140" i="4" s="1"/>
  <c r="V269" i="29" l="1"/>
  <c r="C269" i="29"/>
  <c r="D269" i="29"/>
  <c r="U269" i="29"/>
  <c r="Z271" i="29"/>
  <c r="AA270" i="29"/>
  <c r="AB270" i="29"/>
  <c r="AG271" i="28"/>
  <c r="AB271" i="28"/>
  <c r="AF272" i="28"/>
  <c r="AE273" i="28"/>
  <c r="BC141" i="4"/>
  <c r="C141" i="4" s="1"/>
  <c r="BB141" i="4"/>
  <c r="D141" i="4" s="1"/>
  <c r="C270" i="29" l="1"/>
  <c r="V270" i="29"/>
  <c r="D270" i="29"/>
  <c r="U270" i="29"/>
  <c r="Z272" i="29"/>
  <c r="AB271" i="29"/>
  <c r="AA271" i="29"/>
  <c r="AG272" i="28"/>
  <c r="AB272" i="28"/>
  <c r="AE274" i="28"/>
  <c r="AF273" i="28"/>
  <c r="BB142" i="4"/>
  <c r="D142" i="4" s="1"/>
  <c r="BC142" i="4"/>
  <c r="C142" i="4" s="1"/>
  <c r="U271" i="29" l="1"/>
  <c r="D271" i="29"/>
  <c r="C271" i="29"/>
  <c r="V271" i="29"/>
  <c r="Z273" i="29"/>
  <c r="AB272" i="29"/>
  <c r="AA272" i="29"/>
  <c r="AG273" i="28"/>
  <c r="AB273" i="28"/>
  <c r="AE275" i="28"/>
  <c r="AF274" i="28"/>
  <c r="BB143" i="4"/>
  <c r="D143" i="4" s="1"/>
  <c r="BC143" i="4"/>
  <c r="C143" i="4" s="1"/>
  <c r="D272" i="29" l="1"/>
  <c r="U272" i="29"/>
  <c r="V272" i="29"/>
  <c r="C272" i="29"/>
  <c r="Z274" i="29"/>
  <c r="AA273" i="29"/>
  <c r="AB273" i="29"/>
  <c r="AG274" i="28"/>
  <c r="AB274" i="28"/>
  <c r="AF275" i="28"/>
  <c r="AE276" i="28"/>
  <c r="BC144" i="4"/>
  <c r="C144" i="4" s="1"/>
  <c r="BB144" i="4"/>
  <c r="D144" i="4" s="1"/>
  <c r="C273" i="29" l="1"/>
  <c r="V273" i="29"/>
  <c r="U273" i="29"/>
  <c r="D273" i="29"/>
  <c r="Z275" i="29"/>
  <c r="AA274" i="29"/>
  <c r="AB274" i="29"/>
  <c r="AG275" i="28"/>
  <c r="AB275" i="28"/>
  <c r="AE277" i="28"/>
  <c r="AF276" i="28"/>
  <c r="BB145" i="4"/>
  <c r="D145" i="4" s="1"/>
  <c r="BC145" i="4"/>
  <c r="C145" i="4" s="1"/>
  <c r="V274" i="29" l="1"/>
  <c r="C274" i="29"/>
  <c r="D274" i="29"/>
  <c r="U274" i="29"/>
  <c r="Z276" i="29"/>
  <c r="AB275" i="29"/>
  <c r="AA275" i="29"/>
  <c r="AG276" i="28"/>
  <c r="AB276" i="28"/>
  <c r="AE278" i="28"/>
  <c r="AF277" i="28"/>
  <c r="BC146" i="4"/>
  <c r="C146" i="4" s="1"/>
  <c r="BB146" i="4"/>
  <c r="D146" i="4" s="1"/>
  <c r="D275" i="29" l="1"/>
  <c r="U275" i="29"/>
  <c r="C275" i="29"/>
  <c r="V275" i="29"/>
  <c r="Z277" i="29"/>
  <c r="AA276" i="29"/>
  <c r="U276" i="29" s="1"/>
  <c r="AB276" i="29"/>
  <c r="V276" i="29" s="1"/>
  <c r="AG277" i="28"/>
  <c r="AB277" i="28"/>
  <c r="AF278" i="28"/>
  <c r="AE279" i="28"/>
  <c r="BC147" i="4"/>
  <c r="C147" i="4" s="1"/>
  <c r="BB147" i="4"/>
  <c r="D147" i="4" s="1"/>
  <c r="Z278" i="29" l="1"/>
  <c r="AA277" i="29"/>
  <c r="U277" i="29" s="1"/>
  <c r="AB277" i="29"/>
  <c r="V277" i="29" s="1"/>
  <c r="AG278" i="28"/>
  <c r="AB278" i="28"/>
  <c r="AF279" i="28"/>
  <c r="AE280" i="28"/>
  <c r="BC148" i="4"/>
  <c r="C148" i="4" s="1"/>
  <c r="BB148" i="4"/>
  <c r="D148" i="4" s="1"/>
  <c r="Z279" i="29" l="1"/>
  <c r="AA278" i="29"/>
  <c r="U278" i="29" s="1"/>
  <c r="AB278" i="29"/>
  <c r="V278" i="29" s="1"/>
  <c r="AG279" i="28"/>
  <c r="AB279" i="28"/>
  <c r="AF280" i="28"/>
  <c r="AE281" i="28"/>
  <c r="BC149" i="4"/>
  <c r="C149" i="4" s="1"/>
  <c r="BB149" i="4"/>
  <c r="D149" i="4" s="1"/>
  <c r="Z280" i="29" l="1"/>
  <c r="AB279" i="29"/>
  <c r="V279" i="29" s="1"/>
  <c r="AA279" i="29"/>
  <c r="U279" i="29" s="1"/>
  <c r="AG280" i="28"/>
  <c r="AB280" i="28"/>
  <c r="AE282" i="28"/>
  <c r="AF281" i="28"/>
  <c r="BC150" i="4"/>
  <c r="C150" i="4" s="1"/>
  <c r="BB150" i="4"/>
  <c r="D150" i="4" s="1"/>
  <c r="Z281" i="29" l="1"/>
  <c r="AB280" i="29"/>
  <c r="V280" i="29" s="1"/>
  <c r="AA280" i="29"/>
  <c r="U280" i="29" s="1"/>
  <c r="AG281" i="28"/>
  <c r="AB281" i="28"/>
  <c r="AF282" i="28"/>
  <c r="AE283" i="28"/>
  <c r="BB151" i="4"/>
  <c r="D151" i="4" s="1"/>
  <c r="BC151" i="4"/>
  <c r="C151" i="4" s="1"/>
  <c r="Z282" i="29" l="1"/>
  <c r="AA281" i="29"/>
  <c r="U281" i="29" s="1"/>
  <c r="AB281" i="29"/>
  <c r="V281" i="29" s="1"/>
  <c r="AG282" i="28"/>
  <c r="AB282" i="28"/>
  <c r="AF283" i="28"/>
  <c r="AE284" i="28"/>
  <c r="BC152" i="4"/>
  <c r="C152" i="4" s="1"/>
  <c r="BB152" i="4"/>
  <c r="D152" i="4" s="1"/>
  <c r="Z283" i="29" l="1"/>
  <c r="AA282" i="29"/>
  <c r="U282" i="29" s="1"/>
  <c r="AB282" i="29"/>
  <c r="V282" i="29" s="1"/>
  <c r="AG283" i="28"/>
  <c r="AB283" i="28"/>
  <c r="AE285" i="28"/>
  <c r="AF284" i="28"/>
  <c r="BC153" i="4"/>
  <c r="BB153" i="4"/>
  <c r="D153" i="4" s="1"/>
  <c r="Z284" i="29" l="1"/>
  <c r="AB283" i="29"/>
  <c r="V283" i="29" s="1"/>
  <c r="AA283" i="29"/>
  <c r="U283" i="29" s="1"/>
  <c r="AG284" i="28"/>
  <c r="AB284" i="28"/>
  <c r="AE286" i="28"/>
  <c r="AF285" i="28"/>
  <c r="BC154" i="4"/>
  <c r="C154" i="4" s="1"/>
  <c r="BB154" i="4"/>
  <c r="D154" i="4" s="1"/>
  <c r="Z285" i="29" l="1"/>
  <c r="AB284" i="29"/>
  <c r="V284" i="29" s="1"/>
  <c r="AA284" i="29"/>
  <c r="U284" i="29" s="1"/>
  <c r="AG285" i="28"/>
  <c r="AB285" i="28"/>
  <c r="AE287" i="28"/>
  <c r="AF286" i="28"/>
  <c r="BC155" i="4"/>
  <c r="C155" i="4" s="1"/>
  <c r="BB155" i="4"/>
  <c r="D155" i="4" s="1"/>
  <c r="Z286" i="29" l="1"/>
  <c r="AA285" i="29"/>
  <c r="U285" i="29" s="1"/>
  <c r="AB285" i="29"/>
  <c r="V285" i="29" s="1"/>
  <c r="AG286" i="28"/>
  <c r="AB286" i="28"/>
  <c r="AF287" i="28"/>
  <c r="AE288" i="28"/>
  <c r="BB156" i="4"/>
  <c r="D156" i="4" s="1"/>
  <c r="BC156" i="4"/>
  <c r="C156" i="4" s="1"/>
  <c r="Z287" i="29" l="1"/>
  <c r="AA286" i="29"/>
  <c r="U286" i="29" s="1"/>
  <c r="AB286" i="29"/>
  <c r="V286" i="29" s="1"/>
  <c r="AG287" i="28"/>
  <c r="AB287" i="28"/>
  <c r="AF288" i="28"/>
  <c r="AE289" i="28"/>
  <c r="BB157" i="4"/>
  <c r="D157" i="4" s="1"/>
  <c r="BC157" i="4"/>
  <c r="C157" i="4" s="1"/>
  <c r="Z288" i="29" l="1"/>
  <c r="AA287" i="29"/>
  <c r="U287" i="29" s="1"/>
  <c r="AB287" i="29"/>
  <c r="V287" i="29" s="1"/>
  <c r="AG288" i="28"/>
  <c r="AB288" i="28"/>
  <c r="AE290" i="28"/>
  <c r="AF289" i="28"/>
  <c r="BC158" i="4"/>
  <c r="BB158" i="4"/>
  <c r="D158" i="4" s="1"/>
  <c r="Z289" i="29" l="1"/>
  <c r="AB288" i="29"/>
  <c r="V288" i="29" s="1"/>
  <c r="AA288" i="29"/>
  <c r="U288" i="29" s="1"/>
  <c r="AG289" i="28"/>
  <c r="AB289" i="28"/>
  <c r="AE291" i="28"/>
  <c r="AF290" i="28"/>
  <c r="BB159" i="4"/>
  <c r="D159" i="4" s="1"/>
  <c r="BC159" i="4"/>
  <c r="AA289" i="29" l="1"/>
  <c r="U289" i="29" s="1"/>
  <c r="AB289" i="29"/>
  <c r="V289" i="29" s="1"/>
  <c r="AG290" i="28"/>
  <c r="AB290" i="28"/>
  <c r="AF291" i="28"/>
  <c r="AE292" i="28"/>
  <c r="BC160" i="4"/>
  <c r="BB160" i="4"/>
  <c r="D160" i="4" s="1"/>
  <c r="AG291" i="28" l="1"/>
  <c r="AB291" i="28"/>
  <c r="AE293" i="28"/>
  <c r="AF292" i="28"/>
  <c r="BC161" i="4"/>
  <c r="BB161" i="4"/>
  <c r="D161" i="4" s="1"/>
  <c r="AG292" i="28" l="1"/>
  <c r="AB292" i="28"/>
  <c r="AE294" i="28"/>
  <c r="AF293" i="28"/>
  <c r="BC162" i="4"/>
  <c r="BB162" i="4"/>
  <c r="D162" i="4" s="1"/>
  <c r="AG293" i="28" l="1"/>
  <c r="AB293" i="28"/>
  <c r="AF294" i="28"/>
  <c r="AE295" i="28"/>
  <c r="BC163" i="4"/>
  <c r="BB163" i="4"/>
  <c r="D163" i="4" s="1"/>
  <c r="AG294" i="28" l="1"/>
  <c r="AB294" i="28"/>
  <c r="AF295" i="28"/>
  <c r="AE296" i="28"/>
  <c r="BC164" i="4"/>
  <c r="C164" i="4" s="1"/>
  <c r="BB164" i="4"/>
  <c r="D164" i="4" s="1"/>
  <c r="AG295" i="28" l="1"/>
  <c r="AB295" i="28"/>
  <c r="AF296" i="28"/>
  <c r="AE297" i="28"/>
  <c r="BC165" i="4"/>
  <c r="C165" i="4" s="1"/>
  <c r="BB165" i="4"/>
  <c r="D165" i="4" s="1"/>
  <c r="AG296" i="28" l="1"/>
  <c r="AB296" i="28"/>
  <c r="AE298" i="28"/>
  <c r="AF297" i="28"/>
  <c r="BB166" i="4"/>
  <c r="D166" i="4" s="1"/>
  <c r="BC166" i="4"/>
  <c r="C166" i="4" s="1"/>
  <c r="AG297" i="28" l="1"/>
  <c r="AB297" i="28"/>
  <c r="AF298" i="28"/>
  <c r="AE299" i="28"/>
  <c r="BB167" i="4"/>
  <c r="D167" i="4" s="1"/>
  <c r="BC167" i="4"/>
  <c r="C167" i="4" s="1"/>
  <c r="AG298" i="28" l="1"/>
  <c r="AB298" i="28"/>
  <c r="AF299" i="28"/>
  <c r="AE300" i="28"/>
  <c r="BC168" i="4"/>
  <c r="C168" i="4" s="1"/>
  <c r="BB168" i="4"/>
  <c r="D168" i="4" s="1"/>
  <c r="AG299" i="28" l="1"/>
  <c r="AB299" i="28"/>
  <c r="AE301" i="28"/>
  <c r="AF300" i="28"/>
  <c r="BC169" i="4"/>
  <c r="C169" i="4" s="1"/>
  <c r="BB169" i="4"/>
  <c r="D169" i="4" s="1"/>
  <c r="AG300" i="28" l="1"/>
  <c r="AB300" i="28"/>
  <c r="AE302" i="28"/>
  <c r="AF301" i="28"/>
  <c r="BB170" i="4"/>
  <c r="D170" i="4" s="1"/>
  <c r="BC170" i="4"/>
  <c r="C170" i="4" s="1"/>
  <c r="AG301" i="28" l="1"/>
  <c r="AB301" i="28"/>
  <c r="AE303" i="28"/>
  <c r="AF302" i="28"/>
  <c r="BB171" i="4"/>
  <c r="D171" i="4" s="1"/>
  <c r="BC171" i="4"/>
  <c r="C171" i="4" s="1"/>
  <c r="AG302" i="28" l="1"/>
  <c r="AB302" i="28"/>
  <c r="AF303" i="28"/>
  <c r="AE304" i="28"/>
  <c r="BB172" i="4"/>
  <c r="D172" i="4" s="1"/>
  <c r="BC172" i="4"/>
  <c r="C172" i="4" s="1"/>
  <c r="AG303" i="28" l="1"/>
  <c r="AB303" i="28"/>
  <c r="AE305" i="28"/>
  <c r="AF304" i="28"/>
  <c r="BB173" i="4"/>
  <c r="D173" i="4" s="1"/>
  <c r="BC173" i="4"/>
  <c r="C173" i="4" s="1"/>
  <c r="AG304" i="28" l="1"/>
  <c r="AB304" i="28"/>
  <c r="AE306" i="28"/>
  <c r="AF305" i="28"/>
  <c r="BB174" i="4"/>
  <c r="D174" i="4" s="1"/>
  <c r="BC174" i="4"/>
  <c r="C174" i="4" s="1"/>
  <c r="AG305" i="28" l="1"/>
  <c r="AB305" i="28"/>
  <c r="AE307" i="28"/>
  <c r="AF306" i="28"/>
  <c r="BC175" i="4"/>
  <c r="C175" i="4" s="1"/>
  <c r="BB175" i="4"/>
  <c r="D175" i="4" s="1"/>
  <c r="AG306" i="28" l="1"/>
  <c r="AB306" i="28"/>
  <c r="AF307" i="28"/>
  <c r="AE308" i="28"/>
  <c r="BC176" i="4"/>
  <c r="C176" i="4" s="1"/>
  <c r="BB176" i="4"/>
  <c r="D176" i="4" s="1"/>
  <c r="AG307" i="28" l="1"/>
  <c r="AB307" i="28"/>
  <c r="AE309" i="28"/>
  <c r="AF308" i="28"/>
  <c r="BC177" i="4"/>
  <c r="C177" i="4" s="1"/>
  <c r="BB177" i="4"/>
  <c r="D177" i="4" s="1"/>
  <c r="AG308" i="28" l="1"/>
  <c r="AB308" i="28"/>
  <c r="AE310" i="28"/>
  <c r="AF309" i="28"/>
  <c r="BB178" i="4"/>
  <c r="D178" i="4" s="1"/>
  <c r="BC178" i="4"/>
  <c r="C178" i="4" s="1"/>
  <c r="AG309" i="28" l="1"/>
  <c r="AB309" i="28"/>
  <c r="AF310" i="28"/>
  <c r="AE311" i="28"/>
  <c r="BC179" i="4"/>
  <c r="C179" i="4" s="1"/>
  <c r="BB179" i="4"/>
  <c r="D179" i="4" s="1"/>
  <c r="AG310" i="28" l="1"/>
  <c r="AB310" i="28"/>
  <c r="AF311" i="28"/>
  <c r="AE312" i="28"/>
  <c r="BC180" i="4"/>
  <c r="C180" i="4" s="1"/>
  <c r="BB180" i="4"/>
  <c r="D180" i="4" s="1"/>
  <c r="AG311" i="28" l="1"/>
  <c r="AB311" i="28"/>
  <c r="AF312" i="28"/>
  <c r="AE313" i="28"/>
  <c r="BC181" i="4"/>
  <c r="C181" i="4" s="1"/>
  <c r="BB181" i="4"/>
  <c r="D181" i="4" s="1"/>
  <c r="AG312" i="28" l="1"/>
  <c r="AB312" i="28"/>
  <c r="AE314" i="28"/>
  <c r="AF313" i="28"/>
  <c r="BC182" i="4"/>
  <c r="C182" i="4" s="1"/>
  <c r="BB182" i="4"/>
  <c r="D182" i="4" s="1"/>
  <c r="AG313" i="28" l="1"/>
  <c r="AB313" i="28"/>
  <c r="AF314" i="28"/>
  <c r="AE315" i="28"/>
  <c r="BB183" i="4"/>
  <c r="D183" i="4" s="1"/>
  <c r="BC183" i="4"/>
  <c r="C183" i="4" s="1"/>
  <c r="AG314" i="28" l="1"/>
  <c r="AB314" i="28"/>
  <c r="AF315" i="28"/>
  <c r="AE316" i="28"/>
  <c r="BC184" i="4"/>
  <c r="C184" i="4" s="1"/>
  <c r="BB184" i="4"/>
  <c r="D184" i="4" s="1"/>
  <c r="AG315" i="28" l="1"/>
  <c r="AB315" i="28"/>
  <c r="AE317" i="28"/>
  <c r="AF316" i="28"/>
  <c r="BC185" i="4"/>
  <c r="C185" i="4" s="1"/>
  <c r="BB185" i="4"/>
  <c r="D185" i="4" s="1"/>
  <c r="AG316" i="28" l="1"/>
  <c r="AB316" i="28"/>
  <c r="AE318" i="28"/>
  <c r="AF317" i="28"/>
  <c r="BC186" i="4"/>
  <c r="C186" i="4" s="1"/>
  <c r="BB186" i="4"/>
  <c r="D186" i="4" s="1"/>
  <c r="AG317" i="28" l="1"/>
  <c r="AB317" i="28"/>
  <c r="AE319" i="28"/>
  <c r="AF318" i="28"/>
  <c r="BC187" i="4"/>
  <c r="C187" i="4" s="1"/>
  <c r="BB187" i="4"/>
  <c r="D187" i="4" s="1"/>
  <c r="AG318" i="28" l="1"/>
  <c r="AB318" i="28"/>
  <c r="AF319" i="28"/>
  <c r="AE320" i="28"/>
  <c r="BC188" i="4"/>
  <c r="C188" i="4" s="1"/>
  <c r="BB188" i="4"/>
  <c r="D188" i="4" s="1"/>
  <c r="AG319" i="28" l="1"/>
  <c r="AB319" i="28"/>
  <c r="AF320" i="28"/>
  <c r="AE321" i="28"/>
  <c r="BB189" i="4"/>
  <c r="D189" i="4" s="1"/>
  <c r="BC189" i="4"/>
  <c r="C189" i="4" s="1"/>
  <c r="AG320" i="28" l="1"/>
  <c r="AB320" i="28"/>
  <c r="AE322" i="28"/>
  <c r="AF321" i="28"/>
  <c r="BB190" i="4"/>
  <c r="D190" i="4" s="1"/>
  <c r="BC190" i="4"/>
  <c r="C190" i="4" s="1"/>
  <c r="AG321" i="28" l="1"/>
  <c r="AB321" i="28"/>
  <c r="AE323" i="28"/>
  <c r="AF322" i="28"/>
  <c r="BB191" i="4"/>
  <c r="D191" i="4" s="1"/>
  <c r="BC191" i="4"/>
  <c r="AG322" i="28" l="1"/>
  <c r="AB322" i="28"/>
  <c r="AF323" i="28"/>
  <c r="AE324" i="28"/>
  <c r="BC192" i="4"/>
  <c r="C192" i="4" s="1"/>
  <c r="BB192" i="4"/>
  <c r="D192" i="4" s="1"/>
  <c r="AG323" i="28" l="1"/>
  <c r="AB323" i="28"/>
  <c r="AE325" i="28"/>
  <c r="AF324" i="28"/>
  <c r="BC193" i="4"/>
  <c r="C193" i="4" s="1"/>
  <c r="BB193" i="4"/>
  <c r="D193" i="4" s="1"/>
  <c r="AG324" i="28" l="1"/>
  <c r="AB324" i="28"/>
  <c r="AE326" i="28"/>
  <c r="AF325" i="28"/>
  <c r="BC194" i="4"/>
  <c r="C194" i="4" s="1"/>
  <c r="BB194" i="4"/>
  <c r="D194" i="4" s="1"/>
  <c r="AG325" i="28" l="1"/>
  <c r="AB325" i="28"/>
  <c r="AF326" i="28"/>
  <c r="AE327" i="28"/>
  <c r="BC195" i="4"/>
  <c r="C195" i="4" s="1"/>
  <c r="BB195" i="4"/>
  <c r="D195" i="4" s="1"/>
  <c r="AG326" i="28" l="1"/>
  <c r="AB326" i="28"/>
  <c r="AF327" i="28"/>
  <c r="AE328" i="28"/>
  <c r="BC196" i="4"/>
  <c r="BB196" i="4"/>
  <c r="D196" i="4" s="1"/>
  <c r="AG327" i="28" l="1"/>
  <c r="AB327" i="28"/>
  <c r="AF328" i="28"/>
  <c r="AE329" i="28"/>
  <c r="BC197" i="4"/>
  <c r="BB197" i="4"/>
  <c r="D197" i="4" s="1"/>
  <c r="AG328" i="28" l="1"/>
  <c r="AB328" i="28"/>
  <c r="AE330" i="28"/>
  <c r="AF329" i="28"/>
  <c r="BB198" i="4"/>
  <c r="D198" i="4" s="1"/>
  <c r="BC198" i="4"/>
  <c r="AG329" i="28" l="1"/>
  <c r="AB329" i="28"/>
  <c r="AF330" i="28"/>
  <c r="AE331" i="28"/>
  <c r="BB199" i="4"/>
  <c r="D199" i="4" s="1"/>
  <c r="BC199" i="4"/>
  <c r="AG330" i="28" l="1"/>
  <c r="AB330" i="28"/>
  <c r="AF331" i="28"/>
  <c r="AE332" i="28"/>
  <c r="BC200" i="4"/>
  <c r="BB200" i="4"/>
  <c r="D200" i="4" s="1"/>
  <c r="AG331" i="28" l="1"/>
  <c r="AB331" i="28"/>
  <c r="AE333" i="28"/>
  <c r="AF332" i="28"/>
  <c r="BC201" i="4"/>
  <c r="BB201" i="4"/>
  <c r="D201" i="4" s="1"/>
  <c r="AG332" i="28" l="1"/>
  <c r="AB332" i="28"/>
  <c r="AE334" i="28"/>
  <c r="AF333" i="28"/>
  <c r="BC202" i="4"/>
  <c r="C202" i="4" s="1"/>
  <c r="BB202" i="4"/>
  <c r="D202" i="4" s="1"/>
  <c r="AG333" i="28" l="1"/>
  <c r="AB333" i="28"/>
  <c r="AE335" i="28"/>
  <c r="AF334" i="28"/>
  <c r="BB203" i="4"/>
  <c r="D203" i="4" s="1"/>
  <c r="BC203" i="4"/>
  <c r="C203" i="4" s="1"/>
  <c r="AG334" i="28" l="1"/>
  <c r="AB334" i="28"/>
  <c r="AF335" i="28"/>
  <c r="AE336" i="28"/>
  <c r="BC204" i="4"/>
  <c r="C204" i="4" s="1"/>
  <c r="BB204" i="4"/>
  <c r="D204" i="4" s="1"/>
  <c r="AG335" i="28" l="1"/>
  <c r="AB335" i="28"/>
  <c r="AE337" i="28"/>
  <c r="AF336" i="28"/>
  <c r="BC205" i="4"/>
  <c r="C205" i="4" s="1"/>
  <c r="BB205" i="4"/>
  <c r="D205" i="4" s="1"/>
  <c r="AG336" i="28" l="1"/>
  <c r="AB336" i="28"/>
  <c r="AE338" i="28"/>
  <c r="AF337" i="28"/>
  <c r="BC206" i="4"/>
  <c r="C206" i="4" s="1"/>
  <c r="BB206" i="4"/>
  <c r="D206" i="4" s="1"/>
  <c r="AG337" i="28" l="1"/>
  <c r="AB337" i="28"/>
  <c r="AE339" i="28"/>
  <c r="AF338" i="28"/>
  <c r="BC207" i="4"/>
  <c r="C207" i="4" s="1"/>
  <c r="BB207" i="4"/>
  <c r="D207" i="4" s="1"/>
  <c r="AG338" i="28" l="1"/>
  <c r="AB338" i="28"/>
  <c r="AF339" i="28"/>
  <c r="AE340" i="28"/>
  <c r="BC208" i="4"/>
  <c r="C208" i="4" s="1"/>
  <c r="BB208" i="4"/>
  <c r="D208" i="4" s="1"/>
  <c r="AG339" i="28" l="1"/>
  <c r="AB339" i="28"/>
  <c r="AE341" i="28"/>
  <c r="AF340" i="28"/>
  <c r="BB209" i="4"/>
  <c r="D209" i="4" s="1"/>
  <c r="BC209" i="4"/>
  <c r="C209" i="4" s="1"/>
  <c r="AG340" i="28" l="1"/>
  <c r="AB340" i="28"/>
  <c r="AE342" i="28"/>
  <c r="AF341" i="28"/>
  <c r="BC210" i="4"/>
  <c r="C210" i="4" s="1"/>
  <c r="BB210" i="4"/>
  <c r="D210" i="4" s="1"/>
  <c r="AG341" i="28" l="1"/>
  <c r="AB341" i="28"/>
  <c r="AF342" i="28"/>
  <c r="AE343" i="28"/>
  <c r="BB211" i="4"/>
  <c r="D211" i="4" s="1"/>
  <c r="BC211" i="4"/>
  <c r="C211" i="4" s="1"/>
  <c r="AG342" i="28" l="1"/>
  <c r="AB342" i="28"/>
  <c r="AF343" i="28"/>
  <c r="AE344" i="28"/>
  <c r="BB212" i="4"/>
  <c r="D212" i="4" s="1"/>
  <c r="BC212" i="4"/>
  <c r="C212" i="4" s="1"/>
  <c r="AG343" i="28" l="1"/>
  <c r="AB343" i="28"/>
  <c r="AF344" i="28"/>
  <c r="AE345" i="28"/>
  <c r="BB213" i="4"/>
  <c r="D213" i="4" s="1"/>
  <c r="BC213" i="4"/>
  <c r="C213" i="4" s="1"/>
  <c r="AG344" i="28" l="1"/>
  <c r="AB344" i="28"/>
  <c r="AE346" i="28"/>
  <c r="AF345" i="28"/>
  <c r="BC214" i="4"/>
  <c r="C214" i="4" s="1"/>
  <c r="BB214" i="4"/>
  <c r="D214" i="4" s="1"/>
  <c r="AG345" i="28" l="1"/>
  <c r="AB345" i="28"/>
  <c r="AF346" i="28"/>
  <c r="AE347" i="28"/>
  <c r="BB215" i="4"/>
  <c r="D215" i="4" s="1"/>
  <c r="BC215" i="4"/>
  <c r="C215" i="4" s="1"/>
  <c r="AG346" i="28" l="1"/>
  <c r="AB346" i="28"/>
  <c r="AF347" i="28"/>
  <c r="AE348" i="28"/>
  <c r="BC216" i="4"/>
  <c r="C216" i="4" s="1"/>
  <c r="BB216" i="4"/>
  <c r="D216" i="4" s="1"/>
  <c r="AG347" i="28" l="1"/>
  <c r="AB347" i="28"/>
  <c r="AE349" i="28"/>
  <c r="AF348" i="28"/>
  <c r="BC217" i="4"/>
  <c r="C217" i="4" s="1"/>
  <c r="BB217" i="4"/>
  <c r="D217" i="4" s="1"/>
  <c r="AG348" i="28" l="1"/>
  <c r="AB348" i="28"/>
  <c r="AE350" i="28"/>
  <c r="AF349" i="28"/>
  <c r="BC218" i="4"/>
  <c r="C218" i="4" s="1"/>
  <c r="BB218" i="4"/>
  <c r="D218" i="4" s="1"/>
  <c r="AG349" i="28" l="1"/>
  <c r="AB349" i="28"/>
  <c r="AE351" i="28"/>
  <c r="AF350" i="28"/>
  <c r="BB219" i="4"/>
  <c r="D219" i="4" s="1"/>
  <c r="BC219" i="4"/>
  <c r="C219" i="4" s="1"/>
  <c r="AG350" i="28" l="1"/>
  <c r="AB350" i="28"/>
  <c r="AF351" i="28"/>
  <c r="AE352" i="28"/>
  <c r="BC220" i="4"/>
  <c r="C220" i="4" s="1"/>
  <c r="BB220" i="4"/>
  <c r="D220" i="4" s="1"/>
  <c r="AG351" i="28" l="1"/>
  <c r="AB351" i="28"/>
  <c r="AE353" i="28"/>
  <c r="AF352" i="28"/>
  <c r="BC221" i="4"/>
  <c r="C221" i="4" s="1"/>
  <c r="BB221" i="4"/>
  <c r="D221" i="4" s="1"/>
  <c r="AG352" i="28" l="1"/>
  <c r="AB352" i="28"/>
  <c r="AE354" i="28"/>
  <c r="AF353" i="28"/>
  <c r="BB222" i="4"/>
  <c r="D222" i="4" s="1"/>
  <c r="BC222" i="4"/>
  <c r="C222" i="4" s="1"/>
  <c r="AG353" i="28" l="1"/>
  <c r="AB353" i="28"/>
  <c r="AE355" i="28"/>
  <c r="AF354" i="28"/>
  <c r="BC223" i="4"/>
  <c r="C223" i="4" s="1"/>
  <c r="BB223" i="4"/>
  <c r="D223" i="4" s="1"/>
  <c r="AG354" i="28" l="1"/>
  <c r="AB354" i="28"/>
  <c r="AF355" i="28"/>
  <c r="AE356" i="28"/>
  <c r="BB224" i="4"/>
  <c r="D224" i="4" s="1"/>
  <c r="BC224" i="4"/>
  <c r="C224" i="4" s="1"/>
  <c r="AG355" i="28" l="1"/>
  <c r="AB355" i="28"/>
  <c r="AE357" i="28"/>
  <c r="AF356" i="28"/>
  <c r="BC225" i="4"/>
  <c r="C225" i="4" s="1"/>
  <c r="BB225" i="4"/>
  <c r="D225" i="4" s="1"/>
  <c r="AG356" i="28" l="1"/>
  <c r="AB356" i="28"/>
  <c r="AE358" i="28"/>
  <c r="AF357" i="28"/>
  <c r="BB226" i="4"/>
  <c r="D226" i="4" s="1"/>
  <c r="BC226" i="4"/>
  <c r="C226" i="4" s="1"/>
  <c r="AG357" i="28" l="1"/>
  <c r="AB357" i="28"/>
  <c r="AF358" i="28"/>
  <c r="AE359" i="28"/>
  <c r="BC227" i="4"/>
  <c r="C227" i="4" s="1"/>
  <c r="BB227" i="4"/>
  <c r="D227" i="4" s="1"/>
  <c r="AG358" i="28" l="1"/>
  <c r="AB358" i="28"/>
  <c r="AF359" i="28"/>
  <c r="AE360" i="28"/>
  <c r="BB228" i="4"/>
  <c r="D228" i="4" s="1"/>
  <c r="BC228" i="4"/>
  <c r="C228" i="4" s="1"/>
  <c r="AG359" i="28" l="1"/>
  <c r="AB359" i="28"/>
  <c r="AF360" i="28"/>
  <c r="AE361" i="28"/>
  <c r="BC229" i="4"/>
  <c r="BB229" i="4"/>
  <c r="D229" i="4" s="1"/>
  <c r="AG360" i="28" l="1"/>
  <c r="AB360" i="28"/>
  <c r="AE362" i="28"/>
  <c r="AF361" i="28"/>
  <c r="BB230" i="4"/>
  <c r="D230" i="4" s="1"/>
  <c r="BC230" i="4"/>
  <c r="C230" i="4" s="1"/>
  <c r="AG361" i="28" l="1"/>
  <c r="AB361" i="28"/>
  <c r="AF362" i="28"/>
  <c r="AE363" i="28"/>
  <c r="BB231" i="4"/>
  <c r="D231" i="4" s="1"/>
  <c r="BC231" i="4"/>
  <c r="C231" i="4" s="1"/>
  <c r="AG362" i="28" l="1"/>
  <c r="AB362" i="28"/>
  <c r="AF363" i="28"/>
  <c r="AE364" i="28"/>
  <c r="BC232" i="4"/>
  <c r="C232" i="4" s="1"/>
  <c r="BB232" i="4"/>
  <c r="D232" i="4" s="1"/>
  <c r="AG363" i="28" l="1"/>
  <c r="AB363" i="28"/>
  <c r="AE365" i="28"/>
  <c r="AF364" i="28"/>
  <c r="BC233" i="4"/>
  <c r="C233" i="4" s="1"/>
  <c r="BB233" i="4"/>
  <c r="D233" i="4" s="1"/>
  <c r="AG364" i="28" l="1"/>
  <c r="AB364" i="28"/>
  <c r="AE366" i="28"/>
  <c r="AF365" i="28"/>
  <c r="BC234" i="4"/>
  <c r="BB234" i="4"/>
  <c r="D234" i="4" s="1"/>
  <c r="AG365" i="28" l="1"/>
  <c r="AB365" i="28"/>
  <c r="AE367" i="28"/>
  <c r="AF366" i="28"/>
  <c r="BC235" i="4"/>
  <c r="BB235" i="4"/>
  <c r="D235" i="4" s="1"/>
  <c r="AG366" i="28" l="1"/>
  <c r="AB366" i="28"/>
  <c r="AF367" i="28"/>
  <c r="AE368" i="28"/>
  <c r="BC236" i="4"/>
  <c r="BB236" i="4"/>
  <c r="D236" i="4" s="1"/>
  <c r="AG367" i="28" l="1"/>
  <c r="AB367" i="28"/>
  <c r="AE369" i="28"/>
  <c r="AF368" i="28"/>
  <c r="BC237" i="4"/>
  <c r="BB237" i="4"/>
  <c r="D237" i="4" s="1"/>
  <c r="AG368" i="28" l="1"/>
  <c r="AB368" i="28"/>
  <c r="AE370" i="28"/>
  <c r="AF369" i="28"/>
  <c r="BB238" i="4"/>
  <c r="D238" i="4" s="1"/>
  <c r="BC238" i="4"/>
  <c r="AG369" i="28" l="1"/>
  <c r="AB369" i="28"/>
  <c r="AE371" i="28"/>
  <c r="AF370" i="28"/>
  <c r="BB239" i="4"/>
  <c r="D239" i="4" s="1"/>
  <c r="BC239" i="4"/>
  <c r="AG370" i="28" l="1"/>
  <c r="AB370" i="28"/>
  <c r="AF371" i="28"/>
  <c r="AE372" i="28"/>
  <c r="BB240" i="4"/>
  <c r="D240" i="4" s="1"/>
  <c r="BC240" i="4"/>
  <c r="C240" i="4" s="1"/>
  <c r="AG371" i="28" l="1"/>
  <c r="AB371" i="28"/>
  <c r="AE373" i="28"/>
  <c r="AF372" i="28"/>
  <c r="BC241" i="4"/>
  <c r="C241" i="4" s="1"/>
  <c r="BB241" i="4"/>
  <c r="D241" i="4" s="1"/>
  <c r="AG372" i="28" l="1"/>
  <c r="AB372" i="28"/>
  <c r="AE374" i="28"/>
  <c r="AF373" i="28"/>
  <c r="BC242" i="4"/>
  <c r="C242" i="4" s="1"/>
  <c r="BB242" i="4"/>
  <c r="D242" i="4" s="1"/>
  <c r="AG373" i="28" l="1"/>
  <c r="AB373" i="28"/>
  <c r="AF374" i="28"/>
  <c r="AE375" i="28"/>
  <c r="BC243" i="4"/>
  <c r="C243" i="4" s="1"/>
  <c r="BB243" i="4"/>
  <c r="D243" i="4" s="1"/>
  <c r="AG374" i="28" l="1"/>
  <c r="AB374" i="28"/>
  <c r="AF375" i="28"/>
  <c r="AE376" i="28"/>
  <c r="BB244" i="4"/>
  <c r="D244" i="4" s="1"/>
  <c r="BC244" i="4"/>
  <c r="C244" i="4" s="1"/>
  <c r="AG375" i="28" l="1"/>
  <c r="AB375" i="28"/>
  <c r="AF376" i="28"/>
  <c r="AE377" i="28"/>
  <c r="BC245" i="4"/>
  <c r="C245" i="4" s="1"/>
  <c r="BB245" i="4"/>
  <c r="D245" i="4" s="1"/>
  <c r="AG376" i="28" l="1"/>
  <c r="AB376" i="28"/>
  <c r="AE378" i="28"/>
  <c r="AF377" i="28"/>
  <c r="BB246" i="4"/>
  <c r="D246" i="4" s="1"/>
  <c r="BC246" i="4"/>
  <c r="C246" i="4" s="1"/>
  <c r="AG377" i="28" l="1"/>
  <c r="AB377" i="28"/>
  <c r="AF378" i="28"/>
  <c r="AE379" i="28"/>
  <c r="BB247" i="4"/>
  <c r="D247" i="4" s="1"/>
  <c r="BC247" i="4"/>
  <c r="C247" i="4" s="1"/>
  <c r="AG378" i="28" l="1"/>
  <c r="AB378" i="28"/>
  <c r="AF379" i="28"/>
  <c r="AE380" i="28"/>
  <c r="BB248" i="4"/>
  <c r="D248" i="4" s="1"/>
  <c r="BC248" i="4"/>
  <c r="C248" i="4" s="1"/>
  <c r="AG379" i="28" l="1"/>
  <c r="AB379" i="28"/>
  <c r="AE381" i="28"/>
  <c r="AF380" i="28"/>
  <c r="BB249" i="4"/>
  <c r="D249" i="4" s="1"/>
  <c r="BC249" i="4"/>
  <c r="C249" i="4" s="1"/>
  <c r="AG380" i="28" l="1"/>
  <c r="AB380" i="28"/>
  <c r="AE382" i="28"/>
  <c r="AF381" i="28"/>
  <c r="BC250" i="4"/>
  <c r="C250" i="4" s="1"/>
  <c r="BB250" i="4"/>
  <c r="D250" i="4" s="1"/>
  <c r="AG381" i="28" l="1"/>
  <c r="AB381" i="28"/>
  <c r="AE383" i="28"/>
  <c r="AF382" i="28"/>
  <c r="BC251" i="4"/>
  <c r="C251" i="4" s="1"/>
  <c r="BB251" i="4"/>
  <c r="D251" i="4" s="1"/>
  <c r="AG382" i="28" l="1"/>
  <c r="AB382" i="28"/>
  <c r="AF383" i="28"/>
  <c r="AE384" i="28"/>
  <c r="BC252" i="4"/>
  <c r="C252" i="4" s="1"/>
  <c r="BB252" i="4"/>
  <c r="D252" i="4" s="1"/>
  <c r="AG383" i="28" l="1"/>
  <c r="AB383" i="28"/>
  <c r="AE385" i="28"/>
  <c r="AF384" i="28"/>
  <c r="BC253" i="4"/>
  <c r="C253" i="4" s="1"/>
  <c r="BB253" i="4"/>
  <c r="D253" i="4" s="1"/>
  <c r="AG384" i="28" l="1"/>
  <c r="AB384" i="28"/>
  <c r="AE386" i="28"/>
  <c r="AF385" i="28"/>
  <c r="BC254" i="4"/>
  <c r="C254" i="4" s="1"/>
  <c r="BB254" i="4"/>
  <c r="D254" i="4" s="1"/>
  <c r="AG385" i="28" l="1"/>
  <c r="AB385" i="28"/>
  <c r="AE387" i="28"/>
  <c r="AF386" i="28"/>
  <c r="BB255" i="4"/>
  <c r="D255" i="4" s="1"/>
  <c r="BC255" i="4"/>
  <c r="C255" i="4" s="1"/>
  <c r="AG386" i="28" l="1"/>
  <c r="AB386" i="28"/>
  <c r="AF387" i="28"/>
  <c r="AE388" i="28"/>
  <c r="BB256" i="4"/>
  <c r="D256" i="4" s="1"/>
  <c r="BC256" i="4"/>
  <c r="C256" i="4" s="1"/>
  <c r="AG387" i="28" l="1"/>
  <c r="AB387" i="28"/>
  <c r="AE389" i="28"/>
  <c r="AF388" i="28"/>
  <c r="BC257" i="4"/>
  <c r="C257" i="4" s="1"/>
  <c r="BB257" i="4"/>
  <c r="D257" i="4" s="1"/>
  <c r="AG388" i="28" l="1"/>
  <c r="AB388" i="28"/>
  <c r="AE390" i="28"/>
  <c r="AF389" i="28"/>
  <c r="BC258" i="4"/>
  <c r="C258" i="4" s="1"/>
  <c r="BB258" i="4"/>
  <c r="D258" i="4" s="1"/>
  <c r="AG389" i="28" l="1"/>
  <c r="AB389" i="28"/>
  <c r="AF390" i="28"/>
  <c r="AE391" i="28"/>
  <c r="BC259" i="4"/>
  <c r="C259" i="4" s="1"/>
  <c r="BB259" i="4"/>
  <c r="D259" i="4" s="1"/>
  <c r="AG390" i="28" l="1"/>
  <c r="AB390" i="28"/>
  <c r="AF391" i="28"/>
  <c r="AE392" i="28"/>
  <c r="BC260" i="4"/>
  <c r="C260" i="4" s="1"/>
  <c r="BB260" i="4"/>
  <c r="D260" i="4" s="1"/>
  <c r="AG391" i="28" l="1"/>
  <c r="AB391" i="28"/>
  <c r="AF392" i="28"/>
  <c r="AE393" i="28"/>
  <c r="BB261" i="4"/>
  <c r="D261" i="4" s="1"/>
  <c r="BC261" i="4"/>
  <c r="C261" i="4" s="1"/>
  <c r="AG392" i="28" l="1"/>
  <c r="AB392" i="28"/>
  <c r="AE394" i="28"/>
  <c r="AF393" i="28"/>
  <c r="BB262" i="4"/>
  <c r="D262" i="4" s="1"/>
  <c r="BC262" i="4"/>
  <c r="C262" i="4" s="1"/>
  <c r="AG393" i="28" l="1"/>
  <c r="AB393" i="28"/>
  <c r="AF394" i="28"/>
  <c r="AE395" i="28"/>
  <c r="BB263" i="4"/>
  <c r="D263" i="4" s="1"/>
  <c r="BC263" i="4"/>
  <c r="C263" i="4" s="1"/>
  <c r="AG394" i="28" l="1"/>
  <c r="AB394" i="28"/>
  <c r="AF395" i="28"/>
  <c r="AE396" i="28"/>
  <c r="BC264" i="4"/>
  <c r="C264" i="4" s="1"/>
  <c r="BB264" i="4"/>
  <c r="D264" i="4" s="1"/>
  <c r="AG395" i="28" l="1"/>
  <c r="AB395" i="28"/>
  <c r="AE397" i="28"/>
  <c r="AF396" i="28"/>
  <c r="BC265" i="4"/>
  <c r="C265" i="4" s="1"/>
  <c r="BB265" i="4"/>
  <c r="D265" i="4" s="1"/>
  <c r="AG396" i="28" l="1"/>
  <c r="AB396" i="28"/>
  <c r="AE398" i="28"/>
  <c r="AF397" i="28"/>
  <c r="BB266" i="4"/>
  <c r="D266" i="4" s="1"/>
  <c r="BC266" i="4"/>
  <c r="C266" i="4" s="1"/>
  <c r="AG397" i="28" l="1"/>
  <c r="AB397" i="28"/>
  <c r="AE399" i="28"/>
  <c r="AF398" i="28"/>
  <c r="BC267" i="4"/>
  <c r="BB267" i="4"/>
  <c r="D267" i="4" s="1"/>
  <c r="AG398" i="28" l="1"/>
  <c r="AB398" i="28"/>
  <c r="AF399" i="28"/>
  <c r="AE400" i="28"/>
  <c r="BC268" i="4"/>
  <c r="C268" i="4" s="1"/>
  <c r="BB268" i="4"/>
  <c r="D268" i="4" s="1"/>
  <c r="AG399" i="28" l="1"/>
  <c r="AB399" i="28"/>
  <c r="AF400" i="28"/>
  <c r="AE401" i="28"/>
  <c r="BC269" i="4"/>
  <c r="C269" i="4" s="1"/>
  <c r="BB269" i="4"/>
  <c r="D269" i="4" s="1"/>
  <c r="AG400" i="28" l="1"/>
  <c r="AB400" i="28"/>
  <c r="AE402" i="28"/>
  <c r="AF401" i="28"/>
  <c r="BC270" i="4"/>
  <c r="C270" i="4" s="1"/>
  <c r="BB270" i="4"/>
  <c r="D270" i="4" s="1"/>
  <c r="AG401" i="28" l="1"/>
  <c r="AB401" i="28"/>
  <c r="AE403" i="28"/>
  <c r="AF402" i="28"/>
  <c r="BB271" i="4"/>
  <c r="D271" i="4" s="1"/>
  <c r="BC271" i="4"/>
  <c r="C271" i="4" s="1"/>
  <c r="AG402" i="28" l="1"/>
  <c r="AB402" i="28"/>
  <c r="AF403" i="28"/>
  <c r="AE404" i="28"/>
  <c r="BB272" i="4"/>
  <c r="D272" i="4" s="1"/>
  <c r="BC272" i="4"/>
  <c r="AG403" i="28" l="1"/>
  <c r="AB403" i="28"/>
  <c r="AE405" i="28"/>
  <c r="AF404" i="28"/>
  <c r="BC273" i="4"/>
  <c r="BB273" i="4"/>
  <c r="D273" i="4" s="1"/>
  <c r="AG404" i="28" l="1"/>
  <c r="AB404" i="28"/>
  <c r="AE406" i="28"/>
  <c r="AF405" i="28"/>
  <c r="BC274" i="4"/>
  <c r="BB274" i="4"/>
  <c r="D274" i="4" s="1"/>
  <c r="AG405" i="28" l="1"/>
  <c r="AB405" i="28"/>
  <c r="AF406" i="28"/>
  <c r="AE407" i="28"/>
  <c r="BC275" i="4"/>
  <c r="BB275" i="4"/>
  <c r="D275" i="4" s="1"/>
  <c r="AG406" i="28" l="1"/>
  <c r="AB406" i="28"/>
  <c r="AF407" i="28"/>
  <c r="AE408" i="28"/>
  <c r="BC276" i="4"/>
  <c r="BB276" i="4"/>
  <c r="D276" i="4" s="1"/>
  <c r="AG407" i="28" l="1"/>
  <c r="AB407" i="28"/>
  <c r="AF408" i="28"/>
  <c r="AE409" i="28"/>
  <c r="BC277" i="4"/>
  <c r="BB277" i="4"/>
  <c r="D277" i="4" s="1"/>
  <c r="AG408" i="28" l="1"/>
  <c r="AB408" i="28"/>
  <c r="AE410" i="28"/>
  <c r="AF409" i="28"/>
  <c r="BC278" i="4"/>
  <c r="C278" i="4" s="1"/>
  <c r="BB278" i="4"/>
  <c r="D278" i="4" s="1"/>
  <c r="AG409" i="28" l="1"/>
  <c r="AB409" i="28"/>
  <c r="AF410" i="28"/>
  <c r="AE411" i="28"/>
  <c r="BB279" i="4"/>
  <c r="D279" i="4" s="1"/>
  <c r="BC279" i="4"/>
  <c r="C279" i="4" s="1"/>
  <c r="AG410" i="28" l="1"/>
  <c r="AB410" i="28"/>
  <c r="AF411" i="28"/>
  <c r="AE412" i="28"/>
  <c r="BC280" i="4"/>
  <c r="C280" i="4" s="1"/>
  <c r="BB280" i="4"/>
  <c r="D280" i="4" s="1"/>
  <c r="AG411" i="28" l="1"/>
  <c r="AB411" i="28"/>
  <c r="AE413" i="28"/>
  <c r="AF412" i="28"/>
  <c r="BC281" i="4"/>
  <c r="C281" i="4" s="1"/>
  <c r="BB281" i="4"/>
  <c r="D281" i="4" s="1"/>
  <c r="AG412" i="28" l="1"/>
  <c r="AB412" i="28"/>
  <c r="AE414" i="28"/>
  <c r="AF413" i="28"/>
  <c r="BC282" i="4"/>
  <c r="C282" i="4" s="1"/>
  <c r="BB282" i="4"/>
  <c r="D282" i="4" s="1"/>
  <c r="AG413" i="28" l="1"/>
  <c r="AB413" i="28"/>
  <c r="AE415" i="28"/>
  <c r="AF414" i="28"/>
  <c r="BC283" i="4"/>
  <c r="C283" i="4" s="1"/>
  <c r="BB283" i="4"/>
  <c r="D283" i="4" s="1"/>
  <c r="AG414" i="28" l="1"/>
  <c r="AB414" i="28"/>
  <c r="AF415" i="28"/>
  <c r="AE416" i="28"/>
  <c r="BB284" i="4"/>
  <c r="D284" i="4" s="1"/>
  <c r="BC284" i="4"/>
  <c r="C284" i="4" s="1"/>
  <c r="AG415" i="28" l="1"/>
  <c r="AB415" i="28"/>
  <c r="AE417" i="28"/>
  <c r="AF416" i="28"/>
  <c r="BC285" i="4"/>
  <c r="C285" i="4" s="1"/>
  <c r="BB285" i="4"/>
  <c r="D285" i="4" s="1"/>
  <c r="AG416" i="28" l="1"/>
  <c r="AB416" i="28"/>
  <c r="AE418" i="28"/>
  <c r="AF417" i="28"/>
  <c r="BB286" i="4"/>
  <c r="D286" i="4" s="1"/>
  <c r="BC286" i="4"/>
  <c r="C286" i="4" s="1"/>
  <c r="AG417" i="28" l="1"/>
  <c r="AB417" i="28"/>
  <c r="AE419" i="28"/>
  <c r="AF418" i="28"/>
  <c r="BB287" i="4"/>
  <c r="D287" i="4" s="1"/>
  <c r="BC287" i="4"/>
  <c r="C287" i="4" s="1"/>
  <c r="AG418" i="28" l="1"/>
  <c r="AB418" i="28"/>
  <c r="AF419" i="28"/>
  <c r="AE420" i="28"/>
  <c r="BC288" i="4"/>
  <c r="C288" i="4" s="1"/>
  <c r="BB288" i="4"/>
  <c r="D288" i="4" s="1"/>
  <c r="AG419" i="28" l="1"/>
  <c r="AB419" i="28"/>
  <c r="AE421" i="28"/>
  <c r="AF420" i="28"/>
  <c r="BC289" i="4"/>
  <c r="C289" i="4" s="1"/>
  <c r="BB289" i="4"/>
  <c r="D289" i="4" s="1"/>
  <c r="AG420" i="28" l="1"/>
  <c r="AB420" i="28"/>
  <c r="AE422" i="28"/>
  <c r="AF421" i="28"/>
  <c r="BC290" i="4"/>
  <c r="C290" i="4" s="1"/>
  <c r="BB290" i="4"/>
  <c r="D290" i="4" s="1"/>
  <c r="AG421" i="28" l="1"/>
  <c r="AB421" i="28"/>
  <c r="AF422" i="28"/>
  <c r="AE423" i="28"/>
  <c r="BC291" i="4"/>
  <c r="C291" i="4" s="1"/>
  <c r="BB291" i="4"/>
  <c r="D291" i="4" s="1"/>
  <c r="AG422" i="28" l="1"/>
  <c r="AB422" i="28"/>
  <c r="AF423" i="28"/>
  <c r="AE424" i="28"/>
  <c r="BC292" i="4"/>
  <c r="C292" i="4" s="1"/>
  <c r="BB292" i="4"/>
  <c r="D292" i="4" s="1"/>
  <c r="AG423" i="28" l="1"/>
  <c r="AB423" i="28"/>
  <c r="AF424" i="28"/>
  <c r="AE425" i="28"/>
  <c r="BC293" i="4"/>
  <c r="C293" i="4" s="1"/>
  <c r="BB293" i="4"/>
  <c r="D293" i="4" s="1"/>
  <c r="AG424" i="28" l="1"/>
  <c r="AB424" i="28"/>
  <c r="AE426" i="28"/>
  <c r="AF425" i="28"/>
  <c r="BB294" i="4"/>
  <c r="D294" i="4" s="1"/>
  <c r="BC294" i="4"/>
  <c r="C294" i="4" s="1"/>
  <c r="AG425" i="28" l="1"/>
  <c r="AB425" i="28"/>
  <c r="AF426" i="28"/>
  <c r="AE427" i="28"/>
  <c r="BB295" i="4"/>
  <c r="D295" i="4" s="1"/>
  <c r="BC295" i="4"/>
  <c r="C295" i="4" s="1"/>
  <c r="AG426" i="28" l="1"/>
  <c r="AB426" i="28"/>
  <c r="AF427" i="28"/>
  <c r="AE428" i="28"/>
  <c r="BC296" i="4"/>
  <c r="C296" i="4" s="1"/>
  <c r="BB296" i="4"/>
  <c r="D296" i="4" s="1"/>
  <c r="AG427" i="28" l="1"/>
  <c r="AB427" i="28"/>
  <c r="AE429" i="28"/>
  <c r="AF428" i="28"/>
  <c r="BC297" i="4"/>
  <c r="C297" i="4" s="1"/>
  <c r="BB297" i="4"/>
  <c r="D297" i="4" s="1"/>
  <c r="AG428" i="28" l="1"/>
  <c r="AB428" i="28"/>
  <c r="AE430" i="28"/>
  <c r="AF429" i="28"/>
  <c r="BC298" i="4"/>
  <c r="C298" i="4" s="1"/>
  <c r="BB298" i="4"/>
  <c r="D298" i="4" s="1"/>
  <c r="AG429" i="28" l="1"/>
  <c r="AB429" i="28"/>
  <c r="AE431" i="28"/>
  <c r="AF430" i="28"/>
  <c r="BC299" i="4"/>
  <c r="C299" i="4" s="1"/>
  <c r="BB299" i="4"/>
  <c r="D299" i="4" s="1"/>
  <c r="AG430" i="28" l="1"/>
  <c r="AB430" i="28"/>
  <c r="AF431" i="28"/>
  <c r="AE432" i="28"/>
  <c r="BB300" i="4"/>
  <c r="D300" i="4" s="1"/>
  <c r="BC300" i="4"/>
  <c r="C300" i="4" s="1"/>
  <c r="AG431" i="28" l="1"/>
  <c r="AB431" i="28"/>
  <c r="AE433" i="28"/>
  <c r="AF432" i="28"/>
  <c r="BC301" i="4"/>
  <c r="C301" i="4" s="1"/>
  <c r="BB301" i="4"/>
  <c r="D301" i="4" s="1"/>
  <c r="AG432" i="28" l="1"/>
  <c r="AB432" i="28"/>
  <c r="AE434" i="28"/>
  <c r="AF433" i="28"/>
  <c r="BB302" i="4"/>
  <c r="D302" i="4" s="1"/>
  <c r="BC302" i="4"/>
  <c r="C302" i="4" s="1"/>
  <c r="AG433" i="28" l="1"/>
  <c r="AB433" i="28"/>
  <c r="AE435" i="28"/>
  <c r="AF434" i="28"/>
  <c r="BC303" i="4"/>
  <c r="C303" i="4" s="1"/>
  <c r="BB303" i="4"/>
  <c r="D303" i="4" s="1"/>
  <c r="AG434" i="28" l="1"/>
  <c r="AB434" i="28"/>
  <c r="AF435" i="28"/>
  <c r="AE436" i="28"/>
  <c r="BB304" i="4"/>
  <c r="D304" i="4" s="1"/>
  <c r="BC304" i="4"/>
  <c r="C304" i="4" s="1"/>
  <c r="AG435" i="28" l="1"/>
  <c r="AB435" i="28"/>
  <c r="AE437" i="28"/>
  <c r="AF436" i="28"/>
  <c r="BC305" i="4"/>
  <c r="BB305" i="4"/>
  <c r="D305" i="4" s="1"/>
  <c r="AG436" i="28" l="1"/>
  <c r="AB436" i="28"/>
  <c r="AE438" i="28"/>
  <c r="AF437" i="28"/>
  <c r="BC306" i="4"/>
  <c r="C306" i="4" s="1"/>
  <c r="BB306" i="4"/>
  <c r="D306" i="4" s="1"/>
  <c r="AG437" i="28" l="1"/>
  <c r="AB437" i="28"/>
  <c r="AF438" i="28"/>
  <c r="AE439" i="28"/>
  <c r="BC307" i="4"/>
  <c r="C307" i="4" s="1"/>
  <c r="BB307" i="4"/>
  <c r="D307" i="4" s="1"/>
  <c r="AG438" i="28" l="1"/>
  <c r="AB438" i="28"/>
  <c r="AF439" i="28"/>
  <c r="AE440" i="28"/>
  <c r="BC308" i="4"/>
  <c r="C308" i="4" s="1"/>
  <c r="BB308" i="4"/>
  <c r="D308" i="4" s="1"/>
  <c r="AG439" i="28" l="1"/>
  <c r="AB439" i="28"/>
  <c r="AF440" i="28"/>
  <c r="AE441" i="28"/>
  <c r="BC309" i="4"/>
  <c r="C309" i="4" s="1"/>
  <c r="BB309" i="4"/>
  <c r="D309" i="4" s="1"/>
  <c r="AG440" i="28" l="1"/>
  <c r="AB440" i="28"/>
  <c r="AE442" i="28"/>
  <c r="AF441" i="28"/>
  <c r="BB310" i="4"/>
  <c r="D310" i="4" s="1"/>
  <c r="BC310" i="4"/>
  <c r="AG441" i="28" l="1"/>
  <c r="AB441" i="28"/>
  <c r="AF442" i="28"/>
  <c r="AE443" i="28"/>
  <c r="BC311" i="4"/>
  <c r="BB311" i="4"/>
  <c r="D311" i="4" s="1"/>
  <c r="AG442" i="28" l="1"/>
  <c r="AB442" i="28"/>
  <c r="AF443" i="28"/>
  <c r="AE444" i="28"/>
  <c r="BC312" i="4"/>
  <c r="BB312" i="4"/>
  <c r="D312" i="4" s="1"/>
  <c r="AG443" i="28" l="1"/>
  <c r="AB443" i="28"/>
  <c r="AE445" i="28"/>
  <c r="AF444" i="28"/>
  <c r="BB313" i="4"/>
  <c r="D313" i="4" s="1"/>
  <c r="BC313" i="4"/>
  <c r="AG444" i="28" l="1"/>
  <c r="AB444" i="28"/>
  <c r="AE446" i="28"/>
  <c r="AF445" i="28"/>
  <c r="BB314" i="4"/>
  <c r="D314" i="4" s="1"/>
  <c r="BC314" i="4"/>
  <c r="AG445" i="28" l="1"/>
  <c r="AB445" i="28"/>
  <c r="AE447" i="28"/>
  <c r="AF446" i="28"/>
  <c r="BC315" i="4"/>
  <c r="BB315" i="4"/>
  <c r="D315" i="4" s="1"/>
  <c r="AG446" i="28" l="1"/>
  <c r="AB446" i="28"/>
  <c r="AF447" i="28"/>
  <c r="AE448" i="28"/>
  <c r="BC316" i="4"/>
  <c r="C316" i="4" s="1"/>
  <c r="BB316" i="4"/>
  <c r="D316" i="4" s="1"/>
  <c r="AG447" i="28" l="1"/>
  <c r="AB447" i="28"/>
  <c r="AE449" i="28"/>
  <c r="AF448" i="28"/>
  <c r="BC317" i="4"/>
  <c r="C317" i="4" s="1"/>
  <c r="BB317" i="4"/>
  <c r="D317" i="4" s="1"/>
  <c r="AG448" i="28" l="1"/>
  <c r="AB448" i="28"/>
  <c r="AE450" i="28"/>
  <c r="AF449" i="28"/>
  <c r="BB318" i="4"/>
  <c r="D318" i="4" s="1"/>
  <c r="BC318" i="4"/>
  <c r="C318" i="4" s="1"/>
  <c r="AG449" i="28" l="1"/>
  <c r="AB449" i="28"/>
  <c r="AE451" i="28"/>
  <c r="AF450" i="28"/>
  <c r="BB319" i="4"/>
  <c r="D319" i="4" s="1"/>
  <c r="BC319" i="4"/>
  <c r="C319" i="4" s="1"/>
  <c r="AG450" i="28" l="1"/>
  <c r="AB450" i="28"/>
  <c r="AF451" i="28"/>
  <c r="AE452" i="28"/>
  <c r="BB320" i="4"/>
  <c r="D320" i="4" s="1"/>
  <c r="BC320" i="4"/>
  <c r="C320" i="4" s="1"/>
  <c r="AG451" i="28" l="1"/>
  <c r="AB451" i="28"/>
  <c r="AE453" i="28"/>
  <c r="AF452" i="28"/>
  <c r="BC321" i="4"/>
  <c r="C321" i="4" s="1"/>
  <c r="BB321" i="4"/>
  <c r="D321" i="4" s="1"/>
  <c r="AG452" i="28" l="1"/>
  <c r="AB452" i="28"/>
  <c r="AE454" i="28"/>
  <c r="AF453" i="28"/>
  <c r="BC322" i="4"/>
  <c r="C322" i="4" s="1"/>
  <c r="BB322" i="4"/>
  <c r="D322" i="4" s="1"/>
  <c r="AG453" i="28" l="1"/>
  <c r="AB453" i="28"/>
  <c r="AF454" i="28"/>
  <c r="AE455" i="28"/>
  <c r="BB323" i="4"/>
  <c r="D323" i="4" s="1"/>
  <c r="BC323" i="4"/>
  <c r="C323" i="4" s="1"/>
  <c r="AG454" i="28" l="1"/>
  <c r="AB454" i="28"/>
  <c r="AF455" i="28"/>
  <c r="AE456" i="28"/>
  <c r="BB324" i="4"/>
  <c r="D324" i="4" s="1"/>
  <c r="BC324" i="4"/>
  <c r="C324" i="4" s="1"/>
  <c r="AG455" i="28" l="1"/>
  <c r="AB455" i="28"/>
  <c r="AF456" i="28"/>
  <c r="AE457" i="28"/>
  <c r="BB325" i="4"/>
  <c r="D325" i="4" s="1"/>
  <c r="BC325" i="4"/>
  <c r="C325" i="4" s="1"/>
  <c r="AG456" i="28" l="1"/>
  <c r="AB456" i="28"/>
  <c r="AE458" i="28"/>
  <c r="AF457" i="28"/>
  <c r="BC326" i="4"/>
  <c r="C326" i="4" s="1"/>
  <c r="BB326" i="4"/>
  <c r="D326" i="4" s="1"/>
  <c r="AG457" i="28" l="1"/>
  <c r="AB457" i="28"/>
  <c r="AF458" i="28"/>
  <c r="AE459" i="28"/>
  <c r="BC327" i="4"/>
  <c r="C327" i="4" s="1"/>
  <c r="BB327" i="4"/>
  <c r="D327" i="4" s="1"/>
  <c r="AG458" i="28" l="1"/>
  <c r="AB458" i="28"/>
  <c r="AF459" i="28"/>
  <c r="AE460" i="28"/>
  <c r="BB328" i="4"/>
  <c r="D328" i="4" s="1"/>
  <c r="BC328" i="4"/>
  <c r="C328" i="4" s="1"/>
  <c r="AG459" i="28" l="1"/>
  <c r="AB459" i="28"/>
  <c r="AE461" i="28"/>
  <c r="AF460" i="28"/>
  <c r="BB329" i="4"/>
  <c r="D329" i="4" s="1"/>
  <c r="BC329" i="4"/>
  <c r="C329" i="4" s="1"/>
  <c r="AG460" i="28" l="1"/>
  <c r="AB460" i="28"/>
  <c r="AE462" i="28"/>
  <c r="AF461" i="28"/>
  <c r="BB330" i="4"/>
  <c r="D330" i="4" s="1"/>
  <c r="BC330" i="4"/>
  <c r="C330" i="4" s="1"/>
  <c r="AG461" i="28" l="1"/>
  <c r="AB461" i="28"/>
  <c r="AE463" i="28"/>
  <c r="AF462" i="28"/>
  <c r="BB331" i="4"/>
  <c r="D331" i="4" s="1"/>
  <c r="BC331" i="4"/>
  <c r="C331" i="4" s="1"/>
  <c r="AG462" i="28" l="1"/>
  <c r="AB462" i="28"/>
  <c r="AF463" i="28"/>
  <c r="AE464" i="28"/>
  <c r="BC332" i="4"/>
  <c r="C332" i="4" s="1"/>
  <c r="BB332" i="4"/>
  <c r="D332" i="4" s="1"/>
  <c r="AG463" i="28" l="1"/>
  <c r="AB463" i="28"/>
  <c r="AF464" i="28"/>
  <c r="AE465" i="28"/>
  <c r="BB333" i="4"/>
  <c r="D333" i="4" s="1"/>
  <c r="BC333" i="4"/>
  <c r="C333" i="4" s="1"/>
  <c r="AG464" i="28" l="1"/>
  <c r="AB464" i="28"/>
  <c r="AE466" i="28"/>
  <c r="AF465" i="28"/>
  <c r="BC334" i="4"/>
  <c r="C334" i="4" s="1"/>
  <c r="BB334" i="4"/>
  <c r="D334" i="4" s="1"/>
  <c r="AG465" i="28" l="1"/>
  <c r="AB465" i="28"/>
  <c r="AE467" i="28"/>
  <c r="AF466" i="28"/>
  <c r="BC335" i="4"/>
  <c r="C335" i="4" s="1"/>
  <c r="BB335" i="4"/>
  <c r="D335" i="4" s="1"/>
  <c r="AG466" i="28" l="1"/>
  <c r="AB466" i="28"/>
  <c r="AF467" i="28"/>
  <c r="AE468" i="28"/>
  <c r="BC336" i="4"/>
  <c r="C336" i="4" s="1"/>
  <c r="BB336" i="4"/>
  <c r="D336" i="4" s="1"/>
  <c r="AG467" i="28" l="1"/>
  <c r="AB467" i="28"/>
  <c r="AE469" i="28"/>
  <c r="AF468" i="28"/>
  <c r="BB337" i="4"/>
  <c r="D337" i="4" s="1"/>
  <c r="BC337" i="4"/>
  <c r="C337" i="4" s="1"/>
  <c r="AG468" i="28" l="1"/>
  <c r="AB468" i="28"/>
  <c r="AE470" i="28"/>
  <c r="AF469" i="28"/>
  <c r="BB338" i="4"/>
  <c r="D338" i="4" s="1"/>
  <c r="BC338" i="4"/>
  <c r="C338" i="4" s="1"/>
  <c r="AG469" i="28" l="1"/>
  <c r="AB469" i="28"/>
  <c r="AF470" i="28"/>
  <c r="AE471" i="28"/>
  <c r="BB339" i="4"/>
  <c r="D339" i="4" s="1"/>
  <c r="BC339" i="4"/>
  <c r="C339" i="4" s="1"/>
  <c r="AG470" i="28" l="1"/>
  <c r="AB470" i="28"/>
  <c r="AF471" i="28"/>
  <c r="AE472" i="28"/>
  <c r="BB340" i="4"/>
  <c r="D340" i="4" s="1"/>
  <c r="BC340" i="4"/>
  <c r="C340" i="4" s="1"/>
  <c r="AG471" i="28" l="1"/>
  <c r="AB471" i="28"/>
  <c r="AF472" i="28"/>
  <c r="AE473" i="28"/>
  <c r="BC341" i="4"/>
  <c r="C341" i="4" s="1"/>
  <c r="BB341" i="4"/>
  <c r="D341" i="4" s="1"/>
  <c r="AG472" i="28" l="1"/>
  <c r="AB472" i="28"/>
  <c r="AE474" i="28"/>
  <c r="AF473" i="28"/>
  <c r="BC342" i="4"/>
  <c r="C342" i="4" s="1"/>
  <c r="BB342" i="4"/>
  <c r="D342" i="4" s="1"/>
  <c r="AG473" i="28" l="1"/>
  <c r="AB473" i="28"/>
  <c r="AF474" i="28"/>
  <c r="AE475" i="28"/>
  <c r="BC343" i="4"/>
  <c r="BB343" i="4"/>
  <c r="D343" i="4" s="1"/>
  <c r="AG474" i="28" l="1"/>
  <c r="AB474" i="28"/>
  <c r="AF475" i="28"/>
  <c r="AE476" i="28"/>
  <c r="BB344" i="4"/>
  <c r="D344" i="4" s="1"/>
  <c r="BC344" i="4"/>
  <c r="C344" i="4" s="1"/>
  <c r="AG475" i="28" l="1"/>
  <c r="AB475" i="28"/>
  <c r="AE477" i="28"/>
  <c r="AF476" i="28"/>
  <c r="BB345" i="4"/>
  <c r="D345" i="4" s="1"/>
  <c r="BC345" i="4"/>
  <c r="C345" i="4" s="1"/>
  <c r="AG476" i="28" l="1"/>
  <c r="AB476" i="28"/>
  <c r="AE478" i="28"/>
  <c r="AF477" i="28"/>
  <c r="BB346" i="4"/>
  <c r="D346" i="4" s="1"/>
  <c r="BC346" i="4"/>
  <c r="C346" i="4" s="1"/>
  <c r="AG477" i="28" l="1"/>
  <c r="AB477" i="28"/>
  <c r="AE479" i="28"/>
  <c r="AF478" i="28"/>
  <c r="BB347" i="4"/>
  <c r="D347" i="4" s="1"/>
  <c r="BC347" i="4"/>
  <c r="C347" i="4" s="1"/>
  <c r="AG478" i="28" l="1"/>
  <c r="AB478" i="28"/>
  <c r="AF479" i="28"/>
  <c r="AE480" i="28"/>
  <c r="BB348" i="4"/>
  <c r="D348" i="4" s="1"/>
  <c r="BC348" i="4"/>
  <c r="AG479" i="28" l="1"/>
  <c r="AB479" i="28"/>
  <c r="AF480" i="28"/>
  <c r="AE481" i="28"/>
  <c r="BB349" i="4"/>
  <c r="D349" i="4" s="1"/>
  <c r="BC349" i="4"/>
  <c r="AG480" i="28" l="1"/>
  <c r="AB480" i="28"/>
  <c r="AE482" i="28"/>
  <c r="AF481" i="28"/>
  <c r="BC350" i="4"/>
  <c r="BB350" i="4"/>
  <c r="D350" i="4" s="1"/>
  <c r="AG481" i="28" l="1"/>
  <c r="AB481" i="28"/>
  <c r="AE483" i="28"/>
  <c r="AF482" i="28"/>
  <c r="BB351" i="4"/>
  <c r="D351" i="4" s="1"/>
  <c r="BC351" i="4"/>
  <c r="AG482" i="28" l="1"/>
  <c r="AB482" i="28"/>
  <c r="AF483" i="28"/>
  <c r="AE484" i="28"/>
  <c r="BB352" i="4"/>
  <c r="D352" i="4" s="1"/>
  <c r="BC352" i="4"/>
  <c r="AG483" i="28" l="1"/>
  <c r="AB483" i="28"/>
  <c r="AE485" i="28"/>
  <c r="AF484" i="28"/>
  <c r="BB353" i="4"/>
  <c r="D353" i="4" s="1"/>
  <c r="BC353" i="4"/>
  <c r="AG484" i="28" l="1"/>
  <c r="AB484" i="28"/>
  <c r="AE486" i="28"/>
  <c r="AF485" i="28"/>
  <c r="BB354" i="4"/>
  <c r="D354" i="4" s="1"/>
  <c r="BC354" i="4"/>
  <c r="C354" i="4" s="1"/>
  <c r="AG485" i="28" l="1"/>
  <c r="AB485" i="28"/>
  <c r="AF486" i="28"/>
  <c r="AE487" i="28"/>
  <c r="BB355" i="4"/>
  <c r="D355" i="4" s="1"/>
  <c r="BC355" i="4"/>
  <c r="C355" i="4" s="1"/>
  <c r="AG486" i="28" l="1"/>
  <c r="AB486" i="28"/>
  <c r="AF487" i="28"/>
  <c r="AE488" i="28"/>
  <c r="BB356" i="4"/>
  <c r="D356" i="4" s="1"/>
  <c r="BC356" i="4"/>
  <c r="C356" i="4" s="1"/>
  <c r="AG487" i="28" l="1"/>
  <c r="AB487" i="28"/>
  <c r="AF488" i="28"/>
  <c r="AE489" i="28"/>
  <c r="BB357" i="4"/>
  <c r="D357" i="4" s="1"/>
  <c r="BC357" i="4"/>
  <c r="C357" i="4" s="1"/>
  <c r="AG488" i="28" l="1"/>
  <c r="AB488" i="28"/>
  <c r="AE490" i="28"/>
  <c r="AF489" i="28"/>
  <c r="BC358" i="4"/>
  <c r="C358" i="4" s="1"/>
  <c r="BB358" i="4"/>
  <c r="D358" i="4" s="1"/>
  <c r="AG489" i="28" l="1"/>
  <c r="AB489" i="28"/>
  <c r="AF490" i="28"/>
  <c r="AE491" i="28"/>
  <c r="BC359" i="4"/>
  <c r="C359" i="4" s="1"/>
  <c r="BB359" i="4"/>
  <c r="D359" i="4" s="1"/>
  <c r="AG490" i="28" l="1"/>
  <c r="AB490" i="28"/>
  <c r="AF491" i="28"/>
  <c r="AE492" i="28"/>
  <c r="BC360" i="4"/>
  <c r="C360" i="4" s="1"/>
  <c r="BB360" i="4"/>
  <c r="D360" i="4" s="1"/>
  <c r="AG491" i="28" l="1"/>
  <c r="AB491" i="28"/>
  <c r="AE493" i="28"/>
  <c r="AF492" i="28"/>
  <c r="BB361" i="4"/>
  <c r="D361" i="4" s="1"/>
  <c r="BC361" i="4"/>
  <c r="C361" i="4" s="1"/>
  <c r="AG492" i="28" l="1"/>
  <c r="AB492" i="28"/>
  <c r="AE494" i="28"/>
  <c r="AF493" i="28"/>
  <c r="BC362" i="4"/>
  <c r="C362" i="4" s="1"/>
  <c r="BB362" i="4"/>
  <c r="D362" i="4" s="1"/>
  <c r="AG493" i="28" l="1"/>
  <c r="AB493" i="28"/>
  <c r="AE495" i="28"/>
  <c r="AF494" i="28"/>
  <c r="BB363" i="4"/>
  <c r="D363" i="4" s="1"/>
  <c r="BC363" i="4"/>
  <c r="C363" i="4" s="1"/>
  <c r="AG494" i="28" l="1"/>
  <c r="AB494" i="28"/>
  <c r="AF495" i="28"/>
  <c r="AE496" i="28"/>
  <c r="BB364" i="4"/>
  <c r="D364" i="4" s="1"/>
  <c r="BC364" i="4"/>
  <c r="C364" i="4" s="1"/>
  <c r="AG495" i="28" l="1"/>
  <c r="AB495" i="28"/>
  <c r="AF496" i="28"/>
  <c r="AE497" i="28"/>
  <c r="BB365" i="4"/>
  <c r="D365" i="4" s="1"/>
  <c r="BC365" i="4"/>
  <c r="C365" i="4" s="1"/>
  <c r="AG496" i="28" l="1"/>
  <c r="AB496" i="28"/>
  <c r="AE498" i="28"/>
  <c r="AF497" i="28"/>
  <c r="BC366" i="4"/>
  <c r="C366" i="4" s="1"/>
  <c r="BB366" i="4"/>
  <c r="D366" i="4" s="1"/>
  <c r="AG497" i="28" l="1"/>
  <c r="AB497" i="28"/>
  <c r="AE499" i="28"/>
  <c r="AF498" i="28"/>
  <c r="BC367" i="4"/>
  <c r="C367" i="4" s="1"/>
  <c r="BB367" i="4"/>
  <c r="D367" i="4" s="1"/>
  <c r="AG498" i="28" l="1"/>
  <c r="AB498" i="28"/>
  <c r="AF499" i="28"/>
  <c r="AE500" i="28"/>
  <c r="BB368" i="4"/>
  <c r="D368" i="4" s="1"/>
  <c r="BC368" i="4"/>
  <c r="C368" i="4" s="1"/>
  <c r="AG499" i="28" l="1"/>
  <c r="AB499" i="28"/>
  <c r="AE501" i="28"/>
  <c r="AF500" i="28"/>
  <c r="BC369" i="4"/>
  <c r="C369" i="4" s="1"/>
  <c r="BB369" i="4"/>
  <c r="D369" i="4" s="1"/>
  <c r="AG500" i="28" l="1"/>
  <c r="AB500" i="28"/>
  <c r="AE502" i="28"/>
  <c r="AF501" i="28"/>
  <c r="BB370" i="4"/>
  <c r="D370" i="4" s="1"/>
  <c r="BC370" i="4"/>
  <c r="C370" i="4" s="1"/>
  <c r="AG501" i="28" l="1"/>
  <c r="AB501" i="28"/>
  <c r="AF502" i="28"/>
  <c r="AE503" i="28"/>
  <c r="BB371" i="4"/>
  <c r="D371" i="4" s="1"/>
  <c r="BC371" i="4"/>
  <c r="C371" i="4" s="1"/>
  <c r="AG502" i="28" l="1"/>
  <c r="AB502" i="28"/>
  <c r="AF503" i="28"/>
  <c r="AE504" i="28"/>
  <c r="BC372" i="4"/>
  <c r="C372" i="4" s="1"/>
  <c r="BB372" i="4"/>
  <c r="D372" i="4" s="1"/>
  <c r="AG503" i="28" l="1"/>
  <c r="AB503" i="28"/>
  <c r="AF504" i="28"/>
  <c r="AE505" i="28"/>
  <c r="BB373" i="4"/>
  <c r="D373" i="4" s="1"/>
  <c r="BC373" i="4"/>
  <c r="C373" i="4" s="1"/>
  <c r="AG504" i="28" l="1"/>
  <c r="AB504" i="28"/>
  <c r="AE506" i="28"/>
  <c r="AF505" i="28"/>
  <c r="BC374" i="4"/>
  <c r="C374" i="4" s="1"/>
  <c r="BB374" i="4"/>
  <c r="D374" i="4" s="1"/>
  <c r="AG505" i="28" l="1"/>
  <c r="AB505" i="28"/>
  <c r="AF506" i="28"/>
  <c r="AE507" i="28"/>
  <c r="BB375" i="4"/>
  <c r="D375" i="4" s="1"/>
  <c r="BC375" i="4"/>
  <c r="C375" i="4" s="1"/>
  <c r="AG506" i="28" l="1"/>
  <c r="AB506" i="28"/>
  <c r="AF507" i="28"/>
  <c r="AE508" i="28"/>
  <c r="BB376" i="4"/>
  <c r="D376" i="4" s="1"/>
  <c r="BC376" i="4"/>
  <c r="C376" i="4" s="1"/>
  <c r="AG507" i="28" l="1"/>
  <c r="AB507" i="28"/>
  <c r="AE509" i="28"/>
  <c r="AF508" i="28"/>
  <c r="BB377" i="4"/>
  <c r="D377" i="4" s="1"/>
  <c r="BC377" i="4"/>
  <c r="C377" i="4" s="1"/>
  <c r="AG508" i="28" l="1"/>
  <c r="AB508" i="28"/>
  <c r="AE510" i="28"/>
  <c r="AF509" i="28"/>
  <c r="BC378" i="4"/>
  <c r="C378" i="4" s="1"/>
  <c r="BB378" i="4"/>
  <c r="D378" i="4" s="1"/>
  <c r="AG509" i="28" l="1"/>
  <c r="AB509" i="28"/>
  <c r="AE511" i="28"/>
  <c r="AF510" i="28"/>
  <c r="BC379" i="4"/>
  <c r="C379" i="4" s="1"/>
  <c r="BB379" i="4"/>
  <c r="D379" i="4" s="1"/>
  <c r="AG510" i="28" l="1"/>
  <c r="AB510" i="28"/>
  <c r="AF511" i="28"/>
  <c r="AE512" i="28"/>
  <c r="BB380" i="4"/>
  <c r="D380" i="4" s="1"/>
  <c r="BC380" i="4"/>
  <c r="C380" i="4" s="1"/>
  <c r="AG511" i="28" l="1"/>
  <c r="AB511" i="28"/>
  <c r="AE513" i="28"/>
  <c r="AF512" i="28"/>
  <c r="BB381" i="4"/>
  <c r="D381" i="4" s="1"/>
  <c r="BC381" i="4"/>
  <c r="AG512" i="28" l="1"/>
  <c r="AB512" i="28"/>
  <c r="AE514" i="28"/>
  <c r="AF513" i="28"/>
  <c r="BC382" i="4"/>
  <c r="C382" i="4" s="1"/>
  <c r="BB382" i="4"/>
  <c r="D382" i="4" s="1"/>
  <c r="AG513" i="28" l="1"/>
  <c r="AB513" i="28"/>
  <c r="AE515" i="28"/>
  <c r="AF514" i="28"/>
  <c r="BC383" i="4"/>
  <c r="C383" i="4" s="1"/>
  <c r="BB383" i="4"/>
  <c r="D383" i="4" s="1"/>
  <c r="AG514" i="28" l="1"/>
  <c r="AB514" i="28"/>
  <c r="AF515" i="28"/>
  <c r="AE516" i="28"/>
  <c r="BB384" i="4"/>
  <c r="D384" i="4" s="1"/>
  <c r="BC384" i="4"/>
  <c r="C384" i="4" s="1"/>
  <c r="AG515" i="28" l="1"/>
  <c r="AB515" i="28"/>
  <c r="AE517" i="28"/>
  <c r="AF516" i="28"/>
  <c r="BB385" i="4"/>
  <c r="D385" i="4" s="1"/>
  <c r="BC385" i="4"/>
  <c r="C385" i="4" s="1"/>
  <c r="AG516" i="28" l="1"/>
  <c r="AB516" i="28"/>
  <c r="AE518" i="28"/>
  <c r="AF517" i="28"/>
  <c r="BB386" i="4"/>
  <c r="D386" i="4" s="1"/>
  <c r="BC386" i="4"/>
  <c r="AG517" i="28" l="1"/>
  <c r="AB517" i="28"/>
  <c r="AF518" i="28"/>
  <c r="AE519" i="28"/>
  <c r="BB387" i="4"/>
  <c r="D387" i="4" s="1"/>
  <c r="BC387" i="4"/>
  <c r="AG518" i="28" l="1"/>
  <c r="AB518" i="28"/>
  <c r="AF519" i="28"/>
  <c r="AE520" i="28"/>
  <c r="BC388" i="4"/>
  <c r="BB388" i="4"/>
  <c r="D388" i="4" s="1"/>
  <c r="AG519" i="28" l="1"/>
  <c r="AB519" i="28"/>
  <c r="AF520" i="28"/>
  <c r="AE521" i="28"/>
  <c r="BB389" i="4"/>
  <c r="D389" i="4" s="1"/>
  <c r="BC389" i="4"/>
  <c r="AG520" i="28" l="1"/>
  <c r="AB520" i="28"/>
  <c r="AE522" i="28"/>
  <c r="AF521" i="28"/>
  <c r="BB390" i="4"/>
  <c r="D390" i="4" s="1"/>
  <c r="BC390" i="4"/>
  <c r="AG521" i="28" l="1"/>
  <c r="AB521" i="28"/>
  <c r="AF522" i="28"/>
  <c r="AE523" i="28"/>
  <c r="BC391" i="4"/>
  <c r="BB391" i="4"/>
  <c r="D391" i="4" s="1"/>
  <c r="AG522" i="28" l="1"/>
  <c r="AB522" i="28"/>
  <c r="AF523" i="28"/>
  <c r="AE524" i="28"/>
  <c r="BC392" i="4"/>
  <c r="C392" i="4" s="1"/>
  <c r="BB392" i="4"/>
  <c r="D392" i="4" s="1"/>
  <c r="AG523" i="28" l="1"/>
  <c r="AB523" i="28"/>
  <c r="AE525" i="28"/>
  <c r="AF524" i="28"/>
  <c r="BB393" i="4"/>
  <c r="D393" i="4" s="1"/>
  <c r="BC393" i="4"/>
  <c r="C393" i="4" s="1"/>
  <c r="AG524" i="28" l="1"/>
  <c r="AB524" i="28"/>
  <c r="AE526" i="28"/>
  <c r="AF525" i="28"/>
  <c r="BB394" i="4"/>
  <c r="D394" i="4" s="1"/>
  <c r="BC394" i="4"/>
  <c r="C394" i="4" s="1"/>
  <c r="AG525" i="28" l="1"/>
  <c r="AB525" i="28"/>
  <c r="AE527" i="28"/>
  <c r="AF526" i="28"/>
  <c r="BC395" i="4"/>
  <c r="C395" i="4" s="1"/>
  <c r="BB395" i="4"/>
  <c r="D395" i="4" s="1"/>
  <c r="AG526" i="28" l="1"/>
  <c r="AB526" i="28"/>
  <c r="AF527" i="28"/>
  <c r="AE528" i="28"/>
  <c r="BB396" i="4"/>
  <c r="D396" i="4" s="1"/>
  <c r="BC396" i="4"/>
  <c r="C396" i="4" s="1"/>
  <c r="AG527" i="28" l="1"/>
  <c r="AB527" i="28"/>
  <c r="AF528" i="28"/>
  <c r="AE529" i="28"/>
  <c r="BB397" i="4"/>
  <c r="D397" i="4" s="1"/>
  <c r="BC397" i="4"/>
  <c r="C397" i="4" s="1"/>
  <c r="AG528" i="28" l="1"/>
  <c r="AB528" i="28"/>
  <c r="AE530" i="28"/>
  <c r="AF529" i="28"/>
  <c r="BB398" i="4"/>
  <c r="D398" i="4" s="1"/>
  <c r="BC398" i="4"/>
  <c r="C398" i="4" s="1"/>
  <c r="AG529" i="28" l="1"/>
  <c r="AB529" i="28"/>
  <c r="AE531" i="28"/>
  <c r="AF530" i="28"/>
  <c r="BC399" i="4"/>
  <c r="C399" i="4" s="1"/>
  <c r="BB399" i="4"/>
  <c r="D399" i="4" s="1"/>
  <c r="AG530" i="28" l="1"/>
  <c r="AB530" i="28"/>
  <c r="AF531" i="28"/>
  <c r="AE532" i="28"/>
  <c r="BB400" i="4"/>
  <c r="D400" i="4" s="1"/>
  <c r="BC400" i="4"/>
  <c r="C400" i="4" s="1"/>
  <c r="AG531" i="28" l="1"/>
  <c r="AB531" i="28"/>
  <c r="AE533" i="28"/>
  <c r="AF532" i="28"/>
  <c r="BC401" i="4"/>
  <c r="C401" i="4" s="1"/>
  <c r="BB401" i="4"/>
  <c r="D401" i="4" s="1"/>
  <c r="AG532" i="28" l="1"/>
  <c r="AB532" i="28"/>
  <c r="AE534" i="28"/>
  <c r="AF533" i="28"/>
  <c r="BC402" i="4"/>
  <c r="C402" i="4" s="1"/>
  <c r="BB402" i="4"/>
  <c r="D402" i="4" s="1"/>
  <c r="AG533" i="28" l="1"/>
  <c r="AB533" i="28"/>
  <c r="AF534" i="28"/>
  <c r="AE535" i="28"/>
  <c r="BB403" i="4"/>
  <c r="D403" i="4" s="1"/>
  <c r="BC403" i="4"/>
  <c r="C403" i="4" s="1"/>
  <c r="AG534" i="28" l="1"/>
  <c r="AB534" i="28"/>
  <c r="AF535" i="28"/>
  <c r="AE536" i="28"/>
  <c r="BB404" i="4"/>
  <c r="D404" i="4" s="1"/>
  <c r="BC404" i="4"/>
  <c r="C404" i="4" s="1"/>
  <c r="AG535" i="28" l="1"/>
  <c r="AB535" i="28"/>
  <c r="AF536" i="28"/>
  <c r="AE537" i="28"/>
  <c r="BB405" i="4"/>
  <c r="D405" i="4" s="1"/>
  <c r="BC405" i="4"/>
  <c r="C405" i="4" s="1"/>
  <c r="AG536" i="28" l="1"/>
  <c r="AB536" i="28"/>
  <c r="AE538" i="28"/>
  <c r="AF537" i="28"/>
  <c r="BC406" i="4"/>
  <c r="C406" i="4" s="1"/>
  <c r="BB406" i="4"/>
  <c r="D406" i="4" s="1"/>
  <c r="AG537" i="28" l="1"/>
  <c r="AB537" i="28"/>
  <c r="AF538" i="28"/>
  <c r="AE539" i="28"/>
  <c r="BC407" i="4"/>
  <c r="C407" i="4" s="1"/>
  <c r="BB407" i="4"/>
  <c r="D407" i="4" s="1"/>
  <c r="AG538" i="28" l="1"/>
  <c r="AB538" i="28"/>
  <c r="AF539" i="28"/>
  <c r="AE540" i="28"/>
  <c r="BB408" i="4"/>
  <c r="D408" i="4" s="1"/>
  <c r="BC408" i="4"/>
  <c r="C408" i="4" s="1"/>
  <c r="AG539" i="28" l="1"/>
  <c r="AB539" i="28"/>
  <c r="AE541" i="28"/>
  <c r="AF540" i="28"/>
  <c r="BB409" i="4"/>
  <c r="D409" i="4" s="1"/>
  <c r="BC409" i="4"/>
  <c r="C409" i="4" s="1"/>
  <c r="AG540" i="28" l="1"/>
  <c r="AB540" i="28"/>
  <c r="AE542" i="28"/>
  <c r="AF541" i="28"/>
  <c r="BB410" i="4"/>
  <c r="D410" i="4" s="1"/>
  <c r="BC410" i="4"/>
  <c r="C410" i="4" s="1"/>
  <c r="AG541" i="28" l="1"/>
  <c r="AB541" i="28"/>
  <c r="AE543" i="28"/>
  <c r="AF542" i="28"/>
  <c r="BB411" i="4"/>
  <c r="D411" i="4" s="1"/>
  <c r="BC411" i="4"/>
  <c r="C411" i="4" s="1"/>
  <c r="AG542" i="28" l="1"/>
  <c r="AB542" i="28"/>
  <c r="AF543" i="28"/>
  <c r="AE544" i="28"/>
  <c r="BC412" i="4"/>
  <c r="C412" i="4" s="1"/>
  <c r="BB412" i="4"/>
  <c r="D412" i="4" s="1"/>
  <c r="AG543" i="28" l="1"/>
  <c r="AB543" i="28"/>
  <c r="AE545" i="28"/>
  <c r="AF544" i="28"/>
  <c r="BB413" i="4"/>
  <c r="D413" i="4" s="1"/>
  <c r="BC413" i="4"/>
  <c r="C413" i="4" s="1"/>
  <c r="AG544" i="28" l="1"/>
  <c r="AB544" i="28"/>
  <c r="AE546" i="28"/>
  <c r="AF545" i="28"/>
  <c r="BC414" i="4"/>
  <c r="C414" i="4" s="1"/>
  <c r="BB414" i="4"/>
  <c r="D414" i="4" s="1"/>
  <c r="AG545" i="28" l="1"/>
  <c r="AB545" i="28"/>
  <c r="AE547" i="28"/>
  <c r="AF546" i="28"/>
  <c r="BC415" i="4"/>
  <c r="C415" i="4" s="1"/>
  <c r="BB415" i="4"/>
  <c r="D415" i="4" s="1"/>
  <c r="AG546" i="28" l="1"/>
  <c r="AB546" i="28"/>
  <c r="AF547" i="28"/>
  <c r="AE548" i="28"/>
  <c r="BC416" i="4"/>
  <c r="C416" i="4" s="1"/>
  <c r="BB416" i="4"/>
  <c r="D416" i="4" s="1"/>
  <c r="AG547" i="28" l="1"/>
  <c r="AB547" i="28"/>
  <c r="AE549" i="28"/>
  <c r="AF548" i="28"/>
  <c r="BB417" i="4"/>
  <c r="D417" i="4" s="1"/>
  <c r="BC417" i="4"/>
  <c r="C417" i="4" s="1"/>
  <c r="AG548" i="28" l="1"/>
  <c r="AB548" i="28"/>
  <c r="AE550" i="28"/>
  <c r="AF549" i="28"/>
  <c r="BB418" i="4"/>
  <c r="D418" i="4" s="1"/>
  <c r="BC418" i="4"/>
  <c r="C418" i="4" s="1"/>
  <c r="AG549" i="28" l="1"/>
  <c r="AB549" i="28"/>
  <c r="AF550" i="28"/>
  <c r="AE551" i="28"/>
  <c r="BC419" i="4"/>
  <c r="BB419" i="4"/>
  <c r="D419" i="4" s="1"/>
  <c r="AG550" i="28" l="1"/>
  <c r="AB550" i="28"/>
  <c r="AF551" i="28"/>
  <c r="AE552" i="28"/>
  <c r="BB420" i="4"/>
  <c r="D420" i="4" s="1"/>
  <c r="BC420" i="4"/>
  <c r="C420" i="4" s="1"/>
  <c r="AG551" i="28" l="1"/>
  <c r="AB551" i="28"/>
  <c r="AF552" i="28"/>
  <c r="AE553" i="28"/>
  <c r="BB421" i="4"/>
  <c r="D421" i="4" s="1"/>
  <c r="BC421" i="4"/>
  <c r="C421" i="4" s="1"/>
  <c r="AG552" i="28" l="1"/>
  <c r="AB552" i="28"/>
  <c r="AE554" i="28"/>
  <c r="AF553" i="28"/>
  <c r="BC422" i="4"/>
  <c r="C422" i="4" s="1"/>
  <c r="BB422" i="4"/>
  <c r="D422" i="4" s="1"/>
  <c r="AG553" i="28" l="1"/>
  <c r="AB553" i="28"/>
  <c r="AF554" i="28"/>
  <c r="AE555" i="28"/>
  <c r="BB423" i="4"/>
  <c r="D423" i="4" s="1"/>
  <c r="BC423" i="4"/>
  <c r="C423" i="4" s="1"/>
  <c r="AG554" i="28" l="1"/>
  <c r="AB554" i="28"/>
  <c r="AF555" i="28"/>
  <c r="AE556" i="28"/>
  <c r="BC424" i="4"/>
  <c r="BB424" i="4"/>
  <c r="D424" i="4" s="1"/>
  <c r="AG555" i="28" l="1"/>
  <c r="AB555" i="28"/>
  <c r="AE557" i="28"/>
  <c r="AF556" i="28"/>
  <c r="BB425" i="4"/>
  <c r="D425" i="4" s="1"/>
  <c r="BC425" i="4"/>
  <c r="AG556" i="28" l="1"/>
  <c r="AB556" i="28"/>
  <c r="AE558" i="28"/>
  <c r="AF557" i="28"/>
  <c r="BB426" i="4"/>
  <c r="D426" i="4" s="1"/>
  <c r="BC426" i="4"/>
  <c r="AG557" i="28" l="1"/>
  <c r="AB557" i="28"/>
  <c r="AE559" i="28"/>
  <c r="AF558" i="28"/>
  <c r="BB427" i="4"/>
  <c r="D427" i="4" s="1"/>
  <c r="BC427" i="4"/>
  <c r="AG558" i="28" l="1"/>
  <c r="AB558" i="28"/>
  <c r="AF559" i="28"/>
  <c r="AE560" i="28"/>
  <c r="BB428" i="4"/>
  <c r="D428" i="4" s="1"/>
  <c r="BC428" i="4"/>
  <c r="AG559" i="28" l="1"/>
  <c r="AB559" i="28"/>
  <c r="AF560" i="28"/>
  <c r="AE561" i="28"/>
  <c r="BB429" i="4"/>
  <c r="D429" i="4" s="1"/>
  <c r="BC429" i="4"/>
  <c r="AG560" i="28" l="1"/>
  <c r="AB560" i="28"/>
  <c r="AE562" i="28"/>
  <c r="AF561" i="28"/>
  <c r="BC430" i="4"/>
  <c r="C430" i="4" s="1"/>
  <c r="BB430" i="4"/>
  <c r="D430" i="4" s="1"/>
  <c r="AG561" i="28" l="1"/>
  <c r="AB561" i="28"/>
  <c r="AE563" i="28"/>
  <c r="AF562" i="28"/>
  <c r="BC431" i="4"/>
  <c r="C431" i="4" s="1"/>
  <c r="BB431" i="4"/>
  <c r="D431" i="4" s="1"/>
  <c r="AG562" i="28" l="1"/>
  <c r="AB562" i="28"/>
  <c r="AF563" i="28"/>
  <c r="AE564" i="28"/>
  <c r="BB432" i="4"/>
  <c r="D432" i="4" s="1"/>
  <c r="BC432" i="4"/>
  <c r="C432" i="4" s="1"/>
  <c r="AG563" i="28" l="1"/>
  <c r="AB563" i="28"/>
  <c r="AE565" i="28"/>
  <c r="AF564" i="28"/>
  <c r="BC433" i="4"/>
  <c r="C433" i="4" s="1"/>
  <c r="BB433" i="4"/>
  <c r="D433" i="4" s="1"/>
  <c r="AG564" i="28" l="1"/>
  <c r="AB564" i="28"/>
  <c r="AE566" i="28"/>
  <c r="AF565" i="28"/>
  <c r="BB434" i="4"/>
  <c r="D434" i="4" s="1"/>
  <c r="BC434" i="4"/>
  <c r="C434" i="4" s="1"/>
  <c r="AG565" i="28" l="1"/>
  <c r="AB565" i="28"/>
  <c r="AF566" i="28"/>
  <c r="AE567" i="28"/>
  <c r="BB435" i="4"/>
  <c r="D435" i="4" s="1"/>
  <c r="BC435" i="4"/>
  <c r="C435" i="4" s="1"/>
  <c r="AG566" i="28" l="1"/>
  <c r="AB566" i="28"/>
  <c r="AF567" i="28"/>
  <c r="AE568" i="28"/>
  <c r="BB436" i="4"/>
  <c r="D436" i="4" s="1"/>
  <c r="BC436" i="4"/>
  <c r="C436" i="4" s="1"/>
  <c r="AG567" i="28" l="1"/>
  <c r="AB567" i="28"/>
  <c r="AF568" i="28"/>
  <c r="AE569" i="28"/>
  <c r="BC437" i="4"/>
  <c r="C437" i="4" s="1"/>
  <c r="BB437" i="4"/>
  <c r="D437" i="4" s="1"/>
  <c r="AG568" i="28" l="1"/>
  <c r="AB568" i="28"/>
  <c r="AE570" i="28"/>
  <c r="AF569" i="28"/>
  <c r="BC438" i="4"/>
  <c r="C438" i="4" s="1"/>
  <c r="BB438" i="4"/>
  <c r="D438" i="4" s="1"/>
  <c r="AG569" i="28" l="1"/>
  <c r="AB569" i="28"/>
  <c r="AF570" i="28"/>
  <c r="AE571" i="28"/>
  <c r="BC439" i="4"/>
  <c r="C439" i="4" s="1"/>
  <c r="BB439" i="4"/>
  <c r="D439" i="4" s="1"/>
  <c r="AG570" i="28" l="1"/>
  <c r="AB570" i="28"/>
  <c r="AF571" i="28"/>
  <c r="AE572" i="28"/>
  <c r="BB440" i="4"/>
  <c r="D440" i="4" s="1"/>
  <c r="BC440" i="4"/>
  <c r="C440" i="4" s="1"/>
  <c r="AG571" i="28" l="1"/>
  <c r="AB571" i="28"/>
  <c r="AE573" i="28"/>
  <c r="AF572" i="28"/>
  <c r="BC441" i="4"/>
  <c r="C441" i="4" s="1"/>
  <c r="BB441" i="4"/>
  <c r="D441" i="4" s="1"/>
  <c r="AG572" i="28" l="1"/>
  <c r="AB572" i="28"/>
  <c r="AE574" i="28"/>
  <c r="AF573" i="28"/>
  <c r="BB442" i="4"/>
  <c r="D442" i="4" s="1"/>
  <c r="BC442" i="4"/>
  <c r="C442" i="4" s="1"/>
  <c r="AG573" i="28" l="1"/>
  <c r="AB573" i="28"/>
  <c r="AE575" i="28"/>
  <c r="AF574" i="28"/>
  <c r="BB443" i="4"/>
  <c r="D443" i="4" s="1"/>
  <c r="BC443" i="4"/>
  <c r="C443" i="4" s="1"/>
  <c r="AG574" i="28" l="1"/>
  <c r="AB574" i="28"/>
  <c r="AF575" i="28"/>
  <c r="AE576" i="28"/>
  <c r="BB444" i="4"/>
  <c r="D444" i="4" s="1"/>
  <c r="BC444" i="4"/>
  <c r="C444" i="4" s="1"/>
  <c r="AG575" i="28" l="1"/>
  <c r="AB575" i="28"/>
  <c r="AE577" i="28"/>
  <c r="AF576" i="28"/>
  <c r="BC445" i="4"/>
  <c r="C445" i="4" s="1"/>
  <c r="BB445" i="4"/>
  <c r="D445" i="4" s="1"/>
  <c r="AG576" i="28" l="1"/>
  <c r="AB576" i="28"/>
  <c r="AE578" i="28"/>
  <c r="AF577" i="28"/>
  <c r="BC446" i="4"/>
  <c r="C446" i="4" s="1"/>
  <c r="BB446" i="4"/>
  <c r="D446" i="4" s="1"/>
  <c r="AG577" i="28" l="1"/>
  <c r="AB577" i="28"/>
  <c r="AE579" i="28"/>
  <c r="AF578" i="28"/>
  <c r="BC459" i="4"/>
  <c r="C459" i="4" s="1"/>
  <c r="BB459" i="4"/>
  <c r="D459" i="4" s="1"/>
  <c r="AG578" i="28" l="1"/>
  <c r="AB578" i="28"/>
  <c r="AF579" i="28"/>
  <c r="AE580" i="28"/>
  <c r="E16" i="60" l="1"/>
  <c r="AG579" i="28"/>
  <c r="AB579" i="28"/>
  <c r="AE581" i="28"/>
  <c r="AF580" i="28"/>
  <c r="AG580" i="28" l="1"/>
  <c r="AB580" i="28"/>
  <c r="AE582" i="28"/>
  <c r="AF581" i="28"/>
  <c r="AG581" i="28" l="1"/>
  <c r="AB581" i="28"/>
  <c r="AF582" i="28"/>
  <c r="AE583" i="28"/>
  <c r="AG582" i="28" l="1"/>
  <c r="AB582" i="28"/>
  <c r="AF583" i="28"/>
  <c r="AE584" i="28"/>
  <c r="AG583" i="28" l="1"/>
  <c r="AB583" i="28"/>
  <c r="AF584" i="28"/>
  <c r="AE585" i="28"/>
  <c r="AG584" i="28" l="1"/>
  <c r="AB584" i="28"/>
  <c r="AE586" i="28"/>
  <c r="AF585" i="28"/>
  <c r="AG585" i="28" l="1"/>
  <c r="AB585" i="28"/>
  <c r="AF586" i="28"/>
  <c r="AE587" i="28"/>
  <c r="AG586" i="28" l="1"/>
  <c r="AB586" i="28"/>
  <c r="AF587" i="28"/>
  <c r="AE588" i="28"/>
  <c r="AG587" i="28" l="1"/>
  <c r="AB587" i="28"/>
  <c r="AE589" i="28"/>
  <c r="AF588" i="28"/>
  <c r="AG588" i="28" l="1"/>
  <c r="AB588" i="28"/>
  <c r="AE590" i="28"/>
  <c r="AF589" i="28"/>
  <c r="AG589" i="28" l="1"/>
  <c r="AB589" i="28"/>
  <c r="AE591" i="28"/>
  <c r="AF590" i="28"/>
  <c r="AG590" i="28" l="1"/>
  <c r="AB590" i="28"/>
  <c r="AF591" i="28"/>
  <c r="AE592" i="28"/>
  <c r="AG591" i="28" l="1"/>
  <c r="AB591" i="28"/>
  <c r="AF592" i="28"/>
  <c r="AE593" i="28"/>
  <c r="AG592" i="28" l="1"/>
  <c r="AB592" i="28"/>
  <c r="AE594" i="28"/>
  <c r="AF593" i="28"/>
  <c r="AG593" i="28" l="1"/>
  <c r="AB593" i="28"/>
  <c r="AE595" i="28"/>
  <c r="AF594" i="28"/>
  <c r="AG594" i="28" l="1"/>
  <c r="AB594" i="28"/>
  <c r="AF595" i="28"/>
  <c r="AE596" i="28"/>
  <c r="AG595" i="28" l="1"/>
  <c r="AB595" i="28"/>
  <c r="AE597" i="28"/>
  <c r="AF596" i="28"/>
  <c r="AG596" i="28" l="1"/>
  <c r="AB596" i="28"/>
  <c r="AE598" i="28"/>
  <c r="AF597" i="28"/>
  <c r="AG597" i="28" l="1"/>
  <c r="AB597" i="28"/>
  <c r="AF598" i="28"/>
  <c r="AE599" i="28"/>
  <c r="AG598" i="28" l="1"/>
  <c r="AB598" i="28"/>
  <c r="AF599" i="28"/>
  <c r="AE600" i="28"/>
  <c r="AG599" i="28" l="1"/>
  <c r="AB599" i="28"/>
  <c r="AF600" i="28"/>
  <c r="AE601" i="28"/>
  <c r="AG600" i="28" l="1"/>
  <c r="AB600" i="28"/>
  <c r="AE602" i="28"/>
  <c r="AF601" i="28"/>
  <c r="AG601" i="28" l="1"/>
  <c r="AB601" i="28"/>
  <c r="AF602" i="28"/>
  <c r="AE603" i="28"/>
  <c r="AG602" i="28" l="1"/>
  <c r="AB602" i="28"/>
  <c r="AF603" i="28"/>
  <c r="AE604" i="28"/>
  <c r="AG603" i="28" l="1"/>
  <c r="AB603" i="28"/>
  <c r="AE605" i="28"/>
  <c r="AF604" i="28"/>
  <c r="AG604" i="28" l="1"/>
  <c r="AB604" i="28"/>
  <c r="AE606" i="28"/>
  <c r="AF605" i="28"/>
  <c r="AG605" i="28" l="1"/>
  <c r="AB605" i="28"/>
  <c r="AE607" i="28"/>
  <c r="AF606" i="28"/>
  <c r="AG606" i="28" l="1"/>
  <c r="AB606" i="28"/>
  <c r="AF607" i="28"/>
  <c r="AE608" i="28"/>
  <c r="AG607" i="28" l="1"/>
  <c r="AB607" i="28"/>
  <c r="AE609" i="28"/>
  <c r="AF608" i="28"/>
  <c r="AG608" i="28" l="1"/>
  <c r="AB608" i="28"/>
  <c r="AE610" i="28"/>
  <c r="AF609" i="28"/>
  <c r="AG609" i="28" l="1"/>
  <c r="AB609" i="28"/>
  <c r="AE611" i="28"/>
  <c r="AF610" i="28"/>
  <c r="AG610" i="28" l="1"/>
  <c r="AB610" i="28"/>
  <c r="AF611" i="28"/>
  <c r="AE612" i="28"/>
  <c r="AG611" i="28" l="1"/>
  <c r="AB611" i="28"/>
  <c r="AE613" i="28"/>
  <c r="AF612" i="28"/>
  <c r="AG612" i="28" l="1"/>
  <c r="AB612" i="28"/>
  <c r="AE614" i="28"/>
  <c r="AF613" i="28"/>
  <c r="AG613" i="28" l="1"/>
  <c r="AB613" i="28"/>
  <c r="AF614" i="28"/>
  <c r="AE615" i="28"/>
  <c r="AG614" i="28" l="1"/>
  <c r="AB614" i="28"/>
  <c r="AF615" i="28"/>
  <c r="AE616" i="28"/>
  <c r="AG615" i="28" l="1"/>
  <c r="AB615" i="28"/>
  <c r="AF616" i="28"/>
  <c r="AE617" i="28"/>
  <c r="AG616" i="28" l="1"/>
  <c r="AB616" i="28"/>
  <c r="AE618" i="28"/>
  <c r="AF617" i="28"/>
  <c r="AG617" i="28" l="1"/>
  <c r="AB617" i="28"/>
  <c r="AF618" i="28"/>
  <c r="AE619" i="28"/>
  <c r="AG618" i="28" l="1"/>
  <c r="AB618" i="28"/>
  <c r="AF619" i="28"/>
  <c r="AE620" i="28"/>
  <c r="AG619" i="28" l="1"/>
  <c r="AB619" i="28"/>
  <c r="AE621" i="28"/>
  <c r="AF620" i="28"/>
  <c r="AG620" i="28" l="1"/>
  <c r="AB620" i="28"/>
  <c r="AE622" i="28"/>
  <c r="AF621" i="28"/>
  <c r="AG621" i="28" l="1"/>
  <c r="AB621" i="28"/>
  <c r="AE623" i="28"/>
  <c r="AF622" i="28"/>
  <c r="AG622" i="28" l="1"/>
  <c r="AB622" i="28"/>
  <c r="AF623" i="28"/>
  <c r="AE624" i="28"/>
  <c r="AG623" i="28" l="1"/>
  <c r="AB623" i="28"/>
  <c r="AE625" i="28"/>
  <c r="AF624" i="28"/>
  <c r="AG624" i="28" l="1"/>
  <c r="AB624" i="28"/>
  <c r="AE626" i="28"/>
  <c r="AF625" i="28"/>
  <c r="AG625" i="28" l="1"/>
  <c r="AB625" i="28"/>
  <c r="AE627" i="28"/>
  <c r="AF626" i="28"/>
  <c r="AG626" i="28" l="1"/>
  <c r="AB626" i="28"/>
  <c r="AF627" i="28"/>
  <c r="AE628" i="28"/>
  <c r="AG627" i="28" l="1"/>
  <c r="AB627" i="28"/>
  <c r="AE629" i="28"/>
  <c r="AF628" i="28"/>
  <c r="AG628" i="28" l="1"/>
  <c r="AB628" i="28"/>
  <c r="AE630" i="28"/>
  <c r="AF629" i="28"/>
  <c r="AG629" i="28" l="1"/>
  <c r="AB629" i="28"/>
  <c r="AF630" i="28"/>
  <c r="AE631" i="28"/>
  <c r="AG630" i="28" l="1"/>
  <c r="AB630" i="28"/>
  <c r="AF631" i="28"/>
  <c r="AE632" i="28"/>
  <c r="AG631" i="28" l="1"/>
  <c r="AB631" i="28"/>
  <c r="AF632" i="28"/>
  <c r="AE633" i="28"/>
  <c r="AG632" i="28" l="1"/>
  <c r="AB632" i="28"/>
  <c r="AE634" i="28"/>
  <c r="AF633" i="28"/>
  <c r="AG633" i="28" l="1"/>
  <c r="AB633" i="28"/>
  <c r="AF634" i="28"/>
  <c r="AE635" i="28"/>
  <c r="AG634" i="28" l="1"/>
  <c r="AB634" i="28"/>
  <c r="AF635" i="28"/>
  <c r="AE636" i="28"/>
  <c r="AG635" i="28" l="1"/>
  <c r="AB635" i="28"/>
  <c r="AE637" i="28"/>
  <c r="AF636" i="28"/>
  <c r="AG636" i="28" l="1"/>
  <c r="AB636" i="28"/>
  <c r="AE638" i="28"/>
  <c r="AF637" i="28"/>
  <c r="AG637" i="28" l="1"/>
  <c r="AB637" i="28"/>
  <c r="AE639" i="28"/>
  <c r="AF638" i="28"/>
  <c r="AG638" i="28" l="1"/>
  <c r="AB638" i="28"/>
  <c r="AF639" i="28"/>
  <c r="AE640" i="28"/>
  <c r="AG639" i="28" l="1"/>
  <c r="AB639" i="28"/>
  <c r="AF640" i="28"/>
  <c r="AE641" i="28"/>
  <c r="AG640" i="28" l="1"/>
  <c r="AB640" i="28"/>
  <c r="AE642" i="28"/>
  <c r="AF641" i="28"/>
  <c r="AG641" i="28" l="1"/>
  <c r="AB641" i="28"/>
  <c r="AE643" i="28"/>
  <c r="AF642" i="28"/>
  <c r="AG642" i="28" l="1"/>
  <c r="AB642" i="28"/>
  <c r="AF643" i="28"/>
  <c r="AE644" i="28"/>
  <c r="AG643" i="28" l="1"/>
  <c r="AB643" i="28"/>
  <c r="AE645" i="28"/>
  <c r="AF644" i="28"/>
  <c r="AG644" i="28" l="1"/>
  <c r="AB644" i="28"/>
  <c r="AE646" i="28"/>
  <c r="AF645" i="28"/>
  <c r="AG645" i="28" l="1"/>
  <c r="AB645" i="28"/>
  <c r="AE647" i="28"/>
  <c r="AF646" i="28"/>
  <c r="AG646" i="28" l="1"/>
  <c r="AB646" i="28"/>
  <c r="AF647" i="28"/>
  <c r="AE648" i="28"/>
  <c r="AG647" i="28" l="1"/>
  <c r="AB647" i="28"/>
  <c r="AF648" i="28"/>
  <c r="AE649" i="28"/>
  <c r="AG648" i="28" l="1"/>
  <c r="AB648" i="28"/>
  <c r="AE650" i="28"/>
  <c r="AF649" i="28"/>
  <c r="AG649" i="28" l="1"/>
  <c r="AB649" i="28"/>
  <c r="AF650" i="28"/>
  <c r="AE651" i="28"/>
  <c r="AG650" i="28" l="1"/>
  <c r="AB650" i="28"/>
  <c r="AF651" i="28"/>
  <c r="AE652" i="28"/>
  <c r="AG651" i="28" l="1"/>
  <c r="AB651" i="28"/>
  <c r="AE653" i="28"/>
  <c r="AF652" i="28"/>
  <c r="AG652" i="28" l="1"/>
  <c r="AB652" i="28"/>
  <c r="AE654" i="28"/>
  <c r="AF653" i="28"/>
  <c r="AG653" i="28" l="1"/>
  <c r="AB653" i="28"/>
  <c r="AF654" i="28"/>
  <c r="AE655" i="28"/>
  <c r="AG654" i="28" l="1"/>
  <c r="AB654" i="28"/>
  <c r="AF655" i="28"/>
  <c r="AE656" i="28"/>
  <c r="AG655" i="28" l="1"/>
  <c r="AB655" i="28"/>
  <c r="AF656" i="28"/>
  <c r="AE657" i="28"/>
  <c r="AG656" i="28" l="1"/>
  <c r="AB656" i="28"/>
  <c r="AE658" i="28"/>
  <c r="AF657" i="28"/>
  <c r="AG657" i="28" l="1"/>
  <c r="AB657" i="28"/>
  <c r="AE659" i="28"/>
  <c r="AF658" i="28"/>
  <c r="AG658" i="28" l="1"/>
  <c r="AB658" i="28"/>
  <c r="AF659" i="28"/>
  <c r="AE660" i="28"/>
  <c r="AG659" i="28" l="1"/>
  <c r="AB659" i="28"/>
  <c r="AE661" i="28"/>
  <c r="AF660" i="28"/>
  <c r="AG660" i="28" l="1"/>
  <c r="AB660" i="28"/>
  <c r="AE662" i="28"/>
  <c r="AF661" i="28"/>
  <c r="AG661" i="28" l="1"/>
  <c r="AB661" i="28"/>
  <c r="AF662" i="28"/>
  <c r="AE663" i="28"/>
  <c r="AG662" i="28" l="1"/>
  <c r="AB662" i="28"/>
  <c r="AF663" i="28"/>
  <c r="AE664" i="28"/>
  <c r="AG663" i="28" l="1"/>
  <c r="AB663" i="28"/>
  <c r="AF664" i="28"/>
  <c r="AE665" i="28"/>
  <c r="AG664" i="28" l="1"/>
  <c r="AB664" i="28"/>
  <c r="AE666" i="28"/>
  <c r="AF665" i="28"/>
  <c r="AG665" i="28" l="1"/>
  <c r="AB665" i="28"/>
  <c r="AF666" i="28"/>
  <c r="AE667" i="28"/>
  <c r="AG666" i="28" l="1"/>
  <c r="AB666" i="28"/>
  <c r="AF667" i="28"/>
  <c r="AE668" i="28"/>
  <c r="AG667" i="28" l="1"/>
  <c r="AB667" i="28"/>
  <c r="AF668" i="28"/>
  <c r="AE669" i="28"/>
  <c r="AG668" i="28" l="1"/>
  <c r="AB668" i="28"/>
  <c r="AE670" i="28"/>
  <c r="AF669" i="28"/>
  <c r="AG669" i="28" l="1"/>
  <c r="AB669" i="28"/>
  <c r="AE671" i="28"/>
  <c r="AF670" i="28"/>
  <c r="AG670" i="28" l="1"/>
  <c r="AB670" i="28"/>
  <c r="AF671" i="28"/>
  <c r="AE672" i="28"/>
  <c r="AG671" i="28" l="1"/>
  <c r="AB671" i="28"/>
  <c r="AE673" i="28"/>
  <c r="AF672" i="28"/>
  <c r="AG672" i="28" l="1"/>
  <c r="AB672" i="28"/>
  <c r="AE674" i="28"/>
  <c r="AF673" i="28"/>
  <c r="AG673" i="28" l="1"/>
  <c r="AB673" i="28"/>
  <c r="AE675" i="28"/>
  <c r="AF674" i="28"/>
  <c r="AG674" i="28" l="1"/>
  <c r="AB674" i="28"/>
  <c r="AF675" i="28"/>
  <c r="AE676" i="28"/>
  <c r="AG675" i="28" l="1"/>
  <c r="AB675" i="28"/>
  <c r="AE677" i="28"/>
  <c r="AF676" i="28"/>
  <c r="AG676" i="28" l="1"/>
  <c r="AB676" i="28"/>
  <c r="AE678" i="28"/>
  <c r="AF677" i="28"/>
  <c r="AG677" i="28" l="1"/>
  <c r="AB677" i="28"/>
  <c r="AE679" i="28"/>
  <c r="AF678" i="28"/>
  <c r="AG678" i="28" l="1"/>
  <c r="AB678" i="28"/>
  <c r="AF679" i="28"/>
  <c r="AE680" i="28"/>
  <c r="AG679" i="28" l="1"/>
  <c r="AB679" i="28"/>
  <c r="AF680" i="28"/>
  <c r="AE681" i="28"/>
  <c r="AG680" i="28" l="1"/>
  <c r="AB680" i="28"/>
  <c r="AE682" i="28"/>
  <c r="AF681" i="28"/>
  <c r="AG681" i="28" l="1"/>
  <c r="AB681" i="28"/>
  <c r="AF682" i="28"/>
  <c r="AE683" i="28"/>
  <c r="AG682" i="28" l="1"/>
  <c r="AB682" i="28"/>
  <c r="AF683" i="28"/>
  <c r="AE684" i="28"/>
  <c r="AG683" i="28" l="1"/>
  <c r="AB683" i="28"/>
  <c r="AE685" i="28"/>
  <c r="AF684" i="28"/>
  <c r="AG684" i="28" l="1"/>
  <c r="AB684" i="28"/>
  <c r="AE686" i="28"/>
  <c r="AF685" i="28"/>
  <c r="AG685" i="28" l="1"/>
  <c r="AB685" i="28"/>
  <c r="AF686" i="28"/>
  <c r="AE687" i="28"/>
  <c r="AG686" i="28" l="1"/>
  <c r="AB686" i="28"/>
  <c r="AF687" i="28"/>
  <c r="AE688" i="28"/>
  <c r="AG687" i="28" l="1"/>
  <c r="AB687" i="28"/>
  <c r="AF688" i="28"/>
  <c r="AE689" i="28"/>
  <c r="AG688" i="28" l="1"/>
  <c r="AB688" i="28"/>
  <c r="AE690" i="28"/>
  <c r="AF689" i="28"/>
  <c r="AG689" i="28" l="1"/>
  <c r="AB689" i="28"/>
  <c r="AE691" i="28"/>
  <c r="AF690" i="28"/>
  <c r="AG690" i="28" l="1"/>
  <c r="AB690" i="28"/>
  <c r="AF691" i="28"/>
  <c r="AE692" i="28"/>
  <c r="AG691" i="28" l="1"/>
  <c r="AB691" i="28"/>
  <c r="AE693" i="28"/>
  <c r="AF692" i="28"/>
  <c r="AG692" i="28" l="1"/>
  <c r="AB692" i="28"/>
  <c r="AE694" i="28"/>
  <c r="AF693" i="28"/>
  <c r="AG693" i="28" l="1"/>
  <c r="AB693" i="28"/>
  <c r="AF694" i="28"/>
  <c r="AE695" i="28"/>
  <c r="AG694" i="28" l="1"/>
  <c r="AB694" i="28"/>
  <c r="AF695" i="28"/>
  <c r="AE696" i="28"/>
  <c r="AG695" i="28" l="1"/>
  <c r="AB695" i="28"/>
  <c r="AF696" i="28"/>
  <c r="AE697" i="28"/>
  <c r="AG696" i="28" l="1"/>
  <c r="AB696" i="28"/>
  <c r="AE698" i="28"/>
  <c r="AF697" i="28"/>
  <c r="AG697" i="28" l="1"/>
  <c r="AB697" i="28"/>
  <c r="AF698" i="28"/>
  <c r="AE699" i="28"/>
  <c r="AG698" i="28" l="1"/>
  <c r="AB698" i="28"/>
  <c r="AF699" i="28"/>
  <c r="AE700" i="28"/>
  <c r="AG699" i="28" l="1"/>
  <c r="AB699" i="28"/>
  <c r="AE701" i="28"/>
  <c r="AF700" i="28"/>
  <c r="AG700" i="28" l="1"/>
  <c r="AB700" i="28"/>
  <c r="AE702" i="28"/>
  <c r="AF701" i="28"/>
  <c r="AG701" i="28" l="1"/>
  <c r="AB701" i="28"/>
  <c r="AF702" i="28"/>
  <c r="AE703" i="28"/>
  <c r="AG702" i="28" l="1"/>
  <c r="AB702" i="28"/>
  <c r="AF703" i="28"/>
  <c r="AE704" i="28"/>
  <c r="AG703" i="28" l="1"/>
  <c r="AB703" i="28"/>
  <c r="AE705" i="28"/>
  <c r="AF704" i="28"/>
  <c r="AG704" i="28" l="1"/>
  <c r="AB704" i="28"/>
  <c r="AE706" i="28"/>
  <c r="AF705" i="28"/>
  <c r="AG705" i="28" l="1"/>
  <c r="AB705" i="28"/>
  <c r="AE707" i="28"/>
  <c r="AF706" i="28"/>
  <c r="AG706" i="28" l="1"/>
  <c r="AB706" i="28"/>
  <c r="AF707" i="28"/>
  <c r="AE708" i="28"/>
  <c r="AG707" i="28" l="1"/>
  <c r="AB707" i="28"/>
  <c r="AE709" i="28"/>
  <c r="AF708" i="28"/>
  <c r="AG708" i="28" l="1"/>
  <c r="AB708" i="28"/>
  <c r="AE710" i="28"/>
  <c r="AF709" i="28"/>
  <c r="AG709" i="28" l="1"/>
  <c r="AB709" i="28"/>
  <c r="AF710" i="28"/>
  <c r="AE711" i="28"/>
  <c r="AG710" i="28" l="1"/>
  <c r="AB710" i="28"/>
  <c r="AF711" i="28"/>
  <c r="AE712" i="28"/>
  <c r="AG711" i="28" l="1"/>
  <c r="AB711" i="28"/>
  <c r="AF712" i="28"/>
  <c r="AE713" i="28"/>
  <c r="AG712" i="28" l="1"/>
  <c r="AB712" i="28"/>
  <c r="AE714" i="28"/>
  <c r="AF713" i="28"/>
  <c r="AG713" i="28" l="1"/>
  <c r="AB713" i="28"/>
  <c r="AF714" i="28"/>
  <c r="AE715" i="28"/>
  <c r="AG714" i="28" l="1"/>
  <c r="AB714" i="28"/>
  <c r="AF715" i="28"/>
  <c r="AE716" i="28"/>
  <c r="AG715" i="28" l="1"/>
  <c r="AB715" i="28"/>
  <c r="AE717" i="28"/>
  <c r="AF716" i="28"/>
  <c r="AG716" i="28" l="1"/>
  <c r="AB716" i="28"/>
  <c r="AE718" i="28"/>
  <c r="AF717" i="28"/>
  <c r="AG717" i="28" l="1"/>
  <c r="AB717" i="28"/>
  <c r="AE719" i="28"/>
  <c r="AF718" i="28"/>
  <c r="AG718" i="28" l="1"/>
  <c r="AB718" i="28"/>
  <c r="AF719" i="28"/>
  <c r="AE720" i="28"/>
  <c r="AG719" i="28" l="1"/>
  <c r="AB719" i="28"/>
  <c r="AF720" i="28"/>
  <c r="AE721" i="28"/>
  <c r="AG720" i="28" l="1"/>
  <c r="AB720" i="28"/>
  <c r="AE722" i="28"/>
  <c r="AF721" i="28"/>
  <c r="AG721" i="28" l="1"/>
  <c r="AB721" i="28"/>
  <c r="AE723" i="28"/>
  <c r="AF722" i="28"/>
  <c r="AG722" i="28" l="1"/>
  <c r="AB722" i="28"/>
  <c r="AF723" i="28"/>
  <c r="AE724" i="28"/>
  <c r="AG723" i="28" l="1"/>
  <c r="AB723" i="28"/>
  <c r="AE725" i="28"/>
  <c r="AF724" i="28"/>
  <c r="AG724" i="28" l="1"/>
  <c r="AB724" i="28"/>
  <c r="AE726" i="28"/>
  <c r="AF725" i="28"/>
  <c r="AG725" i="28" l="1"/>
  <c r="AB725" i="28"/>
  <c r="AE727" i="28"/>
  <c r="AF726" i="28"/>
  <c r="AG726" i="28" l="1"/>
  <c r="AB726" i="28"/>
  <c r="AF727" i="28"/>
  <c r="AE728" i="28"/>
  <c r="AG727" i="28" l="1"/>
  <c r="AB727" i="28"/>
  <c r="AF728" i="28"/>
  <c r="AE729" i="28"/>
  <c r="AG728" i="28" l="1"/>
  <c r="AB728" i="28"/>
  <c r="AE730" i="28"/>
  <c r="AF729" i="28"/>
  <c r="AG729" i="28" l="1"/>
  <c r="AB729" i="28"/>
  <c r="AF730" i="28"/>
  <c r="AE731" i="28"/>
  <c r="AG730" i="28" l="1"/>
  <c r="AB730" i="28"/>
  <c r="AF731" i="28"/>
  <c r="AE732" i="28"/>
  <c r="AG731" i="28" l="1"/>
  <c r="AB731" i="28"/>
  <c r="AF732" i="28"/>
  <c r="AE733" i="28"/>
  <c r="AG732" i="28" l="1"/>
  <c r="AB732" i="28"/>
  <c r="AE734" i="28"/>
  <c r="AF733" i="28"/>
  <c r="AG733" i="28" l="1"/>
  <c r="AB733" i="28"/>
  <c r="AF734" i="28"/>
  <c r="AE735" i="28"/>
  <c r="AG734" i="28" l="1"/>
  <c r="AB734" i="28"/>
  <c r="AF735" i="28"/>
  <c r="AE736" i="28"/>
  <c r="AG735" i="28" l="1"/>
  <c r="AB735" i="28"/>
  <c r="AE737" i="28"/>
  <c r="AF736" i="28"/>
  <c r="AG736" i="28" l="1"/>
  <c r="AB736" i="28"/>
  <c r="AE738" i="28"/>
  <c r="AF737" i="28"/>
  <c r="AG737" i="28" l="1"/>
  <c r="AB737" i="28"/>
  <c r="AE739" i="28"/>
  <c r="AF738" i="28"/>
  <c r="AG738" i="28" l="1"/>
  <c r="AB738" i="28"/>
  <c r="AF739" i="28"/>
  <c r="AE740" i="28"/>
  <c r="AG739" i="28" l="1"/>
  <c r="AB739" i="28"/>
  <c r="AE741" i="28"/>
  <c r="AF740" i="28"/>
  <c r="AG740" i="28" l="1"/>
  <c r="AB740" i="28"/>
  <c r="AE742" i="28"/>
  <c r="AF741" i="28"/>
  <c r="AG741" i="28" l="1"/>
  <c r="AB741" i="28"/>
  <c r="AE743" i="28"/>
  <c r="AF742" i="28"/>
  <c r="AG742" i="28" l="1"/>
  <c r="AB742" i="28"/>
  <c r="AF743" i="28"/>
  <c r="AE744" i="28"/>
  <c r="AG743" i="28" l="1"/>
  <c r="AB743" i="28"/>
  <c r="AE745" i="28"/>
  <c r="AF744" i="28"/>
  <c r="AG744" i="28" l="1"/>
  <c r="AB744" i="28"/>
  <c r="AE746" i="28"/>
  <c r="AF745" i="28"/>
  <c r="AG745" i="28" l="1"/>
  <c r="AB745" i="28"/>
  <c r="AF746" i="28"/>
  <c r="AE747" i="28"/>
  <c r="AG746" i="28" l="1"/>
  <c r="AB746" i="28"/>
  <c r="AF747" i="28"/>
  <c r="AE748" i="28"/>
  <c r="AG747" i="28" l="1"/>
  <c r="AB747" i="28"/>
  <c r="AF748" i="28"/>
  <c r="AE749" i="28"/>
  <c r="AG748" i="28" l="1"/>
  <c r="AB748" i="28"/>
  <c r="AE750" i="28"/>
  <c r="AF749" i="28"/>
  <c r="AG749" i="28" l="1"/>
  <c r="AB749" i="28"/>
  <c r="AF750" i="28"/>
  <c r="AE751" i="28"/>
  <c r="AG750" i="28" l="1"/>
  <c r="AB750" i="28"/>
  <c r="AF751" i="28"/>
  <c r="AE752" i="28"/>
  <c r="AG751" i="28" l="1"/>
  <c r="AB751" i="28"/>
  <c r="AE753" i="28"/>
  <c r="AF752" i="28"/>
  <c r="AG752" i="28" l="1"/>
  <c r="AB752" i="28"/>
  <c r="AE754" i="28"/>
  <c r="AF753" i="28"/>
  <c r="AG753" i="28" l="1"/>
  <c r="AB753" i="28"/>
  <c r="AE755" i="28"/>
  <c r="AF754" i="28"/>
  <c r="AG754" i="28" l="1"/>
  <c r="AB754" i="28"/>
  <c r="AF755" i="28"/>
  <c r="AE756" i="28"/>
  <c r="AG755" i="28" l="1"/>
  <c r="AB755" i="28"/>
  <c r="AE757" i="28"/>
  <c r="AF756" i="28"/>
  <c r="AG756" i="28" l="1"/>
  <c r="AB756" i="28"/>
  <c r="AE758" i="28"/>
  <c r="AF757" i="28"/>
  <c r="AG757" i="28" l="1"/>
  <c r="AB757" i="28"/>
  <c r="AE759" i="28"/>
  <c r="AF758" i="28"/>
  <c r="AG758" i="28" l="1"/>
  <c r="AB758" i="28"/>
  <c r="AF759" i="28"/>
  <c r="AE760" i="28"/>
  <c r="AG759" i="28" l="1"/>
  <c r="AB759" i="28"/>
  <c r="AE761" i="28"/>
  <c r="AF760" i="28"/>
  <c r="AG760" i="28" l="1"/>
  <c r="AB760" i="28"/>
  <c r="AE762" i="28"/>
  <c r="AF761" i="28"/>
  <c r="AG761" i="28" l="1"/>
  <c r="AB761" i="28"/>
  <c r="AF762" i="28"/>
  <c r="AE763" i="28"/>
  <c r="AG762" i="28" l="1"/>
  <c r="AB762" i="28"/>
  <c r="AF763" i="28"/>
  <c r="AE764" i="28"/>
  <c r="AG763" i="28" l="1"/>
  <c r="AB763" i="28"/>
  <c r="AF764" i="28"/>
  <c r="AE765" i="28"/>
  <c r="AG764" i="28" l="1"/>
  <c r="AB764" i="28"/>
  <c r="AE766" i="28"/>
  <c r="AF765" i="28"/>
  <c r="AG765" i="28" l="1"/>
  <c r="AB765" i="28"/>
  <c r="AF766" i="28"/>
  <c r="AE767" i="28"/>
  <c r="AG766" i="28" l="1"/>
  <c r="AB766" i="28"/>
  <c r="AF767" i="28"/>
  <c r="AE768" i="28"/>
  <c r="AG767" i="28" l="1"/>
  <c r="AB767" i="28"/>
  <c r="AE769" i="28"/>
  <c r="AF768" i="28"/>
  <c r="AG768" i="28" l="1"/>
  <c r="AB768" i="28"/>
  <c r="AE770" i="28"/>
  <c r="AF769" i="28"/>
  <c r="AG769" i="28" l="1"/>
  <c r="AB769" i="28"/>
  <c r="AE771" i="28"/>
  <c r="AF770" i="28"/>
  <c r="AG770" i="28" l="1"/>
  <c r="AB770" i="28"/>
  <c r="AF771" i="28"/>
  <c r="AE772" i="28"/>
  <c r="AG771" i="28" l="1"/>
  <c r="AB771" i="28"/>
  <c r="AE773" i="28"/>
  <c r="AF772" i="28"/>
  <c r="AG772" i="28" l="1"/>
  <c r="AB772" i="28"/>
  <c r="AE774" i="28"/>
  <c r="AF773" i="28"/>
  <c r="AG773" i="28" l="1"/>
  <c r="AB773" i="28"/>
  <c r="AE775" i="28"/>
  <c r="AF774" i="28"/>
  <c r="AG774" i="28" l="1"/>
  <c r="AB774" i="28"/>
  <c r="AF775" i="28"/>
  <c r="AE776" i="28"/>
  <c r="AG775" i="28" l="1"/>
  <c r="AB775" i="28"/>
  <c r="AE777" i="28"/>
  <c r="AF776" i="28"/>
  <c r="AG776" i="28" l="1"/>
  <c r="AB776" i="28"/>
  <c r="AE778" i="28"/>
  <c r="AF777" i="28"/>
  <c r="AG777" i="28" l="1"/>
  <c r="AB777" i="28"/>
  <c r="AF778" i="28"/>
  <c r="AE779" i="28"/>
  <c r="AG778" i="28" l="1"/>
  <c r="AB778" i="28"/>
  <c r="AF779" i="28"/>
  <c r="AE780" i="28"/>
  <c r="AG779" i="28" l="1"/>
  <c r="AB779" i="28"/>
  <c r="AF780" i="28"/>
  <c r="AE781" i="28"/>
  <c r="AG780" i="28" l="1"/>
  <c r="AB780" i="28"/>
  <c r="AE782" i="28"/>
  <c r="AF781" i="28"/>
  <c r="AG781" i="28" l="1"/>
  <c r="AB781" i="28"/>
  <c r="AF782" i="28"/>
  <c r="AE783" i="28"/>
  <c r="AG782" i="28" l="1"/>
  <c r="AB782" i="28"/>
  <c r="AF783" i="28"/>
  <c r="AE784" i="28"/>
  <c r="AG783" i="28" l="1"/>
  <c r="AB783" i="28"/>
  <c r="AE785" i="28"/>
  <c r="AF784" i="28"/>
  <c r="AG784" i="28" l="1"/>
  <c r="AB784" i="28"/>
  <c r="AE786" i="28"/>
  <c r="AF785" i="28"/>
  <c r="AG785" i="28" l="1"/>
  <c r="AB785" i="28"/>
  <c r="AE787" i="28"/>
  <c r="AF786" i="28"/>
  <c r="AG786" i="28" l="1"/>
  <c r="AB786" i="28"/>
  <c r="AF787" i="28"/>
  <c r="AE788" i="28"/>
  <c r="AG787" i="28" l="1"/>
  <c r="AB787" i="28"/>
  <c r="AE789" i="28"/>
  <c r="AF788" i="28"/>
  <c r="AG788" i="28" l="1"/>
  <c r="AB788" i="28"/>
  <c r="AE790" i="28"/>
  <c r="AF789" i="28"/>
  <c r="AG789" i="28" l="1"/>
  <c r="AB789" i="28"/>
  <c r="AE791" i="28"/>
  <c r="AF790" i="28"/>
  <c r="AG790" i="28" l="1"/>
  <c r="AB790" i="28"/>
  <c r="AF791" i="28"/>
  <c r="AE792" i="28"/>
  <c r="AG791" i="28" l="1"/>
  <c r="AB791" i="28"/>
  <c r="AE793" i="28"/>
  <c r="AF792" i="28"/>
  <c r="AG792" i="28" l="1"/>
  <c r="AB792" i="28"/>
  <c r="AE794" i="28"/>
  <c r="AF793" i="28"/>
  <c r="AG793" i="28" l="1"/>
  <c r="AB793" i="28"/>
  <c r="AF794" i="28"/>
  <c r="AE795" i="28"/>
  <c r="AG794" i="28" l="1"/>
  <c r="AB794" i="28"/>
  <c r="AF795" i="28"/>
  <c r="AE796" i="28"/>
  <c r="AG795" i="28" l="1"/>
  <c r="AB795" i="28"/>
  <c r="AF796" i="28"/>
  <c r="AE797" i="28"/>
  <c r="AG796" i="28" l="1"/>
  <c r="AB796" i="28"/>
  <c r="AE798" i="28"/>
  <c r="AF797" i="28"/>
  <c r="AG797" i="28" l="1"/>
  <c r="AB797" i="28"/>
  <c r="AF798" i="28"/>
  <c r="AE799" i="28"/>
  <c r="AG798" i="28" l="1"/>
  <c r="AB798" i="28"/>
  <c r="AF799" i="28"/>
  <c r="AE800" i="28"/>
  <c r="AG799" i="28" l="1"/>
  <c r="AB799" i="28"/>
  <c r="AE801" i="28"/>
  <c r="AF800" i="28"/>
  <c r="AG800" i="28" l="1"/>
  <c r="AB800" i="28"/>
  <c r="AE802" i="28"/>
  <c r="AF801" i="28"/>
  <c r="AG801" i="28" l="1"/>
  <c r="AB801" i="28"/>
  <c r="AE803" i="28"/>
  <c r="AF802" i="28"/>
  <c r="AG802" i="28" l="1"/>
  <c r="AB802" i="28"/>
  <c r="AF803" i="28"/>
  <c r="AE804" i="28"/>
  <c r="AG803" i="28" l="1"/>
  <c r="AB803" i="28"/>
  <c r="AE805" i="28"/>
  <c r="AF804" i="28"/>
  <c r="AG804" i="28" l="1"/>
  <c r="AB804" i="28"/>
  <c r="AE806" i="28"/>
  <c r="AF805" i="28"/>
  <c r="AG805" i="28" l="1"/>
  <c r="AB805" i="28"/>
  <c r="AE807" i="28"/>
  <c r="AF806" i="28"/>
  <c r="AG806" i="28" l="1"/>
  <c r="AB806" i="28"/>
  <c r="AF807" i="28"/>
  <c r="AE808" i="28"/>
  <c r="AG807" i="28" l="1"/>
  <c r="AB807" i="28"/>
  <c r="AE809" i="28"/>
  <c r="AF808" i="28"/>
  <c r="AG808" i="28" l="1"/>
  <c r="AB808" i="28"/>
  <c r="AE810" i="28"/>
  <c r="AF809" i="28"/>
  <c r="AG809" i="28" l="1"/>
  <c r="AB809" i="28"/>
  <c r="AF810" i="28"/>
  <c r="AE811" i="28"/>
  <c r="AG810" i="28" l="1"/>
  <c r="AB810" i="28"/>
  <c r="AF811" i="28"/>
  <c r="AE812" i="28"/>
  <c r="AG811" i="28" l="1"/>
  <c r="AB811" i="28"/>
  <c r="AF812" i="28"/>
  <c r="AE813" i="28"/>
  <c r="AG812" i="28" l="1"/>
  <c r="AB812" i="28"/>
  <c r="AE814" i="28"/>
  <c r="AF813" i="28"/>
  <c r="AG813" i="28" l="1"/>
  <c r="AB813" i="28"/>
  <c r="AF814" i="28"/>
  <c r="AE815" i="28"/>
  <c r="AG814" i="28" l="1"/>
  <c r="AB814" i="28"/>
  <c r="AF815" i="28"/>
  <c r="AE816" i="28"/>
  <c r="AG815" i="28" l="1"/>
  <c r="AB815" i="28"/>
  <c r="AF816" i="28"/>
  <c r="AE817" i="28"/>
  <c r="AG816" i="28" l="1"/>
  <c r="AB816" i="28"/>
  <c r="AE818" i="28"/>
  <c r="AF817" i="28"/>
  <c r="AG817" i="28" l="1"/>
  <c r="AB817" i="28"/>
  <c r="AE819" i="28"/>
  <c r="AF818" i="28"/>
  <c r="AG818" i="28" l="1"/>
  <c r="AB818" i="28"/>
  <c r="AF819" i="28"/>
  <c r="AE820" i="28"/>
  <c r="AG819" i="28" l="1"/>
  <c r="AB819" i="28"/>
  <c r="AE821" i="28"/>
  <c r="AF820" i="28"/>
  <c r="AG820" i="28" l="1"/>
  <c r="AB820" i="28"/>
  <c r="AE822" i="28"/>
  <c r="AF821" i="28"/>
  <c r="AG821" i="28" l="1"/>
  <c r="AB821" i="28"/>
  <c r="AE823" i="28"/>
  <c r="AF822" i="28"/>
  <c r="AG822" i="28" l="1"/>
  <c r="AB822" i="28"/>
  <c r="AF823" i="28"/>
  <c r="AE824" i="28"/>
  <c r="AG823" i="28" l="1"/>
  <c r="AB823" i="28"/>
  <c r="AE825" i="28"/>
  <c r="AF824" i="28"/>
  <c r="AG824" i="28" l="1"/>
  <c r="AB824" i="28"/>
  <c r="AE826" i="28"/>
  <c r="AF825" i="28"/>
  <c r="AG825" i="28" l="1"/>
  <c r="AB825" i="28"/>
  <c r="AF826" i="28"/>
  <c r="AE827" i="28"/>
  <c r="AG826" i="28" l="1"/>
  <c r="AB826" i="28"/>
  <c r="AF827" i="28"/>
  <c r="AE828" i="28"/>
  <c r="AG827" i="28" l="1"/>
  <c r="AB827" i="28"/>
  <c r="AF828" i="28"/>
  <c r="AE829" i="28"/>
  <c r="AG828" i="28" l="1"/>
  <c r="AB828" i="28"/>
  <c r="AE830" i="28"/>
  <c r="AF829" i="28"/>
  <c r="AG829" i="28" l="1"/>
  <c r="AB829" i="28"/>
  <c r="AF830" i="28"/>
  <c r="AE831" i="28"/>
  <c r="AG830" i="28" l="1"/>
  <c r="AB830" i="28"/>
  <c r="AF831" i="28"/>
  <c r="AE832" i="28"/>
  <c r="AG831" i="28" l="1"/>
  <c r="AB831" i="28"/>
  <c r="AE833" i="28"/>
  <c r="AF832" i="28"/>
  <c r="AG832" i="28" l="1"/>
  <c r="AB832" i="28"/>
  <c r="AE834" i="28"/>
  <c r="AF833" i="28"/>
  <c r="AG833" i="28" l="1"/>
  <c r="AB833" i="28"/>
  <c r="AE835" i="28"/>
  <c r="AF834" i="28"/>
  <c r="AG834" i="28" l="1"/>
  <c r="AB834" i="28"/>
  <c r="AF835" i="28"/>
  <c r="AE836" i="28"/>
  <c r="AG835" i="28" l="1"/>
  <c r="AB835" i="28"/>
  <c r="AE837" i="28"/>
  <c r="AF836" i="28"/>
  <c r="AG836" i="28" l="1"/>
  <c r="AB836" i="28"/>
  <c r="AE838" i="28"/>
  <c r="AF837" i="28"/>
  <c r="AG837" i="28" l="1"/>
  <c r="AB837" i="28"/>
  <c r="AE839" i="28"/>
  <c r="AF838" i="28"/>
  <c r="AG838" i="28" l="1"/>
  <c r="AB838" i="28"/>
  <c r="AF839" i="28"/>
  <c r="AE840" i="28"/>
  <c r="AG839" i="28" l="1"/>
  <c r="AB839" i="28"/>
  <c r="AE841" i="28"/>
  <c r="AF840" i="28"/>
  <c r="AG840" i="28" l="1"/>
  <c r="AB840" i="28"/>
  <c r="AE842" i="28"/>
  <c r="AF841" i="28"/>
  <c r="AG841" i="28" l="1"/>
  <c r="AB841" i="28"/>
  <c r="AF842" i="28"/>
  <c r="AE843" i="28"/>
  <c r="AG842" i="28" l="1"/>
  <c r="AB842" i="28"/>
  <c r="AF843" i="28"/>
  <c r="AE844" i="28"/>
  <c r="AG843" i="28" l="1"/>
  <c r="AB843" i="28"/>
  <c r="AF844" i="28"/>
  <c r="AE845" i="28"/>
  <c r="AG844" i="28" l="1"/>
  <c r="AB844" i="28"/>
  <c r="AE846" i="28"/>
  <c r="AF845" i="28"/>
  <c r="AG845" i="28" l="1"/>
  <c r="AB845" i="28"/>
  <c r="AF846" i="28"/>
  <c r="AE847" i="28"/>
  <c r="AG846" i="28" l="1"/>
  <c r="AB846" i="28"/>
  <c r="AF847" i="28"/>
  <c r="AE848" i="28"/>
  <c r="AG847" i="28" l="1"/>
  <c r="AB847" i="28"/>
  <c r="AE849" i="28"/>
  <c r="AF848" i="28"/>
  <c r="AG848" i="28" l="1"/>
  <c r="AB848" i="28"/>
  <c r="AE850" i="28"/>
  <c r="AF849" i="28"/>
  <c r="AG849" i="28" l="1"/>
  <c r="AB849" i="28"/>
  <c r="AE851" i="28"/>
  <c r="AF850" i="28"/>
  <c r="AG850" i="28" l="1"/>
  <c r="AB850" i="28"/>
  <c r="AF851" i="28"/>
  <c r="AE852" i="28"/>
  <c r="AG851" i="28" l="1"/>
  <c r="AB851" i="28"/>
  <c r="AE853" i="28"/>
  <c r="AF852" i="28"/>
  <c r="AG852" i="28" l="1"/>
  <c r="AB852" i="28"/>
  <c r="AE854" i="28"/>
  <c r="AE855" i="28" s="1"/>
  <c r="AE856" i="28" s="1"/>
  <c r="AF853" i="28"/>
  <c r="AE857" i="28" l="1"/>
  <c r="AF856" i="28"/>
  <c r="AG853" i="28"/>
  <c r="AB853" i="28"/>
  <c r="AF854" i="28"/>
  <c r="AB856" i="28" l="1"/>
  <c r="D856" i="28"/>
  <c r="AG856" i="28"/>
  <c r="Z856" i="28"/>
  <c r="AE858" i="28"/>
  <c r="AF857" i="28"/>
  <c r="AG854" i="28"/>
  <c r="AB854" i="28"/>
  <c r="AF855" i="28"/>
  <c r="AB857" i="28" l="1"/>
  <c r="AG857" i="28"/>
  <c r="D857" i="28"/>
  <c r="Z857" i="28"/>
  <c r="C856" i="28"/>
  <c r="AA856" i="28"/>
  <c r="AE859" i="28"/>
  <c r="AF858" i="28"/>
  <c r="AG855" i="28"/>
  <c r="AB855" i="28"/>
  <c r="C857" i="28" l="1"/>
  <c r="AA857" i="28"/>
  <c r="Z858" i="28"/>
  <c r="D858" i="28"/>
  <c r="AB858" i="28"/>
  <c r="AG858" i="28"/>
  <c r="AF859" i="28"/>
  <c r="AE860" i="28"/>
  <c r="AE861" i="28" l="1"/>
  <c r="AF860" i="28"/>
  <c r="AB859" i="28"/>
  <c r="D859" i="28"/>
  <c r="AG859" i="28"/>
  <c r="Z859" i="28"/>
  <c r="C858" i="28"/>
  <c r="AA858" i="28"/>
  <c r="AB860" i="28" l="1"/>
  <c r="AG860" i="28"/>
  <c r="D860" i="28"/>
  <c r="Z860" i="28"/>
  <c r="C859" i="28"/>
  <c r="AA859" i="28"/>
  <c r="AE862" i="28"/>
  <c r="AF861" i="28"/>
  <c r="AG861" i="28" l="1"/>
  <c r="D861" i="28"/>
  <c r="AB861" i="28"/>
  <c r="Z861" i="28"/>
  <c r="C860" i="28"/>
  <c r="AA860" i="28"/>
  <c r="AE863" i="28"/>
  <c r="AF862" i="28"/>
  <c r="Z862" i="28" l="1"/>
  <c r="D862" i="28"/>
  <c r="AB862" i="28"/>
  <c r="AG862" i="28"/>
  <c r="C861" i="28"/>
  <c r="AA861" i="28"/>
  <c r="AF863" i="28"/>
  <c r="AE864" i="28"/>
  <c r="C862" i="28" l="1"/>
  <c r="AA862" i="28"/>
  <c r="AF864" i="28"/>
  <c r="AE865" i="28"/>
  <c r="AB863" i="28"/>
  <c r="D863" i="28"/>
  <c r="AG863" i="28"/>
  <c r="Z863" i="28"/>
  <c r="AA863" i="28" l="1"/>
  <c r="C863" i="28"/>
  <c r="Z864" i="28"/>
  <c r="D864" i="28"/>
  <c r="AB864" i="28"/>
  <c r="AG864" i="28"/>
  <c r="AE866" i="28"/>
  <c r="AF865" i="28"/>
  <c r="AB865" i="28" l="1"/>
  <c r="D865" i="28"/>
  <c r="Z865" i="28"/>
  <c r="AG865" i="28"/>
  <c r="AE867" i="28"/>
  <c r="AF866" i="28"/>
  <c r="C864" i="28"/>
  <c r="AA864" i="28"/>
  <c r="AB866" i="28" l="1"/>
  <c r="AG866" i="28"/>
  <c r="D866" i="28"/>
  <c r="Z866" i="28"/>
  <c r="C865" i="28"/>
  <c r="AA865" i="28"/>
  <c r="AF867" i="28"/>
  <c r="AE868" i="28"/>
  <c r="AE869" i="28" l="1"/>
  <c r="AF868" i="28"/>
  <c r="AG867" i="28"/>
  <c r="D867" i="28"/>
  <c r="AB867" i="28"/>
  <c r="Z867" i="28"/>
  <c r="C866" i="28"/>
  <c r="AA866" i="28"/>
  <c r="AB868" i="28" l="1"/>
  <c r="AG868" i="28"/>
  <c r="C867" i="28"/>
  <c r="AA867" i="28"/>
  <c r="AE870" i="28"/>
  <c r="AF869" i="28"/>
  <c r="AE871" i="28" l="1"/>
  <c r="AF870" i="28"/>
  <c r="AB869" i="28"/>
  <c r="AG869" i="28"/>
  <c r="AB870" i="28" l="1"/>
  <c r="AG870" i="28"/>
  <c r="AE872" i="28"/>
  <c r="AF871" i="28"/>
  <c r="AB871" i="28" l="1"/>
  <c r="AG871" i="28"/>
  <c r="AE873" i="28"/>
  <c r="AF872" i="28"/>
  <c r="AE874" i="28" l="1"/>
  <c r="AF873" i="28"/>
  <c r="AB872" i="28"/>
  <c r="AG872" i="28"/>
  <c r="AE875" i="28" l="1"/>
  <c r="AF874" i="28"/>
  <c r="AB873" i="28"/>
  <c r="AG873" i="28"/>
  <c r="AB874" i="28" l="1"/>
  <c r="AG874" i="28"/>
  <c r="AE876" i="28"/>
  <c r="AF875" i="28"/>
  <c r="AG875" i="28" l="1"/>
  <c r="AB875" i="28"/>
  <c r="AE877" i="28"/>
  <c r="AF876" i="28"/>
  <c r="AG876" i="28" l="1"/>
  <c r="AB876" i="28"/>
  <c r="AE878" i="28"/>
  <c r="AF877" i="28"/>
  <c r="AE879" i="28" l="1"/>
  <c r="AF879" i="28" s="1"/>
  <c r="AF878" i="28"/>
  <c r="AB877" i="28"/>
  <c r="AG877" i="28"/>
  <c r="AG878" i="28" l="1"/>
  <c r="AB878" i="28"/>
  <c r="AG879" i="28"/>
  <c r="AB879" i="28"/>
  <c r="D102" i="61" l="1"/>
  <c r="D98" i="61"/>
  <c r="C98" i="61"/>
  <c r="C102" i="61"/>
  <c r="T891" i="28" l="1"/>
  <c r="B25" i="3" l="1"/>
  <c r="A23" i="3" l="1"/>
  <c r="P56" i="31" l="1"/>
  <c r="O56" i="31"/>
  <c r="N56" i="31"/>
  <c r="M56" i="31"/>
  <c r="P55" i="31" l="1"/>
  <c r="O55" i="31"/>
  <c r="N55" i="31"/>
  <c r="M55" i="31"/>
  <c r="P54" i="31"/>
  <c r="O54" i="31"/>
  <c r="N54" i="31"/>
  <c r="M54" i="31"/>
  <c r="P53" i="31"/>
  <c r="O53" i="31"/>
  <c r="N53" i="31"/>
  <c r="M53" i="31"/>
  <c r="P52" i="31"/>
  <c r="O52" i="31"/>
  <c r="N52" i="31"/>
  <c r="M52" i="31"/>
  <c r="P51" i="31" l="1"/>
  <c r="O51" i="31"/>
  <c r="N51" i="31"/>
  <c r="M51" i="31"/>
  <c r="P50" i="31"/>
  <c r="O50" i="31"/>
  <c r="N50" i="31"/>
  <c r="M50" i="31"/>
  <c r="P49" i="31" l="1"/>
  <c r="O49" i="31"/>
  <c r="N49" i="31"/>
  <c r="M49" i="31"/>
  <c r="P48" i="31"/>
  <c r="O48" i="31"/>
  <c r="N48" i="31"/>
  <c r="M48" i="31"/>
  <c r="P47" i="31" l="1"/>
  <c r="O47" i="31"/>
  <c r="N47" i="31"/>
  <c r="M47" i="31"/>
  <c r="P46" i="31" l="1"/>
  <c r="O46" i="31"/>
  <c r="N46" i="31"/>
  <c r="M46" i="31"/>
  <c r="P45" i="31" l="1"/>
  <c r="O45" i="31"/>
  <c r="N45" i="31"/>
  <c r="M45" i="31"/>
  <c r="P44" i="31"/>
  <c r="O44" i="31"/>
  <c r="N44" i="31"/>
  <c r="M44" i="31"/>
  <c r="P43" i="31" l="1"/>
  <c r="O43" i="31"/>
  <c r="N43" i="31"/>
  <c r="M43" i="31"/>
  <c r="P42" i="31" l="1"/>
  <c r="O42" i="31"/>
  <c r="N42" i="31"/>
  <c r="M42" i="31"/>
  <c r="P41" i="31" l="1"/>
  <c r="O41" i="31"/>
  <c r="N41" i="31"/>
  <c r="M41" i="31"/>
  <c r="P40" i="31"/>
  <c r="O40" i="31"/>
  <c r="N40" i="31"/>
  <c r="M40" i="31"/>
  <c r="P39" i="31" l="1"/>
  <c r="O39" i="31"/>
  <c r="N39" i="31"/>
  <c r="M39" i="31"/>
  <c r="A39" i="31"/>
  <c r="C39" i="31" s="1"/>
  <c r="P38" i="31"/>
  <c r="O38" i="31"/>
  <c r="N38" i="31"/>
  <c r="M38" i="31"/>
  <c r="E38" i="31"/>
  <c r="C38" i="31"/>
  <c r="P37" i="31"/>
  <c r="O37" i="31"/>
  <c r="N37" i="31"/>
  <c r="E37" i="31"/>
  <c r="C37" i="31"/>
  <c r="P36" i="31"/>
  <c r="O36" i="31"/>
  <c r="N36" i="31"/>
  <c r="E36" i="31"/>
  <c r="C36" i="31"/>
  <c r="P35" i="31"/>
  <c r="O35" i="31"/>
  <c r="N35" i="31"/>
  <c r="E35" i="31"/>
  <c r="C35" i="31"/>
  <c r="P34" i="31"/>
  <c r="O34" i="31"/>
  <c r="N34" i="31"/>
  <c r="E34" i="31"/>
  <c r="C34" i="31"/>
  <c r="P33" i="31"/>
  <c r="O33" i="31"/>
  <c r="N33" i="31"/>
  <c r="E33" i="31"/>
  <c r="C33" i="31"/>
  <c r="P32" i="31"/>
  <c r="O32" i="31"/>
  <c r="N32" i="31"/>
  <c r="E32" i="31"/>
  <c r="C32" i="31"/>
  <c r="P31" i="31"/>
  <c r="O31" i="31"/>
  <c r="N31" i="31"/>
  <c r="E31" i="31"/>
  <c r="C31" i="31"/>
  <c r="P30" i="31"/>
  <c r="O30" i="31"/>
  <c r="N30" i="31"/>
  <c r="E30" i="31"/>
  <c r="C30" i="31"/>
  <c r="P29" i="31"/>
  <c r="O29" i="31"/>
  <c r="N29" i="31"/>
  <c r="E29" i="31"/>
  <c r="C29" i="31"/>
  <c r="P28" i="31"/>
  <c r="O28" i="31"/>
  <c r="N28" i="31"/>
  <c r="E28" i="31"/>
  <c r="C28" i="31"/>
  <c r="P27" i="31"/>
  <c r="O27" i="31"/>
  <c r="N27" i="31"/>
  <c r="E27" i="31"/>
  <c r="C27" i="31"/>
  <c r="P26" i="31"/>
  <c r="O26" i="31"/>
  <c r="N26" i="31"/>
  <c r="E26" i="31"/>
  <c r="C26" i="31"/>
  <c r="P25" i="31"/>
  <c r="O25" i="31"/>
  <c r="N25" i="31"/>
  <c r="E25" i="31"/>
  <c r="C25" i="31"/>
  <c r="P24" i="31"/>
  <c r="O24" i="31"/>
  <c r="N24" i="31"/>
  <c r="E24" i="31"/>
  <c r="C24" i="31"/>
  <c r="P23" i="31"/>
  <c r="O23" i="31"/>
  <c r="N23" i="31"/>
  <c r="E23" i="31"/>
  <c r="C23" i="31"/>
  <c r="P22" i="31"/>
  <c r="O22" i="31"/>
  <c r="N22" i="31"/>
  <c r="E22" i="31"/>
  <c r="C22" i="31"/>
  <c r="P21" i="31"/>
  <c r="O21" i="31"/>
  <c r="N21" i="31"/>
  <c r="E21" i="31"/>
  <c r="C21" i="31"/>
  <c r="P20" i="31"/>
  <c r="O20" i="31"/>
  <c r="N20" i="31"/>
  <c r="E20" i="31"/>
  <c r="C20" i="31"/>
  <c r="P19" i="31"/>
  <c r="O19" i="31"/>
  <c r="N19" i="31"/>
  <c r="E19" i="31"/>
  <c r="C19" i="31"/>
  <c r="P18" i="31"/>
  <c r="O18" i="31"/>
  <c r="N18" i="31"/>
  <c r="E18" i="31"/>
  <c r="C18" i="31"/>
  <c r="P17" i="31"/>
  <c r="O17" i="31"/>
  <c r="N17" i="31"/>
  <c r="E17" i="31"/>
  <c r="C17" i="31"/>
  <c r="P16" i="31"/>
  <c r="O16" i="31"/>
  <c r="N16" i="31"/>
  <c r="E16" i="31"/>
  <c r="C16" i="31"/>
  <c r="P15" i="31"/>
  <c r="O15" i="31"/>
  <c r="N15" i="31"/>
  <c r="E15" i="31"/>
  <c r="C15" i="31"/>
  <c r="P14" i="31"/>
  <c r="O14" i="31"/>
  <c r="N14" i="31"/>
  <c r="E14" i="31"/>
  <c r="C14" i="31"/>
  <c r="P13" i="31"/>
  <c r="O13" i="31"/>
  <c r="N13" i="31"/>
  <c r="E13" i="31"/>
  <c r="C13" i="31"/>
  <c r="P12" i="31"/>
  <c r="O12" i="31"/>
  <c r="N12" i="31"/>
  <c r="E12" i="31"/>
  <c r="C12" i="31"/>
  <c r="P11" i="31"/>
  <c r="O11" i="31"/>
  <c r="N11" i="31"/>
  <c r="E11" i="31"/>
  <c r="C11" i="31"/>
  <c r="P10" i="31"/>
  <c r="O10" i="31"/>
  <c r="N10" i="31"/>
  <c r="E10" i="31"/>
  <c r="C10" i="31"/>
  <c r="P9" i="31"/>
  <c r="O9" i="31"/>
  <c r="N9" i="31"/>
  <c r="E9" i="31"/>
  <c r="C9" i="31"/>
  <c r="P8" i="31"/>
  <c r="O8" i="31"/>
  <c r="N8" i="31"/>
  <c r="E8" i="31"/>
  <c r="C8" i="31"/>
  <c r="P7" i="31"/>
  <c r="O7" i="31"/>
  <c r="N7" i="31"/>
  <c r="E7" i="31"/>
  <c r="C7" i="31"/>
  <c r="P6" i="31"/>
  <c r="O6" i="31"/>
  <c r="N6" i="31"/>
  <c r="E6" i="31"/>
  <c r="C6" i="31"/>
  <c r="P5" i="31"/>
  <c r="O5" i="31"/>
  <c r="N5" i="31"/>
  <c r="E5" i="31"/>
  <c r="C5" i="31"/>
  <c r="P4" i="31"/>
  <c r="O4" i="31"/>
  <c r="N4" i="31"/>
  <c r="E4" i="31"/>
  <c r="C4" i="31"/>
  <c r="B3" i="31"/>
  <c r="A516" i="30"/>
  <c r="E516" i="30" s="1"/>
  <c r="E515" i="30"/>
  <c r="C515" i="30"/>
  <c r="E514" i="30"/>
  <c r="C514" i="30"/>
  <c r="E513" i="30"/>
  <c r="C513" i="30"/>
  <c r="E512" i="30"/>
  <c r="C512" i="30"/>
  <c r="E511" i="30"/>
  <c r="C511" i="30"/>
  <c r="E510" i="30"/>
  <c r="C510" i="30"/>
  <c r="E509" i="30"/>
  <c r="C509" i="30"/>
  <c r="E508" i="30"/>
  <c r="C508" i="30"/>
  <c r="E507" i="30"/>
  <c r="C507" i="30"/>
  <c r="E506" i="30"/>
  <c r="C506" i="30"/>
  <c r="E505" i="30"/>
  <c r="C505" i="30"/>
  <c r="E504" i="30"/>
  <c r="C504" i="30"/>
  <c r="E503" i="30"/>
  <c r="C503" i="30"/>
  <c r="E502" i="30"/>
  <c r="C502" i="30"/>
  <c r="E501" i="30"/>
  <c r="C501" i="30"/>
  <c r="E500" i="30"/>
  <c r="C500" i="30"/>
  <c r="E499" i="30"/>
  <c r="C499" i="30"/>
  <c r="E498" i="30"/>
  <c r="C498" i="30"/>
  <c r="E497" i="30"/>
  <c r="C497" i="30"/>
  <c r="E496" i="30"/>
  <c r="C496" i="30"/>
  <c r="E495" i="30"/>
  <c r="C495" i="30"/>
  <c r="E494" i="30"/>
  <c r="C494" i="30"/>
  <c r="E493" i="30"/>
  <c r="C493" i="30"/>
  <c r="E492" i="30"/>
  <c r="C492" i="30"/>
  <c r="E491" i="30"/>
  <c r="C491" i="30"/>
  <c r="E490" i="30"/>
  <c r="C490" i="30"/>
  <c r="E489" i="30"/>
  <c r="C489" i="30"/>
  <c r="E488" i="30"/>
  <c r="C488" i="30"/>
  <c r="E487" i="30"/>
  <c r="C487" i="30"/>
  <c r="E486" i="30"/>
  <c r="C486" i="30"/>
  <c r="E485" i="30"/>
  <c r="C485" i="30"/>
  <c r="E484" i="30"/>
  <c r="C484" i="30"/>
  <c r="E483" i="30"/>
  <c r="C483" i="30"/>
  <c r="E482" i="30"/>
  <c r="C482" i="30"/>
  <c r="E481" i="30"/>
  <c r="C481" i="30"/>
  <c r="E480" i="30"/>
  <c r="C480" i="30"/>
  <c r="E479" i="30"/>
  <c r="C479" i="30"/>
  <c r="E478" i="30"/>
  <c r="C478" i="30"/>
  <c r="E477" i="30"/>
  <c r="C477" i="30"/>
  <c r="E476" i="30"/>
  <c r="C476" i="30"/>
  <c r="E475" i="30"/>
  <c r="C475" i="30"/>
  <c r="E474" i="30"/>
  <c r="C474" i="30"/>
  <c r="E473" i="30"/>
  <c r="C473" i="30"/>
  <c r="E472" i="30"/>
  <c r="C472" i="30"/>
  <c r="E471" i="30"/>
  <c r="C471" i="30"/>
  <c r="E470" i="30"/>
  <c r="C470" i="30"/>
  <c r="E469" i="30"/>
  <c r="C469" i="30"/>
  <c r="E468" i="30"/>
  <c r="C468" i="30"/>
  <c r="E467" i="30"/>
  <c r="C467" i="30"/>
  <c r="E466" i="30"/>
  <c r="C466" i="30"/>
  <c r="E465" i="30"/>
  <c r="C465" i="30"/>
  <c r="E464" i="30"/>
  <c r="C464" i="30"/>
  <c r="E463" i="30"/>
  <c r="C463" i="30"/>
  <c r="E462" i="30"/>
  <c r="C462" i="30"/>
  <c r="E461" i="30"/>
  <c r="C461" i="30"/>
  <c r="E460" i="30"/>
  <c r="C460" i="30"/>
  <c r="E459" i="30"/>
  <c r="C459" i="30"/>
  <c r="E458" i="30"/>
  <c r="C458" i="30"/>
  <c r="E457" i="30"/>
  <c r="C457" i="30"/>
  <c r="E456" i="30"/>
  <c r="C456" i="30"/>
  <c r="E455" i="30"/>
  <c r="C455" i="30"/>
  <c r="E454" i="30"/>
  <c r="C454" i="30"/>
  <c r="E453" i="30"/>
  <c r="C453" i="30"/>
  <c r="E452" i="30"/>
  <c r="C452" i="30"/>
  <c r="E451" i="30"/>
  <c r="C451" i="30"/>
  <c r="E450" i="30"/>
  <c r="C450" i="30"/>
  <c r="E449" i="30"/>
  <c r="C449" i="30"/>
  <c r="E448" i="30"/>
  <c r="C448" i="30"/>
  <c r="E447" i="30"/>
  <c r="C447" i="30"/>
  <c r="E446" i="30"/>
  <c r="C446" i="30"/>
  <c r="E445" i="30"/>
  <c r="C445" i="30"/>
  <c r="E444" i="30"/>
  <c r="C444" i="30"/>
  <c r="E443" i="30"/>
  <c r="C443" i="30"/>
  <c r="E442" i="30"/>
  <c r="C442" i="30"/>
  <c r="E441" i="30"/>
  <c r="C441" i="30"/>
  <c r="E440" i="30"/>
  <c r="C440" i="30"/>
  <c r="E439" i="30"/>
  <c r="C439" i="30"/>
  <c r="E438" i="30"/>
  <c r="C438" i="30"/>
  <c r="E437" i="30"/>
  <c r="C437" i="30"/>
  <c r="E436" i="30"/>
  <c r="C436" i="30"/>
  <c r="E435" i="30"/>
  <c r="C435" i="30"/>
  <c r="E434" i="30"/>
  <c r="C434" i="30"/>
  <c r="E433" i="30"/>
  <c r="C433" i="30"/>
  <c r="E432" i="30"/>
  <c r="C432" i="30"/>
  <c r="E431" i="30"/>
  <c r="C431" i="30"/>
  <c r="E430" i="30"/>
  <c r="C430" i="30"/>
  <c r="E429" i="30"/>
  <c r="C429" i="30"/>
  <c r="E428" i="30"/>
  <c r="C428" i="30"/>
  <c r="E427" i="30"/>
  <c r="C427" i="30"/>
  <c r="E426" i="30"/>
  <c r="C426" i="30"/>
  <c r="E425" i="30"/>
  <c r="C425" i="30"/>
  <c r="E424" i="30"/>
  <c r="C424" i="30"/>
  <c r="E423" i="30"/>
  <c r="C423" i="30"/>
  <c r="E422" i="30"/>
  <c r="C422" i="30"/>
  <c r="E421" i="30"/>
  <c r="C421" i="30"/>
  <c r="E420" i="30"/>
  <c r="C420" i="30"/>
  <c r="E419" i="30"/>
  <c r="C419" i="30"/>
  <c r="E418" i="30"/>
  <c r="C418" i="30"/>
  <c r="E417" i="30"/>
  <c r="C417" i="30"/>
  <c r="E416" i="30"/>
  <c r="C416" i="30"/>
  <c r="E415" i="30"/>
  <c r="C415" i="30"/>
  <c r="E414" i="30"/>
  <c r="C414" i="30"/>
  <c r="E413" i="30"/>
  <c r="C413" i="30"/>
  <c r="E412" i="30"/>
  <c r="C412" i="30"/>
  <c r="E411" i="30"/>
  <c r="C411" i="30"/>
  <c r="E410" i="30"/>
  <c r="C410" i="30"/>
  <c r="E409" i="30"/>
  <c r="C409" i="30"/>
  <c r="E408" i="30"/>
  <c r="C408" i="30"/>
  <c r="E407" i="30"/>
  <c r="C407" i="30"/>
  <c r="E406" i="30"/>
  <c r="C406" i="30"/>
  <c r="E405" i="30"/>
  <c r="C405" i="30"/>
  <c r="E404" i="30"/>
  <c r="C404" i="30"/>
  <c r="E403" i="30"/>
  <c r="C403" i="30"/>
  <c r="E402" i="30"/>
  <c r="C402" i="30"/>
  <c r="E401" i="30"/>
  <c r="C401" i="30"/>
  <c r="E400" i="30"/>
  <c r="C400" i="30"/>
  <c r="E399" i="30"/>
  <c r="C399" i="30"/>
  <c r="E398" i="30"/>
  <c r="C398" i="30"/>
  <c r="E397" i="30"/>
  <c r="C397" i="30"/>
  <c r="E396" i="30"/>
  <c r="C396" i="30"/>
  <c r="E395" i="30"/>
  <c r="C395" i="30"/>
  <c r="E394" i="30"/>
  <c r="C394" i="30"/>
  <c r="E393" i="30"/>
  <c r="C393" i="30"/>
  <c r="E392" i="30"/>
  <c r="C392" i="30"/>
  <c r="E391" i="30"/>
  <c r="C391" i="30"/>
  <c r="E390" i="30"/>
  <c r="C390" i="30"/>
  <c r="E389" i="30"/>
  <c r="C389" i="30"/>
  <c r="E388" i="30"/>
  <c r="C388" i="30"/>
  <c r="E387" i="30"/>
  <c r="C387" i="30"/>
  <c r="E386" i="30"/>
  <c r="C386" i="30"/>
  <c r="E385" i="30"/>
  <c r="C385" i="30"/>
  <c r="E384" i="30"/>
  <c r="C384" i="30"/>
  <c r="E383" i="30"/>
  <c r="C383" i="30"/>
  <c r="E382" i="30"/>
  <c r="C382" i="30"/>
  <c r="E381" i="30"/>
  <c r="C381" i="30"/>
  <c r="E380" i="30"/>
  <c r="C380" i="30"/>
  <c r="E379" i="30"/>
  <c r="C379" i="30"/>
  <c r="E378" i="30"/>
  <c r="C378" i="30"/>
  <c r="E377" i="30"/>
  <c r="C377" i="30"/>
  <c r="E376" i="30"/>
  <c r="C376" i="30"/>
  <c r="E375" i="30"/>
  <c r="C375" i="30"/>
  <c r="E374" i="30"/>
  <c r="C374" i="30"/>
  <c r="E373" i="30"/>
  <c r="C373" i="30"/>
  <c r="E372" i="30"/>
  <c r="C372" i="30"/>
  <c r="E371" i="30"/>
  <c r="C371" i="30"/>
  <c r="E370" i="30"/>
  <c r="C370" i="30"/>
  <c r="E369" i="30"/>
  <c r="C369" i="30"/>
  <c r="E368" i="30"/>
  <c r="C368" i="30"/>
  <c r="E367" i="30"/>
  <c r="C367" i="30"/>
  <c r="E366" i="30"/>
  <c r="C366" i="30"/>
  <c r="E365" i="30"/>
  <c r="C365" i="30"/>
  <c r="E364" i="30"/>
  <c r="C364" i="30"/>
  <c r="E363" i="30"/>
  <c r="C363" i="30"/>
  <c r="E362" i="30"/>
  <c r="C362" i="30"/>
  <c r="E361" i="30"/>
  <c r="C361" i="30"/>
  <c r="E360" i="30"/>
  <c r="C360" i="30"/>
  <c r="E359" i="30"/>
  <c r="C359" i="30"/>
  <c r="E358" i="30"/>
  <c r="C358" i="30"/>
  <c r="E357" i="30"/>
  <c r="C357" i="30"/>
  <c r="E356" i="30"/>
  <c r="C356" i="30"/>
  <c r="E355" i="30"/>
  <c r="C355" i="30"/>
  <c r="E354" i="30"/>
  <c r="C354" i="30"/>
  <c r="E353" i="30"/>
  <c r="C353" i="30"/>
  <c r="E352" i="30"/>
  <c r="C352" i="30"/>
  <c r="E351" i="30"/>
  <c r="C351" i="30"/>
  <c r="E350" i="30"/>
  <c r="C350" i="30"/>
  <c r="E349" i="30"/>
  <c r="C349" i="30"/>
  <c r="E348" i="30"/>
  <c r="C348" i="30"/>
  <c r="E347" i="30"/>
  <c r="C347" i="30"/>
  <c r="E346" i="30"/>
  <c r="C346" i="30"/>
  <c r="E345" i="30"/>
  <c r="C345" i="30"/>
  <c r="E344" i="30"/>
  <c r="C344" i="30"/>
  <c r="E343" i="30"/>
  <c r="C343" i="30"/>
  <c r="E342" i="30"/>
  <c r="C342" i="30"/>
  <c r="E341" i="30"/>
  <c r="C341" i="30"/>
  <c r="E340" i="30"/>
  <c r="C340" i="30"/>
  <c r="E339" i="30"/>
  <c r="C339" i="30"/>
  <c r="E338" i="30"/>
  <c r="C338" i="30"/>
  <c r="E337" i="30"/>
  <c r="C337" i="30"/>
  <c r="E336" i="30"/>
  <c r="C336" i="30"/>
  <c r="E335" i="30"/>
  <c r="C335" i="30"/>
  <c r="E334" i="30"/>
  <c r="C334" i="30"/>
  <c r="E333" i="30"/>
  <c r="C333" i="30"/>
  <c r="E332" i="30"/>
  <c r="C332" i="30"/>
  <c r="E331" i="30"/>
  <c r="C331" i="30"/>
  <c r="E330" i="30"/>
  <c r="C330" i="30"/>
  <c r="E329" i="30"/>
  <c r="C329" i="30"/>
  <c r="E328" i="30"/>
  <c r="C328" i="30"/>
  <c r="E327" i="30"/>
  <c r="C327" i="30"/>
  <c r="E326" i="30"/>
  <c r="C326" i="30"/>
  <c r="E325" i="30"/>
  <c r="C325" i="30"/>
  <c r="E324" i="30"/>
  <c r="C324" i="30"/>
  <c r="E323" i="30"/>
  <c r="C323" i="30"/>
  <c r="E322" i="30"/>
  <c r="C322" i="30"/>
  <c r="E321" i="30"/>
  <c r="C321" i="30"/>
  <c r="E320" i="30"/>
  <c r="C320" i="30"/>
  <c r="E319" i="30"/>
  <c r="C319" i="30"/>
  <c r="E318" i="30"/>
  <c r="C318" i="30"/>
  <c r="E317" i="30"/>
  <c r="C317" i="30"/>
  <c r="E316" i="30"/>
  <c r="C316" i="30"/>
  <c r="E315" i="30"/>
  <c r="C315" i="30"/>
  <c r="E314" i="30"/>
  <c r="C314" i="30"/>
  <c r="E313" i="30"/>
  <c r="C313" i="30"/>
  <c r="E312" i="30"/>
  <c r="C312" i="30"/>
  <c r="E311" i="30"/>
  <c r="C311" i="30"/>
  <c r="E310" i="30"/>
  <c r="C310" i="30"/>
  <c r="E309" i="30"/>
  <c r="C309" i="30"/>
  <c r="E308" i="30"/>
  <c r="C308" i="30"/>
  <c r="E307" i="30"/>
  <c r="C307" i="30"/>
  <c r="E306" i="30"/>
  <c r="C306" i="30"/>
  <c r="E305" i="30"/>
  <c r="C305" i="30"/>
  <c r="E304" i="30"/>
  <c r="C304" i="30"/>
  <c r="E303" i="30"/>
  <c r="C303" i="30"/>
  <c r="E302" i="30"/>
  <c r="C302" i="30"/>
  <c r="E301" i="30"/>
  <c r="C301" i="30"/>
  <c r="E300" i="30"/>
  <c r="C300" i="30"/>
  <c r="E299" i="30"/>
  <c r="C299" i="30"/>
  <c r="E298" i="30"/>
  <c r="C298" i="30"/>
  <c r="E297" i="30"/>
  <c r="C297" i="30"/>
  <c r="E296" i="30"/>
  <c r="C296" i="30"/>
  <c r="E295" i="30"/>
  <c r="C295" i="30"/>
  <c r="E294" i="30"/>
  <c r="C294" i="30"/>
  <c r="E293" i="30"/>
  <c r="C293" i="30"/>
  <c r="E292" i="30"/>
  <c r="C292" i="30"/>
  <c r="E291" i="30"/>
  <c r="C291" i="30"/>
  <c r="E290" i="30"/>
  <c r="C290" i="30"/>
  <c r="E289" i="30"/>
  <c r="C289" i="30"/>
  <c r="E288" i="30"/>
  <c r="C288" i="30"/>
  <c r="E287" i="30"/>
  <c r="C287" i="30"/>
  <c r="E286" i="30"/>
  <c r="C286" i="30"/>
  <c r="E285" i="30"/>
  <c r="C285" i="30"/>
  <c r="E284" i="30"/>
  <c r="C284" i="30"/>
  <c r="E283" i="30"/>
  <c r="C283" i="30"/>
  <c r="E282" i="30"/>
  <c r="C282" i="30"/>
  <c r="E281" i="30"/>
  <c r="C281" i="30"/>
  <c r="E280" i="30"/>
  <c r="C280" i="30"/>
  <c r="E279" i="30"/>
  <c r="C279" i="30"/>
  <c r="E278" i="30"/>
  <c r="C278" i="30"/>
  <c r="E277" i="30"/>
  <c r="C277" i="30"/>
  <c r="E276" i="30"/>
  <c r="C276" i="30"/>
  <c r="E275" i="30"/>
  <c r="C275" i="30"/>
  <c r="E274" i="30"/>
  <c r="C274" i="30"/>
  <c r="E273" i="30"/>
  <c r="C273" i="30"/>
  <c r="E272" i="30"/>
  <c r="C272" i="30"/>
  <c r="E271" i="30"/>
  <c r="C271" i="30"/>
  <c r="E270" i="30"/>
  <c r="C270" i="30"/>
  <c r="E269" i="30"/>
  <c r="C269" i="30"/>
  <c r="E268" i="30"/>
  <c r="C268" i="30"/>
  <c r="E267" i="30"/>
  <c r="C267" i="30"/>
  <c r="E266" i="30"/>
  <c r="C266" i="30"/>
  <c r="E265" i="30"/>
  <c r="C265" i="30"/>
  <c r="E264" i="30"/>
  <c r="C264" i="30"/>
  <c r="E263" i="30"/>
  <c r="C263" i="30"/>
  <c r="E262" i="30"/>
  <c r="C262" i="30"/>
  <c r="E261" i="30"/>
  <c r="C261" i="30"/>
  <c r="E260" i="30"/>
  <c r="C260" i="30"/>
  <c r="E259" i="30"/>
  <c r="C259" i="30"/>
  <c r="E258" i="30"/>
  <c r="C258" i="30"/>
  <c r="E257" i="30"/>
  <c r="C257" i="30"/>
  <c r="E256" i="30"/>
  <c r="C256" i="30"/>
  <c r="E255" i="30"/>
  <c r="C255" i="30"/>
  <c r="E254" i="30"/>
  <c r="C254" i="30"/>
  <c r="E253" i="30"/>
  <c r="C253" i="30"/>
  <c r="E252" i="30"/>
  <c r="C252" i="30"/>
  <c r="E251" i="30"/>
  <c r="C251" i="30"/>
  <c r="E250" i="30"/>
  <c r="C250" i="30"/>
  <c r="E249" i="30"/>
  <c r="C249" i="30"/>
  <c r="E248" i="30"/>
  <c r="C248" i="30"/>
  <c r="E247" i="30"/>
  <c r="C247" i="30"/>
  <c r="E246" i="30"/>
  <c r="C246" i="30"/>
  <c r="E245" i="30"/>
  <c r="C245" i="30"/>
  <c r="E244" i="30"/>
  <c r="C244" i="30"/>
  <c r="E243" i="30"/>
  <c r="C243" i="30"/>
  <c r="E242" i="30"/>
  <c r="C242" i="30"/>
  <c r="E241" i="30"/>
  <c r="C241" i="30"/>
  <c r="E240" i="30"/>
  <c r="C240" i="30"/>
  <c r="E239" i="30"/>
  <c r="C239" i="30"/>
  <c r="E238" i="30"/>
  <c r="C238" i="30"/>
  <c r="E237" i="30"/>
  <c r="C237" i="30"/>
  <c r="E236" i="30"/>
  <c r="C236" i="30"/>
  <c r="E235" i="30"/>
  <c r="C235" i="30"/>
  <c r="E234" i="30"/>
  <c r="C234" i="30"/>
  <c r="E233" i="30"/>
  <c r="C233" i="30"/>
  <c r="E232" i="30"/>
  <c r="C232" i="30"/>
  <c r="E231" i="30"/>
  <c r="C231" i="30"/>
  <c r="E230" i="30"/>
  <c r="C230" i="30"/>
  <c r="E229" i="30"/>
  <c r="C229" i="30"/>
  <c r="E228" i="30"/>
  <c r="C228" i="30"/>
  <c r="E227" i="30"/>
  <c r="C227" i="30"/>
  <c r="E226" i="30"/>
  <c r="C226" i="30"/>
  <c r="E225" i="30"/>
  <c r="C225" i="30"/>
  <c r="E224" i="30"/>
  <c r="C224" i="30"/>
  <c r="E223" i="30"/>
  <c r="C223" i="30"/>
  <c r="E222" i="30"/>
  <c r="C222" i="30"/>
  <c r="E221" i="30"/>
  <c r="C221" i="30"/>
  <c r="E220" i="30"/>
  <c r="C220" i="30"/>
  <c r="E219" i="30"/>
  <c r="C219" i="30"/>
  <c r="E218" i="30"/>
  <c r="C218" i="30"/>
  <c r="E217" i="30"/>
  <c r="C217" i="30"/>
  <c r="E216" i="30"/>
  <c r="C216" i="30"/>
  <c r="E215" i="30"/>
  <c r="C215" i="30"/>
  <c r="E214" i="30"/>
  <c r="C214" i="30"/>
  <c r="E213" i="30"/>
  <c r="C213" i="30"/>
  <c r="E212" i="30"/>
  <c r="C212" i="30"/>
  <c r="E211" i="30"/>
  <c r="C211" i="30"/>
  <c r="E210" i="30"/>
  <c r="C210" i="30"/>
  <c r="E209" i="30"/>
  <c r="C209" i="30"/>
  <c r="E208" i="30"/>
  <c r="C208" i="30"/>
  <c r="E207" i="30"/>
  <c r="C207" i="30"/>
  <c r="E206" i="30"/>
  <c r="C206" i="30"/>
  <c r="E205" i="30"/>
  <c r="C205" i="30"/>
  <c r="E204" i="30"/>
  <c r="C204" i="30"/>
  <c r="E203" i="30"/>
  <c r="C203" i="30"/>
  <c r="E202" i="30"/>
  <c r="C202" i="30"/>
  <c r="E201" i="30"/>
  <c r="C201" i="30"/>
  <c r="E200" i="30"/>
  <c r="C200" i="30"/>
  <c r="E199" i="30"/>
  <c r="C199" i="30"/>
  <c r="E198" i="30"/>
  <c r="C198" i="30"/>
  <c r="E197" i="30"/>
  <c r="C197" i="30"/>
  <c r="E196" i="30"/>
  <c r="C196" i="30"/>
  <c r="E195" i="30"/>
  <c r="C195" i="30"/>
  <c r="E194" i="30"/>
  <c r="C194" i="30"/>
  <c r="E193" i="30"/>
  <c r="C193" i="30"/>
  <c r="E192" i="30"/>
  <c r="C192" i="30"/>
  <c r="E191" i="30"/>
  <c r="C191" i="30"/>
  <c r="E190" i="30"/>
  <c r="C190" i="30"/>
  <c r="E189" i="30"/>
  <c r="C189" i="30"/>
  <c r="E188" i="30"/>
  <c r="C188" i="30"/>
  <c r="E187" i="30"/>
  <c r="C187" i="30"/>
  <c r="E186" i="30"/>
  <c r="C186" i="30"/>
  <c r="E185" i="30"/>
  <c r="C185" i="30"/>
  <c r="E184" i="30"/>
  <c r="C184" i="30"/>
  <c r="E183" i="30"/>
  <c r="C183" i="30"/>
  <c r="E182" i="30"/>
  <c r="C182" i="30"/>
  <c r="E181" i="30"/>
  <c r="C181" i="30"/>
  <c r="E180" i="30"/>
  <c r="C180" i="30"/>
  <c r="E179" i="30"/>
  <c r="C179" i="30"/>
  <c r="E178" i="30"/>
  <c r="C178" i="30"/>
  <c r="E177" i="30"/>
  <c r="C177" i="30"/>
  <c r="E176" i="30"/>
  <c r="C176" i="30"/>
  <c r="E175" i="30"/>
  <c r="C175" i="30"/>
  <c r="E174" i="30"/>
  <c r="C174" i="30"/>
  <c r="E173" i="30"/>
  <c r="C173" i="30"/>
  <c r="E172" i="30"/>
  <c r="C172" i="30"/>
  <c r="E171" i="30"/>
  <c r="C171" i="30"/>
  <c r="E170" i="30"/>
  <c r="C170" i="30"/>
  <c r="E169" i="30"/>
  <c r="C169" i="30"/>
  <c r="E168" i="30"/>
  <c r="C168" i="30"/>
  <c r="E167" i="30"/>
  <c r="C167" i="30"/>
  <c r="E166" i="30"/>
  <c r="C166" i="30"/>
  <c r="E165" i="30"/>
  <c r="C165" i="30"/>
  <c r="E164" i="30"/>
  <c r="C164" i="30"/>
  <c r="E163" i="30"/>
  <c r="C163" i="30"/>
  <c r="E162" i="30"/>
  <c r="C162" i="30"/>
  <c r="E161" i="30"/>
  <c r="C161" i="30"/>
  <c r="E160" i="30"/>
  <c r="C160" i="30"/>
  <c r="E159" i="30"/>
  <c r="C159" i="30"/>
  <c r="E158" i="30"/>
  <c r="C158" i="30"/>
  <c r="E157" i="30"/>
  <c r="C157" i="30"/>
  <c r="E156" i="30"/>
  <c r="C156" i="30"/>
  <c r="E155" i="30"/>
  <c r="C155" i="30"/>
  <c r="E154" i="30"/>
  <c r="C154" i="30"/>
  <c r="E153" i="30"/>
  <c r="C153" i="30"/>
  <c r="E152" i="30"/>
  <c r="C152" i="30"/>
  <c r="E151" i="30"/>
  <c r="C151" i="30"/>
  <c r="E150" i="30"/>
  <c r="C150" i="30"/>
  <c r="E149" i="30"/>
  <c r="C149" i="30"/>
  <c r="E148" i="30"/>
  <c r="C148" i="30"/>
  <c r="E147" i="30"/>
  <c r="C147" i="30"/>
  <c r="E146" i="30"/>
  <c r="C146" i="30"/>
  <c r="E145" i="30"/>
  <c r="C145" i="30"/>
  <c r="E144" i="30"/>
  <c r="C144" i="30"/>
  <c r="E143" i="30"/>
  <c r="C143" i="30"/>
  <c r="E142" i="30"/>
  <c r="C142" i="30"/>
  <c r="E141" i="30"/>
  <c r="C141" i="30"/>
  <c r="E140" i="30"/>
  <c r="C140" i="30"/>
  <c r="E139" i="30"/>
  <c r="C139" i="30"/>
  <c r="E138" i="30"/>
  <c r="C138" i="30"/>
  <c r="E137" i="30"/>
  <c r="C137" i="30"/>
  <c r="E136" i="30"/>
  <c r="C136" i="30"/>
  <c r="E135" i="30"/>
  <c r="C135" i="30"/>
  <c r="E134" i="30"/>
  <c r="C134" i="30"/>
  <c r="E133" i="30"/>
  <c r="C133" i="30"/>
  <c r="E132" i="30"/>
  <c r="C132" i="30"/>
  <c r="E131" i="30"/>
  <c r="C131" i="30"/>
  <c r="E130" i="30"/>
  <c r="C130" i="30"/>
  <c r="E129" i="30"/>
  <c r="C129" i="30"/>
  <c r="E128" i="30"/>
  <c r="C128" i="30"/>
  <c r="E127" i="30"/>
  <c r="C127" i="30"/>
  <c r="E126" i="30"/>
  <c r="C126" i="30"/>
  <c r="E125" i="30"/>
  <c r="C125" i="30"/>
  <c r="E124" i="30"/>
  <c r="C124" i="30"/>
  <c r="E123" i="30"/>
  <c r="C123" i="30"/>
  <c r="E122" i="30"/>
  <c r="C122" i="30"/>
  <c r="E121" i="30"/>
  <c r="C121" i="30"/>
  <c r="E120" i="30"/>
  <c r="C120" i="30"/>
  <c r="E119" i="30"/>
  <c r="C119" i="30"/>
  <c r="E118" i="30"/>
  <c r="C118" i="30"/>
  <c r="E117" i="30"/>
  <c r="C117" i="30"/>
  <c r="E116" i="30"/>
  <c r="C116" i="30"/>
  <c r="E115" i="30"/>
  <c r="C115" i="30"/>
  <c r="E114" i="30"/>
  <c r="C114" i="30"/>
  <c r="E113" i="30"/>
  <c r="C113" i="30"/>
  <c r="E112" i="30"/>
  <c r="C112" i="30"/>
  <c r="E111" i="30"/>
  <c r="C111" i="30"/>
  <c r="E110" i="30"/>
  <c r="C110" i="30"/>
  <c r="E109" i="30"/>
  <c r="C109" i="30"/>
  <c r="E108" i="30"/>
  <c r="C108" i="30"/>
  <c r="E107" i="30"/>
  <c r="C107" i="30"/>
  <c r="E106" i="30"/>
  <c r="C106" i="30"/>
  <c r="E105" i="30"/>
  <c r="C105" i="30"/>
  <c r="E104" i="30"/>
  <c r="C104" i="30"/>
  <c r="E103" i="30"/>
  <c r="C103" i="30"/>
  <c r="E102" i="30"/>
  <c r="C102" i="30"/>
  <c r="E101" i="30"/>
  <c r="C101" i="30"/>
  <c r="E100" i="30"/>
  <c r="C100" i="30"/>
  <c r="E99" i="30"/>
  <c r="C99" i="30"/>
  <c r="E98" i="30"/>
  <c r="C98" i="30"/>
  <c r="E97" i="30"/>
  <c r="C97" i="30"/>
  <c r="E96" i="30"/>
  <c r="C96" i="30"/>
  <c r="E95" i="30"/>
  <c r="C95" i="30"/>
  <c r="E94" i="30"/>
  <c r="C94" i="30"/>
  <c r="E93" i="30"/>
  <c r="C93" i="30"/>
  <c r="E92" i="30"/>
  <c r="C92" i="30"/>
  <c r="E91" i="30"/>
  <c r="C91" i="30"/>
  <c r="E90" i="30"/>
  <c r="C90" i="30"/>
  <c r="E89" i="30"/>
  <c r="C89" i="30"/>
  <c r="E88" i="30"/>
  <c r="C88" i="30"/>
  <c r="E87" i="30"/>
  <c r="C87" i="30"/>
  <c r="E86" i="30"/>
  <c r="C86" i="30"/>
  <c r="E85" i="30"/>
  <c r="C85" i="30"/>
  <c r="E84" i="30"/>
  <c r="C84" i="30"/>
  <c r="E83" i="30"/>
  <c r="C83" i="30"/>
  <c r="E82" i="30"/>
  <c r="C82" i="30"/>
  <c r="E81" i="30"/>
  <c r="C81" i="30"/>
  <c r="E80" i="30"/>
  <c r="C80" i="30"/>
  <c r="E79" i="30"/>
  <c r="C79" i="30"/>
  <c r="E78" i="30"/>
  <c r="C78" i="30"/>
  <c r="E77" i="30"/>
  <c r="C77" i="30"/>
  <c r="E76" i="30"/>
  <c r="C76" i="30"/>
  <c r="E75" i="30"/>
  <c r="C75" i="30"/>
  <c r="E74" i="30"/>
  <c r="C74" i="30"/>
  <c r="E73" i="30"/>
  <c r="C73" i="30"/>
  <c r="E72" i="30"/>
  <c r="C72" i="30"/>
  <c r="E71" i="30"/>
  <c r="C71" i="30"/>
  <c r="E70" i="30"/>
  <c r="C70" i="30"/>
  <c r="E69" i="30"/>
  <c r="C69" i="30"/>
  <c r="E68" i="30"/>
  <c r="C68" i="30"/>
  <c r="E67" i="30"/>
  <c r="C67" i="30"/>
  <c r="E66" i="30"/>
  <c r="C66" i="30"/>
  <c r="E65" i="30"/>
  <c r="C65" i="30"/>
  <c r="E64" i="30"/>
  <c r="C64" i="30"/>
  <c r="E63" i="30"/>
  <c r="C63" i="30"/>
  <c r="E62" i="30"/>
  <c r="C62" i="30"/>
  <c r="E61" i="30"/>
  <c r="C61" i="30"/>
  <c r="E60" i="30"/>
  <c r="C60" i="30"/>
  <c r="E59" i="30"/>
  <c r="C59" i="30"/>
  <c r="E58" i="30"/>
  <c r="C58" i="30"/>
  <c r="E57" i="30"/>
  <c r="C57" i="30"/>
  <c r="E56" i="30"/>
  <c r="C56" i="30"/>
  <c r="E55" i="30"/>
  <c r="C55" i="30"/>
  <c r="E54" i="30"/>
  <c r="C54" i="30"/>
  <c r="E53" i="30"/>
  <c r="C53" i="30"/>
  <c r="E52" i="30"/>
  <c r="C52" i="30"/>
  <c r="E51" i="30"/>
  <c r="C51" i="30"/>
  <c r="E50" i="30"/>
  <c r="C50" i="30"/>
  <c r="E49" i="30"/>
  <c r="C49" i="30"/>
  <c r="E48" i="30"/>
  <c r="C48" i="30"/>
  <c r="E47" i="30"/>
  <c r="C47" i="30"/>
  <c r="E46" i="30"/>
  <c r="C46" i="30"/>
  <c r="E45" i="30"/>
  <c r="C45" i="30"/>
  <c r="E44" i="30"/>
  <c r="C44" i="30"/>
  <c r="E43" i="30"/>
  <c r="C43" i="30"/>
  <c r="E42" i="30"/>
  <c r="C42" i="30"/>
  <c r="E41" i="30"/>
  <c r="C41" i="30"/>
  <c r="E40" i="30"/>
  <c r="C40" i="30"/>
  <c r="E39" i="30"/>
  <c r="C39" i="30"/>
  <c r="E38" i="30"/>
  <c r="C38" i="30"/>
  <c r="E37" i="30"/>
  <c r="C37" i="30"/>
  <c r="E36" i="30"/>
  <c r="C36" i="30"/>
  <c r="E35" i="30"/>
  <c r="C35" i="30"/>
  <c r="E34" i="30"/>
  <c r="C34" i="30"/>
  <c r="E33" i="30"/>
  <c r="C33" i="30"/>
  <c r="E32" i="30"/>
  <c r="C32" i="30"/>
  <c r="E31" i="30"/>
  <c r="C31" i="30"/>
  <c r="E30" i="30"/>
  <c r="C30" i="30"/>
  <c r="E29" i="30"/>
  <c r="C29" i="30"/>
  <c r="E28" i="30"/>
  <c r="C28" i="30"/>
  <c r="E27" i="30"/>
  <c r="C27" i="30"/>
  <c r="E26" i="30"/>
  <c r="C26" i="30"/>
  <c r="E25" i="30"/>
  <c r="C25" i="30"/>
  <c r="E24" i="30"/>
  <c r="C24" i="30"/>
  <c r="E23" i="30"/>
  <c r="C23" i="30"/>
  <c r="E22" i="30"/>
  <c r="C22" i="30"/>
  <c r="E21" i="30"/>
  <c r="C21" i="30"/>
  <c r="E20" i="30"/>
  <c r="C20" i="30"/>
  <c r="E19" i="30"/>
  <c r="C19" i="30"/>
  <c r="E18" i="30"/>
  <c r="C18" i="30"/>
  <c r="E17" i="30"/>
  <c r="C17" i="30"/>
  <c r="E16" i="30"/>
  <c r="C16" i="30"/>
  <c r="E15" i="30"/>
  <c r="C15" i="30"/>
  <c r="E14" i="30"/>
  <c r="C14" i="30"/>
  <c r="E13" i="30"/>
  <c r="C13" i="30"/>
  <c r="E12" i="30"/>
  <c r="C12" i="30"/>
  <c r="E11" i="30"/>
  <c r="C11" i="30"/>
  <c r="E10" i="30"/>
  <c r="C10" i="30"/>
  <c r="E9" i="30"/>
  <c r="C9" i="30"/>
  <c r="E8" i="30"/>
  <c r="C8" i="30"/>
  <c r="E7" i="30"/>
  <c r="C7" i="30"/>
  <c r="E6" i="30"/>
  <c r="C6" i="30"/>
  <c r="E5" i="30"/>
  <c r="C5" i="30"/>
  <c r="E4" i="30"/>
  <c r="C4" i="30"/>
  <c r="B3" i="30"/>
  <c r="P119" i="2"/>
  <c r="P118" i="2"/>
  <c r="O118" i="2"/>
  <c r="N118" i="2"/>
  <c r="P117" i="2"/>
  <c r="O117" i="2"/>
  <c r="N117" i="2"/>
  <c r="P116" i="2"/>
  <c r="O116" i="2"/>
  <c r="N116" i="2"/>
  <c r="F116" i="2"/>
  <c r="P115" i="2"/>
  <c r="O115" i="2"/>
  <c r="N115" i="2"/>
  <c r="P114" i="2"/>
  <c r="O114" i="2"/>
  <c r="N114" i="2"/>
  <c r="P113" i="2"/>
  <c r="O113" i="2"/>
  <c r="N113" i="2"/>
  <c r="P112" i="2"/>
  <c r="O112" i="2"/>
  <c r="N112" i="2"/>
  <c r="P111" i="2"/>
  <c r="O111" i="2"/>
  <c r="N111" i="2"/>
  <c r="L111" i="2"/>
  <c r="P110" i="2"/>
  <c r="O110" i="2"/>
  <c r="N110" i="2"/>
  <c r="L110" i="2"/>
  <c r="P109" i="2"/>
  <c r="O109" i="2"/>
  <c r="N109" i="2"/>
  <c r="L109" i="2"/>
  <c r="G109" i="2"/>
  <c r="P108" i="2"/>
  <c r="O108" i="2"/>
  <c r="N108" i="2"/>
  <c r="F108" i="2"/>
  <c r="U107" i="2"/>
  <c r="U108" i="2" s="1"/>
  <c r="P107" i="2"/>
  <c r="O107" i="2"/>
  <c r="N107" i="2"/>
  <c r="F107" i="2"/>
  <c r="P106" i="2"/>
  <c r="O106" i="2"/>
  <c r="N106" i="2"/>
  <c r="P105" i="2"/>
  <c r="O105" i="2"/>
  <c r="N105" i="2"/>
  <c r="P104" i="2"/>
  <c r="O104" i="2"/>
  <c r="N104" i="2"/>
  <c r="U103" i="2"/>
  <c r="P103" i="2"/>
  <c r="O103" i="2"/>
  <c r="N103" i="2"/>
  <c r="L103" i="2"/>
  <c r="M103" i="2" s="1"/>
  <c r="F103" i="2"/>
  <c r="P102" i="2"/>
  <c r="O102" i="2"/>
  <c r="N102" i="2"/>
  <c r="L102" i="2"/>
  <c r="U101" i="2"/>
  <c r="S101" i="2"/>
  <c r="R101" i="2"/>
  <c r="P101" i="2"/>
  <c r="O101" i="2"/>
  <c r="N101" i="2"/>
  <c r="L101" i="2"/>
  <c r="M101" i="2" s="1"/>
  <c r="U100" i="2"/>
  <c r="P100" i="2"/>
  <c r="O100" i="2"/>
  <c r="N100" i="2"/>
  <c r="L100" i="2"/>
  <c r="M100" i="2" s="1"/>
  <c r="P99" i="2"/>
  <c r="O99" i="2"/>
  <c r="N99" i="2"/>
  <c r="L99" i="2"/>
  <c r="P97" i="2"/>
  <c r="O97" i="2"/>
  <c r="N97" i="2"/>
  <c r="G97" i="2"/>
  <c r="P96" i="2"/>
  <c r="O96" i="2"/>
  <c r="N96" i="2"/>
  <c r="P95" i="2"/>
  <c r="O95" i="2"/>
  <c r="N95" i="2"/>
  <c r="G95" i="2"/>
  <c r="F95" i="2"/>
  <c r="P94" i="2"/>
  <c r="O94" i="2"/>
  <c r="N94" i="2"/>
  <c r="G94" i="2"/>
  <c r="P92" i="2"/>
  <c r="O92" i="2"/>
  <c r="N92" i="2"/>
  <c r="P91" i="2"/>
  <c r="O91" i="2"/>
  <c r="N91" i="2"/>
  <c r="P90" i="2"/>
  <c r="O90" i="2"/>
  <c r="N90" i="2"/>
  <c r="P89" i="2"/>
  <c r="O89" i="2"/>
  <c r="N89" i="2"/>
  <c r="P86" i="2"/>
  <c r="O86" i="2"/>
  <c r="N86" i="2"/>
  <c r="P85" i="2"/>
  <c r="O85" i="2"/>
  <c r="N85" i="2"/>
  <c r="A85" i="2"/>
  <c r="C85" i="2" s="1"/>
  <c r="P84" i="2"/>
  <c r="O84" i="2"/>
  <c r="N84" i="2"/>
  <c r="E84" i="2"/>
  <c r="C84" i="2"/>
  <c r="P83" i="2"/>
  <c r="O83" i="2"/>
  <c r="N83" i="2"/>
  <c r="L83" i="2"/>
  <c r="E83" i="2"/>
  <c r="C83" i="2"/>
  <c r="P82" i="2"/>
  <c r="O82" i="2"/>
  <c r="N82" i="2"/>
  <c r="E82" i="2"/>
  <c r="C82" i="2"/>
  <c r="P81" i="2"/>
  <c r="E81" i="2"/>
  <c r="C81" i="2"/>
  <c r="P80" i="2"/>
  <c r="O80" i="2"/>
  <c r="N80" i="2"/>
  <c r="E80" i="2"/>
  <c r="C80" i="2"/>
  <c r="P79" i="2"/>
  <c r="O79" i="2"/>
  <c r="N79" i="2"/>
  <c r="E79" i="2"/>
  <c r="C79" i="2"/>
  <c r="P78" i="2"/>
  <c r="O78" i="2"/>
  <c r="N78" i="2"/>
  <c r="E78" i="2"/>
  <c r="C78" i="2"/>
  <c r="P77" i="2"/>
  <c r="O77" i="2"/>
  <c r="N77" i="2"/>
  <c r="E77" i="2"/>
  <c r="C77" i="2"/>
  <c r="P76" i="2"/>
  <c r="O76" i="2"/>
  <c r="N76" i="2"/>
  <c r="E76" i="2"/>
  <c r="C76" i="2"/>
  <c r="P75" i="2"/>
  <c r="O75" i="2"/>
  <c r="N75" i="2"/>
  <c r="E75" i="2"/>
  <c r="C75" i="2"/>
  <c r="P74" i="2"/>
  <c r="O74" i="2"/>
  <c r="N74" i="2"/>
  <c r="E74" i="2"/>
  <c r="C74" i="2"/>
  <c r="P73" i="2"/>
  <c r="O73" i="2"/>
  <c r="N73" i="2"/>
  <c r="E73" i="2"/>
  <c r="C73" i="2"/>
  <c r="P72" i="2"/>
  <c r="O72" i="2"/>
  <c r="N72" i="2"/>
  <c r="E72" i="2"/>
  <c r="C72" i="2"/>
  <c r="P71" i="2"/>
  <c r="O71" i="2"/>
  <c r="N71" i="2"/>
  <c r="E71" i="2"/>
  <c r="C71" i="2"/>
  <c r="P70" i="2"/>
  <c r="O70" i="2"/>
  <c r="N70" i="2"/>
  <c r="E70" i="2"/>
  <c r="C70" i="2"/>
  <c r="P69" i="2"/>
  <c r="O69" i="2"/>
  <c r="N69" i="2"/>
  <c r="E69" i="2"/>
  <c r="C69" i="2"/>
  <c r="P68" i="2"/>
  <c r="O68" i="2"/>
  <c r="N68" i="2"/>
  <c r="E68" i="2"/>
  <c r="C68" i="2"/>
  <c r="P67" i="2"/>
  <c r="O67" i="2"/>
  <c r="N67" i="2"/>
  <c r="E67" i="2"/>
  <c r="C67" i="2"/>
  <c r="P66" i="2"/>
  <c r="O66" i="2"/>
  <c r="N66" i="2"/>
  <c r="E66" i="2"/>
  <c r="C66" i="2"/>
  <c r="P65" i="2"/>
  <c r="O65" i="2"/>
  <c r="N65" i="2"/>
  <c r="E65" i="2"/>
  <c r="C65" i="2"/>
  <c r="P64" i="2"/>
  <c r="O64" i="2"/>
  <c r="N64" i="2"/>
  <c r="E64" i="2"/>
  <c r="C64" i="2"/>
  <c r="P63" i="2"/>
  <c r="O63" i="2"/>
  <c r="N63" i="2"/>
  <c r="E63" i="2"/>
  <c r="C63" i="2"/>
  <c r="P62" i="2"/>
  <c r="O62" i="2"/>
  <c r="N62" i="2"/>
  <c r="E62" i="2"/>
  <c r="C62" i="2"/>
  <c r="P61" i="2"/>
  <c r="O61" i="2"/>
  <c r="N61" i="2"/>
  <c r="E61" i="2"/>
  <c r="C61" i="2"/>
  <c r="P60" i="2"/>
  <c r="O60" i="2"/>
  <c r="N60" i="2"/>
  <c r="E60" i="2"/>
  <c r="C60" i="2"/>
  <c r="E59" i="2"/>
  <c r="C59" i="2"/>
  <c r="P58" i="2"/>
  <c r="O58" i="2"/>
  <c r="N58" i="2"/>
  <c r="E58" i="2"/>
  <c r="C58" i="2"/>
  <c r="P57" i="2"/>
  <c r="O57" i="2"/>
  <c r="N57" i="2"/>
  <c r="E57" i="2"/>
  <c r="C57" i="2"/>
  <c r="P56" i="2"/>
  <c r="O56" i="2"/>
  <c r="N56" i="2"/>
  <c r="E56" i="2"/>
  <c r="C56" i="2"/>
  <c r="P55" i="2"/>
  <c r="O55" i="2"/>
  <c r="N55" i="2"/>
  <c r="E55" i="2"/>
  <c r="C55" i="2"/>
  <c r="E54" i="2"/>
  <c r="C54" i="2"/>
  <c r="P53" i="2"/>
  <c r="O53" i="2"/>
  <c r="N53" i="2"/>
  <c r="E53" i="2"/>
  <c r="C53" i="2"/>
  <c r="P52" i="2"/>
  <c r="O52" i="2"/>
  <c r="N52" i="2"/>
  <c r="E52" i="2"/>
  <c r="C52" i="2"/>
  <c r="P51" i="2"/>
  <c r="O51" i="2"/>
  <c r="N51" i="2"/>
  <c r="E51" i="2"/>
  <c r="C51" i="2"/>
  <c r="P50" i="2"/>
  <c r="O50" i="2"/>
  <c r="N50" i="2"/>
  <c r="E50" i="2"/>
  <c r="C50" i="2"/>
  <c r="P49" i="2"/>
  <c r="O49" i="2"/>
  <c r="N49" i="2"/>
  <c r="E49" i="2"/>
  <c r="C49" i="2"/>
  <c r="E48" i="2"/>
  <c r="C48" i="2"/>
  <c r="P47" i="2"/>
  <c r="O47" i="2"/>
  <c r="N47" i="2"/>
  <c r="E47" i="2"/>
  <c r="C47" i="2"/>
  <c r="P46" i="2"/>
  <c r="O46" i="2"/>
  <c r="N46" i="2"/>
  <c r="E46" i="2"/>
  <c r="C46" i="2"/>
  <c r="P45" i="2"/>
  <c r="O45" i="2"/>
  <c r="N45" i="2"/>
  <c r="E45" i="2"/>
  <c r="C45" i="2"/>
  <c r="P44" i="2"/>
  <c r="O44" i="2"/>
  <c r="N44" i="2"/>
  <c r="E44" i="2"/>
  <c r="C44" i="2"/>
  <c r="P43" i="2"/>
  <c r="O43" i="2"/>
  <c r="N43" i="2"/>
  <c r="E43" i="2"/>
  <c r="C43" i="2"/>
  <c r="P42" i="2"/>
  <c r="O42" i="2"/>
  <c r="N42" i="2"/>
  <c r="E42" i="2"/>
  <c r="C42" i="2"/>
  <c r="P41" i="2"/>
  <c r="O41" i="2"/>
  <c r="N41" i="2"/>
  <c r="E41" i="2"/>
  <c r="C41" i="2"/>
  <c r="P40" i="2"/>
  <c r="O40" i="2"/>
  <c r="N40" i="2"/>
  <c r="E40" i="2"/>
  <c r="C40" i="2"/>
  <c r="P39" i="2"/>
  <c r="O39" i="2"/>
  <c r="N39" i="2"/>
  <c r="E39" i="2"/>
  <c r="C39" i="2"/>
  <c r="P38" i="2"/>
  <c r="O38" i="2"/>
  <c r="N38" i="2"/>
  <c r="E38" i="2"/>
  <c r="C38" i="2"/>
  <c r="P37" i="2"/>
  <c r="O37" i="2"/>
  <c r="N37" i="2"/>
  <c r="E37" i="2"/>
  <c r="C37" i="2"/>
  <c r="P36" i="2"/>
  <c r="O36" i="2"/>
  <c r="N36" i="2"/>
  <c r="E36" i="2"/>
  <c r="C36" i="2"/>
  <c r="P35" i="2"/>
  <c r="O35" i="2"/>
  <c r="N35" i="2"/>
  <c r="E35" i="2"/>
  <c r="C35" i="2"/>
  <c r="P34" i="2"/>
  <c r="O34" i="2"/>
  <c r="N34" i="2"/>
  <c r="E34" i="2"/>
  <c r="C34" i="2"/>
  <c r="P33" i="2"/>
  <c r="O33" i="2"/>
  <c r="N33" i="2"/>
  <c r="E33" i="2"/>
  <c r="C33" i="2"/>
  <c r="E32" i="2"/>
  <c r="C32" i="2"/>
  <c r="P31" i="2"/>
  <c r="O31" i="2"/>
  <c r="N31" i="2"/>
  <c r="E31" i="2"/>
  <c r="C31" i="2"/>
  <c r="P30" i="2"/>
  <c r="O30" i="2"/>
  <c r="N30" i="2"/>
  <c r="E30" i="2"/>
  <c r="C30" i="2"/>
  <c r="P29" i="2"/>
  <c r="O29" i="2"/>
  <c r="N29" i="2"/>
  <c r="E29" i="2"/>
  <c r="C29" i="2"/>
  <c r="P28" i="2"/>
  <c r="O28" i="2"/>
  <c r="N28" i="2"/>
  <c r="E28" i="2"/>
  <c r="C28" i="2"/>
  <c r="P27" i="2"/>
  <c r="O27" i="2"/>
  <c r="N27" i="2"/>
  <c r="E27" i="2"/>
  <c r="C27" i="2"/>
  <c r="P26" i="2"/>
  <c r="O26" i="2"/>
  <c r="N26" i="2"/>
  <c r="E26" i="2"/>
  <c r="C26" i="2"/>
  <c r="P25" i="2"/>
  <c r="O25" i="2"/>
  <c r="N25" i="2"/>
  <c r="E25" i="2"/>
  <c r="C25" i="2"/>
  <c r="P24" i="2"/>
  <c r="O24" i="2"/>
  <c r="N24" i="2"/>
  <c r="E24" i="2"/>
  <c r="C24" i="2"/>
  <c r="P23" i="2"/>
  <c r="O23" i="2"/>
  <c r="N23" i="2"/>
  <c r="E23" i="2"/>
  <c r="C23" i="2"/>
  <c r="P22" i="2"/>
  <c r="O22" i="2"/>
  <c r="N22" i="2"/>
  <c r="E22" i="2"/>
  <c r="C22" i="2"/>
  <c r="E21" i="2"/>
  <c r="C21" i="2"/>
  <c r="P20" i="2"/>
  <c r="O20" i="2"/>
  <c r="N20" i="2"/>
  <c r="E20" i="2"/>
  <c r="C20" i="2"/>
  <c r="P19" i="2"/>
  <c r="O19" i="2"/>
  <c r="N19" i="2"/>
  <c r="E19" i="2"/>
  <c r="C19" i="2"/>
  <c r="P18" i="2"/>
  <c r="O18" i="2"/>
  <c r="N18" i="2"/>
  <c r="E18" i="2"/>
  <c r="C18" i="2"/>
  <c r="P17" i="2"/>
  <c r="O17" i="2"/>
  <c r="N17" i="2"/>
  <c r="E17" i="2"/>
  <c r="C17" i="2"/>
  <c r="E16" i="2"/>
  <c r="C16" i="2"/>
  <c r="P15" i="2"/>
  <c r="O15" i="2"/>
  <c r="N15" i="2"/>
  <c r="E15" i="2"/>
  <c r="C15" i="2"/>
  <c r="P14" i="2"/>
  <c r="O14" i="2"/>
  <c r="N14" i="2"/>
  <c r="E14" i="2"/>
  <c r="C14" i="2"/>
  <c r="P13" i="2"/>
  <c r="O13" i="2"/>
  <c r="N13" i="2"/>
  <c r="E13" i="2"/>
  <c r="C13" i="2"/>
  <c r="P12" i="2"/>
  <c r="O12" i="2"/>
  <c r="N12" i="2"/>
  <c r="E12" i="2"/>
  <c r="C12" i="2"/>
  <c r="P11" i="2"/>
  <c r="O11" i="2"/>
  <c r="N11" i="2"/>
  <c r="E11" i="2"/>
  <c r="C11" i="2"/>
  <c r="E10" i="2"/>
  <c r="C10" i="2"/>
  <c r="P9" i="2"/>
  <c r="O9" i="2"/>
  <c r="N9" i="2"/>
  <c r="E9" i="2"/>
  <c r="C9" i="2"/>
  <c r="P8" i="2"/>
  <c r="O8" i="2"/>
  <c r="N8" i="2"/>
  <c r="E8" i="2"/>
  <c r="C8" i="2"/>
  <c r="P7" i="2"/>
  <c r="O7" i="2"/>
  <c r="N7" i="2"/>
  <c r="E7" i="2"/>
  <c r="C7" i="2"/>
  <c r="P6" i="2"/>
  <c r="O6" i="2"/>
  <c r="N6" i="2"/>
  <c r="E6" i="2"/>
  <c r="C6" i="2"/>
  <c r="P5" i="2"/>
  <c r="O5" i="2"/>
  <c r="N5" i="2"/>
  <c r="E5" i="2"/>
  <c r="C5" i="2"/>
  <c r="P4" i="2"/>
  <c r="O4" i="2"/>
  <c r="N4" i="2"/>
  <c r="M4" i="2"/>
  <c r="E4" i="2"/>
  <c r="C4" i="2"/>
  <c r="B3" i="2"/>
  <c r="E39" i="31" l="1"/>
  <c r="A40" i="31"/>
  <c r="A41" i="31" s="1"/>
  <c r="L179" i="2"/>
  <c r="M179" i="2" s="1"/>
  <c r="L178" i="2"/>
  <c r="M178" i="2" s="1"/>
  <c r="L181" i="2"/>
  <c r="M181" i="2" s="1"/>
  <c r="L182" i="2"/>
  <c r="M182" i="2" s="1"/>
  <c r="L162" i="2"/>
  <c r="M162" i="2" s="1"/>
  <c r="L183" i="2"/>
  <c r="M183" i="2" s="1"/>
  <c r="L180" i="2"/>
  <c r="M180" i="2" s="1"/>
  <c r="A517" i="30"/>
  <c r="E517" i="30" s="1"/>
  <c r="M99" i="2"/>
  <c r="M109" i="2"/>
  <c r="C516" i="30"/>
  <c r="M110" i="2"/>
  <c r="A86" i="2"/>
  <c r="M119" i="2"/>
  <c r="L141" i="2"/>
  <c r="M141" i="2" s="1"/>
  <c r="L138" i="2"/>
  <c r="M138" i="2" s="1"/>
  <c r="L137" i="2"/>
  <c r="M137" i="2" s="1"/>
  <c r="L139" i="2"/>
  <c r="M139" i="2" s="1"/>
  <c r="L140" i="2"/>
  <c r="M140" i="2" s="1"/>
  <c r="L121" i="2"/>
  <c r="M121" i="2" s="1"/>
  <c r="L142" i="2"/>
  <c r="M142" i="2" s="1"/>
  <c r="E85" i="2"/>
  <c r="M102" i="2"/>
  <c r="M111" i="2"/>
  <c r="E40" i="31" l="1"/>
  <c r="C40" i="31"/>
  <c r="C517" i="30"/>
  <c r="A518" i="30"/>
  <c r="C41" i="31"/>
  <c r="E41" i="31"/>
  <c r="A42" i="31"/>
  <c r="E86" i="2"/>
  <c r="C86" i="2"/>
  <c r="C518" i="30" l="1"/>
  <c r="A519" i="30"/>
  <c r="E518" i="30"/>
  <c r="E42" i="31"/>
  <c r="A43" i="31"/>
  <c r="C42" i="31"/>
  <c r="E519" i="30" l="1"/>
  <c r="A520" i="30"/>
  <c r="C519" i="30"/>
  <c r="A44" i="31"/>
  <c r="E43" i="31"/>
  <c r="C43" i="31"/>
  <c r="C520" i="30" l="1"/>
  <c r="A521" i="30"/>
  <c r="E520" i="30"/>
  <c r="A45" i="31"/>
  <c r="C44" i="31"/>
  <c r="E44" i="31"/>
  <c r="E521" i="30" l="1"/>
  <c r="A522" i="30"/>
  <c r="C521" i="30"/>
  <c r="C45" i="31"/>
  <c r="E45" i="31"/>
  <c r="A46" i="31"/>
  <c r="A523" i="30" l="1"/>
  <c r="C522" i="30"/>
  <c r="E522" i="30"/>
  <c r="C46" i="31"/>
  <c r="A47" i="31"/>
  <c r="E46" i="31"/>
  <c r="A524" i="30" l="1"/>
  <c r="C523" i="30"/>
  <c r="E523" i="30"/>
  <c r="E47" i="31"/>
  <c r="A48" i="31"/>
  <c r="C47" i="31"/>
  <c r="A525" i="30" l="1"/>
  <c r="C524" i="30"/>
  <c r="E524" i="30"/>
  <c r="A49" i="31"/>
  <c r="C48" i="31"/>
  <c r="E48" i="31"/>
  <c r="C525" i="30" l="1"/>
  <c r="E525" i="30"/>
  <c r="A526" i="30"/>
  <c r="A54" i="31"/>
  <c r="C49" i="31"/>
  <c r="E49" i="31"/>
  <c r="A50" i="31"/>
  <c r="A527" i="30" l="1"/>
  <c r="E526" i="30"/>
  <c r="C526" i="30"/>
  <c r="E54" i="31"/>
  <c r="C54" i="31"/>
  <c r="A53" i="31"/>
  <c r="E53" i="31" s="1"/>
  <c r="C53" i="31" s="1"/>
  <c r="A55" i="31"/>
  <c r="A51" i="31"/>
  <c r="C50" i="31"/>
  <c r="A52" i="31"/>
  <c r="E50" i="31"/>
  <c r="A528" i="30" l="1"/>
  <c r="E527" i="30"/>
  <c r="C527" i="30"/>
  <c r="C52" i="31"/>
  <c r="E52" i="31"/>
  <c r="C55" i="31"/>
  <c r="E55" i="31"/>
  <c r="A56" i="31"/>
  <c r="C51" i="31"/>
  <c r="E51" i="31"/>
  <c r="C528" i="30" l="1"/>
  <c r="A529" i="30"/>
  <c r="E528" i="30"/>
  <c r="C56" i="31"/>
  <c r="E56" i="31"/>
  <c r="F169" i="65" l="1"/>
  <c r="F172" i="65"/>
  <c r="F128" i="65"/>
  <c r="F83" i="65"/>
  <c r="F86" i="65"/>
  <c r="F170" i="65"/>
  <c r="F129" i="65"/>
  <c r="F85" i="65"/>
  <c r="F173" i="65"/>
  <c r="F84" i="65"/>
  <c r="F168" i="65"/>
  <c r="F82" i="65"/>
  <c r="H82" i="65" s="1"/>
  <c r="F51" i="65"/>
  <c r="F87" i="65"/>
  <c r="F253" i="29"/>
  <c r="F264" i="29"/>
  <c r="F248" i="29"/>
  <c r="F243" i="29"/>
  <c r="F258" i="29"/>
  <c r="F242" i="29"/>
  <c r="F260" i="29"/>
  <c r="F244" i="29"/>
  <c r="F247" i="29"/>
  <c r="F254" i="29"/>
  <c r="F261" i="29"/>
  <c r="F245" i="29"/>
  <c r="F256" i="29"/>
  <c r="F251" i="29"/>
  <c r="F250" i="29"/>
  <c r="F249" i="29"/>
  <c r="F252" i="29"/>
  <c r="F262" i="29"/>
  <c r="F246" i="29"/>
  <c r="H305" i="6"/>
  <c r="K305" i="6" s="1"/>
  <c r="F255" i="29"/>
  <c r="H268" i="6"/>
  <c r="K268" i="6" s="1"/>
  <c r="H201" i="6"/>
  <c r="K201" i="6" s="1"/>
  <c r="H133" i="6"/>
  <c r="K133" i="6" s="1"/>
  <c r="H64" i="6"/>
  <c r="K64" i="6" s="1"/>
  <c r="H300" i="6"/>
  <c r="K300" i="6" s="1"/>
  <c r="H234" i="6"/>
  <c r="K234" i="6" s="1"/>
  <c r="H166" i="6"/>
  <c r="K166" i="6" s="1"/>
  <c r="H96" i="6"/>
  <c r="K96" i="6" s="1"/>
  <c r="H30" i="6"/>
  <c r="K30" i="6" s="1"/>
  <c r="H283" i="6"/>
  <c r="K283" i="6" s="1"/>
  <c r="H216" i="6"/>
  <c r="K216" i="6" s="1"/>
  <c r="H147" i="6"/>
  <c r="K147" i="6" s="1"/>
  <c r="H79" i="6"/>
  <c r="K79" i="6" s="1"/>
  <c r="H12" i="6"/>
  <c r="K12" i="6" s="1"/>
  <c r="H248" i="6"/>
  <c r="K248" i="6" s="1"/>
  <c r="H182" i="6"/>
  <c r="K182" i="6" s="1"/>
  <c r="H112" i="6"/>
  <c r="K112" i="6" s="1"/>
  <c r="H44" i="6"/>
  <c r="K44" i="6" s="1"/>
  <c r="H255" i="6"/>
  <c r="K255" i="6" s="1"/>
  <c r="H189" i="6"/>
  <c r="K189" i="6" s="1"/>
  <c r="H119" i="6"/>
  <c r="K119" i="6" s="1"/>
  <c r="H51" i="6"/>
  <c r="K51" i="6" s="1"/>
  <c r="H288" i="6"/>
  <c r="K288" i="6" s="1"/>
  <c r="H221" i="6"/>
  <c r="K221" i="6" s="1"/>
  <c r="H152" i="6"/>
  <c r="K152" i="6" s="1"/>
  <c r="H84" i="6"/>
  <c r="K84" i="6" s="1"/>
  <c r="H17" i="6"/>
  <c r="K17" i="6" s="1"/>
  <c r="H295" i="6"/>
  <c r="K295" i="6" s="1"/>
  <c r="H228" i="6"/>
  <c r="K228" i="6" s="1"/>
  <c r="H161" i="6"/>
  <c r="K161" i="6" s="1"/>
  <c r="H91" i="6"/>
  <c r="K91" i="6" s="1"/>
  <c r="H24" i="6"/>
  <c r="K24" i="6" s="1"/>
  <c r="H261" i="6"/>
  <c r="K261" i="6" s="1"/>
  <c r="H160" i="6"/>
  <c r="K160" i="6" s="1"/>
  <c r="H23" i="6"/>
  <c r="K23" i="6" s="1"/>
  <c r="H293" i="6"/>
  <c r="K293" i="6" s="1"/>
  <c r="H226" i="6"/>
  <c r="K226" i="6" s="1"/>
  <c r="H159" i="6"/>
  <c r="K159" i="6" s="1"/>
  <c r="H89" i="6"/>
  <c r="K89" i="6" s="1"/>
  <c r="H22" i="6"/>
  <c r="K22" i="6" s="1"/>
  <c r="H259" i="6"/>
  <c r="K259" i="6" s="1"/>
  <c r="H192" i="6"/>
  <c r="K192" i="6" s="1"/>
  <c r="H122" i="6"/>
  <c r="K122" i="6" s="1"/>
  <c r="H55" i="6"/>
  <c r="K55" i="6" s="1"/>
  <c r="H258" i="6"/>
  <c r="K258" i="6" s="1"/>
  <c r="H191" i="6"/>
  <c r="K191" i="6" s="1"/>
  <c r="H121" i="6"/>
  <c r="K121" i="6" s="1"/>
  <c r="H54" i="6"/>
  <c r="K54" i="6" s="1"/>
  <c r="H290" i="6"/>
  <c r="K290" i="6" s="1"/>
  <c r="H223" i="6"/>
  <c r="K223" i="6" s="1"/>
  <c r="H156" i="6"/>
  <c r="K156" i="6" s="1"/>
  <c r="H86" i="6"/>
  <c r="K86" i="6" s="1"/>
  <c r="H19" i="6"/>
  <c r="K19" i="6" s="1"/>
  <c r="H280" i="6"/>
  <c r="K280" i="6" s="1"/>
  <c r="H214" i="6"/>
  <c r="K214" i="6" s="1"/>
  <c r="H145" i="6"/>
  <c r="K145" i="6" s="1"/>
  <c r="H76" i="6"/>
  <c r="K76" i="6" s="1"/>
  <c r="H10" i="6"/>
  <c r="K10" i="6" s="1"/>
  <c r="H246" i="6"/>
  <c r="K246" i="6" s="1"/>
  <c r="H178" i="6"/>
  <c r="K178" i="6" s="1"/>
  <c r="H110" i="6"/>
  <c r="K110" i="6" s="1"/>
  <c r="H42" i="6"/>
  <c r="K42" i="6" s="1"/>
  <c r="H270" i="6"/>
  <c r="K270" i="6" s="1"/>
  <c r="H203" i="6"/>
  <c r="K203" i="6" s="1"/>
  <c r="H135" i="6"/>
  <c r="K135" i="6" s="1"/>
  <c r="H66" i="6"/>
  <c r="K66" i="6" s="1"/>
  <c r="H302" i="6"/>
  <c r="K302" i="6" s="1"/>
  <c r="H236" i="6"/>
  <c r="K236" i="6" s="1"/>
  <c r="H168" i="6"/>
  <c r="K168" i="6" s="1"/>
  <c r="H98" i="6"/>
  <c r="K98" i="6" s="1"/>
  <c r="H32" i="6"/>
  <c r="K32" i="6" s="1"/>
  <c r="H211" i="6"/>
  <c r="K211" i="6" s="1"/>
  <c r="H73" i="6"/>
  <c r="K73" i="6" s="1"/>
  <c r="H251" i="6"/>
  <c r="K251" i="6" s="1"/>
  <c r="H185" i="6"/>
  <c r="K185" i="6" s="1"/>
  <c r="H115" i="6"/>
  <c r="K115" i="6" s="1"/>
  <c r="H47" i="6"/>
  <c r="K47" i="6" s="1"/>
  <c r="H284" i="6"/>
  <c r="K284" i="6" s="1"/>
  <c r="H217" i="6"/>
  <c r="K217" i="6" s="1"/>
  <c r="H148" i="6"/>
  <c r="K148" i="6" s="1"/>
  <c r="H80" i="6"/>
  <c r="K80" i="6" s="1"/>
  <c r="H13" i="6"/>
  <c r="K13" i="6" s="1"/>
  <c r="H299" i="6"/>
  <c r="K299" i="6" s="1"/>
  <c r="H233" i="6"/>
  <c r="K233" i="6" s="1"/>
  <c r="H165" i="6"/>
  <c r="K165" i="6" s="1"/>
  <c r="H95" i="6"/>
  <c r="K95" i="6" s="1"/>
  <c r="H29" i="6"/>
  <c r="K29" i="6" s="1"/>
  <c r="H265" i="6"/>
  <c r="K265" i="6" s="1"/>
  <c r="H198" i="6"/>
  <c r="K198" i="6" s="1"/>
  <c r="H130" i="6"/>
  <c r="K130" i="6" s="1"/>
  <c r="H61" i="6"/>
  <c r="K61" i="6" s="1"/>
  <c r="H239" i="6"/>
  <c r="K239" i="6" s="1"/>
  <c r="H171" i="6"/>
  <c r="K171" i="6" s="1"/>
  <c r="H101" i="6"/>
  <c r="K101" i="6" s="1"/>
  <c r="H35" i="6"/>
  <c r="K35" i="6" s="1"/>
  <c r="H271" i="6"/>
  <c r="K271" i="6" s="1"/>
  <c r="H204" i="6"/>
  <c r="K204" i="6" s="1"/>
  <c r="H136" i="6"/>
  <c r="K136" i="6" s="1"/>
  <c r="H67" i="6"/>
  <c r="K67" i="6" s="1"/>
  <c r="H245" i="6"/>
  <c r="K245" i="6" s="1"/>
  <c r="H177" i="6"/>
  <c r="K177" i="6" s="1"/>
  <c r="H109" i="6"/>
  <c r="K109" i="6" s="1"/>
  <c r="H41" i="6"/>
  <c r="K41" i="6" s="1"/>
  <c r="H277" i="6"/>
  <c r="K277" i="6" s="1"/>
  <c r="H194" i="6"/>
  <c r="K194" i="6" s="1"/>
  <c r="H57" i="6"/>
  <c r="K57" i="6" s="1"/>
  <c r="F265" i="29"/>
  <c r="H276" i="6"/>
  <c r="K276" i="6" s="1"/>
  <c r="H210" i="6"/>
  <c r="K210" i="6" s="1"/>
  <c r="H141" i="6"/>
  <c r="K141" i="6" s="1"/>
  <c r="H72" i="6"/>
  <c r="K72" i="6" s="1"/>
  <c r="H6" i="6"/>
  <c r="K6" i="6" s="1"/>
  <c r="H242" i="6"/>
  <c r="K242" i="6" s="1"/>
  <c r="H174" i="6"/>
  <c r="K174" i="6" s="1"/>
  <c r="H106" i="6"/>
  <c r="K106" i="6" s="1"/>
  <c r="H38" i="6"/>
  <c r="K38" i="6" s="1"/>
  <c r="H274" i="6"/>
  <c r="K274" i="6" s="1"/>
  <c r="H208" i="6"/>
  <c r="K208" i="6" s="1"/>
  <c r="H139" i="6"/>
  <c r="K139" i="6" s="1"/>
  <c r="H70" i="6"/>
  <c r="K70" i="6" s="1"/>
  <c r="H4" i="6"/>
  <c r="K4" i="6" s="1"/>
  <c r="H240" i="6"/>
  <c r="K240" i="6" s="1"/>
  <c r="H172" i="6"/>
  <c r="K172" i="6" s="1"/>
  <c r="H104" i="6"/>
  <c r="K104" i="6" s="1"/>
  <c r="H36" i="6"/>
  <c r="K36" i="6" s="1"/>
  <c r="H297" i="6"/>
  <c r="K297" i="6" s="1"/>
  <c r="H230" i="6"/>
  <c r="K230" i="6" s="1"/>
  <c r="H163" i="6"/>
  <c r="K163" i="6" s="1"/>
  <c r="H93" i="6"/>
  <c r="K93" i="6" s="1"/>
  <c r="H26" i="6"/>
  <c r="K26" i="6" s="1"/>
  <c r="H263" i="6"/>
  <c r="K263" i="6" s="1"/>
  <c r="H196" i="6"/>
  <c r="K196" i="6" s="1"/>
  <c r="H126" i="6"/>
  <c r="K126" i="6" s="1"/>
  <c r="H59" i="6"/>
  <c r="K59" i="6" s="1"/>
  <c r="H253" i="6"/>
  <c r="K253" i="6" s="1"/>
  <c r="H187" i="6"/>
  <c r="K187" i="6" s="1"/>
  <c r="H117" i="6"/>
  <c r="K117" i="6" s="1"/>
  <c r="H49" i="6"/>
  <c r="K49" i="6" s="1"/>
  <c r="H286" i="6"/>
  <c r="K286" i="6" s="1"/>
  <c r="H219" i="6"/>
  <c r="K219" i="6" s="1"/>
  <c r="H150" i="6"/>
  <c r="K150" i="6" s="1"/>
  <c r="H82" i="6"/>
  <c r="K82" i="6" s="1"/>
  <c r="H15" i="6"/>
  <c r="K15" i="6" s="1"/>
  <c r="H176" i="6"/>
  <c r="K176" i="6" s="1"/>
  <c r="H40" i="6"/>
  <c r="K40" i="6" s="1"/>
  <c r="H285" i="6"/>
  <c r="K285" i="6" s="1"/>
  <c r="H301" i="6"/>
  <c r="K301" i="6" s="1"/>
  <c r="H235" i="6"/>
  <c r="K235" i="6" s="1"/>
  <c r="H167" i="6"/>
  <c r="K167" i="6" s="1"/>
  <c r="H97" i="6"/>
  <c r="K97" i="6" s="1"/>
  <c r="H31" i="6"/>
  <c r="K31" i="6" s="1"/>
  <c r="H267" i="6"/>
  <c r="K267" i="6" s="1"/>
  <c r="H200" i="6"/>
  <c r="K200" i="6" s="1"/>
  <c r="H132" i="6"/>
  <c r="K132" i="6" s="1"/>
  <c r="H63" i="6"/>
  <c r="K63" i="6" s="1"/>
  <c r="H249" i="6"/>
  <c r="K249" i="6" s="1"/>
  <c r="H183" i="6"/>
  <c r="K183" i="6" s="1"/>
  <c r="H113" i="6"/>
  <c r="K113" i="6" s="1"/>
  <c r="H45" i="6"/>
  <c r="K45" i="6" s="1"/>
  <c r="H282" i="6"/>
  <c r="K282" i="6" s="1"/>
  <c r="H215" i="6"/>
  <c r="K215" i="6" s="1"/>
  <c r="H146" i="6"/>
  <c r="K146" i="6" s="1"/>
  <c r="H78" i="6"/>
  <c r="K78" i="6" s="1"/>
  <c r="H11" i="6"/>
  <c r="K11" i="6" s="1"/>
  <c r="H289" i="6"/>
  <c r="K289" i="6" s="1"/>
  <c r="H222" i="6"/>
  <c r="K222" i="6" s="1"/>
  <c r="H153" i="6"/>
  <c r="K153" i="6" s="1"/>
  <c r="H85" i="6"/>
  <c r="K85" i="6" s="1"/>
  <c r="H18" i="6"/>
  <c r="K18" i="6" s="1"/>
  <c r="H254" i="6"/>
  <c r="K254" i="6" s="1"/>
  <c r="H188" i="6"/>
  <c r="K188" i="6" s="1"/>
  <c r="H118" i="6"/>
  <c r="K118" i="6" s="1"/>
  <c r="H50" i="6"/>
  <c r="K50" i="6" s="1"/>
  <c r="H262" i="6"/>
  <c r="K262" i="6" s="1"/>
  <c r="H195" i="6"/>
  <c r="K195" i="6" s="1"/>
  <c r="H125" i="6"/>
  <c r="K125" i="6" s="1"/>
  <c r="H58" i="6"/>
  <c r="K58" i="6" s="1"/>
  <c r="H294" i="6"/>
  <c r="K294" i="6" s="1"/>
  <c r="H227" i="6"/>
  <c r="K227" i="6" s="1"/>
  <c r="H90" i="6"/>
  <c r="K90" i="6" s="1"/>
  <c r="F257" i="29"/>
  <c r="H260" i="6"/>
  <c r="K260" i="6" s="1"/>
  <c r="H193" i="6"/>
  <c r="K193" i="6" s="1"/>
  <c r="H123" i="6"/>
  <c r="K123" i="6" s="1"/>
  <c r="H56" i="6"/>
  <c r="K56" i="6" s="1"/>
  <c r="H292" i="6"/>
  <c r="K292" i="6" s="1"/>
  <c r="H225" i="6"/>
  <c r="K225" i="6" s="1"/>
  <c r="H158" i="6"/>
  <c r="K158" i="6" s="1"/>
  <c r="H88" i="6"/>
  <c r="K88" i="6" s="1"/>
  <c r="H21" i="6"/>
  <c r="K21" i="6" s="1"/>
  <c r="H291" i="6"/>
  <c r="K291" i="6" s="1"/>
  <c r="H224" i="6"/>
  <c r="K224" i="6" s="1"/>
  <c r="H157" i="6"/>
  <c r="K157" i="6" s="1"/>
  <c r="H87" i="6"/>
  <c r="K87" i="6" s="1"/>
  <c r="H20" i="6"/>
  <c r="K20" i="6" s="1"/>
  <c r="H257" i="6"/>
  <c r="K257" i="6" s="1"/>
  <c r="H190" i="6"/>
  <c r="K190" i="6" s="1"/>
  <c r="H120" i="6"/>
  <c r="K120" i="6" s="1"/>
  <c r="H53" i="6"/>
  <c r="K53" i="6" s="1"/>
  <c r="H247" i="6"/>
  <c r="K247" i="6" s="1"/>
  <c r="H179" i="6"/>
  <c r="K179" i="6" s="1"/>
  <c r="H111" i="6"/>
  <c r="K111" i="6" s="1"/>
  <c r="H43" i="6"/>
  <c r="K43" i="6" s="1"/>
  <c r="H279" i="6"/>
  <c r="K279" i="6" s="1"/>
  <c r="H213" i="6"/>
  <c r="K213" i="6" s="1"/>
  <c r="H144" i="6"/>
  <c r="K144" i="6" s="1"/>
  <c r="H75" i="6"/>
  <c r="K75" i="6" s="1"/>
  <c r="H9" i="6"/>
  <c r="K9" i="6" s="1"/>
  <c r="H303" i="6"/>
  <c r="K303" i="6" s="1"/>
  <c r="H237" i="6"/>
  <c r="K237" i="6" s="1"/>
  <c r="H169" i="6"/>
  <c r="K169" i="6" s="1"/>
  <c r="H99" i="6"/>
  <c r="K99" i="6" s="1"/>
  <c r="H33" i="6"/>
  <c r="K33" i="6" s="1"/>
  <c r="H269" i="6"/>
  <c r="K269" i="6" s="1"/>
  <c r="H202" i="6"/>
  <c r="K202" i="6" s="1"/>
  <c r="H134" i="6"/>
  <c r="K134" i="6" s="1"/>
  <c r="H65" i="6"/>
  <c r="K65" i="6" s="1"/>
  <c r="H142" i="6"/>
  <c r="K142" i="6" s="1"/>
  <c r="H7" i="6"/>
  <c r="K7" i="6" s="1"/>
  <c r="H218" i="6"/>
  <c r="K218" i="6" s="1"/>
  <c r="H149" i="6"/>
  <c r="K149" i="6" s="1"/>
  <c r="H81" i="6"/>
  <c r="K81" i="6" s="1"/>
  <c r="H14" i="6"/>
  <c r="K14" i="6" s="1"/>
  <c r="H250" i="6"/>
  <c r="K250" i="6" s="1"/>
  <c r="H184" i="6"/>
  <c r="K184" i="6" s="1"/>
  <c r="H114" i="6"/>
  <c r="K114" i="6" s="1"/>
  <c r="H46" i="6"/>
  <c r="K46" i="6" s="1"/>
  <c r="H266" i="6"/>
  <c r="K266" i="6" s="1"/>
  <c r="H199" i="6"/>
  <c r="K199" i="6" s="1"/>
  <c r="H131" i="6"/>
  <c r="K131" i="6" s="1"/>
  <c r="H62" i="6"/>
  <c r="K62" i="6" s="1"/>
  <c r="H298" i="6"/>
  <c r="K298" i="6" s="1"/>
  <c r="H232" i="6"/>
  <c r="K232" i="6" s="1"/>
  <c r="H164" i="6"/>
  <c r="K164" i="6" s="1"/>
  <c r="H94" i="6"/>
  <c r="K94" i="6" s="1"/>
  <c r="H28" i="6"/>
  <c r="K28" i="6" s="1"/>
  <c r="H272" i="6"/>
  <c r="K272" i="6" s="1"/>
  <c r="H205" i="6"/>
  <c r="K205" i="6" s="1"/>
  <c r="H137" i="6"/>
  <c r="K137" i="6" s="1"/>
  <c r="H68" i="6"/>
  <c r="K68" i="6" s="1"/>
  <c r="H304" i="6"/>
  <c r="K304" i="6" s="1"/>
  <c r="H238" i="6"/>
  <c r="K238" i="6" s="1"/>
  <c r="H170" i="6"/>
  <c r="K170" i="6" s="1"/>
  <c r="H100" i="6"/>
  <c r="K100" i="6" s="1"/>
  <c r="H34" i="6"/>
  <c r="K34" i="6" s="1"/>
  <c r="H278" i="6"/>
  <c r="K278" i="6" s="1"/>
  <c r="H212" i="6"/>
  <c r="K212" i="6" s="1"/>
  <c r="H143" i="6"/>
  <c r="K143" i="6" s="1"/>
  <c r="H74" i="6"/>
  <c r="K74" i="6" s="1"/>
  <c r="H8" i="6"/>
  <c r="K8" i="6" s="1"/>
  <c r="H244" i="6"/>
  <c r="K244" i="6" s="1"/>
  <c r="H124" i="6"/>
  <c r="K124" i="6" s="1"/>
  <c r="F263" i="29"/>
  <c r="H243" i="6"/>
  <c r="K243" i="6" s="1"/>
  <c r="H175" i="6"/>
  <c r="K175" i="6" s="1"/>
  <c r="H107" i="6"/>
  <c r="K107" i="6" s="1"/>
  <c r="H39" i="6"/>
  <c r="K39" i="6" s="1"/>
  <c r="H275" i="6"/>
  <c r="K275" i="6" s="1"/>
  <c r="H209" i="6"/>
  <c r="K209" i="6" s="1"/>
  <c r="H140" i="6"/>
  <c r="K140" i="6" s="1"/>
  <c r="H71" i="6"/>
  <c r="K71" i="6" s="1"/>
  <c r="H5" i="6"/>
  <c r="K5" i="6" s="1"/>
  <c r="H241" i="6"/>
  <c r="K241" i="6" s="1"/>
  <c r="H173" i="6"/>
  <c r="K173" i="6" s="1"/>
  <c r="H105" i="6"/>
  <c r="K105" i="6" s="1"/>
  <c r="H37" i="6"/>
  <c r="K37" i="6" s="1"/>
  <c r="H273" i="6"/>
  <c r="K273" i="6" s="1"/>
  <c r="H207" i="6"/>
  <c r="K207" i="6" s="1"/>
  <c r="H138" i="6"/>
  <c r="K138" i="6" s="1"/>
  <c r="H69" i="6"/>
  <c r="K69" i="6" s="1"/>
  <c r="H3" i="6"/>
  <c r="K3" i="6" s="1"/>
  <c r="H264" i="6"/>
  <c r="K264" i="6" s="1"/>
  <c r="H197" i="6"/>
  <c r="K197" i="6" s="1"/>
  <c r="H127" i="6"/>
  <c r="K127" i="6" s="1"/>
  <c r="H60" i="6"/>
  <c r="K60" i="6" s="1"/>
  <c r="H296" i="6"/>
  <c r="K296" i="6" s="1"/>
  <c r="H229" i="6"/>
  <c r="K229" i="6" s="1"/>
  <c r="H162" i="6"/>
  <c r="K162" i="6" s="1"/>
  <c r="H92" i="6"/>
  <c r="K92" i="6" s="1"/>
  <c r="H25" i="6"/>
  <c r="K25" i="6" s="1"/>
  <c r="H287" i="6"/>
  <c r="K287" i="6" s="1"/>
  <c r="H220" i="6"/>
  <c r="K220" i="6" s="1"/>
  <c r="H151" i="6"/>
  <c r="K151" i="6" s="1"/>
  <c r="H83" i="6"/>
  <c r="K83" i="6" s="1"/>
  <c r="H16" i="6"/>
  <c r="K16" i="6" s="1"/>
  <c r="H252" i="6"/>
  <c r="K252" i="6" s="1"/>
  <c r="H186" i="6"/>
  <c r="K186" i="6" s="1"/>
  <c r="H116" i="6"/>
  <c r="K116" i="6" s="1"/>
  <c r="H48" i="6"/>
  <c r="K48" i="6" s="1"/>
  <c r="H108" i="6"/>
  <c r="K108" i="6" s="1"/>
  <c r="F259" i="29"/>
  <c r="H170" i="65"/>
  <c r="H83" i="65"/>
  <c r="H51" i="65"/>
  <c r="H173" i="65"/>
  <c r="H85" i="65"/>
  <c r="H87" i="65"/>
  <c r="H86" i="65"/>
  <c r="H128" i="65"/>
  <c r="H84" i="65"/>
  <c r="H169" i="65"/>
  <c r="H129" i="65"/>
  <c r="H172" i="65"/>
  <c r="H168" i="65"/>
  <c r="A530" i="30"/>
  <c r="C529" i="30"/>
  <c r="E529" i="30"/>
  <c r="K231" i="6" l="1"/>
  <c r="M578" i="7" s="1"/>
  <c r="K256" i="6"/>
  <c r="M649" i="7" s="1"/>
  <c r="K281" i="6"/>
  <c r="M720" i="7" s="1"/>
  <c r="K102" i="6"/>
  <c r="M223" i="7" s="1"/>
  <c r="K206" i="6"/>
  <c r="M507" i="7" s="1"/>
  <c r="K27" i="6"/>
  <c r="M6" i="7" s="1"/>
  <c r="K52" i="6"/>
  <c r="M79" i="7" s="1"/>
  <c r="K77" i="6"/>
  <c r="M152" i="7" s="1"/>
  <c r="K306" i="6"/>
  <c r="M791" i="7" s="1"/>
  <c r="K128" i="6"/>
  <c r="M294" i="7" s="1"/>
  <c r="K154" i="6"/>
  <c r="M365" i="7" s="1"/>
  <c r="K180" i="6"/>
  <c r="M436" i="7" s="1"/>
  <c r="C530" i="30"/>
  <c r="A531" i="30"/>
  <c r="E530" i="30"/>
  <c r="A532" i="30" l="1"/>
  <c r="E531" i="30"/>
  <c r="C531" i="30"/>
  <c r="A533" i="30" l="1"/>
  <c r="E532" i="30"/>
  <c r="C532" i="30"/>
  <c r="E533" i="30" l="1"/>
  <c r="A534" i="30"/>
  <c r="C533" i="30"/>
  <c r="E534" i="30" l="1"/>
  <c r="C534" i="30"/>
  <c r="A535" i="30"/>
  <c r="E535" i="30" l="1"/>
  <c r="A536" i="30"/>
  <c r="C535" i="30"/>
  <c r="A537" i="30" l="1"/>
  <c r="E536" i="30"/>
  <c r="C536" i="30"/>
  <c r="E537" i="30" l="1"/>
  <c r="C537" i="30"/>
  <c r="A538" i="30"/>
  <c r="A539" i="30" l="1"/>
  <c r="E538" i="30"/>
  <c r="C538" i="30"/>
  <c r="A540" i="30" l="1"/>
  <c r="E539" i="30"/>
  <c r="C539" i="30"/>
  <c r="C540" i="30" l="1"/>
  <c r="A541" i="30"/>
  <c r="E540" i="30"/>
  <c r="E541" i="30" l="1"/>
  <c r="A542" i="30"/>
  <c r="C541" i="30"/>
  <c r="E542" i="30" l="1"/>
  <c r="C542" i="30"/>
  <c r="A543" i="30"/>
  <c r="A544" i="30" l="1"/>
  <c r="E543" i="30"/>
  <c r="C543" i="30"/>
  <c r="C544" i="30" l="1"/>
  <c r="A545" i="30"/>
  <c r="E544" i="30"/>
  <c r="C545" i="30" l="1"/>
  <c r="A546" i="30"/>
  <c r="E545" i="30"/>
  <c r="D289" i="29"/>
  <c r="C289" i="29"/>
  <c r="D288" i="29"/>
  <c r="C288" i="29"/>
  <c r="D287" i="29"/>
  <c r="C287" i="29"/>
  <c r="D286" i="29"/>
  <c r="C286" i="29"/>
  <c r="D285" i="29"/>
  <c r="C285" i="29"/>
  <c r="D284" i="29"/>
  <c r="C284" i="29"/>
  <c r="D283" i="29"/>
  <c r="C283" i="29"/>
  <c r="D282" i="29"/>
  <c r="C282" i="29"/>
  <c r="D281" i="29"/>
  <c r="C281" i="29"/>
  <c r="D280" i="29"/>
  <c r="C280" i="29"/>
  <c r="D279" i="29"/>
  <c r="C279" i="29"/>
  <c r="D278" i="29"/>
  <c r="C278" i="29"/>
  <c r="D277" i="29"/>
  <c r="C277" i="29"/>
  <c r="D276" i="29"/>
  <c r="C276" i="29"/>
  <c r="E546" i="30" l="1"/>
  <c r="C546" i="30"/>
  <c r="A547" i="30"/>
  <c r="D71" i="29"/>
  <c r="C71" i="29"/>
  <c r="D70" i="29"/>
  <c r="C70" i="29"/>
  <c r="D69" i="29"/>
  <c r="C69" i="29"/>
  <c r="E547" i="30" l="1"/>
  <c r="C547" i="30"/>
  <c r="A548" i="30"/>
  <c r="D68" i="29"/>
  <c r="C68" i="29"/>
  <c r="D67" i="29"/>
  <c r="C67" i="29"/>
  <c r="D66" i="29"/>
  <c r="C66" i="29"/>
  <c r="D65" i="29"/>
  <c r="C65" i="29"/>
  <c r="D64" i="29"/>
  <c r="C64" i="29"/>
  <c r="D63" i="29"/>
  <c r="C63" i="29"/>
  <c r="D62" i="29"/>
  <c r="C62" i="29"/>
  <c r="D61" i="29"/>
  <c r="C61" i="29"/>
  <c r="D60" i="29"/>
  <c r="C60" i="29"/>
  <c r="D59" i="29"/>
  <c r="C59" i="29"/>
  <c r="D58" i="29"/>
  <c r="C58" i="29"/>
  <c r="D57" i="29"/>
  <c r="C57" i="29"/>
  <c r="D56" i="29"/>
  <c r="C56" i="29"/>
  <c r="D55" i="29"/>
  <c r="C55" i="29"/>
  <c r="D54" i="29"/>
  <c r="C54" i="29"/>
  <c r="D53" i="29"/>
  <c r="C53" i="29"/>
  <c r="D52" i="29"/>
  <c r="C52" i="29"/>
  <c r="D51" i="29"/>
  <c r="C51" i="29"/>
  <c r="D50" i="29"/>
  <c r="C50" i="29"/>
  <c r="D49" i="29"/>
  <c r="C49" i="29"/>
  <c r="D48" i="29"/>
  <c r="C48" i="29"/>
  <c r="D47" i="29"/>
  <c r="C47" i="29"/>
  <c r="D46" i="29"/>
  <c r="C46" i="29"/>
  <c r="D45" i="29"/>
  <c r="C45" i="29"/>
  <c r="D44" i="29"/>
  <c r="C44" i="29"/>
  <c r="D43" i="29"/>
  <c r="C43" i="29"/>
  <c r="D42" i="29"/>
  <c r="C42" i="29"/>
  <c r="D41" i="29"/>
  <c r="C41" i="29"/>
  <c r="D40" i="29"/>
  <c r="C40" i="29"/>
  <c r="D39" i="29"/>
  <c r="C39" i="29"/>
  <c r="D38" i="29"/>
  <c r="C38" i="29"/>
  <c r="D37" i="29"/>
  <c r="C37" i="29"/>
  <c r="D36" i="29"/>
  <c r="C36" i="29"/>
  <c r="A549" i="30" l="1"/>
  <c r="E548" i="30"/>
  <c r="C548" i="30"/>
  <c r="D35" i="29"/>
  <c r="C35" i="29"/>
  <c r="D34" i="29"/>
  <c r="C34" i="29"/>
  <c r="D33" i="29"/>
  <c r="C33" i="29"/>
  <c r="D32" i="29"/>
  <c r="C32" i="29"/>
  <c r="D31" i="29"/>
  <c r="C31" i="29"/>
  <c r="D30" i="29"/>
  <c r="C30" i="29"/>
  <c r="D29" i="29"/>
  <c r="C29" i="29"/>
  <c r="D28" i="29"/>
  <c r="C28" i="29"/>
  <c r="D27" i="29"/>
  <c r="C27" i="29"/>
  <c r="D26" i="29"/>
  <c r="C26" i="29"/>
  <c r="D25" i="29"/>
  <c r="C25" i="29"/>
  <c r="D24" i="29"/>
  <c r="C24" i="29"/>
  <c r="D23" i="29"/>
  <c r="C23" i="29"/>
  <c r="D22" i="29"/>
  <c r="C22" i="29"/>
  <c r="D21" i="29"/>
  <c r="C21" i="29"/>
  <c r="D20" i="29"/>
  <c r="C20" i="29"/>
  <c r="D19" i="29"/>
  <c r="C19" i="29"/>
  <c r="D18" i="29"/>
  <c r="C18" i="29"/>
  <c r="D17" i="29"/>
  <c r="C17" i="29"/>
  <c r="D16" i="29"/>
  <c r="C16" i="29"/>
  <c r="D15" i="29"/>
  <c r="C15" i="29"/>
  <c r="D14" i="29"/>
  <c r="C14" i="29"/>
  <c r="D13" i="29"/>
  <c r="C13" i="29"/>
  <c r="D12" i="29"/>
  <c r="C12" i="29"/>
  <c r="D11" i="29"/>
  <c r="C11" i="29"/>
  <c r="D10" i="29"/>
  <c r="C10" i="29"/>
  <c r="D9" i="29"/>
  <c r="C9" i="29"/>
  <c r="C549" i="30" l="1"/>
  <c r="A550" i="30"/>
  <c r="E549" i="30"/>
  <c r="D8" i="29"/>
  <c r="C8" i="29"/>
  <c r="D7" i="29"/>
  <c r="C7" i="29"/>
  <c r="D6" i="29"/>
  <c r="C6" i="29"/>
  <c r="D5" i="29"/>
  <c r="C5" i="29"/>
  <c r="A551" i="30" l="1"/>
  <c r="E550" i="30"/>
  <c r="C550" i="30"/>
  <c r="A552" i="30" l="1"/>
  <c r="E551" i="30"/>
  <c r="C551" i="30"/>
  <c r="D4" i="29"/>
  <c r="C4" i="29"/>
  <c r="D3" i="29"/>
  <c r="C3" i="29"/>
  <c r="A3" i="29"/>
  <c r="A4" i="29" s="1"/>
  <c r="D2" i="29"/>
  <c r="C2" i="29"/>
  <c r="E552" i="30" l="1"/>
  <c r="C552" i="30"/>
  <c r="A553" i="30"/>
  <c r="A5" i="29"/>
  <c r="A6" i="29" s="1"/>
  <c r="A7" i="29" s="1"/>
  <c r="A8" i="29" s="1"/>
  <c r="A9" i="29" s="1"/>
  <c r="A10" i="29" s="1"/>
  <c r="A11" i="29" s="1"/>
  <c r="A12" i="29" s="1"/>
  <c r="A13" i="29" s="1"/>
  <c r="A14" i="29" s="1"/>
  <c r="A15" i="29" l="1"/>
  <c r="A16" i="29" s="1"/>
  <c r="A17" i="29" s="1"/>
  <c r="A18" i="29" s="1"/>
  <c r="A19" i="29" s="1"/>
  <c r="A20" i="29" s="1"/>
  <c r="A21" i="29" s="1"/>
  <c r="A22" i="29" s="1"/>
  <c r="A23" i="29" s="1"/>
  <c r="A24" i="29" s="1"/>
  <c r="A25" i="29" s="1"/>
  <c r="A26" i="29" s="1"/>
  <c r="A27" i="29" s="1"/>
  <c r="A28" i="29" s="1"/>
  <c r="C553" i="30"/>
  <c r="A554" i="30"/>
  <c r="E553" i="30"/>
  <c r="A29" i="29" l="1"/>
  <c r="A30" i="29" s="1"/>
  <c r="A31" i="29" s="1"/>
  <c r="A32" i="29" s="1"/>
  <c r="A33" i="29" s="1"/>
  <c r="A34" i="29" s="1"/>
  <c r="A35" i="29" s="1"/>
  <c r="A36" i="29" s="1"/>
  <c r="A37" i="29" s="1"/>
  <c r="A38" i="29" s="1"/>
  <c r="A39" i="29" s="1"/>
  <c r="A40" i="29" s="1"/>
  <c r="A41" i="29" s="1"/>
  <c r="A42" i="29" s="1"/>
  <c r="A555" i="30"/>
  <c r="E554" i="30"/>
  <c r="C554" i="30"/>
  <c r="A43" i="29" l="1"/>
  <c r="A44" i="29" s="1"/>
  <c r="A45" i="29" s="1"/>
  <c r="A46" i="29" s="1"/>
  <c r="A47" i="29" s="1"/>
  <c r="A48" i="29" s="1"/>
  <c r="A49" i="29" s="1"/>
  <c r="A50" i="29" s="1"/>
  <c r="A51" i="29" s="1"/>
  <c r="A52" i="29" s="1"/>
  <c r="A53" i="29" s="1"/>
  <c r="A54" i="29" s="1"/>
  <c r="A55" i="29" s="1"/>
  <c r="A56" i="29" s="1"/>
  <c r="E555" i="30"/>
  <c r="C555" i="30"/>
  <c r="A556" i="30"/>
  <c r="A57" i="29" l="1"/>
  <c r="A58" i="29" s="1"/>
  <c r="A59" i="29" s="1"/>
  <c r="A60" i="29" s="1"/>
  <c r="A61" i="29" s="1"/>
  <c r="A62" i="29" s="1"/>
  <c r="A63" i="29" s="1"/>
  <c r="A64" i="29" s="1"/>
  <c r="A65" i="29" s="1"/>
  <c r="A66" i="29" s="1"/>
  <c r="A156" i="29" s="1"/>
  <c r="A158" i="29" s="1"/>
  <c r="A160" i="29" s="1"/>
  <c r="C556" i="30"/>
  <c r="A557" i="30"/>
  <c r="E556" i="30"/>
  <c r="A170" i="29" l="1"/>
  <c r="A172" i="29" s="1"/>
  <c r="A174" i="29" s="1"/>
  <c r="A176" i="29" s="1"/>
  <c r="A162" i="29"/>
  <c r="A164" i="29" s="1"/>
  <c r="A166" i="29" s="1"/>
  <c r="A168" i="29" s="1"/>
  <c r="A68" i="29"/>
  <c r="A67" i="29"/>
  <c r="A157" i="29" s="1"/>
  <c r="A159" i="29" s="1"/>
  <c r="A161" i="29" s="1"/>
  <c r="A69" i="29"/>
  <c r="A71" i="29" s="1"/>
  <c r="A73" i="29" s="1"/>
  <c r="A75" i="29" s="1"/>
  <c r="A77" i="29" s="1"/>
  <c r="A79" i="29" s="1"/>
  <c r="A81" i="29" s="1"/>
  <c r="A83" i="29" s="1"/>
  <c r="A85" i="29" s="1"/>
  <c r="A87" i="29" s="1"/>
  <c r="A89" i="29" s="1"/>
  <c r="C557" i="30"/>
  <c r="E557" i="30"/>
  <c r="A558" i="30"/>
  <c r="A163" i="29" l="1"/>
  <c r="A165" i="29" s="1"/>
  <c r="A167" i="29" s="1"/>
  <c r="A169" i="29" s="1"/>
  <c r="A171" i="29"/>
  <c r="A173" i="29" s="1"/>
  <c r="A175" i="29" s="1"/>
  <c r="A177" i="29" s="1"/>
  <c r="A70" i="29"/>
  <c r="A72" i="29" s="1"/>
  <c r="A74" i="29" s="1"/>
  <c r="A76" i="29" s="1"/>
  <c r="A78" i="29" s="1"/>
  <c r="A80" i="29" s="1"/>
  <c r="A82" i="29" s="1"/>
  <c r="A84" i="29" s="1"/>
  <c r="A86" i="29" s="1"/>
  <c r="A88" i="29" s="1"/>
  <c r="A91" i="29"/>
  <c r="A93" i="29" s="1"/>
  <c r="A95" i="29" s="1"/>
  <c r="A97" i="29" s="1"/>
  <c r="A99" i="29" s="1"/>
  <c r="A101" i="29" s="1"/>
  <c r="A103" i="29" s="1"/>
  <c r="A105" i="29" s="1"/>
  <c r="A107" i="29" s="1"/>
  <c r="A109" i="29" s="1"/>
  <c r="A111" i="29" s="1"/>
  <c r="A201" i="29" s="1"/>
  <c r="A203" i="29" s="1"/>
  <c r="A205" i="29" s="1"/>
  <c r="A179" i="29"/>
  <c r="A181" i="29" s="1"/>
  <c r="A183" i="29" s="1"/>
  <c r="A559" i="30"/>
  <c r="E558" i="30"/>
  <c r="C558" i="30"/>
  <c r="A135" i="29" l="1"/>
  <c r="A137" i="29" s="1"/>
  <c r="A139" i="29" s="1"/>
  <c r="A141" i="29" s="1"/>
  <c r="A143" i="29" s="1"/>
  <c r="A145" i="29" s="1"/>
  <c r="A147" i="29" s="1"/>
  <c r="A149" i="29" s="1"/>
  <c r="A151" i="29" s="1"/>
  <c r="A153" i="29" s="1"/>
  <c r="A155" i="29" s="1"/>
  <c r="A113" i="29"/>
  <c r="A115" i="29" s="1"/>
  <c r="A117" i="29" s="1"/>
  <c r="A119" i="29" s="1"/>
  <c r="A121" i="29" s="1"/>
  <c r="A123" i="29" s="1"/>
  <c r="A125" i="29" s="1"/>
  <c r="A127" i="29" s="1"/>
  <c r="A129" i="29" s="1"/>
  <c r="A131" i="29" s="1"/>
  <c r="A133" i="29" s="1"/>
  <c r="A223" i="29" s="1"/>
  <c r="A225" i="29" s="1"/>
  <c r="A207" i="29"/>
  <c r="A209" i="29" s="1"/>
  <c r="A211" i="29" s="1"/>
  <c r="A213" i="29" s="1"/>
  <c r="A215" i="29"/>
  <c r="A217" i="29" s="1"/>
  <c r="A219" i="29" s="1"/>
  <c r="A193" i="29"/>
  <c r="A195" i="29" s="1"/>
  <c r="A197" i="29" s="1"/>
  <c r="A199" i="29" s="1"/>
  <c r="A185" i="29"/>
  <c r="A187" i="29" s="1"/>
  <c r="A189" i="29" s="1"/>
  <c r="A191" i="29" s="1"/>
  <c r="A90" i="29"/>
  <c r="A92" i="29" s="1"/>
  <c r="A94" i="29" s="1"/>
  <c r="A96" i="29" s="1"/>
  <c r="A98" i="29" s="1"/>
  <c r="A100" i="29" s="1"/>
  <c r="A102" i="29" s="1"/>
  <c r="A104" i="29" s="1"/>
  <c r="A106" i="29" s="1"/>
  <c r="A108" i="29" s="1"/>
  <c r="A110" i="29" s="1"/>
  <c r="A178" i="29"/>
  <c r="A180" i="29" s="1"/>
  <c r="A182" i="29" s="1"/>
  <c r="A560" i="30"/>
  <c r="E559" i="30"/>
  <c r="C559" i="30"/>
  <c r="A227" i="29" l="1"/>
  <c r="A243" i="29"/>
  <c r="A221" i="29"/>
  <c r="A245" i="29"/>
  <c r="A247" i="29" s="1"/>
  <c r="A249" i="29" s="1"/>
  <c r="A251" i="29" s="1"/>
  <c r="A253" i="29" s="1"/>
  <c r="A255" i="29" s="1"/>
  <c r="A257" i="29" s="1"/>
  <c r="A237" i="29"/>
  <c r="A239" i="29" s="1"/>
  <c r="A241" i="29" s="1"/>
  <c r="A267" i="29" s="1"/>
  <c r="A200" i="29"/>
  <c r="A202" i="29" s="1"/>
  <c r="A204" i="29" s="1"/>
  <c r="A112" i="29"/>
  <c r="A114" i="29" s="1"/>
  <c r="A116" i="29" s="1"/>
  <c r="A118" i="29" s="1"/>
  <c r="A120" i="29" s="1"/>
  <c r="A122" i="29" s="1"/>
  <c r="A124" i="29" s="1"/>
  <c r="A126" i="29" s="1"/>
  <c r="A128" i="29" s="1"/>
  <c r="A130" i="29" s="1"/>
  <c r="A132" i="29" s="1"/>
  <c r="A222" i="29" s="1"/>
  <c r="A224" i="29" s="1"/>
  <c r="A134" i="29"/>
  <c r="A136" i="29" s="1"/>
  <c r="A138" i="29" s="1"/>
  <c r="A140" i="29" s="1"/>
  <c r="A142" i="29" s="1"/>
  <c r="A144" i="29" s="1"/>
  <c r="A146" i="29" s="1"/>
  <c r="A148" i="29" s="1"/>
  <c r="A150" i="29" s="1"/>
  <c r="A152" i="29" s="1"/>
  <c r="A154" i="29" s="1"/>
  <c r="A192" i="29"/>
  <c r="A194" i="29" s="1"/>
  <c r="A196" i="29" s="1"/>
  <c r="A198" i="29" s="1"/>
  <c r="A184" i="29"/>
  <c r="A186" i="29" s="1"/>
  <c r="A188" i="29" s="1"/>
  <c r="A190" i="29" s="1"/>
  <c r="C560" i="30"/>
  <c r="A561" i="30"/>
  <c r="E560" i="30"/>
  <c r="A229" i="29" l="1"/>
  <c r="A231" i="29" s="1"/>
  <c r="A233" i="29" s="1"/>
  <c r="A261" i="29"/>
  <c r="A263" i="29" s="1"/>
  <c r="A265" i="29" s="1"/>
  <c r="A226" i="29"/>
  <c r="A260" i="29" s="1"/>
  <c r="A262" i="29" s="1"/>
  <c r="A264" i="29" s="1"/>
  <c r="A242" i="29"/>
  <c r="A214" i="29"/>
  <c r="A216" i="29" s="1"/>
  <c r="A218" i="29" s="1"/>
  <c r="A206" i="29"/>
  <c r="A208" i="29" s="1"/>
  <c r="A210" i="29" s="1"/>
  <c r="A212" i="29" s="1"/>
  <c r="C561" i="30"/>
  <c r="A562" i="30"/>
  <c r="E561" i="30"/>
  <c r="A236" i="29" l="1"/>
  <c r="A238" i="29" s="1"/>
  <c r="A240" i="29" s="1"/>
  <c r="A266" i="29" s="1"/>
  <c r="A228" i="29"/>
  <c r="A230" i="29" s="1"/>
  <c r="A232" i="29" s="1"/>
  <c r="A235" i="29"/>
  <c r="A269" i="29" s="1"/>
  <c r="A271" i="29" s="1"/>
  <c r="A273" i="29" s="1"/>
  <c r="A275" i="29" s="1"/>
  <c r="A277" i="29" s="1"/>
  <c r="A279" i="29" s="1"/>
  <c r="A281" i="29" s="1"/>
  <c r="A283" i="29" s="1"/>
  <c r="A285" i="29" s="1"/>
  <c r="A287" i="29" s="1"/>
  <c r="A289" i="29" s="1"/>
  <c r="A259" i="29"/>
  <c r="A220" i="29"/>
  <c r="A244" i="29"/>
  <c r="A246" i="29" s="1"/>
  <c r="A248" i="29" s="1"/>
  <c r="A250" i="29" s="1"/>
  <c r="A252" i="29" s="1"/>
  <c r="A254" i="29" s="1"/>
  <c r="A256" i="29" s="1"/>
  <c r="E562" i="30"/>
  <c r="C562" i="30"/>
  <c r="A563" i="30"/>
  <c r="A234" i="29" l="1"/>
  <c r="A268" i="29" s="1"/>
  <c r="A270" i="29" s="1"/>
  <c r="A272" i="29" s="1"/>
  <c r="A274" i="29" s="1"/>
  <c r="A276" i="29" s="1"/>
  <c r="A278" i="29" s="1"/>
  <c r="A280" i="29" s="1"/>
  <c r="A282" i="29" s="1"/>
  <c r="A284" i="29" s="1"/>
  <c r="A286" i="29" s="1"/>
  <c r="A288" i="29" s="1"/>
  <c r="A258" i="29"/>
  <c r="E563" i="30"/>
  <c r="C563" i="30"/>
  <c r="A564" i="30"/>
  <c r="C564" i="30" l="1"/>
  <c r="A565" i="30"/>
  <c r="E564" i="30"/>
  <c r="C565" i="30" l="1"/>
  <c r="A566" i="30"/>
  <c r="E565" i="30"/>
  <c r="E566" i="30" l="1"/>
  <c r="C566" i="30"/>
  <c r="A567" i="30"/>
  <c r="C567" i="30" l="1"/>
  <c r="A568" i="30"/>
  <c r="E567" i="30"/>
  <c r="C568" i="30" l="1"/>
  <c r="E568" i="30"/>
  <c r="A569" i="30"/>
  <c r="C569" i="30" l="1"/>
  <c r="E569" i="30"/>
  <c r="A570" i="30"/>
  <c r="A571" i="30" l="1"/>
  <c r="E570" i="30"/>
  <c r="C570" i="30"/>
  <c r="A572" i="30" l="1"/>
  <c r="E571" i="30"/>
  <c r="C571" i="30"/>
  <c r="A573" i="30" l="1"/>
  <c r="E572" i="30"/>
  <c r="C572" i="30"/>
  <c r="A574" i="30" l="1"/>
  <c r="C573" i="30"/>
  <c r="E573" i="30"/>
  <c r="C574" i="30" l="1"/>
  <c r="A575" i="30"/>
  <c r="E574" i="30"/>
  <c r="E575" i="30" l="1"/>
  <c r="C575" i="30"/>
  <c r="A576" i="30"/>
  <c r="C576" i="30" l="1"/>
  <c r="A577" i="30"/>
  <c r="E576" i="30"/>
  <c r="E577" i="30" l="1"/>
  <c r="C577" i="30"/>
  <c r="A578" i="30"/>
  <c r="C578" i="30" l="1"/>
  <c r="A579" i="30"/>
  <c r="E578" i="30"/>
  <c r="C579" i="30" l="1"/>
  <c r="A580" i="30"/>
  <c r="E579" i="30"/>
  <c r="A581" i="30" l="1"/>
  <c r="E580" i="30"/>
  <c r="C580" i="30"/>
  <c r="E581" i="30" l="1"/>
  <c r="C581" i="30"/>
  <c r="A582" i="30"/>
  <c r="E582" i="30" l="1"/>
  <c r="C582" i="30"/>
  <c r="A583" i="30"/>
  <c r="E583" i="30" l="1"/>
  <c r="C583" i="30"/>
  <c r="A584" i="30"/>
  <c r="C584" i="30" l="1"/>
  <c r="A585" i="30"/>
  <c r="E584" i="30"/>
  <c r="A586" i="30" l="1"/>
  <c r="C585" i="30"/>
  <c r="E585" i="30"/>
  <c r="A587" i="30" l="1"/>
  <c r="E586" i="30"/>
  <c r="C586" i="30"/>
  <c r="A588" i="30" l="1"/>
  <c r="E587" i="30"/>
  <c r="C587" i="30"/>
  <c r="E588" i="30" l="1"/>
  <c r="C588" i="30"/>
  <c r="A589" i="30"/>
  <c r="C589" i="30" l="1"/>
  <c r="E589" i="30"/>
  <c r="A590" i="30"/>
  <c r="E590" i="30" l="1"/>
  <c r="C590" i="30"/>
  <c r="A591" i="30"/>
  <c r="C591" i="30" l="1"/>
  <c r="A592" i="30"/>
  <c r="E591" i="30"/>
  <c r="C592" i="30" l="1"/>
  <c r="E592" i="30"/>
  <c r="A593" i="30"/>
  <c r="E593" i="30" l="1"/>
  <c r="C593" i="30"/>
  <c r="A594" i="30"/>
  <c r="E594" i="30" l="1"/>
  <c r="C594" i="30"/>
  <c r="A595" i="30"/>
  <c r="E595" i="30" l="1"/>
  <c r="C595" i="30"/>
  <c r="A596" i="30"/>
  <c r="C596" i="30" l="1"/>
  <c r="A597" i="30"/>
  <c r="E596" i="30"/>
  <c r="E597" i="30" l="1"/>
  <c r="C597" i="30"/>
  <c r="A598" i="30"/>
  <c r="E598" i="30" l="1"/>
  <c r="C598" i="30"/>
  <c r="A599" i="30"/>
  <c r="E599" i="30" l="1"/>
  <c r="C599" i="30"/>
  <c r="A600" i="30"/>
  <c r="A601" i="30" l="1"/>
  <c r="C600" i="30"/>
  <c r="E600" i="30"/>
  <c r="E601" i="30" l="1"/>
  <c r="C601" i="30"/>
  <c r="A602" i="30"/>
  <c r="A603" i="30" l="1"/>
  <c r="E602" i="30"/>
  <c r="C602" i="30"/>
  <c r="C603" i="30" l="1"/>
  <c r="A604" i="30"/>
  <c r="E603" i="30"/>
  <c r="C604" i="30" l="1"/>
  <c r="A605" i="30"/>
  <c r="E604" i="30"/>
  <c r="C605" i="30" l="1"/>
  <c r="A606" i="30"/>
  <c r="E605" i="30"/>
  <c r="E606" i="30" l="1"/>
  <c r="C606" i="30"/>
  <c r="A607" i="30"/>
  <c r="C607" i="30" l="1"/>
  <c r="A608" i="30"/>
  <c r="E607" i="30"/>
  <c r="E608" i="30" l="1"/>
  <c r="C608" i="30"/>
  <c r="A609" i="30"/>
  <c r="E609" i="30" l="1"/>
  <c r="C609" i="30"/>
  <c r="A610" i="30"/>
  <c r="A611" i="30" l="1"/>
  <c r="E610" i="30"/>
  <c r="C610" i="30"/>
  <c r="C611" i="30" l="1"/>
  <c r="A612" i="30"/>
  <c r="E611" i="30"/>
  <c r="C612" i="30" l="1"/>
  <c r="E612" i="30"/>
  <c r="A613" i="30"/>
  <c r="E613" i="30" l="1"/>
  <c r="A614" i="30"/>
  <c r="C613" i="30"/>
  <c r="C614" i="30" l="1"/>
  <c r="A615" i="30"/>
  <c r="E614" i="30"/>
  <c r="E615" i="30" l="1"/>
  <c r="C615" i="30"/>
  <c r="A616" i="30"/>
  <c r="A617" i="30" l="1"/>
  <c r="E616" i="30"/>
  <c r="C616" i="30"/>
  <c r="E617" i="30" l="1"/>
  <c r="C617" i="30"/>
  <c r="A618" i="30"/>
  <c r="A619" i="30" l="1"/>
  <c r="E618" i="30"/>
  <c r="C618" i="30"/>
  <c r="C619" i="30" l="1"/>
  <c r="E619" i="30"/>
  <c r="A620" i="30"/>
  <c r="C620" i="30" l="1"/>
  <c r="A621" i="30"/>
  <c r="E620" i="30"/>
  <c r="C621" i="30" l="1"/>
  <c r="E621" i="30"/>
  <c r="A622" i="30"/>
  <c r="C622" i="30" l="1"/>
  <c r="E622" i="30"/>
  <c r="A623" i="30"/>
  <c r="A624" i="30" l="1"/>
  <c r="C623" i="30"/>
  <c r="E623" i="30"/>
  <c r="C624" i="30" l="1"/>
  <c r="A625" i="30"/>
  <c r="E624" i="30"/>
  <c r="E625" i="30" l="1"/>
  <c r="C625" i="30"/>
  <c r="A626" i="30"/>
  <c r="A627" i="30" l="1"/>
  <c r="E626" i="30"/>
  <c r="C626" i="30"/>
  <c r="C627" i="30" l="1"/>
  <c r="A628" i="30"/>
  <c r="E627" i="30"/>
  <c r="E628" i="30" l="1"/>
  <c r="C628" i="30"/>
  <c r="A629" i="30"/>
  <c r="C629" i="30" l="1"/>
  <c r="A630" i="30"/>
  <c r="E629" i="30"/>
  <c r="A631" i="30" l="1"/>
  <c r="E630" i="30"/>
  <c r="C630" i="30"/>
  <c r="A632" i="30" l="1"/>
  <c r="E631" i="30"/>
  <c r="C631" i="30"/>
  <c r="E632" i="30" l="1"/>
  <c r="C632" i="30"/>
  <c r="A633" i="30"/>
  <c r="E633" i="30" l="1"/>
  <c r="C633" i="30"/>
  <c r="A634" i="30"/>
  <c r="A635" i="30" l="1"/>
  <c r="C634" i="30"/>
  <c r="E634" i="30"/>
  <c r="C635" i="30" l="1"/>
  <c r="A636" i="30"/>
  <c r="E635" i="30"/>
  <c r="C636" i="30" l="1"/>
  <c r="A637" i="30"/>
  <c r="E636" i="30"/>
  <c r="A638" i="30" l="1"/>
  <c r="E637" i="30"/>
  <c r="C637" i="30"/>
  <c r="E638" i="30" l="1"/>
  <c r="C638" i="30"/>
  <c r="A639" i="30"/>
  <c r="C639" i="30" l="1"/>
  <c r="A640" i="30"/>
  <c r="E639" i="30"/>
  <c r="C640" i="30" l="1"/>
  <c r="A641" i="30"/>
  <c r="E640" i="30"/>
  <c r="C641" i="30" l="1"/>
  <c r="A642" i="30"/>
  <c r="E641" i="30"/>
  <c r="E642" i="30" l="1"/>
  <c r="A643" i="30"/>
  <c r="C642" i="30"/>
  <c r="C643" i="30" l="1"/>
  <c r="A644" i="30"/>
  <c r="E643" i="30"/>
  <c r="C644" i="30" l="1"/>
  <c r="A645" i="30"/>
  <c r="E644" i="30"/>
  <c r="E645" i="30" l="1"/>
  <c r="C645" i="30"/>
  <c r="A646" i="30"/>
  <c r="C646" i="30" l="1"/>
  <c r="A647" i="30"/>
  <c r="E646" i="30"/>
  <c r="E647" i="30" l="1"/>
  <c r="C647" i="30"/>
  <c r="A648" i="30"/>
  <c r="E648" i="30" l="1"/>
  <c r="C648" i="30"/>
  <c r="A649" i="30"/>
  <c r="A650" i="30" l="1"/>
  <c r="E649" i="30"/>
  <c r="C649" i="30"/>
  <c r="E650" i="30" l="1"/>
  <c r="C650" i="30"/>
  <c r="A651" i="30"/>
  <c r="E651" i="30" l="1"/>
  <c r="A652" i="30"/>
  <c r="C651" i="30"/>
  <c r="E652" i="30" l="1"/>
  <c r="C652" i="30"/>
  <c r="A653" i="30"/>
  <c r="C653" i="30" l="1"/>
  <c r="A654" i="30"/>
  <c r="E653" i="30"/>
  <c r="C654" i="30" l="1"/>
  <c r="A655" i="30"/>
  <c r="E654" i="30"/>
  <c r="E655" i="30" l="1"/>
  <c r="A656" i="30"/>
  <c r="C655" i="30"/>
  <c r="E656" i="30" l="1"/>
  <c r="C656" i="30"/>
  <c r="A657" i="30"/>
  <c r="E657" i="30" l="1"/>
  <c r="C657" i="30"/>
  <c r="A658" i="30"/>
  <c r="A659" i="30" l="1"/>
  <c r="E658" i="30"/>
  <c r="C658" i="30"/>
  <c r="A660" i="30" l="1"/>
  <c r="E659" i="30"/>
  <c r="C659" i="30"/>
  <c r="C660" i="30" l="1"/>
  <c r="A661" i="30"/>
  <c r="E660" i="30"/>
  <c r="A662" i="30" l="1"/>
  <c r="E661" i="30"/>
  <c r="C661" i="30"/>
  <c r="A663" i="30" l="1"/>
  <c r="E662" i="30"/>
  <c r="C662" i="30"/>
  <c r="A664" i="30" l="1"/>
  <c r="E663" i="30"/>
  <c r="C663" i="30"/>
  <c r="C664" i="30" l="1"/>
  <c r="A665" i="30"/>
  <c r="E664" i="30"/>
  <c r="E665" i="30" l="1"/>
  <c r="A666" i="30"/>
  <c r="C665" i="30"/>
  <c r="C666" i="30" l="1"/>
  <c r="A667" i="30"/>
  <c r="E666" i="30"/>
  <c r="C667" i="30" l="1"/>
  <c r="A668" i="30"/>
  <c r="E667" i="30"/>
  <c r="C668" i="30" l="1"/>
  <c r="E668" i="30"/>
  <c r="A669" i="30"/>
  <c r="E669" i="30" l="1"/>
  <c r="A670" i="30"/>
  <c r="C669" i="30"/>
  <c r="A671" i="30" l="1"/>
  <c r="E670" i="30"/>
  <c r="C670" i="30"/>
  <c r="E671" i="30" l="1"/>
  <c r="C671" i="30"/>
  <c r="A672" i="30"/>
  <c r="A673" i="30" l="1"/>
  <c r="E672" i="30"/>
  <c r="C672" i="30"/>
  <c r="A674" i="30" l="1"/>
  <c r="E673" i="30"/>
  <c r="C673" i="30"/>
  <c r="A675" i="30" l="1"/>
  <c r="C674" i="30"/>
  <c r="E674" i="30"/>
  <c r="A676" i="30" l="1"/>
  <c r="E675" i="30"/>
  <c r="C675" i="30"/>
  <c r="C676" i="30" l="1"/>
  <c r="A677" i="30"/>
  <c r="E676" i="30"/>
  <c r="A678" i="30" l="1"/>
  <c r="E677" i="30"/>
  <c r="C677" i="30"/>
  <c r="C678" i="30" l="1"/>
  <c r="E678" i="30"/>
  <c r="A679" i="30"/>
  <c r="A680" i="30" l="1"/>
  <c r="E679" i="30"/>
  <c r="C679" i="30"/>
  <c r="A681" i="30" l="1"/>
  <c r="E680" i="30"/>
  <c r="C680" i="30"/>
  <c r="A682" i="30" l="1"/>
  <c r="E681" i="30"/>
  <c r="C681" i="30"/>
  <c r="C682" i="30" l="1"/>
  <c r="A683" i="30"/>
  <c r="E682" i="30"/>
  <c r="A684" i="30" l="1"/>
  <c r="E683" i="30"/>
  <c r="C683" i="30"/>
  <c r="A685" i="30" l="1"/>
  <c r="E684" i="30"/>
  <c r="C684" i="30"/>
  <c r="C685" i="30" l="1"/>
  <c r="E685" i="30"/>
  <c r="A686" i="30"/>
  <c r="C686" i="30" l="1"/>
  <c r="A687" i="30"/>
  <c r="E686" i="30"/>
  <c r="A688" i="30" l="1"/>
  <c r="E687" i="30"/>
  <c r="C687" i="30"/>
  <c r="A689" i="30" l="1"/>
  <c r="E688" i="30"/>
  <c r="C688" i="30"/>
  <c r="A690" i="30" l="1"/>
  <c r="E689" i="30"/>
  <c r="C689" i="30"/>
  <c r="E690" i="30" l="1"/>
  <c r="C690" i="30"/>
  <c r="A691" i="30"/>
  <c r="A692" i="30" l="1"/>
  <c r="E691" i="30"/>
  <c r="C691" i="30"/>
  <c r="C692" i="30" l="1"/>
  <c r="A693" i="30"/>
  <c r="E692" i="30"/>
  <c r="E693" i="30" l="1"/>
  <c r="C693" i="30"/>
  <c r="A694" i="30"/>
  <c r="E694" i="30" l="1"/>
  <c r="C694" i="30"/>
  <c r="A695" i="30"/>
  <c r="E695" i="30" l="1"/>
  <c r="C695" i="30"/>
  <c r="A696" i="30"/>
  <c r="E696" i="30" l="1"/>
  <c r="C696" i="30"/>
  <c r="A697" i="30"/>
  <c r="E697" i="30" l="1"/>
  <c r="C697" i="30"/>
  <c r="A698" i="30"/>
  <c r="E698" i="30" l="1"/>
  <c r="C698" i="30"/>
  <c r="A699" i="30"/>
  <c r="C699" i="30" l="1"/>
  <c r="E699" i="30"/>
  <c r="A700" i="30"/>
  <c r="A701" i="30" l="1"/>
  <c r="E700" i="30"/>
  <c r="C700" i="30"/>
  <c r="A702" i="30" l="1"/>
  <c r="E701" i="30"/>
  <c r="C701" i="30"/>
  <c r="C702" i="30" l="1"/>
  <c r="A703" i="30"/>
  <c r="E702" i="30"/>
  <c r="E703" i="30" l="1"/>
  <c r="C703" i="30"/>
  <c r="A704" i="30"/>
  <c r="C704" i="30" l="1"/>
  <c r="A705" i="30"/>
  <c r="E704" i="30"/>
  <c r="E705" i="30" l="1"/>
  <c r="C705" i="30"/>
  <c r="A706" i="30"/>
  <c r="C706" i="30" l="1"/>
  <c r="A707" i="30"/>
  <c r="E706" i="30"/>
  <c r="A708" i="30" l="1"/>
  <c r="E707" i="30"/>
  <c r="C707" i="30"/>
  <c r="C708" i="30" l="1"/>
  <c r="A709" i="30"/>
  <c r="E708" i="30"/>
  <c r="C709" i="30" l="1"/>
  <c r="A710" i="30"/>
  <c r="E709" i="30"/>
  <c r="E710" i="30" l="1"/>
  <c r="C710" i="30"/>
  <c r="A711" i="30"/>
  <c r="A712" i="30" l="1"/>
  <c r="E711" i="30"/>
  <c r="C711" i="30"/>
  <c r="E712" i="30" l="1"/>
  <c r="C712" i="30"/>
  <c r="A713" i="30"/>
  <c r="E713" i="30" l="1"/>
  <c r="A714" i="30"/>
  <c r="C713" i="30"/>
  <c r="A715" i="30" l="1"/>
  <c r="E714" i="30"/>
  <c r="C714" i="30"/>
  <c r="A717" i="30"/>
  <c r="E717" i="30" l="1"/>
  <c r="C717" i="30"/>
  <c r="A718" i="30"/>
  <c r="E715" i="30"/>
  <c r="C715" i="30"/>
  <c r="A716" i="30"/>
  <c r="A719" i="30" l="1"/>
  <c r="E718" i="30"/>
  <c r="C718" i="30"/>
  <c r="C716" i="30"/>
  <c r="E716" i="30"/>
  <c r="E719" i="30" l="1"/>
  <c r="A720" i="30"/>
  <c r="C719" i="30"/>
  <c r="E720" i="30" l="1"/>
  <c r="C720" i="30"/>
  <c r="A721" i="30"/>
  <c r="E721" i="30" l="1"/>
  <c r="C721" i="30"/>
  <c r="A722" i="30"/>
  <c r="E722" i="30" l="1"/>
  <c r="C722" i="30"/>
  <c r="A723" i="30"/>
  <c r="A724" i="30" l="1"/>
  <c r="E723" i="30"/>
  <c r="C723" i="30"/>
  <c r="E724" i="30" l="1"/>
  <c r="C724" i="30"/>
  <c r="A725" i="30"/>
  <c r="E725" i="30" l="1"/>
  <c r="C725" i="30"/>
  <c r="A726" i="30"/>
  <c r="E726" i="30" l="1"/>
  <c r="A727" i="30"/>
  <c r="C726" i="30"/>
  <c r="C727" i="30" l="1"/>
  <c r="A728" i="30"/>
  <c r="E727" i="30"/>
  <c r="E728" i="30" l="1"/>
  <c r="C728" i="30"/>
  <c r="A729" i="30"/>
  <c r="C729" i="30" l="1"/>
  <c r="A730" i="30"/>
  <c r="E729" i="30"/>
  <c r="A731" i="30" l="1"/>
  <c r="E730" i="30"/>
  <c r="C730" i="30"/>
  <c r="E731" i="30" l="1"/>
  <c r="C731" i="30"/>
  <c r="A732" i="30"/>
  <c r="C732" i="30" l="1"/>
  <c r="A733" i="30"/>
  <c r="E732" i="30"/>
  <c r="E733" i="30" l="1"/>
  <c r="C733" i="30"/>
  <c r="A734" i="30"/>
  <c r="A735" i="30" l="1"/>
  <c r="C734" i="30"/>
  <c r="E734" i="30"/>
  <c r="A736" i="30" l="1"/>
  <c r="C735" i="30"/>
  <c r="E735" i="30"/>
  <c r="A737" i="30" l="1"/>
  <c r="C736" i="30"/>
  <c r="E736" i="30"/>
  <c r="A738" i="30" l="1"/>
  <c r="E737" i="30"/>
  <c r="C737" i="30"/>
  <c r="E738" i="30" l="1"/>
  <c r="C738" i="30"/>
  <c r="A739" i="30"/>
  <c r="A740" i="30" l="1"/>
  <c r="E739" i="30"/>
  <c r="C739" i="30"/>
  <c r="A741" i="30" l="1"/>
  <c r="E740" i="30"/>
  <c r="C740" i="30"/>
  <c r="A742" i="30" l="1"/>
  <c r="C741" i="30"/>
  <c r="E741" i="30"/>
  <c r="E742" i="30" l="1"/>
  <c r="C742" i="30"/>
  <c r="A743" i="30"/>
  <c r="A744" i="30" l="1"/>
  <c r="E743" i="30"/>
  <c r="C743" i="30"/>
  <c r="A745" i="30" l="1"/>
  <c r="E744" i="30"/>
  <c r="C744" i="30"/>
  <c r="E745" i="30" l="1"/>
  <c r="C745" i="30"/>
  <c r="A746" i="30"/>
  <c r="E746" i="30" l="1"/>
  <c r="C746" i="30"/>
  <c r="A747" i="30"/>
  <c r="C747" i="30" l="1"/>
  <c r="A748" i="30"/>
  <c r="E747" i="30"/>
  <c r="E748" i="30" l="1"/>
  <c r="C748" i="30"/>
  <c r="A749" i="30"/>
  <c r="C749" i="30" l="1"/>
  <c r="E749" i="30"/>
  <c r="A750" i="30"/>
  <c r="A751" i="30" l="1"/>
  <c r="E750" i="30"/>
  <c r="C750" i="30"/>
  <c r="A752" i="30" l="1"/>
  <c r="E751" i="30"/>
  <c r="C751" i="30"/>
  <c r="E752" i="30" l="1"/>
  <c r="C752" i="30"/>
  <c r="A753" i="30"/>
  <c r="E753" i="30" l="1"/>
  <c r="A754" i="30"/>
  <c r="C753" i="30"/>
  <c r="C754" i="30" l="1"/>
  <c r="A755" i="30"/>
  <c r="E754" i="30"/>
  <c r="C755" i="30" l="1"/>
  <c r="A756" i="30"/>
  <c r="E755" i="30"/>
  <c r="A757" i="30" l="1"/>
  <c r="E756" i="30"/>
  <c r="C756" i="30"/>
  <c r="C757" i="30" l="1"/>
  <c r="E757" i="30"/>
  <c r="A758" i="30"/>
  <c r="C758" i="30" l="1"/>
  <c r="A759" i="30"/>
  <c r="E758" i="30"/>
  <c r="A760" i="30" l="1"/>
  <c r="C759" i="30"/>
  <c r="E759" i="30"/>
  <c r="C760" i="30" l="1"/>
  <c r="E760" i="30"/>
  <c r="A761" i="30"/>
  <c r="E761" i="30" l="1"/>
  <c r="A762" i="30"/>
  <c r="C761" i="30"/>
  <c r="E762" i="30" l="1"/>
  <c r="C762" i="30"/>
  <c r="A763" i="30"/>
  <c r="C763" i="30" l="1"/>
  <c r="E763" i="30"/>
  <c r="A764" i="30"/>
  <c r="E764" i="30" l="1"/>
  <c r="A765" i="30"/>
  <c r="C764" i="30"/>
  <c r="C765" i="30" l="1"/>
  <c r="A766" i="30"/>
  <c r="E765" i="30"/>
  <c r="E766" i="30" l="1"/>
  <c r="C766" i="30"/>
  <c r="A767" i="30"/>
  <c r="A768" i="30" l="1"/>
  <c r="C767" i="30"/>
  <c r="E767" i="30"/>
  <c r="E768" i="30" l="1"/>
  <c r="A769" i="30"/>
  <c r="C768" i="30"/>
  <c r="E769" i="30" l="1"/>
  <c r="C769" i="30"/>
  <c r="A770" i="30"/>
  <c r="C770" i="30" l="1"/>
  <c r="A771" i="30"/>
  <c r="E770" i="30"/>
  <c r="E771" i="30" l="1"/>
  <c r="C771" i="30"/>
  <c r="A772" i="30"/>
  <c r="C772" i="30" l="1"/>
  <c r="E772" i="30"/>
  <c r="F113" i="65" l="1"/>
  <c r="F141" i="65"/>
  <c r="F149" i="65"/>
  <c r="F42" i="65"/>
  <c r="F140" i="65"/>
  <c r="F115" i="65"/>
  <c r="F105" i="65"/>
  <c r="F46" i="65"/>
  <c r="F176" i="65"/>
  <c r="F53" i="65"/>
  <c r="F162" i="65"/>
  <c r="F55" i="65"/>
  <c r="F40" i="65"/>
  <c r="F21" i="65"/>
  <c r="F75" i="65"/>
  <c r="F110" i="65"/>
  <c r="F12" i="65"/>
  <c r="F48" i="65"/>
  <c r="F136" i="65"/>
  <c r="F114" i="65"/>
  <c r="H114" i="65" s="1"/>
  <c r="F182" i="65"/>
  <c r="F100" i="65"/>
  <c r="F38" i="65"/>
  <c r="F14" i="65"/>
  <c r="F39" i="65"/>
  <c r="F163" i="65"/>
  <c r="F104" i="65"/>
  <c r="F69" i="65"/>
  <c r="H69" i="65" s="1"/>
  <c r="F137" i="65"/>
  <c r="F138" i="65"/>
  <c r="F20" i="65"/>
  <c r="F164" i="65"/>
  <c r="H164" i="65" s="1"/>
  <c r="F68" i="65"/>
  <c r="F15" i="65"/>
  <c r="F66" i="65"/>
  <c r="F134" i="65"/>
  <c r="H134" i="65" s="1"/>
  <c r="F54" i="65"/>
  <c r="F43" i="65"/>
  <c r="F36" i="65"/>
  <c r="F22" i="65"/>
  <c r="F71" i="65"/>
  <c r="F146" i="65"/>
  <c r="F108" i="65"/>
  <c r="F101" i="65"/>
  <c r="F74" i="65"/>
  <c r="F116" i="65"/>
  <c r="F35" i="65"/>
  <c r="F133" i="65"/>
  <c r="H133" i="65" s="1"/>
  <c r="F143" i="65"/>
  <c r="F79" i="65"/>
  <c r="F177" i="65"/>
  <c r="F179" i="65"/>
  <c r="H179" i="65" s="1"/>
  <c r="F49" i="65"/>
  <c r="F181" i="65"/>
  <c r="F147" i="65"/>
  <c r="F11" i="65"/>
  <c r="F178" i="65"/>
  <c r="F150" i="65"/>
  <c r="F78" i="65"/>
  <c r="F107" i="65"/>
  <c r="H107" i="65" s="1"/>
  <c r="F186" i="65"/>
  <c r="F165" i="65"/>
  <c r="F185" i="65"/>
  <c r="F70" i="65"/>
  <c r="H70" i="65" s="1"/>
  <c r="F10" i="65"/>
  <c r="F34" i="65"/>
  <c r="F103" i="65"/>
  <c r="F76" i="65"/>
  <c r="H76" i="65" s="1"/>
  <c r="F144" i="65"/>
  <c r="F132" i="65"/>
  <c r="F17" i="65"/>
  <c r="F45" i="65"/>
  <c r="H45" i="65" s="1"/>
  <c r="F77" i="65"/>
  <c r="H77" i="65" s="1"/>
  <c r="F67" i="65"/>
  <c r="G866" i="28"/>
  <c r="H867" i="28"/>
  <c r="H861" i="28"/>
  <c r="H860" i="28"/>
  <c r="G856" i="28"/>
  <c r="H857" i="28"/>
  <c r="H859" i="28"/>
  <c r="G858" i="28"/>
  <c r="H862" i="28"/>
  <c r="H863" i="28"/>
  <c r="G865" i="28"/>
  <c r="G864" i="28"/>
  <c r="G860" i="28"/>
  <c r="G861" i="28"/>
  <c r="G863" i="28"/>
  <c r="G859" i="28"/>
  <c r="H864" i="28"/>
  <c r="H865" i="28"/>
  <c r="G867" i="28"/>
  <c r="H866" i="28"/>
  <c r="G857" i="28"/>
  <c r="H856" i="28"/>
  <c r="G862" i="28"/>
  <c r="H858" i="28"/>
  <c r="H149" i="65"/>
  <c r="H108" i="65"/>
  <c r="H143" i="65"/>
  <c r="H115" i="65"/>
  <c r="H113" i="65"/>
  <c r="H185" i="65"/>
  <c r="H46" i="65"/>
  <c r="H132" i="65"/>
  <c r="H79" i="65"/>
  <c r="H178" i="65"/>
  <c r="H71" i="65"/>
  <c r="H110" i="65"/>
  <c r="H104" i="65"/>
  <c r="H116" i="65"/>
  <c r="H150" i="65"/>
  <c r="H105" i="65"/>
  <c r="H74" i="65"/>
  <c r="H177" i="65"/>
  <c r="H162" i="65"/>
  <c r="H78" i="65"/>
  <c r="H49" i="65"/>
  <c r="H75" i="65"/>
  <c r="H182" i="65"/>
  <c r="H141" i="65"/>
  <c r="H137" i="65"/>
  <c r="H42" i="65"/>
  <c r="H163" i="65"/>
  <c r="H165" i="65"/>
  <c r="H146" i="65"/>
  <c r="H103" i="65"/>
  <c r="H186" i="65"/>
  <c r="H147" i="65"/>
  <c r="H43" i="65"/>
  <c r="H48" i="65"/>
  <c r="H181" i="65"/>
  <c r="H68" i="65"/>
  <c r="H140" i="65"/>
  <c r="H67" i="65"/>
  <c r="H138" i="65"/>
  <c r="H176" i="65"/>
  <c r="H144" i="65"/>
  <c r="H136" i="65"/>
  <c r="D879" i="28" l="1"/>
  <c r="C879" i="28"/>
  <c r="D878" i="28" l="1"/>
  <c r="C878" i="28"/>
  <c r="D877" i="28"/>
  <c r="C877" i="28"/>
  <c r="D876" i="28" l="1"/>
  <c r="C876" i="28"/>
  <c r="D875" i="28" l="1"/>
  <c r="C875" i="28"/>
  <c r="D874" i="28" l="1"/>
  <c r="C874" i="28"/>
  <c r="D873" i="28" l="1"/>
  <c r="C873" i="28"/>
  <c r="D872" i="28" l="1"/>
  <c r="C872" i="28"/>
  <c r="D871" i="28" l="1"/>
  <c r="C871" i="28"/>
  <c r="D870" i="28" l="1"/>
  <c r="C870" i="28"/>
  <c r="D869" i="28" l="1"/>
  <c r="C869" i="28"/>
  <c r="D868" i="28" l="1"/>
  <c r="C868" i="28"/>
  <c r="D855" i="28" l="1"/>
  <c r="C855" i="28"/>
  <c r="D854" i="28" l="1"/>
  <c r="C854" i="28"/>
  <c r="D853" i="28" l="1"/>
  <c r="C853" i="28"/>
  <c r="D852" i="28" l="1"/>
  <c r="C852" i="28"/>
  <c r="D851" i="28" l="1"/>
  <c r="C851" i="28"/>
  <c r="D850" i="28" l="1"/>
  <c r="C850" i="28"/>
  <c r="D849" i="28" l="1"/>
  <c r="C849" i="28"/>
  <c r="D848" i="28"/>
  <c r="C848" i="28"/>
  <c r="D847" i="28" l="1"/>
  <c r="C847" i="28"/>
  <c r="D846" i="28" l="1"/>
  <c r="C846" i="28"/>
  <c r="D845" i="28" l="1"/>
  <c r="C845" i="28"/>
  <c r="D844" i="28"/>
  <c r="C844" i="28"/>
  <c r="D843" i="28" l="1"/>
  <c r="C843" i="28"/>
  <c r="D842" i="28" l="1"/>
  <c r="C842" i="28"/>
  <c r="D841" i="28" l="1"/>
  <c r="C841" i="28"/>
  <c r="D840" i="28" l="1"/>
  <c r="C840" i="28"/>
  <c r="D839" i="28" l="1"/>
  <c r="C839" i="28"/>
  <c r="D838" i="28" l="1"/>
  <c r="C838" i="28"/>
  <c r="D837" i="28" l="1"/>
  <c r="C837" i="28"/>
  <c r="D836" i="28"/>
  <c r="C836" i="28"/>
  <c r="D835" i="28" l="1"/>
  <c r="C835" i="28"/>
  <c r="D834" i="28"/>
  <c r="C834" i="28"/>
  <c r="D833" i="28" l="1"/>
  <c r="C833" i="28"/>
  <c r="D832" i="28" l="1"/>
  <c r="C832" i="28"/>
  <c r="D831" i="28" l="1"/>
  <c r="C831" i="28"/>
  <c r="D830" i="28" l="1"/>
  <c r="C830" i="28"/>
  <c r="D829" i="28" l="1"/>
  <c r="C829" i="28"/>
  <c r="D828" i="28" l="1"/>
  <c r="C828" i="28"/>
  <c r="D827" i="28" l="1"/>
  <c r="C827" i="28"/>
  <c r="D826" i="28" l="1"/>
  <c r="C826" i="28"/>
  <c r="D825" i="28"/>
  <c r="C825" i="28"/>
  <c r="D824" i="28" l="1"/>
  <c r="C824" i="28"/>
  <c r="D823" i="28"/>
  <c r="C823" i="28"/>
  <c r="D822" i="28" l="1"/>
  <c r="C822" i="28"/>
  <c r="D821" i="28" l="1"/>
  <c r="C821" i="28"/>
  <c r="D820" i="28"/>
  <c r="C820" i="28"/>
  <c r="D819" i="28" l="1"/>
  <c r="C819" i="28"/>
  <c r="D818" i="28" l="1"/>
  <c r="C818" i="28"/>
  <c r="D817" i="28" l="1"/>
  <c r="C817" i="28"/>
  <c r="D816" i="28" l="1"/>
  <c r="C816" i="28"/>
  <c r="D815" i="28"/>
  <c r="C815" i="28"/>
  <c r="D814" i="28" l="1"/>
  <c r="C814" i="28"/>
  <c r="D813" i="28" l="1"/>
  <c r="C813" i="28"/>
  <c r="D812" i="28" l="1"/>
  <c r="C812" i="28"/>
  <c r="D811" i="28"/>
  <c r="C811" i="28"/>
  <c r="D810" i="28" l="1"/>
  <c r="C810" i="28"/>
  <c r="D809" i="28" l="1"/>
  <c r="C809" i="28"/>
  <c r="D808" i="28" l="1"/>
  <c r="C808" i="28"/>
  <c r="D807" i="28"/>
  <c r="C807" i="28"/>
  <c r="D806" i="28" l="1"/>
  <c r="C806" i="28"/>
  <c r="D805" i="28" l="1"/>
  <c r="C805" i="28"/>
  <c r="D804" i="28"/>
  <c r="C804" i="28"/>
  <c r="D803" i="28" l="1"/>
  <c r="C803" i="28"/>
  <c r="D802" i="28"/>
  <c r="C802" i="28"/>
  <c r="D801" i="28" l="1"/>
  <c r="C801" i="28"/>
  <c r="D800" i="28" l="1"/>
  <c r="C800" i="28"/>
  <c r="D799" i="28"/>
  <c r="C799" i="28"/>
  <c r="D798" i="28" l="1"/>
  <c r="C798" i="28"/>
  <c r="D797" i="28" l="1"/>
  <c r="C797" i="28"/>
  <c r="D796" i="28"/>
  <c r="C796" i="28"/>
  <c r="D795" i="28" l="1"/>
  <c r="C795" i="28"/>
  <c r="D794" i="28" l="1"/>
  <c r="C794" i="28"/>
  <c r="D793" i="28" l="1"/>
  <c r="C793" i="28"/>
  <c r="D792" i="28" l="1"/>
  <c r="C792" i="28"/>
  <c r="D791" i="28" l="1"/>
  <c r="C791" i="28"/>
  <c r="D790" i="28" l="1"/>
  <c r="C790" i="28"/>
  <c r="D789" i="28" l="1"/>
  <c r="C789" i="28"/>
  <c r="D788" i="28" l="1"/>
  <c r="C788" i="28"/>
  <c r="D787" i="28"/>
  <c r="C787" i="28"/>
  <c r="D786" i="28"/>
  <c r="C786" i="28"/>
  <c r="D785" i="28" l="1"/>
  <c r="C785" i="28"/>
  <c r="D784" i="28"/>
  <c r="C784" i="28"/>
  <c r="D783" i="28" l="1"/>
  <c r="C783" i="28"/>
  <c r="D782" i="28" l="1"/>
  <c r="C782" i="28"/>
  <c r="D781" i="28" l="1"/>
  <c r="C781" i="28"/>
  <c r="D780" i="28"/>
  <c r="C780" i="28"/>
  <c r="D779" i="28" l="1"/>
  <c r="C779" i="28"/>
  <c r="D778" i="28" l="1"/>
  <c r="C778" i="28"/>
  <c r="D777" i="28"/>
  <c r="C777" i="28"/>
  <c r="D776" i="28" l="1"/>
  <c r="C776" i="28"/>
  <c r="D775" i="28" l="1"/>
  <c r="C775" i="28"/>
  <c r="D774" i="28" l="1"/>
  <c r="C774" i="28"/>
  <c r="D773" i="28" l="1"/>
  <c r="C773" i="28"/>
  <c r="D772" i="28" l="1"/>
  <c r="C772" i="28"/>
  <c r="D771" i="28" l="1"/>
  <c r="C771" i="28"/>
  <c r="D770" i="28" l="1"/>
  <c r="C770" i="28"/>
  <c r="D769" i="28" l="1"/>
  <c r="C769" i="28"/>
  <c r="D768" i="28" l="1"/>
  <c r="C768" i="28"/>
  <c r="D767" i="28" l="1"/>
  <c r="C767" i="28"/>
  <c r="D766" i="28" l="1"/>
  <c r="C766" i="28"/>
  <c r="D765" i="28" l="1"/>
  <c r="C765" i="28"/>
  <c r="D764" i="28" l="1"/>
  <c r="C764" i="28"/>
  <c r="D763" i="28" l="1"/>
  <c r="C763" i="28"/>
  <c r="D762" i="28" l="1"/>
  <c r="C762" i="28"/>
  <c r="D761" i="28" l="1"/>
  <c r="C761" i="28"/>
  <c r="D760" i="28" l="1"/>
  <c r="C760" i="28"/>
  <c r="D759" i="28" l="1"/>
  <c r="C759" i="28"/>
  <c r="D758" i="28" l="1"/>
  <c r="C758" i="28"/>
  <c r="D757" i="28" l="1"/>
  <c r="C757" i="28"/>
  <c r="D756" i="28" l="1"/>
  <c r="C756" i="28"/>
  <c r="D755" i="28" l="1"/>
  <c r="C755" i="28"/>
  <c r="D754" i="28" l="1"/>
  <c r="C754" i="28"/>
  <c r="D753" i="28" l="1"/>
  <c r="C753" i="28"/>
  <c r="D752" i="28" l="1"/>
  <c r="C752" i="28"/>
  <c r="D751" i="28" l="1"/>
  <c r="C751" i="28"/>
  <c r="D750" i="28" l="1"/>
  <c r="C750" i="28"/>
  <c r="D749" i="28" l="1"/>
  <c r="C749" i="28"/>
  <c r="D748" i="28" l="1"/>
  <c r="C748" i="28"/>
  <c r="D747" i="28" l="1"/>
  <c r="C747" i="28"/>
  <c r="D746" i="28" l="1"/>
  <c r="C746" i="28"/>
  <c r="D745" i="28" l="1"/>
  <c r="C745" i="28"/>
  <c r="D744" i="28" l="1"/>
  <c r="C744" i="28"/>
  <c r="D743" i="28" l="1"/>
  <c r="C743" i="28"/>
  <c r="D742" i="28" l="1"/>
  <c r="C742" i="28"/>
  <c r="D741" i="28" l="1"/>
  <c r="C741" i="28"/>
  <c r="D740" i="28" l="1"/>
  <c r="C740" i="28"/>
  <c r="D739" i="28" l="1"/>
  <c r="C739" i="28"/>
  <c r="D738" i="28" l="1"/>
  <c r="C738" i="28"/>
  <c r="D737" i="28" l="1"/>
  <c r="C737" i="28"/>
  <c r="D736" i="28" l="1"/>
  <c r="C736" i="28"/>
  <c r="D735" i="28" l="1"/>
  <c r="C735" i="28"/>
  <c r="D734" i="28" l="1"/>
  <c r="C734" i="28"/>
  <c r="D733" i="28" l="1"/>
  <c r="C733" i="28"/>
  <c r="D732" i="28" l="1"/>
  <c r="C732" i="28"/>
  <c r="D731" i="28" l="1"/>
  <c r="C731" i="28"/>
  <c r="D730" i="28" l="1"/>
  <c r="C730" i="28"/>
  <c r="D729" i="28" l="1"/>
  <c r="C729" i="28"/>
  <c r="D728" i="28" l="1"/>
  <c r="C728" i="28"/>
  <c r="D727" i="28" l="1"/>
  <c r="C727" i="28"/>
  <c r="D726" i="28" l="1"/>
  <c r="C726" i="28"/>
  <c r="D725" i="28" l="1"/>
  <c r="C725" i="28"/>
  <c r="D724" i="28" l="1"/>
  <c r="C724" i="28"/>
  <c r="D723" i="28" l="1"/>
  <c r="C723" i="28"/>
  <c r="D722" i="28" l="1"/>
  <c r="C722" i="28"/>
  <c r="D721" i="28" l="1"/>
  <c r="C721" i="28"/>
  <c r="D720" i="28" l="1"/>
  <c r="C720" i="28"/>
  <c r="D719" i="28" l="1"/>
  <c r="C719" i="28"/>
  <c r="D718" i="28" l="1"/>
  <c r="C718" i="28"/>
  <c r="D717" i="28" l="1"/>
  <c r="C717" i="28"/>
  <c r="D716" i="28" l="1"/>
  <c r="C716" i="28"/>
  <c r="D715" i="28" l="1"/>
  <c r="C715" i="28"/>
  <c r="D714" i="28" l="1"/>
  <c r="C714" i="28"/>
  <c r="D713" i="28"/>
  <c r="C713" i="28"/>
  <c r="D712" i="28"/>
  <c r="C712" i="28"/>
  <c r="D711" i="28" l="1"/>
  <c r="C711" i="28"/>
  <c r="D710" i="28" l="1"/>
  <c r="C710" i="28"/>
  <c r="D709" i="28" l="1"/>
  <c r="C709" i="28"/>
  <c r="D708" i="28"/>
  <c r="C708" i="28"/>
  <c r="D707" i="28"/>
  <c r="C707" i="28"/>
  <c r="D706" i="28"/>
  <c r="C706" i="28"/>
  <c r="D705" i="28" l="1"/>
  <c r="C705" i="28"/>
  <c r="D704" i="28"/>
  <c r="C704" i="28"/>
  <c r="D703" i="28" l="1"/>
  <c r="C703" i="28"/>
  <c r="D702" i="28"/>
  <c r="C702" i="28"/>
  <c r="D701" i="28"/>
  <c r="C701" i="28"/>
  <c r="D700" i="28" l="1"/>
  <c r="C700" i="28"/>
  <c r="D699" i="28" l="1"/>
  <c r="C699" i="28"/>
  <c r="D698" i="28" l="1"/>
  <c r="C698" i="28"/>
  <c r="D697" i="28"/>
  <c r="C697" i="28"/>
  <c r="D696" i="28" l="1"/>
  <c r="C696" i="28"/>
  <c r="D695" i="28"/>
  <c r="C695" i="28"/>
  <c r="D694" i="28"/>
  <c r="C694" i="28"/>
  <c r="D693" i="28" l="1"/>
  <c r="C693" i="28"/>
  <c r="D692" i="28"/>
  <c r="C692" i="28"/>
  <c r="D691" i="28" l="1"/>
  <c r="C691" i="28"/>
  <c r="D690" i="28"/>
  <c r="C690" i="28"/>
  <c r="D689" i="28"/>
  <c r="C689" i="28"/>
  <c r="D688" i="28" l="1"/>
  <c r="C688" i="28"/>
  <c r="D687" i="28"/>
  <c r="C687" i="28"/>
  <c r="D686" i="28" l="1"/>
  <c r="C686" i="28"/>
  <c r="D685" i="28"/>
  <c r="C685" i="28"/>
  <c r="D684" i="28"/>
  <c r="C684" i="28"/>
  <c r="D683" i="28" l="1"/>
  <c r="C683" i="28"/>
  <c r="D682" i="28"/>
  <c r="C682" i="28"/>
  <c r="D681" i="28"/>
  <c r="C681" i="28"/>
  <c r="D680" i="28"/>
  <c r="C680" i="28"/>
  <c r="D679" i="28"/>
  <c r="C679" i="28"/>
  <c r="D678" i="28"/>
  <c r="C678" i="28"/>
  <c r="D677" i="28"/>
  <c r="C677" i="28"/>
  <c r="D676" i="28"/>
  <c r="C676" i="28"/>
  <c r="D675" i="28"/>
  <c r="C675" i="28"/>
  <c r="D674" i="28" l="1"/>
  <c r="C674" i="28"/>
  <c r="D673" i="28" l="1"/>
  <c r="C673" i="28"/>
  <c r="D672" i="28" l="1"/>
  <c r="C672" i="28"/>
  <c r="D671" i="28" l="1"/>
  <c r="C671" i="28"/>
  <c r="D670" i="28" l="1"/>
  <c r="C670" i="28"/>
  <c r="D669" i="28" l="1"/>
  <c r="C669" i="28"/>
  <c r="D668" i="28" l="1"/>
  <c r="C668" i="28"/>
  <c r="D667" i="28" l="1"/>
  <c r="C667" i="28"/>
  <c r="D666" i="28" l="1"/>
  <c r="C666" i="28"/>
  <c r="D665" i="28" l="1"/>
  <c r="C665" i="28"/>
  <c r="D664" i="28" l="1"/>
  <c r="C664" i="28"/>
  <c r="D663" i="28" l="1"/>
  <c r="C663" i="28"/>
  <c r="D662" i="28" l="1"/>
  <c r="C662" i="28"/>
  <c r="D661" i="28" l="1"/>
  <c r="C661" i="28"/>
  <c r="D660" i="28" l="1"/>
  <c r="C660" i="28"/>
  <c r="D659" i="28" l="1"/>
  <c r="C659" i="28"/>
  <c r="D658" i="28" l="1"/>
  <c r="C658" i="28"/>
  <c r="D657" i="28" l="1"/>
  <c r="C657" i="28"/>
  <c r="D656" i="28"/>
  <c r="C656" i="28"/>
  <c r="D655" i="28" l="1"/>
  <c r="C655" i="28"/>
  <c r="D654" i="28" l="1"/>
  <c r="C654" i="28"/>
  <c r="D653" i="28" l="1"/>
  <c r="C653" i="28"/>
  <c r="D652" i="28" l="1"/>
  <c r="C652" i="28"/>
  <c r="D651" i="28" l="1"/>
  <c r="C651" i="28"/>
  <c r="D650" i="28"/>
  <c r="C650" i="28"/>
  <c r="D649" i="28" l="1"/>
  <c r="C649" i="28"/>
  <c r="D648" i="28" l="1"/>
  <c r="C648" i="28"/>
  <c r="D647" i="28" l="1"/>
  <c r="C647" i="28"/>
  <c r="D646" i="28" l="1"/>
  <c r="C646" i="28"/>
  <c r="D645" i="28" l="1"/>
  <c r="C645" i="28"/>
  <c r="D644" i="28" l="1"/>
  <c r="C644" i="28"/>
  <c r="D643" i="28" l="1"/>
  <c r="C643" i="28"/>
  <c r="D642" i="28" l="1"/>
  <c r="C642" i="28"/>
  <c r="D641" i="28" l="1"/>
  <c r="C641" i="28"/>
  <c r="D640" i="28" l="1"/>
  <c r="C640" i="28"/>
  <c r="D639" i="28" l="1"/>
  <c r="C639" i="28"/>
  <c r="D638" i="28"/>
  <c r="C638" i="28"/>
  <c r="D637" i="28" l="1"/>
  <c r="C637" i="28"/>
  <c r="D636" i="28" l="1"/>
  <c r="C636" i="28"/>
  <c r="D635" i="28" l="1"/>
  <c r="C635" i="28"/>
  <c r="D634" i="28" l="1"/>
  <c r="C634" i="28"/>
  <c r="D633" i="28"/>
  <c r="C633" i="28"/>
  <c r="D632" i="28" l="1"/>
  <c r="C632" i="28"/>
  <c r="D631" i="28" l="1"/>
  <c r="C631" i="28"/>
  <c r="D630" i="28" l="1"/>
  <c r="C630" i="28"/>
  <c r="D629" i="28" l="1"/>
  <c r="C629" i="28"/>
  <c r="D628" i="28" l="1"/>
  <c r="C628" i="28"/>
  <c r="D627" i="28" l="1"/>
  <c r="C627" i="28"/>
  <c r="D626" i="28" l="1"/>
  <c r="C626" i="28"/>
  <c r="D625" i="28" l="1"/>
  <c r="C625" i="28"/>
  <c r="D624" i="28" l="1"/>
  <c r="C624" i="28"/>
  <c r="D623" i="28"/>
  <c r="C623" i="28"/>
  <c r="D622" i="28" l="1"/>
  <c r="C622" i="28"/>
  <c r="D621" i="28" l="1"/>
  <c r="C621" i="28"/>
  <c r="D620" i="28"/>
  <c r="C620" i="28"/>
  <c r="D619" i="28" l="1"/>
  <c r="C619" i="28"/>
  <c r="D618" i="28" l="1"/>
  <c r="C618" i="28"/>
  <c r="D617" i="28"/>
  <c r="C617" i="28"/>
  <c r="D616" i="28" l="1"/>
  <c r="C616" i="28"/>
  <c r="D615" i="28" l="1"/>
  <c r="C615" i="28"/>
  <c r="D614" i="28" l="1"/>
  <c r="C614" i="28"/>
  <c r="D613" i="28" l="1"/>
  <c r="C613" i="28"/>
  <c r="D612" i="28" l="1"/>
  <c r="C612" i="28"/>
  <c r="D611" i="28"/>
  <c r="C611" i="28"/>
  <c r="D610" i="28" l="1"/>
  <c r="C610" i="28"/>
  <c r="D609" i="28" l="1"/>
  <c r="C609" i="28"/>
  <c r="D608" i="28"/>
  <c r="C608" i="28"/>
  <c r="D607" i="28" l="1"/>
  <c r="C607" i="28"/>
  <c r="D606" i="28" l="1"/>
  <c r="C606" i="28"/>
  <c r="D605" i="28" l="1"/>
  <c r="C605" i="28"/>
  <c r="D604" i="28" l="1"/>
  <c r="C604" i="28"/>
  <c r="D603" i="28" l="1"/>
  <c r="C603" i="28"/>
  <c r="D602" i="28" l="1"/>
  <c r="C602" i="28"/>
  <c r="D601" i="28" l="1"/>
  <c r="C601" i="28"/>
  <c r="D600" i="28" l="1"/>
  <c r="C600" i="28"/>
  <c r="D599" i="28" l="1"/>
  <c r="C599" i="28"/>
  <c r="D598" i="28" l="1"/>
  <c r="C598" i="28"/>
  <c r="D597" i="28" l="1"/>
  <c r="C597" i="28"/>
  <c r="D596" i="28"/>
  <c r="C596" i="28"/>
  <c r="D595" i="28" l="1"/>
  <c r="C595" i="28"/>
  <c r="D594" i="28" l="1"/>
  <c r="C594" i="28"/>
  <c r="D593" i="28" l="1"/>
  <c r="C593" i="28"/>
  <c r="D592" i="28" l="1"/>
  <c r="C592" i="28"/>
  <c r="D591" i="28" l="1"/>
  <c r="C591" i="28"/>
  <c r="D590" i="28" l="1"/>
  <c r="C590" i="28"/>
  <c r="D589" i="28" l="1"/>
  <c r="C589" i="28"/>
  <c r="D588" i="28" l="1"/>
  <c r="C588" i="28"/>
  <c r="D587" i="28"/>
  <c r="C587" i="28"/>
  <c r="D586" i="28" l="1"/>
  <c r="C586" i="28"/>
  <c r="D585" i="28" l="1"/>
  <c r="C585" i="28"/>
  <c r="D584" i="28" l="1"/>
  <c r="C584" i="28"/>
  <c r="D583" i="28" l="1"/>
  <c r="C583" i="28"/>
  <c r="D582" i="28" l="1"/>
  <c r="C582" i="28"/>
  <c r="D581" i="28" l="1"/>
  <c r="C581" i="28"/>
  <c r="D580" i="28"/>
  <c r="C580" i="28"/>
  <c r="D579" i="28"/>
  <c r="C579" i="28"/>
  <c r="D578" i="28" l="1"/>
  <c r="C578" i="28"/>
  <c r="D577" i="28" l="1"/>
  <c r="C577" i="28"/>
  <c r="D576" i="28"/>
  <c r="C576" i="28"/>
  <c r="D575" i="28" l="1"/>
  <c r="C575" i="28"/>
  <c r="D574" i="28"/>
  <c r="C574" i="28"/>
  <c r="D573" i="28" l="1"/>
  <c r="C573" i="28"/>
  <c r="D572" i="28" l="1"/>
  <c r="C572" i="28"/>
  <c r="D571" i="28" l="1"/>
  <c r="C571" i="28"/>
  <c r="D570" i="28" l="1"/>
  <c r="C570" i="28"/>
  <c r="D569" i="28" l="1"/>
  <c r="C569" i="28"/>
  <c r="D568" i="28" l="1"/>
  <c r="C568" i="28"/>
  <c r="D567" i="28" l="1"/>
  <c r="C567" i="28"/>
  <c r="D566" i="28" l="1"/>
  <c r="C566" i="28"/>
  <c r="D565" i="28" l="1"/>
  <c r="C565" i="28"/>
  <c r="D564" i="28" l="1"/>
  <c r="C564" i="28"/>
  <c r="D563" i="28" l="1"/>
  <c r="C563" i="28"/>
  <c r="D562" i="28"/>
  <c r="C562" i="28"/>
  <c r="D561" i="28" l="1"/>
  <c r="C561" i="28"/>
  <c r="D560" i="28" l="1"/>
  <c r="C560" i="28"/>
  <c r="D559" i="28" l="1"/>
  <c r="C559" i="28"/>
  <c r="D558" i="28"/>
  <c r="C558" i="28"/>
  <c r="D557" i="28" l="1"/>
  <c r="C557" i="28"/>
  <c r="D556" i="28" l="1"/>
  <c r="C556" i="28"/>
  <c r="D555" i="28"/>
  <c r="C555" i="28"/>
  <c r="D554" i="28" l="1"/>
  <c r="C554" i="28"/>
  <c r="D553" i="28"/>
  <c r="C553" i="28"/>
  <c r="D552" i="28" l="1"/>
  <c r="C552" i="28"/>
  <c r="D551" i="28" l="1"/>
  <c r="C551" i="28"/>
  <c r="D550" i="28" l="1"/>
  <c r="C550" i="28"/>
  <c r="D549" i="28"/>
  <c r="C549" i="28"/>
  <c r="D548" i="28" l="1"/>
  <c r="C548" i="28"/>
  <c r="D547" i="28" l="1"/>
  <c r="C547" i="28"/>
  <c r="D546" i="28"/>
  <c r="C546" i="28"/>
  <c r="D545" i="28" l="1"/>
  <c r="C545" i="28"/>
  <c r="D544" i="28" l="1"/>
  <c r="C544" i="28"/>
  <c r="D543" i="28"/>
  <c r="C543" i="28"/>
  <c r="D542" i="28" l="1"/>
  <c r="C542" i="28"/>
  <c r="D541" i="28"/>
  <c r="C541" i="28"/>
  <c r="D540" i="28" l="1"/>
  <c r="C540" i="28"/>
  <c r="D539" i="28" l="1"/>
  <c r="C539" i="28"/>
  <c r="D538" i="28" l="1"/>
  <c r="C538" i="28"/>
  <c r="D537" i="28" l="1"/>
  <c r="C537" i="28"/>
  <c r="D536" i="28" l="1"/>
  <c r="C536" i="28"/>
  <c r="D535" i="28"/>
  <c r="C535" i="28"/>
  <c r="D534" i="28" l="1"/>
  <c r="C534" i="28"/>
  <c r="D533" i="28" l="1"/>
  <c r="C533" i="28"/>
  <c r="D532" i="28"/>
  <c r="C532" i="28"/>
  <c r="D531" i="28" l="1"/>
  <c r="C531" i="28"/>
  <c r="D530" i="28" l="1"/>
  <c r="C530" i="28"/>
  <c r="D529" i="28" l="1"/>
  <c r="C529" i="28"/>
  <c r="D528" i="28"/>
  <c r="C528" i="28"/>
  <c r="D527" i="28" l="1"/>
  <c r="C527" i="28"/>
  <c r="D526" i="28" l="1"/>
  <c r="C526" i="28"/>
  <c r="D525" i="28" l="1"/>
  <c r="C525" i="28"/>
  <c r="D524" i="28" l="1"/>
  <c r="C524" i="28"/>
  <c r="D523" i="28" l="1"/>
  <c r="C523" i="28"/>
  <c r="D522" i="28" l="1"/>
  <c r="C522" i="28"/>
  <c r="D521" i="28" l="1"/>
  <c r="C521" i="28"/>
  <c r="D520" i="28"/>
  <c r="C520" i="28"/>
  <c r="D519" i="28"/>
  <c r="C519" i="28"/>
  <c r="D518" i="28" l="1"/>
  <c r="C518" i="28"/>
  <c r="D517" i="28" l="1"/>
  <c r="C517" i="28"/>
  <c r="D516" i="28" l="1"/>
  <c r="C516" i="28"/>
  <c r="D515" i="28" l="1"/>
  <c r="C515" i="28"/>
  <c r="D514" i="28" l="1"/>
  <c r="C514" i="28"/>
  <c r="D513" i="28" l="1"/>
  <c r="C513" i="28"/>
  <c r="D512" i="28" l="1"/>
  <c r="C512" i="28"/>
  <c r="D511" i="28" l="1"/>
  <c r="C511" i="28"/>
  <c r="D510" i="28" l="1"/>
  <c r="C510" i="28"/>
  <c r="D509" i="28" l="1"/>
  <c r="C509" i="28"/>
  <c r="D508" i="28" l="1"/>
  <c r="C508" i="28"/>
  <c r="D507" i="28" l="1"/>
  <c r="C507" i="28"/>
  <c r="D506" i="28" l="1"/>
  <c r="C506" i="28"/>
  <c r="D505" i="28" l="1"/>
  <c r="C505" i="28"/>
  <c r="D504" i="28" l="1"/>
  <c r="C504" i="28"/>
  <c r="D503" i="28" l="1"/>
  <c r="C503" i="28"/>
  <c r="D502" i="28" l="1"/>
  <c r="C502" i="28"/>
  <c r="D501" i="28" l="1"/>
  <c r="C501" i="28"/>
  <c r="D500" i="28" l="1"/>
  <c r="C500" i="28"/>
  <c r="D499" i="28" l="1"/>
  <c r="C499" i="28"/>
  <c r="D498" i="28" l="1"/>
  <c r="C498" i="28"/>
  <c r="D497" i="28" l="1"/>
  <c r="C497" i="28"/>
  <c r="D496" i="28" l="1"/>
  <c r="C496" i="28"/>
  <c r="D495" i="28" l="1"/>
  <c r="C495" i="28"/>
  <c r="D494" i="28" l="1"/>
  <c r="C494" i="28"/>
  <c r="D493" i="28" l="1"/>
  <c r="C493" i="28"/>
  <c r="D492" i="28" l="1"/>
  <c r="C492" i="28"/>
  <c r="D491" i="28" l="1"/>
  <c r="C491" i="28"/>
  <c r="D490" i="28" l="1"/>
  <c r="C490" i="28"/>
  <c r="D489" i="28" l="1"/>
  <c r="C489" i="28"/>
  <c r="D488" i="28" l="1"/>
  <c r="C488" i="28"/>
  <c r="D487" i="28" l="1"/>
  <c r="C487" i="28"/>
  <c r="D486" i="28" l="1"/>
  <c r="C486" i="28"/>
  <c r="D485" i="28" l="1"/>
  <c r="C485" i="28"/>
  <c r="D484" i="28" l="1"/>
  <c r="C484" i="28"/>
  <c r="D483" i="28" l="1"/>
  <c r="C483" i="28"/>
  <c r="D482" i="28" l="1"/>
  <c r="C482" i="28"/>
  <c r="D481" i="28" l="1"/>
  <c r="C481" i="28"/>
  <c r="D480" i="28" l="1"/>
  <c r="C480" i="28"/>
  <c r="D479" i="28" l="1"/>
  <c r="C479" i="28"/>
  <c r="D478" i="28" l="1"/>
  <c r="C478" i="28"/>
  <c r="D477" i="28" l="1"/>
  <c r="C477" i="28"/>
  <c r="D476" i="28" l="1"/>
  <c r="C476" i="28"/>
  <c r="D475" i="28" l="1"/>
  <c r="C475" i="28"/>
  <c r="D474" i="28" l="1"/>
  <c r="C474" i="28"/>
  <c r="D473" i="28" l="1"/>
  <c r="C473" i="28"/>
  <c r="D472" i="28" l="1"/>
  <c r="C472" i="28"/>
  <c r="D471" i="28" l="1"/>
  <c r="C471" i="28"/>
  <c r="D470" i="28" l="1"/>
  <c r="C470" i="28"/>
  <c r="D469" i="28" l="1"/>
  <c r="C469" i="28"/>
  <c r="D468" i="28" l="1"/>
  <c r="C468" i="28"/>
  <c r="D467" i="28" l="1"/>
  <c r="C467" i="28"/>
  <c r="D466" i="28" l="1"/>
  <c r="C466" i="28"/>
  <c r="D465" i="28" l="1"/>
  <c r="C465" i="28"/>
  <c r="D464" i="28" l="1"/>
  <c r="C464" i="28"/>
  <c r="D463" i="28" l="1"/>
  <c r="C463" i="28"/>
  <c r="D462" i="28" l="1"/>
  <c r="C462" i="28"/>
  <c r="D461" i="28" l="1"/>
  <c r="C461" i="28"/>
  <c r="D460" i="28" l="1"/>
  <c r="C460" i="28"/>
  <c r="D459" i="28" l="1"/>
  <c r="C459" i="28"/>
  <c r="D458" i="28" l="1"/>
  <c r="C458" i="28"/>
  <c r="D457" i="28" l="1"/>
  <c r="C457" i="28"/>
  <c r="D456" i="28" l="1"/>
  <c r="C456" i="28"/>
  <c r="D455" i="28" l="1"/>
  <c r="C455" i="28"/>
  <c r="D454" i="28" l="1"/>
  <c r="C454" i="28"/>
  <c r="D453" i="28" l="1"/>
  <c r="C453" i="28"/>
  <c r="D452" i="28" l="1"/>
  <c r="C452" i="28"/>
  <c r="D451" i="28" l="1"/>
  <c r="C451" i="28"/>
  <c r="D450" i="28" l="1"/>
  <c r="C450" i="28"/>
  <c r="D449" i="28" l="1"/>
  <c r="C449" i="28"/>
  <c r="D448" i="28" l="1"/>
  <c r="C448" i="28"/>
  <c r="D447" i="28" l="1"/>
  <c r="C447" i="28"/>
  <c r="D446" i="28" l="1"/>
  <c r="C446" i="28"/>
  <c r="D445" i="28" l="1"/>
  <c r="C445" i="28"/>
  <c r="D444" i="28" l="1"/>
  <c r="C444" i="28"/>
  <c r="D443" i="28" l="1"/>
  <c r="C443" i="28"/>
  <c r="D442" i="28" l="1"/>
  <c r="C442" i="28"/>
  <c r="D441" i="28" l="1"/>
  <c r="C441" i="28"/>
  <c r="D440" i="28" l="1"/>
  <c r="C440" i="28"/>
  <c r="D439" i="28" l="1"/>
  <c r="C439" i="28"/>
  <c r="D438" i="28" l="1"/>
  <c r="C438" i="28"/>
  <c r="D437" i="28" l="1"/>
  <c r="C437" i="28"/>
  <c r="D436" i="28" l="1"/>
  <c r="C436" i="28"/>
  <c r="D435" i="28" l="1"/>
  <c r="C435" i="28"/>
  <c r="D434" i="28" l="1"/>
  <c r="C434" i="28"/>
  <c r="D433" i="28" l="1"/>
  <c r="C433" i="28"/>
  <c r="D432" i="28" l="1"/>
  <c r="C432" i="28"/>
  <c r="D431" i="28" l="1"/>
  <c r="C431" i="28"/>
  <c r="D430" i="28" l="1"/>
  <c r="C430" i="28"/>
  <c r="D429" i="28" l="1"/>
  <c r="C429" i="28"/>
  <c r="D428" i="28" l="1"/>
  <c r="C428" i="28"/>
  <c r="D427" i="28" l="1"/>
  <c r="C427" i="28"/>
  <c r="D426" i="28" l="1"/>
  <c r="C426" i="28"/>
  <c r="D425" i="28" l="1"/>
  <c r="C425" i="28"/>
  <c r="D424" i="28" l="1"/>
  <c r="C424" i="28"/>
  <c r="D423" i="28" l="1"/>
  <c r="C423" i="28"/>
  <c r="D422" i="28" l="1"/>
  <c r="C422" i="28"/>
  <c r="D421" i="28" l="1"/>
  <c r="C421" i="28"/>
  <c r="D420" i="28" l="1"/>
  <c r="C420" i="28"/>
  <c r="D419" i="28" l="1"/>
  <c r="C419" i="28"/>
  <c r="D418" i="28" l="1"/>
  <c r="C418" i="28"/>
  <c r="D417" i="28" l="1"/>
  <c r="C417" i="28"/>
  <c r="D416" i="28" l="1"/>
  <c r="C416" i="28"/>
  <c r="D415" i="28" l="1"/>
  <c r="C415" i="28"/>
  <c r="D414" i="28" l="1"/>
  <c r="C414" i="28"/>
  <c r="D413" i="28" l="1"/>
  <c r="C413" i="28"/>
  <c r="D412" i="28" l="1"/>
  <c r="C412" i="28"/>
  <c r="D411" i="28" l="1"/>
  <c r="C411" i="28"/>
  <c r="D410" i="28" l="1"/>
  <c r="C410" i="28"/>
  <c r="D409" i="28" l="1"/>
  <c r="C409" i="28"/>
  <c r="D408" i="28" l="1"/>
  <c r="C408" i="28"/>
  <c r="D407" i="28" l="1"/>
  <c r="C407" i="28"/>
  <c r="D406" i="28" l="1"/>
  <c r="C406" i="28"/>
  <c r="D405" i="28"/>
  <c r="C405" i="28"/>
  <c r="D404" i="28" l="1"/>
  <c r="C404" i="28"/>
  <c r="D403" i="28" l="1"/>
  <c r="C403" i="28"/>
  <c r="D402" i="28" l="1"/>
  <c r="C402" i="28"/>
  <c r="D401" i="28" l="1"/>
  <c r="C401" i="28"/>
  <c r="D400" i="28" l="1"/>
  <c r="C400" i="28"/>
  <c r="D399" i="28" l="1"/>
  <c r="C399" i="28"/>
  <c r="D398" i="28" l="1"/>
  <c r="C398" i="28"/>
  <c r="D397" i="28" l="1"/>
  <c r="C397" i="28"/>
  <c r="D396" i="28" l="1"/>
  <c r="C396" i="28"/>
  <c r="D395" i="28"/>
  <c r="C395" i="28"/>
  <c r="D394" i="28"/>
  <c r="C394" i="28"/>
  <c r="D393" i="28" l="1"/>
  <c r="C393" i="28"/>
  <c r="D392" i="28" l="1"/>
  <c r="C392" i="28"/>
  <c r="D391" i="28" l="1"/>
  <c r="C391" i="28"/>
  <c r="D390" i="28" l="1"/>
  <c r="C390" i="28"/>
  <c r="D389" i="28" l="1"/>
  <c r="C389" i="28"/>
  <c r="D388" i="28" l="1"/>
  <c r="C388" i="28"/>
  <c r="D387" i="28" l="1"/>
  <c r="C387" i="28"/>
  <c r="D386" i="28" l="1"/>
  <c r="C386" i="28"/>
  <c r="D385" i="28" l="1"/>
  <c r="C385" i="28"/>
  <c r="D384" i="28" l="1"/>
  <c r="C384" i="28"/>
  <c r="D383" i="28"/>
  <c r="C383" i="28"/>
  <c r="D382" i="28" l="1"/>
  <c r="C382" i="28"/>
  <c r="D381" i="28" l="1"/>
  <c r="C381" i="28"/>
  <c r="D380" i="28"/>
  <c r="C380" i="28"/>
  <c r="D379" i="28"/>
  <c r="C379" i="28"/>
  <c r="D378" i="28" l="1"/>
  <c r="C378" i="28"/>
  <c r="D377" i="28" l="1"/>
  <c r="C377" i="28"/>
  <c r="D376" i="28" l="1"/>
  <c r="C376" i="28"/>
  <c r="D375" i="28" l="1"/>
  <c r="C375" i="28"/>
  <c r="D374" i="28" l="1"/>
  <c r="C374" i="28"/>
  <c r="D373" i="28" l="1"/>
  <c r="C373" i="28"/>
  <c r="D372" i="28" l="1"/>
  <c r="C372" i="28"/>
  <c r="D371" i="28"/>
  <c r="C371" i="28"/>
  <c r="D370" i="28" l="1"/>
  <c r="C370" i="28"/>
  <c r="D369" i="28" l="1"/>
  <c r="C369" i="28"/>
  <c r="D368" i="28"/>
  <c r="C368" i="28"/>
  <c r="D367" i="28"/>
  <c r="C367" i="28"/>
  <c r="D366" i="28" l="1"/>
  <c r="C366" i="28"/>
  <c r="D365" i="28"/>
  <c r="C365" i="28"/>
  <c r="D364" i="28"/>
  <c r="C364" i="28"/>
  <c r="D363" i="28"/>
  <c r="C363" i="28"/>
  <c r="D362" i="28" l="1"/>
  <c r="C362" i="28"/>
  <c r="D361" i="28" l="1"/>
  <c r="C361" i="28"/>
  <c r="D360" i="28" l="1"/>
  <c r="C360" i="28"/>
  <c r="D359" i="28" l="1"/>
  <c r="C359" i="28"/>
  <c r="D358" i="28" l="1"/>
  <c r="C358" i="28"/>
  <c r="D357" i="28" l="1"/>
  <c r="C357" i="28"/>
  <c r="D356" i="28" l="1"/>
  <c r="C356" i="28"/>
  <c r="D355" i="28" l="1"/>
  <c r="C355" i="28"/>
  <c r="D354" i="28" l="1"/>
  <c r="C354" i="28"/>
  <c r="D353" i="28" l="1"/>
  <c r="C353" i="28"/>
  <c r="D352" i="28" l="1"/>
  <c r="C352" i="28"/>
  <c r="D351" i="28" l="1"/>
  <c r="C351" i="28"/>
  <c r="D350" i="28" l="1"/>
  <c r="C350" i="28"/>
  <c r="D349" i="28" l="1"/>
  <c r="C349" i="28"/>
  <c r="D348" i="28" l="1"/>
  <c r="C348" i="28"/>
  <c r="D347" i="28" l="1"/>
  <c r="C347" i="28"/>
  <c r="D346" i="28" l="1"/>
  <c r="C346" i="28"/>
  <c r="D345" i="28" l="1"/>
  <c r="C345" i="28"/>
  <c r="D344" i="28" l="1"/>
  <c r="C344" i="28"/>
  <c r="D343" i="28" l="1"/>
  <c r="C343" i="28"/>
  <c r="D342" i="28" l="1"/>
  <c r="C342" i="28"/>
  <c r="D341" i="28"/>
  <c r="C341" i="28"/>
  <c r="D340" i="28" l="1"/>
  <c r="C340" i="28"/>
  <c r="D339" i="28" l="1"/>
  <c r="C339" i="28"/>
  <c r="D338" i="28" l="1"/>
  <c r="C338" i="28"/>
  <c r="D337" i="28" l="1"/>
  <c r="C337" i="28"/>
  <c r="D336" i="28" l="1"/>
  <c r="C336" i="28"/>
  <c r="D335" i="28"/>
  <c r="C335" i="28"/>
  <c r="D334" i="28" l="1"/>
  <c r="C334" i="28"/>
  <c r="D333" i="28" l="1"/>
  <c r="C333" i="28"/>
  <c r="D332" i="28" l="1"/>
  <c r="C332" i="28"/>
  <c r="D331" i="28" l="1"/>
  <c r="C331" i="28"/>
  <c r="D330" i="28" l="1"/>
  <c r="C330" i="28"/>
  <c r="D329" i="28" l="1"/>
  <c r="C329" i="28"/>
  <c r="D328" i="28"/>
  <c r="C328" i="28"/>
  <c r="D327" i="28" l="1"/>
  <c r="C327" i="28"/>
  <c r="D326" i="28" l="1"/>
  <c r="C326" i="28"/>
  <c r="D325" i="28" l="1"/>
  <c r="C325" i="28"/>
  <c r="D324" i="28" l="1"/>
  <c r="C324" i="28"/>
  <c r="D323" i="28" l="1"/>
  <c r="C323" i="28"/>
  <c r="D322" i="28" l="1"/>
  <c r="C322" i="28"/>
  <c r="D321" i="28" l="1"/>
  <c r="C321" i="28"/>
  <c r="D320" i="28" l="1"/>
  <c r="C320" i="28"/>
  <c r="D319" i="28" l="1"/>
  <c r="C319" i="28"/>
  <c r="D318" i="28"/>
  <c r="C318" i="28"/>
  <c r="D317" i="28" l="1"/>
  <c r="C317" i="28"/>
  <c r="D316" i="28" l="1"/>
  <c r="C316" i="28"/>
  <c r="D315" i="28" l="1"/>
  <c r="C315" i="28"/>
  <c r="D314" i="28" l="1"/>
  <c r="C314" i="28"/>
  <c r="D313" i="28"/>
  <c r="C313" i="28"/>
  <c r="D312" i="28"/>
  <c r="C312" i="28"/>
  <c r="D311" i="28" l="1"/>
  <c r="C311" i="28"/>
  <c r="D310" i="28"/>
  <c r="C310" i="28"/>
  <c r="D309" i="28" l="1"/>
  <c r="C309" i="28"/>
  <c r="D308" i="28" l="1"/>
  <c r="C308" i="28"/>
  <c r="D307" i="28"/>
  <c r="C307" i="28"/>
  <c r="D306" i="28" l="1"/>
  <c r="C306" i="28"/>
  <c r="D305" i="28" l="1"/>
  <c r="C305" i="28"/>
  <c r="D304" i="28"/>
  <c r="C304" i="28"/>
  <c r="D303" i="28" l="1"/>
  <c r="C303" i="28"/>
  <c r="D302" i="28" l="1"/>
  <c r="C302" i="28"/>
  <c r="D301" i="28"/>
  <c r="C301" i="28"/>
  <c r="D300" i="28" l="1"/>
  <c r="C300" i="28"/>
  <c r="D299" i="28" l="1"/>
  <c r="C299" i="28"/>
  <c r="D298" i="28" l="1"/>
  <c r="C298" i="28"/>
  <c r="D297" i="28" l="1"/>
  <c r="C297" i="28"/>
  <c r="D296" i="28" l="1"/>
  <c r="C296" i="28"/>
  <c r="D295" i="28" l="1"/>
  <c r="C295" i="28"/>
  <c r="D294" i="28" l="1"/>
  <c r="C294" i="28"/>
  <c r="D293" i="28" l="1"/>
  <c r="C293" i="28"/>
  <c r="D292" i="28" l="1"/>
  <c r="C292" i="28"/>
  <c r="D291" i="28"/>
  <c r="C291" i="28"/>
  <c r="D290" i="28" l="1"/>
  <c r="C290" i="28"/>
  <c r="D289" i="28" l="1"/>
  <c r="C289" i="28"/>
  <c r="D288" i="28"/>
  <c r="C288" i="28"/>
  <c r="D287" i="28" l="1"/>
  <c r="C287" i="28"/>
  <c r="D286" i="28"/>
  <c r="C286" i="28"/>
  <c r="D285" i="28" l="1"/>
  <c r="C285" i="28"/>
  <c r="D284" i="28" l="1"/>
  <c r="C284" i="28"/>
  <c r="D283" i="28" l="1"/>
  <c r="C283" i="28"/>
  <c r="D282" i="28" l="1"/>
  <c r="C282" i="28"/>
  <c r="D281" i="28" l="1"/>
  <c r="C281" i="28"/>
  <c r="D280" i="28" l="1"/>
  <c r="C280" i="28"/>
  <c r="D279" i="28"/>
  <c r="C279" i="28"/>
  <c r="D278" i="28" l="1"/>
  <c r="C278" i="28"/>
  <c r="D277" i="28"/>
  <c r="C277" i="28"/>
  <c r="D276" i="28" l="1"/>
  <c r="C276" i="28"/>
  <c r="D275" i="28" l="1"/>
  <c r="C275" i="28"/>
  <c r="D274" i="28" l="1"/>
  <c r="C274" i="28"/>
  <c r="D273" i="28"/>
  <c r="C273" i="28"/>
  <c r="D272" i="28" l="1"/>
  <c r="C272" i="28"/>
  <c r="D271" i="28" l="1"/>
  <c r="C271" i="28"/>
  <c r="D270" i="28" l="1"/>
  <c r="C270" i="28"/>
  <c r="D269" i="28" l="1"/>
  <c r="C269" i="28"/>
  <c r="D268" i="28" l="1"/>
  <c r="C268" i="28"/>
  <c r="D267" i="28"/>
  <c r="C267" i="28"/>
  <c r="D266" i="28" l="1"/>
  <c r="C266" i="28"/>
  <c r="D265" i="28"/>
  <c r="C265" i="28"/>
  <c r="D264" i="28" l="1"/>
  <c r="C264" i="28"/>
  <c r="D263" i="28"/>
  <c r="C263" i="28"/>
  <c r="D262" i="28"/>
  <c r="C262" i="28"/>
  <c r="D261" i="28"/>
  <c r="C261" i="28"/>
  <c r="D260" i="28"/>
  <c r="C260" i="28"/>
  <c r="D259" i="28"/>
  <c r="C259" i="28"/>
  <c r="D258" i="28" l="1"/>
  <c r="C258" i="28"/>
  <c r="D257" i="28" l="1"/>
  <c r="C257" i="28"/>
  <c r="D256" i="28" l="1"/>
  <c r="C256" i="28"/>
  <c r="D255" i="28"/>
  <c r="C255" i="28"/>
  <c r="D254" i="28" l="1"/>
  <c r="C254" i="28"/>
  <c r="D253" i="28"/>
  <c r="C253" i="28"/>
  <c r="D252" i="28" l="1"/>
  <c r="C252" i="28"/>
  <c r="D251" i="28" l="1"/>
  <c r="C251" i="28"/>
  <c r="D250" i="28"/>
  <c r="C250" i="28"/>
  <c r="D249" i="28" l="1"/>
  <c r="C249" i="28"/>
  <c r="D248" i="28" l="1"/>
  <c r="C248" i="28"/>
  <c r="D247" i="28" l="1"/>
  <c r="C247" i="28"/>
  <c r="D246" i="28" l="1"/>
  <c r="C246" i="28"/>
  <c r="D245" i="28" l="1"/>
  <c r="C245" i="28"/>
  <c r="D244" i="28"/>
  <c r="C244" i="28"/>
  <c r="D243" i="28" l="1"/>
  <c r="C243" i="28"/>
  <c r="D242" i="28" l="1"/>
  <c r="C242" i="28"/>
  <c r="D241" i="28"/>
  <c r="C241" i="28"/>
  <c r="D240" i="28" l="1"/>
  <c r="C240" i="28"/>
  <c r="D239" i="28" l="1"/>
  <c r="C239" i="28"/>
  <c r="D238" i="28"/>
  <c r="C238" i="28"/>
  <c r="D237" i="28" l="1"/>
  <c r="C237" i="28"/>
  <c r="D236" i="28" l="1"/>
  <c r="C236" i="28"/>
  <c r="D235" i="28" l="1"/>
  <c r="C235" i="28"/>
  <c r="D234" i="28" l="1"/>
  <c r="C234" i="28"/>
  <c r="D233" i="28" l="1"/>
  <c r="C233" i="28"/>
  <c r="D232" i="28" l="1"/>
  <c r="C232" i="28"/>
  <c r="D231" i="28" l="1"/>
  <c r="C231" i="28"/>
  <c r="D230" i="28" l="1"/>
  <c r="C230" i="28"/>
  <c r="D229" i="28"/>
  <c r="C229" i="28"/>
  <c r="D228" i="28" l="1"/>
  <c r="C228" i="28"/>
  <c r="D227" i="28" l="1"/>
  <c r="C227" i="28"/>
  <c r="D226" i="28" l="1"/>
  <c r="C226" i="28"/>
  <c r="D225" i="28" l="1"/>
  <c r="C225" i="28"/>
  <c r="D224" i="28"/>
  <c r="C224" i="28"/>
  <c r="D223" i="28" l="1"/>
  <c r="C223" i="28"/>
  <c r="D222" i="28" l="1"/>
  <c r="C222" i="28"/>
  <c r="D221" i="28" l="1"/>
  <c r="C221" i="28"/>
  <c r="D220" i="28" l="1"/>
  <c r="C220" i="28"/>
  <c r="D219" i="28" l="1"/>
  <c r="C219" i="28"/>
  <c r="D218" i="28" l="1"/>
  <c r="C218" i="28"/>
  <c r="D217" i="28"/>
  <c r="C217" i="28"/>
  <c r="D216" i="28" l="1"/>
  <c r="C216" i="28"/>
  <c r="D215" i="28" l="1"/>
  <c r="C215" i="28"/>
  <c r="D214" i="28" l="1"/>
  <c r="C214" i="28"/>
  <c r="D213" i="28" l="1"/>
  <c r="C213" i="28"/>
  <c r="D212" i="28"/>
  <c r="C212" i="28"/>
  <c r="D211" i="28" l="1"/>
  <c r="C211" i="28"/>
  <c r="D210" i="28" l="1"/>
  <c r="C210" i="28"/>
  <c r="D209" i="28" l="1"/>
  <c r="C209" i="28"/>
  <c r="D208" i="28" l="1"/>
  <c r="C208" i="28"/>
  <c r="D207" i="28" l="1"/>
  <c r="C207" i="28"/>
  <c r="D206" i="28"/>
  <c r="C206" i="28"/>
  <c r="D205" i="28" l="1"/>
  <c r="C205" i="28"/>
  <c r="D204" i="28" l="1"/>
  <c r="C204" i="28"/>
  <c r="D203" i="28"/>
  <c r="C203" i="28"/>
  <c r="D202" i="28" l="1"/>
  <c r="C202" i="28"/>
  <c r="D201" i="28" l="1"/>
  <c r="C201" i="28"/>
  <c r="D200" i="28" l="1"/>
  <c r="C200" i="28"/>
  <c r="D199" i="28" l="1"/>
  <c r="C199" i="28"/>
  <c r="D198" i="28" l="1"/>
  <c r="C198" i="28"/>
  <c r="D197" i="28" l="1"/>
  <c r="C197" i="28"/>
  <c r="D196" i="28"/>
  <c r="C196" i="28"/>
  <c r="D195" i="28" l="1"/>
  <c r="C195" i="28"/>
  <c r="D194" i="28" l="1"/>
  <c r="C194" i="28"/>
  <c r="D193" i="28"/>
  <c r="C193" i="28"/>
  <c r="D192" i="28" l="1"/>
  <c r="C192" i="28"/>
  <c r="D191" i="28" l="1"/>
  <c r="C191" i="28"/>
  <c r="D190" i="28" l="1"/>
  <c r="C190" i="28"/>
  <c r="D189" i="28" l="1"/>
  <c r="C189" i="28"/>
  <c r="D188" i="28" l="1"/>
  <c r="C188" i="28"/>
  <c r="D187" i="28" l="1"/>
  <c r="C187" i="28"/>
  <c r="D186" i="28"/>
  <c r="C186" i="28"/>
  <c r="D185" i="28" l="1"/>
  <c r="C185" i="28"/>
  <c r="D184" i="28" l="1"/>
  <c r="C184" i="28"/>
  <c r="D183" i="28"/>
  <c r="C183" i="28"/>
  <c r="D182" i="28" l="1"/>
  <c r="C182" i="28"/>
  <c r="D181" i="28" l="1"/>
  <c r="C181" i="28"/>
  <c r="D180" i="28" l="1"/>
  <c r="C180" i="28"/>
  <c r="D179" i="28" l="1"/>
  <c r="C179" i="28"/>
  <c r="D178" i="28" l="1"/>
  <c r="C178" i="28"/>
  <c r="D177" i="28" l="1"/>
  <c r="C177" i="28"/>
  <c r="D176" i="28" l="1"/>
  <c r="C176" i="28"/>
  <c r="D175" i="28" l="1"/>
  <c r="C175" i="28"/>
  <c r="D174" i="28" l="1"/>
  <c r="C174" i="28"/>
  <c r="D173" i="28" l="1"/>
  <c r="C173" i="28"/>
  <c r="D172" i="28" l="1"/>
  <c r="C172" i="28"/>
  <c r="D171" i="28" l="1"/>
  <c r="C171" i="28"/>
  <c r="D170" i="28" l="1"/>
  <c r="C170" i="28"/>
  <c r="D169" i="28" l="1"/>
  <c r="C169" i="28"/>
  <c r="D168" i="28" l="1"/>
  <c r="C168" i="28"/>
  <c r="D167" i="28"/>
  <c r="C167" i="28"/>
  <c r="D166" i="28" l="1"/>
  <c r="C166" i="28"/>
  <c r="D165" i="28" l="1"/>
  <c r="C165" i="28"/>
  <c r="D164" i="28" l="1"/>
  <c r="C164" i="28"/>
  <c r="D163" i="28" l="1"/>
  <c r="C163" i="28"/>
  <c r="D162" i="28" l="1"/>
  <c r="C162" i="28"/>
  <c r="D161" i="28" l="1"/>
  <c r="C161" i="28"/>
  <c r="D160" i="28" l="1"/>
  <c r="C160" i="28"/>
  <c r="D159" i="28" l="1"/>
  <c r="C159" i="28"/>
  <c r="D158" i="28" l="1"/>
  <c r="C158" i="28"/>
  <c r="D157" i="28" l="1"/>
  <c r="C157" i="28"/>
  <c r="D156" i="28" l="1"/>
  <c r="C156" i="28"/>
  <c r="D155" i="28"/>
  <c r="C155" i="28"/>
  <c r="D154" i="28" l="1"/>
  <c r="C154" i="28"/>
  <c r="D153" i="28" l="1"/>
  <c r="C153" i="28"/>
  <c r="D152" i="28" l="1"/>
  <c r="C152" i="28"/>
  <c r="D151" i="28"/>
  <c r="C151" i="28"/>
  <c r="D150" i="28" l="1"/>
  <c r="C150" i="28"/>
  <c r="D149" i="28" l="1"/>
  <c r="C149" i="28"/>
  <c r="D148" i="28" l="1"/>
  <c r="C148" i="28"/>
  <c r="D147" i="28" l="1"/>
  <c r="C147" i="28"/>
  <c r="D146" i="28"/>
  <c r="C146" i="28"/>
  <c r="D145" i="28" l="1"/>
  <c r="C145" i="28"/>
  <c r="D144" i="28" l="1"/>
  <c r="C144" i="28"/>
  <c r="D143" i="28" l="1"/>
  <c r="C143" i="28"/>
  <c r="D142" i="28" l="1"/>
  <c r="C142" i="28"/>
  <c r="D141" i="28" l="1"/>
  <c r="C141" i="28"/>
  <c r="D140" i="28" l="1"/>
  <c r="C140" i="28"/>
  <c r="D139" i="28" l="1"/>
  <c r="C139" i="28"/>
  <c r="D138" i="28" l="1"/>
  <c r="C138" i="28"/>
  <c r="D137" i="28" l="1"/>
  <c r="C137" i="28"/>
  <c r="D136" i="28" l="1"/>
  <c r="C136" i="28"/>
  <c r="D135" i="28" l="1"/>
  <c r="C135" i="28"/>
  <c r="D134" i="28"/>
  <c r="C134" i="28"/>
  <c r="D133" i="28" l="1"/>
  <c r="C133" i="28"/>
  <c r="D132" i="28" l="1"/>
  <c r="C132" i="28"/>
  <c r="D131" i="28" l="1"/>
  <c r="C131" i="28"/>
  <c r="D130" i="28" l="1"/>
  <c r="C130" i="28"/>
  <c r="D129" i="28" l="1"/>
  <c r="C129" i="28"/>
  <c r="D128" i="28" l="1"/>
  <c r="C128" i="28"/>
  <c r="D127" i="28" l="1"/>
  <c r="C127" i="28"/>
  <c r="D126" i="28"/>
  <c r="C126" i="28"/>
  <c r="D125" i="28" l="1"/>
  <c r="C125" i="28"/>
  <c r="D124" i="28" l="1"/>
  <c r="C124" i="28"/>
  <c r="D123" i="28" l="1"/>
  <c r="C123" i="28"/>
  <c r="D122" i="28"/>
  <c r="C122" i="28"/>
  <c r="D121" i="28" l="1"/>
  <c r="C121" i="28"/>
  <c r="D120" i="28" l="1"/>
  <c r="C120" i="28"/>
  <c r="D119" i="28" l="1"/>
  <c r="C119" i="28"/>
  <c r="D118" i="28" l="1"/>
  <c r="C118" i="28"/>
  <c r="D117" i="28" l="1"/>
  <c r="C117" i="28"/>
  <c r="D116" i="28" l="1"/>
  <c r="C116" i="28"/>
  <c r="D115" i="28" l="1"/>
  <c r="C115" i="28"/>
  <c r="D114" i="28" l="1"/>
  <c r="C114" i="28"/>
  <c r="D113" i="28" l="1"/>
  <c r="C113" i="28"/>
  <c r="D112" i="28" l="1"/>
  <c r="C112" i="28"/>
  <c r="D111" i="28"/>
  <c r="C111" i="28"/>
  <c r="D110" i="28" l="1"/>
  <c r="C110" i="28"/>
  <c r="D109" i="28" l="1"/>
  <c r="C109" i="28"/>
  <c r="D108" i="28" l="1"/>
  <c r="C108" i="28"/>
  <c r="D107" i="28" l="1"/>
  <c r="C107" i="28"/>
  <c r="D106" i="28" l="1"/>
  <c r="C106" i="28"/>
  <c r="D105" i="28"/>
  <c r="C105" i="28"/>
  <c r="D104" i="28" l="1"/>
  <c r="C104" i="28"/>
  <c r="D103" i="28" l="1"/>
  <c r="C103" i="28"/>
  <c r="D102" i="28" l="1"/>
  <c r="C102" i="28"/>
  <c r="D101" i="28" l="1"/>
  <c r="C101" i="28"/>
  <c r="D100" i="28" l="1"/>
  <c r="C100" i="28"/>
  <c r="D99" i="28" l="1"/>
  <c r="C99" i="28"/>
  <c r="D98" i="28" l="1"/>
  <c r="C98" i="28"/>
  <c r="D97" i="28" l="1"/>
  <c r="C97" i="28"/>
  <c r="D96" i="28" l="1"/>
  <c r="C96" i="28"/>
  <c r="D95" i="28" l="1"/>
  <c r="C95" i="28"/>
  <c r="D94" i="28"/>
  <c r="C94" i="28"/>
  <c r="D93" i="28" l="1"/>
  <c r="C93" i="28"/>
  <c r="D92" i="28" l="1"/>
  <c r="C92" i="28"/>
  <c r="D91" i="28" l="1"/>
  <c r="C91" i="28"/>
  <c r="D90" i="28" l="1"/>
  <c r="C90" i="28"/>
  <c r="D89" i="28" l="1"/>
  <c r="C89" i="28"/>
  <c r="D88" i="28" l="1"/>
  <c r="C88" i="28"/>
  <c r="D87" i="28" l="1"/>
  <c r="C87" i="28"/>
  <c r="D86" i="28"/>
  <c r="C86" i="28"/>
  <c r="D85" i="28" l="1"/>
  <c r="C85" i="28"/>
  <c r="D84" i="28" l="1"/>
  <c r="C84" i="28"/>
  <c r="D83" i="28" l="1"/>
  <c r="C83" i="28"/>
  <c r="D82" i="28" l="1"/>
  <c r="C82" i="28"/>
  <c r="D81" i="28"/>
  <c r="C81" i="28"/>
  <c r="D80" i="28" l="1"/>
  <c r="C80" i="28"/>
  <c r="D79" i="28" l="1"/>
  <c r="C79" i="28"/>
  <c r="D78" i="28" l="1"/>
  <c r="C78" i="28"/>
  <c r="D77" i="28" l="1"/>
  <c r="C77" i="28"/>
  <c r="D76" i="28" l="1"/>
  <c r="C76" i="28"/>
  <c r="D75" i="28" l="1"/>
  <c r="C75" i="28"/>
  <c r="D74" i="28"/>
  <c r="C74" i="28"/>
  <c r="D73" i="28" l="1"/>
  <c r="C73" i="28"/>
  <c r="D72" i="28" l="1"/>
  <c r="C72" i="28"/>
  <c r="D71" i="28" l="1"/>
  <c r="C71" i="28"/>
  <c r="D70" i="28"/>
  <c r="C70" i="28"/>
  <c r="D69" i="28" l="1"/>
  <c r="C69" i="28"/>
  <c r="D68" i="28" l="1"/>
  <c r="C68" i="28"/>
  <c r="D67" i="28" l="1"/>
  <c r="C67" i="28"/>
  <c r="D66" i="28" l="1"/>
  <c r="C66" i="28"/>
  <c r="D65" i="28" l="1"/>
  <c r="C65" i="28"/>
  <c r="D64" i="28"/>
  <c r="C64" i="28"/>
  <c r="D63" i="28"/>
  <c r="C63" i="28"/>
  <c r="D62" i="28" l="1"/>
  <c r="C62" i="28"/>
  <c r="D61" i="28" l="1"/>
  <c r="C61" i="28"/>
  <c r="D60" i="28" l="1"/>
  <c r="C60" i="28"/>
  <c r="D59" i="28" l="1"/>
  <c r="C59" i="28"/>
  <c r="D58" i="28" l="1"/>
  <c r="C58" i="28"/>
  <c r="D57" i="28" l="1"/>
  <c r="C57" i="28"/>
  <c r="D56" i="28" l="1"/>
  <c r="C56" i="28"/>
  <c r="D55" i="28" l="1"/>
  <c r="C55" i="28"/>
  <c r="D54" i="28" l="1"/>
  <c r="C54" i="28"/>
  <c r="D53" i="28" l="1"/>
  <c r="C53" i="28"/>
  <c r="D52" i="28"/>
  <c r="C52" i="28"/>
  <c r="D51" i="28"/>
  <c r="C51" i="28"/>
  <c r="D50" i="28" l="1"/>
  <c r="C50" i="28"/>
  <c r="D49" i="28" l="1"/>
  <c r="C49" i="28"/>
  <c r="D48" i="28" l="1"/>
  <c r="C48" i="28"/>
  <c r="D47" i="28" l="1"/>
  <c r="C47" i="28"/>
  <c r="D46" i="28"/>
  <c r="C46" i="28"/>
  <c r="D45" i="28" l="1"/>
  <c r="C45" i="28"/>
  <c r="D44" i="28" l="1"/>
  <c r="C44" i="28"/>
  <c r="D43" i="28"/>
  <c r="C43" i="28"/>
  <c r="D42" i="28" l="1"/>
  <c r="C42" i="28"/>
  <c r="D41" i="28" l="1"/>
  <c r="C41" i="28"/>
  <c r="D40" i="28" l="1"/>
  <c r="C40" i="28"/>
  <c r="D39" i="28"/>
  <c r="C39" i="28"/>
  <c r="D38" i="28" l="1"/>
  <c r="C38" i="28"/>
  <c r="D37" i="28"/>
  <c r="C37" i="28"/>
  <c r="D36" i="28" l="1"/>
  <c r="C36" i="28"/>
  <c r="D35" i="28" l="1"/>
  <c r="C35" i="28"/>
  <c r="D34" i="28" l="1"/>
  <c r="C34" i="28"/>
  <c r="D33" i="28" l="1"/>
  <c r="C33" i="28"/>
  <c r="D32" i="28" l="1"/>
  <c r="C32" i="28"/>
  <c r="D31" i="28"/>
  <c r="C31" i="28"/>
  <c r="D30" i="28" l="1"/>
  <c r="C30" i="28"/>
  <c r="D29" i="28"/>
  <c r="C29" i="28"/>
  <c r="D28" i="28" l="1"/>
  <c r="C28" i="28"/>
  <c r="D27" i="28" l="1"/>
  <c r="C27" i="28"/>
  <c r="D26" i="28" l="1"/>
  <c r="C26" i="28"/>
  <c r="D25" i="28"/>
  <c r="C25" i="28"/>
  <c r="D24" i="28" l="1"/>
  <c r="C24" i="28"/>
  <c r="D23" i="28" l="1"/>
  <c r="C23" i="28"/>
  <c r="D22" i="28" l="1"/>
  <c r="C22" i="28"/>
  <c r="D21" i="28" l="1"/>
  <c r="C21" i="28"/>
  <c r="D20" i="28" l="1"/>
  <c r="C20" i="28"/>
  <c r="D19" i="28" l="1"/>
  <c r="C19" i="28"/>
  <c r="D18" i="28" l="1"/>
  <c r="C18" i="28"/>
  <c r="D17" i="28" l="1"/>
  <c r="C17" i="28"/>
  <c r="D16" i="28" l="1"/>
  <c r="C16" i="28"/>
  <c r="D15" i="28" l="1"/>
  <c r="C15" i="28"/>
  <c r="D14" i="28" l="1"/>
  <c r="C14" i="28"/>
  <c r="D13" i="28" l="1"/>
  <c r="C13" i="28"/>
  <c r="D12" i="28"/>
  <c r="C12" i="28"/>
  <c r="D11" i="28" l="1"/>
  <c r="C11" i="28"/>
  <c r="D10" i="28"/>
  <c r="C10" i="28"/>
  <c r="D9" i="28"/>
  <c r="C9" i="28"/>
  <c r="D8" i="28" l="1"/>
  <c r="C8" i="28"/>
  <c r="D7" i="28"/>
  <c r="C7" i="28"/>
  <c r="D6" i="28"/>
  <c r="C6" i="28"/>
  <c r="D5" i="28" l="1"/>
  <c r="C5" i="28"/>
  <c r="A5" i="28"/>
  <c r="D4" i="28"/>
  <c r="C4" i="28"/>
  <c r="A6" i="28" l="1"/>
  <c r="A7" i="28" l="1"/>
  <c r="A8" i="28" l="1"/>
  <c r="A9" i="28" l="1"/>
  <c r="A10" i="28" l="1"/>
  <c r="A11" i="28" l="1"/>
  <c r="A12" i="28" l="1"/>
  <c r="A13" i="28" l="1"/>
  <c r="A14" i="28" l="1"/>
  <c r="A15" i="28" l="1"/>
  <c r="A16" i="28" l="1"/>
  <c r="A17" i="28" l="1"/>
  <c r="A18" i="28" l="1"/>
  <c r="A19" i="28" l="1"/>
  <c r="A20" i="28" l="1"/>
  <c r="A21" i="28" l="1"/>
  <c r="A22" i="28" l="1"/>
  <c r="A23" i="28" l="1"/>
  <c r="A24" i="28" l="1"/>
  <c r="A25" i="28" l="1"/>
  <c r="A26" i="28" l="1"/>
  <c r="A27" i="28" l="1"/>
  <c r="A28" i="28" l="1"/>
  <c r="A29" i="28" l="1"/>
  <c r="A30" i="28" l="1"/>
  <c r="A31" i="28" l="1"/>
  <c r="A32" i="28" l="1"/>
  <c r="A33" i="28" l="1"/>
  <c r="A34" i="28" l="1"/>
  <c r="A35" i="28" l="1"/>
  <c r="A36" i="28" l="1"/>
  <c r="A37" i="28" l="1"/>
  <c r="A38" i="28" l="1"/>
  <c r="A39" i="28" l="1"/>
  <c r="A40" i="28" l="1"/>
  <c r="A41" i="28" l="1"/>
  <c r="A42" i="28" l="1"/>
  <c r="A43" i="28" l="1"/>
  <c r="A44" i="28" l="1"/>
  <c r="A45" i="28" l="1"/>
  <c r="A46" i="28" l="1"/>
  <c r="A47" i="28" l="1"/>
  <c r="A48" i="28" l="1"/>
  <c r="A49" i="28" l="1"/>
  <c r="A50" i="28" l="1"/>
  <c r="A51" i="28" l="1"/>
  <c r="A52" i="28" l="1"/>
  <c r="A53" i="28" l="1"/>
  <c r="A54" i="28" l="1"/>
  <c r="A55" i="28" l="1"/>
  <c r="A56" i="28" l="1"/>
  <c r="A57" i="28" l="1"/>
  <c r="A58" i="28" l="1"/>
  <c r="A59" i="28" l="1"/>
  <c r="A60" i="28" l="1"/>
  <c r="A61" i="28" l="1"/>
  <c r="A62" i="28" l="1"/>
  <c r="A63" i="28" l="1"/>
  <c r="A64" i="28" l="1"/>
  <c r="A65" i="28" l="1"/>
  <c r="A66" i="28" l="1"/>
  <c r="A67" i="28" l="1"/>
  <c r="A68" i="28" l="1"/>
  <c r="A69" i="28" l="1"/>
  <c r="A70" i="28" l="1"/>
  <c r="A71" i="28" l="1"/>
  <c r="A72" i="28" l="1"/>
  <c r="A73" i="28" l="1"/>
  <c r="A74" i="28" l="1"/>
  <c r="A75" i="28" l="1"/>
  <c r="A76" i="28" l="1"/>
  <c r="A77" i="28" l="1"/>
  <c r="A78" i="28" l="1"/>
  <c r="A79" i="28" l="1"/>
  <c r="A80" i="28" l="1"/>
  <c r="A81" i="28" l="1"/>
  <c r="A82" i="28" l="1"/>
  <c r="A83" i="28" l="1"/>
  <c r="A84" i="28" l="1"/>
  <c r="A85" i="28" l="1"/>
  <c r="A86" i="28" l="1"/>
  <c r="A87" i="28" l="1"/>
  <c r="A88" i="28" l="1"/>
  <c r="A89" i="28" l="1"/>
  <c r="A90" i="28" l="1"/>
  <c r="A91" i="28" l="1"/>
  <c r="A92" i="28" l="1"/>
  <c r="A93" i="28" l="1"/>
  <c r="A94" i="28" l="1"/>
  <c r="A95" i="28" l="1"/>
  <c r="A96" i="28" l="1"/>
  <c r="A97" i="28" l="1"/>
  <c r="A98" i="28" l="1"/>
  <c r="A99" i="28" l="1"/>
  <c r="A100" i="28" l="1"/>
  <c r="A101" i="28" l="1"/>
  <c r="A102" i="28" l="1"/>
  <c r="A103" i="28" l="1"/>
  <c r="A104" i="28" l="1"/>
  <c r="A105" i="28" l="1"/>
  <c r="A106" i="28" l="1"/>
  <c r="A107" i="28" l="1"/>
  <c r="A108" i="28" l="1"/>
  <c r="A109" i="28" l="1"/>
  <c r="A110" i="28" l="1"/>
  <c r="A111" i="28" l="1"/>
  <c r="A112" i="28" l="1"/>
  <c r="A113" i="28" l="1"/>
  <c r="A114" i="28" l="1"/>
  <c r="A115" i="28" l="1"/>
  <c r="A116" i="28" l="1"/>
  <c r="A117" i="28" l="1"/>
  <c r="A118" i="28" l="1"/>
  <c r="A119" i="28" l="1"/>
  <c r="A120" i="28" l="1"/>
  <c r="A121" i="28" l="1"/>
  <c r="A122" i="28" l="1"/>
  <c r="A123" i="28" l="1"/>
  <c r="A124" i="28" l="1"/>
  <c r="A125" i="28" l="1"/>
  <c r="A126" i="28" l="1"/>
  <c r="A127" i="28" l="1"/>
  <c r="A128" i="28" l="1"/>
  <c r="A129" i="28" l="1"/>
  <c r="A130" i="28" l="1"/>
  <c r="A131" i="28" l="1"/>
  <c r="A132" i="28" l="1"/>
  <c r="A133" i="28" l="1"/>
  <c r="A134" i="28" l="1"/>
  <c r="A135" i="28" l="1"/>
  <c r="A136" i="28" l="1"/>
  <c r="A137" i="28" l="1"/>
  <c r="A138" i="28" l="1"/>
  <c r="A139" i="28" l="1"/>
  <c r="A140" i="28" l="1"/>
  <c r="A141" i="28" l="1"/>
  <c r="A142" i="28" l="1"/>
  <c r="A143" i="28" l="1"/>
  <c r="A144" i="28" l="1"/>
  <c r="A145" i="28" l="1"/>
  <c r="A146" i="28" l="1"/>
  <c r="A147" i="28" l="1"/>
  <c r="A148" i="28" l="1"/>
  <c r="A149" i="28" l="1"/>
  <c r="A150" i="28" l="1"/>
  <c r="A151" i="28" l="1"/>
  <c r="A152" i="28" l="1"/>
  <c r="A153" i="28" l="1"/>
  <c r="A154" i="28" l="1"/>
  <c r="A155" i="28" l="1"/>
  <c r="A156" i="28" l="1"/>
  <c r="A157" i="28" l="1"/>
  <c r="A158" i="28" l="1"/>
  <c r="A159" i="28" l="1"/>
  <c r="A160" i="28" l="1"/>
  <c r="A161" i="28" l="1"/>
  <c r="A162" i="28" l="1"/>
  <c r="A163" i="28" l="1"/>
  <c r="A164" i="28" l="1"/>
  <c r="A165" i="28" l="1"/>
  <c r="A166" i="28" l="1"/>
  <c r="A167" i="28" l="1"/>
  <c r="A168" i="28" l="1"/>
  <c r="A169" i="28" l="1"/>
  <c r="A170" i="28" l="1"/>
  <c r="A171" i="28" l="1"/>
  <c r="A172" i="28" l="1"/>
  <c r="A173" i="28" l="1"/>
  <c r="A174" i="28" l="1"/>
  <c r="A175" i="28" l="1"/>
  <c r="A176" i="28" l="1"/>
  <c r="A177" i="28" l="1"/>
  <c r="A178" i="28" l="1"/>
  <c r="A179" i="28" l="1"/>
  <c r="A180" i="28" l="1"/>
  <c r="A181" i="28" l="1"/>
  <c r="A182" i="28" l="1"/>
  <c r="A183" i="28" l="1"/>
  <c r="A184" i="28" l="1"/>
  <c r="A185" i="28" l="1"/>
  <c r="A186" i="28" l="1"/>
  <c r="A187" i="28" l="1"/>
  <c r="A188" i="28" l="1"/>
  <c r="A189" i="28" l="1"/>
  <c r="A190" i="28" l="1"/>
  <c r="A191" i="28" l="1"/>
  <c r="A192" i="28" l="1"/>
  <c r="A193" i="28" l="1"/>
  <c r="A194" i="28" l="1"/>
  <c r="A195" i="28" l="1"/>
  <c r="A196" i="28" l="1"/>
  <c r="A197" i="28" l="1"/>
  <c r="A198" i="28" l="1"/>
  <c r="A199" i="28" l="1"/>
  <c r="A200" i="28" l="1"/>
  <c r="A201" i="28" l="1"/>
  <c r="A202" i="28" l="1"/>
  <c r="A203" i="28" l="1"/>
  <c r="A204" i="28" l="1"/>
  <c r="A205" i="28" l="1"/>
  <c r="A206" i="28" l="1"/>
  <c r="A207" i="28" l="1"/>
  <c r="A208" i="28" l="1"/>
  <c r="A209" i="28" l="1"/>
  <c r="A210" i="28" l="1"/>
  <c r="A211" i="28" l="1"/>
  <c r="A212" i="28" l="1"/>
  <c r="A213" i="28" l="1"/>
  <c r="A214" i="28" l="1"/>
  <c r="A215" i="28" l="1"/>
  <c r="A216" i="28" l="1"/>
  <c r="A217" i="28" l="1"/>
  <c r="A218" i="28" l="1"/>
  <c r="A219" i="28" l="1"/>
  <c r="A220" i="28" l="1"/>
  <c r="A221" i="28" l="1"/>
  <c r="A222" i="28" l="1"/>
  <c r="A223" i="28" l="1"/>
  <c r="A224" i="28" l="1"/>
  <c r="A225" i="28" l="1"/>
  <c r="A226" i="28" l="1"/>
  <c r="A227" i="28" l="1"/>
  <c r="A228" i="28" l="1"/>
  <c r="A229" i="28" l="1"/>
  <c r="A230" i="28" l="1"/>
  <c r="A231" i="28" l="1"/>
  <c r="A232" i="28" l="1"/>
  <c r="A233" i="28" l="1"/>
  <c r="A234" i="28" l="1"/>
  <c r="A235" i="28" l="1"/>
  <c r="A236" i="28" l="1"/>
  <c r="A237" i="28" l="1"/>
  <c r="A238" i="28" l="1"/>
  <c r="A239" i="28" l="1"/>
  <c r="A240" i="28" l="1"/>
  <c r="H55" i="65" l="1"/>
  <c r="H66" i="65"/>
  <c r="H54" i="65"/>
  <c r="H53" i="65"/>
  <c r="A241" i="28"/>
  <c r="H39" i="65"/>
  <c r="H38" i="65"/>
  <c r="H35" i="65"/>
  <c r="H34" i="65"/>
  <c r="H22" i="65"/>
  <c r="H21" i="65"/>
  <c r="H20" i="65"/>
  <c r="H17" i="65"/>
  <c r="A242" i="28" l="1"/>
  <c r="H15" i="65"/>
  <c r="H14" i="65"/>
  <c r="H12" i="65"/>
  <c r="H11" i="65"/>
  <c r="H10" i="65"/>
  <c r="A243" i="28" l="1"/>
  <c r="A244" i="28" l="1"/>
  <c r="A245" i="28" l="1"/>
  <c r="A246" i="28" l="1"/>
  <c r="A247" i="28" l="1"/>
  <c r="A248" i="28" l="1"/>
  <c r="A249" i="28" l="1"/>
  <c r="A250" i="28" l="1"/>
  <c r="A251" i="28" l="1"/>
  <c r="A252" i="28" l="1"/>
  <c r="A253" i="28" l="1"/>
  <c r="A254" i="28" l="1"/>
  <c r="A255" i="28" l="1"/>
  <c r="A256" i="28" l="1"/>
  <c r="A257" i="28" l="1"/>
  <c r="A258" i="28" l="1"/>
  <c r="A259" i="28" l="1"/>
  <c r="A260" i="28" l="1"/>
  <c r="A261" i="28" l="1"/>
  <c r="A262" i="28" l="1"/>
  <c r="A263" i="28" l="1"/>
  <c r="A264" i="28" l="1"/>
  <c r="A265" i="28" l="1"/>
  <c r="A266" i="28" l="1"/>
  <c r="A267" i="28" l="1"/>
  <c r="A268" i="28" l="1"/>
  <c r="A269" i="28" l="1"/>
  <c r="A270" i="28" l="1"/>
  <c r="A271" i="28" l="1"/>
  <c r="A272" i="28" l="1"/>
  <c r="A273" i="28" l="1"/>
  <c r="A274" i="28" l="1"/>
  <c r="A275" i="28" l="1"/>
  <c r="A276" i="28" l="1"/>
  <c r="A277" i="28" l="1"/>
  <c r="A278" i="28" l="1"/>
  <c r="A279" i="28" l="1"/>
  <c r="A280" i="28" l="1"/>
  <c r="A281" i="28" l="1"/>
  <c r="A282" i="28" l="1"/>
  <c r="A283" i="28" l="1"/>
  <c r="A284" i="28" l="1"/>
  <c r="A285" i="28" l="1"/>
  <c r="A286" i="28" l="1"/>
  <c r="A287" i="28" l="1"/>
  <c r="A288" i="28" l="1"/>
  <c r="A289" i="28" l="1"/>
  <c r="A290" i="28" l="1"/>
  <c r="A291" i="28" l="1"/>
  <c r="A292" i="28" l="1"/>
  <c r="A293" i="28" l="1"/>
  <c r="A294" i="28" l="1"/>
  <c r="A295" i="28" l="1"/>
  <c r="A296" i="28" l="1"/>
  <c r="A297" i="28" l="1"/>
  <c r="A298" i="28" l="1"/>
  <c r="A299" i="28" l="1"/>
  <c r="A300" i="28" l="1"/>
  <c r="A301" i="28" l="1"/>
  <c r="A302" i="28" l="1"/>
  <c r="A303" i="28" l="1"/>
  <c r="A304" i="28" l="1"/>
  <c r="A305" i="28" l="1"/>
  <c r="A306" i="28" l="1"/>
  <c r="A307" i="28" l="1"/>
  <c r="A308" i="28" l="1"/>
  <c r="A309" i="28" l="1"/>
  <c r="A310" i="28" l="1"/>
  <c r="A311" i="28" l="1"/>
  <c r="A312" i="28" l="1"/>
  <c r="A313" i="28" l="1"/>
  <c r="A314" i="28" l="1"/>
  <c r="A315" i="28" l="1"/>
  <c r="A316" i="28" l="1"/>
  <c r="A317" i="28" l="1"/>
  <c r="A318" i="28" l="1"/>
  <c r="A319" i="28" l="1"/>
  <c r="A320" i="28" l="1"/>
  <c r="A321" i="28" l="1"/>
  <c r="A322" i="28" l="1"/>
  <c r="A323" i="28" l="1"/>
  <c r="A324" i="28" l="1"/>
  <c r="A325" i="28" l="1"/>
  <c r="A326" i="28" l="1"/>
  <c r="A327" i="28" l="1"/>
  <c r="A328" i="28" l="1"/>
  <c r="A329" i="28" l="1"/>
  <c r="A330" i="28" l="1"/>
  <c r="A331" i="28" l="1"/>
  <c r="A332" i="28" l="1"/>
  <c r="A333" i="28" l="1"/>
  <c r="A334" i="28" l="1"/>
  <c r="A335" i="28" l="1"/>
  <c r="A336" i="28" l="1"/>
  <c r="A337" i="28" l="1"/>
  <c r="A338" i="28" l="1"/>
  <c r="A339" i="28" l="1"/>
  <c r="A340" i="28" l="1"/>
  <c r="A341" i="28" l="1"/>
  <c r="A342" i="28" l="1"/>
  <c r="A343" i="28" l="1"/>
  <c r="A344" i="28" l="1"/>
  <c r="A345" i="28" l="1"/>
  <c r="A346" i="28" l="1"/>
  <c r="A347" i="28" l="1"/>
  <c r="A348" i="28" l="1"/>
  <c r="A349" i="28" l="1"/>
  <c r="A350" i="28" l="1"/>
  <c r="A351" i="28" l="1"/>
  <c r="A352" i="28" l="1"/>
  <c r="A353" i="28" l="1"/>
  <c r="A354" i="28" l="1"/>
  <c r="A355" i="28" l="1"/>
  <c r="A356" i="28" l="1"/>
  <c r="A357" i="28" l="1"/>
  <c r="A358" i="28" l="1"/>
  <c r="A359" i="28" l="1"/>
  <c r="A360" i="28" l="1"/>
  <c r="A361" i="28" l="1"/>
  <c r="A362" i="28" l="1"/>
  <c r="A363" i="28" l="1"/>
  <c r="A364" i="28" l="1"/>
  <c r="A365" i="28" l="1"/>
  <c r="A366" i="28" l="1"/>
  <c r="A367" i="28" l="1"/>
  <c r="A368" i="28" l="1"/>
  <c r="A369" i="28" l="1"/>
  <c r="A370" i="28" l="1"/>
  <c r="A371" i="28" l="1"/>
  <c r="A372" i="28" l="1"/>
  <c r="A373" i="28" l="1"/>
  <c r="A374" i="28" l="1"/>
  <c r="A375" i="28" l="1"/>
  <c r="A376" i="28" l="1"/>
  <c r="A377" i="28" l="1"/>
  <c r="A378" i="28" l="1"/>
  <c r="A379" i="28" l="1"/>
  <c r="A380" i="28" l="1"/>
  <c r="A381" i="28" l="1"/>
  <c r="A382" i="28" l="1"/>
  <c r="A383" i="28" l="1"/>
  <c r="A384" i="28" l="1"/>
  <c r="A385" i="28" l="1"/>
  <c r="A386" i="28" l="1"/>
  <c r="A387" i="28" l="1"/>
  <c r="A388" i="28" l="1"/>
  <c r="A389" i="28" l="1"/>
  <c r="A390" i="28" l="1"/>
  <c r="A391" i="28" l="1"/>
  <c r="A392" i="28" l="1"/>
  <c r="A393" i="28" l="1"/>
  <c r="A394" i="28" l="1"/>
  <c r="A395" i="28" l="1"/>
  <c r="A396" i="28" l="1"/>
  <c r="A397" i="28" l="1"/>
  <c r="A398" i="28" l="1"/>
  <c r="A399" i="28" l="1"/>
  <c r="A400" i="28" l="1"/>
  <c r="A401" i="28" l="1"/>
  <c r="A402" i="28" l="1"/>
  <c r="A403" i="28" l="1"/>
  <c r="A404" i="28" l="1"/>
  <c r="A405" i="28" l="1"/>
  <c r="A406" i="28" l="1"/>
  <c r="A407" i="28" l="1"/>
  <c r="A408" i="28" l="1"/>
  <c r="A409" i="28" l="1"/>
  <c r="A410" i="28" l="1"/>
  <c r="A411" i="28" l="1"/>
  <c r="A412" i="28" l="1"/>
  <c r="A413" i="28" l="1"/>
  <c r="A414" i="28" l="1"/>
  <c r="A415" i="28" l="1"/>
  <c r="A416" i="28" l="1"/>
  <c r="A417" i="28" l="1"/>
  <c r="A418" i="28" l="1"/>
  <c r="A419" i="28" l="1"/>
  <c r="A420" i="28" l="1"/>
  <c r="A421" i="28" l="1"/>
  <c r="A422" i="28" l="1"/>
  <c r="A423" i="28" l="1"/>
  <c r="A424" i="28" l="1"/>
  <c r="A425" i="28" l="1"/>
  <c r="A426" i="28" l="1"/>
  <c r="A427" i="28" l="1"/>
  <c r="A428" i="28" l="1"/>
  <c r="A429" i="28" l="1"/>
  <c r="A430" i="28" l="1"/>
  <c r="A431" i="28" l="1"/>
  <c r="A432" i="28" l="1"/>
  <c r="A433" i="28" l="1"/>
  <c r="A434" i="28" l="1"/>
  <c r="A435" i="28" l="1"/>
  <c r="A436" i="28" l="1"/>
  <c r="A437" i="28" l="1"/>
  <c r="A438" i="28" l="1"/>
  <c r="G98" i="61"/>
  <c r="A439" i="28" l="1"/>
  <c r="A440" i="28" l="1"/>
  <c r="A441" i="28" l="1"/>
  <c r="A442" i="28" l="1"/>
  <c r="G102" i="61"/>
  <c r="A443" i="28" l="1"/>
  <c r="A444" i="28" l="1"/>
  <c r="A445" i="28" l="1"/>
  <c r="A446" i="28" l="1"/>
  <c r="A447" i="28" l="1"/>
  <c r="A448" i="28" l="1"/>
  <c r="S889" i="28"/>
  <c r="O889" i="28"/>
  <c r="N889" i="28"/>
  <c r="M889" i="28"/>
  <c r="E889" i="28"/>
  <c r="F889" i="28"/>
  <c r="P889" i="28"/>
  <c r="A449" i="28" l="1"/>
  <c r="K889" i="28"/>
  <c r="A450" i="28" l="1"/>
  <c r="I889" i="28"/>
  <c r="A451" i="28" l="1"/>
  <c r="A452" i="28" l="1"/>
  <c r="A453" i="28" l="1"/>
  <c r="A454" i="28" l="1"/>
  <c r="A455" i="28" l="1"/>
  <c r="A456" i="28" l="1"/>
  <c r="A457" i="28" l="1"/>
  <c r="A458" i="28" l="1"/>
  <c r="A459" i="28" l="1"/>
  <c r="A460" i="28" l="1"/>
  <c r="A461" i="28" l="1"/>
  <c r="A462" i="28" l="1"/>
  <c r="A463" i="28" l="1"/>
  <c r="A464" i="28" l="1"/>
  <c r="A465" i="28" l="1"/>
  <c r="A466" i="28" l="1"/>
  <c r="A467" i="28" l="1"/>
  <c r="A468" i="28" l="1"/>
  <c r="A469" i="28" l="1"/>
  <c r="A470" i="28" l="1"/>
  <c r="A471" i="28" l="1"/>
  <c r="A472" i="28" l="1"/>
  <c r="A473" i="28" l="1"/>
  <c r="A474" i="28" l="1"/>
  <c r="A475" i="28" l="1"/>
  <c r="A476" i="28" l="1"/>
  <c r="A477" i="28" l="1"/>
  <c r="A478" i="28" l="1"/>
  <c r="A479" i="28" l="1"/>
  <c r="A480" i="28" l="1"/>
  <c r="A481" i="28" l="1"/>
  <c r="A482" i="28" l="1"/>
  <c r="A483" i="28" l="1"/>
  <c r="A484" i="28" l="1"/>
  <c r="A485" i="28" l="1"/>
  <c r="A486" i="28" l="1"/>
  <c r="A487" i="28" l="1"/>
  <c r="A488" i="28" l="1"/>
  <c r="A489" i="28" l="1"/>
  <c r="A490" i="28" l="1"/>
  <c r="A491" i="28" l="1"/>
  <c r="A492" i="28" l="1"/>
  <c r="A493" i="28" l="1"/>
  <c r="A494" i="28" l="1"/>
  <c r="A495" i="28" l="1"/>
  <c r="A496" i="28" l="1"/>
  <c r="A497" i="28" l="1"/>
  <c r="A498" i="28" l="1"/>
  <c r="A499" i="28" l="1"/>
  <c r="A500" i="28" l="1"/>
  <c r="A501" i="28" l="1"/>
  <c r="A87" i="2"/>
  <c r="E87" i="2" s="1"/>
  <c r="D3" i="2"/>
  <c r="E3" i="2" s="1"/>
  <c r="F3" i="2" s="1"/>
  <c r="G3" i="2" s="1"/>
  <c r="H3" i="2" s="1"/>
  <c r="I3" i="2" s="1"/>
  <c r="J3" i="2" s="1"/>
  <c r="K3" i="2" s="1"/>
  <c r="L3" i="2" s="1"/>
  <c r="M3" i="2" s="1"/>
  <c r="N3" i="2" s="1"/>
  <c r="O3" i="2" s="1"/>
  <c r="P3" i="2" s="1"/>
  <c r="Q3" i="2" s="1"/>
  <c r="R3" i="2" s="1"/>
  <c r="S3" i="2" s="1"/>
  <c r="A502" i="28" l="1"/>
  <c r="T3" i="2"/>
  <c r="U3" i="2" s="1"/>
  <c r="V3" i="2" s="1"/>
  <c r="W3" i="2" s="1"/>
  <c r="X3" i="2" s="1"/>
  <c r="Y3" i="2" s="1"/>
  <c r="C87" i="2"/>
  <c r="A88" i="2"/>
  <c r="A503" i="28" l="1"/>
  <c r="A89" i="2"/>
  <c r="E88" i="2"/>
  <c r="C88" i="2"/>
  <c r="A504" i="28" l="1"/>
  <c r="E89" i="2"/>
  <c r="A90" i="2"/>
  <c r="C89" i="2"/>
  <c r="A505" i="28" l="1"/>
  <c r="A91" i="2"/>
  <c r="E90" i="2"/>
  <c r="C90" i="2"/>
  <c r="A506" i="28" l="1"/>
  <c r="E91" i="2"/>
  <c r="A92" i="2"/>
  <c r="C91" i="2"/>
  <c r="A507" i="28" l="1"/>
  <c r="A93" i="2"/>
  <c r="E92" i="2"/>
  <c r="C92" i="2"/>
  <c r="A508" i="28" l="1"/>
  <c r="E93" i="2"/>
  <c r="A94" i="2"/>
  <c r="C93" i="2"/>
  <c r="A509" i="28" l="1"/>
  <c r="A95" i="2"/>
  <c r="E94" i="2"/>
  <c r="C94" i="2"/>
  <c r="A510" i="28" l="1"/>
  <c r="E95" i="2"/>
  <c r="A96" i="2"/>
  <c r="C95" i="2"/>
  <c r="A511" i="28" l="1"/>
  <c r="A97" i="2"/>
  <c r="E96" i="2"/>
  <c r="C96" i="2"/>
  <c r="A512" i="28" l="1"/>
  <c r="E97" i="2"/>
  <c r="A98" i="2"/>
  <c r="C97" i="2"/>
  <c r="A513" i="28" l="1"/>
  <c r="A99" i="2"/>
  <c r="E98" i="2"/>
  <c r="C98" i="2"/>
  <c r="A514" i="28" l="1"/>
  <c r="E99" i="2"/>
  <c r="A100" i="2"/>
  <c r="C99" i="2"/>
  <c r="A515" i="28" l="1"/>
  <c r="A101" i="2"/>
  <c r="E100" i="2"/>
  <c r="C100" i="2"/>
  <c r="A516" i="28" l="1"/>
  <c r="E101" i="2"/>
  <c r="A102" i="2"/>
  <c r="C101" i="2"/>
  <c r="A517" i="28" l="1"/>
  <c r="A103" i="2"/>
  <c r="E102" i="2"/>
  <c r="C102" i="2"/>
  <c r="A518" i="28" l="1"/>
  <c r="E103" i="2"/>
  <c r="A104" i="2"/>
  <c r="C103" i="2"/>
  <c r="A519" i="28" l="1"/>
  <c r="A105" i="2"/>
  <c r="E104" i="2"/>
  <c r="C104" i="2"/>
  <c r="A520" i="28" l="1"/>
  <c r="E105" i="2"/>
  <c r="A106" i="2"/>
  <c r="C105" i="2"/>
  <c r="A521" i="28" l="1"/>
  <c r="A107" i="2"/>
  <c r="E106" i="2"/>
  <c r="C106" i="2"/>
  <c r="A522" i="28" l="1"/>
  <c r="E107" i="2"/>
  <c r="A108" i="2"/>
  <c r="C107" i="2"/>
  <c r="A523" i="28" l="1"/>
  <c r="A109" i="2"/>
  <c r="E108" i="2"/>
  <c r="C108" i="2"/>
  <c r="A524" i="28" l="1"/>
  <c r="E109" i="2"/>
  <c r="A110" i="2"/>
  <c r="C109" i="2"/>
  <c r="A525" i="28" l="1"/>
  <c r="A111" i="2"/>
  <c r="E110" i="2"/>
  <c r="C110" i="2"/>
  <c r="A526" i="28" l="1"/>
  <c r="E111" i="2"/>
  <c r="A112" i="2"/>
  <c r="C111" i="2"/>
  <c r="A527" i="28" l="1"/>
  <c r="A113" i="2"/>
  <c r="E112" i="2"/>
  <c r="C112" i="2"/>
  <c r="A528" i="28" l="1"/>
  <c r="E113" i="2"/>
  <c r="A114" i="2"/>
  <c r="C113" i="2"/>
  <c r="A529" i="28" l="1"/>
  <c r="A115" i="2"/>
  <c r="E114" i="2"/>
  <c r="C114" i="2"/>
  <c r="A530" i="28" l="1"/>
  <c r="E115" i="2"/>
  <c r="A116" i="2"/>
  <c r="C115" i="2"/>
  <c r="A531" i="28" l="1"/>
  <c r="A117" i="2"/>
  <c r="E116" i="2"/>
  <c r="C116" i="2"/>
  <c r="A532" i="28" l="1"/>
  <c r="E117" i="2"/>
  <c r="A118" i="2"/>
  <c r="C117" i="2"/>
  <c r="A533" i="28" l="1"/>
  <c r="A119" i="2"/>
  <c r="E118" i="2"/>
  <c r="C118" i="2"/>
  <c r="A534" i="28" l="1"/>
  <c r="E119" i="2"/>
  <c r="C119" i="2"/>
  <c r="F489" i="59" l="1"/>
  <c r="F301" i="59"/>
  <c r="F224" i="59"/>
  <c r="F265" i="59"/>
  <c r="F300" i="59"/>
  <c r="F523" i="59"/>
  <c r="F222" i="59"/>
  <c r="F112" i="59"/>
  <c r="F263" i="59"/>
  <c r="F183" i="59"/>
  <c r="F490" i="59"/>
  <c r="F147" i="59"/>
  <c r="F299" i="59"/>
  <c r="M8" i="67" s="1"/>
  <c r="F264" i="59"/>
  <c r="F46" i="59"/>
  <c r="F449" i="59"/>
  <c r="F184" i="59"/>
  <c r="F450" i="59"/>
  <c r="F302" i="59"/>
  <c r="F114" i="59"/>
  <c r="F149" i="59"/>
  <c r="I12" i="67" s="1"/>
  <c r="F188" i="59"/>
  <c r="F522" i="59"/>
  <c r="F43" i="59"/>
  <c r="F10" i="59"/>
  <c r="D7" i="67" s="1"/>
  <c r="F557" i="59"/>
  <c r="F221" i="59"/>
  <c r="F146" i="59"/>
  <c r="I7" i="67" s="1"/>
  <c r="F148" i="59"/>
  <c r="I11" i="67" s="1"/>
  <c r="F185" i="59"/>
  <c r="F556" i="59"/>
  <c r="F376" i="59"/>
  <c r="F45" i="59"/>
  <c r="F152" i="59"/>
  <c r="F11" i="59"/>
  <c r="F372" i="59"/>
  <c r="F115" i="59"/>
  <c r="H8" i="67" s="1"/>
  <c r="F226" i="59"/>
  <c r="F44" i="59"/>
  <c r="F227" i="59"/>
  <c r="F228" i="59"/>
  <c r="F451" i="59"/>
  <c r="F262" i="59"/>
  <c r="F375" i="59"/>
  <c r="F223" i="59"/>
  <c r="F220" i="59"/>
  <c r="F448" i="59"/>
  <c r="F487" i="59"/>
  <c r="F151" i="59"/>
  <c r="F298" i="59"/>
  <c r="M7" i="67" s="1"/>
  <c r="F374" i="59"/>
  <c r="F111" i="59"/>
  <c r="G7" i="67" s="1"/>
  <c r="F189" i="59"/>
  <c r="F261" i="59"/>
  <c r="F186" i="59"/>
  <c r="F488" i="59"/>
  <c r="F373" i="59"/>
  <c r="O8" i="67" s="1"/>
  <c r="R8" i="4"/>
  <c r="L11" i="67"/>
  <c r="I8" i="67"/>
  <c r="R8" i="67"/>
  <c r="O11" i="67"/>
  <c r="H7" i="67"/>
  <c r="O10" i="67"/>
  <c r="S7" i="67"/>
  <c r="O7" i="67"/>
  <c r="P8" i="4"/>
  <c r="T8" i="4"/>
  <c r="U8" i="4"/>
  <c r="J7" i="67"/>
  <c r="N8" i="4"/>
  <c r="K8" i="67"/>
  <c r="M12" i="67"/>
  <c r="L7" i="67"/>
  <c r="L8" i="67"/>
  <c r="G8" i="67"/>
  <c r="M10" i="67"/>
  <c r="J8" i="67"/>
  <c r="S8" i="4"/>
  <c r="K7" i="67"/>
  <c r="D8" i="67"/>
  <c r="Q8" i="4"/>
  <c r="L12" i="67"/>
  <c r="L10" i="67"/>
  <c r="M11" i="67"/>
  <c r="O12" i="67"/>
  <c r="O8" i="4"/>
  <c r="S8" i="67"/>
  <c r="A535" i="28"/>
  <c r="J12" i="67" l="1"/>
  <c r="K10" i="67"/>
  <c r="J11" i="67"/>
  <c r="K12" i="67"/>
  <c r="K11" i="67"/>
  <c r="A536" i="28"/>
  <c r="A537" i="28" l="1"/>
  <c r="A538" i="28" l="1"/>
  <c r="A539" i="28" l="1"/>
  <c r="A540" i="28" l="1"/>
  <c r="A541" i="28" l="1"/>
  <c r="A542" i="28" l="1"/>
  <c r="A543" i="28" l="1"/>
  <c r="A544" i="28" l="1"/>
  <c r="A545" i="28" l="1"/>
  <c r="A546" i="28" l="1"/>
  <c r="A547" i="28" l="1"/>
  <c r="D3" i="31"/>
  <c r="E3" i="31" s="1"/>
  <c r="F3" i="31" s="1"/>
  <c r="G3" i="31" s="1"/>
  <c r="H3" i="31" s="1"/>
  <c r="I3" i="31" s="1"/>
  <c r="J3" i="31" s="1"/>
  <c r="K3" i="31" s="1"/>
  <c r="L3" i="31" s="1"/>
  <c r="M3" i="31" s="1"/>
  <c r="N3" i="31" s="1"/>
  <c r="O3" i="31" s="1"/>
  <c r="P3" i="31" s="1"/>
  <c r="Q3" i="31" s="1"/>
  <c r="R3" i="31" s="1"/>
  <c r="S3" i="31" s="1"/>
  <c r="T3" i="31" s="1"/>
  <c r="U3" i="31" s="1"/>
  <c r="V3" i="31" s="1"/>
  <c r="W3" i="31" s="1"/>
  <c r="X3" i="31" s="1"/>
  <c r="Y3" i="31" s="1"/>
  <c r="Z3" i="31" s="1"/>
  <c r="AA3" i="31" s="1"/>
  <c r="AB3" i="31" s="1"/>
  <c r="AC3" i="31" s="1"/>
  <c r="AD3" i="31" s="1"/>
  <c r="AE3" i="31" s="1"/>
  <c r="AF3" i="31" s="1"/>
  <c r="AG3" i="31" s="1"/>
  <c r="AH3" i="31" s="1"/>
  <c r="D3" i="30"/>
  <c r="E3" i="30" s="1"/>
  <c r="F3" i="30" s="1"/>
  <c r="G3" i="30" s="1"/>
  <c r="H3" i="30" s="1"/>
  <c r="I3" i="30" s="1"/>
  <c r="J3" i="30" s="1"/>
  <c r="A548" i="28" l="1"/>
  <c r="A549" i="28" l="1"/>
  <c r="A550" i="28" l="1"/>
  <c r="A551" i="28" l="1"/>
  <c r="A552" i="28" l="1"/>
  <c r="A553" i="28" l="1"/>
  <c r="A554" i="28" l="1"/>
  <c r="A555" i="28" l="1"/>
  <c r="A556" i="28" l="1"/>
  <c r="A557" i="28" l="1"/>
  <c r="A558" i="28" l="1"/>
  <c r="A559" i="28" l="1"/>
  <c r="A560" i="28" l="1"/>
  <c r="A561" i="28" l="1"/>
  <c r="A562" i="28" l="1"/>
  <c r="A563" i="28" l="1"/>
  <c r="A564" i="28" l="1"/>
  <c r="A565" i="28" l="1"/>
  <c r="A566" i="28" l="1"/>
  <c r="A567" i="28" l="1"/>
  <c r="A568" i="28" l="1"/>
  <c r="A569" i="28" l="1"/>
  <c r="A570" i="28" l="1"/>
  <c r="A571" i="28" l="1"/>
  <c r="A572" i="28" l="1"/>
  <c r="A573" i="28" l="1"/>
  <c r="A574" i="28" l="1"/>
  <c r="A575" i="28" l="1"/>
  <c r="A576" i="28" l="1"/>
  <c r="A577" i="28" l="1"/>
  <c r="A578" i="28" l="1"/>
  <c r="A579" i="28" l="1"/>
  <c r="A580" i="28" l="1"/>
  <c r="J889" i="28"/>
  <c r="A581" i="28" l="1"/>
  <c r="Q889" i="28"/>
  <c r="R889" i="28"/>
  <c r="A582" i="28" l="1"/>
  <c r="T889" i="28"/>
  <c r="A583" i="28" l="1"/>
  <c r="AA462" i="4"/>
  <c r="A584" i="28" l="1"/>
  <c r="A585" i="28" l="1"/>
  <c r="A586" i="28" l="1"/>
  <c r="A587" i="28" l="1"/>
  <c r="A588" i="28" l="1"/>
  <c r="A589" i="28" l="1"/>
  <c r="A590" i="28" l="1"/>
  <c r="A591" i="28" l="1"/>
  <c r="A592" i="28" l="1"/>
  <c r="A593" i="28" l="1"/>
  <c r="A594" i="28" l="1"/>
  <c r="AW4" i="4" l="1"/>
  <c r="AV4" i="4"/>
  <c r="U2" i="29"/>
  <c r="F2" i="29" s="1"/>
  <c r="V2" i="29"/>
  <c r="Z4" i="28"/>
  <c r="AA4" i="28"/>
  <c r="A595" i="28"/>
  <c r="Z5" i="28" l="1"/>
  <c r="AA5" i="28"/>
  <c r="O4" i="4"/>
  <c r="Q4" i="4"/>
  <c r="T4" i="4"/>
  <c r="P4" i="4"/>
  <c r="S4" i="4"/>
  <c r="N4" i="4"/>
  <c r="U4" i="4"/>
  <c r="R4" i="4"/>
  <c r="AW5" i="4"/>
  <c r="AV5" i="4"/>
  <c r="U3" i="29"/>
  <c r="F3" i="29" s="1"/>
  <c r="V3" i="29"/>
  <c r="H4" i="28"/>
  <c r="G4" i="28"/>
  <c r="A596" i="28"/>
  <c r="R5" i="4" l="1"/>
  <c r="O5" i="4"/>
  <c r="S5" i="4"/>
  <c r="P5" i="4"/>
  <c r="N5" i="4"/>
  <c r="T5" i="4"/>
  <c r="U5" i="4"/>
  <c r="Q5" i="4"/>
  <c r="V4" i="29"/>
  <c r="U4" i="29"/>
  <c r="F4" i="29" s="1"/>
  <c r="AV6" i="4"/>
  <c r="AW6" i="4"/>
  <c r="H5" i="28"/>
  <c r="G5" i="28"/>
  <c r="Z6" i="28"/>
  <c r="AA6" i="28"/>
  <c r="A597" i="28"/>
  <c r="AA7" i="28" l="1"/>
  <c r="Z7" i="28"/>
  <c r="V5" i="29"/>
  <c r="U5" i="29"/>
  <c r="F5" i="29" s="1"/>
  <c r="H6" i="28"/>
  <c r="G6" i="28"/>
  <c r="P6" i="4"/>
  <c r="R6" i="4"/>
  <c r="O6" i="4"/>
  <c r="Q6" i="4"/>
  <c r="U6" i="4"/>
  <c r="T6" i="4"/>
  <c r="N6" i="4"/>
  <c r="S6" i="4"/>
  <c r="AW7" i="4"/>
  <c r="AV7" i="4"/>
  <c r="A598" i="28"/>
  <c r="G7" i="28" l="1"/>
  <c r="H7" i="28"/>
  <c r="N7" i="4"/>
  <c r="O7" i="4"/>
  <c r="T7" i="4"/>
  <c r="S7" i="4"/>
  <c r="Q7" i="4"/>
  <c r="U7" i="4"/>
  <c r="P7" i="4"/>
  <c r="R7" i="4"/>
  <c r="Z8" i="28"/>
  <c r="AA8" i="28"/>
  <c r="U6" i="29"/>
  <c r="F6" i="29" s="1"/>
  <c r="V6" i="29"/>
  <c r="A599" i="28"/>
  <c r="Z9" i="28" l="1"/>
  <c r="AA9" i="28"/>
  <c r="AV9" i="4"/>
  <c r="AW9" i="4"/>
  <c r="U7" i="29"/>
  <c r="F7" i="29" s="1"/>
  <c r="V7" i="29"/>
  <c r="G8" i="28"/>
  <c r="H8" i="28"/>
  <c r="A600" i="28"/>
  <c r="R9" i="4" l="1"/>
  <c r="T9" i="4"/>
  <c r="N9" i="4"/>
  <c r="Q9" i="4"/>
  <c r="P9" i="4"/>
  <c r="O9" i="4"/>
  <c r="U9" i="4"/>
  <c r="S9" i="4"/>
  <c r="AW10" i="4"/>
  <c r="AV10" i="4"/>
  <c r="U8" i="29"/>
  <c r="F8" i="29" s="1"/>
  <c r="V8" i="29"/>
  <c r="G9" i="28"/>
  <c r="H9" i="28"/>
  <c r="AA10" i="28"/>
  <c r="Z10" i="28"/>
  <c r="A601" i="28"/>
  <c r="V9" i="29" l="1"/>
  <c r="U9" i="29"/>
  <c r="F9" i="29" s="1"/>
  <c r="G10" i="28"/>
  <c r="H10" i="28"/>
  <c r="U10" i="4"/>
  <c r="S10" i="4"/>
  <c r="R10" i="4"/>
  <c r="T10" i="4"/>
  <c r="O10" i="4"/>
  <c r="Q10" i="4"/>
  <c r="P10" i="4"/>
  <c r="N10" i="4"/>
  <c r="AV11" i="4"/>
  <c r="AW11" i="4"/>
  <c r="AA11" i="28"/>
  <c r="Z11" i="28"/>
  <c r="A602" i="28"/>
  <c r="AV12" i="4" l="1"/>
  <c r="AW12" i="4"/>
  <c r="U10" i="29"/>
  <c r="F10" i="29" s="1"/>
  <c r="V10" i="29"/>
  <c r="H11" i="28"/>
  <c r="G11" i="28"/>
  <c r="Z12" i="28"/>
  <c r="AA12" i="28"/>
  <c r="R11" i="4"/>
  <c r="U11" i="4"/>
  <c r="P11" i="4"/>
  <c r="Q11" i="4"/>
  <c r="T11" i="4"/>
  <c r="S11" i="4"/>
  <c r="O11" i="4"/>
  <c r="N11" i="4"/>
  <c r="A603" i="28"/>
  <c r="AW13" i="4" l="1"/>
  <c r="AV13" i="4"/>
  <c r="Q12" i="4"/>
  <c r="S12" i="4"/>
  <c r="R12" i="4"/>
  <c r="U12" i="4"/>
  <c r="T12" i="4"/>
  <c r="P12" i="4"/>
  <c r="N12" i="4"/>
  <c r="O12" i="4"/>
  <c r="U11" i="29"/>
  <c r="F11" i="29" s="1"/>
  <c r="V11" i="29"/>
  <c r="G12" i="28"/>
  <c r="H12" i="28"/>
  <c r="Z13" i="28"/>
  <c r="AA13" i="28"/>
  <c r="A604" i="28"/>
  <c r="AW14" i="4" l="1"/>
  <c r="AV14" i="4"/>
  <c r="H13" i="28"/>
  <c r="G13" i="28"/>
  <c r="AA14" i="28"/>
  <c r="Z14" i="28"/>
  <c r="O13" i="4"/>
  <c r="S13" i="4"/>
  <c r="T13" i="4"/>
  <c r="Q13" i="4"/>
  <c r="U13" i="4"/>
  <c r="N13" i="4"/>
  <c r="P13" i="4"/>
  <c r="R13" i="4"/>
  <c r="U12" i="29"/>
  <c r="F12" i="29" s="1"/>
  <c r="V12" i="29"/>
  <c r="A605" i="28"/>
  <c r="U13" i="29" l="1"/>
  <c r="F13" i="29" s="1"/>
  <c r="V13" i="29"/>
  <c r="AA15" i="28"/>
  <c r="Z15" i="28"/>
  <c r="H14" i="28"/>
  <c r="G14" i="28"/>
  <c r="AW15" i="4"/>
  <c r="AV15" i="4"/>
  <c r="Q14" i="4"/>
  <c r="S14" i="4"/>
  <c r="U14" i="4"/>
  <c r="O14" i="4"/>
  <c r="T14" i="4"/>
  <c r="N14" i="4"/>
  <c r="R14" i="4"/>
  <c r="P14" i="4"/>
  <c r="A606" i="28"/>
  <c r="S15" i="4" l="1"/>
  <c r="P15" i="4"/>
  <c r="O15" i="4"/>
  <c r="U15" i="4"/>
  <c r="T15" i="4"/>
  <c r="N15" i="4"/>
  <c r="Q15" i="4"/>
  <c r="R15" i="4"/>
  <c r="V14" i="29"/>
  <c r="U14" i="29"/>
  <c r="F14" i="29" s="1"/>
  <c r="G15" i="28"/>
  <c r="H15" i="28"/>
  <c r="Z16" i="28"/>
  <c r="AA16" i="28"/>
  <c r="AW16" i="4"/>
  <c r="AV16" i="4"/>
  <c r="A607" i="28"/>
  <c r="N16" i="4" l="1"/>
  <c r="U16" i="4"/>
  <c r="S16" i="4"/>
  <c r="O16" i="4"/>
  <c r="T16" i="4"/>
  <c r="P16" i="4"/>
  <c r="Q16" i="4"/>
  <c r="R16" i="4"/>
  <c r="G16" i="28"/>
  <c r="H16" i="28"/>
  <c r="AV17" i="4"/>
  <c r="AW17" i="4"/>
  <c r="Z17" i="28"/>
  <c r="AA17" i="28"/>
  <c r="U15" i="29"/>
  <c r="F15" i="29" s="1"/>
  <c r="V15" i="29"/>
  <c r="A608" i="28"/>
  <c r="G17" i="28" l="1"/>
  <c r="H17" i="28"/>
  <c r="V16" i="29"/>
  <c r="U16" i="29"/>
  <c r="F16" i="29" s="1"/>
  <c r="AA18" i="28"/>
  <c r="Z18" i="28"/>
  <c r="AW18" i="4"/>
  <c r="AV18" i="4"/>
  <c r="S17" i="4"/>
  <c r="R17" i="4"/>
  <c r="T17" i="4"/>
  <c r="U17" i="4"/>
  <c r="P17" i="4"/>
  <c r="N17" i="4"/>
  <c r="Q17" i="4"/>
  <c r="O17" i="4"/>
  <c r="A609" i="28"/>
  <c r="U17" i="29" l="1"/>
  <c r="F17" i="29" s="1"/>
  <c r="V17" i="29"/>
  <c r="N18" i="4"/>
  <c r="T18" i="4"/>
  <c r="Q18" i="4"/>
  <c r="R18" i="4"/>
  <c r="P18" i="4"/>
  <c r="U18" i="4"/>
  <c r="O18" i="4"/>
  <c r="S18" i="4"/>
  <c r="G18" i="28"/>
  <c r="H18" i="28"/>
  <c r="AV19" i="4"/>
  <c r="AW19" i="4"/>
  <c r="Z19" i="28"/>
  <c r="AA19" i="28"/>
  <c r="A610" i="28"/>
  <c r="V18" i="29" l="1"/>
  <c r="U18" i="29"/>
  <c r="F18" i="29" s="1"/>
  <c r="G19" i="28"/>
  <c r="H19" i="28"/>
  <c r="P19" i="4"/>
  <c r="S19" i="4"/>
  <c r="T19" i="4"/>
  <c r="U19" i="4"/>
  <c r="Q19" i="4"/>
  <c r="N19" i="4"/>
  <c r="R19" i="4"/>
  <c r="O19" i="4"/>
  <c r="AA20" i="28"/>
  <c r="Z20" i="28"/>
  <c r="AV20" i="4"/>
  <c r="AW20" i="4"/>
  <c r="A611" i="28"/>
  <c r="P20" i="4" l="1"/>
  <c r="T20" i="4"/>
  <c r="R20" i="4"/>
  <c r="O20" i="4"/>
  <c r="Q20" i="4"/>
  <c r="S20" i="4"/>
  <c r="U20" i="4"/>
  <c r="N20" i="4"/>
  <c r="G20" i="28"/>
  <c r="H20" i="28"/>
  <c r="AV21" i="4"/>
  <c r="AW21" i="4"/>
  <c r="Z21" i="28"/>
  <c r="AA21" i="28"/>
  <c r="V19" i="29"/>
  <c r="U19" i="29"/>
  <c r="F19" i="29" s="1"/>
  <c r="A612" i="28"/>
  <c r="H21" i="28" l="1"/>
  <c r="G21" i="28"/>
  <c r="AA22" i="28"/>
  <c r="Z22" i="28"/>
  <c r="U20" i="29"/>
  <c r="F20" i="29" s="1"/>
  <c r="V20" i="29"/>
  <c r="T21" i="4"/>
  <c r="S21" i="4"/>
  <c r="P21" i="4"/>
  <c r="O21" i="4"/>
  <c r="U21" i="4"/>
  <c r="R21" i="4"/>
  <c r="Q21" i="4"/>
  <c r="N21" i="4"/>
  <c r="AV22" i="4"/>
  <c r="AW22" i="4"/>
  <c r="A613" i="28"/>
  <c r="AW23" i="4" l="1"/>
  <c r="AV23" i="4"/>
  <c r="G22" i="28"/>
  <c r="H22" i="28"/>
  <c r="N22" i="4"/>
  <c r="Q22" i="4"/>
  <c r="T22" i="4"/>
  <c r="U22" i="4"/>
  <c r="R22" i="4"/>
  <c r="S22" i="4"/>
  <c r="P22" i="4"/>
  <c r="O22" i="4"/>
  <c r="U21" i="29"/>
  <c r="F21" i="29" s="1"/>
  <c r="V21" i="29"/>
  <c r="Z23" i="28"/>
  <c r="AA23" i="28"/>
  <c r="A614" i="28"/>
  <c r="AV24" i="4" l="1"/>
  <c r="AW24" i="4"/>
  <c r="V22" i="29"/>
  <c r="U22" i="29"/>
  <c r="F22" i="29" s="1"/>
  <c r="R23" i="4"/>
  <c r="P23" i="4"/>
  <c r="N23" i="4"/>
  <c r="T23" i="4"/>
  <c r="O23" i="4"/>
  <c r="U23" i="4"/>
  <c r="S23" i="4"/>
  <c r="Q23" i="4"/>
  <c r="G23" i="28"/>
  <c r="H23" i="28"/>
  <c r="AA24" i="28"/>
  <c r="Z24" i="28"/>
  <c r="A615" i="28"/>
  <c r="U23" i="29" l="1"/>
  <c r="F23" i="29" s="1"/>
  <c r="V23" i="29"/>
  <c r="AV25" i="4"/>
  <c r="AW25" i="4"/>
  <c r="H24" i="28"/>
  <c r="G24" i="28"/>
  <c r="AA25" i="28"/>
  <c r="Z25" i="28"/>
  <c r="Q24" i="4"/>
  <c r="N24" i="4"/>
  <c r="S24" i="4"/>
  <c r="P24" i="4"/>
  <c r="O24" i="4"/>
  <c r="T24" i="4"/>
  <c r="U24" i="4"/>
  <c r="R24" i="4"/>
  <c r="A616" i="28"/>
  <c r="O25" i="4" l="1"/>
  <c r="S25" i="4"/>
  <c r="N25" i="4"/>
  <c r="R25" i="4"/>
  <c r="P25" i="4"/>
  <c r="U25" i="4"/>
  <c r="Q25" i="4"/>
  <c r="T25" i="4"/>
  <c r="AW26" i="4"/>
  <c r="AV26" i="4"/>
  <c r="G25" i="28"/>
  <c r="H25" i="28"/>
  <c r="AA26" i="28"/>
  <c r="Z26" i="28"/>
  <c r="V24" i="29"/>
  <c r="U24" i="29"/>
  <c r="F24" i="29" s="1"/>
  <c r="A617" i="28"/>
  <c r="V25" i="29" l="1"/>
  <c r="U25" i="29"/>
  <c r="F25" i="29" s="1"/>
  <c r="G26" i="28"/>
  <c r="H26" i="28"/>
  <c r="AA27" i="28"/>
  <c r="Z27" i="28"/>
  <c r="AW27" i="4"/>
  <c r="AV27" i="4"/>
  <c r="R26" i="4"/>
  <c r="T26" i="4"/>
  <c r="S26" i="4"/>
  <c r="U26" i="4"/>
  <c r="N26" i="4"/>
  <c r="P26" i="4"/>
  <c r="Q26" i="4"/>
  <c r="O26" i="4"/>
  <c r="A618" i="28"/>
  <c r="Z28" i="28" l="1"/>
  <c r="AA28" i="28"/>
  <c r="U27" i="4"/>
  <c r="N27" i="4"/>
  <c r="Q27" i="4"/>
  <c r="R27" i="4"/>
  <c r="T27" i="4"/>
  <c r="P27" i="4"/>
  <c r="O27" i="4"/>
  <c r="S27" i="4"/>
  <c r="V26" i="29"/>
  <c r="U26" i="29"/>
  <c r="F26" i="29" s="1"/>
  <c r="H27" i="28"/>
  <c r="G27" i="28"/>
  <c r="AW28" i="4"/>
  <c r="AV28" i="4"/>
  <c r="A619" i="28"/>
  <c r="U27" i="29" l="1"/>
  <c r="F27" i="29" s="1"/>
  <c r="V27" i="29"/>
  <c r="AA29" i="28"/>
  <c r="Z29" i="28"/>
  <c r="P28" i="4"/>
  <c r="O28" i="4"/>
  <c r="S28" i="4"/>
  <c r="U28" i="4"/>
  <c r="T28" i="4"/>
  <c r="R28" i="4"/>
  <c r="Q28" i="4"/>
  <c r="N28" i="4"/>
  <c r="AW29" i="4"/>
  <c r="AV29" i="4"/>
  <c r="G28" i="28"/>
  <c r="H28" i="28"/>
  <c r="A620" i="28"/>
  <c r="Z30" i="28" l="1"/>
  <c r="AA30" i="28"/>
  <c r="V28" i="29"/>
  <c r="U28" i="29"/>
  <c r="F28" i="29" s="1"/>
  <c r="Q29" i="4"/>
  <c r="P29" i="4"/>
  <c r="O29" i="4"/>
  <c r="N29" i="4"/>
  <c r="U29" i="4"/>
  <c r="R29" i="4"/>
  <c r="T29" i="4"/>
  <c r="S29" i="4"/>
  <c r="AV30" i="4"/>
  <c r="AW30" i="4"/>
  <c r="H29" i="28"/>
  <c r="G29" i="28"/>
  <c r="A621" i="28"/>
  <c r="Z31" i="28" l="1"/>
  <c r="AA31" i="28"/>
  <c r="O30" i="4"/>
  <c r="R30" i="4"/>
  <c r="Q30" i="4"/>
  <c r="U30" i="4"/>
  <c r="T30" i="4"/>
  <c r="N30" i="4"/>
  <c r="S30" i="4"/>
  <c r="P30" i="4"/>
  <c r="G30" i="28"/>
  <c r="H30" i="28"/>
  <c r="AV31" i="4"/>
  <c r="AW31" i="4"/>
  <c r="V29" i="29"/>
  <c r="U29" i="29"/>
  <c r="F29" i="29" s="1"/>
  <c r="A622" i="28"/>
  <c r="U30" i="29" l="1"/>
  <c r="F30" i="29" s="1"/>
  <c r="V30" i="29"/>
  <c r="Z32" i="28"/>
  <c r="AA32" i="28"/>
  <c r="AW32" i="4"/>
  <c r="AV32" i="4"/>
  <c r="P31" i="4"/>
  <c r="Q31" i="4"/>
  <c r="O31" i="4"/>
  <c r="N31" i="4"/>
  <c r="U31" i="4"/>
  <c r="T31" i="4"/>
  <c r="R31" i="4"/>
  <c r="S31" i="4"/>
  <c r="G31" i="28"/>
  <c r="H31" i="28"/>
  <c r="A623" i="28"/>
  <c r="Z33" i="28" l="1"/>
  <c r="AA33" i="28"/>
  <c r="N32" i="4"/>
  <c r="S32" i="4"/>
  <c r="R32" i="4"/>
  <c r="O32" i="4"/>
  <c r="Q32" i="4"/>
  <c r="U32" i="4"/>
  <c r="T32" i="4"/>
  <c r="P32" i="4"/>
  <c r="H32" i="28"/>
  <c r="G32" i="28"/>
  <c r="U31" i="29"/>
  <c r="F31" i="29" s="1"/>
  <c r="V31" i="29"/>
  <c r="AV33" i="4"/>
  <c r="AW33" i="4"/>
  <c r="A624" i="28"/>
  <c r="AA34" i="28" l="1"/>
  <c r="Z34" i="28"/>
  <c r="AV34" i="4"/>
  <c r="AW34" i="4"/>
  <c r="P33" i="4"/>
  <c r="T33" i="4"/>
  <c r="O33" i="4"/>
  <c r="N33" i="4"/>
  <c r="U33" i="4"/>
  <c r="S33" i="4"/>
  <c r="Q33" i="4"/>
  <c r="R33" i="4"/>
  <c r="V32" i="29"/>
  <c r="U32" i="29"/>
  <c r="F32" i="29" s="1"/>
  <c r="H33" i="28"/>
  <c r="G33" i="28"/>
  <c r="A625" i="28"/>
  <c r="AW35" i="4" l="1"/>
  <c r="AV35" i="4"/>
  <c r="AA35" i="28"/>
  <c r="Z35" i="28"/>
  <c r="O34" i="4"/>
  <c r="Q34" i="4"/>
  <c r="P34" i="4"/>
  <c r="R34" i="4"/>
  <c r="T34" i="4"/>
  <c r="S34" i="4"/>
  <c r="U34" i="4"/>
  <c r="N34" i="4"/>
  <c r="H34" i="28"/>
  <c r="G34" i="28"/>
  <c r="V33" i="29"/>
  <c r="U33" i="29"/>
  <c r="F33" i="29" s="1"/>
  <c r="A626" i="28"/>
  <c r="AW36" i="4" l="1"/>
  <c r="AV36" i="4"/>
  <c r="H35" i="28"/>
  <c r="G35" i="28"/>
  <c r="Q35" i="4"/>
  <c r="R35" i="4"/>
  <c r="U35" i="4"/>
  <c r="P35" i="4"/>
  <c r="N35" i="4"/>
  <c r="T35" i="4"/>
  <c r="S35" i="4"/>
  <c r="O35" i="4"/>
  <c r="AA36" i="28"/>
  <c r="Z36" i="28"/>
  <c r="U34" i="29"/>
  <c r="F34" i="29" s="1"/>
  <c r="V34" i="29"/>
  <c r="A627" i="28"/>
  <c r="AV37" i="4" l="1"/>
  <c r="AW37" i="4"/>
  <c r="G36" i="28"/>
  <c r="H36" i="28"/>
  <c r="AA37" i="28"/>
  <c r="Z37" i="28"/>
  <c r="V35" i="29"/>
  <c r="U35" i="29"/>
  <c r="F35" i="29" s="1"/>
  <c r="S36" i="4"/>
  <c r="U36" i="4"/>
  <c r="R36" i="4"/>
  <c r="T36" i="4"/>
  <c r="N36" i="4"/>
  <c r="P36" i="4"/>
  <c r="Q36" i="4"/>
  <c r="O36" i="4"/>
  <c r="A628" i="28"/>
  <c r="AW38" i="4" l="1"/>
  <c r="AV38" i="4"/>
  <c r="S37" i="4"/>
  <c r="Q37" i="4"/>
  <c r="R37" i="4"/>
  <c r="P37" i="4"/>
  <c r="T37" i="4"/>
  <c r="O37" i="4"/>
  <c r="U37" i="4"/>
  <c r="N37" i="4"/>
  <c r="V36" i="29"/>
  <c r="U36" i="29"/>
  <c r="F36" i="29" s="1"/>
  <c r="AA38" i="28"/>
  <c r="Z38" i="28"/>
  <c r="G37" i="28"/>
  <c r="H37" i="28"/>
  <c r="A629" i="28"/>
  <c r="V37" i="29" l="1"/>
  <c r="U37" i="29"/>
  <c r="F37" i="29" s="1"/>
  <c r="AV39" i="4"/>
  <c r="AW39" i="4"/>
  <c r="AA39" i="28"/>
  <c r="Z39" i="28"/>
  <c r="H38" i="28"/>
  <c r="G38" i="28"/>
  <c r="Q38" i="4"/>
  <c r="O38" i="4"/>
  <c r="T38" i="4"/>
  <c r="S38" i="4"/>
  <c r="N38" i="4"/>
  <c r="P38" i="4"/>
  <c r="U38" i="4"/>
  <c r="R38" i="4"/>
  <c r="A630" i="28"/>
  <c r="G39" i="28" l="1"/>
  <c r="H39" i="28"/>
  <c r="AW40" i="4"/>
  <c r="AV40" i="4"/>
  <c r="S39" i="4"/>
  <c r="N39" i="4"/>
  <c r="U39" i="4"/>
  <c r="O39" i="4"/>
  <c r="R39" i="4"/>
  <c r="P39" i="4"/>
  <c r="T39" i="4"/>
  <c r="Q39" i="4"/>
  <c r="AA40" i="28"/>
  <c r="Z40" i="28"/>
  <c r="V38" i="29"/>
  <c r="U38" i="29"/>
  <c r="F38" i="29" s="1"/>
  <c r="A631" i="28"/>
  <c r="AV41" i="4" l="1"/>
  <c r="AW41" i="4"/>
  <c r="AA41" i="28"/>
  <c r="Z41" i="28"/>
  <c r="H40" i="28"/>
  <c r="G40" i="28"/>
  <c r="U39" i="29"/>
  <c r="F39" i="29" s="1"/>
  <c r="V39" i="29"/>
  <c r="N40" i="4"/>
  <c r="P40" i="4"/>
  <c r="R40" i="4"/>
  <c r="U40" i="4"/>
  <c r="S40" i="4"/>
  <c r="T40" i="4"/>
  <c r="Q40" i="4"/>
  <c r="O40" i="4"/>
  <c r="A632" i="28"/>
  <c r="G41" i="28" l="1"/>
  <c r="H41" i="28"/>
  <c r="AW42" i="4"/>
  <c r="AV42" i="4"/>
  <c r="V40" i="29"/>
  <c r="U40" i="29"/>
  <c r="F40" i="29" s="1"/>
  <c r="R41" i="4"/>
  <c r="P41" i="4"/>
  <c r="S41" i="4"/>
  <c r="N41" i="4"/>
  <c r="T41" i="4"/>
  <c r="Q41" i="4"/>
  <c r="U41" i="4"/>
  <c r="O41" i="4"/>
  <c r="Z42" i="28"/>
  <c r="AA42" i="28"/>
  <c r="A633" i="28"/>
  <c r="H42" i="28" l="1"/>
  <c r="G42" i="28"/>
  <c r="U41" i="29"/>
  <c r="F41" i="29" s="1"/>
  <c r="V41" i="29"/>
  <c r="AV43" i="4"/>
  <c r="AW43" i="4"/>
  <c r="P42" i="4"/>
  <c r="R42" i="4"/>
  <c r="T42" i="4"/>
  <c r="Q42" i="4"/>
  <c r="O42" i="4"/>
  <c r="S42" i="4"/>
  <c r="U42" i="4"/>
  <c r="N42" i="4"/>
  <c r="Z43" i="28"/>
  <c r="AA43" i="28"/>
  <c r="A634" i="28"/>
  <c r="R43" i="4" l="1"/>
  <c r="P43" i="4"/>
  <c r="O43" i="4"/>
  <c r="S43" i="4"/>
  <c r="N43" i="4"/>
  <c r="U43" i="4"/>
  <c r="T43" i="4"/>
  <c r="Q43" i="4"/>
  <c r="V42" i="29"/>
  <c r="U42" i="29"/>
  <c r="F42" i="29" s="1"/>
  <c r="AV44" i="4"/>
  <c r="AW44" i="4"/>
  <c r="G43" i="28"/>
  <c r="H43" i="28"/>
  <c r="Z44" i="28"/>
  <c r="AA44" i="28"/>
  <c r="A635" i="28"/>
  <c r="G44" i="28" l="1"/>
  <c r="H44" i="28"/>
  <c r="Z45" i="28"/>
  <c r="AA45" i="28"/>
  <c r="AV45" i="4"/>
  <c r="AW45" i="4"/>
  <c r="T44" i="4"/>
  <c r="N44" i="4"/>
  <c r="P44" i="4"/>
  <c r="S44" i="4"/>
  <c r="Q44" i="4"/>
  <c r="R44" i="4"/>
  <c r="U44" i="4"/>
  <c r="O44" i="4"/>
  <c r="V43" i="29"/>
  <c r="U43" i="29"/>
  <c r="F43" i="29" s="1"/>
  <c r="A636" i="28"/>
  <c r="U44" i="29" l="1"/>
  <c r="F44" i="29" s="1"/>
  <c r="V44" i="29"/>
  <c r="AA46" i="28"/>
  <c r="Z46" i="28"/>
  <c r="AV46" i="4"/>
  <c r="AW46" i="4"/>
  <c r="O45" i="4"/>
  <c r="P45" i="4"/>
  <c r="Q45" i="4"/>
  <c r="N45" i="4"/>
  <c r="S45" i="4"/>
  <c r="T45" i="4"/>
  <c r="U45" i="4"/>
  <c r="R45" i="4"/>
  <c r="H45" i="28"/>
  <c r="G45" i="28"/>
  <c r="A637" i="28"/>
  <c r="V45" i="29" l="1"/>
  <c r="U45" i="29"/>
  <c r="F45" i="29" s="1"/>
  <c r="G46" i="28"/>
  <c r="H46" i="28"/>
  <c r="Z47" i="28"/>
  <c r="AA47" i="28"/>
  <c r="Q46" i="4"/>
  <c r="R46" i="4"/>
  <c r="N46" i="4"/>
  <c r="T46" i="4"/>
  <c r="S46" i="4"/>
  <c r="U46" i="4"/>
  <c r="O46" i="4"/>
  <c r="P46" i="4"/>
  <c r="AW47" i="4"/>
  <c r="AV47" i="4"/>
  <c r="A638" i="28"/>
  <c r="R47" i="4" l="1"/>
  <c r="N47" i="4"/>
  <c r="T47" i="4"/>
  <c r="Q47" i="4"/>
  <c r="P47" i="4"/>
  <c r="S47" i="4"/>
  <c r="O47" i="4"/>
  <c r="U47" i="4"/>
  <c r="AA48" i="28"/>
  <c r="Z48" i="28"/>
  <c r="V46" i="29"/>
  <c r="U46" i="29"/>
  <c r="F46" i="29" s="1"/>
  <c r="G47" i="28"/>
  <c r="H47" i="28"/>
  <c r="AW48" i="4"/>
  <c r="AV48" i="4"/>
  <c r="A639" i="28"/>
  <c r="P48" i="4" l="1"/>
  <c r="Q48" i="4"/>
  <c r="N48" i="4"/>
  <c r="O48" i="4"/>
  <c r="S48" i="4"/>
  <c r="T48" i="4"/>
  <c r="R48" i="4"/>
  <c r="U48" i="4"/>
  <c r="AW49" i="4"/>
  <c r="AV49" i="4"/>
  <c r="G48" i="28"/>
  <c r="H48" i="28"/>
  <c r="AA49" i="28"/>
  <c r="Z49" i="28"/>
  <c r="V47" i="29"/>
  <c r="U47" i="29"/>
  <c r="F47" i="29" s="1"/>
  <c r="A640" i="28"/>
  <c r="AV50" i="4" l="1"/>
  <c r="AW50" i="4"/>
  <c r="U48" i="29"/>
  <c r="F48" i="29" s="1"/>
  <c r="V48" i="29"/>
  <c r="AA50" i="28"/>
  <c r="Z50" i="28"/>
  <c r="H49" i="28"/>
  <c r="G49" i="28"/>
  <c r="P49" i="4"/>
  <c r="U49" i="4"/>
  <c r="N49" i="4"/>
  <c r="O49" i="4"/>
  <c r="S49" i="4"/>
  <c r="R49" i="4"/>
  <c r="T49" i="4"/>
  <c r="Q49" i="4"/>
  <c r="A641" i="28"/>
  <c r="U49" i="29" l="1"/>
  <c r="F49" i="29" s="1"/>
  <c r="V49" i="29"/>
  <c r="Z51" i="28"/>
  <c r="AA51" i="28"/>
  <c r="H50" i="28"/>
  <c r="G50" i="28"/>
  <c r="Q50" i="4"/>
  <c r="P50" i="4"/>
  <c r="O50" i="4"/>
  <c r="N50" i="4"/>
  <c r="T50" i="4"/>
  <c r="U50" i="4"/>
  <c r="R50" i="4"/>
  <c r="S50" i="4"/>
  <c r="AW51" i="4"/>
  <c r="AV51" i="4"/>
  <c r="A642" i="28"/>
  <c r="Q51" i="4" l="1"/>
  <c r="O51" i="4"/>
  <c r="P51" i="4"/>
  <c r="N51" i="4"/>
  <c r="U51" i="4"/>
  <c r="R51" i="4"/>
  <c r="S51" i="4"/>
  <c r="T51" i="4"/>
  <c r="AA52" i="28"/>
  <c r="Z52" i="28"/>
  <c r="V50" i="29"/>
  <c r="U50" i="29"/>
  <c r="F50" i="29" s="1"/>
  <c r="AV52" i="4"/>
  <c r="AW52" i="4"/>
  <c r="G51" i="28"/>
  <c r="H51" i="28"/>
  <c r="A643" i="28"/>
  <c r="AW53" i="4" l="1"/>
  <c r="AV53" i="4"/>
  <c r="AA53" i="28"/>
  <c r="Z53" i="28"/>
  <c r="U52" i="4"/>
  <c r="T52" i="4"/>
  <c r="Q52" i="4"/>
  <c r="N52" i="4"/>
  <c r="S52" i="4"/>
  <c r="R52" i="4"/>
  <c r="O52" i="4"/>
  <c r="P52" i="4"/>
  <c r="U51" i="29"/>
  <c r="F51" i="29" s="1"/>
  <c r="V51" i="29"/>
  <c r="H52" i="28"/>
  <c r="G52" i="28"/>
  <c r="A644" i="28"/>
  <c r="O53" i="4" l="1"/>
  <c r="Q53" i="4"/>
  <c r="U53" i="4"/>
  <c r="R53" i="4"/>
  <c r="P53" i="4"/>
  <c r="N53" i="4"/>
  <c r="S53" i="4"/>
  <c r="T53" i="4"/>
  <c r="AA54" i="28"/>
  <c r="Z54" i="28"/>
  <c r="U52" i="29"/>
  <c r="F52" i="29" s="1"/>
  <c r="V52" i="29"/>
  <c r="G53" i="28"/>
  <c r="H53" i="28"/>
  <c r="AW54" i="4"/>
  <c r="AV54" i="4"/>
  <c r="A645" i="28"/>
  <c r="V53" i="29" l="1"/>
  <c r="U53" i="29"/>
  <c r="F53" i="29" s="1"/>
  <c r="AA55" i="28"/>
  <c r="Z55" i="28"/>
  <c r="O54" i="4"/>
  <c r="S54" i="4"/>
  <c r="N54" i="4"/>
  <c r="U54" i="4"/>
  <c r="Q54" i="4"/>
  <c r="T54" i="4"/>
  <c r="P54" i="4"/>
  <c r="R54" i="4"/>
  <c r="G54" i="28"/>
  <c r="H54" i="28"/>
  <c r="AW55" i="4"/>
  <c r="AV55" i="4"/>
  <c r="A646" i="28"/>
  <c r="AA56" i="28" l="1"/>
  <c r="Z56" i="28"/>
  <c r="V54" i="29"/>
  <c r="U54" i="29"/>
  <c r="F54" i="29" s="1"/>
  <c r="G55" i="28"/>
  <c r="H55" i="28"/>
  <c r="AV56" i="4"/>
  <c r="AW56" i="4"/>
  <c r="N55" i="4"/>
  <c r="S55" i="4"/>
  <c r="T55" i="4"/>
  <c r="P55" i="4"/>
  <c r="O55" i="4"/>
  <c r="R55" i="4"/>
  <c r="U55" i="4"/>
  <c r="Q55" i="4"/>
  <c r="A647" i="28"/>
  <c r="U55" i="29" l="1"/>
  <c r="F55" i="29" s="1"/>
  <c r="V55" i="29"/>
  <c r="U56" i="4"/>
  <c r="R56" i="4"/>
  <c r="Q56" i="4"/>
  <c r="N56" i="4"/>
  <c r="S56" i="4"/>
  <c r="T56" i="4"/>
  <c r="P56" i="4"/>
  <c r="O56" i="4"/>
  <c r="H56" i="28"/>
  <c r="G56" i="28"/>
  <c r="AA57" i="28"/>
  <c r="Z57" i="28"/>
  <c r="AW57" i="4"/>
  <c r="AV57" i="4"/>
  <c r="A648" i="28"/>
  <c r="Z58" i="28" l="1"/>
  <c r="AA58" i="28"/>
  <c r="V56" i="29"/>
  <c r="U56" i="29"/>
  <c r="F56" i="29" s="1"/>
  <c r="H57" i="28"/>
  <c r="G57" i="28"/>
  <c r="AW58" i="4"/>
  <c r="AV58" i="4"/>
  <c r="S57" i="4"/>
  <c r="T57" i="4"/>
  <c r="O57" i="4"/>
  <c r="P57" i="4"/>
  <c r="N57" i="4"/>
  <c r="Q57" i="4"/>
  <c r="R57" i="4"/>
  <c r="U57" i="4"/>
  <c r="A649" i="28"/>
  <c r="V57" i="29" l="1"/>
  <c r="U57" i="29"/>
  <c r="F57" i="29" s="1"/>
  <c r="AV59" i="4"/>
  <c r="AW59" i="4"/>
  <c r="H58" i="28"/>
  <c r="G58" i="28"/>
  <c r="P58" i="4"/>
  <c r="N58" i="4"/>
  <c r="Q58" i="4"/>
  <c r="O58" i="4"/>
  <c r="U58" i="4"/>
  <c r="R58" i="4"/>
  <c r="S58" i="4"/>
  <c r="T58" i="4"/>
  <c r="AA59" i="28"/>
  <c r="Z59" i="28"/>
  <c r="A650" i="28"/>
  <c r="AV60" i="4" l="1"/>
  <c r="AW60" i="4"/>
  <c r="AA60" i="28"/>
  <c r="Z60" i="28"/>
  <c r="H59" i="28"/>
  <c r="G59" i="28"/>
  <c r="U58" i="29"/>
  <c r="F58" i="29" s="1"/>
  <c r="V58" i="29"/>
  <c r="R59" i="4"/>
  <c r="T59" i="4"/>
  <c r="N59" i="4"/>
  <c r="O59" i="4"/>
  <c r="S59" i="4"/>
  <c r="U59" i="4"/>
  <c r="P59" i="4"/>
  <c r="Q59" i="4"/>
  <c r="A651" i="28"/>
  <c r="AA61" i="28" l="1"/>
  <c r="Z61" i="28"/>
  <c r="U59" i="29"/>
  <c r="F59" i="29" s="1"/>
  <c r="V59" i="29"/>
  <c r="P60" i="4"/>
  <c r="T60" i="4"/>
  <c r="N60" i="4"/>
  <c r="R60" i="4"/>
  <c r="O60" i="4"/>
  <c r="U60" i="4"/>
  <c r="Q60" i="4"/>
  <c r="S60" i="4"/>
  <c r="G60" i="28"/>
  <c r="H60" i="28"/>
  <c r="AV61" i="4"/>
  <c r="AW61" i="4"/>
  <c r="A652" i="28"/>
  <c r="R61" i="4" l="1"/>
  <c r="N61" i="4"/>
  <c r="Q61" i="4"/>
  <c r="T61" i="4"/>
  <c r="U61" i="4"/>
  <c r="O61" i="4"/>
  <c r="P61" i="4"/>
  <c r="S61" i="4"/>
  <c r="Z62" i="28"/>
  <c r="AA62" i="28"/>
  <c r="H61" i="28"/>
  <c r="G61" i="28"/>
  <c r="V60" i="29"/>
  <c r="U60" i="29"/>
  <c r="F60" i="29" s="1"/>
  <c r="AV62" i="4"/>
  <c r="AW62" i="4"/>
  <c r="A653" i="28"/>
  <c r="U62" i="4" l="1"/>
  <c r="Q62" i="4"/>
  <c r="P62" i="4"/>
  <c r="N62" i="4"/>
  <c r="O62" i="4"/>
  <c r="S62" i="4"/>
  <c r="R62" i="4"/>
  <c r="T62" i="4"/>
  <c r="AA63" i="28"/>
  <c r="Z63" i="28"/>
  <c r="V61" i="29"/>
  <c r="U61" i="29"/>
  <c r="F61" i="29" s="1"/>
  <c r="AV63" i="4"/>
  <c r="AW63" i="4"/>
  <c r="G62" i="28"/>
  <c r="H62" i="28"/>
  <c r="A654" i="28"/>
  <c r="AW64" i="4" l="1"/>
  <c r="AV64" i="4"/>
  <c r="AA64" i="28"/>
  <c r="Z64" i="28"/>
  <c r="P63" i="4"/>
  <c r="Q63" i="4"/>
  <c r="O63" i="4"/>
  <c r="N63" i="4"/>
  <c r="T63" i="4"/>
  <c r="U63" i="4"/>
  <c r="S63" i="4"/>
  <c r="R63" i="4"/>
  <c r="U62" i="29"/>
  <c r="F62" i="29" s="1"/>
  <c r="V62" i="29"/>
  <c r="G63" i="28"/>
  <c r="H63" i="28"/>
  <c r="A655" i="28"/>
  <c r="H64" i="28" l="1"/>
  <c r="G64" i="28"/>
  <c r="U63" i="29"/>
  <c r="F63" i="29" s="1"/>
  <c r="V63" i="29"/>
  <c r="AA65" i="28"/>
  <c r="Z65" i="28"/>
  <c r="AW65" i="4"/>
  <c r="AV65" i="4"/>
  <c r="Q64" i="4"/>
  <c r="O64" i="4"/>
  <c r="T64" i="4"/>
  <c r="R64" i="4"/>
  <c r="P64" i="4"/>
  <c r="N64" i="4"/>
  <c r="U64" i="4"/>
  <c r="S64" i="4"/>
  <c r="A656" i="28"/>
  <c r="AW66" i="4" l="1"/>
  <c r="AV66" i="4"/>
  <c r="P65" i="4"/>
  <c r="Q65" i="4"/>
  <c r="S65" i="4"/>
  <c r="T65" i="4"/>
  <c r="O65" i="4"/>
  <c r="N65" i="4"/>
  <c r="U65" i="4"/>
  <c r="R65" i="4"/>
  <c r="H65" i="28"/>
  <c r="G65" i="28"/>
  <c r="Z66" i="28"/>
  <c r="AA66" i="28"/>
  <c r="V64" i="29"/>
  <c r="U64" i="29"/>
  <c r="F64" i="29" s="1"/>
  <c r="A657" i="28"/>
  <c r="U65" i="29" l="1"/>
  <c r="F65" i="29" s="1"/>
  <c r="V65" i="29"/>
  <c r="AW67" i="4"/>
  <c r="AV67" i="4"/>
  <c r="H66" i="28"/>
  <c r="G66" i="28"/>
  <c r="AA67" i="28"/>
  <c r="Z67" i="28"/>
  <c r="U66" i="4"/>
  <c r="N66" i="4"/>
  <c r="S66" i="4"/>
  <c r="P66" i="4"/>
  <c r="Q66" i="4"/>
  <c r="T66" i="4"/>
  <c r="O66" i="4"/>
  <c r="R66" i="4"/>
  <c r="A658" i="28"/>
  <c r="AW68" i="4" l="1"/>
  <c r="AV68" i="4"/>
  <c r="G67" i="28"/>
  <c r="H67" i="28"/>
  <c r="V66" i="29"/>
  <c r="U66" i="29"/>
  <c r="F66" i="29" s="1"/>
  <c r="P67" i="4"/>
  <c r="O67" i="4"/>
  <c r="R67" i="4"/>
  <c r="U67" i="4"/>
  <c r="N67" i="4"/>
  <c r="Q67" i="4"/>
  <c r="S67" i="4"/>
  <c r="T67" i="4"/>
  <c r="Z68" i="28"/>
  <c r="AA68" i="28"/>
  <c r="A659" i="28"/>
  <c r="AA69" i="28" l="1"/>
  <c r="Z69" i="28"/>
  <c r="AW69" i="4"/>
  <c r="AV69" i="4"/>
  <c r="R68" i="4"/>
  <c r="U68" i="4"/>
  <c r="S68" i="4"/>
  <c r="T68" i="4"/>
  <c r="O68" i="4"/>
  <c r="P68" i="4"/>
  <c r="Q68" i="4"/>
  <c r="N68" i="4"/>
  <c r="G68" i="28"/>
  <c r="H68" i="28"/>
  <c r="V67" i="29"/>
  <c r="U67" i="29"/>
  <c r="F67" i="29" s="1"/>
  <c r="A660" i="28"/>
  <c r="AA70" i="28" l="1"/>
  <c r="Z70" i="28"/>
  <c r="H69" i="28"/>
  <c r="G69" i="28"/>
  <c r="U68" i="29"/>
  <c r="F68" i="29" s="1"/>
  <c r="V68" i="29"/>
  <c r="AW70" i="4"/>
  <c r="AV70" i="4"/>
  <c r="U69" i="4"/>
  <c r="T69" i="4"/>
  <c r="P69" i="4"/>
  <c r="Q69" i="4"/>
  <c r="R69" i="4"/>
  <c r="S69" i="4"/>
  <c r="O69" i="4"/>
  <c r="N69" i="4"/>
  <c r="A661" i="28"/>
  <c r="AW71" i="4" l="1"/>
  <c r="AV71" i="4"/>
  <c r="Q70" i="4"/>
  <c r="O70" i="4"/>
  <c r="P70" i="4"/>
  <c r="N70" i="4"/>
  <c r="T70" i="4"/>
  <c r="S70" i="4"/>
  <c r="R70" i="4"/>
  <c r="U70" i="4"/>
  <c r="AA71" i="28"/>
  <c r="Z71" i="28"/>
  <c r="H70" i="28"/>
  <c r="G70" i="28"/>
  <c r="U69" i="29"/>
  <c r="F69" i="29" s="1"/>
  <c r="V69" i="29"/>
  <c r="A662" i="28"/>
  <c r="U70" i="29" l="1"/>
  <c r="F70" i="29" s="1"/>
  <c r="V70" i="29"/>
  <c r="Z72" i="28"/>
  <c r="AA72" i="28"/>
  <c r="H71" i="28"/>
  <c r="G71" i="28"/>
  <c r="U71" i="4"/>
  <c r="N71" i="4"/>
  <c r="R71" i="4"/>
  <c r="Q71" i="4"/>
  <c r="T71" i="4"/>
  <c r="P71" i="4"/>
  <c r="S71" i="4"/>
  <c r="O71" i="4"/>
  <c r="AW72" i="4"/>
  <c r="AV72" i="4"/>
  <c r="A663" i="28"/>
  <c r="G72" i="28" l="1"/>
  <c r="H72" i="28"/>
  <c r="S72" i="4"/>
  <c r="R72" i="4"/>
  <c r="U72" i="4"/>
  <c r="T72" i="4"/>
  <c r="P72" i="4"/>
  <c r="N72" i="4"/>
  <c r="Q72" i="4"/>
  <c r="O72" i="4"/>
  <c r="Z73" i="28"/>
  <c r="AA73" i="28"/>
  <c r="V71" i="29"/>
  <c r="U71" i="29"/>
  <c r="F71" i="29" s="1"/>
  <c r="AW73" i="4"/>
  <c r="AV73" i="4"/>
  <c r="A664" i="28"/>
  <c r="H73" i="28" l="1"/>
  <c r="G73" i="28"/>
  <c r="AA74" i="28"/>
  <c r="Z74" i="28"/>
  <c r="AW74" i="4"/>
  <c r="AV74" i="4"/>
  <c r="R73" i="4"/>
  <c r="N73" i="4"/>
  <c r="U73" i="4"/>
  <c r="O73" i="4"/>
  <c r="Q73" i="4"/>
  <c r="S73" i="4"/>
  <c r="P73" i="4"/>
  <c r="T73" i="4"/>
  <c r="V72" i="29"/>
  <c r="U72" i="29"/>
  <c r="F72" i="29" s="1"/>
  <c r="A665" i="28"/>
  <c r="Z75" i="28" l="1"/>
  <c r="AA75" i="28"/>
  <c r="V73" i="29"/>
  <c r="U73" i="29"/>
  <c r="F73" i="29" s="1"/>
  <c r="P74" i="4"/>
  <c r="O74" i="4"/>
  <c r="T74" i="4"/>
  <c r="S74" i="4"/>
  <c r="R74" i="4"/>
  <c r="U74" i="4"/>
  <c r="Q74" i="4"/>
  <c r="N74" i="4"/>
  <c r="AW75" i="4"/>
  <c r="AV75" i="4"/>
  <c r="G74" i="28"/>
  <c r="H74" i="28"/>
  <c r="A666" i="28"/>
  <c r="U75" i="4" l="1"/>
  <c r="P75" i="4"/>
  <c r="S75" i="4"/>
  <c r="O75" i="4"/>
  <c r="N75" i="4"/>
  <c r="R75" i="4"/>
  <c r="T75" i="4"/>
  <c r="Q75" i="4"/>
  <c r="Z76" i="28"/>
  <c r="AA76" i="28"/>
  <c r="U74" i="29"/>
  <c r="F74" i="29" s="1"/>
  <c r="V74" i="29"/>
  <c r="H75" i="28"/>
  <c r="G75" i="28"/>
  <c r="AW76" i="4"/>
  <c r="AV76" i="4"/>
  <c r="A667" i="28"/>
  <c r="U76" i="4" l="1"/>
  <c r="R76" i="4"/>
  <c r="P76" i="4"/>
  <c r="Q76" i="4"/>
  <c r="O76" i="4"/>
  <c r="N76" i="4"/>
  <c r="S76" i="4"/>
  <c r="T76" i="4"/>
  <c r="H76" i="28"/>
  <c r="G76" i="28"/>
  <c r="AW77" i="4"/>
  <c r="AV77" i="4"/>
  <c r="AA77" i="28"/>
  <c r="Z77" i="28"/>
  <c r="U75" i="29"/>
  <c r="F75" i="29" s="1"/>
  <c r="V75" i="29"/>
  <c r="A668" i="28"/>
  <c r="AA78" i="28" l="1"/>
  <c r="Z78" i="28"/>
  <c r="AW78" i="4"/>
  <c r="AV78" i="4"/>
  <c r="H77" i="28"/>
  <c r="G77" i="28"/>
  <c r="N77" i="4"/>
  <c r="Q77" i="4"/>
  <c r="U77" i="4"/>
  <c r="T77" i="4"/>
  <c r="R77" i="4"/>
  <c r="S77" i="4"/>
  <c r="O77" i="4"/>
  <c r="P77" i="4"/>
  <c r="V76" i="29"/>
  <c r="U76" i="29"/>
  <c r="F76" i="29" s="1"/>
  <c r="A669" i="28"/>
  <c r="AA79" i="28" l="1"/>
  <c r="Z79" i="28"/>
  <c r="U77" i="29"/>
  <c r="F77" i="29" s="1"/>
  <c r="V77" i="29"/>
  <c r="R78" i="4"/>
  <c r="O78" i="4"/>
  <c r="S78" i="4"/>
  <c r="P78" i="4"/>
  <c r="U78" i="4"/>
  <c r="N78" i="4"/>
  <c r="T78" i="4"/>
  <c r="Q78" i="4"/>
  <c r="AV79" i="4"/>
  <c r="AW79" i="4"/>
  <c r="G78" i="28"/>
  <c r="H78" i="28"/>
  <c r="A670" i="28"/>
  <c r="G79" i="28" l="1"/>
  <c r="H79" i="28"/>
  <c r="Z80" i="28"/>
  <c r="AA80" i="28"/>
  <c r="AW80" i="4"/>
  <c r="AV80" i="4"/>
  <c r="U78" i="29"/>
  <c r="F78" i="29" s="1"/>
  <c r="V78" i="29"/>
  <c r="Q79" i="4"/>
  <c r="N79" i="4"/>
  <c r="P79" i="4"/>
  <c r="O79" i="4"/>
  <c r="U79" i="4"/>
  <c r="R79" i="4"/>
  <c r="T79" i="4"/>
  <c r="S79" i="4"/>
  <c r="A671" i="28"/>
  <c r="AA81" i="28" l="1"/>
  <c r="Z81" i="28"/>
  <c r="G80" i="28"/>
  <c r="H80" i="28"/>
  <c r="U80" i="4"/>
  <c r="T80" i="4"/>
  <c r="S80" i="4"/>
  <c r="R80" i="4"/>
  <c r="O80" i="4"/>
  <c r="N80" i="4"/>
  <c r="P80" i="4"/>
  <c r="Q80" i="4"/>
  <c r="AW81" i="4"/>
  <c r="AV81" i="4"/>
  <c r="V79" i="29"/>
  <c r="U79" i="29"/>
  <c r="F79" i="29" s="1"/>
  <c r="A672" i="28"/>
  <c r="AW82" i="4" l="1"/>
  <c r="AV82" i="4"/>
  <c r="V80" i="29"/>
  <c r="U80" i="29"/>
  <c r="F80" i="29" s="1"/>
  <c r="T81" i="4"/>
  <c r="O81" i="4"/>
  <c r="P81" i="4"/>
  <c r="R81" i="4"/>
  <c r="S81" i="4"/>
  <c r="N81" i="4"/>
  <c r="Q81" i="4"/>
  <c r="U81" i="4"/>
  <c r="Z82" i="28"/>
  <c r="AA82" i="28"/>
  <c r="H81" i="28"/>
  <c r="G81" i="28"/>
  <c r="A673" i="28"/>
  <c r="U81" i="29" l="1"/>
  <c r="F81" i="29" s="1"/>
  <c r="V81" i="29"/>
  <c r="G82" i="28"/>
  <c r="H82" i="28"/>
  <c r="AV83" i="4"/>
  <c r="AW83" i="4"/>
  <c r="AA83" i="28"/>
  <c r="Z83" i="28"/>
  <c r="U82" i="4"/>
  <c r="R82" i="4"/>
  <c r="P82" i="4"/>
  <c r="O82" i="4"/>
  <c r="S82" i="4"/>
  <c r="T82" i="4"/>
  <c r="N82" i="4"/>
  <c r="Q82" i="4"/>
  <c r="A674" i="28"/>
  <c r="U82" i="29" l="1"/>
  <c r="F82" i="29" s="1"/>
  <c r="V82" i="29"/>
  <c r="AW84" i="4"/>
  <c r="AV84" i="4"/>
  <c r="G83" i="28"/>
  <c r="H83" i="28"/>
  <c r="T83" i="4"/>
  <c r="Q83" i="4"/>
  <c r="R83" i="4"/>
  <c r="P83" i="4"/>
  <c r="O83" i="4"/>
  <c r="S83" i="4"/>
  <c r="N83" i="4"/>
  <c r="U83" i="4"/>
  <c r="AA84" i="28"/>
  <c r="Z84" i="28"/>
  <c r="A675" i="28"/>
  <c r="G84" i="28" l="1"/>
  <c r="H84" i="28"/>
  <c r="AV85" i="4"/>
  <c r="AW85" i="4"/>
  <c r="V83" i="29"/>
  <c r="U83" i="29"/>
  <c r="F83" i="29" s="1"/>
  <c r="N84" i="4"/>
  <c r="S84" i="4"/>
  <c r="U84" i="4"/>
  <c r="P84" i="4"/>
  <c r="O84" i="4"/>
  <c r="T84" i="4"/>
  <c r="R84" i="4"/>
  <c r="Q84" i="4"/>
  <c r="Z85" i="28"/>
  <c r="AA85" i="28"/>
  <c r="A676" i="28"/>
  <c r="G85" i="28" l="1"/>
  <c r="H85" i="28"/>
  <c r="AW86" i="4"/>
  <c r="AV86" i="4"/>
  <c r="U84" i="29"/>
  <c r="F84" i="29" s="1"/>
  <c r="V84" i="29"/>
  <c r="AA86" i="28"/>
  <c r="Z86" i="28"/>
  <c r="U85" i="4"/>
  <c r="S85" i="4"/>
  <c r="N85" i="4"/>
  <c r="P85" i="4"/>
  <c r="O85" i="4"/>
  <c r="Q85" i="4"/>
  <c r="R85" i="4"/>
  <c r="T85" i="4"/>
  <c r="A677" i="28"/>
  <c r="H86" i="28" l="1"/>
  <c r="G86" i="28"/>
  <c r="AA87" i="28"/>
  <c r="Z87" i="28"/>
  <c r="AW87" i="4"/>
  <c r="AV87" i="4"/>
  <c r="V85" i="29"/>
  <c r="U85" i="29"/>
  <c r="F85" i="29" s="1"/>
  <c r="U86" i="4"/>
  <c r="T86" i="4"/>
  <c r="R86" i="4"/>
  <c r="S86" i="4"/>
  <c r="P86" i="4"/>
  <c r="Q86" i="4"/>
  <c r="N86" i="4"/>
  <c r="O86" i="4"/>
  <c r="A678" i="28"/>
  <c r="Z88" i="28" l="1"/>
  <c r="AA88" i="28"/>
  <c r="H87" i="28"/>
  <c r="G87" i="28"/>
  <c r="AW88" i="4"/>
  <c r="AV88" i="4"/>
  <c r="Q87" i="4"/>
  <c r="N87" i="4"/>
  <c r="S87" i="4"/>
  <c r="R87" i="4"/>
  <c r="T87" i="4"/>
  <c r="U87" i="4"/>
  <c r="P87" i="4"/>
  <c r="O87" i="4"/>
  <c r="V86" i="29"/>
  <c r="U86" i="29"/>
  <c r="F86" i="29" s="1"/>
  <c r="A679" i="28"/>
  <c r="AA89" i="28" l="1"/>
  <c r="Z89" i="28"/>
  <c r="R88" i="4"/>
  <c r="Q88" i="4"/>
  <c r="O88" i="4"/>
  <c r="N88" i="4"/>
  <c r="P88" i="4"/>
  <c r="S88" i="4"/>
  <c r="T88" i="4"/>
  <c r="U88" i="4"/>
  <c r="AV89" i="4"/>
  <c r="AW89" i="4"/>
  <c r="U87" i="29"/>
  <c r="F87" i="29" s="1"/>
  <c r="V87" i="29"/>
  <c r="H88" i="28"/>
  <c r="G88" i="28"/>
  <c r="A680" i="28"/>
  <c r="AV90" i="4" l="1"/>
  <c r="AW90" i="4"/>
  <c r="AA90" i="28"/>
  <c r="Z90" i="28"/>
  <c r="U88" i="29"/>
  <c r="F88" i="29" s="1"/>
  <c r="V88" i="29"/>
  <c r="O89" i="4"/>
  <c r="P89" i="4"/>
  <c r="R89" i="4"/>
  <c r="U89" i="4"/>
  <c r="N89" i="4"/>
  <c r="Q89" i="4"/>
  <c r="S89" i="4"/>
  <c r="T89" i="4"/>
  <c r="G89" i="28"/>
  <c r="H89" i="28"/>
  <c r="A681" i="28"/>
  <c r="H90" i="28" l="1"/>
  <c r="G90" i="28"/>
  <c r="V89" i="29"/>
  <c r="U89" i="29"/>
  <c r="F89" i="29" s="1"/>
  <c r="Z91" i="28"/>
  <c r="AA91" i="28"/>
  <c r="R90" i="4"/>
  <c r="N90" i="4"/>
  <c r="T90" i="4"/>
  <c r="Q90" i="4"/>
  <c r="S90" i="4"/>
  <c r="O90" i="4"/>
  <c r="U90" i="4"/>
  <c r="P90" i="4"/>
  <c r="AW91" i="4"/>
  <c r="AV91" i="4"/>
  <c r="A682" i="28"/>
  <c r="H91" i="28" l="1"/>
  <c r="G91" i="28"/>
  <c r="U90" i="29"/>
  <c r="F90" i="29" s="1"/>
  <c r="V90" i="29"/>
  <c r="AW92" i="4"/>
  <c r="AV92" i="4"/>
  <c r="Z92" i="28"/>
  <c r="AA92" i="28"/>
  <c r="S91" i="4"/>
  <c r="O91" i="4"/>
  <c r="Q91" i="4"/>
  <c r="U91" i="4"/>
  <c r="P91" i="4"/>
  <c r="R91" i="4"/>
  <c r="T91" i="4"/>
  <c r="N91" i="4"/>
  <c r="A683" i="28"/>
  <c r="AA93" i="28" l="1"/>
  <c r="Z93" i="28"/>
  <c r="T92" i="4"/>
  <c r="Q92" i="4"/>
  <c r="R92" i="4"/>
  <c r="O92" i="4"/>
  <c r="N92" i="4"/>
  <c r="U92" i="4"/>
  <c r="P92" i="4"/>
  <c r="S92" i="4"/>
  <c r="AW93" i="4"/>
  <c r="AV93" i="4"/>
  <c r="V91" i="29"/>
  <c r="U91" i="29"/>
  <c r="F91" i="29" s="1"/>
  <c r="G92" i="28"/>
  <c r="H92" i="28"/>
  <c r="A684" i="28"/>
  <c r="T93" i="4" l="1"/>
  <c r="P93" i="4"/>
  <c r="S93" i="4"/>
  <c r="Q93" i="4"/>
  <c r="R93" i="4"/>
  <c r="U93" i="4"/>
  <c r="O93" i="4"/>
  <c r="N93" i="4"/>
  <c r="AA94" i="28"/>
  <c r="Z94" i="28"/>
  <c r="U92" i="29"/>
  <c r="F92" i="29" s="1"/>
  <c r="V92" i="29"/>
  <c r="G93" i="28"/>
  <c r="H93" i="28"/>
  <c r="AW94" i="4"/>
  <c r="AV94" i="4"/>
  <c r="A685" i="28"/>
  <c r="AV95" i="4" l="1"/>
  <c r="AW95" i="4"/>
  <c r="U94" i="4"/>
  <c r="R94" i="4"/>
  <c r="T94" i="4"/>
  <c r="S94" i="4"/>
  <c r="Q94" i="4"/>
  <c r="O94" i="4"/>
  <c r="P94" i="4"/>
  <c r="N94" i="4"/>
  <c r="AA95" i="28"/>
  <c r="Z95" i="28"/>
  <c r="V93" i="29"/>
  <c r="U93" i="29"/>
  <c r="F93" i="29" s="1"/>
  <c r="G94" i="28"/>
  <c r="H94" i="28"/>
  <c r="A686" i="28"/>
  <c r="G95" i="28" l="1"/>
  <c r="H95" i="28"/>
  <c r="Z96" i="28"/>
  <c r="AA96" i="28"/>
  <c r="AW96" i="4"/>
  <c r="AV96" i="4"/>
  <c r="U94" i="29"/>
  <c r="F94" i="29" s="1"/>
  <c r="V94" i="29"/>
  <c r="N95" i="4"/>
  <c r="P95" i="4"/>
  <c r="T95" i="4"/>
  <c r="R95" i="4"/>
  <c r="S95" i="4"/>
  <c r="U95" i="4"/>
  <c r="Q95" i="4"/>
  <c r="O95" i="4"/>
  <c r="A687" i="28"/>
  <c r="AW97" i="4" l="1"/>
  <c r="AV97" i="4"/>
  <c r="Z97" i="28"/>
  <c r="AA97" i="28"/>
  <c r="U96" i="4"/>
  <c r="N96" i="4"/>
  <c r="S96" i="4"/>
  <c r="P96" i="4"/>
  <c r="R96" i="4"/>
  <c r="O96" i="4"/>
  <c r="T96" i="4"/>
  <c r="Q96" i="4"/>
  <c r="G96" i="28"/>
  <c r="H96" i="28"/>
  <c r="V95" i="29"/>
  <c r="U95" i="29"/>
  <c r="F95" i="29" s="1"/>
  <c r="A688" i="28"/>
  <c r="AW98" i="4" l="1"/>
  <c r="AV98" i="4"/>
  <c r="P97" i="4"/>
  <c r="U97" i="4"/>
  <c r="T97" i="4"/>
  <c r="O97" i="4"/>
  <c r="R97" i="4"/>
  <c r="Q97" i="4"/>
  <c r="N97" i="4"/>
  <c r="S97" i="4"/>
  <c r="G97" i="28"/>
  <c r="H97" i="28"/>
  <c r="Z98" i="28"/>
  <c r="AA98" i="28"/>
  <c r="U96" i="29"/>
  <c r="F96" i="29" s="1"/>
  <c r="V96" i="29"/>
  <c r="A689" i="28"/>
  <c r="U97" i="29" l="1"/>
  <c r="F97" i="29" s="1"/>
  <c r="V97" i="29"/>
  <c r="AW99" i="4"/>
  <c r="AV99" i="4"/>
  <c r="Z99" i="28"/>
  <c r="AA99" i="28"/>
  <c r="G98" i="28"/>
  <c r="H98" i="28"/>
  <c r="N98" i="4"/>
  <c r="S98" i="4"/>
  <c r="T98" i="4"/>
  <c r="P98" i="4"/>
  <c r="R98" i="4"/>
  <c r="O98" i="4"/>
  <c r="Q98" i="4"/>
  <c r="U98" i="4"/>
  <c r="A690" i="28"/>
  <c r="H99" i="28" l="1"/>
  <c r="G99" i="28"/>
  <c r="R99" i="4"/>
  <c r="T99" i="4"/>
  <c r="N99" i="4"/>
  <c r="O99" i="4"/>
  <c r="U99" i="4"/>
  <c r="S99" i="4"/>
  <c r="P99" i="4"/>
  <c r="Q99" i="4"/>
  <c r="AV100" i="4"/>
  <c r="AW100" i="4"/>
  <c r="U98" i="29"/>
  <c r="F98" i="29" s="1"/>
  <c r="V98" i="29"/>
  <c r="Z100" i="28"/>
  <c r="AA100" i="28"/>
  <c r="A691" i="28"/>
  <c r="AA101" i="28" l="1"/>
  <c r="Z101" i="28"/>
  <c r="U99" i="29"/>
  <c r="F99" i="29" s="1"/>
  <c r="V99" i="29"/>
  <c r="AV101" i="4"/>
  <c r="AW101" i="4"/>
  <c r="Q100" i="4"/>
  <c r="N100" i="4"/>
  <c r="P100" i="4"/>
  <c r="O100" i="4"/>
  <c r="U100" i="4"/>
  <c r="R100" i="4"/>
  <c r="T100" i="4"/>
  <c r="S100" i="4"/>
  <c r="G100" i="28"/>
  <c r="H100" i="28"/>
  <c r="A692" i="28"/>
  <c r="AV102" i="4" l="1"/>
  <c r="AW102" i="4"/>
  <c r="V100" i="29"/>
  <c r="U100" i="29"/>
  <c r="F100" i="29" s="1"/>
  <c r="AA102" i="28"/>
  <c r="Z102" i="28"/>
  <c r="U101" i="4"/>
  <c r="Q101" i="4"/>
  <c r="R101" i="4"/>
  <c r="P101" i="4"/>
  <c r="O101" i="4"/>
  <c r="T101" i="4"/>
  <c r="N101" i="4"/>
  <c r="S101" i="4"/>
  <c r="H101" i="28"/>
  <c r="G101" i="28"/>
  <c r="A693" i="28"/>
  <c r="AW103" i="4" l="1"/>
  <c r="AV103" i="4"/>
  <c r="AA103" i="28"/>
  <c r="Z103" i="28"/>
  <c r="T102" i="4"/>
  <c r="R102" i="4"/>
  <c r="Q102" i="4"/>
  <c r="N102" i="4"/>
  <c r="S102" i="4"/>
  <c r="U102" i="4"/>
  <c r="O102" i="4"/>
  <c r="P102" i="4"/>
  <c r="H102" i="28"/>
  <c r="G102" i="28"/>
  <c r="U101" i="29"/>
  <c r="F101" i="29" s="1"/>
  <c r="V101" i="29"/>
  <c r="A694" i="28"/>
  <c r="H103" i="28" l="1"/>
  <c r="G103" i="28"/>
  <c r="Z104" i="28"/>
  <c r="AA104" i="28"/>
  <c r="V102" i="29"/>
  <c r="U102" i="29"/>
  <c r="F102" i="29" s="1"/>
  <c r="Q103" i="4"/>
  <c r="O103" i="4"/>
  <c r="P103" i="4"/>
  <c r="N103" i="4"/>
  <c r="S103" i="4"/>
  <c r="T103" i="4"/>
  <c r="R103" i="4"/>
  <c r="U103" i="4"/>
  <c r="AV104" i="4"/>
  <c r="AW104" i="4"/>
  <c r="A695" i="28"/>
  <c r="Z105" i="28" l="1"/>
  <c r="AA105" i="28"/>
  <c r="T104" i="4"/>
  <c r="Q104" i="4"/>
  <c r="U104" i="4"/>
  <c r="S104" i="4"/>
  <c r="P104" i="4"/>
  <c r="O104" i="4"/>
  <c r="R104" i="4"/>
  <c r="N104" i="4"/>
  <c r="V103" i="29"/>
  <c r="U103" i="29"/>
  <c r="F103" i="29" s="1"/>
  <c r="H104" i="28"/>
  <c r="G104" i="28"/>
  <c r="AV105" i="4"/>
  <c r="AW105" i="4"/>
  <c r="A696" i="28"/>
  <c r="AW106" i="4" l="1"/>
  <c r="AV106" i="4"/>
  <c r="V104" i="29"/>
  <c r="U104" i="29"/>
  <c r="F104" i="29" s="1"/>
  <c r="Z106" i="28"/>
  <c r="AA106" i="28"/>
  <c r="Q105" i="4"/>
  <c r="N105" i="4"/>
  <c r="O105" i="4"/>
  <c r="P105" i="4"/>
  <c r="S105" i="4"/>
  <c r="T105" i="4"/>
  <c r="U105" i="4"/>
  <c r="R105" i="4"/>
  <c r="H105" i="28"/>
  <c r="G105" i="28"/>
  <c r="A697" i="28"/>
  <c r="V105" i="29" l="1"/>
  <c r="U105" i="29"/>
  <c r="F105" i="29" s="1"/>
  <c r="G106" i="28"/>
  <c r="H106" i="28"/>
  <c r="T106" i="4"/>
  <c r="U106" i="4"/>
  <c r="N106" i="4"/>
  <c r="Q106" i="4"/>
  <c r="S106" i="4"/>
  <c r="R106" i="4"/>
  <c r="P106" i="4"/>
  <c r="O106" i="4"/>
  <c r="AV107" i="4"/>
  <c r="AW107" i="4"/>
  <c r="AA107" i="28"/>
  <c r="Z107" i="28"/>
  <c r="A698" i="28"/>
  <c r="Q107" i="4" l="1"/>
  <c r="N107" i="4"/>
  <c r="P107" i="4"/>
  <c r="O107" i="4"/>
  <c r="R107" i="4"/>
  <c r="S107" i="4"/>
  <c r="U107" i="4"/>
  <c r="T107" i="4"/>
  <c r="V106" i="29"/>
  <c r="U106" i="29"/>
  <c r="F106" i="29" s="1"/>
  <c r="AW108" i="4"/>
  <c r="AV108" i="4"/>
  <c r="H107" i="28"/>
  <c r="G107" i="28"/>
  <c r="AA108" i="28"/>
  <c r="Z108" i="28"/>
  <c r="A699" i="28"/>
  <c r="AA109" i="28" l="1"/>
  <c r="Z109" i="28"/>
  <c r="V107" i="29"/>
  <c r="U107" i="29"/>
  <c r="F107" i="29" s="1"/>
  <c r="R108" i="4"/>
  <c r="O108" i="4"/>
  <c r="U108" i="4"/>
  <c r="Q108" i="4"/>
  <c r="S108" i="4"/>
  <c r="N108" i="4"/>
  <c r="T108" i="4"/>
  <c r="P108" i="4"/>
  <c r="AV109" i="4"/>
  <c r="AW109" i="4"/>
  <c r="H108" i="28"/>
  <c r="G108" i="28"/>
  <c r="A700" i="28"/>
  <c r="Z110" i="28" l="1"/>
  <c r="AA110" i="28"/>
  <c r="AV110" i="4"/>
  <c r="AW110" i="4"/>
  <c r="H109" i="28"/>
  <c r="G109" i="28"/>
  <c r="S109" i="4"/>
  <c r="U109" i="4"/>
  <c r="R109" i="4"/>
  <c r="O109" i="4"/>
  <c r="N109" i="4"/>
  <c r="T109" i="4"/>
  <c r="Q109" i="4"/>
  <c r="P109" i="4"/>
  <c r="V108" i="29"/>
  <c r="U108" i="29"/>
  <c r="F108" i="29" s="1"/>
  <c r="A701" i="28"/>
  <c r="U109" i="29" l="1"/>
  <c r="F109" i="29" s="1"/>
  <c r="V109" i="29"/>
  <c r="AW111" i="4"/>
  <c r="AV111" i="4"/>
  <c r="Z111" i="28"/>
  <c r="AA111" i="28"/>
  <c r="U110" i="4"/>
  <c r="T110" i="4"/>
  <c r="N110" i="4"/>
  <c r="Q110" i="4"/>
  <c r="S110" i="4"/>
  <c r="R110" i="4"/>
  <c r="O110" i="4"/>
  <c r="P110" i="4"/>
  <c r="G110" i="28"/>
  <c r="H110" i="28"/>
  <c r="A702" i="28"/>
  <c r="Z112" i="28" l="1"/>
  <c r="AA112" i="28"/>
  <c r="AV112" i="4"/>
  <c r="AW112" i="4"/>
  <c r="H111" i="28"/>
  <c r="G111" i="28"/>
  <c r="P111" i="4"/>
  <c r="N111" i="4"/>
  <c r="Q111" i="4"/>
  <c r="O111" i="4"/>
  <c r="R111" i="4"/>
  <c r="T111" i="4"/>
  <c r="U111" i="4"/>
  <c r="S111" i="4"/>
  <c r="U110" i="29"/>
  <c r="F110" i="29" s="1"/>
  <c r="V110" i="29"/>
  <c r="A703" i="28"/>
  <c r="AW113" i="4" l="1"/>
  <c r="AV113" i="4"/>
  <c r="U111" i="29"/>
  <c r="F111" i="29" s="1"/>
  <c r="V111" i="29"/>
  <c r="Q112" i="4"/>
  <c r="S112" i="4"/>
  <c r="U112" i="4"/>
  <c r="O112" i="4"/>
  <c r="N112" i="4"/>
  <c r="R112" i="4"/>
  <c r="T112" i="4"/>
  <c r="P112" i="4"/>
  <c r="H112" i="28"/>
  <c r="G112" i="28"/>
  <c r="AA113" i="28"/>
  <c r="Z113" i="28"/>
  <c r="A704" i="28"/>
  <c r="AV114" i="4" l="1"/>
  <c r="AW114" i="4"/>
  <c r="U112" i="29"/>
  <c r="F112" i="29" s="1"/>
  <c r="V112" i="29"/>
  <c r="H113" i="28"/>
  <c r="G113" i="28"/>
  <c r="AA114" i="28"/>
  <c r="Z114" i="28"/>
  <c r="P113" i="4"/>
  <c r="Q113" i="4"/>
  <c r="S113" i="4"/>
  <c r="N113" i="4"/>
  <c r="T113" i="4"/>
  <c r="R113" i="4"/>
  <c r="U113" i="4"/>
  <c r="O113" i="4"/>
  <c r="A705" i="28"/>
  <c r="AW115" i="4" l="1"/>
  <c r="AV115" i="4"/>
  <c r="V113" i="29"/>
  <c r="U113" i="29"/>
  <c r="F113" i="29" s="1"/>
  <c r="O114" i="4"/>
  <c r="P114" i="4"/>
  <c r="N114" i="4"/>
  <c r="Q114" i="4"/>
  <c r="T114" i="4"/>
  <c r="U114" i="4"/>
  <c r="S114" i="4"/>
  <c r="R114" i="4"/>
  <c r="Z115" i="28"/>
  <c r="AA115" i="28"/>
  <c r="H114" i="28"/>
  <c r="G114" i="28"/>
  <c r="A706" i="28"/>
  <c r="U114" i="29" l="1"/>
  <c r="F114" i="29" s="1"/>
  <c r="V114" i="29"/>
  <c r="G115" i="28"/>
  <c r="H115" i="28"/>
  <c r="P115" i="4"/>
  <c r="O115" i="4"/>
  <c r="N115" i="4"/>
  <c r="Q115" i="4"/>
  <c r="R115" i="4"/>
  <c r="S115" i="4"/>
  <c r="T115" i="4"/>
  <c r="U115" i="4"/>
  <c r="AA116" i="28"/>
  <c r="Z116" i="28"/>
  <c r="AW116" i="4"/>
  <c r="AV116" i="4"/>
  <c r="A707" i="28"/>
  <c r="U115" i="29" l="1"/>
  <c r="F115" i="29" s="1"/>
  <c r="V115" i="29"/>
  <c r="G116" i="28"/>
  <c r="H116" i="28"/>
  <c r="AW117" i="4"/>
  <c r="AV117" i="4"/>
  <c r="O116" i="4"/>
  <c r="T116" i="4"/>
  <c r="P116" i="4"/>
  <c r="S116" i="4"/>
  <c r="U116" i="4"/>
  <c r="N116" i="4"/>
  <c r="R116" i="4"/>
  <c r="Q116" i="4"/>
  <c r="Z117" i="28"/>
  <c r="AA117" i="28"/>
  <c r="A708" i="28"/>
  <c r="AW118" i="4" l="1"/>
  <c r="AV118" i="4"/>
  <c r="G117" i="28"/>
  <c r="H117" i="28"/>
  <c r="Z118" i="28"/>
  <c r="AA118" i="28"/>
  <c r="U117" i="4"/>
  <c r="P117" i="4"/>
  <c r="S117" i="4"/>
  <c r="O117" i="4"/>
  <c r="T117" i="4"/>
  <c r="N117" i="4"/>
  <c r="R117" i="4"/>
  <c r="Q117" i="4"/>
  <c r="V116" i="29"/>
  <c r="U116" i="29"/>
  <c r="F116" i="29" s="1"/>
  <c r="A709" i="28"/>
  <c r="V117" i="29" l="1"/>
  <c r="U117" i="29"/>
  <c r="F117" i="29" s="1"/>
  <c r="AW119" i="4"/>
  <c r="AV119" i="4"/>
  <c r="AA119" i="28"/>
  <c r="Z119" i="28"/>
  <c r="H118" i="28"/>
  <c r="G118" i="28"/>
  <c r="T118" i="4"/>
  <c r="Q118" i="4"/>
  <c r="U118" i="4"/>
  <c r="P118" i="4"/>
  <c r="R118" i="4"/>
  <c r="N118" i="4"/>
  <c r="S118" i="4"/>
  <c r="O118" i="4"/>
  <c r="A710" i="28"/>
  <c r="AV120" i="4" l="1"/>
  <c r="AW120" i="4"/>
  <c r="H119" i="28"/>
  <c r="G119" i="28"/>
  <c r="R119" i="4"/>
  <c r="O119" i="4"/>
  <c r="Q119" i="4"/>
  <c r="U119" i="4"/>
  <c r="S119" i="4"/>
  <c r="P119" i="4"/>
  <c r="N119" i="4"/>
  <c r="T119" i="4"/>
  <c r="AA120" i="28"/>
  <c r="Z120" i="28"/>
  <c r="V118" i="29"/>
  <c r="U118" i="29"/>
  <c r="F118" i="29" s="1"/>
  <c r="A711" i="28"/>
  <c r="N120" i="4" l="1"/>
  <c r="R120" i="4"/>
  <c r="S120" i="4"/>
  <c r="Q120" i="4"/>
  <c r="O120" i="4"/>
  <c r="P120" i="4"/>
  <c r="T120" i="4"/>
  <c r="U120" i="4"/>
  <c r="G120" i="28"/>
  <c r="H120" i="28"/>
  <c r="AA121" i="28"/>
  <c r="Z121" i="28"/>
  <c r="V119" i="29"/>
  <c r="U119" i="29"/>
  <c r="F119" i="29" s="1"/>
  <c r="AV121" i="4"/>
  <c r="AW121" i="4"/>
  <c r="A712" i="28"/>
  <c r="N121" i="4" l="1"/>
  <c r="U121" i="4"/>
  <c r="T121" i="4"/>
  <c r="S121" i="4"/>
  <c r="R121" i="4"/>
  <c r="O121" i="4"/>
  <c r="Q121" i="4"/>
  <c r="P121" i="4"/>
  <c r="H121" i="28"/>
  <c r="G121" i="28"/>
  <c r="U120" i="29"/>
  <c r="F120" i="29" s="1"/>
  <c r="V120" i="29"/>
  <c r="Z122" i="28"/>
  <c r="AA122" i="28"/>
  <c r="AV122" i="4"/>
  <c r="AW122" i="4"/>
  <c r="A713" i="28"/>
  <c r="R122" i="4" l="1"/>
  <c r="S122" i="4"/>
  <c r="U122" i="4"/>
  <c r="T122" i="4"/>
  <c r="N122" i="4"/>
  <c r="Q122" i="4"/>
  <c r="P122" i="4"/>
  <c r="O122" i="4"/>
  <c r="Z123" i="28"/>
  <c r="AA123" i="28"/>
  <c r="U121" i="29"/>
  <c r="F121" i="29" s="1"/>
  <c r="V121" i="29"/>
  <c r="AW123" i="4"/>
  <c r="AV123" i="4"/>
  <c r="H122" i="28"/>
  <c r="G122" i="28"/>
  <c r="A714" i="28"/>
  <c r="AW124" i="4" l="1"/>
  <c r="AV124" i="4"/>
  <c r="G123" i="28"/>
  <c r="H123" i="28"/>
  <c r="V122" i="29"/>
  <c r="U122" i="29"/>
  <c r="F122" i="29" s="1"/>
  <c r="S123" i="4"/>
  <c r="U123" i="4"/>
  <c r="N123" i="4"/>
  <c r="P123" i="4"/>
  <c r="R123" i="4"/>
  <c r="T123" i="4"/>
  <c r="Q123" i="4"/>
  <c r="O123" i="4"/>
  <c r="AA124" i="28"/>
  <c r="Z124" i="28"/>
  <c r="A715" i="28"/>
  <c r="H124" i="28" l="1"/>
  <c r="G124" i="28"/>
  <c r="T124" i="4"/>
  <c r="O124" i="4"/>
  <c r="Q124" i="4"/>
  <c r="S124" i="4"/>
  <c r="U124" i="4"/>
  <c r="N124" i="4"/>
  <c r="P124" i="4"/>
  <c r="R124" i="4"/>
  <c r="U123" i="29"/>
  <c r="F123" i="29" s="1"/>
  <c r="V123" i="29"/>
  <c r="AV125" i="4"/>
  <c r="AW125" i="4"/>
  <c r="AA125" i="28"/>
  <c r="Z125" i="28"/>
  <c r="A716" i="28"/>
  <c r="AW126" i="4" l="1"/>
  <c r="AV126" i="4"/>
  <c r="Q125" i="4"/>
  <c r="S125" i="4"/>
  <c r="P125" i="4"/>
  <c r="R125" i="4"/>
  <c r="N125" i="4"/>
  <c r="U125" i="4"/>
  <c r="O125" i="4"/>
  <c r="T125" i="4"/>
  <c r="V124" i="29"/>
  <c r="U124" i="29"/>
  <c r="F124" i="29" s="1"/>
  <c r="H125" i="28"/>
  <c r="G125" i="28"/>
  <c r="Z126" i="28"/>
  <c r="AA126" i="28"/>
  <c r="A717" i="28"/>
  <c r="G126" i="28" l="1"/>
  <c r="H126" i="28"/>
  <c r="AA127" i="28"/>
  <c r="Z127" i="28"/>
  <c r="AW127" i="4"/>
  <c r="AV127" i="4"/>
  <c r="U125" i="29"/>
  <c r="F125" i="29" s="1"/>
  <c r="V125" i="29"/>
  <c r="Q126" i="4"/>
  <c r="N126" i="4"/>
  <c r="S126" i="4"/>
  <c r="R126" i="4"/>
  <c r="P126" i="4"/>
  <c r="O126" i="4"/>
  <c r="U126" i="4"/>
  <c r="T126" i="4"/>
  <c r="A718" i="28"/>
  <c r="V126" i="29" l="1"/>
  <c r="U126" i="29"/>
  <c r="F126" i="29" s="1"/>
  <c r="AA128" i="28"/>
  <c r="Z128" i="28"/>
  <c r="H127" i="28"/>
  <c r="G127" i="28"/>
  <c r="AV128" i="4"/>
  <c r="AW128" i="4"/>
  <c r="N127" i="4"/>
  <c r="R127" i="4"/>
  <c r="P127" i="4"/>
  <c r="Q127" i="4"/>
  <c r="U127" i="4"/>
  <c r="S127" i="4"/>
  <c r="O127" i="4"/>
  <c r="T127" i="4"/>
  <c r="A719" i="28"/>
  <c r="AW129" i="4" l="1"/>
  <c r="AV129" i="4"/>
  <c r="U127" i="29"/>
  <c r="F127" i="29" s="1"/>
  <c r="V127" i="29"/>
  <c r="R128" i="4"/>
  <c r="T128" i="4"/>
  <c r="U128" i="4"/>
  <c r="S128" i="4"/>
  <c r="N128" i="4"/>
  <c r="Q128" i="4"/>
  <c r="O128" i="4"/>
  <c r="P128" i="4"/>
  <c r="H128" i="28"/>
  <c r="G128" i="28"/>
  <c r="Z129" i="28"/>
  <c r="AA129" i="28"/>
  <c r="A720" i="28"/>
  <c r="Z130" i="28" l="1"/>
  <c r="AA130" i="28"/>
  <c r="O129" i="4"/>
  <c r="N129" i="4"/>
  <c r="R129" i="4"/>
  <c r="S129" i="4"/>
  <c r="Q129" i="4"/>
  <c r="P129" i="4"/>
  <c r="U129" i="4"/>
  <c r="T129" i="4"/>
  <c r="AW130" i="4"/>
  <c r="AV130" i="4"/>
  <c r="H129" i="28"/>
  <c r="G129" i="28"/>
  <c r="V128" i="29"/>
  <c r="U128" i="29"/>
  <c r="F128" i="29" s="1"/>
  <c r="A721" i="28"/>
  <c r="AW131" i="4" l="1"/>
  <c r="AV131" i="4"/>
  <c r="V129" i="29"/>
  <c r="U129" i="29"/>
  <c r="F129" i="29" s="1"/>
  <c r="G130" i="28"/>
  <c r="H130" i="28"/>
  <c r="Z131" i="28"/>
  <c r="AA131" i="28"/>
  <c r="R130" i="4"/>
  <c r="U130" i="4"/>
  <c r="T130" i="4"/>
  <c r="S130" i="4"/>
  <c r="P130" i="4"/>
  <c r="O130" i="4"/>
  <c r="Q130" i="4"/>
  <c r="N130" i="4"/>
  <c r="A722" i="28"/>
  <c r="AA132" i="28" l="1"/>
  <c r="Z132" i="28"/>
  <c r="AW132" i="4"/>
  <c r="AV132" i="4"/>
  <c r="H131" i="28"/>
  <c r="G131" i="28"/>
  <c r="U130" i="29"/>
  <c r="F130" i="29" s="1"/>
  <c r="V130" i="29"/>
  <c r="T131" i="4"/>
  <c r="U131" i="4"/>
  <c r="P131" i="4"/>
  <c r="N131" i="4"/>
  <c r="O131" i="4"/>
  <c r="Q131" i="4"/>
  <c r="R131" i="4"/>
  <c r="S131" i="4"/>
  <c r="A723" i="28"/>
  <c r="AA133" i="28" l="1"/>
  <c r="Z133" i="28"/>
  <c r="AV133" i="4"/>
  <c r="AW133" i="4"/>
  <c r="N132" i="4"/>
  <c r="O132" i="4"/>
  <c r="P132" i="4"/>
  <c r="Q132" i="4"/>
  <c r="U132" i="4"/>
  <c r="R132" i="4"/>
  <c r="T132" i="4"/>
  <c r="S132" i="4"/>
  <c r="H132" i="28"/>
  <c r="G132" i="28"/>
  <c r="U131" i="29"/>
  <c r="F131" i="29" s="1"/>
  <c r="V131" i="29"/>
  <c r="A724" i="28"/>
  <c r="AV134" i="4" l="1"/>
  <c r="AW134" i="4"/>
  <c r="Z134" i="28"/>
  <c r="AA134" i="28"/>
  <c r="T133" i="4"/>
  <c r="U133" i="4"/>
  <c r="O133" i="4"/>
  <c r="Q133" i="4"/>
  <c r="R133" i="4"/>
  <c r="S133" i="4"/>
  <c r="N133" i="4"/>
  <c r="P133" i="4"/>
  <c r="U132" i="29"/>
  <c r="F132" i="29" s="1"/>
  <c r="V132" i="29"/>
  <c r="H133" i="28"/>
  <c r="G133" i="28"/>
  <c r="A725" i="28"/>
  <c r="H134" i="28" l="1"/>
  <c r="G134" i="28"/>
  <c r="T134" i="4"/>
  <c r="P134" i="4"/>
  <c r="N134" i="4"/>
  <c r="S134" i="4"/>
  <c r="Q134" i="4"/>
  <c r="U134" i="4"/>
  <c r="O134" i="4"/>
  <c r="R134" i="4"/>
  <c r="AW135" i="4"/>
  <c r="AV135" i="4"/>
  <c r="V133" i="29"/>
  <c r="U133" i="29"/>
  <c r="F133" i="29" s="1"/>
  <c r="AA135" i="28"/>
  <c r="Z135" i="28"/>
  <c r="A726" i="28"/>
  <c r="U134" i="29" l="1"/>
  <c r="F134" i="29" s="1"/>
  <c r="V134" i="29"/>
  <c r="AW136" i="4"/>
  <c r="AV136" i="4"/>
  <c r="H135" i="28"/>
  <c r="G135" i="28"/>
  <c r="T135" i="4"/>
  <c r="N135" i="4"/>
  <c r="Q135" i="4"/>
  <c r="S135" i="4"/>
  <c r="R135" i="4"/>
  <c r="P135" i="4"/>
  <c r="O135" i="4"/>
  <c r="U135" i="4"/>
  <c r="AA136" i="28"/>
  <c r="Z136" i="28"/>
  <c r="A727" i="28"/>
  <c r="H136" i="28" l="1"/>
  <c r="G136" i="28"/>
  <c r="AW137" i="4"/>
  <c r="AV137" i="4"/>
  <c r="AA137" i="28"/>
  <c r="Z137" i="28"/>
  <c r="O136" i="4"/>
  <c r="N136" i="4"/>
  <c r="P136" i="4"/>
  <c r="T136" i="4"/>
  <c r="U136" i="4"/>
  <c r="S136" i="4"/>
  <c r="R136" i="4"/>
  <c r="Q136" i="4"/>
  <c r="U135" i="29"/>
  <c r="F135" i="29" s="1"/>
  <c r="V135" i="29"/>
  <c r="A728" i="28"/>
  <c r="AV138" i="4" l="1"/>
  <c r="AW138" i="4"/>
  <c r="AA138" i="28"/>
  <c r="Z138" i="28"/>
  <c r="S137" i="4"/>
  <c r="R137" i="4"/>
  <c r="Q137" i="4"/>
  <c r="T137" i="4"/>
  <c r="O137" i="4"/>
  <c r="U137" i="4"/>
  <c r="N137" i="4"/>
  <c r="P137" i="4"/>
  <c r="V136" i="29"/>
  <c r="U136" i="29"/>
  <c r="F136" i="29" s="1"/>
  <c r="H137" i="28"/>
  <c r="G137" i="28"/>
  <c r="A729" i="28"/>
  <c r="AV139" i="4" l="1"/>
  <c r="AW139" i="4"/>
  <c r="AA139" i="28"/>
  <c r="Z139" i="28"/>
  <c r="G138" i="28"/>
  <c r="H138" i="28"/>
  <c r="O138" i="4"/>
  <c r="T138" i="4"/>
  <c r="R138" i="4"/>
  <c r="N138" i="4"/>
  <c r="U138" i="4"/>
  <c r="P138" i="4"/>
  <c r="S138" i="4"/>
  <c r="Q138" i="4"/>
  <c r="V137" i="29"/>
  <c r="U137" i="29"/>
  <c r="F137" i="29" s="1"/>
  <c r="A730" i="28"/>
  <c r="G139" i="28" l="1"/>
  <c r="H139" i="28"/>
  <c r="V138" i="29"/>
  <c r="U138" i="29"/>
  <c r="F138" i="29" s="1"/>
  <c r="AA140" i="28"/>
  <c r="Z140" i="28"/>
  <c r="AV140" i="4"/>
  <c r="AW140" i="4"/>
  <c r="O139" i="4"/>
  <c r="T139" i="4"/>
  <c r="S139" i="4"/>
  <c r="P139" i="4"/>
  <c r="Q139" i="4"/>
  <c r="R139" i="4"/>
  <c r="N139" i="4"/>
  <c r="U139" i="4"/>
  <c r="A731" i="28"/>
  <c r="AA141" i="28" l="1"/>
  <c r="Z141" i="28"/>
  <c r="V139" i="29"/>
  <c r="U139" i="29"/>
  <c r="F139" i="29" s="1"/>
  <c r="AV141" i="4"/>
  <c r="AW141" i="4"/>
  <c r="P140" i="4"/>
  <c r="S140" i="4"/>
  <c r="Q140" i="4"/>
  <c r="T140" i="4"/>
  <c r="U140" i="4"/>
  <c r="R140" i="4"/>
  <c r="O140" i="4"/>
  <c r="N140" i="4"/>
  <c r="G140" i="28"/>
  <c r="H140" i="28"/>
  <c r="A732" i="28"/>
  <c r="V140" i="29" l="1"/>
  <c r="U140" i="29"/>
  <c r="F140" i="29" s="1"/>
  <c r="AA142" i="28"/>
  <c r="Z142" i="28"/>
  <c r="AV142" i="4"/>
  <c r="AW142" i="4"/>
  <c r="S141" i="4"/>
  <c r="R141" i="4"/>
  <c r="N141" i="4"/>
  <c r="U141" i="4"/>
  <c r="P141" i="4"/>
  <c r="T141" i="4"/>
  <c r="O141" i="4"/>
  <c r="Q141" i="4"/>
  <c r="G141" i="28"/>
  <c r="H141" i="28"/>
  <c r="A733" i="28"/>
  <c r="S142" i="4" l="1"/>
  <c r="N142" i="4"/>
  <c r="Q142" i="4"/>
  <c r="R142" i="4"/>
  <c r="U142" i="4"/>
  <c r="T142" i="4"/>
  <c r="P142" i="4"/>
  <c r="O142" i="4"/>
  <c r="G142" i="28"/>
  <c r="H142" i="28"/>
  <c r="AA143" i="28"/>
  <c r="Z143" i="28"/>
  <c r="U141" i="29"/>
  <c r="F141" i="29" s="1"/>
  <c r="V141" i="29"/>
  <c r="AW143" i="4"/>
  <c r="AV143" i="4"/>
  <c r="A734" i="28"/>
  <c r="AW144" i="4" l="1"/>
  <c r="AV144" i="4"/>
  <c r="V142" i="29"/>
  <c r="U142" i="29"/>
  <c r="F142" i="29" s="1"/>
  <c r="N143" i="4"/>
  <c r="R143" i="4"/>
  <c r="S143" i="4"/>
  <c r="O143" i="4"/>
  <c r="U143" i="4"/>
  <c r="T143" i="4"/>
  <c r="Q143" i="4"/>
  <c r="P143" i="4"/>
  <c r="H143" i="28"/>
  <c r="G143" i="28"/>
  <c r="Z144" i="28"/>
  <c r="AA144" i="28"/>
  <c r="A735" i="28"/>
  <c r="G144" i="28" l="1"/>
  <c r="H144" i="28"/>
  <c r="Z145" i="28"/>
  <c r="AA145" i="28"/>
  <c r="V143" i="29"/>
  <c r="U143" i="29"/>
  <c r="F143" i="29" s="1"/>
  <c r="Q144" i="4"/>
  <c r="O144" i="4"/>
  <c r="S144" i="4"/>
  <c r="U144" i="4"/>
  <c r="T144" i="4"/>
  <c r="R144" i="4"/>
  <c r="N144" i="4"/>
  <c r="P144" i="4"/>
  <c r="AW145" i="4"/>
  <c r="AV145" i="4"/>
  <c r="A736" i="28"/>
  <c r="H145" i="28" l="1"/>
  <c r="G145" i="28"/>
  <c r="Q145" i="4"/>
  <c r="O145" i="4"/>
  <c r="U145" i="4"/>
  <c r="N145" i="4"/>
  <c r="P145" i="4"/>
  <c r="S145" i="4"/>
  <c r="R145" i="4"/>
  <c r="T145" i="4"/>
  <c r="U144" i="29"/>
  <c r="F144" i="29" s="1"/>
  <c r="V144" i="29"/>
  <c r="Z146" i="28"/>
  <c r="AA146" i="28"/>
  <c r="AW146" i="4"/>
  <c r="AV146" i="4"/>
  <c r="A737" i="28"/>
  <c r="H146" i="28" l="1"/>
  <c r="G146" i="28"/>
  <c r="AV147" i="4"/>
  <c r="AW147" i="4"/>
  <c r="V145" i="29"/>
  <c r="U145" i="29"/>
  <c r="F145" i="29" s="1"/>
  <c r="Q146" i="4"/>
  <c r="S146" i="4"/>
  <c r="T146" i="4"/>
  <c r="N146" i="4"/>
  <c r="O146" i="4"/>
  <c r="U146" i="4"/>
  <c r="R146" i="4"/>
  <c r="P146" i="4"/>
  <c r="Z147" i="28"/>
  <c r="AA147" i="28"/>
  <c r="A738" i="28"/>
  <c r="H147" i="28" l="1"/>
  <c r="G147" i="28"/>
  <c r="AW148" i="4"/>
  <c r="AV148" i="4"/>
  <c r="U146" i="29"/>
  <c r="F146" i="29" s="1"/>
  <c r="V146" i="29"/>
  <c r="AA148" i="28"/>
  <c r="Z148" i="28"/>
  <c r="T147" i="4"/>
  <c r="S147" i="4"/>
  <c r="R147" i="4"/>
  <c r="U147" i="4"/>
  <c r="Q147" i="4"/>
  <c r="O147" i="4"/>
  <c r="P147" i="4"/>
  <c r="N147" i="4"/>
  <c r="A739" i="28"/>
  <c r="H148" i="28" l="1"/>
  <c r="G148" i="28"/>
  <c r="AW149" i="4"/>
  <c r="AV149" i="4"/>
  <c r="U148" i="4"/>
  <c r="O148" i="4"/>
  <c r="N148" i="4"/>
  <c r="T148" i="4"/>
  <c r="S148" i="4"/>
  <c r="P148" i="4"/>
  <c r="Q148" i="4"/>
  <c r="R148" i="4"/>
  <c r="V147" i="29"/>
  <c r="U147" i="29"/>
  <c r="F147" i="29" s="1"/>
  <c r="Z149" i="28"/>
  <c r="AA149" i="28"/>
  <c r="A740" i="28"/>
  <c r="AW150" i="4" l="1"/>
  <c r="AV150" i="4"/>
  <c r="O149" i="4"/>
  <c r="S149" i="4"/>
  <c r="P149" i="4"/>
  <c r="N149" i="4"/>
  <c r="R149" i="4"/>
  <c r="Q149" i="4"/>
  <c r="U149" i="4"/>
  <c r="T149" i="4"/>
  <c r="AA150" i="28"/>
  <c r="Z150" i="28"/>
  <c r="V148" i="29"/>
  <c r="U148" i="29"/>
  <c r="F148" i="29" s="1"/>
  <c r="H149" i="28"/>
  <c r="G149" i="28"/>
  <c r="A741" i="28"/>
  <c r="U149" i="29" l="1"/>
  <c r="F149" i="29" s="1"/>
  <c r="V149" i="29"/>
  <c r="Z151" i="28"/>
  <c r="AA151" i="28"/>
  <c r="AW151" i="4"/>
  <c r="AV151" i="4"/>
  <c r="G150" i="28"/>
  <c r="H150" i="28"/>
  <c r="R150" i="4"/>
  <c r="S150" i="4"/>
  <c r="N150" i="4"/>
  <c r="O150" i="4"/>
  <c r="Q150" i="4"/>
  <c r="P150" i="4"/>
  <c r="U150" i="4"/>
  <c r="T150" i="4"/>
  <c r="A742" i="28"/>
  <c r="G151" i="28" l="1"/>
  <c r="H151" i="28"/>
  <c r="AA152" i="28"/>
  <c r="Z152" i="28"/>
  <c r="V150" i="29"/>
  <c r="U150" i="29"/>
  <c r="F150" i="29" s="1"/>
  <c r="AW152" i="4"/>
  <c r="AV152" i="4"/>
  <c r="R151" i="4"/>
  <c r="U151" i="4"/>
  <c r="N151" i="4"/>
  <c r="P151" i="4"/>
  <c r="S151" i="4"/>
  <c r="T151" i="4"/>
  <c r="O151" i="4"/>
  <c r="Q151" i="4"/>
  <c r="A743" i="28"/>
  <c r="Z153" i="28" l="1"/>
  <c r="AA153" i="28"/>
  <c r="Q152" i="4"/>
  <c r="S152" i="4"/>
  <c r="P152" i="4"/>
  <c r="U152" i="4"/>
  <c r="O152" i="4"/>
  <c r="R152" i="4"/>
  <c r="N152" i="4"/>
  <c r="T152" i="4"/>
  <c r="G152" i="28"/>
  <c r="H152" i="28"/>
  <c r="AV153" i="4"/>
  <c r="AW153" i="4"/>
  <c r="U151" i="29"/>
  <c r="F151" i="29" s="1"/>
  <c r="V151" i="29"/>
  <c r="A744" i="28"/>
  <c r="P153" i="4" l="1"/>
  <c r="U153" i="4"/>
  <c r="O153" i="4"/>
  <c r="S153" i="4"/>
  <c r="T153" i="4"/>
  <c r="R153" i="4"/>
  <c r="Q153" i="4"/>
  <c r="N153" i="4"/>
  <c r="V152" i="29"/>
  <c r="U152" i="29"/>
  <c r="F152" i="29" s="1"/>
  <c r="Z154" i="28"/>
  <c r="AA154" i="28"/>
  <c r="AV154" i="4"/>
  <c r="AW154" i="4"/>
  <c r="G153" i="28"/>
  <c r="H153" i="28"/>
  <c r="A745" i="28"/>
  <c r="Z155" i="28" l="1"/>
  <c r="AA155" i="28"/>
  <c r="U153" i="29"/>
  <c r="F153" i="29" s="1"/>
  <c r="V153" i="29"/>
  <c r="R154" i="4"/>
  <c r="N154" i="4"/>
  <c r="T154" i="4"/>
  <c r="P154" i="4"/>
  <c r="S154" i="4"/>
  <c r="U154" i="4"/>
  <c r="O154" i="4"/>
  <c r="Q154" i="4"/>
  <c r="H154" i="28"/>
  <c r="G154" i="28"/>
  <c r="AW155" i="4"/>
  <c r="AV155" i="4"/>
  <c r="A746" i="28"/>
  <c r="AW156" i="4" l="1"/>
  <c r="AV156" i="4"/>
  <c r="Q155" i="4"/>
  <c r="N155" i="4"/>
  <c r="R155" i="4"/>
  <c r="O155" i="4"/>
  <c r="S155" i="4"/>
  <c r="T155" i="4"/>
  <c r="U155" i="4"/>
  <c r="P155" i="4"/>
  <c r="AA156" i="28"/>
  <c r="Z156" i="28"/>
  <c r="V154" i="29"/>
  <c r="U154" i="29"/>
  <c r="F154" i="29" s="1"/>
  <c r="H155" i="28"/>
  <c r="G155" i="28"/>
  <c r="A747" i="28"/>
  <c r="AV157" i="4" l="1"/>
  <c r="AW157" i="4"/>
  <c r="U156" i="4"/>
  <c r="T156" i="4"/>
  <c r="P156" i="4"/>
  <c r="S156" i="4"/>
  <c r="N156" i="4"/>
  <c r="Q156" i="4"/>
  <c r="R156" i="4"/>
  <c r="O156" i="4"/>
  <c r="U155" i="29"/>
  <c r="F155" i="29" s="1"/>
  <c r="V155" i="29"/>
  <c r="G156" i="28"/>
  <c r="H156" i="28"/>
  <c r="AA157" i="28"/>
  <c r="Z157" i="28"/>
  <c r="A748" i="28"/>
  <c r="AW158" i="4" l="1"/>
  <c r="AV158" i="4"/>
  <c r="AA158" i="28"/>
  <c r="Z158" i="28"/>
  <c r="O157" i="4"/>
  <c r="P157" i="4"/>
  <c r="U157" i="4"/>
  <c r="R157" i="4"/>
  <c r="N157" i="4"/>
  <c r="Q157" i="4"/>
  <c r="T157" i="4"/>
  <c r="S157" i="4"/>
  <c r="U156" i="29"/>
  <c r="F156" i="29" s="1"/>
  <c r="V156" i="29"/>
  <c r="H157" i="28"/>
  <c r="G157" i="28"/>
  <c r="A749" i="28"/>
  <c r="AW159" i="4" l="1"/>
  <c r="AV159" i="4"/>
  <c r="R158" i="4"/>
  <c r="S158" i="4"/>
  <c r="T158" i="4"/>
  <c r="U158" i="4"/>
  <c r="N158" i="4"/>
  <c r="Q158" i="4"/>
  <c r="O158" i="4"/>
  <c r="P158" i="4"/>
  <c r="AA159" i="28"/>
  <c r="Z159" i="28"/>
  <c r="V157" i="29"/>
  <c r="U157" i="29"/>
  <c r="F157" i="29" s="1"/>
  <c r="H158" i="28"/>
  <c r="G158" i="28"/>
  <c r="A750" i="28"/>
  <c r="S159" i="4" l="1"/>
  <c r="U159" i="4"/>
  <c r="N159" i="4"/>
  <c r="P159" i="4"/>
  <c r="O159" i="4"/>
  <c r="Q159" i="4"/>
  <c r="R159" i="4"/>
  <c r="T159" i="4"/>
  <c r="AA160" i="28"/>
  <c r="Z160" i="28"/>
  <c r="G159" i="28"/>
  <c r="H159" i="28"/>
  <c r="AV160" i="4"/>
  <c r="AW160" i="4"/>
  <c r="U158" i="29"/>
  <c r="F158" i="29" s="1"/>
  <c r="V158" i="29"/>
  <c r="A751" i="28"/>
  <c r="Z161" i="28" l="1"/>
  <c r="AA161" i="28"/>
  <c r="AW161" i="4"/>
  <c r="AV161" i="4"/>
  <c r="G160" i="28"/>
  <c r="H160" i="28"/>
  <c r="O160" i="4"/>
  <c r="S160" i="4"/>
  <c r="U160" i="4"/>
  <c r="Q160" i="4"/>
  <c r="N160" i="4"/>
  <c r="T160" i="4"/>
  <c r="R160" i="4"/>
  <c r="P160" i="4"/>
  <c r="V159" i="29"/>
  <c r="U159" i="29"/>
  <c r="F159" i="29" s="1"/>
  <c r="A752" i="28"/>
  <c r="AW162" i="4" l="1"/>
  <c r="AV162" i="4"/>
  <c r="U161" i="4"/>
  <c r="P161" i="4"/>
  <c r="N161" i="4"/>
  <c r="S161" i="4"/>
  <c r="Q161" i="4"/>
  <c r="R161" i="4"/>
  <c r="T161" i="4"/>
  <c r="O161" i="4"/>
  <c r="G161" i="28"/>
  <c r="H161" i="28"/>
  <c r="AA162" i="28"/>
  <c r="Z162" i="28"/>
  <c r="U160" i="29"/>
  <c r="F160" i="29" s="1"/>
  <c r="V160" i="29"/>
  <c r="A753" i="28"/>
  <c r="Z163" i="28" l="1"/>
  <c r="AA163" i="28"/>
  <c r="T162" i="4"/>
  <c r="S162" i="4"/>
  <c r="N162" i="4"/>
  <c r="P162" i="4"/>
  <c r="R162" i="4"/>
  <c r="U162" i="4"/>
  <c r="O162" i="4"/>
  <c r="Q162" i="4"/>
  <c r="V161" i="29"/>
  <c r="U161" i="29"/>
  <c r="F161" i="29" s="1"/>
  <c r="AV163" i="4"/>
  <c r="AW163" i="4"/>
  <c r="H162" i="28"/>
  <c r="G162" i="28"/>
  <c r="A754" i="28"/>
  <c r="R163" i="4" l="1"/>
  <c r="O163" i="4"/>
  <c r="Q163" i="4"/>
  <c r="S163" i="4"/>
  <c r="T163" i="4"/>
  <c r="N163" i="4"/>
  <c r="P163" i="4"/>
  <c r="U163" i="4"/>
  <c r="AW164" i="4"/>
  <c r="AV164" i="4"/>
  <c r="U162" i="29"/>
  <c r="F162" i="29" s="1"/>
  <c r="V162" i="29"/>
  <c r="AA164" i="28"/>
  <c r="Z164" i="28"/>
  <c r="G163" i="28"/>
  <c r="H163" i="28"/>
  <c r="A755" i="28"/>
  <c r="H164" i="28" l="1"/>
  <c r="G164" i="28"/>
  <c r="Z165" i="28"/>
  <c r="AA165" i="28"/>
  <c r="T164" i="4"/>
  <c r="Q164" i="4"/>
  <c r="N164" i="4"/>
  <c r="R164" i="4"/>
  <c r="S164" i="4"/>
  <c r="O164" i="4"/>
  <c r="P164" i="4"/>
  <c r="U164" i="4"/>
  <c r="V163" i="29"/>
  <c r="U163" i="29"/>
  <c r="F163" i="29" s="1"/>
  <c r="AW165" i="4"/>
  <c r="AV165" i="4"/>
  <c r="A756" i="28"/>
  <c r="S165" i="4" l="1"/>
  <c r="R165" i="4"/>
  <c r="U165" i="4"/>
  <c r="T165" i="4"/>
  <c r="Q165" i="4"/>
  <c r="O165" i="4"/>
  <c r="N165" i="4"/>
  <c r="P165" i="4"/>
  <c r="V164" i="29"/>
  <c r="U164" i="29"/>
  <c r="F164" i="29" s="1"/>
  <c r="G165" i="28"/>
  <c r="H165" i="28"/>
  <c r="AV166" i="4"/>
  <c r="AW166" i="4"/>
  <c r="Z166" i="28"/>
  <c r="AA166" i="28"/>
  <c r="A757" i="28"/>
  <c r="Z167" i="28" l="1"/>
  <c r="AA167" i="28"/>
  <c r="G166" i="28"/>
  <c r="H166" i="28"/>
  <c r="V165" i="29"/>
  <c r="U165" i="29"/>
  <c r="F165" i="29" s="1"/>
  <c r="AV167" i="4"/>
  <c r="AW167" i="4"/>
  <c r="S166" i="4"/>
  <c r="U166" i="4"/>
  <c r="R166" i="4"/>
  <c r="T166" i="4"/>
  <c r="P166" i="4"/>
  <c r="N166" i="4"/>
  <c r="O166" i="4"/>
  <c r="Q166" i="4"/>
  <c r="A758" i="28"/>
  <c r="Q167" i="4" l="1"/>
  <c r="U167" i="4"/>
  <c r="N167" i="4"/>
  <c r="R167" i="4"/>
  <c r="O167" i="4"/>
  <c r="S167" i="4"/>
  <c r="T167" i="4"/>
  <c r="P167" i="4"/>
  <c r="V166" i="29"/>
  <c r="U166" i="29"/>
  <c r="F166" i="29" s="1"/>
  <c r="AV168" i="4"/>
  <c r="AW168" i="4"/>
  <c r="AA168" i="28"/>
  <c r="Z168" i="28"/>
  <c r="H167" i="28"/>
  <c r="G167" i="28"/>
  <c r="A759" i="28"/>
  <c r="AA169" i="28" l="1"/>
  <c r="Z169" i="28"/>
  <c r="H168" i="28"/>
  <c r="G168" i="28"/>
  <c r="N168" i="4"/>
  <c r="S168" i="4"/>
  <c r="Q168" i="4"/>
  <c r="U168" i="4"/>
  <c r="P168" i="4"/>
  <c r="R168" i="4"/>
  <c r="O168" i="4"/>
  <c r="T168" i="4"/>
  <c r="V167" i="29"/>
  <c r="U167" i="29"/>
  <c r="F167" i="29" s="1"/>
  <c r="AV169" i="4"/>
  <c r="AW169" i="4"/>
  <c r="A760" i="28"/>
  <c r="T169" i="4" l="1"/>
  <c r="R169" i="4"/>
  <c r="S169" i="4"/>
  <c r="U169" i="4"/>
  <c r="Q169" i="4"/>
  <c r="N169" i="4"/>
  <c r="P169" i="4"/>
  <c r="O169" i="4"/>
  <c r="AW170" i="4"/>
  <c r="AV170" i="4"/>
  <c r="U168" i="29"/>
  <c r="F168" i="29" s="1"/>
  <c r="V168" i="29"/>
  <c r="G169" i="28"/>
  <c r="H169" i="28"/>
  <c r="Z170" i="28"/>
  <c r="AA170" i="28"/>
  <c r="A761" i="28"/>
  <c r="G170" i="28" l="1"/>
  <c r="H170" i="28"/>
  <c r="R170" i="4"/>
  <c r="U170" i="4"/>
  <c r="Q170" i="4"/>
  <c r="N170" i="4"/>
  <c r="O170" i="4"/>
  <c r="P170" i="4"/>
  <c r="S170" i="4"/>
  <c r="T170" i="4"/>
  <c r="Z171" i="28"/>
  <c r="AA171" i="28"/>
  <c r="AW171" i="4"/>
  <c r="AV171" i="4"/>
  <c r="V169" i="29"/>
  <c r="U169" i="29"/>
  <c r="F169" i="29" s="1"/>
  <c r="A762" i="28"/>
  <c r="V170" i="29" l="1"/>
  <c r="U170" i="29"/>
  <c r="F170" i="29" s="1"/>
  <c r="H171" i="28"/>
  <c r="G171" i="28"/>
  <c r="AA172" i="28"/>
  <c r="Z172" i="28"/>
  <c r="AW172" i="4"/>
  <c r="AV172" i="4"/>
  <c r="N171" i="4"/>
  <c r="O171" i="4"/>
  <c r="R171" i="4"/>
  <c r="U171" i="4"/>
  <c r="Q171" i="4"/>
  <c r="P171" i="4"/>
  <c r="S171" i="4"/>
  <c r="T171" i="4"/>
  <c r="A763" i="28"/>
  <c r="V171" i="29" l="1"/>
  <c r="U171" i="29"/>
  <c r="F171" i="29" s="1"/>
  <c r="R172" i="4"/>
  <c r="U172" i="4"/>
  <c r="N172" i="4"/>
  <c r="T172" i="4"/>
  <c r="P172" i="4"/>
  <c r="Q172" i="4"/>
  <c r="O172" i="4"/>
  <c r="S172" i="4"/>
  <c r="G172" i="28"/>
  <c r="H172" i="28"/>
  <c r="AA173" i="28"/>
  <c r="Z173" i="28"/>
  <c r="AV173" i="4"/>
  <c r="AW173" i="4"/>
  <c r="A764" i="28"/>
  <c r="AW174" i="4" l="1"/>
  <c r="AV174" i="4"/>
  <c r="G173" i="28"/>
  <c r="H173" i="28"/>
  <c r="N173" i="4"/>
  <c r="Q173" i="4"/>
  <c r="O173" i="4"/>
  <c r="P173" i="4"/>
  <c r="S173" i="4"/>
  <c r="U173" i="4"/>
  <c r="T173" i="4"/>
  <c r="R173" i="4"/>
  <c r="U172" i="29"/>
  <c r="F172" i="29" s="1"/>
  <c r="V172" i="29"/>
  <c r="AA174" i="28"/>
  <c r="Z174" i="28"/>
  <c r="A765" i="28"/>
  <c r="Z175" i="28" l="1"/>
  <c r="AA175" i="28"/>
  <c r="H174" i="28"/>
  <c r="G174" i="28"/>
  <c r="AV175" i="4"/>
  <c r="AW175" i="4"/>
  <c r="U173" i="29"/>
  <c r="F173" i="29" s="1"/>
  <c r="V173" i="29"/>
  <c r="T174" i="4"/>
  <c r="S174" i="4"/>
  <c r="N174" i="4"/>
  <c r="O174" i="4"/>
  <c r="P174" i="4"/>
  <c r="Q174" i="4"/>
  <c r="R174" i="4"/>
  <c r="U174" i="4"/>
  <c r="A766" i="28"/>
  <c r="U175" i="4" l="1"/>
  <c r="R175" i="4"/>
  <c r="S175" i="4"/>
  <c r="T175" i="4"/>
  <c r="Q175" i="4"/>
  <c r="N175" i="4"/>
  <c r="O175" i="4"/>
  <c r="P175" i="4"/>
  <c r="G175" i="28"/>
  <c r="H175" i="28"/>
  <c r="AV176" i="4"/>
  <c r="AW176" i="4"/>
  <c r="Z176" i="28"/>
  <c r="AA176" i="28"/>
  <c r="U174" i="29"/>
  <c r="F174" i="29" s="1"/>
  <c r="V174" i="29"/>
  <c r="A767" i="28"/>
  <c r="H176" i="28" l="1"/>
  <c r="G176" i="28"/>
  <c r="V175" i="29"/>
  <c r="U175" i="29"/>
  <c r="F175" i="29" s="1"/>
  <c r="AV177" i="4"/>
  <c r="AW177" i="4"/>
  <c r="N176" i="4"/>
  <c r="R176" i="4"/>
  <c r="O176" i="4"/>
  <c r="U176" i="4"/>
  <c r="S176" i="4"/>
  <c r="P176" i="4"/>
  <c r="T176" i="4"/>
  <c r="Q176" i="4"/>
  <c r="AA177" i="28"/>
  <c r="Z177" i="28"/>
  <c r="A768" i="28"/>
  <c r="AA178" i="28" l="1"/>
  <c r="Z178" i="28"/>
  <c r="U176" i="29"/>
  <c r="F176" i="29" s="1"/>
  <c r="V176" i="29"/>
  <c r="Q177" i="4"/>
  <c r="S177" i="4"/>
  <c r="P177" i="4"/>
  <c r="T177" i="4"/>
  <c r="N177" i="4"/>
  <c r="U177" i="4"/>
  <c r="O177" i="4"/>
  <c r="R177" i="4"/>
  <c r="H177" i="28"/>
  <c r="G177" i="28"/>
  <c r="AW178" i="4"/>
  <c r="AV178" i="4"/>
  <c r="A769" i="28"/>
  <c r="AA179" i="28" l="1"/>
  <c r="Z179" i="28"/>
  <c r="AW179" i="4"/>
  <c r="AV179" i="4"/>
  <c r="N178" i="4"/>
  <c r="T178" i="4"/>
  <c r="Q178" i="4"/>
  <c r="P178" i="4"/>
  <c r="R178" i="4"/>
  <c r="U178" i="4"/>
  <c r="S178" i="4"/>
  <c r="O178" i="4"/>
  <c r="U177" i="29"/>
  <c r="F177" i="29" s="1"/>
  <c r="V177" i="29"/>
  <c r="H178" i="28"/>
  <c r="G178" i="28"/>
  <c r="A770" i="28"/>
  <c r="U178" i="29" l="1"/>
  <c r="F178" i="29" s="1"/>
  <c r="V178" i="29"/>
  <c r="H179" i="28"/>
  <c r="G179" i="28"/>
  <c r="AA180" i="28"/>
  <c r="Z180" i="28"/>
  <c r="AW180" i="4"/>
  <c r="AV180" i="4"/>
  <c r="Q179" i="4"/>
  <c r="U179" i="4"/>
  <c r="P179" i="4"/>
  <c r="T179" i="4"/>
  <c r="S179" i="4"/>
  <c r="N179" i="4"/>
  <c r="O179" i="4"/>
  <c r="R179" i="4"/>
  <c r="A771" i="28"/>
  <c r="G180" i="28" l="1"/>
  <c r="H180" i="28"/>
  <c r="U179" i="29"/>
  <c r="F179" i="29" s="1"/>
  <c r="V179" i="29"/>
  <c r="S180" i="4"/>
  <c r="R180" i="4"/>
  <c r="T180" i="4"/>
  <c r="U180" i="4"/>
  <c r="N180" i="4"/>
  <c r="P180" i="4"/>
  <c r="O180" i="4"/>
  <c r="Q180" i="4"/>
  <c r="AV181" i="4"/>
  <c r="AW181" i="4"/>
  <c r="AA181" i="28"/>
  <c r="Z181" i="28"/>
  <c r="A772" i="28"/>
  <c r="H181" i="28" l="1"/>
  <c r="G181" i="28"/>
  <c r="P181" i="4"/>
  <c r="U181" i="4"/>
  <c r="Q181" i="4"/>
  <c r="S181" i="4"/>
  <c r="O181" i="4"/>
  <c r="R181" i="4"/>
  <c r="T181" i="4"/>
  <c r="N181" i="4"/>
  <c r="V180" i="29"/>
  <c r="U180" i="29"/>
  <c r="F180" i="29" s="1"/>
  <c r="Z182" i="28"/>
  <c r="AA182" i="28"/>
  <c r="AV182" i="4"/>
  <c r="AW182" i="4"/>
  <c r="A773" i="28"/>
  <c r="U181" i="29" l="1"/>
  <c r="F181" i="29" s="1"/>
  <c r="V181" i="29"/>
  <c r="H182" i="28"/>
  <c r="G182" i="28"/>
  <c r="AA183" i="28"/>
  <c r="Z183" i="28"/>
  <c r="R182" i="4"/>
  <c r="P182" i="4"/>
  <c r="T182" i="4"/>
  <c r="N182" i="4"/>
  <c r="U182" i="4"/>
  <c r="O182" i="4"/>
  <c r="Q182" i="4"/>
  <c r="S182" i="4"/>
  <c r="AW183" i="4"/>
  <c r="AV183" i="4"/>
  <c r="A774" i="28"/>
  <c r="AA184" i="28" l="1"/>
  <c r="Z184" i="28"/>
  <c r="AV184" i="4"/>
  <c r="AW184" i="4"/>
  <c r="O183" i="4"/>
  <c r="P183" i="4"/>
  <c r="Q183" i="4"/>
  <c r="N183" i="4"/>
  <c r="S183" i="4"/>
  <c r="R183" i="4"/>
  <c r="U183" i="4"/>
  <c r="T183" i="4"/>
  <c r="U182" i="29"/>
  <c r="F182" i="29" s="1"/>
  <c r="V182" i="29"/>
  <c r="H183" i="28"/>
  <c r="G183" i="28"/>
  <c r="A775" i="28"/>
  <c r="U183" i="29" l="1"/>
  <c r="F183" i="29" s="1"/>
  <c r="V183" i="29"/>
  <c r="AV185" i="4"/>
  <c r="AW185" i="4"/>
  <c r="AA185" i="28"/>
  <c r="Z185" i="28"/>
  <c r="S184" i="4"/>
  <c r="T184" i="4"/>
  <c r="P184" i="4"/>
  <c r="N184" i="4"/>
  <c r="Q184" i="4"/>
  <c r="O184" i="4"/>
  <c r="R184" i="4"/>
  <c r="U184" i="4"/>
  <c r="G184" i="28"/>
  <c r="H184" i="28"/>
  <c r="A776" i="28"/>
  <c r="H185" i="28" l="1"/>
  <c r="G185" i="28"/>
  <c r="U184" i="29"/>
  <c r="F184" i="29" s="1"/>
  <c r="V184" i="29"/>
  <c r="AW186" i="4"/>
  <c r="AV186" i="4"/>
  <c r="U185" i="4"/>
  <c r="Q185" i="4"/>
  <c r="T185" i="4"/>
  <c r="P185" i="4"/>
  <c r="S185" i="4"/>
  <c r="N185" i="4"/>
  <c r="R185" i="4"/>
  <c r="O185" i="4"/>
  <c r="Z186" i="28"/>
  <c r="AA186" i="28"/>
  <c r="A777" i="28"/>
  <c r="AW187" i="4" l="1"/>
  <c r="AV187" i="4"/>
  <c r="U185" i="29"/>
  <c r="F185" i="29" s="1"/>
  <c r="V185" i="29"/>
  <c r="T186" i="4"/>
  <c r="S186" i="4"/>
  <c r="N186" i="4"/>
  <c r="P186" i="4"/>
  <c r="U186" i="4"/>
  <c r="Q186" i="4"/>
  <c r="R186" i="4"/>
  <c r="O186" i="4"/>
  <c r="H186" i="28"/>
  <c r="G186" i="28"/>
  <c r="Z187" i="28"/>
  <c r="AA187" i="28"/>
  <c r="A778" i="28"/>
  <c r="V186" i="29" l="1"/>
  <c r="U186" i="29"/>
  <c r="F186" i="29" s="1"/>
  <c r="R187" i="4"/>
  <c r="S187" i="4"/>
  <c r="Q187" i="4"/>
  <c r="N187" i="4"/>
  <c r="T187" i="4"/>
  <c r="U187" i="4"/>
  <c r="O187" i="4"/>
  <c r="P187" i="4"/>
  <c r="H187" i="28"/>
  <c r="G187" i="28"/>
  <c r="Z188" i="28"/>
  <c r="AA188" i="28"/>
  <c r="AV188" i="4"/>
  <c r="AW188" i="4"/>
  <c r="A779" i="28"/>
  <c r="G188" i="28" l="1"/>
  <c r="H188" i="28"/>
  <c r="O188" i="4"/>
  <c r="P188" i="4"/>
  <c r="Q188" i="4"/>
  <c r="T188" i="4"/>
  <c r="S188" i="4"/>
  <c r="R188" i="4"/>
  <c r="U188" i="4"/>
  <c r="N188" i="4"/>
  <c r="U187" i="29"/>
  <c r="F187" i="29" s="1"/>
  <c r="V187" i="29"/>
  <c r="AW189" i="4"/>
  <c r="AV189" i="4"/>
  <c r="Z189" i="28"/>
  <c r="AA189" i="28"/>
  <c r="A780" i="28"/>
  <c r="AW190" i="4" l="1"/>
  <c r="AV190" i="4"/>
  <c r="O189" i="4"/>
  <c r="R189" i="4"/>
  <c r="Q189" i="4"/>
  <c r="S189" i="4"/>
  <c r="U189" i="4"/>
  <c r="P189" i="4"/>
  <c r="T189" i="4"/>
  <c r="N189" i="4"/>
  <c r="H189" i="28"/>
  <c r="G189" i="28"/>
  <c r="Z190" i="28"/>
  <c r="AA190" i="28"/>
  <c r="U188" i="29"/>
  <c r="F188" i="29" s="1"/>
  <c r="V188" i="29"/>
  <c r="A781" i="28"/>
  <c r="V189" i="29" l="1"/>
  <c r="U189" i="29"/>
  <c r="F189" i="29" s="1"/>
  <c r="R190" i="4"/>
  <c r="T190" i="4"/>
  <c r="S190" i="4"/>
  <c r="U190" i="4"/>
  <c r="P190" i="4"/>
  <c r="O190" i="4"/>
  <c r="Q190" i="4"/>
  <c r="N190" i="4"/>
  <c r="G190" i="28"/>
  <c r="H190" i="28"/>
  <c r="AV191" i="4"/>
  <c r="AW191" i="4"/>
  <c r="Z191" i="28"/>
  <c r="AA191" i="28"/>
  <c r="A782" i="28"/>
  <c r="R191" i="4" l="1"/>
  <c r="U191" i="4"/>
  <c r="S191" i="4"/>
  <c r="T191" i="4"/>
  <c r="O191" i="4"/>
  <c r="Q191" i="4"/>
  <c r="N191" i="4"/>
  <c r="P191" i="4"/>
  <c r="Z192" i="28"/>
  <c r="AA192" i="28"/>
  <c r="V190" i="29"/>
  <c r="U190" i="29"/>
  <c r="F190" i="29" s="1"/>
  <c r="G191" i="28"/>
  <c r="H191" i="28"/>
  <c r="AW192" i="4"/>
  <c r="AV192" i="4"/>
  <c r="A783" i="28"/>
  <c r="AA193" i="28" l="1"/>
  <c r="Z193" i="28"/>
  <c r="AV193" i="4"/>
  <c r="AW193" i="4"/>
  <c r="N192" i="4"/>
  <c r="T192" i="4"/>
  <c r="Q192" i="4"/>
  <c r="S192" i="4"/>
  <c r="U192" i="4"/>
  <c r="O192" i="4"/>
  <c r="R192" i="4"/>
  <c r="P192" i="4"/>
  <c r="V191" i="29"/>
  <c r="U191" i="29"/>
  <c r="F191" i="29" s="1"/>
  <c r="H192" i="28"/>
  <c r="G192" i="28"/>
  <c r="A784" i="28"/>
  <c r="U193" i="4" l="1"/>
  <c r="N193" i="4"/>
  <c r="T193" i="4"/>
  <c r="Q193" i="4"/>
  <c r="P193" i="4"/>
  <c r="O193" i="4"/>
  <c r="R193" i="4"/>
  <c r="S193" i="4"/>
  <c r="AW194" i="4"/>
  <c r="AV194" i="4"/>
  <c r="H193" i="28"/>
  <c r="G193" i="28"/>
  <c r="AA194" i="28"/>
  <c r="Z194" i="28"/>
  <c r="V192" i="29"/>
  <c r="U192" i="29"/>
  <c r="F192" i="29" s="1"/>
  <c r="A785" i="28"/>
  <c r="T194" i="4" l="1"/>
  <c r="N194" i="4"/>
  <c r="Q194" i="4"/>
  <c r="U194" i="4"/>
  <c r="P194" i="4"/>
  <c r="O194" i="4"/>
  <c r="S194" i="4"/>
  <c r="R194" i="4"/>
  <c r="H194" i="28"/>
  <c r="G194" i="28"/>
  <c r="AW195" i="4"/>
  <c r="AV195" i="4"/>
  <c r="V193" i="29"/>
  <c r="U193" i="29"/>
  <c r="F193" i="29" s="1"/>
  <c r="AA195" i="28"/>
  <c r="Z195" i="28"/>
  <c r="A786" i="28"/>
  <c r="S195" i="4" l="1"/>
  <c r="T195" i="4"/>
  <c r="R195" i="4"/>
  <c r="U195" i="4"/>
  <c r="N195" i="4"/>
  <c r="P195" i="4"/>
  <c r="O195" i="4"/>
  <c r="Q195" i="4"/>
  <c r="U194" i="29"/>
  <c r="F194" i="29" s="1"/>
  <c r="V194" i="29"/>
  <c r="AV196" i="4"/>
  <c r="AW196" i="4"/>
  <c r="H195" i="28"/>
  <c r="G195" i="28"/>
  <c r="AA196" i="28"/>
  <c r="Z196" i="28"/>
  <c r="A787" i="28"/>
  <c r="H196" i="28" l="1"/>
  <c r="G196" i="28"/>
  <c r="S196" i="4"/>
  <c r="N196" i="4"/>
  <c r="P196" i="4"/>
  <c r="R196" i="4"/>
  <c r="O196" i="4"/>
  <c r="T196" i="4"/>
  <c r="U196" i="4"/>
  <c r="Q196" i="4"/>
  <c r="U195" i="29"/>
  <c r="F195" i="29" s="1"/>
  <c r="V195" i="29"/>
  <c r="AW197" i="4"/>
  <c r="AV197" i="4"/>
  <c r="AA197" i="28"/>
  <c r="Z197" i="28"/>
  <c r="A788" i="28"/>
  <c r="H197" i="28" l="1"/>
  <c r="G197" i="28"/>
  <c r="P197" i="4"/>
  <c r="N197" i="4"/>
  <c r="O197" i="4"/>
  <c r="Q197" i="4"/>
  <c r="U197" i="4"/>
  <c r="R197" i="4"/>
  <c r="S197" i="4"/>
  <c r="T197" i="4"/>
  <c r="AA198" i="28"/>
  <c r="Z198" i="28"/>
  <c r="V196" i="29"/>
  <c r="U196" i="29"/>
  <c r="F196" i="29" s="1"/>
  <c r="AV198" i="4"/>
  <c r="AW198" i="4"/>
  <c r="A789" i="28"/>
  <c r="Q198" i="4" l="1"/>
  <c r="P198" i="4"/>
  <c r="T198" i="4"/>
  <c r="S198" i="4"/>
  <c r="U198" i="4"/>
  <c r="R198" i="4"/>
  <c r="O198" i="4"/>
  <c r="N198" i="4"/>
  <c r="V197" i="29"/>
  <c r="U197" i="29"/>
  <c r="F197" i="29" s="1"/>
  <c r="AW199" i="4"/>
  <c r="AV199" i="4"/>
  <c r="G198" i="28"/>
  <c r="H198" i="28"/>
  <c r="Z199" i="28"/>
  <c r="AA199" i="28"/>
  <c r="A790" i="28"/>
  <c r="G199" i="28" l="1"/>
  <c r="H199" i="28"/>
  <c r="AA200" i="28"/>
  <c r="Z200" i="28"/>
  <c r="AW200" i="4"/>
  <c r="AV200" i="4"/>
  <c r="S199" i="4"/>
  <c r="U199" i="4"/>
  <c r="R199" i="4"/>
  <c r="T199" i="4"/>
  <c r="Q199" i="4"/>
  <c r="N199" i="4"/>
  <c r="O199" i="4"/>
  <c r="P199" i="4"/>
  <c r="U198" i="29"/>
  <c r="F198" i="29" s="1"/>
  <c r="V198" i="29"/>
  <c r="A791" i="28"/>
  <c r="AA201" i="28" l="1"/>
  <c r="Z201" i="28"/>
  <c r="V199" i="29"/>
  <c r="U199" i="29"/>
  <c r="F199" i="29" s="1"/>
  <c r="H200" i="28"/>
  <c r="G200" i="28"/>
  <c r="AW201" i="4"/>
  <c r="AV201" i="4"/>
  <c r="Q200" i="4"/>
  <c r="U200" i="4"/>
  <c r="R200" i="4"/>
  <c r="P200" i="4"/>
  <c r="S200" i="4"/>
  <c r="N200" i="4"/>
  <c r="O200" i="4"/>
  <c r="T200" i="4"/>
  <c r="A792" i="28"/>
  <c r="AA202" i="28" l="1"/>
  <c r="Z202" i="28"/>
  <c r="AV202" i="4"/>
  <c r="AW202" i="4"/>
  <c r="G201" i="28"/>
  <c r="H201" i="28"/>
  <c r="V200" i="29"/>
  <c r="U200" i="29"/>
  <c r="F200" i="29" s="1"/>
  <c r="P201" i="4"/>
  <c r="S201" i="4"/>
  <c r="U201" i="4"/>
  <c r="O201" i="4"/>
  <c r="R201" i="4"/>
  <c r="Q201" i="4"/>
  <c r="N201" i="4"/>
  <c r="T201" i="4"/>
  <c r="A793" i="28"/>
  <c r="O202" i="4" l="1"/>
  <c r="N202" i="4"/>
  <c r="T202" i="4"/>
  <c r="U202" i="4"/>
  <c r="Q202" i="4"/>
  <c r="P202" i="4"/>
  <c r="S202" i="4"/>
  <c r="R202" i="4"/>
  <c r="AA203" i="28"/>
  <c r="Z203" i="28"/>
  <c r="G202" i="28"/>
  <c r="H202" i="28"/>
  <c r="AW203" i="4"/>
  <c r="AV203" i="4"/>
  <c r="V201" i="29"/>
  <c r="U201" i="29"/>
  <c r="F201" i="29" s="1"/>
  <c r="A794" i="28"/>
  <c r="S203" i="4" l="1"/>
  <c r="R203" i="4"/>
  <c r="U203" i="4"/>
  <c r="T203" i="4"/>
  <c r="N203" i="4"/>
  <c r="O203" i="4"/>
  <c r="P203" i="4"/>
  <c r="Q203" i="4"/>
  <c r="AV204" i="4"/>
  <c r="AW204" i="4"/>
  <c r="AA204" i="28"/>
  <c r="Z204" i="28"/>
  <c r="V202" i="29"/>
  <c r="U202" i="29"/>
  <c r="F202" i="29" s="1"/>
  <c r="G203" i="28"/>
  <c r="H203" i="28"/>
  <c r="A795" i="28"/>
  <c r="G204" i="28" l="1"/>
  <c r="H204" i="28"/>
  <c r="AV205" i="4"/>
  <c r="AW205" i="4"/>
  <c r="N204" i="4"/>
  <c r="T204" i="4"/>
  <c r="O204" i="4"/>
  <c r="U204" i="4"/>
  <c r="P204" i="4"/>
  <c r="S204" i="4"/>
  <c r="Q204" i="4"/>
  <c r="R204" i="4"/>
  <c r="U203" i="29"/>
  <c r="F203" i="29" s="1"/>
  <c r="V203" i="29"/>
  <c r="Z205" i="28"/>
  <c r="AA205" i="28"/>
  <c r="A796" i="28"/>
  <c r="G205" i="28" l="1"/>
  <c r="H205" i="28"/>
  <c r="Z206" i="28"/>
  <c r="AA206" i="28"/>
  <c r="U204" i="29"/>
  <c r="F204" i="29" s="1"/>
  <c r="V204" i="29"/>
  <c r="AW206" i="4"/>
  <c r="AV206" i="4"/>
  <c r="P205" i="4"/>
  <c r="O205" i="4"/>
  <c r="R205" i="4"/>
  <c r="T205" i="4"/>
  <c r="N205" i="4"/>
  <c r="Q205" i="4"/>
  <c r="U205" i="4"/>
  <c r="S205" i="4"/>
  <c r="A797" i="28"/>
  <c r="G206" i="28" l="1"/>
  <c r="H206" i="28"/>
  <c r="Z207" i="28"/>
  <c r="AA207" i="28"/>
  <c r="N206" i="4"/>
  <c r="O206" i="4"/>
  <c r="T206" i="4"/>
  <c r="U206" i="4"/>
  <c r="Q206" i="4"/>
  <c r="P206" i="4"/>
  <c r="R206" i="4"/>
  <c r="S206" i="4"/>
  <c r="U205" i="29"/>
  <c r="F205" i="29" s="1"/>
  <c r="V205" i="29"/>
  <c r="AV207" i="4"/>
  <c r="AW207" i="4"/>
  <c r="A798" i="28"/>
  <c r="G207" i="28" l="1"/>
  <c r="H207" i="28"/>
  <c r="AW208" i="4"/>
  <c r="AV208" i="4"/>
  <c r="Z208" i="28"/>
  <c r="AA208" i="28"/>
  <c r="T207" i="4"/>
  <c r="O207" i="4"/>
  <c r="Q207" i="4"/>
  <c r="U207" i="4"/>
  <c r="S207" i="4"/>
  <c r="N207" i="4"/>
  <c r="P207" i="4"/>
  <c r="R207" i="4"/>
  <c r="U206" i="29"/>
  <c r="F206" i="29" s="1"/>
  <c r="V206" i="29"/>
  <c r="A799" i="28"/>
  <c r="AW209" i="4" l="1"/>
  <c r="AV209" i="4"/>
  <c r="H208" i="28"/>
  <c r="G208" i="28"/>
  <c r="U207" i="29"/>
  <c r="F207" i="29" s="1"/>
  <c r="V207" i="29"/>
  <c r="Z209" i="28"/>
  <c r="AA209" i="28"/>
  <c r="S208" i="4"/>
  <c r="U208" i="4"/>
  <c r="R208" i="4"/>
  <c r="T208" i="4"/>
  <c r="N208" i="4"/>
  <c r="P208" i="4"/>
  <c r="O208" i="4"/>
  <c r="Q208" i="4"/>
  <c r="A800" i="28"/>
  <c r="V208" i="29" l="1"/>
  <c r="U208" i="29"/>
  <c r="F208" i="29" s="1"/>
  <c r="AW210" i="4"/>
  <c r="AV210" i="4"/>
  <c r="G209" i="28"/>
  <c r="H209" i="28"/>
  <c r="U209" i="4"/>
  <c r="P209" i="4"/>
  <c r="R209" i="4"/>
  <c r="O209" i="4"/>
  <c r="S209" i="4"/>
  <c r="N209" i="4"/>
  <c r="T209" i="4"/>
  <c r="Q209" i="4"/>
  <c r="Z210" i="28"/>
  <c r="AA210" i="28"/>
  <c r="A801" i="28"/>
  <c r="G210" i="28" l="1"/>
  <c r="H210" i="28"/>
  <c r="U210" i="4"/>
  <c r="P210" i="4"/>
  <c r="R210" i="4"/>
  <c r="O210" i="4"/>
  <c r="S210" i="4"/>
  <c r="Q210" i="4"/>
  <c r="N210" i="4"/>
  <c r="T210" i="4"/>
  <c r="AA211" i="28"/>
  <c r="Z211" i="28"/>
  <c r="AV211" i="4"/>
  <c r="AW211" i="4"/>
  <c r="U209" i="29"/>
  <c r="F209" i="29" s="1"/>
  <c r="V209" i="29"/>
  <c r="A802" i="28"/>
  <c r="U210" i="29" l="1"/>
  <c r="F210" i="29" s="1"/>
  <c r="V210" i="29"/>
  <c r="P211" i="4"/>
  <c r="T211" i="4"/>
  <c r="U211" i="4"/>
  <c r="O211" i="4"/>
  <c r="Q211" i="4"/>
  <c r="S211" i="4"/>
  <c r="R211" i="4"/>
  <c r="N211" i="4"/>
  <c r="AA212" i="28"/>
  <c r="Z212" i="28"/>
  <c r="AV212" i="4"/>
  <c r="AW212" i="4"/>
  <c r="G211" i="28"/>
  <c r="H211" i="28"/>
  <c r="A803" i="28"/>
  <c r="Z213" i="28" l="1"/>
  <c r="AA213" i="28"/>
  <c r="U212" i="4"/>
  <c r="T212" i="4"/>
  <c r="R212" i="4"/>
  <c r="S212" i="4"/>
  <c r="O212" i="4"/>
  <c r="Q212" i="4"/>
  <c r="P212" i="4"/>
  <c r="N212" i="4"/>
  <c r="U211" i="29"/>
  <c r="F211" i="29" s="1"/>
  <c r="V211" i="29"/>
  <c r="G212" i="28"/>
  <c r="H212" i="28"/>
  <c r="AV213" i="4"/>
  <c r="AW213" i="4"/>
  <c r="A804" i="28"/>
  <c r="V212" i="29" l="1"/>
  <c r="U212" i="29"/>
  <c r="F212" i="29" s="1"/>
  <c r="T213" i="4"/>
  <c r="U213" i="4"/>
  <c r="O213" i="4"/>
  <c r="N213" i="4"/>
  <c r="R213" i="4"/>
  <c r="S213" i="4"/>
  <c r="P213" i="4"/>
  <c r="Q213" i="4"/>
  <c r="AW214" i="4"/>
  <c r="AV214" i="4"/>
  <c r="H213" i="28"/>
  <c r="G213" i="28"/>
  <c r="AA214" i="28"/>
  <c r="Z214" i="28"/>
  <c r="A805" i="28"/>
  <c r="N214" i="4" l="1"/>
  <c r="S214" i="4"/>
  <c r="U214" i="4"/>
  <c r="Q214" i="4"/>
  <c r="P214" i="4"/>
  <c r="R214" i="4"/>
  <c r="T214" i="4"/>
  <c r="O214" i="4"/>
  <c r="AW215" i="4"/>
  <c r="AV215" i="4"/>
  <c r="H214" i="28"/>
  <c r="G214" i="28"/>
  <c r="V213" i="29"/>
  <c r="U213" i="29"/>
  <c r="F213" i="29" s="1"/>
  <c r="AA215" i="28"/>
  <c r="Z215" i="28"/>
  <c r="A806" i="28"/>
  <c r="AV216" i="4" l="1"/>
  <c r="AW216" i="4"/>
  <c r="T215" i="4"/>
  <c r="Q215" i="4"/>
  <c r="P215" i="4"/>
  <c r="R215" i="4"/>
  <c r="U215" i="4"/>
  <c r="N215" i="4"/>
  <c r="O215" i="4"/>
  <c r="S215" i="4"/>
  <c r="H215" i="28"/>
  <c r="G215" i="28"/>
  <c r="U214" i="29"/>
  <c r="F214" i="29" s="1"/>
  <c r="V214" i="29"/>
  <c r="AA216" i="28"/>
  <c r="Z216" i="28"/>
  <c r="A807" i="28"/>
  <c r="AV217" i="4" l="1"/>
  <c r="AW217" i="4"/>
  <c r="G216" i="28"/>
  <c r="H216" i="28"/>
  <c r="V215" i="29"/>
  <c r="U215" i="29"/>
  <c r="F215" i="29" s="1"/>
  <c r="Z217" i="28"/>
  <c r="AA217" i="28"/>
  <c r="P216" i="4"/>
  <c r="Q216" i="4"/>
  <c r="S216" i="4"/>
  <c r="T216" i="4"/>
  <c r="N216" i="4"/>
  <c r="O216" i="4"/>
  <c r="R216" i="4"/>
  <c r="U216" i="4"/>
  <c r="A808" i="28"/>
  <c r="H217" i="28" l="1"/>
  <c r="G217" i="28"/>
  <c r="U216" i="29"/>
  <c r="F216" i="29" s="1"/>
  <c r="V216" i="29"/>
  <c r="AW218" i="4"/>
  <c r="AV218" i="4"/>
  <c r="AA218" i="28"/>
  <c r="Z218" i="28"/>
  <c r="R217" i="4"/>
  <c r="N217" i="4"/>
  <c r="T217" i="4"/>
  <c r="P217" i="4"/>
  <c r="S217" i="4"/>
  <c r="O217" i="4"/>
  <c r="Q217" i="4"/>
  <c r="U217" i="4"/>
  <c r="A809" i="28"/>
  <c r="G218" i="28" l="1"/>
  <c r="H218" i="28"/>
  <c r="Z219" i="28"/>
  <c r="AA219" i="28"/>
  <c r="AV219" i="4"/>
  <c r="AW219" i="4"/>
  <c r="V217" i="29"/>
  <c r="U217" i="29"/>
  <c r="F217" i="29" s="1"/>
  <c r="T218" i="4"/>
  <c r="Q218" i="4"/>
  <c r="O218" i="4"/>
  <c r="P218" i="4"/>
  <c r="U218" i="4"/>
  <c r="N218" i="4"/>
  <c r="S218" i="4"/>
  <c r="R218" i="4"/>
  <c r="A810" i="28"/>
  <c r="Z220" i="28" l="1"/>
  <c r="AA220" i="28"/>
  <c r="U218" i="29"/>
  <c r="F218" i="29" s="1"/>
  <c r="V218" i="29"/>
  <c r="N219" i="4"/>
  <c r="T219" i="4"/>
  <c r="P219" i="4"/>
  <c r="S219" i="4"/>
  <c r="U219" i="4"/>
  <c r="O219" i="4"/>
  <c r="Q219" i="4"/>
  <c r="R219" i="4"/>
  <c r="G219" i="28"/>
  <c r="H219" i="28"/>
  <c r="AW220" i="4"/>
  <c r="AV220" i="4"/>
  <c r="A811" i="28"/>
  <c r="AW221" i="4" l="1"/>
  <c r="AV221" i="4"/>
  <c r="G220" i="28"/>
  <c r="H220" i="28"/>
  <c r="O220" i="4"/>
  <c r="U220" i="4"/>
  <c r="R220" i="4"/>
  <c r="Q220" i="4"/>
  <c r="P220" i="4"/>
  <c r="S220" i="4"/>
  <c r="T220" i="4"/>
  <c r="N220" i="4"/>
  <c r="Z221" i="28"/>
  <c r="AA221" i="28"/>
  <c r="U219" i="29"/>
  <c r="F219" i="29" s="1"/>
  <c r="V219" i="29"/>
  <c r="A812" i="28"/>
  <c r="S221" i="4" l="1"/>
  <c r="T221" i="4"/>
  <c r="N221" i="4"/>
  <c r="Q221" i="4"/>
  <c r="O221" i="4"/>
  <c r="P221" i="4"/>
  <c r="R221" i="4"/>
  <c r="U221" i="4"/>
  <c r="U220" i="29"/>
  <c r="F220" i="29" s="1"/>
  <c r="V220" i="29"/>
  <c r="H221" i="28"/>
  <c r="G221" i="28"/>
  <c r="AV222" i="4"/>
  <c r="AW222" i="4"/>
  <c r="Z222" i="28"/>
  <c r="AA222" i="28"/>
  <c r="A813" i="28"/>
  <c r="G222" i="28" l="1"/>
  <c r="H222" i="28"/>
  <c r="AW223" i="4"/>
  <c r="AV223" i="4"/>
  <c r="U222" i="4"/>
  <c r="T222" i="4"/>
  <c r="P222" i="4"/>
  <c r="O222" i="4"/>
  <c r="R222" i="4"/>
  <c r="S222" i="4"/>
  <c r="Q222" i="4"/>
  <c r="N222" i="4"/>
  <c r="Z223" i="28"/>
  <c r="AA223" i="28"/>
  <c r="V221" i="29"/>
  <c r="U221" i="29"/>
  <c r="F221" i="29" s="1"/>
  <c r="A814" i="28"/>
  <c r="AW224" i="4" l="1"/>
  <c r="AV224" i="4"/>
  <c r="G223" i="28"/>
  <c r="H223" i="28"/>
  <c r="AA224" i="28"/>
  <c r="Z224" i="28"/>
  <c r="S223" i="4"/>
  <c r="Q223" i="4"/>
  <c r="P223" i="4"/>
  <c r="T223" i="4"/>
  <c r="U223" i="4"/>
  <c r="N223" i="4"/>
  <c r="R223" i="4"/>
  <c r="O223" i="4"/>
  <c r="U222" i="29"/>
  <c r="F222" i="29" s="1"/>
  <c r="V222" i="29"/>
  <c r="A815" i="28"/>
  <c r="O224" i="4" l="1"/>
  <c r="N224" i="4"/>
  <c r="U224" i="4"/>
  <c r="S224" i="4"/>
  <c r="T224" i="4"/>
  <c r="R224" i="4"/>
  <c r="Q224" i="4"/>
  <c r="P224" i="4"/>
  <c r="AA225" i="28"/>
  <c r="Z225" i="28"/>
  <c r="U223" i="29"/>
  <c r="F223" i="29" s="1"/>
  <c r="V223" i="29"/>
  <c r="H224" i="28"/>
  <c r="G224" i="28"/>
  <c r="AV225" i="4"/>
  <c r="AW225" i="4"/>
  <c r="A816" i="28"/>
  <c r="N225" i="4" l="1"/>
  <c r="Q225" i="4"/>
  <c r="T225" i="4"/>
  <c r="R225" i="4"/>
  <c r="O225" i="4"/>
  <c r="P225" i="4"/>
  <c r="S225" i="4"/>
  <c r="U225" i="4"/>
  <c r="U224" i="29"/>
  <c r="F224" i="29" s="1"/>
  <c r="V224" i="29"/>
  <c r="AA226" i="28"/>
  <c r="Z226" i="28"/>
  <c r="G225" i="28"/>
  <c r="H225" i="28"/>
  <c r="AV226" i="4"/>
  <c r="AW226" i="4"/>
  <c r="A817" i="28"/>
  <c r="T226" i="4" l="1"/>
  <c r="R226" i="4"/>
  <c r="S226" i="4"/>
  <c r="U226" i="4"/>
  <c r="N226" i="4"/>
  <c r="Q226" i="4"/>
  <c r="P226" i="4"/>
  <c r="O226" i="4"/>
  <c r="V225" i="29"/>
  <c r="U225" i="29"/>
  <c r="F225" i="29" s="1"/>
  <c r="Z227" i="28"/>
  <c r="AA227" i="28"/>
  <c r="AV227" i="4"/>
  <c r="AW227" i="4"/>
  <c r="H226" i="28"/>
  <c r="G226" i="28"/>
  <c r="A818" i="28"/>
  <c r="T227" i="4" l="1"/>
  <c r="N227" i="4"/>
  <c r="O227" i="4"/>
  <c r="R227" i="4"/>
  <c r="Q227" i="4"/>
  <c r="S227" i="4"/>
  <c r="P227" i="4"/>
  <c r="U227" i="4"/>
  <c r="G227" i="28"/>
  <c r="H227" i="28"/>
  <c r="AW228" i="4"/>
  <c r="AV228" i="4"/>
  <c r="V226" i="29"/>
  <c r="U226" i="29"/>
  <c r="F226" i="29" s="1"/>
  <c r="AA228" i="28"/>
  <c r="Z228" i="28"/>
  <c r="A819" i="28"/>
  <c r="V227" i="29" l="1"/>
  <c r="U227" i="29"/>
  <c r="F227" i="29" s="1"/>
  <c r="G228" i="28"/>
  <c r="H228" i="28"/>
  <c r="AA229" i="28"/>
  <c r="Z229" i="28"/>
  <c r="T228" i="4"/>
  <c r="P228" i="4"/>
  <c r="S228" i="4"/>
  <c r="Q228" i="4"/>
  <c r="U228" i="4"/>
  <c r="N228" i="4"/>
  <c r="R228" i="4"/>
  <c r="O228" i="4"/>
  <c r="AV229" i="4"/>
  <c r="AW229" i="4"/>
  <c r="A820" i="28"/>
  <c r="T229" i="4" l="1"/>
  <c r="R229" i="4"/>
  <c r="Q229" i="4"/>
  <c r="O229" i="4"/>
  <c r="S229" i="4"/>
  <c r="U229" i="4"/>
  <c r="N229" i="4"/>
  <c r="P229" i="4"/>
  <c r="AV230" i="4"/>
  <c r="AW230" i="4"/>
  <c r="U228" i="29"/>
  <c r="F228" i="29" s="1"/>
  <c r="V228" i="29"/>
  <c r="AA230" i="28"/>
  <c r="Z230" i="28"/>
  <c r="G229" i="28"/>
  <c r="H229" i="28"/>
  <c r="A821" i="28"/>
  <c r="G230" i="28" l="1"/>
  <c r="H230" i="28"/>
  <c r="U229" i="29"/>
  <c r="F229" i="29" s="1"/>
  <c r="V229" i="29"/>
  <c r="AA231" i="28"/>
  <c r="Z231" i="28"/>
  <c r="AV231" i="4"/>
  <c r="AW231" i="4"/>
  <c r="R230" i="4"/>
  <c r="Q230" i="4"/>
  <c r="O230" i="4"/>
  <c r="T230" i="4"/>
  <c r="U230" i="4"/>
  <c r="P230" i="4"/>
  <c r="N230" i="4"/>
  <c r="S230" i="4"/>
  <c r="A822" i="28"/>
  <c r="G231" i="28" l="1"/>
  <c r="H231" i="28"/>
  <c r="Z232" i="28"/>
  <c r="AA232" i="28"/>
  <c r="U230" i="29"/>
  <c r="F230" i="29" s="1"/>
  <c r="V230" i="29"/>
  <c r="Q231" i="4"/>
  <c r="N231" i="4"/>
  <c r="T231" i="4"/>
  <c r="S231" i="4"/>
  <c r="O231" i="4"/>
  <c r="P231" i="4"/>
  <c r="U231" i="4"/>
  <c r="R231" i="4"/>
  <c r="AV232" i="4"/>
  <c r="AW232" i="4"/>
  <c r="A823" i="28"/>
  <c r="Z233" i="28" l="1"/>
  <c r="AA233" i="28"/>
  <c r="V231" i="29"/>
  <c r="U231" i="29"/>
  <c r="F231" i="29" s="1"/>
  <c r="H232" i="28"/>
  <c r="G232" i="28"/>
  <c r="AV233" i="4"/>
  <c r="AW233" i="4"/>
  <c r="S232" i="4"/>
  <c r="R232" i="4"/>
  <c r="O232" i="4"/>
  <c r="N232" i="4"/>
  <c r="T232" i="4"/>
  <c r="U232" i="4"/>
  <c r="P232" i="4"/>
  <c r="Q232" i="4"/>
  <c r="A824" i="28"/>
  <c r="V232" i="29" l="1"/>
  <c r="U232" i="29"/>
  <c r="F232" i="29" s="1"/>
  <c r="N233" i="4"/>
  <c r="Q233" i="4"/>
  <c r="P233" i="4"/>
  <c r="O233" i="4"/>
  <c r="T233" i="4"/>
  <c r="S233" i="4"/>
  <c r="U233" i="4"/>
  <c r="R233" i="4"/>
  <c r="AW234" i="4"/>
  <c r="AV234" i="4"/>
  <c r="Z234" i="28"/>
  <c r="AA234" i="28"/>
  <c r="G233" i="28"/>
  <c r="H233" i="28"/>
  <c r="A825" i="28"/>
  <c r="U233" i="29" l="1"/>
  <c r="F233" i="29" s="1"/>
  <c r="V233" i="29"/>
  <c r="AW235" i="4"/>
  <c r="AV235" i="4"/>
  <c r="G234" i="28"/>
  <c r="H234" i="28"/>
  <c r="O234" i="4"/>
  <c r="R234" i="4"/>
  <c r="T234" i="4"/>
  <c r="U234" i="4"/>
  <c r="Q234" i="4"/>
  <c r="N234" i="4"/>
  <c r="P234" i="4"/>
  <c r="S234" i="4"/>
  <c r="Z235" i="28"/>
  <c r="AA235" i="28"/>
  <c r="A826" i="28"/>
  <c r="O235" i="4" l="1"/>
  <c r="U235" i="4"/>
  <c r="P235" i="4"/>
  <c r="T235" i="4"/>
  <c r="R235" i="4"/>
  <c r="S235" i="4"/>
  <c r="Q235" i="4"/>
  <c r="N235" i="4"/>
  <c r="U234" i="29"/>
  <c r="F234" i="29" s="1"/>
  <c r="V234" i="29"/>
  <c r="H235" i="28"/>
  <c r="G235" i="28"/>
  <c r="AV236" i="4"/>
  <c r="AW236" i="4"/>
  <c r="AA236" i="28"/>
  <c r="Z236" i="28"/>
  <c r="A827" i="28"/>
  <c r="V235" i="29" l="1"/>
  <c r="U235" i="29"/>
  <c r="F235" i="29" s="1"/>
  <c r="H236" i="28"/>
  <c r="G236" i="28"/>
  <c r="AA237" i="28"/>
  <c r="Z237" i="28"/>
  <c r="AW237" i="4"/>
  <c r="AV237" i="4"/>
  <c r="T236" i="4"/>
  <c r="R236" i="4"/>
  <c r="S236" i="4"/>
  <c r="U236" i="4"/>
  <c r="P236" i="4"/>
  <c r="Q236" i="4"/>
  <c r="O236" i="4"/>
  <c r="N236" i="4"/>
  <c r="A828" i="28"/>
  <c r="G237" i="28" l="1"/>
  <c r="H237" i="28"/>
  <c r="AV238" i="4"/>
  <c r="AW238" i="4"/>
  <c r="Q237" i="4"/>
  <c r="S237" i="4"/>
  <c r="T237" i="4"/>
  <c r="O237" i="4"/>
  <c r="U237" i="4"/>
  <c r="P237" i="4"/>
  <c r="N237" i="4"/>
  <c r="R237" i="4"/>
  <c r="Z238" i="28"/>
  <c r="AA238" i="28"/>
  <c r="V236" i="29"/>
  <c r="U236" i="29"/>
  <c r="F236" i="29" s="1"/>
  <c r="A829" i="28"/>
  <c r="V237" i="29" l="1"/>
  <c r="U237" i="29"/>
  <c r="F237" i="29" s="1"/>
  <c r="H238" i="28"/>
  <c r="G238" i="28"/>
  <c r="AA239" i="28"/>
  <c r="Z239" i="28"/>
  <c r="AV239" i="4"/>
  <c r="AW239" i="4"/>
  <c r="P238" i="4"/>
  <c r="T238" i="4"/>
  <c r="U238" i="4"/>
  <c r="R238" i="4"/>
  <c r="S238" i="4"/>
  <c r="Q238" i="4"/>
  <c r="N238" i="4"/>
  <c r="O238" i="4"/>
  <c r="A830" i="28"/>
  <c r="AW240" i="4" l="1"/>
  <c r="AV240" i="4"/>
  <c r="AA240" i="28"/>
  <c r="Z240" i="28"/>
  <c r="G239" i="28"/>
  <c r="H239" i="28"/>
  <c r="N239" i="4"/>
  <c r="T239" i="4"/>
  <c r="S239" i="4"/>
  <c r="Q239" i="4"/>
  <c r="P239" i="4"/>
  <c r="U239" i="4"/>
  <c r="R239" i="4"/>
  <c r="O239" i="4"/>
  <c r="V238" i="29"/>
  <c r="U238" i="29"/>
  <c r="F238" i="29" s="1"/>
  <c r="A831" i="28"/>
  <c r="AA241" i="28" l="1"/>
  <c r="Z241" i="28"/>
  <c r="AW241" i="4"/>
  <c r="AV241" i="4"/>
  <c r="V239" i="29"/>
  <c r="U239" i="29"/>
  <c r="F239" i="29" s="1"/>
  <c r="G240" i="28"/>
  <c r="H240" i="28"/>
  <c r="S240" i="4"/>
  <c r="O240" i="4"/>
  <c r="P240" i="4"/>
  <c r="U240" i="4"/>
  <c r="N240" i="4"/>
  <c r="T240" i="4"/>
  <c r="R240" i="4"/>
  <c r="Q240" i="4"/>
  <c r="A832" i="28"/>
  <c r="AV242" i="4" l="1"/>
  <c r="AW242" i="4"/>
  <c r="U240" i="29"/>
  <c r="F240" i="29" s="1"/>
  <c r="V240" i="29"/>
  <c r="P241" i="4"/>
  <c r="U241" i="4"/>
  <c r="N241" i="4"/>
  <c r="S241" i="4"/>
  <c r="Q241" i="4"/>
  <c r="T241" i="4"/>
  <c r="R241" i="4"/>
  <c r="O241" i="4"/>
  <c r="G241" i="28"/>
  <c r="H241" i="28"/>
  <c r="Z242" i="28"/>
  <c r="AA242" i="28"/>
  <c r="A833" i="28"/>
  <c r="H242" i="28" l="1"/>
  <c r="G242" i="28"/>
  <c r="AW243" i="4"/>
  <c r="AV243" i="4"/>
  <c r="V241" i="29"/>
  <c r="U241" i="29"/>
  <c r="F241" i="29" s="1"/>
  <c r="Q242" i="4"/>
  <c r="P242" i="4"/>
  <c r="T242" i="4"/>
  <c r="S242" i="4"/>
  <c r="U242" i="4"/>
  <c r="R242" i="4"/>
  <c r="O242" i="4"/>
  <c r="N242" i="4"/>
  <c r="Z243" i="28"/>
  <c r="AA243" i="28"/>
  <c r="A834" i="28"/>
  <c r="G243" i="28" l="1"/>
  <c r="H243" i="28"/>
  <c r="P243" i="4"/>
  <c r="U243" i="4"/>
  <c r="R243" i="4"/>
  <c r="S243" i="4"/>
  <c r="Q243" i="4"/>
  <c r="N243" i="4"/>
  <c r="O243" i="4"/>
  <c r="T243" i="4"/>
  <c r="AW244" i="4"/>
  <c r="AV244" i="4"/>
  <c r="AA244" i="28"/>
  <c r="Z244" i="28"/>
  <c r="F266" i="29"/>
  <c r="A835" i="28"/>
  <c r="AV245" i="4" l="1"/>
  <c r="AW245" i="4"/>
  <c r="H244" i="28"/>
  <c r="G244" i="28"/>
  <c r="Q244" i="4"/>
  <c r="O244" i="4"/>
  <c r="S244" i="4"/>
  <c r="U244" i="4"/>
  <c r="T244" i="4"/>
  <c r="R244" i="4"/>
  <c r="P244" i="4"/>
  <c r="N244" i="4"/>
  <c r="F267" i="29"/>
  <c r="Z245" i="28"/>
  <c r="AA245" i="28"/>
  <c r="A836" i="28"/>
  <c r="G245" i="28" l="1"/>
  <c r="H245" i="28"/>
  <c r="F268" i="29"/>
  <c r="Z246" i="28"/>
  <c r="AA246" i="28"/>
  <c r="O245" i="4"/>
  <c r="S245" i="4"/>
  <c r="T245" i="4"/>
  <c r="N245" i="4"/>
  <c r="U245" i="4"/>
  <c r="Q245" i="4"/>
  <c r="P245" i="4"/>
  <c r="R245" i="4"/>
  <c r="AV246" i="4"/>
  <c r="AW246" i="4"/>
  <c r="A837" i="28"/>
  <c r="AW247" i="4" l="1"/>
  <c r="AV247" i="4"/>
  <c r="H246" i="28"/>
  <c r="G246" i="28"/>
  <c r="Z247" i="28"/>
  <c r="AA247" i="28"/>
  <c r="R246" i="4"/>
  <c r="N246" i="4"/>
  <c r="U246" i="4"/>
  <c r="P246" i="4"/>
  <c r="S246" i="4"/>
  <c r="Q246" i="4"/>
  <c r="T246" i="4"/>
  <c r="O246" i="4"/>
  <c r="F269" i="29"/>
  <c r="A838" i="28"/>
  <c r="F270" i="29" l="1"/>
  <c r="Z248" i="28"/>
  <c r="AA248" i="28"/>
  <c r="AW248" i="4"/>
  <c r="AV248" i="4"/>
  <c r="H247" i="28"/>
  <c r="G247" i="28"/>
  <c r="O247" i="4"/>
  <c r="U247" i="4"/>
  <c r="N247" i="4"/>
  <c r="S247" i="4"/>
  <c r="Q247" i="4"/>
  <c r="T247" i="4"/>
  <c r="R247" i="4"/>
  <c r="P247" i="4"/>
  <c r="A839" i="28"/>
  <c r="H248" i="28" l="1"/>
  <c r="G248" i="28"/>
  <c r="AV249" i="4"/>
  <c r="AW249" i="4"/>
  <c r="F271" i="29"/>
  <c r="S248" i="4"/>
  <c r="O248" i="4"/>
  <c r="U248" i="4"/>
  <c r="Q248" i="4"/>
  <c r="T248" i="4"/>
  <c r="N248" i="4"/>
  <c r="R248" i="4"/>
  <c r="P248" i="4"/>
  <c r="Z249" i="28"/>
  <c r="AA249" i="28"/>
  <c r="A840" i="28"/>
  <c r="Z250" i="28" l="1"/>
  <c r="AA250" i="28"/>
  <c r="G249" i="28"/>
  <c r="H249" i="28"/>
  <c r="F272" i="29"/>
  <c r="AV250" i="4"/>
  <c r="AW250" i="4"/>
  <c r="S249" i="4"/>
  <c r="R249" i="4"/>
  <c r="O249" i="4"/>
  <c r="N249" i="4"/>
  <c r="T249" i="4"/>
  <c r="U249" i="4"/>
  <c r="P249" i="4"/>
  <c r="Q249" i="4"/>
  <c r="A841" i="28"/>
  <c r="F273" i="29" l="1"/>
  <c r="G250" i="28"/>
  <c r="H250" i="28"/>
  <c r="Q250" i="4"/>
  <c r="O250" i="4"/>
  <c r="U250" i="4"/>
  <c r="T250" i="4"/>
  <c r="P250" i="4"/>
  <c r="N250" i="4"/>
  <c r="R250" i="4"/>
  <c r="S250" i="4"/>
  <c r="AV251" i="4"/>
  <c r="AW251" i="4"/>
  <c r="Z251" i="28"/>
  <c r="AA251" i="28"/>
  <c r="A842" i="28"/>
  <c r="F274" i="29" l="1"/>
  <c r="G251" i="28"/>
  <c r="H251" i="28"/>
  <c r="S251" i="4"/>
  <c r="N251" i="4"/>
  <c r="U251" i="4"/>
  <c r="P251" i="4"/>
  <c r="Q251" i="4"/>
  <c r="R251" i="4"/>
  <c r="O251" i="4"/>
  <c r="T251" i="4"/>
  <c r="AW252" i="4"/>
  <c r="AV252" i="4"/>
  <c r="AA252" i="28"/>
  <c r="Z252" i="28"/>
  <c r="A843" i="28"/>
  <c r="A856" i="28" s="1"/>
  <c r="A857" i="28" s="1"/>
  <c r="H252" i="28" l="1"/>
  <c r="G252" i="28"/>
  <c r="F275" i="29"/>
  <c r="O252" i="4"/>
  <c r="S252" i="4"/>
  <c r="R252" i="4"/>
  <c r="P252" i="4"/>
  <c r="Q252" i="4"/>
  <c r="T252" i="4"/>
  <c r="U252" i="4"/>
  <c r="N252" i="4"/>
  <c r="AW253" i="4"/>
  <c r="AV253" i="4"/>
  <c r="AA253" i="28"/>
  <c r="Z253" i="28"/>
  <c r="A844" i="28"/>
  <c r="Z254" i="28" l="1"/>
  <c r="AA254" i="28"/>
  <c r="H253" i="28"/>
  <c r="G253" i="28"/>
  <c r="S253" i="4"/>
  <c r="Q253" i="4"/>
  <c r="N253" i="4"/>
  <c r="T253" i="4"/>
  <c r="R253" i="4"/>
  <c r="P253" i="4"/>
  <c r="U253" i="4"/>
  <c r="O253" i="4"/>
  <c r="F276" i="29"/>
  <c r="AW254" i="4"/>
  <c r="AV254" i="4"/>
  <c r="A845" i="28"/>
  <c r="A858" i="28" s="1"/>
  <c r="A859" i="28" s="1"/>
  <c r="A860" i="28" s="1"/>
  <c r="A861" i="28" s="1"/>
  <c r="A862" i="28" s="1"/>
  <c r="AA255" i="28" l="1"/>
  <c r="Z255" i="28"/>
  <c r="G254" i="28"/>
  <c r="H254" i="28"/>
  <c r="AW255" i="4"/>
  <c r="AV255" i="4"/>
  <c r="P254" i="4"/>
  <c r="O254" i="4"/>
  <c r="Q254" i="4"/>
  <c r="N254" i="4"/>
  <c r="U254" i="4"/>
  <c r="S254" i="4"/>
  <c r="R254" i="4"/>
  <c r="T254" i="4"/>
  <c r="F277" i="29"/>
  <c r="A846" i="28"/>
  <c r="Q255" i="4" l="1"/>
  <c r="R255" i="4"/>
  <c r="T255" i="4"/>
  <c r="P255" i="4"/>
  <c r="U255" i="4"/>
  <c r="O255" i="4"/>
  <c r="N255" i="4"/>
  <c r="S255" i="4"/>
  <c r="Z256" i="28"/>
  <c r="AA256" i="28"/>
  <c r="F278" i="29"/>
  <c r="AV256" i="4"/>
  <c r="AW256" i="4"/>
  <c r="G255" i="28"/>
  <c r="H255" i="28"/>
  <c r="A847" i="28"/>
  <c r="T256" i="4" l="1"/>
  <c r="R256" i="4"/>
  <c r="O256" i="4"/>
  <c r="P256" i="4"/>
  <c r="U256" i="4"/>
  <c r="S256" i="4"/>
  <c r="N256" i="4"/>
  <c r="Q256" i="4"/>
  <c r="AW257" i="4"/>
  <c r="AV257" i="4"/>
  <c r="F279" i="29"/>
  <c r="AA257" i="28"/>
  <c r="Z257" i="28"/>
  <c r="G256" i="28"/>
  <c r="H256" i="28"/>
  <c r="A848" i="28"/>
  <c r="AV258" i="4" l="1"/>
  <c r="AW258" i="4"/>
  <c r="F280" i="29"/>
  <c r="H257" i="28"/>
  <c r="G257" i="28"/>
  <c r="N257" i="4"/>
  <c r="Q257" i="4"/>
  <c r="S257" i="4"/>
  <c r="O257" i="4"/>
  <c r="U257" i="4"/>
  <c r="T257" i="4"/>
  <c r="R257" i="4"/>
  <c r="P257" i="4"/>
  <c r="AA258" i="28"/>
  <c r="Z258" i="28"/>
  <c r="A849" i="28"/>
  <c r="G258" i="28" l="1"/>
  <c r="H258" i="28"/>
  <c r="AV259" i="4"/>
  <c r="AW259" i="4"/>
  <c r="Z259" i="28"/>
  <c r="AA259" i="28"/>
  <c r="F281" i="29"/>
  <c r="P258" i="4"/>
  <c r="T258" i="4"/>
  <c r="R258" i="4"/>
  <c r="Q258" i="4"/>
  <c r="O258" i="4"/>
  <c r="N258" i="4"/>
  <c r="S258" i="4"/>
  <c r="U258" i="4"/>
  <c r="A850" i="28"/>
  <c r="A863" i="28" s="1"/>
  <c r="A864" i="28" s="1"/>
  <c r="A865" i="28" s="1"/>
  <c r="A866" i="28" s="1"/>
  <c r="A867" i="28" s="1"/>
  <c r="F282" i="29" l="1"/>
  <c r="G259" i="28"/>
  <c r="H259" i="28"/>
  <c r="AA260" i="28"/>
  <c r="Z260" i="28"/>
  <c r="T259" i="4"/>
  <c r="Q259" i="4"/>
  <c r="O259" i="4"/>
  <c r="P259" i="4"/>
  <c r="S259" i="4"/>
  <c r="R259" i="4"/>
  <c r="U259" i="4"/>
  <c r="N259" i="4"/>
  <c r="AV260" i="4"/>
  <c r="AW260" i="4"/>
  <c r="A851" i="28"/>
  <c r="P260" i="4" l="1"/>
  <c r="Q260" i="4"/>
  <c r="R260" i="4"/>
  <c r="U260" i="4"/>
  <c r="S260" i="4"/>
  <c r="N260" i="4"/>
  <c r="T260" i="4"/>
  <c r="O260" i="4"/>
  <c r="AW261" i="4"/>
  <c r="AV261" i="4"/>
  <c r="F283" i="29"/>
  <c r="AA261" i="28"/>
  <c r="Z261" i="28"/>
  <c r="G260" i="28"/>
  <c r="H260" i="28"/>
  <c r="A852" i="28"/>
  <c r="F284" i="29" l="1"/>
  <c r="Z262" i="28"/>
  <c r="AA262" i="28"/>
  <c r="G261" i="28"/>
  <c r="H261" i="28"/>
  <c r="AW262" i="4"/>
  <c r="AV262" i="4"/>
  <c r="O261" i="4"/>
  <c r="N261" i="4"/>
  <c r="S261" i="4"/>
  <c r="U261" i="4"/>
  <c r="Q261" i="4"/>
  <c r="R261" i="4"/>
  <c r="T261" i="4"/>
  <c r="P261" i="4"/>
  <c r="A853" i="28"/>
  <c r="AV263" i="4" l="1"/>
  <c r="AW263" i="4"/>
  <c r="U262" i="4"/>
  <c r="R262" i="4"/>
  <c r="P262" i="4"/>
  <c r="N262" i="4"/>
  <c r="S262" i="4"/>
  <c r="T262" i="4"/>
  <c r="Q262" i="4"/>
  <c r="O262" i="4"/>
  <c r="F285" i="29"/>
  <c r="G262" i="28"/>
  <c r="H262" i="28"/>
  <c r="AA263" i="28"/>
  <c r="Z263" i="28"/>
  <c r="A854" i="28"/>
  <c r="F286" i="29" l="1"/>
  <c r="AV264" i="4"/>
  <c r="AW264" i="4"/>
  <c r="AA264" i="28"/>
  <c r="Z264" i="28"/>
  <c r="H263" i="28"/>
  <c r="G263" i="28"/>
  <c r="T263" i="4"/>
  <c r="P263" i="4"/>
  <c r="U263" i="4"/>
  <c r="N263" i="4"/>
  <c r="O263" i="4"/>
  <c r="S263" i="4"/>
  <c r="Q263" i="4"/>
  <c r="R263" i="4"/>
  <c r="A855" i="28"/>
  <c r="H264" i="28" l="1"/>
  <c r="G264" i="28"/>
  <c r="Q264" i="4"/>
  <c r="S264" i="4"/>
  <c r="T264" i="4"/>
  <c r="O264" i="4"/>
  <c r="R264" i="4"/>
  <c r="N264" i="4"/>
  <c r="P264" i="4"/>
  <c r="U264" i="4"/>
  <c r="AA265" i="28"/>
  <c r="Z265" i="28"/>
  <c r="AV265" i="4"/>
  <c r="AW265" i="4"/>
  <c r="A868" i="28"/>
  <c r="S265" i="4" l="1"/>
  <c r="P265" i="4"/>
  <c r="T265" i="4"/>
  <c r="Q265" i="4"/>
  <c r="N265" i="4"/>
  <c r="U265" i="4"/>
  <c r="O265" i="4"/>
  <c r="R265" i="4"/>
  <c r="AV266" i="4"/>
  <c r="AW266" i="4"/>
  <c r="F287" i="29"/>
  <c r="H265" i="28"/>
  <c r="G265" i="28"/>
  <c r="Z266" i="28"/>
  <c r="AA266" i="28"/>
  <c r="A869" i="28"/>
  <c r="F288" i="29" l="1"/>
  <c r="H266" i="28"/>
  <c r="G266" i="28"/>
  <c r="AV267" i="4"/>
  <c r="AW267" i="4"/>
  <c r="R266" i="4"/>
  <c r="Q266" i="4"/>
  <c r="P266" i="4"/>
  <c r="N266" i="4"/>
  <c r="U266" i="4"/>
  <c r="O266" i="4"/>
  <c r="S266" i="4"/>
  <c r="T266" i="4"/>
  <c r="AA267" i="28"/>
  <c r="Z267" i="28"/>
  <c r="A870" i="28"/>
  <c r="AW268" i="4" l="1"/>
  <c r="AV268" i="4"/>
  <c r="H267" i="28"/>
  <c r="G267" i="28"/>
  <c r="P267" i="4"/>
  <c r="O267" i="4"/>
  <c r="R267" i="4"/>
  <c r="S267" i="4"/>
  <c r="N267" i="4"/>
  <c r="Q267" i="4"/>
  <c r="U267" i="4"/>
  <c r="T267" i="4"/>
  <c r="F289" i="29"/>
  <c r="Z268" i="28"/>
  <c r="AA268" i="28"/>
  <c r="A871" i="28"/>
  <c r="H268" i="28" l="1"/>
  <c r="G268" i="28"/>
  <c r="Q268" i="4"/>
  <c r="U268" i="4"/>
  <c r="P268" i="4"/>
  <c r="R268" i="4"/>
  <c r="O268" i="4"/>
  <c r="T268" i="4"/>
  <c r="N268" i="4"/>
  <c r="S268" i="4"/>
  <c r="AW269" i="4"/>
  <c r="AV269" i="4"/>
  <c r="AA269" i="28"/>
  <c r="Z269" i="28"/>
  <c r="A872" i="28"/>
  <c r="Z270" i="28" l="1"/>
  <c r="AA270" i="28"/>
  <c r="AW270" i="4"/>
  <c r="AV270" i="4"/>
  <c r="H269" i="28"/>
  <c r="G269" i="28"/>
  <c r="R269" i="4"/>
  <c r="T269" i="4"/>
  <c r="N269" i="4"/>
  <c r="Q269" i="4"/>
  <c r="S269" i="4"/>
  <c r="P269" i="4"/>
  <c r="O269" i="4"/>
  <c r="U269" i="4"/>
  <c r="A873" i="28"/>
  <c r="AA271" i="28" l="1"/>
  <c r="Z271" i="28"/>
  <c r="AV271" i="4"/>
  <c r="AW271" i="4"/>
  <c r="Q270" i="4"/>
  <c r="O270" i="4"/>
  <c r="T270" i="4"/>
  <c r="S270" i="4"/>
  <c r="P270" i="4"/>
  <c r="N270" i="4"/>
  <c r="R270" i="4"/>
  <c r="U270" i="4"/>
  <c r="G270" i="28"/>
  <c r="H270" i="28"/>
  <c r="A874" i="28"/>
  <c r="Z272" i="28" l="1"/>
  <c r="AA272" i="28"/>
  <c r="H271" i="28"/>
  <c r="G271" i="28"/>
  <c r="P271" i="4"/>
  <c r="N271" i="4"/>
  <c r="S271" i="4"/>
  <c r="T271" i="4"/>
  <c r="U271" i="4"/>
  <c r="R271" i="4"/>
  <c r="O271" i="4"/>
  <c r="Q271" i="4"/>
  <c r="AW272" i="4"/>
  <c r="AV272" i="4"/>
  <c r="A875" i="28"/>
  <c r="AV273" i="4" l="1"/>
  <c r="AW273" i="4"/>
  <c r="N272" i="4"/>
  <c r="Q272" i="4"/>
  <c r="T272" i="4"/>
  <c r="S272" i="4"/>
  <c r="O272" i="4"/>
  <c r="P272" i="4"/>
  <c r="U272" i="4"/>
  <c r="R272" i="4"/>
  <c r="H272" i="28"/>
  <c r="G272" i="28"/>
  <c r="AA273" i="28"/>
  <c r="Z273" i="28"/>
  <c r="A876" i="28"/>
  <c r="H273" i="28" l="1"/>
  <c r="G273" i="28"/>
  <c r="AV274" i="4"/>
  <c r="AW274" i="4"/>
  <c r="AA274" i="28"/>
  <c r="Z274" i="28"/>
  <c r="R273" i="4"/>
  <c r="T273" i="4"/>
  <c r="N273" i="4"/>
  <c r="P273" i="4"/>
  <c r="U273" i="4"/>
  <c r="S273" i="4"/>
  <c r="O273" i="4"/>
  <c r="Q273" i="4"/>
  <c r="A877" i="28"/>
  <c r="H274" i="28" l="1"/>
  <c r="G274" i="28"/>
  <c r="Z275" i="28"/>
  <c r="AA275" i="28"/>
  <c r="N274" i="4"/>
  <c r="R274" i="4"/>
  <c r="Q274" i="4"/>
  <c r="S274" i="4"/>
  <c r="P274" i="4"/>
  <c r="T274" i="4"/>
  <c r="O274" i="4"/>
  <c r="U274" i="4"/>
  <c r="AW275" i="4"/>
  <c r="AV275" i="4"/>
  <c r="A878" i="28"/>
  <c r="R275" i="4" l="1"/>
  <c r="Q275" i="4"/>
  <c r="P275" i="4"/>
  <c r="N275" i="4"/>
  <c r="T275" i="4"/>
  <c r="O275" i="4"/>
  <c r="U275" i="4"/>
  <c r="S275" i="4"/>
  <c r="H275" i="28"/>
  <c r="G275" i="28"/>
  <c r="AW276" i="4"/>
  <c r="AV276" i="4"/>
  <c r="AA276" i="28"/>
  <c r="Z276" i="28"/>
  <c r="A879" i="28"/>
  <c r="Z277" i="28" l="1"/>
  <c r="AA277" i="28"/>
  <c r="G276" i="28"/>
  <c r="H276" i="28"/>
  <c r="T276" i="4"/>
  <c r="Q276" i="4"/>
  <c r="S276" i="4"/>
  <c r="N276" i="4"/>
  <c r="O276" i="4"/>
  <c r="U276" i="4"/>
  <c r="R276" i="4"/>
  <c r="P276" i="4"/>
  <c r="AW277" i="4"/>
  <c r="AV277" i="4"/>
  <c r="Z278" i="28" l="1"/>
  <c r="AA278" i="28"/>
  <c r="AV278" i="4"/>
  <c r="AW278" i="4"/>
  <c r="U277" i="4"/>
  <c r="R277" i="4"/>
  <c r="Q277" i="4"/>
  <c r="P277" i="4"/>
  <c r="T277" i="4"/>
  <c r="S277" i="4"/>
  <c r="O277" i="4"/>
  <c r="N277" i="4"/>
  <c r="G277" i="28"/>
  <c r="H277" i="28"/>
  <c r="S278" i="4" l="1"/>
  <c r="U278" i="4"/>
  <c r="Q278" i="4"/>
  <c r="P278" i="4"/>
  <c r="T278" i="4"/>
  <c r="R278" i="4"/>
  <c r="N278" i="4"/>
  <c r="O278" i="4"/>
  <c r="H278" i="28"/>
  <c r="G278" i="28"/>
  <c r="AA279" i="28"/>
  <c r="Z279" i="28"/>
  <c r="AW279" i="4"/>
  <c r="AV279" i="4"/>
  <c r="AA280" i="28" l="1"/>
  <c r="Z280" i="28"/>
  <c r="H279" i="28"/>
  <c r="G279" i="28"/>
  <c r="S279" i="4"/>
  <c r="O279" i="4"/>
  <c r="N279" i="4"/>
  <c r="T279" i="4"/>
  <c r="R279" i="4"/>
  <c r="Q279" i="4"/>
  <c r="P279" i="4"/>
  <c r="U279" i="4"/>
  <c r="AW280" i="4"/>
  <c r="AV280" i="4"/>
  <c r="P280" i="4" l="1"/>
  <c r="N280" i="4"/>
  <c r="U280" i="4"/>
  <c r="T280" i="4"/>
  <c r="O280" i="4"/>
  <c r="Q280" i="4"/>
  <c r="R280" i="4"/>
  <c r="S280" i="4"/>
  <c r="AV281" i="4"/>
  <c r="AW281" i="4"/>
  <c r="AA281" i="28"/>
  <c r="Z281" i="28"/>
  <c r="H280" i="28"/>
  <c r="G280" i="28"/>
  <c r="H281" i="28" l="1"/>
  <c r="G281" i="28"/>
  <c r="AA282" i="28"/>
  <c r="Z282" i="28"/>
  <c r="AW282" i="4"/>
  <c r="AV282" i="4"/>
  <c r="N281" i="4"/>
  <c r="O281" i="4"/>
  <c r="R281" i="4"/>
  <c r="U281" i="4"/>
  <c r="P281" i="4"/>
  <c r="Q281" i="4"/>
  <c r="S281" i="4"/>
  <c r="T281" i="4"/>
  <c r="Z283" i="28" l="1"/>
  <c r="AA283" i="28"/>
  <c r="P282" i="4"/>
  <c r="Q282" i="4"/>
  <c r="U282" i="4"/>
  <c r="T282" i="4"/>
  <c r="N282" i="4"/>
  <c r="O282" i="4"/>
  <c r="R282" i="4"/>
  <c r="S282" i="4"/>
  <c r="G282" i="28"/>
  <c r="H282" i="28"/>
  <c r="AW283" i="4"/>
  <c r="AV283" i="4"/>
  <c r="Z284" i="28" l="1"/>
  <c r="AA284" i="28"/>
  <c r="AW284" i="4"/>
  <c r="AV284" i="4"/>
  <c r="Q283" i="4"/>
  <c r="R283" i="4"/>
  <c r="N283" i="4"/>
  <c r="U283" i="4"/>
  <c r="T283" i="4"/>
  <c r="P283" i="4"/>
  <c r="S283" i="4"/>
  <c r="O283" i="4"/>
  <c r="H283" i="28"/>
  <c r="G283" i="28"/>
  <c r="Z285" i="28" l="1"/>
  <c r="AA285" i="28"/>
  <c r="AV285" i="4"/>
  <c r="AW285" i="4"/>
  <c r="U284" i="4"/>
  <c r="P284" i="4"/>
  <c r="R284" i="4"/>
  <c r="T284" i="4"/>
  <c r="N284" i="4"/>
  <c r="S284" i="4"/>
  <c r="O284" i="4"/>
  <c r="Q284" i="4"/>
  <c r="G284" i="28"/>
  <c r="H284" i="28"/>
  <c r="AW286" i="4" l="1"/>
  <c r="AV286" i="4"/>
  <c r="AA286" i="28"/>
  <c r="Z286" i="28"/>
  <c r="N285" i="4"/>
  <c r="T285" i="4"/>
  <c r="P285" i="4"/>
  <c r="Q285" i="4"/>
  <c r="U285" i="4"/>
  <c r="R285" i="4"/>
  <c r="S285" i="4"/>
  <c r="O285" i="4"/>
  <c r="G285" i="28"/>
  <c r="H285" i="28"/>
  <c r="H286" i="28" l="1"/>
  <c r="G286" i="28"/>
  <c r="AW287" i="4"/>
  <c r="AV287" i="4"/>
  <c r="T286" i="4"/>
  <c r="U286" i="4"/>
  <c r="O286" i="4"/>
  <c r="Q286" i="4"/>
  <c r="S286" i="4"/>
  <c r="R286" i="4"/>
  <c r="N286" i="4"/>
  <c r="P286" i="4"/>
  <c r="AA287" i="28"/>
  <c r="Z287" i="28"/>
  <c r="AA288" i="28" l="1"/>
  <c r="Z288" i="28"/>
  <c r="Q287" i="4"/>
  <c r="R287" i="4"/>
  <c r="T287" i="4"/>
  <c r="O287" i="4"/>
  <c r="U287" i="4"/>
  <c r="N287" i="4"/>
  <c r="P287" i="4"/>
  <c r="S287" i="4"/>
  <c r="H287" i="28"/>
  <c r="G287" i="28"/>
  <c r="AV288" i="4"/>
  <c r="AW288" i="4"/>
  <c r="Q288" i="4" l="1"/>
  <c r="P288" i="4"/>
  <c r="S288" i="4"/>
  <c r="U288" i="4"/>
  <c r="O288" i="4"/>
  <c r="N288" i="4"/>
  <c r="T288" i="4"/>
  <c r="R288" i="4"/>
  <c r="AV289" i="4"/>
  <c r="AW289" i="4"/>
  <c r="AA289" i="28"/>
  <c r="Z289" i="28"/>
  <c r="G288" i="28"/>
  <c r="H288" i="28"/>
  <c r="AA290" i="28" l="1"/>
  <c r="Z290" i="28"/>
  <c r="AV290" i="4"/>
  <c r="AW290" i="4"/>
  <c r="T289" i="4"/>
  <c r="S289" i="4"/>
  <c r="Q289" i="4"/>
  <c r="N289" i="4"/>
  <c r="O289" i="4"/>
  <c r="P289" i="4"/>
  <c r="R289" i="4"/>
  <c r="U289" i="4"/>
  <c r="H289" i="28"/>
  <c r="G289" i="28"/>
  <c r="U290" i="4" l="1"/>
  <c r="S290" i="4"/>
  <c r="Q290" i="4"/>
  <c r="N290" i="4"/>
  <c r="T290" i="4"/>
  <c r="R290" i="4"/>
  <c r="P290" i="4"/>
  <c r="O290" i="4"/>
  <c r="G290" i="28"/>
  <c r="H290" i="28"/>
  <c r="AV291" i="4"/>
  <c r="AW291" i="4"/>
  <c r="AA291" i="28"/>
  <c r="Z291" i="28"/>
  <c r="AV292" i="4" l="1"/>
  <c r="AW292" i="4"/>
  <c r="G291" i="28"/>
  <c r="H291" i="28"/>
  <c r="Z292" i="28"/>
  <c r="AA292" i="28"/>
  <c r="T291" i="4"/>
  <c r="O291" i="4"/>
  <c r="U291" i="4"/>
  <c r="Q291" i="4"/>
  <c r="R291" i="4"/>
  <c r="P291" i="4"/>
  <c r="S291" i="4"/>
  <c r="N291" i="4"/>
  <c r="H292" i="28" l="1"/>
  <c r="G292" i="28"/>
  <c r="AA293" i="28"/>
  <c r="Z293" i="28"/>
  <c r="P292" i="4"/>
  <c r="O292" i="4"/>
  <c r="S292" i="4"/>
  <c r="T292" i="4"/>
  <c r="Q292" i="4"/>
  <c r="N292" i="4"/>
  <c r="U292" i="4"/>
  <c r="R292" i="4"/>
  <c r="AW293" i="4"/>
  <c r="AV293" i="4"/>
  <c r="S293" i="4" l="1"/>
  <c r="R293" i="4"/>
  <c r="P293" i="4"/>
  <c r="N293" i="4"/>
  <c r="T293" i="4"/>
  <c r="U293" i="4"/>
  <c r="Q293" i="4"/>
  <c r="O293" i="4"/>
  <c r="AA294" i="28"/>
  <c r="Z294" i="28"/>
  <c r="AV294" i="4"/>
  <c r="AW294" i="4"/>
  <c r="H293" i="28"/>
  <c r="G293" i="28"/>
  <c r="N294" i="4" l="1"/>
  <c r="R294" i="4"/>
  <c r="Q294" i="4"/>
  <c r="T294" i="4"/>
  <c r="O294" i="4"/>
  <c r="U294" i="4"/>
  <c r="P294" i="4"/>
  <c r="S294" i="4"/>
  <c r="AA295" i="28"/>
  <c r="Z295" i="28"/>
  <c r="AV295" i="4"/>
  <c r="AW295" i="4"/>
  <c r="H294" i="28"/>
  <c r="G294" i="28"/>
  <c r="R295" i="4" l="1"/>
  <c r="N295" i="4"/>
  <c r="U295" i="4"/>
  <c r="Q295" i="4"/>
  <c r="P295" i="4"/>
  <c r="S295" i="4"/>
  <c r="O295" i="4"/>
  <c r="T295" i="4"/>
  <c r="AV296" i="4"/>
  <c r="AW296" i="4"/>
  <c r="G295" i="28"/>
  <c r="H295" i="28"/>
  <c r="AA296" i="28"/>
  <c r="Z296" i="28"/>
  <c r="G296" i="28" l="1"/>
  <c r="H296" i="28"/>
  <c r="AV297" i="4"/>
  <c r="AW297" i="4"/>
  <c r="U296" i="4"/>
  <c r="Q296" i="4"/>
  <c r="P296" i="4"/>
  <c r="R296" i="4"/>
  <c r="T296" i="4"/>
  <c r="O296" i="4"/>
  <c r="N296" i="4"/>
  <c r="S296" i="4"/>
  <c r="Z297" i="28"/>
  <c r="AA297" i="28"/>
  <c r="G297" i="28" l="1"/>
  <c r="H297" i="28"/>
  <c r="AA298" i="28"/>
  <c r="Z298" i="28"/>
  <c r="U297" i="4"/>
  <c r="P297" i="4"/>
  <c r="N297" i="4"/>
  <c r="S297" i="4"/>
  <c r="Q297" i="4"/>
  <c r="R297" i="4"/>
  <c r="T297" i="4"/>
  <c r="O297" i="4"/>
  <c r="AW298" i="4"/>
  <c r="AV298" i="4"/>
  <c r="AV299" i="4" l="1"/>
  <c r="AW299" i="4"/>
  <c r="Z299" i="28"/>
  <c r="AA299" i="28"/>
  <c r="T298" i="4"/>
  <c r="R298" i="4"/>
  <c r="Q298" i="4"/>
  <c r="S298" i="4"/>
  <c r="O298" i="4"/>
  <c r="U298" i="4"/>
  <c r="P298" i="4"/>
  <c r="N298" i="4"/>
  <c r="G298" i="28"/>
  <c r="H298" i="28"/>
  <c r="AW300" i="4" l="1"/>
  <c r="AV300" i="4"/>
  <c r="Z300" i="28"/>
  <c r="AA300" i="28"/>
  <c r="G299" i="28"/>
  <c r="H299" i="28"/>
  <c r="S299" i="4"/>
  <c r="N299" i="4"/>
  <c r="Q299" i="4"/>
  <c r="U299" i="4"/>
  <c r="R299" i="4"/>
  <c r="O299" i="4"/>
  <c r="P299" i="4"/>
  <c r="T299" i="4"/>
  <c r="H300" i="28" l="1"/>
  <c r="G300" i="28"/>
  <c r="AV301" i="4"/>
  <c r="AW301" i="4"/>
  <c r="U300" i="4"/>
  <c r="O300" i="4"/>
  <c r="R300" i="4"/>
  <c r="P300" i="4"/>
  <c r="N300" i="4"/>
  <c r="T300" i="4"/>
  <c r="Q300" i="4"/>
  <c r="S300" i="4"/>
  <c r="AA301" i="28"/>
  <c r="Z301" i="28"/>
  <c r="G301" i="28" l="1"/>
  <c r="H301" i="28"/>
  <c r="AA302" i="28"/>
  <c r="Z302" i="28"/>
  <c r="Q301" i="4"/>
  <c r="R301" i="4"/>
  <c r="U301" i="4"/>
  <c r="N301" i="4"/>
  <c r="T301" i="4"/>
  <c r="P301" i="4"/>
  <c r="S301" i="4"/>
  <c r="O301" i="4"/>
  <c r="AW302" i="4"/>
  <c r="AV302" i="4"/>
  <c r="AW303" i="4" l="1"/>
  <c r="AV303" i="4"/>
  <c r="Z303" i="28"/>
  <c r="AA303" i="28"/>
  <c r="P302" i="4"/>
  <c r="Q302" i="4"/>
  <c r="N302" i="4"/>
  <c r="R302" i="4"/>
  <c r="U302" i="4"/>
  <c r="S302" i="4"/>
  <c r="O302" i="4"/>
  <c r="T302" i="4"/>
  <c r="H302" i="28"/>
  <c r="G302" i="28"/>
  <c r="AA304" i="28" l="1"/>
  <c r="Z304" i="28"/>
  <c r="H303" i="28"/>
  <c r="G303" i="28"/>
  <c r="AW304" i="4"/>
  <c r="AV304" i="4"/>
  <c r="U303" i="4"/>
  <c r="Q303" i="4"/>
  <c r="P303" i="4"/>
  <c r="T303" i="4"/>
  <c r="S303" i="4"/>
  <c r="O303" i="4"/>
  <c r="N303" i="4"/>
  <c r="R303" i="4"/>
  <c r="N304" i="4" l="1"/>
  <c r="P304" i="4"/>
  <c r="S304" i="4"/>
  <c r="R304" i="4"/>
  <c r="Q304" i="4"/>
  <c r="O304" i="4"/>
  <c r="U304" i="4"/>
  <c r="T304" i="4"/>
  <c r="H304" i="28"/>
  <c r="G304" i="28"/>
  <c r="AW305" i="4"/>
  <c r="AV305" i="4"/>
  <c r="AA305" i="28"/>
  <c r="Z305" i="28"/>
  <c r="H305" i="28" l="1"/>
  <c r="G305" i="28"/>
  <c r="AW306" i="4"/>
  <c r="AV306" i="4"/>
  <c r="P305" i="4"/>
  <c r="R305" i="4"/>
  <c r="N305" i="4"/>
  <c r="O305" i="4"/>
  <c r="U305" i="4"/>
  <c r="S305" i="4"/>
  <c r="Q305" i="4"/>
  <c r="T305" i="4"/>
  <c r="AA306" i="28"/>
  <c r="Z306" i="28"/>
  <c r="AA307" i="28" l="1"/>
  <c r="Z307" i="28"/>
  <c r="U306" i="4"/>
  <c r="P306" i="4"/>
  <c r="Q306" i="4"/>
  <c r="R306" i="4"/>
  <c r="S306" i="4"/>
  <c r="O306" i="4"/>
  <c r="N306" i="4"/>
  <c r="T306" i="4"/>
  <c r="AW307" i="4"/>
  <c r="AV307" i="4"/>
  <c r="H306" i="28"/>
  <c r="G306" i="28"/>
  <c r="T307" i="4" l="1"/>
  <c r="N307" i="4"/>
  <c r="O307" i="4"/>
  <c r="U307" i="4"/>
  <c r="P307" i="4"/>
  <c r="R307" i="4"/>
  <c r="S307" i="4"/>
  <c r="Q307" i="4"/>
  <c r="AA308" i="28"/>
  <c r="Z308" i="28"/>
  <c r="AW308" i="4"/>
  <c r="AV308" i="4"/>
  <c r="H307" i="28"/>
  <c r="G307" i="28"/>
  <c r="R308" i="4" l="1"/>
  <c r="Q308" i="4"/>
  <c r="P308" i="4"/>
  <c r="S308" i="4"/>
  <c r="T308" i="4"/>
  <c r="O308" i="4"/>
  <c r="N308" i="4"/>
  <c r="U308" i="4"/>
  <c r="H308" i="28"/>
  <c r="G308" i="28"/>
  <c r="AW309" i="4"/>
  <c r="AV309" i="4"/>
  <c r="AA309" i="28"/>
  <c r="Z309" i="28"/>
  <c r="O309" i="4" l="1"/>
  <c r="S309" i="4"/>
  <c r="U309" i="4"/>
  <c r="Q309" i="4"/>
  <c r="R309" i="4"/>
  <c r="N309" i="4"/>
  <c r="P309" i="4"/>
  <c r="T309" i="4"/>
  <c r="AA310" i="28"/>
  <c r="Z310" i="28"/>
  <c r="H309" i="28"/>
  <c r="G309" i="28"/>
  <c r="AV310" i="4"/>
  <c r="AW310" i="4"/>
  <c r="O310" i="4" l="1"/>
  <c r="U310" i="4"/>
  <c r="Q310" i="4"/>
  <c r="S310" i="4"/>
  <c r="T310" i="4"/>
  <c r="R310" i="4"/>
  <c r="P310" i="4"/>
  <c r="N310" i="4"/>
  <c r="H310" i="28"/>
  <c r="G310" i="28"/>
  <c r="AA311" i="28"/>
  <c r="Z311" i="28"/>
  <c r="AW311" i="4"/>
  <c r="AV311" i="4"/>
  <c r="G311" i="28" l="1"/>
  <c r="H311" i="28"/>
  <c r="AA312" i="28"/>
  <c r="Z312" i="28"/>
  <c r="P311" i="4"/>
  <c r="T311" i="4"/>
  <c r="R311" i="4"/>
  <c r="N311" i="4"/>
  <c r="U311" i="4"/>
  <c r="Q311" i="4"/>
  <c r="O311" i="4"/>
  <c r="S311" i="4"/>
  <c r="AW312" i="4"/>
  <c r="AV312" i="4"/>
  <c r="AW313" i="4" l="1"/>
  <c r="AV313" i="4"/>
  <c r="U312" i="4"/>
  <c r="S312" i="4"/>
  <c r="T312" i="4"/>
  <c r="R312" i="4"/>
  <c r="Q312" i="4"/>
  <c r="N312" i="4"/>
  <c r="P312" i="4"/>
  <c r="O312" i="4"/>
  <c r="G312" i="28"/>
  <c r="H312" i="28"/>
  <c r="Z313" i="28"/>
  <c r="AA313" i="28"/>
  <c r="AW314" i="4" l="1"/>
  <c r="AV314" i="4"/>
  <c r="G313" i="28"/>
  <c r="H313" i="28"/>
  <c r="Z314" i="28"/>
  <c r="AA314" i="28"/>
  <c r="N313" i="4"/>
  <c r="O313" i="4"/>
  <c r="S313" i="4"/>
  <c r="T313" i="4"/>
  <c r="P313" i="4"/>
  <c r="Q313" i="4"/>
  <c r="U313" i="4"/>
  <c r="R313" i="4"/>
  <c r="AV315" i="4" l="1"/>
  <c r="AW315" i="4"/>
  <c r="H314" i="28"/>
  <c r="G314" i="28"/>
  <c r="Z315" i="28"/>
  <c r="AA315" i="28"/>
  <c r="O314" i="4"/>
  <c r="P314" i="4"/>
  <c r="N314" i="4"/>
  <c r="Q314" i="4"/>
  <c r="T314" i="4"/>
  <c r="U314" i="4"/>
  <c r="R314" i="4"/>
  <c r="S314" i="4"/>
  <c r="AA316" i="28" l="1"/>
  <c r="Z316" i="28"/>
  <c r="G315" i="28"/>
  <c r="H315" i="28"/>
  <c r="AV316" i="4"/>
  <c r="AW316" i="4"/>
  <c r="S315" i="4"/>
  <c r="P315" i="4"/>
  <c r="T315" i="4"/>
  <c r="N315" i="4"/>
  <c r="Q315" i="4"/>
  <c r="O315" i="4"/>
  <c r="U315" i="4"/>
  <c r="R315" i="4"/>
  <c r="AA317" i="28" l="1"/>
  <c r="Z317" i="28"/>
  <c r="AW317" i="4"/>
  <c r="AV317" i="4"/>
  <c r="H316" i="28"/>
  <c r="G316" i="28"/>
  <c r="T316" i="4"/>
  <c r="R316" i="4"/>
  <c r="S316" i="4"/>
  <c r="N316" i="4"/>
  <c r="Q316" i="4"/>
  <c r="U316" i="4"/>
  <c r="P316" i="4"/>
  <c r="O316" i="4"/>
  <c r="G317" i="28" l="1"/>
  <c r="H317" i="28"/>
  <c r="AV318" i="4"/>
  <c r="AW318" i="4"/>
  <c r="Z318" i="28"/>
  <c r="AA318" i="28"/>
  <c r="S317" i="4"/>
  <c r="T317" i="4"/>
  <c r="U317" i="4"/>
  <c r="O317" i="4"/>
  <c r="P317" i="4"/>
  <c r="Q317" i="4"/>
  <c r="N317" i="4"/>
  <c r="R317" i="4"/>
  <c r="AV319" i="4" l="1"/>
  <c r="AW319" i="4"/>
  <c r="H318" i="28"/>
  <c r="G318" i="28"/>
  <c r="S318" i="4"/>
  <c r="N318" i="4"/>
  <c r="U318" i="4"/>
  <c r="O318" i="4"/>
  <c r="P318" i="4"/>
  <c r="R318" i="4"/>
  <c r="T318" i="4"/>
  <c r="Q318" i="4"/>
  <c r="Z319" i="28"/>
  <c r="AA319" i="28"/>
  <c r="AA320" i="28" l="1"/>
  <c r="Z320" i="28"/>
  <c r="AV320" i="4"/>
  <c r="AW320" i="4"/>
  <c r="R319" i="4"/>
  <c r="S319" i="4"/>
  <c r="T319" i="4"/>
  <c r="U319" i="4"/>
  <c r="P319" i="4"/>
  <c r="O319" i="4"/>
  <c r="N319" i="4"/>
  <c r="Q319" i="4"/>
  <c r="G319" i="28"/>
  <c r="H319" i="28"/>
  <c r="AV321" i="4" l="1"/>
  <c r="AW321" i="4"/>
  <c r="H320" i="28"/>
  <c r="G320" i="28"/>
  <c r="Q320" i="4"/>
  <c r="O320" i="4"/>
  <c r="P320" i="4"/>
  <c r="N320" i="4"/>
  <c r="U320" i="4"/>
  <c r="R320" i="4"/>
  <c r="T320" i="4"/>
  <c r="S320" i="4"/>
  <c r="AA321" i="28"/>
  <c r="Z321" i="28"/>
  <c r="G321" i="28" l="1"/>
  <c r="H321" i="28"/>
  <c r="AW322" i="4"/>
  <c r="AV322" i="4"/>
  <c r="Z322" i="28"/>
  <c r="AA322" i="28"/>
  <c r="Q321" i="4"/>
  <c r="O321" i="4"/>
  <c r="N321" i="4"/>
  <c r="T321" i="4"/>
  <c r="U321" i="4"/>
  <c r="S321" i="4"/>
  <c r="R321" i="4"/>
  <c r="P321" i="4"/>
  <c r="G322" i="28" l="1"/>
  <c r="H322" i="28"/>
  <c r="AW323" i="4"/>
  <c r="AV323" i="4"/>
  <c r="T322" i="4"/>
  <c r="Q322" i="4"/>
  <c r="U322" i="4"/>
  <c r="P322" i="4"/>
  <c r="R322" i="4"/>
  <c r="O322" i="4"/>
  <c r="S322" i="4"/>
  <c r="N322" i="4"/>
  <c r="AA323" i="28"/>
  <c r="Z323" i="28"/>
  <c r="Z324" i="28" l="1"/>
  <c r="AA324" i="28"/>
  <c r="G323" i="28"/>
  <c r="H323" i="28"/>
  <c r="T323" i="4"/>
  <c r="P323" i="4"/>
  <c r="Q323" i="4"/>
  <c r="U323" i="4"/>
  <c r="R323" i="4"/>
  <c r="O323" i="4"/>
  <c r="N323" i="4"/>
  <c r="S323" i="4"/>
  <c r="AW324" i="4"/>
  <c r="AV324" i="4"/>
  <c r="Z325" i="28" l="1"/>
  <c r="AA325" i="28"/>
  <c r="U324" i="4"/>
  <c r="S324" i="4"/>
  <c r="O324" i="4"/>
  <c r="Q324" i="4"/>
  <c r="P324" i="4"/>
  <c r="N324" i="4"/>
  <c r="T324" i="4"/>
  <c r="R324" i="4"/>
  <c r="AW325" i="4"/>
  <c r="AV325" i="4"/>
  <c r="G324" i="28"/>
  <c r="H324" i="28"/>
  <c r="AW326" i="4" l="1"/>
  <c r="AV326" i="4"/>
  <c r="O325" i="4"/>
  <c r="S325" i="4"/>
  <c r="T325" i="4"/>
  <c r="R325" i="4"/>
  <c r="P325" i="4"/>
  <c r="Q325" i="4"/>
  <c r="N325" i="4"/>
  <c r="U325" i="4"/>
  <c r="Z326" i="28"/>
  <c r="AA326" i="28"/>
  <c r="G325" i="28"/>
  <c r="H325" i="28"/>
  <c r="H326" i="28" l="1"/>
  <c r="G326" i="28"/>
  <c r="P326" i="4"/>
  <c r="N326" i="4"/>
  <c r="T326" i="4"/>
  <c r="U326" i="4"/>
  <c r="Q326" i="4"/>
  <c r="O326" i="4"/>
  <c r="S326" i="4"/>
  <c r="R326" i="4"/>
  <c r="AA327" i="28"/>
  <c r="Z327" i="28"/>
  <c r="AW327" i="4"/>
  <c r="AV327" i="4"/>
  <c r="Z328" i="28" l="1"/>
  <c r="AA328" i="28"/>
  <c r="AV328" i="4"/>
  <c r="AW328" i="4"/>
  <c r="Q327" i="4"/>
  <c r="O327" i="4"/>
  <c r="T327" i="4"/>
  <c r="N327" i="4"/>
  <c r="R327" i="4"/>
  <c r="P327" i="4"/>
  <c r="U327" i="4"/>
  <c r="S327" i="4"/>
  <c r="G327" i="28"/>
  <c r="H327" i="28"/>
  <c r="Z329" i="28" l="1"/>
  <c r="AA329" i="28"/>
  <c r="AW329" i="4"/>
  <c r="AV329" i="4"/>
  <c r="P328" i="4"/>
  <c r="U328" i="4"/>
  <c r="T328" i="4"/>
  <c r="O328" i="4"/>
  <c r="Q328" i="4"/>
  <c r="S328" i="4"/>
  <c r="R328" i="4"/>
  <c r="N328" i="4"/>
  <c r="G328" i="28"/>
  <c r="H328" i="28"/>
  <c r="N329" i="4" l="1"/>
  <c r="Q329" i="4"/>
  <c r="T329" i="4"/>
  <c r="S329" i="4"/>
  <c r="R329" i="4"/>
  <c r="U329" i="4"/>
  <c r="O329" i="4"/>
  <c r="P329" i="4"/>
  <c r="G329" i="28"/>
  <c r="H329" i="28"/>
  <c r="AW330" i="4"/>
  <c r="AV330" i="4"/>
  <c r="AA330" i="28"/>
  <c r="Z330" i="28"/>
  <c r="Z331" i="28" l="1"/>
  <c r="AA331" i="28"/>
  <c r="P330" i="4"/>
  <c r="Q330" i="4"/>
  <c r="S330" i="4"/>
  <c r="U330" i="4"/>
  <c r="O330" i="4"/>
  <c r="N330" i="4"/>
  <c r="R330" i="4"/>
  <c r="T330" i="4"/>
  <c r="AW331" i="4"/>
  <c r="AV331" i="4"/>
  <c r="H330" i="28"/>
  <c r="G330" i="28"/>
  <c r="P331" i="4" l="1"/>
  <c r="Q331" i="4"/>
  <c r="N331" i="4"/>
  <c r="O331" i="4"/>
  <c r="S331" i="4"/>
  <c r="U331" i="4"/>
  <c r="R331" i="4"/>
  <c r="T331" i="4"/>
  <c r="AA332" i="28"/>
  <c r="Z332" i="28"/>
  <c r="AW332" i="4"/>
  <c r="AV332" i="4"/>
  <c r="H331" i="28"/>
  <c r="G331" i="28"/>
  <c r="Q332" i="4" l="1"/>
  <c r="T332" i="4"/>
  <c r="R332" i="4"/>
  <c r="P332" i="4"/>
  <c r="N332" i="4"/>
  <c r="S332" i="4"/>
  <c r="U332" i="4"/>
  <c r="O332" i="4"/>
  <c r="H332" i="28"/>
  <c r="G332" i="28"/>
  <c r="AV333" i="4"/>
  <c r="AW333" i="4"/>
  <c r="AA333" i="28"/>
  <c r="Z333" i="28"/>
  <c r="G333" i="28" l="1"/>
  <c r="H333" i="28"/>
  <c r="T333" i="4"/>
  <c r="O333" i="4"/>
  <c r="S333" i="4"/>
  <c r="U333" i="4"/>
  <c r="Q333" i="4"/>
  <c r="N333" i="4"/>
  <c r="R333" i="4"/>
  <c r="P333" i="4"/>
  <c r="Z334" i="28"/>
  <c r="AA334" i="28"/>
  <c r="AW334" i="4"/>
  <c r="AV334" i="4"/>
  <c r="H334" i="28" l="1"/>
  <c r="G334" i="28"/>
  <c r="AA335" i="28"/>
  <c r="Z335" i="28"/>
  <c r="U334" i="4"/>
  <c r="N334" i="4"/>
  <c r="T334" i="4"/>
  <c r="P334" i="4"/>
  <c r="O334" i="4"/>
  <c r="R334" i="4"/>
  <c r="Q334" i="4"/>
  <c r="S334" i="4"/>
  <c r="AW335" i="4"/>
  <c r="AV335" i="4"/>
  <c r="P335" i="4" l="1"/>
  <c r="N335" i="4"/>
  <c r="S335" i="4"/>
  <c r="T335" i="4"/>
  <c r="O335" i="4"/>
  <c r="Q335" i="4"/>
  <c r="R335" i="4"/>
  <c r="U335" i="4"/>
  <c r="AA336" i="28"/>
  <c r="Z336" i="28"/>
  <c r="AV336" i="4"/>
  <c r="AW336" i="4"/>
  <c r="G335" i="28"/>
  <c r="H335" i="28"/>
  <c r="G336" i="28" l="1"/>
  <c r="H336" i="28"/>
  <c r="AW337" i="4"/>
  <c r="AV337" i="4"/>
  <c r="AA337" i="28"/>
  <c r="Z337" i="28"/>
  <c r="P336" i="4"/>
  <c r="S336" i="4"/>
  <c r="Q336" i="4"/>
  <c r="N336" i="4"/>
  <c r="R336" i="4"/>
  <c r="T336" i="4"/>
  <c r="U336" i="4"/>
  <c r="O336" i="4"/>
  <c r="Z338" i="28" l="1"/>
  <c r="AA338" i="28"/>
  <c r="G337" i="28"/>
  <c r="H337" i="28"/>
  <c r="U337" i="4"/>
  <c r="S337" i="4"/>
  <c r="R337" i="4"/>
  <c r="Q337" i="4"/>
  <c r="O337" i="4"/>
  <c r="N337" i="4"/>
  <c r="P337" i="4"/>
  <c r="T337" i="4"/>
  <c r="AV338" i="4"/>
  <c r="AW338" i="4"/>
  <c r="T338" i="4" l="1"/>
  <c r="S338" i="4"/>
  <c r="U338" i="4"/>
  <c r="R338" i="4"/>
  <c r="N338" i="4"/>
  <c r="P338" i="4"/>
  <c r="O338" i="4"/>
  <c r="Q338" i="4"/>
  <c r="H338" i="28"/>
  <c r="G338" i="28"/>
  <c r="AA339" i="28"/>
  <c r="Z339" i="28"/>
  <c r="AV339" i="4"/>
  <c r="AW339" i="4"/>
  <c r="Z340" i="28" l="1"/>
  <c r="AA340" i="28"/>
  <c r="N339" i="4"/>
  <c r="Q339" i="4"/>
  <c r="S339" i="4"/>
  <c r="T339" i="4"/>
  <c r="R339" i="4"/>
  <c r="U339" i="4"/>
  <c r="O339" i="4"/>
  <c r="P339" i="4"/>
  <c r="H339" i="28"/>
  <c r="G339" i="28"/>
  <c r="AW340" i="4"/>
  <c r="AV340" i="4"/>
  <c r="AW341" i="4" l="1"/>
  <c r="AV341" i="4"/>
  <c r="Z341" i="28"/>
  <c r="AA341" i="28"/>
  <c r="G340" i="28"/>
  <c r="H340" i="28"/>
  <c r="Q340" i="4"/>
  <c r="O340" i="4"/>
  <c r="N340" i="4"/>
  <c r="P340" i="4"/>
  <c r="U340" i="4"/>
  <c r="S340" i="4"/>
  <c r="T340" i="4"/>
  <c r="R340" i="4"/>
  <c r="AW342" i="4" l="1"/>
  <c r="AV342" i="4"/>
  <c r="H341" i="28"/>
  <c r="G341" i="28"/>
  <c r="Z342" i="28"/>
  <c r="AA342" i="28"/>
  <c r="U341" i="4"/>
  <c r="O341" i="4"/>
  <c r="N341" i="4"/>
  <c r="R341" i="4"/>
  <c r="Q341" i="4"/>
  <c r="T341" i="4"/>
  <c r="S341" i="4"/>
  <c r="P341" i="4"/>
  <c r="AW343" i="4" l="1"/>
  <c r="AV343" i="4"/>
  <c r="AA343" i="28"/>
  <c r="Z343" i="28"/>
  <c r="G342" i="28"/>
  <c r="H342" i="28"/>
  <c r="N342" i="4"/>
  <c r="S342" i="4"/>
  <c r="T342" i="4"/>
  <c r="R342" i="4"/>
  <c r="P342" i="4"/>
  <c r="Q342" i="4"/>
  <c r="O342" i="4"/>
  <c r="U342" i="4"/>
  <c r="AW344" i="4" l="1"/>
  <c r="AV344" i="4"/>
  <c r="G343" i="28"/>
  <c r="H343" i="28"/>
  <c r="Z344" i="28"/>
  <c r="AA344" i="28"/>
  <c r="O343" i="4"/>
  <c r="N343" i="4"/>
  <c r="U343" i="4"/>
  <c r="R343" i="4"/>
  <c r="P343" i="4"/>
  <c r="S343" i="4"/>
  <c r="Q343" i="4"/>
  <c r="T343" i="4"/>
  <c r="R344" i="4" l="1"/>
  <c r="P344" i="4"/>
  <c r="O344" i="4"/>
  <c r="U344" i="4"/>
  <c r="S344" i="4"/>
  <c r="N344" i="4"/>
  <c r="Q344" i="4"/>
  <c r="T344" i="4"/>
  <c r="G344" i="28"/>
  <c r="H344" i="28"/>
  <c r="AV345" i="4"/>
  <c r="AW345" i="4"/>
  <c r="AA345" i="28"/>
  <c r="Z345" i="28"/>
  <c r="G345" i="28" l="1"/>
  <c r="H345" i="28"/>
  <c r="Q345" i="4"/>
  <c r="S345" i="4"/>
  <c r="N345" i="4"/>
  <c r="T345" i="4"/>
  <c r="O345" i="4"/>
  <c r="R345" i="4"/>
  <c r="P345" i="4"/>
  <c r="U345" i="4"/>
  <c r="AA346" i="28"/>
  <c r="Z346" i="28"/>
  <c r="AV346" i="4"/>
  <c r="AW346" i="4"/>
  <c r="G346" i="28" l="1"/>
  <c r="H346" i="28"/>
  <c r="Z347" i="28"/>
  <c r="AA347" i="28"/>
  <c r="R346" i="4"/>
  <c r="N346" i="4"/>
  <c r="Q346" i="4"/>
  <c r="T346" i="4"/>
  <c r="O346" i="4"/>
  <c r="U346" i="4"/>
  <c r="P346" i="4"/>
  <c r="S346" i="4"/>
  <c r="AV347" i="4"/>
  <c r="AW347" i="4"/>
  <c r="Q347" i="4" l="1"/>
  <c r="U347" i="4"/>
  <c r="N347" i="4"/>
  <c r="S347" i="4"/>
  <c r="O347" i="4"/>
  <c r="P347" i="4"/>
  <c r="R347" i="4"/>
  <c r="T347" i="4"/>
  <c r="AV348" i="4"/>
  <c r="AW348" i="4"/>
  <c r="Z348" i="28"/>
  <c r="AA348" i="28"/>
  <c r="H347" i="28"/>
  <c r="G347" i="28"/>
  <c r="R348" i="4" l="1"/>
  <c r="T348" i="4"/>
  <c r="U348" i="4"/>
  <c r="S348" i="4"/>
  <c r="N348" i="4"/>
  <c r="Q348" i="4"/>
  <c r="O348" i="4"/>
  <c r="P348" i="4"/>
  <c r="H348" i="28"/>
  <c r="G348" i="28"/>
  <c r="AW349" i="4"/>
  <c r="AV349" i="4"/>
  <c r="Z349" i="28"/>
  <c r="AA349" i="28"/>
  <c r="H349" i="28" l="1"/>
  <c r="G349" i="28"/>
  <c r="AW350" i="4"/>
  <c r="AV350" i="4"/>
  <c r="S349" i="4"/>
  <c r="Q349" i="4"/>
  <c r="T349" i="4"/>
  <c r="N349" i="4"/>
  <c r="P349" i="4"/>
  <c r="O349" i="4"/>
  <c r="R349" i="4"/>
  <c r="U349" i="4"/>
  <c r="Z350" i="28"/>
  <c r="AA350" i="28"/>
  <c r="AW351" i="4" l="1"/>
  <c r="AV351" i="4"/>
  <c r="G350" i="28"/>
  <c r="H350" i="28"/>
  <c r="P350" i="4"/>
  <c r="U350" i="4"/>
  <c r="S350" i="4"/>
  <c r="Q350" i="4"/>
  <c r="R350" i="4"/>
  <c r="N350" i="4"/>
  <c r="O350" i="4"/>
  <c r="T350" i="4"/>
  <c r="Z351" i="28"/>
  <c r="AA351" i="28"/>
  <c r="G351" i="28" l="1"/>
  <c r="H351" i="28"/>
  <c r="Z352" i="28"/>
  <c r="AA352" i="28"/>
  <c r="O351" i="4"/>
  <c r="Q351" i="4"/>
  <c r="P351" i="4"/>
  <c r="T351" i="4"/>
  <c r="U351" i="4"/>
  <c r="S351" i="4"/>
  <c r="N351" i="4"/>
  <c r="R351" i="4"/>
  <c r="AW352" i="4"/>
  <c r="AV352" i="4"/>
  <c r="AV353" i="4" l="1"/>
  <c r="AW353" i="4"/>
  <c r="O352" i="4"/>
  <c r="S352" i="4"/>
  <c r="R352" i="4"/>
  <c r="N352" i="4"/>
  <c r="T352" i="4"/>
  <c r="P352" i="4"/>
  <c r="Q352" i="4"/>
  <c r="U352" i="4"/>
  <c r="H352" i="28"/>
  <c r="G352" i="28"/>
  <c r="AA353" i="28"/>
  <c r="Z353" i="28"/>
  <c r="H353" i="28" l="1"/>
  <c r="G353" i="28"/>
  <c r="Z354" i="28"/>
  <c r="AA354" i="28"/>
  <c r="R353" i="4"/>
  <c r="U353" i="4"/>
  <c r="S353" i="4"/>
  <c r="T353" i="4"/>
  <c r="P353" i="4"/>
  <c r="O353" i="4"/>
  <c r="N353" i="4"/>
  <c r="Q353" i="4"/>
  <c r="AW354" i="4"/>
  <c r="AV354" i="4"/>
  <c r="H354" i="28" l="1"/>
  <c r="G354" i="28"/>
  <c r="R354" i="4"/>
  <c r="T354" i="4"/>
  <c r="Q354" i="4"/>
  <c r="P354" i="4"/>
  <c r="U354" i="4"/>
  <c r="S354" i="4"/>
  <c r="O354" i="4"/>
  <c r="N354" i="4"/>
  <c r="AA355" i="28"/>
  <c r="Z355" i="28"/>
  <c r="AW355" i="4"/>
  <c r="AV355" i="4"/>
  <c r="AV356" i="4" l="1"/>
  <c r="AW356" i="4"/>
  <c r="O355" i="4"/>
  <c r="U355" i="4"/>
  <c r="Q355" i="4"/>
  <c r="P355" i="4"/>
  <c r="T355" i="4"/>
  <c r="R355" i="4"/>
  <c r="N355" i="4"/>
  <c r="S355" i="4"/>
  <c r="H355" i="28"/>
  <c r="G355" i="28"/>
  <c r="AA356" i="28"/>
  <c r="Z356" i="28"/>
  <c r="H356" i="28" l="1"/>
  <c r="G356" i="28"/>
  <c r="AA357" i="28"/>
  <c r="Z357" i="28"/>
  <c r="AV357" i="4"/>
  <c r="AW357" i="4"/>
  <c r="O356" i="4"/>
  <c r="T356" i="4"/>
  <c r="Q356" i="4"/>
  <c r="R356" i="4"/>
  <c r="S356" i="4"/>
  <c r="P356" i="4"/>
  <c r="U356" i="4"/>
  <c r="N356" i="4"/>
  <c r="U357" i="4" l="1"/>
  <c r="Q357" i="4"/>
  <c r="N357" i="4"/>
  <c r="S357" i="4"/>
  <c r="P357" i="4"/>
  <c r="O357" i="4"/>
  <c r="R357" i="4"/>
  <c r="T357" i="4"/>
  <c r="Z358" i="28"/>
  <c r="AA358" i="28"/>
  <c r="H357" i="28"/>
  <c r="G357" i="28"/>
  <c r="AV358" i="4"/>
  <c r="AW358" i="4"/>
  <c r="U358" i="4" l="1"/>
  <c r="T358" i="4"/>
  <c r="O358" i="4"/>
  <c r="N358" i="4"/>
  <c r="S358" i="4"/>
  <c r="P358" i="4"/>
  <c r="Q358" i="4"/>
  <c r="R358" i="4"/>
  <c r="G358" i="28"/>
  <c r="H358" i="28"/>
  <c r="AA359" i="28"/>
  <c r="Z359" i="28"/>
  <c r="AV359" i="4"/>
  <c r="AW359" i="4"/>
  <c r="R359" i="4" l="1"/>
  <c r="S359" i="4"/>
  <c r="T359" i="4"/>
  <c r="U359" i="4"/>
  <c r="O359" i="4"/>
  <c r="Q359" i="4"/>
  <c r="N359" i="4"/>
  <c r="P359" i="4"/>
  <c r="G359" i="28"/>
  <c r="H359" i="28"/>
  <c r="Z360" i="28"/>
  <c r="AA360" i="28"/>
  <c r="AV360" i="4"/>
  <c r="AW360" i="4"/>
  <c r="U360" i="4" l="1"/>
  <c r="S360" i="4"/>
  <c r="T360" i="4"/>
  <c r="P360" i="4"/>
  <c r="R360" i="4"/>
  <c r="Q360" i="4"/>
  <c r="O360" i="4"/>
  <c r="N360" i="4"/>
  <c r="H360" i="28"/>
  <c r="G360" i="28"/>
  <c r="AA361" i="28"/>
  <c r="Z361" i="28"/>
  <c r="AV361" i="4"/>
  <c r="AW361" i="4"/>
  <c r="AV362" i="4" l="1"/>
  <c r="AW362" i="4"/>
  <c r="T361" i="4"/>
  <c r="P361" i="4"/>
  <c r="R361" i="4"/>
  <c r="O361" i="4"/>
  <c r="S361" i="4"/>
  <c r="Q361" i="4"/>
  <c r="N361" i="4"/>
  <c r="U361" i="4"/>
  <c r="Z362" i="28"/>
  <c r="AA362" i="28"/>
  <c r="H361" i="28"/>
  <c r="G361" i="28"/>
  <c r="H362" i="28" l="1"/>
  <c r="G362" i="28"/>
  <c r="S362" i="4"/>
  <c r="T362" i="4"/>
  <c r="O362" i="4"/>
  <c r="Q362" i="4"/>
  <c r="U362" i="4"/>
  <c r="R362" i="4"/>
  <c r="N362" i="4"/>
  <c r="P362" i="4"/>
  <c r="AA363" i="28"/>
  <c r="Z363" i="28"/>
  <c r="AV363" i="4"/>
  <c r="AW363" i="4"/>
  <c r="AA364" i="28" l="1"/>
  <c r="Z364" i="28"/>
  <c r="O363" i="4"/>
  <c r="T363" i="4"/>
  <c r="S363" i="4"/>
  <c r="P363" i="4"/>
  <c r="N363" i="4"/>
  <c r="R363" i="4"/>
  <c r="U363" i="4"/>
  <c r="Q363" i="4"/>
  <c r="G363" i="28"/>
  <c r="H363" i="28"/>
  <c r="AV364" i="4"/>
  <c r="AW364" i="4"/>
  <c r="T364" i="4" l="1"/>
  <c r="R364" i="4"/>
  <c r="O364" i="4"/>
  <c r="N364" i="4"/>
  <c r="P364" i="4"/>
  <c r="Q364" i="4"/>
  <c r="U364" i="4"/>
  <c r="S364" i="4"/>
  <c r="AV365" i="4"/>
  <c r="AW365" i="4"/>
  <c r="G364" i="28"/>
  <c r="H364" i="28"/>
  <c r="AA365" i="28"/>
  <c r="Z365" i="28"/>
  <c r="O365" i="4" l="1"/>
  <c r="Q365" i="4"/>
  <c r="R365" i="4"/>
  <c r="S365" i="4"/>
  <c r="T365" i="4"/>
  <c r="U365" i="4"/>
  <c r="N365" i="4"/>
  <c r="P365" i="4"/>
  <c r="AV366" i="4"/>
  <c r="AW366" i="4"/>
  <c r="Z366" i="28"/>
  <c r="AA366" i="28"/>
  <c r="H365" i="28"/>
  <c r="G365" i="28"/>
  <c r="AA367" i="28" l="1"/>
  <c r="Z367" i="28"/>
  <c r="H366" i="28"/>
  <c r="G366" i="28"/>
  <c r="AV367" i="4"/>
  <c r="AW367" i="4"/>
  <c r="O366" i="4"/>
  <c r="N366" i="4"/>
  <c r="P366" i="4"/>
  <c r="R366" i="4"/>
  <c r="U366" i="4"/>
  <c r="S366" i="4"/>
  <c r="T366" i="4"/>
  <c r="Q366" i="4"/>
  <c r="H367" i="28" l="1"/>
  <c r="G367" i="28"/>
  <c r="AA368" i="28"/>
  <c r="Z368" i="28"/>
  <c r="AW368" i="4"/>
  <c r="AV368" i="4"/>
  <c r="N367" i="4"/>
  <c r="Q367" i="4"/>
  <c r="O367" i="4"/>
  <c r="P367" i="4"/>
  <c r="R367" i="4"/>
  <c r="S367" i="4"/>
  <c r="U367" i="4"/>
  <c r="T367" i="4"/>
  <c r="AV369" i="4" l="1"/>
  <c r="AW369" i="4"/>
  <c r="T368" i="4"/>
  <c r="O368" i="4"/>
  <c r="N368" i="4"/>
  <c r="S368" i="4"/>
  <c r="Q368" i="4"/>
  <c r="U368" i="4"/>
  <c r="R368" i="4"/>
  <c r="P368" i="4"/>
  <c r="H368" i="28"/>
  <c r="G368" i="28"/>
  <c r="Z369" i="28"/>
  <c r="AA369" i="28"/>
  <c r="H369" i="28" l="1"/>
  <c r="G369" i="28"/>
  <c r="Z370" i="28"/>
  <c r="AA370" i="28"/>
  <c r="AV370" i="4"/>
  <c r="AW370" i="4"/>
  <c r="O369" i="4"/>
  <c r="N369" i="4"/>
  <c r="S369" i="4"/>
  <c r="T369" i="4"/>
  <c r="U369" i="4"/>
  <c r="R369" i="4"/>
  <c r="Q369" i="4"/>
  <c r="P369" i="4"/>
  <c r="AV371" i="4" l="1"/>
  <c r="AW371" i="4"/>
  <c r="R370" i="4"/>
  <c r="N370" i="4"/>
  <c r="T370" i="4"/>
  <c r="S370" i="4"/>
  <c r="Q370" i="4"/>
  <c r="P370" i="4"/>
  <c r="U370" i="4"/>
  <c r="O370" i="4"/>
  <c r="Z371" i="28"/>
  <c r="AA371" i="28"/>
  <c r="G370" i="28"/>
  <c r="H370" i="28"/>
  <c r="R371" i="4" l="1"/>
  <c r="T371" i="4"/>
  <c r="S371" i="4"/>
  <c r="U371" i="4"/>
  <c r="N371" i="4"/>
  <c r="O371" i="4"/>
  <c r="Q371" i="4"/>
  <c r="P371" i="4"/>
  <c r="G371" i="28"/>
  <c r="H371" i="28"/>
  <c r="AA372" i="28"/>
  <c r="Z372" i="28"/>
  <c r="AV372" i="4"/>
  <c r="AW372" i="4"/>
  <c r="Z373" i="28" l="1"/>
  <c r="AA373" i="28"/>
  <c r="S372" i="4"/>
  <c r="Q372" i="4"/>
  <c r="U372" i="4"/>
  <c r="N372" i="4"/>
  <c r="O372" i="4"/>
  <c r="R372" i="4"/>
  <c r="P372" i="4"/>
  <c r="T372" i="4"/>
  <c r="AV373" i="4"/>
  <c r="AW373" i="4"/>
  <c r="G372" i="28"/>
  <c r="H372" i="28"/>
  <c r="AV374" i="4" l="1"/>
  <c r="AW374" i="4"/>
  <c r="H373" i="28"/>
  <c r="G373" i="28"/>
  <c r="R373" i="4"/>
  <c r="T373" i="4"/>
  <c r="S373" i="4"/>
  <c r="U373" i="4"/>
  <c r="P373" i="4"/>
  <c r="O373" i="4"/>
  <c r="Q373" i="4"/>
  <c r="N373" i="4"/>
  <c r="AA374" i="28"/>
  <c r="Z374" i="28"/>
  <c r="G374" i="28" l="1"/>
  <c r="H374" i="28"/>
  <c r="AV375" i="4"/>
  <c r="AW375" i="4"/>
  <c r="Z375" i="28"/>
  <c r="AA375" i="28"/>
  <c r="P374" i="4"/>
  <c r="Q374" i="4"/>
  <c r="O374" i="4"/>
  <c r="N374" i="4"/>
  <c r="T374" i="4"/>
  <c r="U374" i="4"/>
  <c r="R374" i="4"/>
  <c r="S374" i="4"/>
  <c r="AA376" i="28" l="1"/>
  <c r="Z376" i="28"/>
  <c r="G375" i="28"/>
  <c r="H375" i="28"/>
  <c r="T375" i="4"/>
  <c r="P375" i="4"/>
  <c r="O375" i="4"/>
  <c r="S375" i="4"/>
  <c r="N375" i="4"/>
  <c r="R375" i="4"/>
  <c r="U375" i="4"/>
  <c r="Q375" i="4"/>
  <c r="AV376" i="4"/>
  <c r="AW376" i="4"/>
  <c r="N376" i="4" l="1"/>
  <c r="Q376" i="4"/>
  <c r="R376" i="4"/>
  <c r="U376" i="4"/>
  <c r="O376" i="4"/>
  <c r="P376" i="4"/>
  <c r="T376" i="4"/>
  <c r="S376" i="4"/>
  <c r="AV377" i="4"/>
  <c r="AW377" i="4"/>
  <c r="AA377" i="28"/>
  <c r="Z377" i="28"/>
  <c r="G376" i="28"/>
  <c r="H376" i="28"/>
  <c r="H377" i="28" l="1"/>
  <c r="G377" i="28"/>
  <c r="AW378" i="4"/>
  <c r="AV378" i="4"/>
  <c r="AA378" i="28"/>
  <c r="Z378" i="28"/>
  <c r="Q377" i="4"/>
  <c r="N377" i="4"/>
  <c r="O377" i="4"/>
  <c r="P377" i="4"/>
  <c r="S377" i="4"/>
  <c r="U377" i="4"/>
  <c r="T377" i="4"/>
  <c r="R377" i="4"/>
  <c r="H378" i="28" l="1"/>
  <c r="G378" i="28"/>
  <c r="AA379" i="28"/>
  <c r="Z379" i="28"/>
  <c r="AW379" i="4"/>
  <c r="AV379" i="4"/>
  <c r="U378" i="4"/>
  <c r="Q378" i="4"/>
  <c r="N378" i="4"/>
  <c r="S378" i="4"/>
  <c r="P378" i="4"/>
  <c r="R378" i="4"/>
  <c r="T378" i="4"/>
  <c r="O378" i="4"/>
  <c r="Z380" i="28" l="1"/>
  <c r="AA380" i="28"/>
  <c r="R379" i="4"/>
  <c r="T379" i="4"/>
  <c r="S379" i="4"/>
  <c r="Q379" i="4"/>
  <c r="N379" i="4"/>
  <c r="O379" i="4"/>
  <c r="P379" i="4"/>
  <c r="U379" i="4"/>
  <c r="AW380" i="4"/>
  <c r="AV380" i="4"/>
  <c r="G379" i="28"/>
  <c r="H379" i="28"/>
  <c r="G380" i="28" l="1"/>
  <c r="H380" i="28"/>
  <c r="AW381" i="4"/>
  <c r="AV381" i="4"/>
  <c r="Z381" i="28"/>
  <c r="AA381" i="28"/>
  <c r="O380" i="4"/>
  <c r="R380" i="4"/>
  <c r="P380" i="4"/>
  <c r="T380" i="4"/>
  <c r="N380" i="4"/>
  <c r="S380" i="4"/>
  <c r="Q380" i="4"/>
  <c r="U380" i="4"/>
  <c r="S381" i="4" l="1"/>
  <c r="P381" i="4"/>
  <c r="T381" i="4"/>
  <c r="N381" i="4"/>
  <c r="R381" i="4"/>
  <c r="O381" i="4"/>
  <c r="U381" i="4"/>
  <c r="Q381" i="4"/>
  <c r="H381" i="28"/>
  <c r="G381" i="28"/>
  <c r="AW382" i="4"/>
  <c r="AV382" i="4"/>
  <c r="Z382" i="28"/>
  <c r="AA382" i="28"/>
  <c r="G382" i="28" l="1"/>
  <c r="H382" i="28"/>
  <c r="Z383" i="28"/>
  <c r="AA383" i="28"/>
  <c r="O382" i="4"/>
  <c r="T382" i="4"/>
  <c r="P382" i="4"/>
  <c r="S382" i="4"/>
  <c r="Q382" i="4"/>
  <c r="R382" i="4"/>
  <c r="N382" i="4"/>
  <c r="U382" i="4"/>
  <c r="AW383" i="4"/>
  <c r="AV383" i="4"/>
  <c r="AV384" i="4" l="1"/>
  <c r="AW384" i="4"/>
  <c r="N383" i="4"/>
  <c r="R383" i="4"/>
  <c r="O383" i="4"/>
  <c r="P383" i="4"/>
  <c r="Q383" i="4"/>
  <c r="T383" i="4"/>
  <c r="U383" i="4"/>
  <c r="S383" i="4"/>
  <c r="AA384" i="28"/>
  <c r="Z384" i="28"/>
  <c r="G383" i="28"/>
  <c r="H383" i="28"/>
  <c r="H384" i="28" l="1"/>
  <c r="G384" i="28"/>
  <c r="AV385" i="4"/>
  <c r="AW385" i="4"/>
  <c r="Z385" i="28"/>
  <c r="AA385" i="28"/>
  <c r="S384" i="4"/>
  <c r="P384" i="4"/>
  <c r="Q384" i="4"/>
  <c r="N384" i="4"/>
  <c r="O384" i="4"/>
  <c r="R384" i="4"/>
  <c r="T384" i="4"/>
  <c r="U384" i="4"/>
  <c r="G385" i="28" l="1"/>
  <c r="H385" i="28"/>
  <c r="AA386" i="28"/>
  <c r="Z386" i="28"/>
  <c r="S385" i="4"/>
  <c r="N385" i="4"/>
  <c r="P385" i="4"/>
  <c r="Q385" i="4"/>
  <c r="T385" i="4"/>
  <c r="R385" i="4"/>
  <c r="U385" i="4"/>
  <c r="O385" i="4"/>
  <c r="AV386" i="4"/>
  <c r="AW386" i="4"/>
  <c r="Z387" i="28" l="1"/>
  <c r="AA387" i="28"/>
  <c r="G386" i="28"/>
  <c r="H386" i="28"/>
  <c r="U386" i="4"/>
  <c r="S386" i="4"/>
  <c r="O386" i="4"/>
  <c r="Q386" i="4"/>
  <c r="P386" i="4"/>
  <c r="N386" i="4"/>
  <c r="R386" i="4"/>
  <c r="T386" i="4"/>
  <c r="AW387" i="4"/>
  <c r="AV387" i="4"/>
  <c r="AA388" i="28" l="1"/>
  <c r="Z388" i="28"/>
  <c r="U387" i="4"/>
  <c r="Q387" i="4"/>
  <c r="T387" i="4"/>
  <c r="S387" i="4"/>
  <c r="R387" i="4"/>
  <c r="P387" i="4"/>
  <c r="O387" i="4"/>
  <c r="N387" i="4"/>
  <c r="AW388" i="4"/>
  <c r="AV388" i="4"/>
  <c r="H387" i="28"/>
  <c r="G387" i="28"/>
  <c r="R388" i="4" l="1"/>
  <c r="P388" i="4"/>
  <c r="O388" i="4"/>
  <c r="U388" i="4"/>
  <c r="S388" i="4"/>
  <c r="N388" i="4"/>
  <c r="T388" i="4"/>
  <c r="Q388" i="4"/>
  <c r="H388" i="28"/>
  <c r="G388" i="28"/>
  <c r="AV389" i="4"/>
  <c r="AW389" i="4"/>
  <c r="AA389" i="28"/>
  <c r="Z389" i="28"/>
  <c r="AA390" i="28" l="1"/>
  <c r="Z390" i="28"/>
  <c r="H389" i="28"/>
  <c r="G389" i="28"/>
  <c r="AW390" i="4"/>
  <c r="AV390" i="4"/>
  <c r="S389" i="4"/>
  <c r="P389" i="4"/>
  <c r="O389" i="4"/>
  <c r="N389" i="4"/>
  <c r="U389" i="4"/>
  <c r="T389" i="4"/>
  <c r="Q389" i="4"/>
  <c r="R389" i="4"/>
  <c r="AA391" i="28" l="1"/>
  <c r="Z391" i="28"/>
  <c r="U390" i="4"/>
  <c r="N390" i="4"/>
  <c r="O390" i="4"/>
  <c r="Q390" i="4"/>
  <c r="S390" i="4"/>
  <c r="R390" i="4"/>
  <c r="T390" i="4"/>
  <c r="P390" i="4"/>
  <c r="H390" i="28"/>
  <c r="G390" i="28"/>
  <c r="AW391" i="4"/>
  <c r="AV391" i="4"/>
  <c r="Q391" i="4" l="1"/>
  <c r="N391" i="4"/>
  <c r="T391" i="4"/>
  <c r="R391" i="4"/>
  <c r="S391" i="4"/>
  <c r="U391" i="4"/>
  <c r="O391" i="4"/>
  <c r="P391" i="4"/>
  <c r="Z392" i="28"/>
  <c r="AA392" i="28"/>
  <c r="AW392" i="4"/>
  <c r="AV392" i="4"/>
  <c r="H391" i="28"/>
  <c r="G391" i="28"/>
  <c r="G392" i="28" l="1"/>
  <c r="H392" i="28"/>
  <c r="AW393" i="4"/>
  <c r="AV393" i="4"/>
  <c r="T392" i="4"/>
  <c r="Q392" i="4"/>
  <c r="R392" i="4"/>
  <c r="O392" i="4"/>
  <c r="P392" i="4"/>
  <c r="S392" i="4"/>
  <c r="U392" i="4"/>
  <c r="N392" i="4"/>
  <c r="Z393" i="28"/>
  <c r="AA393" i="28"/>
  <c r="H393" i="28" l="1"/>
  <c r="G393" i="28"/>
  <c r="Z394" i="28"/>
  <c r="AA394" i="28"/>
  <c r="N393" i="4"/>
  <c r="Q393" i="4"/>
  <c r="R393" i="4"/>
  <c r="U393" i="4"/>
  <c r="O393" i="4"/>
  <c r="P393" i="4"/>
  <c r="T393" i="4"/>
  <c r="S393" i="4"/>
  <c r="AV394" i="4"/>
  <c r="AW394" i="4"/>
  <c r="AA395" i="28" l="1"/>
  <c r="Z395" i="28"/>
  <c r="S394" i="4"/>
  <c r="T394" i="4"/>
  <c r="R394" i="4"/>
  <c r="U394" i="4"/>
  <c r="P394" i="4"/>
  <c r="N394" i="4"/>
  <c r="O394" i="4"/>
  <c r="Q394" i="4"/>
  <c r="AW395" i="4"/>
  <c r="AV395" i="4"/>
  <c r="G394" i="28"/>
  <c r="H394" i="28"/>
  <c r="AV396" i="4" l="1"/>
  <c r="AW396" i="4"/>
  <c r="Q395" i="4"/>
  <c r="R395" i="4"/>
  <c r="P395" i="4"/>
  <c r="T395" i="4"/>
  <c r="N395" i="4"/>
  <c r="U395" i="4"/>
  <c r="O395" i="4"/>
  <c r="S395" i="4"/>
  <c r="AA396" i="28"/>
  <c r="Z396" i="28"/>
  <c r="H395" i="28"/>
  <c r="G395" i="28"/>
  <c r="R396" i="4" l="1"/>
  <c r="T396" i="4"/>
  <c r="O396" i="4"/>
  <c r="P396" i="4"/>
  <c r="S396" i="4"/>
  <c r="U396" i="4"/>
  <c r="N396" i="4"/>
  <c r="Q396" i="4"/>
  <c r="AW397" i="4"/>
  <c r="AV397" i="4"/>
  <c r="Z397" i="28"/>
  <c r="AA397" i="28"/>
  <c r="H396" i="28"/>
  <c r="G396" i="28"/>
  <c r="P397" i="4" l="1"/>
  <c r="U397" i="4"/>
  <c r="T397" i="4"/>
  <c r="O397" i="4"/>
  <c r="Q397" i="4"/>
  <c r="R397" i="4"/>
  <c r="S397" i="4"/>
  <c r="N397" i="4"/>
  <c r="H397" i="28"/>
  <c r="G397" i="28"/>
  <c r="AV398" i="4"/>
  <c r="AW398" i="4"/>
  <c r="AA398" i="28"/>
  <c r="Z398" i="28"/>
  <c r="H398" i="28" l="1"/>
  <c r="G398" i="28"/>
  <c r="AA399" i="28"/>
  <c r="Z399" i="28"/>
  <c r="AV399" i="4"/>
  <c r="AW399" i="4"/>
  <c r="R398" i="4"/>
  <c r="O398" i="4"/>
  <c r="Q398" i="4"/>
  <c r="U398" i="4"/>
  <c r="S398" i="4"/>
  <c r="N398" i="4"/>
  <c r="T398" i="4"/>
  <c r="P398" i="4"/>
  <c r="AW400" i="4" l="1"/>
  <c r="AV400" i="4"/>
  <c r="P399" i="4"/>
  <c r="Q399" i="4"/>
  <c r="S399" i="4"/>
  <c r="U399" i="4"/>
  <c r="O399" i="4"/>
  <c r="T399" i="4"/>
  <c r="N399" i="4"/>
  <c r="R399" i="4"/>
  <c r="Z400" i="28"/>
  <c r="AA400" i="28"/>
  <c r="H399" i="28"/>
  <c r="G399" i="28"/>
  <c r="G400" i="28" l="1"/>
  <c r="H400" i="28"/>
  <c r="AA401" i="28"/>
  <c r="Z401" i="28"/>
  <c r="S400" i="4"/>
  <c r="N400" i="4"/>
  <c r="O400" i="4"/>
  <c r="R400" i="4"/>
  <c r="T400" i="4"/>
  <c r="P400" i="4"/>
  <c r="Q400" i="4"/>
  <c r="U400" i="4"/>
  <c r="AW401" i="4"/>
  <c r="AV401" i="4"/>
  <c r="R401" i="4" l="1"/>
  <c r="T401" i="4"/>
  <c r="Q401" i="4"/>
  <c r="P401" i="4"/>
  <c r="O401" i="4"/>
  <c r="N401" i="4"/>
  <c r="U401" i="4"/>
  <c r="S401" i="4"/>
  <c r="AA402" i="28"/>
  <c r="Z402" i="28"/>
  <c r="AW402" i="4"/>
  <c r="AV402" i="4"/>
  <c r="G401" i="28"/>
  <c r="H401" i="28"/>
  <c r="Z403" i="28" l="1"/>
  <c r="AA403" i="28"/>
  <c r="AW403" i="4"/>
  <c r="AV403" i="4"/>
  <c r="P402" i="4"/>
  <c r="U402" i="4"/>
  <c r="S402" i="4"/>
  <c r="Q402" i="4"/>
  <c r="N402" i="4"/>
  <c r="T402" i="4"/>
  <c r="R402" i="4"/>
  <c r="O402" i="4"/>
  <c r="H402" i="28"/>
  <c r="G402" i="28"/>
  <c r="Z404" i="28" l="1"/>
  <c r="AA404" i="28"/>
  <c r="S403" i="4"/>
  <c r="T403" i="4"/>
  <c r="O403" i="4"/>
  <c r="U403" i="4"/>
  <c r="P403" i="4"/>
  <c r="N403" i="4"/>
  <c r="Q403" i="4"/>
  <c r="R403" i="4"/>
  <c r="AW404" i="4"/>
  <c r="AV404" i="4"/>
  <c r="G403" i="28"/>
  <c r="H403" i="28"/>
  <c r="S404" i="4" l="1"/>
  <c r="O404" i="4"/>
  <c r="Q404" i="4"/>
  <c r="T404" i="4"/>
  <c r="U404" i="4"/>
  <c r="P404" i="4"/>
  <c r="N404" i="4"/>
  <c r="R404" i="4"/>
  <c r="AW405" i="4"/>
  <c r="AV405" i="4"/>
  <c r="H404" i="28"/>
  <c r="G404" i="28"/>
  <c r="Z405" i="28"/>
  <c r="AA405" i="28"/>
  <c r="Z406" i="28" l="1"/>
  <c r="AA406" i="28"/>
  <c r="AW406" i="4"/>
  <c r="AV406" i="4"/>
  <c r="G405" i="28"/>
  <c r="H405" i="28"/>
  <c r="N405" i="4"/>
  <c r="O405" i="4"/>
  <c r="P405" i="4"/>
  <c r="Q405" i="4"/>
  <c r="T405" i="4"/>
  <c r="S405" i="4"/>
  <c r="R405" i="4"/>
  <c r="U405" i="4"/>
  <c r="Z407" i="28" l="1"/>
  <c r="AA407" i="28"/>
  <c r="AW407" i="4"/>
  <c r="AV407" i="4"/>
  <c r="O406" i="4"/>
  <c r="U406" i="4"/>
  <c r="R406" i="4"/>
  <c r="Q406" i="4"/>
  <c r="N406" i="4"/>
  <c r="T406" i="4"/>
  <c r="S406" i="4"/>
  <c r="P406" i="4"/>
  <c r="G406" i="28"/>
  <c r="H406" i="28"/>
  <c r="AW408" i="4" l="1"/>
  <c r="AV408" i="4"/>
  <c r="AA408" i="28"/>
  <c r="Z408" i="28"/>
  <c r="U407" i="4"/>
  <c r="T407" i="4"/>
  <c r="R407" i="4"/>
  <c r="S407" i="4"/>
  <c r="O407" i="4"/>
  <c r="N407" i="4"/>
  <c r="P407" i="4"/>
  <c r="Q407" i="4"/>
  <c r="H407" i="28"/>
  <c r="G407" i="28"/>
  <c r="AW409" i="4" l="1"/>
  <c r="AV409" i="4"/>
  <c r="H408" i="28"/>
  <c r="G408" i="28"/>
  <c r="Z409" i="28"/>
  <c r="AA409" i="28"/>
  <c r="N408" i="4"/>
  <c r="Q408" i="4"/>
  <c r="R408" i="4"/>
  <c r="U408" i="4"/>
  <c r="S408" i="4"/>
  <c r="T408" i="4"/>
  <c r="O408" i="4"/>
  <c r="P408" i="4"/>
  <c r="H409" i="28" l="1"/>
  <c r="G409" i="28"/>
  <c r="AA410" i="28"/>
  <c r="Z410" i="28"/>
  <c r="AW410" i="4"/>
  <c r="AV410" i="4"/>
  <c r="Q409" i="4"/>
  <c r="O409" i="4"/>
  <c r="T409" i="4"/>
  <c r="U409" i="4"/>
  <c r="P409" i="4"/>
  <c r="N409" i="4"/>
  <c r="S409" i="4"/>
  <c r="R409" i="4"/>
  <c r="AW411" i="4" l="1"/>
  <c r="AV411" i="4"/>
  <c r="Z411" i="28"/>
  <c r="AA411" i="28"/>
  <c r="H410" i="28"/>
  <c r="G410" i="28"/>
  <c r="U410" i="4"/>
  <c r="S410" i="4"/>
  <c r="N410" i="4"/>
  <c r="O410" i="4"/>
  <c r="T410" i="4"/>
  <c r="R410" i="4"/>
  <c r="P410" i="4"/>
  <c r="Q410" i="4"/>
  <c r="AA412" i="28" l="1"/>
  <c r="Z412" i="28"/>
  <c r="G411" i="28"/>
  <c r="H411" i="28"/>
  <c r="AV412" i="4"/>
  <c r="AW412" i="4"/>
  <c r="O411" i="4"/>
  <c r="R411" i="4"/>
  <c r="S411" i="4"/>
  <c r="U411" i="4"/>
  <c r="T411" i="4"/>
  <c r="P411" i="4"/>
  <c r="N411" i="4"/>
  <c r="Q411" i="4"/>
  <c r="N412" i="4" l="1"/>
  <c r="Q412" i="4"/>
  <c r="S412" i="4"/>
  <c r="T412" i="4"/>
  <c r="O412" i="4"/>
  <c r="P412" i="4"/>
  <c r="R412" i="4"/>
  <c r="U412" i="4"/>
  <c r="Z413" i="28"/>
  <c r="AA413" i="28"/>
  <c r="H412" i="28"/>
  <c r="G412" i="28"/>
  <c r="AW413" i="4"/>
  <c r="AV413" i="4"/>
  <c r="AV414" i="4" l="1"/>
  <c r="AW414" i="4"/>
  <c r="P413" i="4"/>
  <c r="U413" i="4"/>
  <c r="O413" i="4"/>
  <c r="T413" i="4"/>
  <c r="N413" i="4"/>
  <c r="R413" i="4"/>
  <c r="Q413" i="4"/>
  <c r="S413" i="4"/>
  <c r="H413" i="28"/>
  <c r="G413" i="28"/>
  <c r="AA414" i="28"/>
  <c r="Z414" i="28"/>
  <c r="Z415" i="28" l="1"/>
  <c r="AA415" i="28"/>
  <c r="AV415" i="4"/>
  <c r="AW415" i="4"/>
  <c r="H414" i="28"/>
  <c r="G414" i="28"/>
  <c r="U414" i="4"/>
  <c r="Q414" i="4"/>
  <c r="O414" i="4"/>
  <c r="S414" i="4"/>
  <c r="T414" i="4"/>
  <c r="N414" i="4"/>
  <c r="P414" i="4"/>
  <c r="R414" i="4"/>
  <c r="R415" i="4" l="1"/>
  <c r="P415" i="4"/>
  <c r="O415" i="4"/>
  <c r="T415" i="4"/>
  <c r="U415" i="4"/>
  <c r="Q415" i="4"/>
  <c r="N415" i="4"/>
  <c r="S415" i="4"/>
  <c r="AW416" i="4"/>
  <c r="AV416" i="4"/>
  <c r="AA416" i="28"/>
  <c r="Z416" i="28"/>
  <c r="H415" i="28"/>
  <c r="G415" i="28"/>
  <c r="Z417" i="28" l="1"/>
  <c r="AA417" i="28"/>
  <c r="G416" i="28"/>
  <c r="H416" i="28"/>
  <c r="T416" i="4"/>
  <c r="R416" i="4"/>
  <c r="U416" i="4"/>
  <c r="S416" i="4"/>
  <c r="P416" i="4"/>
  <c r="N416" i="4"/>
  <c r="Q416" i="4"/>
  <c r="O416" i="4"/>
  <c r="AW417" i="4"/>
  <c r="AV417" i="4"/>
  <c r="G417" i="28" l="1"/>
  <c r="H417" i="28"/>
  <c r="Z418" i="28"/>
  <c r="AA418" i="28"/>
  <c r="Q417" i="4"/>
  <c r="T417" i="4"/>
  <c r="U417" i="4"/>
  <c r="N417" i="4"/>
  <c r="R417" i="4"/>
  <c r="P417" i="4"/>
  <c r="O417" i="4"/>
  <c r="S417" i="4"/>
  <c r="AV418" i="4"/>
  <c r="AW418" i="4"/>
  <c r="N418" i="4" l="1"/>
  <c r="U418" i="4"/>
  <c r="S418" i="4"/>
  <c r="O418" i="4"/>
  <c r="T418" i="4"/>
  <c r="R418" i="4"/>
  <c r="P418" i="4"/>
  <c r="Q418" i="4"/>
  <c r="AV419" i="4"/>
  <c r="AW419" i="4"/>
  <c r="G418" i="28"/>
  <c r="H418" i="28"/>
  <c r="AA419" i="28"/>
  <c r="Z419" i="28"/>
  <c r="AA420" i="28" l="1"/>
  <c r="Z420" i="28"/>
  <c r="R419" i="4"/>
  <c r="U419" i="4"/>
  <c r="N419" i="4"/>
  <c r="O419" i="4"/>
  <c r="S419" i="4"/>
  <c r="T419" i="4"/>
  <c r="P419" i="4"/>
  <c r="Q419" i="4"/>
  <c r="G419" i="28"/>
  <c r="H419" i="28"/>
  <c r="AW420" i="4"/>
  <c r="AV420" i="4"/>
  <c r="N420" i="4" l="1"/>
  <c r="S420" i="4"/>
  <c r="P420" i="4"/>
  <c r="T420" i="4"/>
  <c r="R420" i="4"/>
  <c r="Q420" i="4"/>
  <c r="O420" i="4"/>
  <c r="U420" i="4"/>
  <c r="G420" i="28"/>
  <c r="H420" i="28"/>
  <c r="AW421" i="4"/>
  <c r="AV421" i="4"/>
  <c r="AA421" i="28"/>
  <c r="Z421" i="28"/>
  <c r="H421" i="28" l="1"/>
  <c r="G421" i="28"/>
  <c r="T421" i="4"/>
  <c r="O421" i="4"/>
  <c r="S421" i="4"/>
  <c r="P421" i="4"/>
  <c r="Q421" i="4"/>
  <c r="N421" i="4"/>
  <c r="U421" i="4"/>
  <c r="R421" i="4"/>
  <c r="AA422" i="28"/>
  <c r="Z422" i="28"/>
  <c r="AW422" i="4"/>
  <c r="AV422" i="4"/>
  <c r="R422" i="4" l="1"/>
  <c r="U422" i="4"/>
  <c r="T422" i="4"/>
  <c r="S422" i="4"/>
  <c r="N422" i="4"/>
  <c r="Q422" i="4"/>
  <c r="O422" i="4"/>
  <c r="P422" i="4"/>
  <c r="Z423" i="28"/>
  <c r="AA423" i="28"/>
  <c r="AV423" i="4"/>
  <c r="AW423" i="4"/>
  <c r="G422" i="28"/>
  <c r="H422" i="28"/>
  <c r="T423" i="4" l="1"/>
  <c r="P423" i="4"/>
  <c r="Q423" i="4"/>
  <c r="R423" i="4"/>
  <c r="U423" i="4"/>
  <c r="N423" i="4"/>
  <c r="O423" i="4"/>
  <c r="S423" i="4"/>
  <c r="Z424" i="28"/>
  <c r="AA424" i="28"/>
  <c r="AW424" i="4"/>
  <c r="AV424" i="4"/>
  <c r="G423" i="28"/>
  <c r="H423" i="28"/>
  <c r="P424" i="4" l="1"/>
  <c r="Q424" i="4"/>
  <c r="U424" i="4"/>
  <c r="N424" i="4"/>
  <c r="O424" i="4"/>
  <c r="T424" i="4"/>
  <c r="S424" i="4"/>
  <c r="R424" i="4"/>
  <c r="Z425" i="28"/>
  <c r="AA425" i="28"/>
  <c r="AV425" i="4"/>
  <c r="AW425" i="4"/>
  <c r="H424" i="28"/>
  <c r="G424" i="28"/>
  <c r="AA426" i="28" l="1"/>
  <c r="Z426" i="28"/>
  <c r="G425" i="28"/>
  <c r="H425" i="28"/>
  <c r="S425" i="4"/>
  <c r="O425" i="4"/>
  <c r="U425" i="4"/>
  <c r="T425" i="4"/>
  <c r="R425" i="4"/>
  <c r="Q425" i="4"/>
  <c r="P425" i="4"/>
  <c r="N425" i="4"/>
  <c r="AW426" i="4"/>
  <c r="AV426" i="4"/>
  <c r="Q426" i="4" l="1"/>
  <c r="N426" i="4"/>
  <c r="T426" i="4"/>
  <c r="R426" i="4"/>
  <c r="P426" i="4"/>
  <c r="O426" i="4"/>
  <c r="U426" i="4"/>
  <c r="S426" i="4"/>
  <c r="Z427" i="28"/>
  <c r="AA427" i="28"/>
  <c r="AV427" i="4"/>
  <c r="AW427" i="4"/>
  <c r="H426" i="28"/>
  <c r="G426" i="28"/>
  <c r="S427" i="4" l="1"/>
  <c r="T427" i="4"/>
  <c r="U427" i="4"/>
  <c r="R427" i="4"/>
  <c r="O427" i="4"/>
  <c r="Q427" i="4"/>
  <c r="P427" i="4"/>
  <c r="N427" i="4"/>
  <c r="G427" i="28"/>
  <c r="H427" i="28"/>
  <c r="AW428" i="4"/>
  <c r="AV428" i="4"/>
  <c r="Z428" i="28"/>
  <c r="AA428" i="28"/>
  <c r="Q428" i="4" l="1"/>
  <c r="U428" i="4"/>
  <c r="R428" i="4"/>
  <c r="O428" i="4"/>
  <c r="T428" i="4"/>
  <c r="S428" i="4"/>
  <c r="P428" i="4"/>
  <c r="N428" i="4"/>
  <c r="AA429" i="28"/>
  <c r="Z429" i="28"/>
  <c r="H428" i="28"/>
  <c r="G428" i="28"/>
  <c r="AV429" i="4"/>
  <c r="AW429" i="4"/>
  <c r="P429" i="4" l="1"/>
  <c r="U429" i="4"/>
  <c r="N429" i="4"/>
  <c r="S429" i="4"/>
  <c r="O429" i="4"/>
  <c r="R429" i="4"/>
  <c r="Q429" i="4"/>
  <c r="T429" i="4"/>
  <c r="AW430" i="4"/>
  <c r="AV430" i="4"/>
  <c r="AA430" i="28"/>
  <c r="Z430" i="28"/>
  <c r="H429" i="28"/>
  <c r="G429" i="28"/>
  <c r="Z431" i="28" l="1"/>
  <c r="AA431" i="28"/>
  <c r="G430" i="28"/>
  <c r="H430" i="28"/>
  <c r="Q430" i="4"/>
  <c r="P430" i="4"/>
  <c r="U430" i="4"/>
  <c r="R430" i="4"/>
  <c r="N430" i="4"/>
  <c r="O430" i="4"/>
  <c r="S430" i="4"/>
  <c r="T430" i="4"/>
  <c r="AW431" i="4"/>
  <c r="AV431" i="4"/>
  <c r="G431" i="28" l="1"/>
  <c r="H431" i="28"/>
  <c r="AW432" i="4"/>
  <c r="AV432" i="4"/>
  <c r="O431" i="4"/>
  <c r="S431" i="4"/>
  <c r="Q431" i="4"/>
  <c r="U431" i="4"/>
  <c r="T431" i="4"/>
  <c r="N431" i="4"/>
  <c r="R431" i="4"/>
  <c r="P431" i="4"/>
  <c r="AA432" i="28"/>
  <c r="Z432" i="28"/>
  <c r="AV433" i="4" l="1"/>
  <c r="AW433" i="4"/>
  <c r="P432" i="4"/>
  <c r="R432" i="4"/>
  <c r="S432" i="4"/>
  <c r="N432" i="4"/>
  <c r="Q432" i="4"/>
  <c r="T432" i="4"/>
  <c r="U432" i="4"/>
  <c r="O432" i="4"/>
  <c r="H432" i="28"/>
  <c r="G432" i="28"/>
  <c r="AA433" i="28"/>
  <c r="Z433" i="28"/>
  <c r="AW447" i="4" l="1"/>
  <c r="AV447" i="4"/>
  <c r="AV434" i="4"/>
  <c r="AW434" i="4"/>
  <c r="H433" i="28"/>
  <c r="G433" i="28"/>
  <c r="AA434" i="28"/>
  <c r="Z434" i="28"/>
  <c r="N433" i="4"/>
  <c r="P433" i="4"/>
  <c r="O433" i="4"/>
  <c r="Q433" i="4"/>
  <c r="T433" i="4"/>
  <c r="U433" i="4"/>
  <c r="R433" i="4"/>
  <c r="S433" i="4"/>
  <c r="AV448" i="4" l="1"/>
  <c r="AW448" i="4"/>
  <c r="R447" i="4"/>
  <c r="N447" i="4"/>
  <c r="U447" i="4"/>
  <c r="Q447" i="4"/>
  <c r="T447" i="4"/>
  <c r="S447" i="4"/>
  <c r="P447" i="4"/>
  <c r="O447" i="4"/>
  <c r="G434" i="28"/>
  <c r="H434" i="28"/>
  <c r="R434" i="4"/>
  <c r="Q434" i="4"/>
  <c r="N434" i="4"/>
  <c r="U434" i="4"/>
  <c r="S434" i="4"/>
  <c r="O434" i="4"/>
  <c r="P434" i="4"/>
  <c r="T434" i="4"/>
  <c r="AV435" i="4"/>
  <c r="AW435" i="4"/>
  <c r="AA435" i="28"/>
  <c r="Z435" i="28"/>
  <c r="AW449" i="4" l="1"/>
  <c r="AV449" i="4"/>
  <c r="T448" i="4"/>
  <c r="P448" i="4"/>
  <c r="S448" i="4"/>
  <c r="O448" i="4"/>
  <c r="R448" i="4"/>
  <c r="Q448" i="4"/>
  <c r="N448" i="4"/>
  <c r="U448" i="4"/>
  <c r="AV436" i="4"/>
  <c r="AW436" i="4"/>
  <c r="G435" i="28"/>
  <c r="H435" i="28"/>
  <c r="AA436" i="28"/>
  <c r="Z436" i="28"/>
  <c r="N435" i="4"/>
  <c r="P435" i="4"/>
  <c r="U435" i="4"/>
  <c r="T435" i="4"/>
  <c r="R435" i="4"/>
  <c r="S435" i="4"/>
  <c r="O435" i="4"/>
  <c r="Q435" i="4"/>
  <c r="AV450" i="4" l="1"/>
  <c r="AW450" i="4"/>
  <c r="R449" i="4"/>
  <c r="N449" i="4"/>
  <c r="U449" i="4"/>
  <c r="Q449" i="4"/>
  <c r="P449" i="4"/>
  <c r="T449" i="4"/>
  <c r="O449" i="4"/>
  <c r="S449" i="4"/>
  <c r="G436" i="28"/>
  <c r="H436" i="28"/>
  <c r="AA437" i="28"/>
  <c r="Z437" i="28"/>
  <c r="T436" i="4"/>
  <c r="U436" i="4"/>
  <c r="R436" i="4"/>
  <c r="S436" i="4"/>
  <c r="Q436" i="4"/>
  <c r="O436" i="4"/>
  <c r="N436" i="4"/>
  <c r="P436" i="4"/>
  <c r="AW437" i="4"/>
  <c r="AV437" i="4"/>
  <c r="T450" i="4" l="1"/>
  <c r="P450" i="4"/>
  <c r="S450" i="4"/>
  <c r="O450" i="4"/>
  <c r="N450" i="4"/>
  <c r="U450" i="4"/>
  <c r="R450" i="4"/>
  <c r="Q450" i="4"/>
  <c r="AW451" i="4"/>
  <c r="AV451" i="4"/>
  <c r="AV438" i="4"/>
  <c r="AW438" i="4"/>
  <c r="U437" i="4"/>
  <c r="R437" i="4"/>
  <c r="Q437" i="4"/>
  <c r="N437" i="4"/>
  <c r="T437" i="4"/>
  <c r="S437" i="4"/>
  <c r="O437" i="4"/>
  <c r="P437" i="4"/>
  <c r="H437" i="28"/>
  <c r="G437" i="28"/>
  <c r="AA438" i="28"/>
  <c r="Z438" i="28"/>
  <c r="R451" i="4" l="1"/>
  <c r="N451" i="4"/>
  <c r="U451" i="4"/>
  <c r="Q451" i="4"/>
  <c r="T451" i="4"/>
  <c r="S451" i="4"/>
  <c r="O451" i="4"/>
  <c r="P451" i="4"/>
  <c r="AV452" i="4"/>
  <c r="AW452" i="4"/>
  <c r="AW439" i="4"/>
  <c r="AV439" i="4"/>
  <c r="N438" i="4"/>
  <c r="S438" i="4"/>
  <c r="P438" i="4"/>
  <c r="T438" i="4"/>
  <c r="O438" i="4"/>
  <c r="R438" i="4"/>
  <c r="Q438" i="4"/>
  <c r="U438" i="4"/>
  <c r="G438" i="28"/>
  <c r="H438" i="28"/>
  <c r="Z439" i="28"/>
  <c r="AA439" i="28"/>
  <c r="T452" i="4" l="1"/>
  <c r="P452" i="4"/>
  <c r="U452" i="4"/>
  <c r="O452" i="4"/>
  <c r="S452" i="4"/>
  <c r="N452" i="4"/>
  <c r="Q452" i="4"/>
  <c r="R452" i="4"/>
  <c r="AW453" i="4"/>
  <c r="AV453" i="4"/>
  <c r="H439" i="28"/>
  <c r="G439" i="28"/>
  <c r="O439" i="4"/>
  <c r="U439" i="4"/>
  <c r="S439" i="4"/>
  <c r="Q439" i="4"/>
  <c r="P439" i="4"/>
  <c r="R439" i="4"/>
  <c r="N439" i="4"/>
  <c r="T439" i="4"/>
  <c r="AW440" i="4"/>
  <c r="AV440" i="4"/>
  <c r="Z440" i="28"/>
  <c r="AA440" i="28"/>
  <c r="R453" i="4" l="1"/>
  <c r="N453" i="4"/>
  <c r="S453" i="4"/>
  <c r="Q453" i="4"/>
  <c r="O453" i="4"/>
  <c r="T453" i="4"/>
  <c r="U453" i="4"/>
  <c r="P453" i="4"/>
  <c r="AV454" i="4"/>
  <c r="AW454" i="4"/>
  <c r="P440" i="4"/>
  <c r="R440" i="4"/>
  <c r="U440" i="4"/>
  <c r="N440" i="4"/>
  <c r="T440" i="4"/>
  <c r="Q440" i="4"/>
  <c r="S440" i="4"/>
  <c r="O440" i="4"/>
  <c r="G440" i="28"/>
  <c r="H440" i="28"/>
  <c r="AA441" i="28"/>
  <c r="Z441" i="28"/>
  <c r="AW441" i="4"/>
  <c r="AV441" i="4"/>
  <c r="T454" i="4" l="1"/>
  <c r="P454" i="4"/>
  <c r="S454" i="4"/>
  <c r="O454" i="4"/>
  <c r="Q454" i="4"/>
  <c r="R454" i="4"/>
  <c r="N454" i="4"/>
  <c r="U454" i="4"/>
  <c r="AW455" i="4"/>
  <c r="AV455" i="4"/>
  <c r="AV442" i="4"/>
  <c r="AW442" i="4"/>
  <c r="P441" i="4"/>
  <c r="Q441" i="4"/>
  <c r="U441" i="4"/>
  <c r="R441" i="4"/>
  <c r="S441" i="4"/>
  <c r="O441" i="4"/>
  <c r="N441" i="4"/>
  <c r="T441" i="4"/>
  <c r="G441" i="28"/>
  <c r="H441" i="28"/>
  <c r="Z442" i="28"/>
  <c r="AA442" i="28"/>
  <c r="R455" i="4" l="1"/>
  <c r="N455" i="4"/>
  <c r="U455" i="4"/>
  <c r="Q455" i="4"/>
  <c r="O455" i="4"/>
  <c r="T455" i="4"/>
  <c r="S455" i="4"/>
  <c r="P455" i="4"/>
  <c r="AV456" i="4"/>
  <c r="AW456" i="4"/>
  <c r="AV443" i="4"/>
  <c r="AW443" i="4"/>
  <c r="H442" i="28"/>
  <c r="G442" i="28"/>
  <c r="AA443" i="28"/>
  <c r="Z443" i="28"/>
  <c r="S442" i="4"/>
  <c r="P442" i="4"/>
  <c r="N442" i="4"/>
  <c r="R442" i="4"/>
  <c r="Q442" i="4"/>
  <c r="U442" i="4"/>
  <c r="T442" i="4"/>
  <c r="O442" i="4"/>
  <c r="T456" i="4" l="1"/>
  <c r="P456" i="4"/>
  <c r="O456" i="4"/>
  <c r="S456" i="4"/>
  <c r="U456" i="4"/>
  <c r="N456" i="4"/>
  <c r="R456" i="4"/>
  <c r="Q456" i="4"/>
  <c r="AW457" i="4"/>
  <c r="AV457" i="4"/>
  <c r="G443" i="28"/>
  <c r="H443" i="28"/>
  <c r="T443" i="4"/>
  <c r="S443" i="4"/>
  <c r="O443" i="4"/>
  <c r="N443" i="4"/>
  <c r="R443" i="4"/>
  <c r="P443" i="4"/>
  <c r="Q443" i="4"/>
  <c r="U443" i="4"/>
  <c r="Z444" i="28"/>
  <c r="AA444" i="28"/>
  <c r="AW444" i="4"/>
  <c r="AV444" i="4"/>
  <c r="R457" i="4" l="1"/>
  <c r="N457" i="4"/>
  <c r="U457" i="4"/>
  <c r="Q457" i="4"/>
  <c r="S457" i="4"/>
  <c r="O457" i="4"/>
  <c r="T457" i="4"/>
  <c r="P457" i="4"/>
  <c r="AW458" i="4"/>
  <c r="AV458" i="4"/>
  <c r="H444" i="28"/>
  <c r="G444" i="28"/>
  <c r="AW445" i="4"/>
  <c r="AV445" i="4"/>
  <c r="AA445" i="28"/>
  <c r="Z445" i="28"/>
  <c r="N444" i="4"/>
  <c r="R444" i="4"/>
  <c r="Q444" i="4"/>
  <c r="T444" i="4"/>
  <c r="P444" i="4"/>
  <c r="S444" i="4"/>
  <c r="O444" i="4"/>
  <c r="U444" i="4"/>
  <c r="U458" i="4" l="1"/>
  <c r="Q458" i="4"/>
  <c r="S458" i="4"/>
  <c r="O458" i="4"/>
  <c r="T458" i="4"/>
  <c r="P458" i="4"/>
  <c r="R458" i="4"/>
  <c r="N458" i="4"/>
  <c r="H445" i="28"/>
  <c r="G445" i="28"/>
  <c r="Z446" i="28"/>
  <c r="AA446" i="28"/>
  <c r="AW446" i="4"/>
  <c r="AV446" i="4"/>
  <c r="R445" i="4"/>
  <c r="T445" i="4"/>
  <c r="Q445" i="4"/>
  <c r="N445" i="4"/>
  <c r="U445" i="4"/>
  <c r="S445" i="4"/>
  <c r="O445" i="4"/>
  <c r="P445" i="4"/>
  <c r="Z447" i="28" l="1"/>
  <c r="AA447" i="28"/>
  <c r="P446" i="4"/>
  <c r="T446" i="4"/>
  <c r="N446" i="4"/>
  <c r="S446" i="4"/>
  <c r="O446" i="4"/>
  <c r="U446" i="4"/>
  <c r="Q446" i="4"/>
  <c r="R446" i="4"/>
  <c r="H446" i="28"/>
  <c r="G446" i="28"/>
  <c r="AW459" i="4"/>
  <c r="AV459" i="4"/>
  <c r="S459" i="4" l="1"/>
  <c r="O459" i="4"/>
  <c r="Q459" i="4"/>
  <c r="T459" i="4"/>
  <c r="P459" i="4"/>
  <c r="R459" i="4"/>
  <c r="U459" i="4"/>
  <c r="N459" i="4"/>
  <c r="Z448" i="28"/>
  <c r="AA448" i="28"/>
  <c r="G447" i="28"/>
  <c r="H447" i="28"/>
  <c r="AA449" i="28" l="1"/>
  <c r="Z449" i="28"/>
  <c r="H448" i="28"/>
  <c r="G448" i="28"/>
  <c r="AA450" i="28" l="1"/>
  <c r="Z450" i="28"/>
  <c r="G449" i="28"/>
  <c r="H449" i="28"/>
  <c r="H450" i="28" l="1"/>
  <c r="G450" i="28"/>
  <c r="AA451" i="28"/>
  <c r="Z451" i="28"/>
  <c r="H451" i="28" l="1"/>
  <c r="G451" i="28"/>
  <c r="Z452" i="28"/>
  <c r="AA452" i="28"/>
  <c r="H452" i="28" l="1"/>
  <c r="G452" i="28"/>
  <c r="AA453" i="28"/>
  <c r="Z453" i="28"/>
  <c r="H453" i="28" l="1"/>
  <c r="G453" i="28"/>
  <c r="AA454" i="28"/>
  <c r="Z454" i="28"/>
  <c r="Z455" i="28" l="1"/>
  <c r="AA455" i="28"/>
  <c r="H454" i="28"/>
  <c r="G454" i="28"/>
  <c r="AA456" i="28" l="1"/>
  <c r="Z456" i="28"/>
  <c r="H455" i="28"/>
  <c r="G455" i="28"/>
  <c r="Z457" i="28" l="1"/>
  <c r="AA457" i="28"/>
  <c r="H456" i="28"/>
  <c r="G456" i="28"/>
  <c r="H457" i="28" l="1"/>
  <c r="G457" i="28"/>
  <c r="AA458" i="28"/>
  <c r="Z458" i="28"/>
  <c r="Z459" i="28" l="1"/>
  <c r="AA459" i="28"/>
  <c r="H458" i="28"/>
  <c r="G458" i="28"/>
  <c r="H459" i="28" l="1"/>
  <c r="G459" i="28"/>
  <c r="Z460" i="28"/>
  <c r="AA460" i="28"/>
  <c r="AA461" i="28" l="1"/>
  <c r="Z461" i="28"/>
  <c r="H460" i="28"/>
  <c r="G460" i="28"/>
  <c r="G461" i="28" l="1"/>
  <c r="H461" i="28"/>
  <c r="Z462" i="28"/>
  <c r="AA462" i="28"/>
  <c r="H462" i="28" l="1"/>
  <c r="G462" i="28"/>
  <c r="Z463" i="28"/>
  <c r="AA463" i="28"/>
  <c r="Z464" i="28" l="1"/>
  <c r="AA464" i="28"/>
  <c r="H463" i="28"/>
  <c r="G463" i="28"/>
  <c r="H464" i="28" l="1"/>
  <c r="G464" i="28"/>
  <c r="AA465" i="28"/>
  <c r="Z465" i="28"/>
  <c r="AA466" i="28" l="1"/>
  <c r="Z466" i="28"/>
  <c r="H465" i="28"/>
  <c r="G465" i="28"/>
  <c r="Z467" i="28" l="1"/>
  <c r="AA467" i="28"/>
  <c r="G466" i="28"/>
  <c r="H466" i="28"/>
  <c r="AA468" i="28" l="1"/>
  <c r="Z468" i="28"/>
  <c r="G467" i="28"/>
  <c r="H467" i="28"/>
  <c r="AA469" i="28" l="1"/>
  <c r="Z469" i="28"/>
  <c r="H468" i="28"/>
  <c r="G468" i="28"/>
  <c r="G469" i="28" l="1"/>
  <c r="H469" i="28"/>
  <c r="AA470" i="28"/>
  <c r="Z470" i="28"/>
  <c r="H470" i="28" l="1"/>
  <c r="G470" i="28"/>
  <c r="Z471" i="28"/>
  <c r="AA471" i="28"/>
  <c r="AA472" i="28" l="1"/>
  <c r="Z472" i="28"/>
  <c r="G471" i="28"/>
  <c r="H471" i="28"/>
  <c r="Z473" i="28" l="1"/>
  <c r="AA473" i="28"/>
  <c r="G472" i="28"/>
  <c r="H472" i="28"/>
  <c r="Z474" i="28" l="1"/>
  <c r="AA474" i="28"/>
  <c r="H473" i="28"/>
  <c r="G473" i="28"/>
  <c r="AA475" i="28" l="1"/>
  <c r="Z475" i="28"/>
  <c r="H474" i="28"/>
  <c r="G474" i="28"/>
  <c r="H475" i="28" l="1"/>
  <c r="G475" i="28"/>
  <c r="AA476" i="28"/>
  <c r="Z476" i="28"/>
  <c r="H476" i="28" l="1"/>
  <c r="G476" i="28"/>
  <c r="Z477" i="28"/>
  <c r="AA477" i="28"/>
  <c r="H477" i="28" l="1"/>
  <c r="G477" i="28"/>
  <c r="AA478" i="28"/>
  <c r="Z478" i="28"/>
  <c r="Z479" i="28" l="1"/>
  <c r="AA479" i="28"/>
  <c r="H478" i="28"/>
  <c r="G478" i="28"/>
  <c r="G479" i="28" l="1"/>
  <c r="H479" i="28"/>
  <c r="AA480" i="28"/>
  <c r="Z480" i="28"/>
  <c r="G480" i="28" l="1"/>
  <c r="H480" i="28"/>
  <c r="AA481" i="28"/>
  <c r="Z481" i="28"/>
  <c r="AA482" i="28" l="1"/>
  <c r="Z482" i="28"/>
  <c r="H481" i="28"/>
  <c r="G481" i="28"/>
  <c r="H482" i="28" l="1"/>
  <c r="G482" i="28"/>
  <c r="AA483" i="28"/>
  <c r="Z483" i="28"/>
  <c r="Z484" i="28" l="1"/>
  <c r="AA484" i="28"/>
  <c r="H483" i="28"/>
  <c r="G483" i="28"/>
  <c r="Z485" i="28" l="1"/>
  <c r="AA485" i="28"/>
  <c r="H484" i="28"/>
  <c r="G484" i="28"/>
  <c r="AA486" i="28" l="1"/>
  <c r="Z486" i="28"/>
  <c r="H485" i="28"/>
  <c r="G485" i="28"/>
  <c r="H486" i="28" l="1"/>
  <c r="G486" i="28"/>
  <c r="AA487" i="28"/>
  <c r="Z487" i="28"/>
  <c r="J235" i="59"/>
  <c r="Z488" i="28" l="1"/>
  <c r="AA488" i="28"/>
  <c r="G487" i="28"/>
  <c r="H487" i="28"/>
  <c r="G235" i="59"/>
  <c r="I26" i="58" s="1"/>
  <c r="I45" i="58" l="1"/>
  <c r="I53" i="58" s="1"/>
  <c r="I59" i="58" s="1"/>
  <c r="AA489" i="28"/>
  <c r="Z489" i="28"/>
  <c r="G488" i="28"/>
  <c r="H488" i="28"/>
  <c r="G489" i="28" l="1"/>
  <c r="H489" i="28"/>
  <c r="AA490" i="28"/>
  <c r="Z490" i="28"/>
  <c r="Z491" i="28" l="1"/>
  <c r="AA491" i="28"/>
  <c r="G490" i="28"/>
  <c r="H490" i="28"/>
  <c r="Z492" i="28" l="1"/>
  <c r="AA492" i="28"/>
  <c r="G491" i="28"/>
  <c r="H491" i="28"/>
  <c r="H492" i="28" l="1"/>
  <c r="G492" i="28"/>
  <c r="AA493" i="28"/>
  <c r="Z493" i="28"/>
  <c r="G493" i="28" l="1"/>
  <c r="H493" i="28"/>
  <c r="Z494" i="28"/>
  <c r="AA494" i="28"/>
  <c r="H494" i="28" l="1"/>
  <c r="G494" i="28"/>
  <c r="Z495" i="28"/>
  <c r="AA495" i="28"/>
  <c r="Z496" i="28" l="1"/>
  <c r="AA496" i="28"/>
  <c r="G495" i="28"/>
  <c r="H495" i="28"/>
  <c r="Z497" i="28" l="1"/>
  <c r="AA497" i="28"/>
  <c r="G496" i="28"/>
  <c r="H496" i="28"/>
  <c r="G497" i="28" l="1"/>
  <c r="H497" i="28"/>
  <c r="AA498" i="28"/>
  <c r="Z498" i="28"/>
  <c r="G498" i="28" l="1"/>
  <c r="H498" i="28"/>
  <c r="Z499" i="28"/>
  <c r="AA499" i="28"/>
  <c r="G499" i="28" l="1"/>
  <c r="H499" i="28"/>
  <c r="AA500" i="28"/>
  <c r="Z500" i="28"/>
  <c r="H500" i="28" l="1"/>
  <c r="G500" i="28"/>
  <c r="Z501" i="28"/>
  <c r="AA501" i="28"/>
  <c r="Z502" i="28" l="1"/>
  <c r="AA502" i="28"/>
  <c r="G501" i="28"/>
  <c r="H501" i="28"/>
  <c r="H502" i="28" l="1"/>
  <c r="G502" i="28"/>
  <c r="Z503" i="28"/>
  <c r="AA503" i="28"/>
  <c r="H503" i="28" l="1"/>
  <c r="G503" i="28"/>
  <c r="Z504" i="28"/>
  <c r="AA504" i="28"/>
  <c r="H504" i="28" l="1"/>
  <c r="G504" i="28"/>
  <c r="Z505" i="28"/>
  <c r="AA505" i="28"/>
  <c r="G505" i="28" l="1"/>
  <c r="H505" i="28"/>
  <c r="AA506" i="28"/>
  <c r="Z506" i="28"/>
  <c r="Z507" i="28" l="1"/>
  <c r="AA507" i="28"/>
  <c r="G506" i="28"/>
  <c r="H506" i="28"/>
  <c r="G507" i="28" l="1"/>
  <c r="H507" i="28"/>
  <c r="AA508" i="28"/>
  <c r="Z508" i="28"/>
  <c r="G508" i="28" l="1"/>
  <c r="H508" i="28"/>
  <c r="Z509" i="28"/>
  <c r="AA509" i="28"/>
  <c r="G509" i="28" l="1"/>
  <c r="H509" i="28"/>
  <c r="AA510" i="28"/>
  <c r="Z510" i="28"/>
  <c r="G510" i="28" l="1"/>
  <c r="H510" i="28"/>
  <c r="AA511" i="28"/>
  <c r="Z511" i="28"/>
  <c r="Z512" i="28" l="1"/>
  <c r="AA512" i="28"/>
  <c r="H511" i="28"/>
  <c r="G511" i="28"/>
  <c r="AA513" i="28" l="1"/>
  <c r="Z513" i="28"/>
  <c r="G512" i="28"/>
  <c r="H512" i="28"/>
  <c r="G513" i="28" l="1"/>
  <c r="H513" i="28"/>
  <c r="AA514" i="28"/>
  <c r="Z514" i="28"/>
  <c r="G514" i="28" l="1"/>
  <c r="H514" i="28"/>
  <c r="AA515" i="28"/>
  <c r="Z515" i="28"/>
  <c r="G515" i="28" l="1"/>
  <c r="H515" i="28"/>
  <c r="AA516" i="28"/>
  <c r="Z516" i="28"/>
  <c r="AA517" i="28" l="1"/>
  <c r="Z517" i="28"/>
  <c r="H516" i="28"/>
  <c r="G516" i="28"/>
  <c r="Z518" i="28" l="1"/>
  <c r="AA518" i="28"/>
  <c r="G517" i="28"/>
  <c r="H517" i="28"/>
  <c r="H518" i="28" l="1"/>
  <c r="G518" i="28"/>
  <c r="Z519" i="28"/>
  <c r="AA519" i="28"/>
  <c r="AA520" i="28" l="1"/>
  <c r="Z520" i="28"/>
  <c r="H519" i="28"/>
  <c r="G519" i="28"/>
  <c r="H520" i="28" l="1"/>
  <c r="G520" i="28"/>
  <c r="Z521" i="28"/>
  <c r="AA521" i="28"/>
  <c r="Z522" i="28" l="1"/>
  <c r="AA522" i="28"/>
  <c r="G521" i="28"/>
  <c r="H521" i="28"/>
  <c r="H522" i="28" l="1"/>
  <c r="G522" i="28"/>
  <c r="AA523" i="28"/>
  <c r="Z523" i="28"/>
  <c r="Z524" i="28" l="1"/>
  <c r="AA524" i="28"/>
  <c r="G523" i="28"/>
  <c r="H523" i="28"/>
  <c r="G524" i="28" l="1"/>
  <c r="H524" i="28"/>
  <c r="AA525" i="28"/>
  <c r="Z525" i="28"/>
  <c r="G525" i="28" l="1"/>
  <c r="H525" i="28"/>
  <c r="AA526" i="28"/>
  <c r="Z526" i="28"/>
  <c r="H526" i="28" l="1"/>
  <c r="G526" i="28"/>
  <c r="Z527" i="28"/>
  <c r="AA527" i="28"/>
  <c r="H527" i="28" l="1"/>
  <c r="G527" i="28"/>
  <c r="AA528" i="28"/>
  <c r="Z528" i="28"/>
  <c r="H528" i="28" l="1"/>
  <c r="G528" i="28"/>
  <c r="Z529" i="28"/>
  <c r="AA529" i="28"/>
  <c r="G529" i="28" l="1"/>
  <c r="H529" i="28"/>
  <c r="Z530" i="28"/>
  <c r="AA530" i="28"/>
  <c r="G530" i="28" l="1"/>
  <c r="H530" i="28"/>
  <c r="Z531" i="28"/>
  <c r="AA531" i="28"/>
  <c r="AA532" i="28" l="1"/>
  <c r="Z532" i="28"/>
  <c r="H531" i="28"/>
  <c r="G531" i="28"/>
  <c r="H532" i="28" l="1"/>
  <c r="G532" i="28"/>
  <c r="AA533" i="28"/>
  <c r="Z533" i="28"/>
  <c r="AA534" i="28" l="1"/>
  <c r="Z534" i="28"/>
  <c r="G533" i="28"/>
  <c r="H533" i="28"/>
  <c r="AA535" i="28" l="1"/>
  <c r="Z535" i="28"/>
  <c r="H534" i="28"/>
  <c r="G534" i="28"/>
  <c r="G535" i="28" l="1"/>
  <c r="H535" i="28"/>
  <c r="Z536" i="28"/>
  <c r="AA536" i="28"/>
  <c r="G536" i="28" l="1"/>
  <c r="H536" i="28"/>
  <c r="Z537" i="28"/>
  <c r="AA537" i="28"/>
  <c r="H537" i="28" l="1"/>
  <c r="G537" i="28"/>
  <c r="Z538" i="28"/>
  <c r="AA538" i="28"/>
  <c r="AA539" i="28" l="1"/>
  <c r="Z539" i="28"/>
  <c r="G538" i="28"/>
  <c r="H538" i="28"/>
  <c r="H539" i="28" l="1"/>
  <c r="G539" i="28"/>
  <c r="AA540" i="28"/>
  <c r="Z540" i="28"/>
  <c r="H540" i="28" l="1"/>
  <c r="G540" i="28"/>
  <c r="AA541" i="28"/>
  <c r="Z541" i="28"/>
  <c r="AA542" i="28" l="1"/>
  <c r="Z542" i="28"/>
  <c r="H541" i="28"/>
  <c r="G541" i="28"/>
  <c r="AA543" i="28" l="1"/>
  <c r="Z543" i="28"/>
  <c r="H542" i="28"/>
  <c r="G542" i="28"/>
  <c r="G543" i="28" l="1"/>
  <c r="H543" i="28"/>
  <c r="Z544" i="28"/>
  <c r="AA544" i="28"/>
  <c r="H544" i="28" l="1"/>
  <c r="G544" i="28"/>
  <c r="Z545" i="28"/>
  <c r="AA545" i="28"/>
  <c r="H545" i="28" l="1"/>
  <c r="G545" i="28"/>
  <c r="AA546" i="28"/>
  <c r="Z546" i="28"/>
  <c r="AA547" i="28" l="1"/>
  <c r="Z547" i="28"/>
  <c r="G546" i="28"/>
  <c r="H546" i="28"/>
  <c r="H547" i="28" l="1"/>
  <c r="G547" i="28"/>
  <c r="Z548" i="28"/>
  <c r="AA548" i="28"/>
  <c r="G548" i="28" l="1"/>
  <c r="H548" i="28"/>
  <c r="AA549" i="28"/>
  <c r="Z549" i="28"/>
  <c r="AA550" i="28" l="1"/>
  <c r="Z550" i="28"/>
  <c r="G549" i="28"/>
  <c r="H549" i="28"/>
  <c r="G550" i="28" l="1"/>
  <c r="H550" i="28"/>
  <c r="AA551" i="28"/>
  <c r="Z551" i="28"/>
  <c r="H551" i="28" l="1"/>
  <c r="G551" i="28"/>
  <c r="AA552" i="28"/>
  <c r="Z552" i="28"/>
  <c r="G552" i="28" l="1"/>
  <c r="H552" i="28"/>
  <c r="Z553" i="28"/>
  <c r="AA553" i="28"/>
  <c r="G553" i="28" l="1"/>
  <c r="H553" i="28"/>
  <c r="Z554" i="28"/>
  <c r="AA554" i="28"/>
  <c r="H554" i="28" l="1"/>
  <c r="G554" i="28"/>
  <c r="AA555" i="28"/>
  <c r="Z555" i="28"/>
  <c r="Z556" i="28" l="1"/>
  <c r="AA556" i="28"/>
  <c r="G555" i="28"/>
  <c r="H555" i="28"/>
  <c r="Z557" i="28" l="1"/>
  <c r="AA557" i="28"/>
  <c r="G556" i="28"/>
  <c r="H556" i="28"/>
  <c r="Z558" i="28" l="1"/>
  <c r="AA558" i="28"/>
  <c r="G557" i="28"/>
  <c r="H557" i="28"/>
  <c r="G558" i="28" l="1"/>
  <c r="H558" i="28"/>
  <c r="Z559" i="28"/>
  <c r="AA559" i="28"/>
  <c r="H559" i="28" l="1"/>
  <c r="G559" i="28"/>
  <c r="AA560" i="28"/>
  <c r="Z560" i="28"/>
  <c r="G560" i="28" l="1"/>
  <c r="H560" i="28"/>
  <c r="Z561" i="28"/>
  <c r="AA561" i="28"/>
  <c r="H561" i="28" l="1"/>
  <c r="G561" i="28"/>
  <c r="Z562" i="28"/>
  <c r="AA562" i="28"/>
  <c r="Z563" i="28" l="1"/>
  <c r="AA563" i="28"/>
  <c r="H562" i="28"/>
  <c r="G562" i="28"/>
  <c r="AA564" i="28" l="1"/>
  <c r="Z564" i="28"/>
  <c r="H563" i="28"/>
  <c r="G563" i="28"/>
  <c r="AA565" i="28" l="1"/>
  <c r="Z565" i="28"/>
  <c r="G564" i="28"/>
  <c r="H564" i="28"/>
  <c r="G565" i="28" l="1"/>
  <c r="H565" i="28"/>
  <c r="Z566" i="28"/>
  <c r="AA566" i="28"/>
  <c r="G566" i="28" l="1"/>
  <c r="H566" i="28"/>
  <c r="AA567" i="28"/>
  <c r="Z567" i="28"/>
  <c r="AA568" i="28" l="1"/>
  <c r="Z568" i="28"/>
  <c r="H567" i="28"/>
  <c r="G567" i="28"/>
  <c r="Z569" i="28" l="1"/>
  <c r="AA569" i="28"/>
  <c r="G568" i="28"/>
  <c r="H568" i="28"/>
  <c r="G569" i="28" l="1"/>
  <c r="H569" i="28"/>
  <c r="AA570" i="28"/>
  <c r="Z570" i="28"/>
  <c r="AA571" i="28" l="1"/>
  <c r="Z571" i="28"/>
  <c r="H570" i="28"/>
  <c r="G570" i="28"/>
  <c r="Z572" i="28" l="1"/>
  <c r="AA572" i="28"/>
  <c r="H571" i="28"/>
  <c r="G571" i="28"/>
  <c r="G572" i="28" l="1"/>
  <c r="H572" i="28"/>
  <c r="AA573" i="28"/>
  <c r="Z573" i="28"/>
  <c r="Z574" i="28" l="1"/>
  <c r="AA574" i="28"/>
  <c r="H573" i="28"/>
  <c r="G573" i="28"/>
  <c r="H574" i="28" l="1"/>
  <c r="G574" i="28"/>
  <c r="AA575" i="28"/>
  <c r="Z575" i="28"/>
  <c r="Z576" i="28" l="1"/>
  <c r="AA576" i="28"/>
  <c r="G575" i="28"/>
  <c r="H575" i="28"/>
  <c r="G576" i="28" l="1"/>
  <c r="H576" i="28"/>
  <c r="Z577" i="28"/>
  <c r="AA577" i="28"/>
  <c r="AA578" i="28" l="1"/>
  <c r="Z578" i="28"/>
  <c r="H577" i="28"/>
  <c r="G577" i="28"/>
  <c r="H578" i="28" l="1"/>
  <c r="G578" i="28"/>
  <c r="AA579" i="28"/>
  <c r="Z579" i="28"/>
  <c r="H579" i="28" l="1"/>
  <c r="G579" i="28"/>
  <c r="AA580" i="28"/>
  <c r="Z580" i="28"/>
  <c r="G580" i="28" l="1"/>
  <c r="H580" i="28"/>
  <c r="AA581" i="28"/>
  <c r="Z581" i="28"/>
  <c r="G581" i="28" l="1"/>
  <c r="H581" i="28"/>
  <c r="AA582" i="28"/>
  <c r="Z582" i="28"/>
  <c r="G582" i="28" l="1"/>
  <c r="H582" i="28"/>
  <c r="AA583" i="28"/>
  <c r="Z583" i="28"/>
  <c r="AA584" i="28" l="1"/>
  <c r="Z584" i="28"/>
  <c r="H583" i="28"/>
  <c r="G583" i="28"/>
  <c r="Z585" i="28" l="1"/>
  <c r="AA585" i="28"/>
  <c r="G584" i="28"/>
  <c r="H584" i="28"/>
  <c r="G585" i="28" l="1"/>
  <c r="H585" i="28"/>
  <c r="Z586" i="28"/>
  <c r="AA586" i="28"/>
  <c r="Z587" i="28" l="1"/>
  <c r="AA587" i="28"/>
  <c r="G586" i="28"/>
  <c r="H586" i="28"/>
  <c r="G587" i="28" l="1"/>
  <c r="H587" i="28"/>
  <c r="AA588" i="28"/>
  <c r="Z588" i="28"/>
  <c r="G588" i="28" l="1"/>
  <c r="H588" i="28"/>
  <c r="AA589" i="28"/>
  <c r="Z589" i="28"/>
  <c r="G589" i="28" l="1"/>
  <c r="H589" i="28"/>
  <c r="AA590" i="28"/>
  <c r="Z590" i="28"/>
  <c r="Z591" i="28" l="1"/>
  <c r="AA591" i="28"/>
  <c r="G590" i="28"/>
  <c r="H590" i="28"/>
  <c r="AA592" i="28" l="1"/>
  <c r="Z592" i="28"/>
  <c r="H591" i="28"/>
  <c r="G591" i="28"/>
  <c r="H592" i="28" l="1"/>
  <c r="G592" i="28"/>
  <c r="AA593" i="28"/>
  <c r="Z593" i="28"/>
  <c r="AA594" i="28" l="1"/>
  <c r="Z594" i="28"/>
  <c r="G593" i="28"/>
  <c r="H593" i="28"/>
  <c r="Z595" i="28" l="1"/>
  <c r="AA595" i="28"/>
  <c r="H594" i="28"/>
  <c r="G594" i="28"/>
  <c r="G595" i="28" l="1"/>
  <c r="H595" i="28"/>
  <c r="Z596" i="28"/>
  <c r="AA596" i="28"/>
  <c r="H596" i="28" l="1"/>
  <c r="G596" i="28"/>
  <c r="AA597" i="28"/>
  <c r="Z597" i="28"/>
  <c r="G597" i="28" l="1"/>
  <c r="H597" i="28"/>
  <c r="Z598" i="28"/>
  <c r="AA598" i="28"/>
  <c r="H598" i="28" l="1"/>
  <c r="G598" i="28"/>
  <c r="Z599" i="28"/>
  <c r="AA599" i="28"/>
  <c r="Z600" i="28" l="1"/>
  <c r="AA600" i="28"/>
  <c r="G599" i="28"/>
  <c r="H599" i="28"/>
  <c r="Z601" i="28" l="1"/>
  <c r="AA601" i="28"/>
  <c r="H600" i="28"/>
  <c r="G600" i="28"/>
  <c r="G601" i="28" l="1"/>
  <c r="H601" i="28"/>
  <c r="Z602" i="28"/>
  <c r="AA602" i="28"/>
  <c r="G602" i="28" l="1"/>
  <c r="H602" i="28"/>
  <c r="Z603" i="28"/>
  <c r="AA603" i="28"/>
  <c r="Z604" i="28" l="1"/>
  <c r="AA604" i="28"/>
  <c r="G603" i="28"/>
  <c r="H603" i="28"/>
  <c r="Z605" i="28" l="1"/>
  <c r="AA605" i="28"/>
  <c r="G604" i="28"/>
  <c r="H604" i="28"/>
  <c r="AA606" i="28" l="1"/>
  <c r="Z606" i="28"/>
  <c r="H605" i="28"/>
  <c r="G605" i="28"/>
  <c r="G606" i="28" l="1"/>
  <c r="H606" i="28"/>
  <c r="Z607" i="28"/>
  <c r="AA607" i="28"/>
  <c r="H607" i="28" l="1"/>
  <c r="G607" i="28"/>
  <c r="Z608" i="28"/>
  <c r="AA608" i="28"/>
  <c r="G608" i="28" l="1"/>
  <c r="H608" i="28"/>
  <c r="Z609" i="28"/>
  <c r="AA609" i="28"/>
  <c r="H609" i="28" l="1"/>
  <c r="G609" i="28"/>
  <c r="Z610" i="28"/>
  <c r="AA610" i="28"/>
  <c r="Z611" i="28" l="1"/>
  <c r="AA611" i="28"/>
  <c r="H610" i="28"/>
  <c r="G610" i="28"/>
  <c r="Z612" i="28" l="1"/>
  <c r="AA612" i="28"/>
  <c r="H611" i="28"/>
  <c r="G611" i="28"/>
  <c r="Z613" i="28" l="1"/>
  <c r="AA613" i="28"/>
  <c r="G612" i="28"/>
  <c r="H612" i="28"/>
  <c r="H613" i="28" l="1"/>
  <c r="G613" i="28"/>
  <c r="Z614" i="28"/>
  <c r="AA614" i="28"/>
  <c r="H614" i="28" l="1"/>
  <c r="G614" i="28"/>
  <c r="Z615" i="28"/>
  <c r="AA615" i="28"/>
  <c r="H615" i="28" l="1"/>
  <c r="G615" i="28"/>
  <c r="Z616" i="28"/>
  <c r="AA616" i="28"/>
  <c r="AA617" i="28" l="1"/>
  <c r="Z617" i="28"/>
  <c r="G616" i="28"/>
  <c r="H616" i="28"/>
  <c r="H617" i="28" l="1"/>
  <c r="G617" i="28"/>
  <c r="Z618" i="28"/>
  <c r="AA618" i="28"/>
  <c r="G618" i="28" l="1"/>
  <c r="H618" i="28"/>
  <c r="AA619" i="28"/>
  <c r="Z619" i="28"/>
  <c r="Z620" i="28" l="1"/>
  <c r="AA620" i="28"/>
  <c r="H619" i="28"/>
  <c r="G619" i="28"/>
  <c r="Z621" i="28" l="1"/>
  <c r="AA621" i="28"/>
  <c r="G620" i="28"/>
  <c r="H620" i="28"/>
  <c r="G621" i="28" l="1"/>
  <c r="H621" i="28"/>
  <c r="AA622" i="28"/>
  <c r="Z622" i="28"/>
  <c r="AA623" i="28" l="1"/>
  <c r="Z623" i="28"/>
  <c r="G622" i="28"/>
  <c r="H622" i="28"/>
  <c r="H623" i="28" l="1"/>
  <c r="G623" i="28"/>
  <c r="AA624" i="28"/>
  <c r="Z624" i="28"/>
  <c r="G624" i="28" l="1"/>
  <c r="H624" i="28"/>
  <c r="AA625" i="28"/>
  <c r="Z625" i="28"/>
  <c r="G625" i="28" l="1"/>
  <c r="H625" i="28"/>
  <c r="AA626" i="28"/>
  <c r="Z626" i="28"/>
  <c r="H626" i="28" l="1"/>
  <c r="G626" i="28"/>
  <c r="AA627" i="28"/>
  <c r="Z627" i="28"/>
  <c r="H627" i="28" l="1"/>
  <c r="G627" i="28"/>
  <c r="AA628" i="28"/>
  <c r="Z628" i="28"/>
  <c r="Z629" i="28" l="1"/>
  <c r="AA629" i="28"/>
  <c r="G628" i="28"/>
  <c r="H628" i="28"/>
  <c r="H629" i="28" l="1"/>
  <c r="G629" i="28"/>
  <c r="AA630" i="28"/>
  <c r="Z630" i="28"/>
  <c r="Z631" i="28" l="1"/>
  <c r="AA631" i="28"/>
  <c r="H630" i="28"/>
  <c r="G630" i="28"/>
  <c r="H631" i="28" l="1"/>
  <c r="G631" i="28"/>
  <c r="Z632" i="28"/>
  <c r="AA632" i="28"/>
  <c r="G632" i="28" l="1"/>
  <c r="H632" i="28"/>
  <c r="AA633" i="28"/>
  <c r="Z633" i="28"/>
  <c r="H633" i="28" l="1"/>
  <c r="G633" i="28"/>
  <c r="Z634" i="28"/>
  <c r="AA634" i="28"/>
  <c r="G634" i="28" l="1"/>
  <c r="H634" i="28"/>
  <c r="Z635" i="28"/>
  <c r="AA635" i="28"/>
  <c r="G635" i="28" l="1"/>
  <c r="H635" i="28"/>
  <c r="AA636" i="28"/>
  <c r="Z636" i="28"/>
  <c r="Z637" i="28" l="1"/>
  <c r="AA637" i="28"/>
  <c r="G636" i="28"/>
  <c r="H636" i="28"/>
  <c r="AA638" i="28" l="1"/>
  <c r="Z638" i="28"/>
  <c r="H637" i="28"/>
  <c r="G637" i="28"/>
  <c r="G638" i="28" l="1"/>
  <c r="H638" i="28"/>
  <c r="AA639" i="28"/>
  <c r="Z639" i="28"/>
  <c r="Z640" i="28" l="1"/>
  <c r="AA640" i="28"/>
  <c r="G639" i="28"/>
  <c r="H639" i="28"/>
  <c r="H640" i="28" l="1"/>
  <c r="G640" i="28"/>
  <c r="AA641" i="28"/>
  <c r="Z641" i="28"/>
  <c r="AA642" i="28" l="1"/>
  <c r="Z642" i="28"/>
  <c r="G641" i="28"/>
  <c r="H641" i="28"/>
  <c r="AA643" i="28" l="1"/>
  <c r="Z643" i="28"/>
  <c r="G642" i="28"/>
  <c r="H642" i="28"/>
  <c r="H643" i="28" l="1"/>
  <c r="G643" i="28"/>
  <c r="AA644" i="28"/>
  <c r="Z644" i="28"/>
  <c r="G644" i="28" l="1"/>
  <c r="H644" i="28"/>
  <c r="Z645" i="28"/>
  <c r="AA645" i="28"/>
  <c r="G645" i="28" l="1"/>
  <c r="H645" i="28"/>
  <c r="AA646" i="28"/>
  <c r="Z646" i="28"/>
  <c r="G646" i="28" l="1"/>
  <c r="H646" i="28"/>
  <c r="Z647" i="28"/>
  <c r="AA647" i="28"/>
  <c r="G647" i="28" l="1"/>
  <c r="H647" i="28"/>
  <c r="Z648" i="28"/>
  <c r="AA648" i="28"/>
  <c r="G648" i="28" l="1"/>
  <c r="H648" i="28"/>
  <c r="AA649" i="28"/>
  <c r="Z649" i="28"/>
  <c r="G649" i="28" l="1"/>
  <c r="H649" i="28"/>
  <c r="Z650" i="28"/>
  <c r="AA650" i="28"/>
  <c r="H650" i="28" l="1"/>
  <c r="G650" i="28"/>
  <c r="AA651" i="28"/>
  <c r="Z651" i="28"/>
  <c r="H651" i="28" l="1"/>
  <c r="G651" i="28"/>
  <c r="Z652" i="28"/>
  <c r="AA652" i="28"/>
  <c r="AA653" i="28" l="1"/>
  <c r="Z653" i="28"/>
  <c r="H652" i="28"/>
  <c r="G652" i="28"/>
  <c r="AA654" i="28" l="1"/>
  <c r="Z654" i="28"/>
  <c r="H653" i="28"/>
  <c r="G653" i="28"/>
  <c r="G654" i="28" l="1"/>
  <c r="H654" i="28"/>
  <c r="Z655" i="28"/>
  <c r="AA655" i="28"/>
  <c r="Z656" i="28" l="1"/>
  <c r="AA656" i="28"/>
  <c r="G655" i="28"/>
  <c r="H655" i="28"/>
  <c r="AA657" i="28" l="1"/>
  <c r="Z657" i="28"/>
  <c r="H656" i="28"/>
  <c r="G656" i="28"/>
  <c r="Z658" i="28" l="1"/>
  <c r="AA658" i="28"/>
  <c r="H657" i="28"/>
  <c r="G657" i="28"/>
  <c r="H658" i="28" l="1"/>
  <c r="G658" i="28"/>
  <c r="AA659" i="28"/>
  <c r="Z659" i="28"/>
  <c r="H659" i="28" l="1"/>
  <c r="G659" i="28"/>
  <c r="AA660" i="28"/>
  <c r="Z660" i="28"/>
  <c r="G660" i="28" l="1"/>
  <c r="H660" i="28"/>
  <c r="AA661" i="28"/>
  <c r="Z661" i="28"/>
  <c r="H661" i="28" l="1"/>
  <c r="G661" i="28"/>
  <c r="AA662" i="28"/>
  <c r="Z662" i="28"/>
  <c r="Z663" i="28" l="1"/>
  <c r="AA663" i="28"/>
  <c r="H662" i="28"/>
  <c r="G662" i="28"/>
  <c r="Z664" i="28" l="1"/>
  <c r="AA664" i="28"/>
  <c r="H663" i="28"/>
  <c r="G663" i="28"/>
  <c r="G664" i="28" l="1"/>
  <c r="H664" i="28"/>
  <c r="AA665" i="28"/>
  <c r="Z665" i="28"/>
  <c r="Z666" i="28" l="1"/>
  <c r="AA666" i="28"/>
  <c r="G665" i="28"/>
  <c r="H665" i="28"/>
  <c r="AA667" i="28" l="1"/>
  <c r="Z667" i="28"/>
  <c r="H666" i="28"/>
  <c r="G666" i="28"/>
  <c r="H667" i="28" l="1"/>
  <c r="G667" i="28"/>
  <c r="AA668" i="28"/>
  <c r="Z668" i="28"/>
  <c r="Z669" i="28" l="1"/>
  <c r="AA669" i="28"/>
  <c r="G668" i="28"/>
  <c r="H668" i="28"/>
  <c r="G669" i="28" l="1"/>
  <c r="H669" i="28"/>
  <c r="Z670" i="28"/>
  <c r="AA670" i="28"/>
  <c r="AA671" i="28" l="1"/>
  <c r="Z671" i="28"/>
  <c r="G670" i="28"/>
  <c r="H670" i="28"/>
  <c r="G671" i="28" l="1"/>
  <c r="H671" i="28"/>
  <c r="AA672" i="28"/>
  <c r="Z672" i="28"/>
  <c r="G672" i="28" l="1"/>
  <c r="H672" i="28"/>
  <c r="AA673" i="28"/>
  <c r="Z673" i="28"/>
  <c r="G673" i="28" l="1"/>
  <c r="H673" i="28"/>
  <c r="AA674" i="28"/>
  <c r="Z674" i="28"/>
  <c r="H674" i="28" l="1"/>
  <c r="G674" i="28"/>
  <c r="Z675" i="28"/>
  <c r="AA675" i="28"/>
  <c r="Z676" i="28" l="1"/>
  <c r="AA676" i="28"/>
  <c r="H675" i="28"/>
  <c r="G675" i="28"/>
  <c r="H676" i="28" l="1"/>
  <c r="G676" i="28"/>
  <c r="AA677" i="28"/>
  <c r="Z677" i="28"/>
  <c r="AA678" i="28" l="1"/>
  <c r="Z678" i="28"/>
  <c r="H677" i="28"/>
  <c r="G677" i="28"/>
  <c r="AA679" i="28" l="1"/>
  <c r="Z679" i="28"/>
  <c r="G678" i="28"/>
  <c r="H678" i="28"/>
  <c r="AA680" i="28" l="1"/>
  <c r="Z680" i="28"/>
  <c r="H679" i="28"/>
  <c r="G679" i="28"/>
  <c r="H680" i="28" l="1"/>
  <c r="G680" i="28"/>
  <c r="Z681" i="28"/>
  <c r="AA681" i="28"/>
  <c r="G681" i="28" l="1"/>
  <c r="H681" i="28"/>
  <c r="AA682" i="28"/>
  <c r="Z682" i="28"/>
  <c r="G682" i="28" l="1"/>
  <c r="H682" i="28"/>
  <c r="AA683" i="28"/>
  <c r="Z683" i="28"/>
  <c r="H683" i="28" l="1"/>
  <c r="G683" i="28"/>
  <c r="AA684" i="28"/>
  <c r="Z684" i="28"/>
  <c r="H684" i="28" l="1"/>
  <c r="G684" i="28"/>
  <c r="AA685" i="28"/>
  <c r="Z685" i="28"/>
  <c r="Z686" i="28" l="1"/>
  <c r="AA686" i="28"/>
  <c r="H685" i="28"/>
  <c r="G685" i="28"/>
  <c r="AA687" i="28" l="1"/>
  <c r="Z687" i="28"/>
  <c r="G686" i="28"/>
  <c r="H686" i="28"/>
  <c r="Z688" i="28" l="1"/>
  <c r="AA688" i="28"/>
  <c r="H687" i="28"/>
  <c r="G687" i="28"/>
  <c r="G688" i="28" l="1"/>
  <c r="H688" i="28"/>
  <c r="Z689" i="28"/>
  <c r="AA689" i="28"/>
  <c r="AA690" i="28" l="1"/>
  <c r="Z690" i="28"/>
  <c r="H689" i="28"/>
  <c r="G689" i="28"/>
  <c r="AA691" i="28" l="1"/>
  <c r="Z691" i="28"/>
  <c r="H690" i="28"/>
  <c r="G690" i="28"/>
  <c r="Z692" i="28" l="1"/>
  <c r="AA692" i="28"/>
  <c r="H691" i="28"/>
  <c r="G691" i="28"/>
  <c r="G692" i="28" l="1"/>
  <c r="H692" i="28"/>
  <c r="Z693" i="28"/>
  <c r="AA693" i="28"/>
  <c r="H693" i="28" l="1"/>
  <c r="G693" i="28"/>
  <c r="AA694" i="28"/>
  <c r="Z694" i="28"/>
  <c r="G694" i="28" l="1"/>
  <c r="H694" i="28"/>
  <c r="Z695" i="28"/>
  <c r="AA695" i="28"/>
  <c r="H695" i="28" l="1"/>
  <c r="G695" i="28"/>
  <c r="AA696" i="28"/>
  <c r="Z696" i="28"/>
  <c r="Z697" i="28" l="1"/>
  <c r="AA697" i="28"/>
  <c r="H696" i="28"/>
  <c r="G696" i="28"/>
  <c r="H697" i="28" l="1"/>
  <c r="G697" i="28"/>
  <c r="AA698" i="28"/>
  <c r="Z698" i="28"/>
  <c r="AA699" i="28" l="1"/>
  <c r="Z699" i="28"/>
  <c r="H698" i="28"/>
  <c r="G698" i="28"/>
  <c r="AA700" i="28" l="1"/>
  <c r="Z700" i="28"/>
  <c r="H699" i="28"/>
  <c r="G699" i="28"/>
  <c r="AA701" i="28" l="1"/>
  <c r="Z701" i="28"/>
  <c r="H700" i="28"/>
  <c r="G700" i="28"/>
  <c r="Z702" i="28" l="1"/>
  <c r="AA702" i="28"/>
  <c r="G701" i="28"/>
  <c r="H701" i="28"/>
  <c r="G702" i="28" l="1"/>
  <c r="H702" i="28"/>
  <c r="Z703" i="28"/>
  <c r="AA703" i="28"/>
  <c r="AA704" i="28" l="1"/>
  <c r="Z704" i="28"/>
  <c r="G703" i="28"/>
  <c r="H703" i="28"/>
  <c r="Z705" i="28" l="1"/>
  <c r="AA705" i="28"/>
  <c r="H704" i="28"/>
  <c r="G704" i="28"/>
  <c r="AA706" i="28" l="1"/>
  <c r="Z706" i="28"/>
  <c r="G705" i="28"/>
  <c r="H705" i="28"/>
  <c r="G706" i="28" l="1"/>
  <c r="H706" i="28"/>
  <c r="AA707" i="28"/>
  <c r="Z707" i="28"/>
  <c r="H707" i="28" l="1"/>
  <c r="G707" i="28"/>
  <c r="AA708" i="28"/>
  <c r="Z708" i="28"/>
  <c r="Z709" i="28" l="1"/>
  <c r="AA709" i="28"/>
  <c r="G708" i="28"/>
  <c r="H708" i="28"/>
  <c r="G709" i="28" l="1"/>
  <c r="H709" i="28"/>
  <c r="Z710" i="28"/>
  <c r="AA710" i="28"/>
  <c r="G710" i="28" l="1"/>
  <c r="H710" i="28"/>
  <c r="Z711" i="28"/>
  <c r="AA711" i="28"/>
  <c r="Z712" i="28" l="1"/>
  <c r="AA712" i="28"/>
  <c r="G711" i="28"/>
  <c r="H711" i="28"/>
  <c r="AA713" i="28" l="1"/>
  <c r="Z713" i="28"/>
  <c r="G712" i="28"/>
  <c r="H712" i="28"/>
  <c r="AA714" i="28" l="1"/>
  <c r="Z714" i="28"/>
  <c r="H713" i="28"/>
  <c r="G713" i="28"/>
  <c r="H714" i="28" l="1"/>
  <c r="G714" i="28"/>
  <c r="AA715" i="28"/>
  <c r="Z715" i="28"/>
  <c r="H715" i="28" l="1"/>
  <c r="G715" i="28"/>
  <c r="AA716" i="28"/>
  <c r="Z716" i="28"/>
  <c r="AA717" i="28" l="1"/>
  <c r="Z717" i="28"/>
  <c r="G716" i="28"/>
  <c r="H716" i="28"/>
  <c r="Z718" i="28" l="1"/>
  <c r="AA718" i="28"/>
  <c r="H717" i="28"/>
  <c r="G717" i="28"/>
  <c r="Z719" i="28" l="1"/>
  <c r="AA719" i="28"/>
  <c r="G718" i="28"/>
  <c r="H718" i="28"/>
  <c r="Z720" i="28" l="1"/>
  <c r="AA720" i="28"/>
  <c r="H719" i="28"/>
  <c r="G719" i="28"/>
  <c r="AA721" i="28" l="1"/>
  <c r="Z721" i="28"/>
  <c r="G720" i="28"/>
  <c r="H720" i="28"/>
  <c r="AA722" i="28" l="1"/>
  <c r="Z722" i="28"/>
  <c r="H721" i="28"/>
  <c r="G721" i="28"/>
  <c r="AA723" i="28" l="1"/>
  <c r="Z723" i="28"/>
  <c r="H722" i="28"/>
  <c r="G722" i="28"/>
  <c r="Z724" i="28" l="1"/>
  <c r="AA724" i="28"/>
  <c r="G723" i="28"/>
  <c r="H723" i="28"/>
  <c r="Z725" i="28" l="1"/>
  <c r="AA725" i="28"/>
  <c r="G724" i="28"/>
  <c r="H724" i="28"/>
  <c r="H725" i="28" l="1"/>
  <c r="G725" i="28"/>
  <c r="AA726" i="28"/>
  <c r="Z726" i="28"/>
  <c r="Z727" i="28" l="1"/>
  <c r="AA727" i="28"/>
  <c r="G726" i="28"/>
  <c r="H726" i="28"/>
  <c r="G727" i="28" l="1"/>
  <c r="H727" i="28"/>
  <c r="AA728" i="28"/>
  <c r="Z728" i="28"/>
  <c r="Z729" i="28" l="1"/>
  <c r="AA729" i="28"/>
  <c r="H728" i="28"/>
  <c r="G728" i="28"/>
  <c r="G729" i="28" l="1"/>
  <c r="H729" i="28"/>
  <c r="Z730" i="28"/>
  <c r="AA730" i="28"/>
  <c r="H730" i="28" l="1"/>
  <c r="G730" i="28"/>
  <c r="Z731" i="28"/>
  <c r="AA731" i="28"/>
  <c r="G731" i="28" l="1"/>
  <c r="H731" i="28"/>
  <c r="AA732" i="28"/>
  <c r="Z732" i="28"/>
  <c r="G732" i="28" l="1"/>
  <c r="H732" i="28"/>
  <c r="Z733" i="28"/>
  <c r="AA733" i="28"/>
  <c r="H733" i="28" l="1"/>
  <c r="G733" i="28"/>
  <c r="AA734" i="28"/>
  <c r="Z734" i="28"/>
  <c r="H734" i="28" l="1"/>
  <c r="G734" i="28"/>
  <c r="AA735" i="28"/>
  <c r="Z735" i="28"/>
  <c r="G735" i="28" l="1"/>
  <c r="H735" i="28"/>
  <c r="AA736" i="28"/>
  <c r="Z736" i="28"/>
  <c r="AA737" i="28" l="1"/>
  <c r="Z737" i="28"/>
  <c r="G736" i="28"/>
  <c r="H736" i="28"/>
  <c r="H737" i="28" l="1"/>
  <c r="G737" i="28"/>
  <c r="Z738" i="28"/>
  <c r="AA738" i="28"/>
  <c r="Z739" i="28" l="1"/>
  <c r="AA739" i="28"/>
  <c r="H738" i="28"/>
  <c r="G738" i="28"/>
  <c r="AA740" i="28" l="1"/>
  <c r="Z740" i="28"/>
  <c r="H739" i="28"/>
  <c r="G739" i="28"/>
  <c r="Z741" i="28" l="1"/>
  <c r="AA741" i="28"/>
  <c r="G740" i="28"/>
  <c r="H740" i="28"/>
  <c r="Z742" i="28" l="1"/>
  <c r="AA742" i="28"/>
  <c r="G741" i="28"/>
  <c r="H741" i="28"/>
  <c r="H742" i="28" l="1"/>
  <c r="G742" i="28"/>
  <c r="Z743" i="28"/>
  <c r="AA743" i="28"/>
  <c r="H743" i="28" l="1"/>
  <c r="G743" i="28"/>
  <c r="AA744" i="28"/>
  <c r="Z744" i="28"/>
  <c r="G744" i="28" l="1"/>
  <c r="H744" i="28"/>
  <c r="AA745" i="28"/>
  <c r="Z745" i="28"/>
  <c r="G745" i="28" l="1"/>
  <c r="H745" i="28"/>
  <c r="AA746" i="28"/>
  <c r="Z746" i="28"/>
  <c r="H746" i="28" l="1"/>
  <c r="G746" i="28"/>
  <c r="AA747" i="28"/>
  <c r="Z747" i="28"/>
  <c r="H747" i="28" l="1"/>
  <c r="G747" i="28"/>
  <c r="AA748" i="28"/>
  <c r="Z748" i="28"/>
  <c r="G748" i="28" l="1"/>
  <c r="H748" i="28"/>
  <c r="AA749" i="28"/>
  <c r="Z749" i="28"/>
  <c r="G749" i="28" l="1"/>
  <c r="H749" i="28"/>
  <c r="Z750" i="28"/>
  <c r="AA750" i="28"/>
  <c r="H750" i="28" l="1"/>
  <c r="G750" i="28"/>
  <c r="AA751" i="28"/>
  <c r="Z751" i="28"/>
  <c r="AA752" i="28" l="1"/>
  <c r="Z752" i="28"/>
  <c r="G751" i="28"/>
  <c r="H751" i="28"/>
  <c r="Z753" i="28" l="1"/>
  <c r="AA753" i="28"/>
  <c r="G752" i="28"/>
  <c r="H752" i="28"/>
  <c r="H753" i="28" l="1"/>
  <c r="G753" i="28"/>
  <c r="Z754" i="28"/>
  <c r="AA754" i="28"/>
  <c r="Z755" i="28" l="1"/>
  <c r="AA755" i="28"/>
  <c r="G754" i="28"/>
  <c r="H754" i="28"/>
  <c r="G755" i="28" l="1"/>
  <c r="H755" i="28"/>
  <c r="Z756" i="28"/>
  <c r="AA756" i="28"/>
  <c r="H756" i="28" l="1"/>
  <c r="G756" i="28"/>
  <c r="AA757" i="28"/>
  <c r="Z757" i="28"/>
  <c r="Z758" i="28" l="1"/>
  <c r="AA758" i="28"/>
  <c r="G757" i="28"/>
  <c r="H757" i="28"/>
  <c r="H758" i="28" l="1"/>
  <c r="G758" i="28"/>
  <c r="AA759" i="28"/>
  <c r="Z759" i="28"/>
  <c r="AA760" i="28" l="1"/>
  <c r="Z760" i="28"/>
  <c r="G759" i="28"/>
  <c r="H759" i="28"/>
  <c r="AA761" i="28" l="1"/>
  <c r="Z761" i="28"/>
  <c r="G760" i="28"/>
  <c r="H760" i="28"/>
  <c r="H761" i="28" l="1"/>
  <c r="G761" i="28"/>
  <c r="Z762" i="28"/>
  <c r="AA762" i="28"/>
  <c r="G762" i="28" l="1"/>
  <c r="H762" i="28"/>
  <c r="Z763" i="28"/>
  <c r="AA763" i="28"/>
  <c r="AA764" i="28" l="1"/>
  <c r="Z764" i="28"/>
  <c r="G763" i="28"/>
  <c r="H763" i="28"/>
  <c r="AA765" i="28" l="1"/>
  <c r="Z765" i="28"/>
  <c r="G764" i="28"/>
  <c r="H764" i="28"/>
  <c r="H765" i="28" l="1"/>
  <c r="G765" i="28"/>
  <c r="AA766" i="28"/>
  <c r="Z766" i="28"/>
  <c r="Z767" i="28" l="1"/>
  <c r="AA767" i="28"/>
  <c r="G766" i="28"/>
  <c r="H766" i="28"/>
  <c r="Z768" i="28" l="1"/>
  <c r="AA768" i="28"/>
  <c r="H767" i="28"/>
  <c r="G767" i="28"/>
  <c r="AA769" i="28" l="1"/>
  <c r="Z769" i="28"/>
  <c r="G768" i="28"/>
  <c r="H768" i="28"/>
  <c r="H769" i="28" l="1"/>
  <c r="G769" i="28"/>
  <c r="AA770" i="28"/>
  <c r="Z770" i="28"/>
  <c r="H770" i="28" l="1"/>
  <c r="G770" i="28"/>
  <c r="AA771" i="28"/>
  <c r="Z771" i="28"/>
  <c r="G771" i="28" l="1"/>
  <c r="H771" i="28"/>
  <c r="Z772" i="28"/>
  <c r="AA772" i="28"/>
  <c r="Z773" i="28" l="1"/>
  <c r="AA773" i="28"/>
  <c r="G772" i="28"/>
  <c r="H772" i="28"/>
  <c r="G773" i="28" l="1"/>
  <c r="H773" i="28"/>
  <c r="Z774" i="28"/>
  <c r="AA774" i="28"/>
  <c r="H774" i="28" l="1"/>
  <c r="G774" i="28"/>
  <c r="AA775" i="28"/>
  <c r="Z775" i="28"/>
  <c r="Z776" i="28" l="1"/>
  <c r="AA776" i="28"/>
  <c r="G775" i="28"/>
  <c r="H775" i="28"/>
  <c r="Z777" i="28" l="1"/>
  <c r="AA777" i="28"/>
  <c r="H776" i="28"/>
  <c r="G776" i="28"/>
  <c r="Z778" i="28" l="1"/>
  <c r="AA778" i="28"/>
  <c r="H777" i="28"/>
  <c r="G777" i="28"/>
  <c r="G778" i="28" l="1"/>
  <c r="H778" i="28"/>
  <c r="Z779" i="28"/>
  <c r="AA779" i="28"/>
  <c r="H779" i="28" l="1"/>
  <c r="G779" i="28"/>
  <c r="AA780" i="28"/>
  <c r="Z780" i="28"/>
  <c r="Z781" i="28" l="1"/>
  <c r="AA781" i="28"/>
  <c r="H780" i="28"/>
  <c r="G780" i="28"/>
  <c r="Z782" i="28" l="1"/>
  <c r="AA782" i="28"/>
  <c r="G781" i="28"/>
  <c r="H781" i="28"/>
  <c r="G782" i="28" l="1"/>
  <c r="H782" i="28"/>
  <c r="Z783" i="28"/>
  <c r="AA783" i="28"/>
  <c r="G783" i="28" l="1"/>
  <c r="H783" i="28"/>
  <c r="Z784" i="28"/>
  <c r="AA784" i="28"/>
  <c r="G784" i="28" l="1"/>
  <c r="H784" i="28"/>
  <c r="AA785" i="28"/>
  <c r="Z785" i="28"/>
  <c r="G785" i="28" l="1"/>
  <c r="H785" i="28"/>
  <c r="Z786" i="28"/>
  <c r="AA786" i="28"/>
  <c r="AA787" i="28" l="1"/>
  <c r="Z787" i="28"/>
  <c r="H786" i="28"/>
  <c r="G786" i="28"/>
  <c r="H787" i="28" l="1"/>
  <c r="G787" i="28"/>
  <c r="AA788" i="28"/>
  <c r="Z788" i="28"/>
  <c r="Z789" i="28" l="1"/>
  <c r="AA789" i="28"/>
  <c r="H788" i="28"/>
  <c r="G788" i="28"/>
  <c r="Z790" i="28" l="1"/>
  <c r="AA790" i="28"/>
  <c r="G789" i="28"/>
  <c r="H789" i="28"/>
  <c r="Z791" i="28" l="1"/>
  <c r="AA791" i="28"/>
  <c r="G790" i="28"/>
  <c r="H790" i="28"/>
  <c r="G791" i="28" l="1"/>
  <c r="H791" i="28"/>
  <c r="AA792" i="28"/>
  <c r="Z792" i="28"/>
  <c r="G792" i="28" l="1"/>
  <c r="H792" i="28"/>
  <c r="Z793" i="28"/>
  <c r="AA793" i="28"/>
  <c r="G793" i="28" l="1"/>
  <c r="H793" i="28"/>
  <c r="Z794" i="28"/>
  <c r="AA794" i="28"/>
  <c r="Z795" i="28" l="1"/>
  <c r="AA795" i="28"/>
  <c r="H794" i="28"/>
  <c r="G794" i="28"/>
  <c r="G795" i="28" l="1"/>
  <c r="H795" i="28"/>
  <c r="Z796" i="28"/>
  <c r="AA796" i="28"/>
  <c r="AA797" i="28" l="1"/>
  <c r="Z797" i="28"/>
  <c r="G796" i="28"/>
  <c r="H796" i="28"/>
  <c r="AA798" i="28" l="1"/>
  <c r="Z798" i="28"/>
  <c r="H797" i="28"/>
  <c r="G797" i="28"/>
  <c r="H798" i="28" l="1"/>
  <c r="G798" i="28"/>
  <c r="Z799" i="28"/>
  <c r="AA799" i="28"/>
  <c r="G799" i="28" l="1"/>
  <c r="H799" i="28"/>
  <c r="Z800" i="28"/>
  <c r="AA800" i="28"/>
  <c r="G800" i="28" l="1"/>
  <c r="H800" i="28"/>
  <c r="Z801" i="28"/>
  <c r="AA801" i="28"/>
  <c r="Z802" i="28" l="1"/>
  <c r="AA802" i="28"/>
  <c r="G801" i="28"/>
  <c r="H801" i="28"/>
  <c r="G802" i="28" l="1"/>
  <c r="H802" i="28"/>
  <c r="Z803" i="28"/>
  <c r="AA803" i="28"/>
  <c r="H803" i="28" l="1"/>
  <c r="G803" i="28"/>
  <c r="AA804" i="28"/>
  <c r="Z804" i="28"/>
  <c r="G804" i="28" l="1"/>
  <c r="H804" i="28"/>
  <c r="Z805" i="28"/>
  <c r="AA805" i="28"/>
  <c r="H805" i="28" l="1"/>
  <c r="G805" i="28"/>
  <c r="Z806" i="28"/>
  <c r="AA806" i="28"/>
  <c r="G806" i="28" l="1"/>
  <c r="H806" i="28"/>
  <c r="Z807" i="28"/>
  <c r="AA807" i="28"/>
  <c r="H807" i="28" l="1"/>
  <c r="G807" i="28"/>
  <c r="AA808" i="28"/>
  <c r="Z808" i="28"/>
  <c r="H808" i="28" l="1"/>
  <c r="G808" i="28"/>
  <c r="Z809" i="28"/>
  <c r="AA809" i="28"/>
  <c r="G809" i="28" l="1"/>
  <c r="H809" i="28"/>
  <c r="AA810" i="28"/>
  <c r="Z810" i="28"/>
  <c r="H810" i="28" l="1"/>
  <c r="G810" i="28"/>
  <c r="Z811" i="28"/>
  <c r="AA811" i="28"/>
  <c r="Z812" i="28" l="1"/>
  <c r="AA812" i="28"/>
  <c r="H811" i="28"/>
  <c r="G811" i="28"/>
  <c r="Z813" i="28" l="1"/>
  <c r="AA813" i="28"/>
  <c r="G812" i="28"/>
  <c r="H812" i="28"/>
  <c r="G813" i="28" l="1"/>
  <c r="H813" i="28"/>
  <c r="Z814" i="28"/>
  <c r="AA814" i="28"/>
  <c r="H814" i="28" l="1"/>
  <c r="G814" i="28"/>
  <c r="AA815" i="28"/>
  <c r="Z815" i="28"/>
  <c r="G815" i="28" l="1"/>
  <c r="H815" i="28"/>
  <c r="Z816" i="28"/>
  <c r="AA816" i="28"/>
  <c r="H816" i="28" l="1"/>
  <c r="G816" i="28"/>
  <c r="Z817" i="28"/>
  <c r="AA817" i="28"/>
  <c r="G817" i="28" l="1"/>
  <c r="H817" i="28"/>
  <c r="Z818" i="28"/>
  <c r="AA818" i="28"/>
  <c r="G818" i="28" l="1"/>
  <c r="H818" i="28"/>
  <c r="Z819" i="28"/>
  <c r="AA819" i="28"/>
  <c r="G819" i="28" l="1"/>
  <c r="H819" i="28"/>
  <c r="Z820" i="28"/>
  <c r="AA820" i="28"/>
  <c r="Z821" i="28" l="1"/>
  <c r="AA821" i="28"/>
  <c r="G820" i="28"/>
  <c r="H820" i="28"/>
  <c r="AA822" i="28" l="1"/>
  <c r="Z822" i="28"/>
  <c r="G821" i="28"/>
  <c r="H821" i="28"/>
  <c r="AA823" i="28" l="1"/>
  <c r="Z823" i="28"/>
  <c r="H822" i="28"/>
  <c r="G822" i="28"/>
  <c r="G823" i="28" l="1"/>
  <c r="H823" i="28"/>
  <c r="Z824" i="28"/>
  <c r="AA824" i="28"/>
  <c r="G824" i="28" l="1"/>
  <c r="H824" i="28"/>
  <c r="AA825" i="28"/>
  <c r="Z825" i="28"/>
  <c r="G825" i="28" l="1"/>
  <c r="H825" i="28"/>
  <c r="Z826" i="28"/>
  <c r="AA826" i="28"/>
  <c r="G826" i="28" l="1"/>
  <c r="H826" i="28"/>
  <c r="Z827" i="28"/>
  <c r="AA827" i="28"/>
  <c r="AA828" i="28" l="1"/>
  <c r="Z828" i="28"/>
  <c r="H827" i="28"/>
  <c r="G827" i="28"/>
  <c r="G828" i="28" l="1"/>
  <c r="H828" i="28"/>
  <c r="AA829" i="28"/>
  <c r="Z829" i="28"/>
  <c r="G829" i="28" l="1"/>
  <c r="H829" i="28"/>
  <c r="Z830" i="28"/>
  <c r="AA830" i="28"/>
  <c r="G830" i="28" l="1"/>
  <c r="H830" i="28"/>
  <c r="AA831" i="28"/>
  <c r="Z831" i="28"/>
  <c r="G831" i="28" l="1"/>
  <c r="H831" i="28"/>
  <c r="AA832" i="28"/>
  <c r="Z832" i="28"/>
  <c r="AA833" i="28" l="1"/>
  <c r="Z833" i="28"/>
  <c r="H832" i="28"/>
  <c r="G832" i="28"/>
  <c r="G833" i="28" l="1"/>
  <c r="H833" i="28"/>
  <c r="AA834" i="28"/>
  <c r="Z834" i="28"/>
  <c r="AA835" i="28" l="1"/>
  <c r="Z835" i="28"/>
  <c r="H834" i="28"/>
  <c r="G834" i="28"/>
  <c r="H835" i="28" l="1"/>
  <c r="G835" i="28"/>
  <c r="AA836" i="28"/>
  <c r="Z836" i="28"/>
  <c r="H836" i="28" l="1"/>
  <c r="G836" i="28"/>
  <c r="Z837" i="28"/>
  <c r="AA837" i="28"/>
  <c r="G837" i="28" l="1"/>
  <c r="H837" i="28"/>
  <c r="Z838" i="28"/>
  <c r="AA838" i="28"/>
  <c r="H838" i="28" l="1"/>
  <c r="G838" i="28"/>
  <c r="AA839" i="28"/>
  <c r="Z839" i="28"/>
  <c r="AA840" i="28" l="1"/>
  <c r="Z840" i="28"/>
  <c r="H839" i="28"/>
  <c r="G839" i="28"/>
  <c r="AA841" i="28" l="1"/>
  <c r="Z841" i="28"/>
  <c r="G840" i="28"/>
  <c r="H840" i="28"/>
  <c r="Z842" i="28" l="1"/>
  <c r="AA842" i="28"/>
  <c r="G841" i="28"/>
  <c r="H841" i="28"/>
  <c r="G842" i="28" l="1"/>
  <c r="H842" i="28"/>
  <c r="AA843" i="28"/>
  <c r="Z843" i="28"/>
  <c r="H843" i="28" l="1"/>
  <c r="G843" i="28"/>
  <c r="Z844" i="28"/>
  <c r="AA844" i="28"/>
  <c r="G844" i="28" l="1"/>
  <c r="H844" i="28"/>
  <c r="AA845" i="28"/>
  <c r="Z845" i="28"/>
  <c r="G845" i="28" l="1"/>
  <c r="H845" i="28"/>
  <c r="Z846" i="28"/>
  <c r="AA846" i="28"/>
  <c r="G846" i="28" l="1"/>
  <c r="H846" i="28"/>
  <c r="AA847" i="28"/>
  <c r="Z847" i="28"/>
  <c r="AA848" i="28" l="1"/>
  <c r="Z848" i="28"/>
  <c r="H847" i="28"/>
  <c r="G847" i="28"/>
  <c r="Z849" i="28" l="1"/>
  <c r="AA849" i="28"/>
  <c r="G848" i="28"/>
  <c r="H848" i="28"/>
  <c r="H849" i="28" l="1"/>
  <c r="G849" i="28"/>
  <c r="Z850" i="28"/>
  <c r="AA850" i="28"/>
  <c r="G850" i="28" l="1"/>
  <c r="H850" i="28"/>
  <c r="AA851" i="28"/>
  <c r="Z851" i="28"/>
  <c r="Z852" i="28" l="1"/>
  <c r="AA852" i="28"/>
  <c r="G851" i="28"/>
  <c r="H851" i="28"/>
  <c r="AA853" i="28" l="1"/>
  <c r="Z853" i="28"/>
  <c r="H852" i="28"/>
  <c r="G852" i="28"/>
  <c r="G853" i="28" l="1"/>
  <c r="H853" i="28"/>
  <c r="Z854" i="28"/>
  <c r="AA854" i="28"/>
  <c r="H854" i="28" l="1"/>
  <c r="G854" i="28"/>
  <c r="AA855" i="28"/>
  <c r="Z855" i="28"/>
  <c r="AA868" i="28" l="1"/>
  <c r="Z868" i="28"/>
  <c r="H855" i="28"/>
  <c r="G855" i="28"/>
  <c r="AA869" i="28" l="1"/>
  <c r="Z869" i="28"/>
  <c r="G868" i="28"/>
  <c r="H868" i="28"/>
  <c r="AA870" i="28" l="1"/>
  <c r="Z870" i="28"/>
  <c r="H869" i="28"/>
  <c r="G869" i="28"/>
  <c r="H870" i="28" l="1"/>
  <c r="G870" i="28"/>
  <c r="Z871" i="28"/>
  <c r="AA871" i="28"/>
  <c r="Z872" i="28" l="1"/>
  <c r="AA872" i="28"/>
  <c r="G871" i="28"/>
  <c r="H871" i="28"/>
  <c r="AA873" i="28" l="1"/>
  <c r="Z873" i="28"/>
  <c r="H872" i="28"/>
  <c r="G872" i="28"/>
  <c r="G873" i="28" l="1"/>
  <c r="H873" i="28"/>
  <c r="AA874" i="28"/>
  <c r="Z874" i="28"/>
  <c r="H874" i="28" l="1"/>
  <c r="G874" i="28"/>
  <c r="Z875" i="28"/>
  <c r="AA875" i="28"/>
  <c r="H875" i="28" l="1"/>
  <c r="G875" i="28"/>
  <c r="AA876" i="28"/>
  <c r="Z876" i="28"/>
  <c r="G876" i="28" l="1"/>
  <c r="H876" i="28"/>
  <c r="AA877" i="28"/>
  <c r="Z877" i="28"/>
  <c r="G877" i="28" l="1"/>
  <c r="H877" i="28"/>
  <c r="AA878" i="28"/>
  <c r="Z878" i="28"/>
  <c r="H878" i="28" l="1"/>
  <c r="G878" i="28"/>
  <c r="Z879" i="28"/>
  <c r="AA879" i="28"/>
  <c r="E36" i="65" l="1"/>
  <c r="I36" i="65" s="1"/>
  <c r="E40" i="65"/>
  <c r="I40" i="65" s="1"/>
  <c r="H879" i="28"/>
  <c r="G879" i="28"/>
  <c r="A10" i="3" l="1"/>
  <c r="A11" i="3" s="1"/>
  <c r="A12" i="3" s="1"/>
  <c r="B11" i="3" l="1"/>
  <c r="A13" i="3"/>
  <c r="B13" i="3" s="1"/>
  <c r="B12" i="3"/>
  <c r="A9" i="3"/>
  <c r="B9" i="3" s="1"/>
  <c r="B10" i="3"/>
  <c r="A8" i="3" l="1"/>
  <c r="A7" i="3" s="1"/>
  <c r="A6" i="3" s="1"/>
  <c r="B7" i="3" l="1"/>
  <c r="B8" i="3"/>
  <c r="A5" i="3"/>
  <c r="B6" i="3"/>
  <c r="Y4" i="28" l="1"/>
  <c r="B5" i="3"/>
  <c r="AU4" i="4"/>
  <c r="T2" i="29"/>
  <c r="B4" i="4" l="1"/>
  <c r="AT4" i="4"/>
  <c r="AU5" i="4"/>
  <c r="T3" i="29"/>
  <c r="B2" i="29"/>
  <c r="B4" i="28"/>
  <c r="Y5" i="28"/>
  <c r="F4" i="28" l="1"/>
  <c r="T4" i="29"/>
  <c r="B3" i="29"/>
  <c r="B5" i="28"/>
  <c r="F5" i="28" s="1"/>
  <c r="Y6" i="28"/>
  <c r="AU6" i="4"/>
  <c r="B5" i="4"/>
  <c r="M4" i="28"/>
  <c r="N4" i="28"/>
  <c r="E4" i="28"/>
  <c r="O4" i="28"/>
  <c r="P4" i="28"/>
  <c r="K2" i="29"/>
  <c r="E2" i="29"/>
  <c r="I2" i="29"/>
  <c r="AK4" i="4"/>
  <c r="AL4" i="4"/>
  <c r="I4" i="4"/>
  <c r="G4" i="4"/>
  <c r="H4" i="4"/>
  <c r="L4" i="4"/>
  <c r="Y4" i="4" s="1"/>
  <c r="AG4" i="4"/>
  <c r="AI4" i="4"/>
  <c r="K4" i="4"/>
  <c r="X4" i="4" s="1"/>
  <c r="AB4" i="4"/>
  <c r="M4" i="4"/>
  <c r="Z4" i="4" s="1"/>
  <c r="E4" i="4"/>
  <c r="V4" i="4" s="1"/>
  <c r="AH4" i="4"/>
  <c r="AJ4" i="4"/>
  <c r="J4" i="4"/>
  <c r="AO4" i="4" s="1"/>
  <c r="G2" i="29" l="1"/>
  <c r="H2" i="29" s="1"/>
  <c r="W4" i="28"/>
  <c r="K4" i="28"/>
  <c r="W4" i="4"/>
  <c r="AP4" i="4" s="1"/>
  <c r="AC4" i="4"/>
  <c r="U4" i="28"/>
  <c r="I4" i="28"/>
  <c r="AE4" i="4"/>
  <c r="B6" i="28"/>
  <c r="Y7" i="28"/>
  <c r="E5" i="28"/>
  <c r="M5" i="28"/>
  <c r="P5" i="28"/>
  <c r="N5" i="28"/>
  <c r="O5" i="28"/>
  <c r="V4" i="28"/>
  <c r="AK5" i="4"/>
  <c r="AJ5" i="4"/>
  <c r="J5" i="4"/>
  <c r="AO5" i="4" s="1"/>
  <c r="L5" i="4"/>
  <c r="Y5" i="4" s="1"/>
  <c r="AH5" i="4"/>
  <c r="H5" i="4"/>
  <c r="AL5" i="4"/>
  <c r="E5" i="4"/>
  <c r="V5" i="4" s="1"/>
  <c r="G5" i="4"/>
  <c r="AI5" i="4"/>
  <c r="M5" i="4"/>
  <c r="Z5" i="4" s="1"/>
  <c r="AG5" i="4"/>
  <c r="AB5" i="4"/>
  <c r="K5" i="4"/>
  <c r="X5" i="4" s="1"/>
  <c r="I5" i="4"/>
  <c r="I3" i="29"/>
  <c r="K3" i="29"/>
  <c r="E3" i="29"/>
  <c r="B6" i="4"/>
  <c r="AU7" i="4"/>
  <c r="AU8" i="4" s="1"/>
  <c r="B8" i="4" s="1"/>
  <c r="B4" i="29"/>
  <c r="T5" i="29"/>
  <c r="W5" i="28" l="1"/>
  <c r="F6" i="28"/>
  <c r="G3" i="29"/>
  <c r="H3" i="29" s="1"/>
  <c r="L3" i="29" s="1"/>
  <c r="M3" i="29" s="1"/>
  <c r="W5" i="4"/>
  <c r="AP5" i="4" s="1"/>
  <c r="AD4" i="4"/>
  <c r="I8" i="4"/>
  <c r="M8" i="4"/>
  <c r="Z8" i="4" s="1"/>
  <c r="AG8" i="4"/>
  <c r="AK8" i="4"/>
  <c r="E8" i="4"/>
  <c r="V8" i="4" s="1"/>
  <c r="J8" i="4"/>
  <c r="AO8" i="4" s="1"/>
  <c r="AH8" i="4"/>
  <c r="AL8" i="4"/>
  <c r="H8" i="4"/>
  <c r="G8" i="4"/>
  <c r="K8" i="4"/>
  <c r="AB8" i="4"/>
  <c r="L8" i="4"/>
  <c r="Y8" i="4" s="1"/>
  <c r="AI8" i="4"/>
  <c r="AJ8" i="4"/>
  <c r="K5" i="28"/>
  <c r="U5" i="28"/>
  <c r="I5" i="28"/>
  <c r="AE5" i="4"/>
  <c r="B7" i="4"/>
  <c r="AC5" i="4"/>
  <c r="J3" i="29"/>
  <c r="AK6" i="4"/>
  <c r="AJ6" i="4"/>
  <c r="J6" i="4"/>
  <c r="G6" i="4"/>
  <c r="M6" i="4"/>
  <c r="Z6" i="4" s="1"/>
  <c r="AL6" i="4"/>
  <c r="AH6" i="4"/>
  <c r="L6" i="4"/>
  <c r="Y6" i="4" s="1"/>
  <c r="AG6" i="4"/>
  <c r="I6" i="4"/>
  <c r="K6" i="4"/>
  <c r="X6" i="4" s="1"/>
  <c r="E6" i="4"/>
  <c r="AB6" i="4"/>
  <c r="AI6" i="4"/>
  <c r="H6" i="4"/>
  <c r="B7" i="28"/>
  <c r="F7" i="28" s="1"/>
  <c r="Y8" i="28"/>
  <c r="E4" i="29"/>
  <c r="K4" i="29"/>
  <c r="I4" i="29"/>
  <c r="B5" i="29"/>
  <c r="T6" i="29"/>
  <c r="L2" i="29"/>
  <c r="M2" i="29" s="1"/>
  <c r="J2" i="29"/>
  <c r="M6" i="28"/>
  <c r="O6" i="28"/>
  <c r="N6" i="28"/>
  <c r="E6" i="28"/>
  <c r="P6" i="28"/>
  <c r="W6" i="28" l="1"/>
  <c r="V6" i="4"/>
  <c r="G4" i="29"/>
  <c r="H4" i="29" s="1"/>
  <c r="J4" i="29" s="1"/>
  <c r="AD5" i="4"/>
  <c r="K6" i="28"/>
  <c r="W6" i="4"/>
  <c r="AD6" i="4" s="1"/>
  <c r="X8" i="4"/>
  <c r="AC8" i="4" s="1"/>
  <c r="W8" i="4"/>
  <c r="AP8" i="4" s="1"/>
  <c r="AO6" i="4"/>
  <c r="AE8" i="4"/>
  <c r="V5" i="28"/>
  <c r="U6" i="28"/>
  <c r="I6" i="28"/>
  <c r="T7" i="29"/>
  <c r="B6" i="29"/>
  <c r="AC6" i="4"/>
  <c r="AM4" i="4"/>
  <c r="AN4" i="4" s="1"/>
  <c r="AF4" i="4"/>
  <c r="I5" i="29"/>
  <c r="K5" i="29"/>
  <c r="E5" i="29"/>
  <c r="AE6" i="4"/>
  <c r="AK7" i="4"/>
  <c r="AG7" i="4"/>
  <c r="M7" i="4"/>
  <c r="Z7" i="4" s="1"/>
  <c r="E7" i="4"/>
  <c r="V7" i="4" s="1"/>
  <c r="AH7" i="4"/>
  <c r="H7" i="4"/>
  <c r="AL7" i="4"/>
  <c r="I7" i="4"/>
  <c r="AI7" i="4"/>
  <c r="G7" i="4"/>
  <c r="AJ7" i="4"/>
  <c r="J7" i="4"/>
  <c r="AO7" i="4" s="1"/>
  <c r="AB7" i="4"/>
  <c r="K7" i="4"/>
  <c r="X7" i="4" s="1"/>
  <c r="L7" i="4"/>
  <c r="Y7" i="4" s="1"/>
  <c r="Y9" i="28"/>
  <c r="B8" i="28"/>
  <c r="F8" i="28" s="1"/>
  <c r="N7" i="28"/>
  <c r="P7" i="28"/>
  <c r="M7" i="28"/>
  <c r="E7" i="28"/>
  <c r="O7" i="28"/>
  <c r="AU9" i="4"/>
  <c r="W7" i="28" l="1"/>
  <c r="AF5" i="4"/>
  <c r="AM5" i="4"/>
  <c r="AN5" i="4" s="1"/>
  <c r="V6" i="28"/>
  <c r="L4" i="29"/>
  <c r="M4" i="29" s="1"/>
  <c r="G5" i="29"/>
  <c r="H5" i="29" s="1"/>
  <c r="AP6" i="4"/>
  <c r="W7" i="4"/>
  <c r="AP7" i="4" s="1"/>
  <c r="AD8" i="4"/>
  <c r="AM8" i="4" s="1"/>
  <c r="AN8" i="4" s="1"/>
  <c r="K7" i="28"/>
  <c r="U7" i="28"/>
  <c r="I7" i="28"/>
  <c r="AF6" i="4"/>
  <c r="AM6" i="4"/>
  <c r="AN6" i="4" s="1"/>
  <c r="B9" i="4"/>
  <c r="AU10" i="4"/>
  <c r="B9" i="28"/>
  <c r="F9" i="28" s="1"/>
  <c r="Y10" i="28"/>
  <c r="AE7" i="4"/>
  <c r="AC7" i="4"/>
  <c r="I6" i="29"/>
  <c r="K6" i="29"/>
  <c r="E6" i="29"/>
  <c r="M8" i="28"/>
  <c r="E8" i="28"/>
  <c r="W8" i="28" s="1"/>
  <c r="N8" i="28"/>
  <c r="P8" i="28"/>
  <c r="O8" i="28"/>
  <c r="B7" i="29"/>
  <c r="T8" i="29"/>
  <c r="V7" i="28" l="1"/>
  <c r="G6" i="29"/>
  <c r="H6" i="29" s="1"/>
  <c r="AD7" i="4"/>
  <c r="AF8" i="4"/>
  <c r="K8" i="28"/>
  <c r="U8" i="28"/>
  <c r="I8" i="28"/>
  <c r="L5" i="29"/>
  <c r="M5" i="29" s="1"/>
  <c r="J5" i="29"/>
  <c r="E7" i="29"/>
  <c r="K7" i="29"/>
  <c r="I7" i="29"/>
  <c r="AU11" i="4"/>
  <c r="B10" i="4"/>
  <c r="B8" i="29"/>
  <c r="T9" i="29"/>
  <c r="AK9" i="4"/>
  <c r="K9" i="4"/>
  <c r="X9" i="4" s="1"/>
  <c r="I9" i="4"/>
  <c r="AI9" i="4"/>
  <c r="AG9" i="4"/>
  <c r="AJ9" i="4"/>
  <c r="AH9" i="4"/>
  <c r="L9" i="4"/>
  <c r="Y9" i="4" s="1"/>
  <c r="M9" i="4"/>
  <c r="Z9" i="4" s="1"/>
  <c r="J9" i="4"/>
  <c r="E9" i="4"/>
  <c r="AL9" i="4"/>
  <c r="H9" i="4"/>
  <c r="AB9" i="4"/>
  <c r="G9" i="4"/>
  <c r="B10" i="28"/>
  <c r="F10" i="28" s="1"/>
  <c r="Y11" i="28"/>
  <c r="N9" i="28"/>
  <c r="P9" i="28"/>
  <c r="E9" i="28"/>
  <c r="M9" i="28"/>
  <c r="O9" i="28"/>
  <c r="AM7" i="4" l="1"/>
  <c r="AN7" i="4" s="1"/>
  <c r="W9" i="28"/>
  <c r="V9" i="4"/>
  <c r="G7" i="29"/>
  <c r="H7" i="29" s="1"/>
  <c r="AF7" i="4"/>
  <c r="W9" i="4"/>
  <c r="AD9" i="4" s="1"/>
  <c r="V8" i="28"/>
  <c r="AO9" i="4"/>
  <c r="K9" i="28"/>
  <c r="U9" i="28"/>
  <c r="I9" i="28"/>
  <c r="AE9" i="4"/>
  <c r="J6" i="29"/>
  <c r="L6" i="29"/>
  <c r="M6" i="29" s="1"/>
  <c r="M10" i="28"/>
  <c r="N10" i="28"/>
  <c r="E10" i="28"/>
  <c r="O10" i="28"/>
  <c r="P10" i="28"/>
  <c r="K8" i="29"/>
  <c r="E8" i="29"/>
  <c r="I8" i="29"/>
  <c r="AK10" i="4"/>
  <c r="AJ10" i="4"/>
  <c r="AH10" i="4"/>
  <c r="AG10" i="4"/>
  <c r="AI10" i="4"/>
  <c r="AL10" i="4"/>
  <c r="G10" i="4"/>
  <c r="I10" i="4"/>
  <c r="AB10" i="4"/>
  <c r="H10" i="4"/>
  <c r="E10" i="4"/>
  <c r="V10" i="4" s="1"/>
  <c r="J10" i="4"/>
  <c r="AO10" i="4" s="1"/>
  <c r="L10" i="4"/>
  <c r="Y10" i="4" s="1"/>
  <c r="M10" i="4"/>
  <c r="Z10" i="4" s="1"/>
  <c r="K10" i="4"/>
  <c r="X10" i="4" s="1"/>
  <c r="AC9" i="4"/>
  <c r="AU12" i="4"/>
  <c r="B11" i="4"/>
  <c r="V9" i="28"/>
  <c r="B11" i="28"/>
  <c r="F11" i="28" s="1"/>
  <c r="Y12" i="28"/>
  <c r="T10" i="29"/>
  <c r="B9" i="29"/>
  <c r="W10" i="28" l="1"/>
  <c r="G8" i="29"/>
  <c r="H8" i="29" s="1"/>
  <c r="L8" i="29" s="1"/>
  <c r="M8" i="29" s="1"/>
  <c r="AP9" i="4"/>
  <c r="K10" i="28"/>
  <c r="W10" i="4"/>
  <c r="AP10" i="4" s="1"/>
  <c r="U10" i="28"/>
  <c r="I10" i="28"/>
  <c r="AE10" i="4"/>
  <c r="E9" i="29"/>
  <c r="K9" i="29"/>
  <c r="I9" i="29"/>
  <c r="T11" i="29"/>
  <c r="B10" i="29"/>
  <c r="AK11" i="4"/>
  <c r="AB11" i="4"/>
  <c r="AJ11" i="4"/>
  <c r="AH11" i="4"/>
  <c r="L11" i="4"/>
  <c r="Y11" i="4" s="1"/>
  <c r="J11" i="4"/>
  <c r="AO11" i="4" s="1"/>
  <c r="H11" i="4"/>
  <c r="G11" i="4"/>
  <c r="I11" i="4"/>
  <c r="AG11" i="4"/>
  <c r="K11" i="4"/>
  <c r="X11" i="4" s="1"/>
  <c r="AI11" i="4"/>
  <c r="M11" i="4"/>
  <c r="Z11" i="4" s="1"/>
  <c r="E11" i="4"/>
  <c r="V11" i="4" s="1"/>
  <c r="AL11" i="4"/>
  <c r="B12" i="28"/>
  <c r="F12" i="28" s="1"/>
  <c r="Y13" i="28"/>
  <c r="AU13" i="4"/>
  <c r="B12" i="4"/>
  <c r="AC10" i="4"/>
  <c r="V10" i="28"/>
  <c r="N11" i="28"/>
  <c r="E11" i="28"/>
  <c r="O11" i="28"/>
  <c r="P11" i="28"/>
  <c r="M11" i="28"/>
  <c r="L7" i="29"/>
  <c r="M7" i="29" s="1"/>
  <c r="J7" i="29"/>
  <c r="AM9" i="4"/>
  <c r="AN9" i="4" s="1"/>
  <c r="AF9" i="4"/>
  <c r="W11" i="28" l="1"/>
  <c r="J8" i="29"/>
  <c r="G9" i="29"/>
  <c r="H9" i="29" s="1"/>
  <c r="J9" i="29" s="1"/>
  <c r="W11" i="4"/>
  <c r="AP11" i="4" s="1"/>
  <c r="AD10" i="4"/>
  <c r="AF10" i="4" s="1"/>
  <c r="K11" i="28"/>
  <c r="U11" i="28"/>
  <c r="I11" i="28"/>
  <c r="AE11" i="4"/>
  <c r="B13" i="28"/>
  <c r="F13" i="28" s="1"/>
  <c r="Y14" i="28"/>
  <c r="E12" i="28"/>
  <c r="P12" i="28"/>
  <c r="M12" i="28"/>
  <c r="N12" i="28"/>
  <c r="O12" i="28"/>
  <c r="E10" i="29"/>
  <c r="I10" i="29"/>
  <c r="K10" i="29"/>
  <c r="AK12" i="4"/>
  <c r="E12" i="4"/>
  <c r="G12" i="4"/>
  <c r="AL12" i="4"/>
  <c r="I12" i="4"/>
  <c r="J12" i="4"/>
  <c r="AG12" i="4"/>
  <c r="K12" i="4"/>
  <c r="X12" i="4" s="1"/>
  <c r="L12" i="4"/>
  <c r="M12" i="4"/>
  <c r="AH12" i="4"/>
  <c r="AB12" i="4"/>
  <c r="H12" i="4"/>
  <c r="AI12" i="4"/>
  <c r="AJ12" i="4"/>
  <c r="AC11" i="4"/>
  <c r="B11" i="29"/>
  <c r="T12" i="29"/>
  <c r="B13" i="4"/>
  <c r="AU14" i="4"/>
  <c r="W12" i="28" l="1"/>
  <c r="V12" i="4"/>
  <c r="G10" i="29"/>
  <c r="H10" i="29" s="1"/>
  <c r="L10" i="29" s="1"/>
  <c r="M10" i="29" s="1"/>
  <c r="Y12" i="4"/>
  <c r="Z12" i="4"/>
  <c r="AD11" i="4"/>
  <c r="AM11" i="4" s="1"/>
  <c r="AN11" i="4" s="1"/>
  <c r="W12" i="4"/>
  <c r="AO12" i="4"/>
  <c r="L9" i="29"/>
  <c r="M9" i="29" s="1"/>
  <c r="V11" i="28"/>
  <c r="AM10" i="4"/>
  <c r="AN10" i="4" s="1"/>
  <c r="K12" i="28"/>
  <c r="U12" i="28"/>
  <c r="I12" i="28"/>
  <c r="J10" i="29"/>
  <c r="B14" i="4"/>
  <c r="AU15" i="4"/>
  <c r="AE12" i="4"/>
  <c r="Y15" i="28"/>
  <c r="B14" i="28"/>
  <c r="F14" i="28" s="1"/>
  <c r="AK13" i="4"/>
  <c r="L13" i="4"/>
  <c r="H13" i="4"/>
  <c r="M13" i="4"/>
  <c r="E13" i="4"/>
  <c r="G13" i="4"/>
  <c r="AB13" i="4"/>
  <c r="AG13" i="4"/>
  <c r="K13" i="4"/>
  <c r="X13" i="4" s="1"/>
  <c r="AH13" i="4"/>
  <c r="I13" i="4"/>
  <c r="AJ13" i="4"/>
  <c r="AI13" i="4"/>
  <c r="AL13" i="4"/>
  <c r="J13" i="4"/>
  <c r="N13" i="28"/>
  <c r="O13" i="28"/>
  <c r="E13" i="28"/>
  <c r="M13" i="28"/>
  <c r="P13" i="28"/>
  <c r="V12" i="28"/>
  <c r="T13" i="29"/>
  <c r="B12" i="29"/>
  <c r="K11" i="29"/>
  <c r="E11" i="29"/>
  <c r="I11" i="29"/>
  <c r="W13" i="28" l="1"/>
  <c r="V13" i="4"/>
  <c r="G11" i="29"/>
  <c r="H11" i="29" s="1"/>
  <c r="AC12" i="4"/>
  <c r="AF11" i="4"/>
  <c r="AD12" i="4"/>
  <c r="Z13" i="4"/>
  <c r="Y13" i="4"/>
  <c r="AP12" i="4"/>
  <c r="AO13" i="4"/>
  <c r="W13" i="4"/>
  <c r="K13" i="28"/>
  <c r="U13" i="28"/>
  <c r="I13" i="28"/>
  <c r="AE13" i="4"/>
  <c r="T14" i="29"/>
  <c r="B13" i="29"/>
  <c r="AM12" i="4"/>
  <c r="AN12" i="4" s="1"/>
  <c r="N14" i="28"/>
  <c r="E14" i="28"/>
  <c r="P14" i="28"/>
  <c r="O14" i="28"/>
  <c r="M14" i="28"/>
  <c r="B15" i="4"/>
  <c r="AU16" i="4"/>
  <c r="I12" i="29"/>
  <c r="K12" i="29"/>
  <c r="E12" i="29"/>
  <c r="G12" i="29" s="1"/>
  <c r="H12" i="29" s="1"/>
  <c r="Y16" i="28"/>
  <c r="B15" i="28"/>
  <c r="F15" i="28" s="1"/>
  <c r="AK14" i="4"/>
  <c r="I14" i="4"/>
  <c r="L14" i="4"/>
  <c r="AL14" i="4"/>
  <c r="G14" i="4"/>
  <c r="AI14" i="4"/>
  <c r="AG14" i="4"/>
  <c r="K14" i="4"/>
  <c r="X14" i="4" s="1"/>
  <c r="AJ14" i="4"/>
  <c r="AB14" i="4"/>
  <c r="H14" i="4"/>
  <c r="E14" i="4"/>
  <c r="M14" i="4"/>
  <c r="AH14" i="4"/>
  <c r="J14" i="4"/>
  <c r="AF12" i="4" l="1"/>
  <c r="W14" i="28"/>
  <c r="V13" i="28"/>
  <c r="V14" i="4"/>
  <c r="AC13" i="4"/>
  <c r="Y14" i="4"/>
  <c r="AP13" i="4"/>
  <c r="Z14" i="4"/>
  <c r="W14" i="4"/>
  <c r="AD13" i="4"/>
  <c r="AO14" i="4"/>
  <c r="K14" i="28"/>
  <c r="U14" i="28"/>
  <c r="I14" i="28"/>
  <c r="AE14" i="4"/>
  <c r="O15" i="28"/>
  <c r="P15" i="28"/>
  <c r="M15" i="28"/>
  <c r="N15" i="28"/>
  <c r="E15" i="28"/>
  <c r="B16" i="4"/>
  <c r="AU17" i="4"/>
  <c r="E13" i="29"/>
  <c r="G13" i="29" s="1"/>
  <c r="H13" i="29" s="1"/>
  <c r="I13" i="29"/>
  <c r="K13" i="29"/>
  <c r="B16" i="28"/>
  <c r="F16" i="28" s="1"/>
  <c r="Y17" i="28"/>
  <c r="AK15" i="4"/>
  <c r="L15" i="4"/>
  <c r="K15" i="4"/>
  <c r="AH15" i="4"/>
  <c r="I15" i="4"/>
  <c r="J15" i="4"/>
  <c r="H15" i="4"/>
  <c r="AG15" i="4"/>
  <c r="E15" i="4"/>
  <c r="AJ15" i="4"/>
  <c r="M15" i="4"/>
  <c r="G15" i="4"/>
  <c r="AI15" i="4"/>
  <c r="AL15" i="4"/>
  <c r="AB15" i="4"/>
  <c r="T15" i="29"/>
  <c r="B14" i="29"/>
  <c r="J11" i="29"/>
  <c r="L11" i="29"/>
  <c r="M11" i="29" s="1"/>
  <c r="AO15" i="4" l="1"/>
  <c r="W15" i="28"/>
  <c r="V15" i="4"/>
  <c r="V14" i="28"/>
  <c r="AD14" i="4"/>
  <c r="AC14" i="4"/>
  <c r="AP14" i="4"/>
  <c r="W15" i="4"/>
  <c r="AP15" i="4" s="1"/>
  <c r="X15" i="4"/>
  <c r="Y15" i="4"/>
  <c r="Z15" i="4"/>
  <c r="K15" i="28"/>
  <c r="U15" i="28"/>
  <c r="I15" i="28"/>
  <c r="J13" i="29"/>
  <c r="AE15" i="4"/>
  <c r="AK16" i="4"/>
  <c r="L16" i="4"/>
  <c r="AH16" i="4"/>
  <c r="K16" i="4"/>
  <c r="J16" i="4"/>
  <c r="M16" i="4"/>
  <c r="AG16" i="4"/>
  <c r="AJ16" i="4"/>
  <c r="G16" i="4"/>
  <c r="I16" i="4"/>
  <c r="E16" i="4"/>
  <c r="AB16" i="4"/>
  <c r="AL16" i="4"/>
  <c r="H16" i="4"/>
  <c r="B17" i="28"/>
  <c r="F17" i="28" s="1"/>
  <c r="Y18" i="28"/>
  <c r="V15" i="28"/>
  <c r="J12" i="29"/>
  <c r="L12" i="29"/>
  <c r="M12" i="29" s="1"/>
  <c r="I14" i="29"/>
  <c r="K14" i="29"/>
  <c r="E14" i="29"/>
  <c r="G14" i="29" s="1"/>
  <c r="H14" i="29" s="1"/>
  <c r="T16" i="29"/>
  <c r="B15" i="29"/>
  <c r="AM13" i="4"/>
  <c r="AN13" i="4" s="1"/>
  <c r="AF13" i="4"/>
  <c r="M16" i="28"/>
  <c r="P16" i="28"/>
  <c r="N16" i="28"/>
  <c r="O16" i="28"/>
  <c r="E16" i="28"/>
  <c r="L13" i="29"/>
  <c r="M13" i="29" s="1"/>
  <c r="B17" i="4"/>
  <c r="AU18" i="4"/>
  <c r="W16" i="28" l="1"/>
  <c r="V16" i="4"/>
  <c r="W16" i="4"/>
  <c r="Z16" i="4"/>
  <c r="Y16" i="4"/>
  <c r="X16" i="4"/>
  <c r="AD15" i="4"/>
  <c r="AO16" i="4"/>
  <c r="AC15" i="4"/>
  <c r="K16" i="28"/>
  <c r="U16" i="28"/>
  <c r="I16" i="28"/>
  <c r="AK17" i="4"/>
  <c r="AH17" i="4"/>
  <c r="AL17" i="4"/>
  <c r="H17" i="4"/>
  <c r="K17" i="4"/>
  <c r="X17" i="4" s="1"/>
  <c r="AI17" i="4"/>
  <c r="M17" i="4"/>
  <c r="Z17" i="4" s="1"/>
  <c r="J17" i="4"/>
  <c r="I17" i="4"/>
  <c r="E17" i="4"/>
  <c r="AB17" i="4"/>
  <c r="L17" i="4"/>
  <c r="Y17" i="4" s="1"/>
  <c r="G17" i="4"/>
  <c r="AJ17" i="4"/>
  <c r="AG17" i="4"/>
  <c r="J14" i="29"/>
  <c r="L14" i="29"/>
  <c r="M14" i="29" s="1"/>
  <c r="O17" i="28"/>
  <c r="P17" i="28"/>
  <c r="M17" i="28"/>
  <c r="N17" i="28"/>
  <c r="E17" i="28"/>
  <c r="AM14" i="4"/>
  <c r="AN14" i="4" s="1"/>
  <c r="AF14" i="4"/>
  <c r="E15" i="29"/>
  <c r="G15" i="29" s="1"/>
  <c r="H15" i="29" s="1"/>
  <c r="K15" i="29"/>
  <c r="I15" i="29"/>
  <c r="B18" i="4"/>
  <c r="AU19" i="4"/>
  <c r="B16" i="29"/>
  <c r="T17" i="29"/>
  <c r="Y19" i="28"/>
  <c r="B18" i="28"/>
  <c r="F18" i="28" s="1"/>
  <c r="AC16" i="4"/>
  <c r="W17" i="28" l="1"/>
  <c r="AM15" i="4"/>
  <c r="AN15" i="4" s="1"/>
  <c r="AP16" i="4"/>
  <c r="V17" i="4"/>
  <c r="V16" i="28"/>
  <c r="W17" i="4"/>
  <c r="AD16" i="4"/>
  <c r="AO17" i="4"/>
  <c r="AF15" i="4"/>
  <c r="K17" i="28"/>
  <c r="U17" i="28"/>
  <c r="I17" i="28"/>
  <c r="O18" i="28"/>
  <c r="E18" i="28"/>
  <c r="N18" i="28"/>
  <c r="P18" i="28"/>
  <c r="M18" i="28"/>
  <c r="B19" i="4"/>
  <c r="AU20" i="4"/>
  <c r="T18" i="29"/>
  <c r="B17" i="29"/>
  <c r="I16" i="29"/>
  <c r="E16" i="29"/>
  <c r="G16" i="29" s="1"/>
  <c r="H16" i="29" s="1"/>
  <c r="K16" i="29"/>
  <c r="AE17" i="4"/>
  <c r="Y20" i="28"/>
  <c r="B19" i="28"/>
  <c r="F19" i="28" s="1"/>
  <c r="AK18" i="4"/>
  <c r="AH18" i="4"/>
  <c r="H18" i="4"/>
  <c r="K18" i="4"/>
  <c r="X18" i="4" s="1"/>
  <c r="I18" i="4"/>
  <c r="J18" i="4"/>
  <c r="AO18" i="4" s="1"/>
  <c r="AB18" i="4"/>
  <c r="M18" i="4"/>
  <c r="Z18" i="4" s="1"/>
  <c r="AI18" i="4"/>
  <c r="AJ18" i="4"/>
  <c r="L18" i="4"/>
  <c r="Y18" i="4" s="1"/>
  <c r="AG18" i="4"/>
  <c r="E18" i="4"/>
  <c r="V18" i="4" s="1"/>
  <c r="AL18" i="4"/>
  <c r="G18" i="4"/>
  <c r="AC17" i="4"/>
  <c r="W18" i="28" l="1"/>
  <c r="AD17" i="4"/>
  <c r="AP17" i="4"/>
  <c r="W18" i="4"/>
  <c r="AP18" i="4" s="1"/>
  <c r="V17" i="28"/>
  <c r="K18" i="28"/>
  <c r="U18" i="28"/>
  <c r="I18" i="28"/>
  <c r="AE18" i="4"/>
  <c r="I17" i="29"/>
  <c r="E17" i="29"/>
  <c r="G17" i="29" s="1"/>
  <c r="H17" i="29" s="1"/>
  <c r="K17" i="29"/>
  <c r="B18" i="29"/>
  <c r="T19" i="29"/>
  <c r="AU21" i="4"/>
  <c r="B20" i="4"/>
  <c r="Y21" i="28"/>
  <c r="B20" i="28"/>
  <c r="F20" i="28" s="1"/>
  <c r="L15" i="29"/>
  <c r="M15" i="29" s="1"/>
  <c r="J15" i="29"/>
  <c r="AC18" i="4"/>
  <c r="O19" i="28"/>
  <c r="N19" i="28"/>
  <c r="E19" i="28"/>
  <c r="P19" i="28"/>
  <c r="M19" i="28"/>
  <c r="AK19" i="4"/>
  <c r="M19" i="4"/>
  <c r="Z19" i="4" s="1"/>
  <c r="AG19" i="4"/>
  <c r="H19" i="4"/>
  <c r="L19" i="4"/>
  <c r="Y19" i="4" s="1"/>
  <c r="AL19" i="4"/>
  <c r="E19" i="4"/>
  <c r="V19" i="4" s="1"/>
  <c r="AI19" i="4"/>
  <c r="AB19" i="4"/>
  <c r="J19" i="4"/>
  <c r="AO19" i="4" s="1"/>
  <c r="I19" i="4"/>
  <c r="G19" i="4"/>
  <c r="AH19" i="4"/>
  <c r="K19" i="4"/>
  <c r="X19" i="4" s="1"/>
  <c r="AJ19" i="4"/>
  <c r="AM17" i="4" l="1"/>
  <c r="AN17" i="4" s="1"/>
  <c r="W19" i="28"/>
  <c r="AF17" i="4"/>
  <c r="AD18" i="4"/>
  <c r="AM18" i="4" s="1"/>
  <c r="AN18" i="4" s="1"/>
  <c r="W19" i="4"/>
  <c r="AP19" i="4" s="1"/>
  <c r="V18" i="28"/>
  <c r="AC19" i="4"/>
  <c r="K19" i="28"/>
  <c r="V19" i="28" s="1"/>
  <c r="U19" i="28"/>
  <c r="I19" i="28"/>
  <c r="M20" i="28"/>
  <c r="O20" i="28"/>
  <c r="E20" i="28"/>
  <c r="N20" i="28"/>
  <c r="P20" i="28"/>
  <c r="L16" i="29"/>
  <c r="M16" i="29" s="1"/>
  <c r="J16" i="29"/>
  <c r="Y22" i="28"/>
  <c r="B21" i="28"/>
  <c r="F21" i="28" s="1"/>
  <c r="AF18" i="4"/>
  <c r="AK20" i="4"/>
  <c r="G20" i="4"/>
  <c r="I20" i="4"/>
  <c r="AH20" i="4"/>
  <c r="L20" i="4"/>
  <c r="Y20" i="4" s="1"/>
  <c r="K20" i="4"/>
  <c r="X20" i="4" s="1"/>
  <c r="AB20" i="4"/>
  <c r="AJ20" i="4"/>
  <c r="AL20" i="4"/>
  <c r="M20" i="4"/>
  <c r="Z20" i="4" s="1"/>
  <c r="AI20" i="4"/>
  <c r="H20" i="4"/>
  <c r="E20" i="4"/>
  <c r="V20" i="4" s="1"/>
  <c r="J20" i="4"/>
  <c r="AO20" i="4" s="1"/>
  <c r="AG20" i="4"/>
  <c r="T20" i="29"/>
  <c r="B19" i="29"/>
  <c r="AE19" i="4"/>
  <c r="B21" i="4"/>
  <c r="AU22" i="4"/>
  <c r="I18" i="29"/>
  <c r="E18" i="29"/>
  <c r="G18" i="29" s="1"/>
  <c r="H18" i="29" s="1"/>
  <c r="K18" i="29"/>
  <c r="W20" i="28" l="1"/>
  <c r="K20" i="28"/>
  <c r="AD19" i="4"/>
  <c r="AM19" i="4" s="1"/>
  <c r="AN19" i="4" s="1"/>
  <c r="W20" i="4"/>
  <c r="AP20" i="4" s="1"/>
  <c r="U20" i="28"/>
  <c r="I20" i="28"/>
  <c r="L18" i="29"/>
  <c r="M18" i="29" s="1"/>
  <c r="J18" i="29"/>
  <c r="AK21" i="4"/>
  <c r="K21" i="4"/>
  <c r="X21" i="4" s="1"/>
  <c r="E21" i="4"/>
  <c r="AB21" i="4"/>
  <c r="L21" i="4"/>
  <c r="AG21" i="4"/>
  <c r="M21" i="4"/>
  <c r="J21" i="4"/>
  <c r="AJ21" i="4"/>
  <c r="AH21" i="4"/>
  <c r="AL21" i="4"/>
  <c r="H21" i="4"/>
  <c r="AI21" i="4"/>
  <c r="I21" i="4"/>
  <c r="G21" i="4"/>
  <c r="I19" i="29"/>
  <c r="K19" i="29"/>
  <c r="E19" i="29"/>
  <c r="G19" i="29" s="1"/>
  <c r="H19" i="29" s="1"/>
  <c r="AE20" i="4"/>
  <c r="N21" i="28"/>
  <c r="E21" i="28"/>
  <c r="P21" i="28"/>
  <c r="M21" i="28"/>
  <c r="O21" i="28"/>
  <c r="V20" i="28"/>
  <c r="T21" i="29"/>
  <c r="B20" i="29"/>
  <c r="Y23" i="28"/>
  <c r="B22" i="28"/>
  <c r="F22" i="28" s="1"/>
  <c r="B22" i="4"/>
  <c r="AU23" i="4"/>
  <c r="J17" i="29"/>
  <c r="L17" i="29"/>
  <c r="M17" i="29" s="1"/>
  <c r="AC20" i="4"/>
  <c r="Y21" i="4" l="1"/>
  <c r="AO21" i="4"/>
  <c r="W21" i="28"/>
  <c r="V21" i="4"/>
  <c r="W21" i="4"/>
  <c r="AP21" i="4" s="1"/>
  <c r="AF19" i="4"/>
  <c r="Z21" i="4"/>
  <c r="AD20" i="4"/>
  <c r="K21" i="28"/>
  <c r="U21" i="28"/>
  <c r="I21" i="28"/>
  <c r="AU24" i="4"/>
  <c r="B23" i="4"/>
  <c r="O22" i="28"/>
  <c r="E22" i="28"/>
  <c r="N22" i="28"/>
  <c r="M22" i="28"/>
  <c r="P22" i="28"/>
  <c r="I20" i="29"/>
  <c r="E20" i="29"/>
  <c r="K20" i="29"/>
  <c r="AK22" i="4"/>
  <c r="G22" i="4"/>
  <c r="AI22" i="4"/>
  <c r="K22" i="4"/>
  <c r="X22" i="4" s="1"/>
  <c r="E22" i="4"/>
  <c r="V22" i="4" s="1"/>
  <c r="AB22" i="4"/>
  <c r="L22" i="4"/>
  <c r="Y22" i="4" s="1"/>
  <c r="H22" i="4"/>
  <c r="AL22" i="4"/>
  <c r="J22" i="4"/>
  <c r="AJ22" i="4"/>
  <c r="AH22" i="4"/>
  <c r="I22" i="4"/>
  <c r="M22" i="4"/>
  <c r="Z22" i="4" s="1"/>
  <c r="AG22" i="4"/>
  <c r="B23" i="28"/>
  <c r="F23" i="28" s="1"/>
  <c r="Y24" i="28"/>
  <c r="T22" i="29"/>
  <c r="B21" i="29"/>
  <c r="V21" i="28"/>
  <c r="AE21" i="4"/>
  <c r="W22" i="28" l="1"/>
  <c r="G20" i="29"/>
  <c r="H20" i="29" s="1"/>
  <c r="L20" i="29" s="1"/>
  <c r="M20" i="29" s="1"/>
  <c r="AD21" i="4"/>
  <c r="AC21" i="4"/>
  <c r="K22" i="28"/>
  <c r="AO22" i="4"/>
  <c r="W22" i="4"/>
  <c r="U22" i="28"/>
  <c r="I22" i="28"/>
  <c r="E23" i="28"/>
  <c r="M23" i="28"/>
  <c r="P23" i="28"/>
  <c r="O23" i="28"/>
  <c r="N23" i="28"/>
  <c r="AC22" i="4"/>
  <c r="AF20" i="4"/>
  <c r="AM20" i="4"/>
  <c r="AN20" i="4" s="1"/>
  <c r="J19" i="29"/>
  <c r="L19" i="29"/>
  <c r="M19" i="29" s="1"/>
  <c r="B24" i="28"/>
  <c r="F24" i="28" s="1"/>
  <c r="Y25" i="28"/>
  <c r="V22" i="28"/>
  <c r="AK23" i="4"/>
  <c r="J23" i="4"/>
  <c r="AO23" i="4" s="1"/>
  <c r="AB23" i="4"/>
  <c r="E23" i="4"/>
  <c r="V23" i="4" s="1"/>
  <c r="K23" i="4"/>
  <c r="X23" i="4" s="1"/>
  <c r="AH23" i="4"/>
  <c r="G23" i="4"/>
  <c r="AI23" i="4"/>
  <c r="M23" i="4"/>
  <c r="Z23" i="4" s="1"/>
  <c r="L23" i="4"/>
  <c r="Y23" i="4" s="1"/>
  <c r="I23" i="4"/>
  <c r="AJ23" i="4"/>
  <c r="AL23" i="4"/>
  <c r="AG23" i="4"/>
  <c r="H23" i="4"/>
  <c r="AE22" i="4"/>
  <c r="AM21" i="4"/>
  <c r="AN21" i="4" s="1"/>
  <c r="AF21" i="4"/>
  <c r="E21" i="29"/>
  <c r="I21" i="29"/>
  <c r="K21" i="29"/>
  <c r="T23" i="29"/>
  <c r="B22" i="29"/>
  <c r="B24" i="4"/>
  <c r="AU25" i="4"/>
  <c r="W23" i="28" l="1"/>
  <c r="J20" i="29"/>
  <c r="G21" i="29"/>
  <c r="H21" i="29" s="1"/>
  <c r="J21" i="29" s="1"/>
  <c r="AP22" i="4"/>
  <c r="W23" i="4"/>
  <c r="AP23" i="4" s="1"/>
  <c r="AD22" i="4"/>
  <c r="K23" i="28"/>
  <c r="U23" i="28"/>
  <c r="I23" i="28"/>
  <c r="AK24" i="4"/>
  <c r="AI24" i="4"/>
  <c r="AG24" i="4"/>
  <c r="AL24" i="4"/>
  <c r="AJ24" i="4"/>
  <c r="M24" i="4"/>
  <c r="AH24" i="4"/>
  <c r="G24" i="4"/>
  <c r="H24" i="4"/>
  <c r="L24" i="4"/>
  <c r="AB24" i="4"/>
  <c r="E24" i="4"/>
  <c r="I24" i="4"/>
  <c r="J24" i="4"/>
  <c r="K24" i="4"/>
  <c r="X24" i="4" s="1"/>
  <c r="B25" i="28"/>
  <c r="F25" i="28" s="1"/>
  <c r="Y26" i="28"/>
  <c r="L21" i="29"/>
  <c r="M21" i="29" s="1"/>
  <c r="N24" i="28"/>
  <c r="O24" i="28"/>
  <c r="P24" i="28"/>
  <c r="E24" i="28"/>
  <c r="M24" i="28"/>
  <c r="AU26" i="4"/>
  <c r="B25" i="4"/>
  <c r="T24" i="29"/>
  <c r="B23" i="29"/>
  <c r="K22" i="29"/>
  <c r="E22" i="29"/>
  <c r="G22" i="29" s="1"/>
  <c r="H22" i="29" s="1"/>
  <c r="I22" i="29"/>
  <c r="AE23" i="4"/>
  <c r="AC23" i="4"/>
  <c r="W24" i="28" l="1"/>
  <c r="AO24" i="4"/>
  <c r="V24" i="4"/>
  <c r="AD23" i="4"/>
  <c r="AM23" i="4" s="1"/>
  <c r="AN23" i="4" s="1"/>
  <c r="Y24" i="4"/>
  <c r="Z24" i="4"/>
  <c r="W24" i="4"/>
  <c r="V23" i="28"/>
  <c r="K24" i="28"/>
  <c r="U24" i="28"/>
  <c r="I24" i="28"/>
  <c r="AE24" i="4"/>
  <c r="AU27" i="4"/>
  <c r="B26" i="4"/>
  <c r="E23" i="29"/>
  <c r="G23" i="29" s="1"/>
  <c r="H23" i="29" s="1"/>
  <c r="I23" i="29"/>
  <c r="K23" i="29"/>
  <c r="AM22" i="4"/>
  <c r="AN22" i="4" s="1"/>
  <c r="AF22" i="4"/>
  <c r="T25" i="29"/>
  <c r="B24" i="29"/>
  <c r="M25" i="28"/>
  <c r="N25" i="28"/>
  <c r="P25" i="28"/>
  <c r="E25" i="28"/>
  <c r="O25" i="28"/>
  <c r="AK25" i="4"/>
  <c r="AI25" i="4"/>
  <c r="J25" i="4"/>
  <c r="AH25" i="4"/>
  <c r="H25" i="4"/>
  <c r="G25" i="4"/>
  <c r="AG25" i="4"/>
  <c r="L25" i="4"/>
  <c r="AJ25" i="4"/>
  <c r="E25" i="4"/>
  <c r="AB25" i="4"/>
  <c r="K25" i="4"/>
  <c r="I25" i="4"/>
  <c r="AL25" i="4"/>
  <c r="M25" i="4"/>
  <c r="B26" i="28"/>
  <c r="F26" i="28" s="1"/>
  <c r="Y27" i="28"/>
  <c r="AP24" i="4" l="1"/>
  <c r="W25" i="28"/>
  <c r="V24" i="28"/>
  <c r="AD24" i="4"/>
  <c r="V25" i="4"/>
  <c r="W25" i="4"/>
  <c r="AC24" i="4"/>
  <c r="Z25" i="4"/>
  <c r="X25" i="4"/>
  <c r="Y25" i="4"/>
  <c r="AO25" i="4"/>
  <c r="K25" i="28"/>
  <c r="AF23" i="4"/>
  <c r="U25" i="28"/>
  <c r="I25" i="28"/>
  <c r="AE25" i="4"/>
  <c r="O26" i="28"/>
  <c r="E26" i="28"/>
  <c r="M26" i="28"/>
  <c r="N26" i="28"/>
  <c r="P26" i="28"/>
  <c r="Y28" i="28"/>
  <c r="B27" i="28"/>
  <c r="F27" i="28" s="1"/>
  <c r="V25" i="28"/>
  <c r="J22" i="29"/>
  <c r="L22" i="29"/>
  <c r="M22" i="29" s="1"/>
  <c r="E24" i="29"/>
  <c r="I24" i="29"/>
  <c r="K24" i="29"/>
  <c r="AK26" i="4"/>
  <c r="E26" i="4"/>
  <c r="V26" i="4" s="1"/>
  <c r="G26" i="4"/>
  <c r="AJ26" i="4"/>
  <c r="H26" i="4"/>
  <c r="I26" i="4"/>
  <c r="AH26" i="4"/>
  <c r="AI26" i="4"/>
  <c r="L26" i="4"/>
  <c r="AG26" i="4"/>
  <c r="K26" i="4"/>
  <c r="X26" i="4" s="1"/>
  <c r="AL26" i="4"/>
  <c r="J26" i="4"/>
  <c r="AB26" i="4"/>
  <c r="M26" i="4"/>
  <c r="T26" i="29"/>
  <c r="B25" i="29"/>
  <c r="AU28" i="4"/>
  <c r="B27" i="4"/>
  <c r="W26" i="28" l="1"/>
  <c r="AP25" i="4"/>
  <c r="G24" i="29"/>
  <c r="H24" i="29" s="1"/>
  <c r="AC25" i="4"/>
  <c r="K26" i="28"/>
  <c r="AD25" i="4"/>
  <c r="Y26" i="4"/>
  <c r="Z26" i="4"/>
  <c r="AO26" i="4"/>
  <c r="W26" i="4"/>
  <c r="U26" i="28"/>
  <c r="I26" i="28"/>
  <c r="AM24" i="4"/>
  <c r="AN24" i="4" s="1"/>
  <c r="AF24" i="4"/>
  <c r="B28" i="28"/>
  <c r="F28" i="28" s="1"/>
  <c r="Y29" i="28"/>
  <c r="AE26" i="4"/>
  <c r="AK27" i="4"/>
  <c r="AI27" i="4"/>
  <c r="AG27" i="4"/>
  <c r="AJ27" i="4"/>
  <c r="J27" i="4"/>
  <c r="H27" i="4"/>
  <c r="L27" i="4"/>
  <c r="G27" i="4"/>
  <c r="K27" i="4"/>
  <c r="X27" i="4" s="1"/>
  <c r="AL27" i="4"/>
  <c r="E27" i="4"/>
  <c r="V27" i="4" s="1"/>
  <c r="AB27" i="4"/>
  <c r="I27" i="4"/>
  <c r="M27" i="4"/>
  <c r="AH27" i="4"/>
  <c r="V26" i="28"/>
  <c r="L23" i="29"/>
  <c r="M23" i="29" s="1"/>
  <c r="J23" i="29"/>
  <c r="T27" i="29"/>
  <c r="B26" i="29"/>
  <c r="B28" i="4"/>
  <c r="AU29" i="4"/>
  <c r="E25" i="29"/>
  <c r="K25" i="29"/>
  <c r="I25" i="29"/>
  <c r="P27" i="28"/>
  <c r="O27" i="28"/>
  <c r="N27" i="28"/>
  <c r="E27" i="28"/>
  <c r="M27" i="28"/>
  <c r="W27" i="28" l="1"/>
  <c r="AF25" i="4"/>
  <c r="G25" i="29"/>
  <c r="H25" i="29" s="1"/>
  <c r="AM25" i="4"/>
  <c r="AN25" i="4" s="1"/>
  <c r="AC26" i="4"/>
  <c r="Y27" i="4"/>
  <c r="Z27" i="4"/>
  <c r="AP26" i="4"/>
  <c r="AD26" i="4"/>
  <c r="AM26" i="4" s="1"/>
  <c r="AN26" i="4" s="1"/>
  <c r="W27" i="4"/>
  <c r="AO27" i="4"/>
  <c r="K27" i="28"/>
  <c r="U27" i="28"/>
  <c r="I27" i="28"/>
  <c r="K26" i="29"/>
  <c r="I26" i="29"/>
  <c r="E26" i="29"/>
  <c r="AK28" i="4"/>
  <c r="H28" i="4"/>
  <c r="K28" i="4"/>
  <c r="L28" i="4"/>
  <c r="J28" i="4"/>
  <c r="AJ28" i="4"/>
  <c r="AB28" i="4"/>
  <c r="I28" i="4"/>
  <c r="E28" i="4"/>
  <c r="M28" i="4"/>
  <c r="AI28" i="4"/>
  <c r="AG28" i="4"/>
  <c r="AH28" i="4"/>
  <c r="AL28" i="4"/>
  <c r="G28" i="4"/>
  <c r="J24" i="29"/>
  <c r="L24" i="29"/>
  <c r="M24" i="29" s="1"/>
  <c r="B27" i="29"/>
  <c r="T28" i="29"/>
  <c r="B29" i="4"/>
  <c r="AU30" i="4"/>
  <c r="Y30" i="28"/>
  <c r="B29" i="28"/>
  <c r="F29" i="28" s="1"/>
  <c r="AE27" i="4"/>
  <c r="E28" i="28"/>
  <c r="P28" i="28"/>
  <c r="M28" i="28"/>
  <c r="O28" i="28"/>
  <c r="N28" i="28"/>
  <c r="W28" i="28" l="1"/>
  <c r="V28" i="4"/>
  <c r="AO28" i="4"/>
  <c r="G26" i="29"/>
  <c r="H26" i="29" s="1"/>
  <c r="W28" i="4"/>
  <c r="AP28" i="4" s="1"/>
  <c r="AC27" i="4"/>
  <c r="AF26" i="4"/>
  <c r="Z28" i="4"/>
  <c r="AP27" i="4"/>
  <c r="Y28" i="4"/>
  <c r="X28" i="4"/>
  <c r="AD27" i="4"/>
  <c r="AM27" i="4" s="1"/>
  <c r="AN27" i="4" s="1"/>
  <c r="V27" i="28"/>
  <c r="I28" i="28"/>
  <c r="K28" i="28"/>
  <c r="M29" i="28"/>
  <c r="P29" i="28"/>
  <c r="N29" i="28"/>
  <c r="O29" i="28"/>
  <c r="E29" i="28"/>
  <c r="AK29" i="4"/>
  <c r="L29" i="4"/>
  <c r="E29" i="4"/>
  <c r="AJ29" i="4"/>
  <c r="I29" i="4"/>
  <c r="H29" i="4"/>
  <c r="AI29" i="4"/>
  <c r="AL29" i="4"/>
  <c r="M29" i="4"/>
  <c r="AH29" i="4"/>
  <c r="AG29" i="4"/>
  <c r="AB29" i="4"/>
  <c r="K29" i="4"/>
  <c r="G29" i="4"/>
  <c r="J29" i="4"/>
  <c r="B30" i="28"/>
  <c r="F30" i="28" s="1"/>
  <c r="Y31" i="28"/>
  <c r="T29" i="29"/>
  <c r="B28" i="29"/>
  <c r="U28" i="28"/>
  <c r="J28" i="28"/>
  <c r="E27" i="29"/>
  <c r="I27" i="29"/>
  <c r="K27" i="29"/>
  <c r="AU31" i="4"/>
  <c r="B30" i="4"/>
  <c r="J25" i="29"/>
  <c r="L25" i="29"/>
  <c r="M25" i="29" s="1"/>
  <c r="AE28" i="4"/>
  <c r="AC28" i="4" l="1"/>
  <c r="W29" i="28"/>
  <c r="AD28" i="4"/>
  <c r="V29" i="4"/>
  <c r="G27" i="29"/>
  <c r="H27" i="29" s="1"/>
  <c r="J27" i="29" s="1"/>
  <c r="AF27" i="4"/>
  <c r="Y29" i="4"/>
  <c r="X29" i="4"/>
  <c r="Z29" i="4"/>
  <c r="AO29" i="4"/>
  <c r="W29" i="4"/>
  <c r="K29" i="28"/>
  <c r="U29" i="28"/>
  <c r="V29" i="28" s="1"/>
  <c r="I29" i="28"/>
  <c r="B31" i="4"/>
  <c r="AU32" i="4"/>
  <c r="L28" i="28"/>
  <c r="Q28" i="28"/>
  <c r="R28" i="28" s="1"/>
  <c r="T28" i="28" s="1"/>
  <c r="B29" i="29"/>
  <c r="T30" i="29"/>
  <c r="AE29" i="4"/>
  <c r="B31" i="28"/>
  <c r="F31" i="28" s="1"/>
  <c r="Y32" i="28"/>
  <c r="AK30" i="4"/>
  <c r="AB30" i="4"/>
  <c r="L30" i="4"/>
  <c r="Y30" i="4" s="1"/>
  <c r="G30" i="4"/>
  <c r="AG30" i="4"/>
  <c r="E30" i="4"/>
  <c r="V30" i="4" s="1"/>
  <c r="H30" i="4"/>
  <c r="M30" i="4"/>
  <c r="Z30" i="4" s="1"/>
  <c r="AH30" i="4"/>
  <c r="J30" i="4"/>
  <c r="AO30" i="4" s="1"/>
  <c r="AJ30" i="4"/>
  <c r="I30" i="4"/>
  <c r="AI30" i="4"/>
  <c r="K30" i="4"/>
  <c r="X30" i="4" s="1"/>
  <c r="AL30" i="4"/>
  <c r="L26" i="29"/>
  <c r="M26" i="29" s="1"/>
  <c r="J26" i="29"/>
  <c r="O30" i="28"/>
  <c r="E30" i="28"/>
  <c r="N30" i="28"/>
  <c r="P30" i="28"/>
  <c r="M30" i="28"/>
  <c r="E28" i="29"/>
  <c r="K28" i="29"/>
  <c r="I28" i="29"/>
  <c r="V28" i="28"/>
  <c r="W30" i="28" l="1"/>
  <c r="AC29" i="4"/>
  <c r="G28" i="29"/>
  <c r="H28" i="29" s="1"/>
  <c r="L28" i="29" s="1"/>
  <c r="M28" i="29" s="1"/>
  <c r="K30" i="28"/>
  <c r="AP29" i="4"/>
  <c r="AD29" i="4"/>
  <c r="L27" i="29"/>
  <c r="M27" i="29" s="1"/>
  <c r="W30" i="4"/>
  <c r="AP30" i="4" s="1"/>
  <c r="U30" i="28"/>
  <c r="I30" i="28"/>
  <c r="AC30" i="4"/>
  <c r="B32" i="28"/>
  <c r="F32" i="28" s="1"/>
  <c r="Y33" i="28"/>
  <c r="M31" i="28"/>
  <c r="N31" i="28"/>
  <c r="P31" i="28"/>
  <c r="E31" i="28"/>
  <c r="O31" i="28"/>
  <c r="AF28" i="4"/>
  <c r="AM28" i="4"/>
  <c r="AN28" i="4" s="1"/>
  <c r="T31" i="29"/>
  <c r="B30" i="29"/>
  <c r="B32" i="4"/>
  <c r="AU33" i="4"/>
  <c r="AE30" i="4"/>
  <c r="K29" i="29"/>
  <c r="E29" i="29"/>
  <c r="I29" i="29"/>
  <c r="AK31" i="4"/>
  <c r="AB31" i="4"/>
  <c r="G31" i="4"/>
  <c r="AG31" i="4"/>
  <c r="AJ31" i="4"/>
  <c r="J31" i="4"/>
  <c r="M31" i="4"/>
  <c r="Z31" i="4" s="1"/>
  <c r="AL31" i="4"/>
  <c r="I31" i="4"/>
  <c r="E31" i="4"/>
  <c r="AH31" i="4"/>
  <c r="AI31" i="4"/>
  <c r="H31" i="4"/>
  <c r="L31" i="4"/>
  <c r="Y31" i="4" s="1"/>
  <c r="K31" i="4"/>
  <c r="X31" i="4" s="1"/>
  <c r="V30" i="28" l="1"/>
  <c r="J28" i="29"/>
  <c r="V31" i="4"/>
  <c r="G29" i="29"/>
  <c r="H29" i="29" s="1"/>
  <c r="J29" i="29" s="1"/>
  <c r="W31" i="28"/>
  <c r="AD30" i="4"/>
  <c r="AF30" i="4" s="1"/>
  <c r="W31" i="4"/>
  <c r="AO31" i="4"/>
  <c r="I31" i="28"/>
  <c r="K31" i="28"/>
  <c r="AC31" i="4"/>
  <c r="L29" i="29"/>
  <c r="M29" i="29" s="1"/>
  <c r="AK32" i="4"/>
  <c r="K32" i="4"/>
  <c r="X32" i="4" s="1"/>
  <c r="AH32" i="4"/>
  <c r="E32" i="4"/>
  <c r="V32" i="4" s="1"/>
  <c r="AB32" i="4"/>
  <c r="AG32" i="4"/>
  <c r="G32" i="4"/>
  <c r="I32" i="4"/>
  <c r="AL32" i="4"/>
  <c r="M32" i="4"/>
  <c r="Z32" i="4" s="1"/>
  <c r="J32" i="4"/>
  <c r="AO32" i="4" s="1"/>
  <c r="L32" i="4"/>
  <c r="Y32" i="4" s="1"/>
  <c r="H32" i="4"/>
  <c r="AJ32" i="4"/>
  <c r="AI32" i="4"/>
  <c r="Y34" i="28"/>
  <c r="B33" i="28"/>
  <c r="F33" i="28" s="1"/>
  <c r="I30" i="29"/>
  <c r="E30" i="29"/>
  <c r="K30" i="29"/>
  <c r="N32" i="28"/>
  <c r="E32" i="28"/>
  <c r="P32" i="28"/>
  <c r="M32" i="28"/>
  <c r="O32" i="28"/>
  <c r="B31" i="29"/>
  <c r="T32" i="29"/>
  <c r="AE31" i="4"/>
  <c r="AF29" i="4"/>
  <c r="AM29" i="4"/>
  <c r="AN29" i="4" s="1"/>
  <c r="AU34" i="4"/>
  <c r="B33" i="4"/>
  <c r="J31" i="28"/>
  <c r="L31" i="28" s="1"/>
  <c r="U31" i="28"/>
  <c r="W32" i="28" l="1"/>
  <c r="G30" i="29"/>
  <c r="H30" i="29" s="1"/>
  <c r="AP31" i="4"/>
  <c r="AD31" i="4"/>
  <c r="W32" i="4"/>
  <c r="AP32" i="4" s="1"/>
  <c r="AM30" i="4"/>
  <c r="AN30" i="4" s="1"/>
  <c r="I32" i="28"/>
  <c r="K32" i="28"/>
  <c r="Q31" i="28"/>
  <c r="R31" i="28" s="1"/>
  <c r="J30" i="29"/>
  <c r="T33" i="29"/>
  <c r="B32" i="29"/>
  <c r="V31" i="28"/>
  <c r="AK33" i="4"/>
  <c r="I33" i="4"/>
  <c r="AJ33" i="4"/>
  <c r="AB33" i="4"/>
  <c r="AI33" i="4"/>
  <c r="AH33" i="4"/>
  <c r="L33" i="4"/>
  <c r="Y33" i="4" s="1"/>
  <c r="M33" i="4"/>
  <c r="Z33" i="4" s="1"/>
  <c r="H33" i="4"/>
  <c r="AL33" i="4"/>
  <c r="AG33" i="4"/>
  <c r="G33" i="4"/>
  <c r="K33" i="4"/>
  <c r="X33" i="4" s="1"/>
  <c r="J33" i="4"/>
  <c r="AO33" i="4" s="1"/>
  <c r="E33" i="4"/>
  <c r="V33" i="4" s="1"/>
  <c r="I31" i="29"/>
  <c r="E31" i="29"/>
  <c r="K31" i="29"/>
  <c r="AM31" i="4"/>
  <c r="AN31" i="4" s="1"/>
  <c r="E33" i="28"/>
  <c r="N33" i="28"/>
  <c r="P33" i="28"/>
  <c r="M33" i="28"/>
  <c r="O33" i="28"/>
  <c r="AC32" i="4"/>
  <c r="AU35" i="4"/>
  <c r="B34" i="4"/>
  <c r="J32" i="28"/>
  <c r="U32" i="28"/>
  <c r="Y35" i="28"/>
  <c r="B34" i="28"/>
  <c r="F34" i="28" s="1"/>
  <c r="AE32" i="4"/>
  <c r="W33" i="28" l="1"/>
  <c r="AF31" i="4"/>
  <c r="G31" i="29"/>
  <c r="H31" i="29" s="1"/>
  <c r="AD32" i="4"/>
  <c r="L30" i="29"/>
  <c r="M30" i="29" s="1"/>
  <c r="W33" i="4"/>
  <c r="AP33" i="4" s="1"/>
  <c r="AC33" i="4"/>
  <c r="I33" i="28"/>
  <c r="K33" i="28"/>
  <c r="V32" i="28"/>
  <c r="B35" i="4"/>
  <c r="AU36" i="4"/>
  <c r="O34" i="28"/>
  <c r="E34" i="28"/>
  <c r="M34" i="28"/>
  <c r="P34" i="28"/>
  <c r="N34" i="28"/>
  <c r="AE33" i="4"/>
  <c r="I32" i="29"/>
  <c r="K32" i="29"/>
  <c r="E32" i="29"/>
  <c r="Y36" i="28"/>
  <c r="B35" i="28"/>
  <c r="F35" i="28" s="1"/>
  <c r="Q32" i="28"/>
  <c r="R32" i="28" s="1"/>
  <c r="T32" i="28" s="1"/>
  <c r="L32" i="28"/>
  <c r="AK34" i="4"/>
  <c r="I34" i="4"/>
  <c r="L34" i="4"/>
  <c r="Y34" i="4" s="1"/>
  <c r="K34" i="4"/>
  <c r="X34" i="4" s="1"/>
  <c r="J34" i="4"/>
  <c r="E34" i="4"/>
  <c r="H34" i="4"/>
  <c r="G34" i="4"/>
  <c r="AH34" i="4"/>
  <c r="AG34" i="4"/>
  <c r="AB34" i="4"/>
  <c r="AJ34" i="4"/>
  <c r="AI34" i="4"/>
  <c r="M34" i="4"/>
  <c r="Z34" i="4" s="1"/>
  <c r="AL34" i="4"/>
  <c r="U33" i="28"/>
  <c r="J33" i="28"/>
  <c r="T34" i="29"/>
  <c r="B33" i="29"/>
  <c r="T31" i="28"/>
  <c r="W34" i="28" l="1"/>
  <c r="V34" i="4"/>
  <c r="G32" i="29"/>
  <c r="H32" i="29" s="1"/>
  <c r="AD33" i="4"/>
  <c r="AF33" i="4" s="1"/>
  <c r="AO34" i="4"/>
  <c r="W34" i="4"/>
  <c r="I34" i="28"/>
  <c r="K34" i="28"/>
  <c r="L31" i="29"/>
  <c r="M31" i="29" s="1"/>
  <c r="J31" i="29"/>
  <c r="M35" i="28"/>
  <c r="E35" i="28"/>
  <c r="N35" i="28"/>
  <c r="P35" i="28"/>
  <c r="O35" i="28"/>
  <c r="B36" i="28"/>
  <c r="F36" i="28" s="1"/>
  <c r="Y37" i="28"/>
  <c r="V33" i="28"/>
  <c r="K33" i="29"/>
  <c r="E33" i="29"/>
  <c r="I33" i="29"/>
  <c r="AC34" i="4"/>
  <c r="B36" i="4"/>
  <c r="AU37" i="4"/>
  <c r="Q33" i="28"/>
  <c r="R33" i="28" s="1"/>
  <c r="T33" i="28" s="1"/>
  <c r="L33" i="28"/>
  <c r="T35" i="29"/>
  <c r="B34" i="29"/>
  <c r="AE34" i="4"/>
  <c r="U34" i="28"/>
  <c r="J34" i="28"/>
  <c r="Q34" i="28" s="1"/>
  <c r="M14" i="7"/>
  <c r="AF32" i="4"/>
  <c r="AM32" i="4"/>
  <c r="AN32" i="4" s="1"/>
  <c r="AK35" i="4"/>
  <c r="J35" i="4"/>
  <c r="AO35" i="4" s="1"/>
  <c r="AG35" i="4"/>
  <c r="I35" i="4"/>
  <c r="AH35" i="4"/>
  <c r="M35" i="4"/>
  <c r="Z35" i="4" s="1"/>
  <c r="G35" i="4"/>
  <c r="AB35" i="4"/>
  <c r="K35" i="4"/>
  <c r="X35" i="4" s="1"/>
  <c r="AL35" i="4"/>
  <c r="AI35" i="4"/>
  <c r="H35" i="4"/>
  <c r="E35" i="4"/>
  <c r="V35" i="4" s="1"/>
  <c r="L35" i="4"/>
  <c r="Y35" i="4" s="1"/>
  <c r="AJ35" i="4"/>
  <c r="AM33" i="4" l="1"/>
  <c r="AN33" i="4" s="1"/>
  <c r="G33" i="29"/>
  <c r="H33" i="29" s="1"/>
  <c r="W35" i="28"/>
  <c r="AP34" i="4"/>
  <c r="W35" i="4"/>
  <c r="AP35" i="4" s="1"/>
  <c r="AD34" i="4"/>
  <c r="I35" i="28"/>
  <c r="K35" i="28"/>
  <c r="AC35" i="4"/>
  <c r="L34" i="28"/>
  <c r="N36" i="28"/>
  <c r="P36" i="28"/>
  <c r="O36" i="28"/>
  <c r="M36" i="28"/>
  <c r="E36" i="28"/>
  <c r="T36" i="29"/>
  <c r="B35" i="29"/>
  <c r="AK36" i="4"/>
  <c r="I36" i="4"/>
  <c r="J36" i="4"/>
  <c r="AB36" i="4"/>
  <c r="AI36" i="4"/>
  <c r="AJ36" i="4"/>
  <c r="AH36" i="4"/>
  <c r="AG36" i="4"/>
  <c r="L36" i="4"/>
  <c r="Y36" i="4" s="1"/>
  <c r="H36" i="4"/>
  <c r="G36" i="4"/>
  <c r="M36" i="4"/>
  <c r="Z36" i="4" s="1"/>
  <c r="E36" i="4"/>
  <c r="K36" i="4"/>
  <c r="X36" i="4" s="1"/>
  <c r="AL36" i="4"/>
  <c r="V34" i="28"/>
  <c r="AE35" i="4"/>
  <c r="I34" i="29"/>
  <c r="E34" i="29"/>
  <c r="K34" i="29"/>
  <c r="AU38" i="4"/>
  <c r="B37" i="4"/>
  <c r="J32" i="29"/>
  <c r="L32" i="29"/>
  <c r="M32" i="29" s="1"/>
  <c r="Y38" i="28"/>
  <c r="B37" i="28"/>
  <c r="F37" i="28" s="1"/>
  <c r="J35" i="28"/>
  <c r="U35" i="28"/>
  <c r="R34" i="28"/>
  <c r="W36" i="28" l="1"/>
  <c r="G34" i="29"/>
  <c r="H34" i="29" s="1"/>
  <c r="W36" i="4"/>
  <c r="V35" i="28"/>
  <c r="AD35" i="4"/>
  <c r="AO36" i="4"/>
  <c r="V36" i="4"/>
  <c r="AD36" i="4" s="1"/>
  <c r="I36" i="28"/>
  <c r="K36" i="28"/>
  <c r="AC36" i="4"/>
  <c r="M15" i="7"/>
  <c r="M16" i="7" s="1"/>
  <c r="M4" i="7" s="1"/>
  <c r="AM34" i="4"/>
  <c r="AN34" i="4" s="1"/>
  <c r="AF34" i="4"/>
  <c r="M37" i="28"/>
  <c r="O37" i="28"/>
  <c r="N37" i="28"/>
  <c r="E37" i="28"/>
  <c r="P37" i="28"/>
  <c r="AE36" i="4"/>
  <c r="AF36" i="4" s="1"/>
  <c r="B36" i="29"/>
  <c r="T37" i="29"/>
  <c r="Y39" i="28"/>
  <c r="B38" i="28"/>
  <c r="F38" i="28" s="1"/>
  <c r="AK37" i="4"/>
  <c r="H37" i="4"/>
  <c r="AI37" i="4"/>
  <c r="K37" i="4"/>
  <c r="X37" i="4" s="1"/>
  <c r="AB37" i="4"/>
  <c r="AL37" i="4"/>
  <c r="I37" i="4"/>
  <c r="AJ37" i="4"/>
  <c r="AG37" i="4"/>
  <c r="L37" i="4"/>
  <c r="Y37" i="4" s="1"/>
  <c r="AH37" i="4"/>
  <c r="J37" i="4"/>
  <c r="AO37" i="4" s="1"/>
  <c r="M37" i="4"/>
  <c r="Z37" i="4" s="1"/>
  <c r="E37" i="4"/>
  <c r="V37" i="4" s="1"/>
  <c r="G37" i="4"/>
  <c r="J36" i="28"/>
  <c r="U36" i="28"/>
  <c r="L33" i="29"/>
  <c r="M33" i="29" s="1"/>
  <c r="J33" i="29"/>
  <c r="AU39" i="4"/>
  <c r="B38" i="4"/>
  <c r="Q35" i="28"/>
  <c r="R35" i="28" s="1"/>
  <c r="T35" i="28" s="1"/>
  <c r="L35" i="28"/>
  <c r="K35" i="29"/>
  <c r="E35" i="29"/>
  <c r="I35" i="29"/>
  <c r="T34" i="28"/>
  <c r="Q36" i="28"/>
  <c r="W37" i="28" l="1"/>
  <c r="AM36" i="4"/>
  <c r="AN36" i="4" s="1"/>
  <c r="AP36" i="4"/>
  <c r="G35" i="29"/>
  <c r="H35" i="29" s="1"/>
  <c r="J35" i="29" s="1"/>
  <c r="W37" i="4"/>
  <c r="AP37" i="4" s="1"/>
  <c r="K37" i="28"/>
  <c r="I37" i="28"/>
  <c r="V36" i="28"/>
  <c r="AF35" i="4"/>
  <c r="AM35" i="4"/>
  <c r="AN35" i="4" s="1"/>
  <c r="L36" i="28"/>
  <c r="AC37" i="4"/>
  <c r="N38" i="28"/>
  <c r="O38" i="28"/>
  <c r="P38" i="28"/>
  <c r="E38" i="28"/>
  <c r="M38" i="28"/>
  <c r="Y40" i="28"/>
  <c r="B39" i="28"/>
  <c r="F39" i="28" s="1"/>
  <c r="L34" i="29"/>
  <c r="M34" i="29" s="1"/>
  <c r="J34" i="29"/>
  <c r="U37" i="28"/>
  <c r="J37" i="28"/>
  <c r="AK38" i="4"/>
  <c r="H38" i="4"/>
  <c r="AI38" i="4"/>
  <c r="I38" i="4"/>
  <c r="AJ38" i="4"/>
  <c r="AH38" i="4"/>
  <c r="AB38" i="4"/>
  <c r="AG38" i="4"/>
  <c r="E38" i="4"/>
  <c r="V38" i="4" s="1"/>
  <c r="G38" i="4"/>
  <c r="AL38" i="4"/>
  <c r="M38" i="4"/>
  <c r="Z38" i="4" s="1"/>
  <c r="J38" i="4"/>
  <c r="AO38" i="4" s="1"/>
  <c r="L38" i="4"/>
  <c r="Y38" i="4" s="1"/>
  <c r="K38" i="4"/>
  <c r="X38" i="4" s="1"/>
  <c r="AE37" i="4"/>
  <c r="T38" i="29"/>
  <c r="B37" i="29"/>
  <c r="L35" i="29"/>
  <c r="M35" i="29" s="1"/>
  <c r="AU40" i="4"/>
  <c r="B39" i="4"/>
  <c r="K36" i="29"/>
  <c r="E36" i="29"/>
  <c r="G36" i="29" s="1"/>
  <c r="H36" i="29" s="1"/>
  <c r="I36" i="29"/>
  <c r="R36" i="28"/>
  <c r="W38" i="28" l="1"/>
  <c r="AD37" i="4"/>
  <c r="W38" i="4"/>
  <c r="AP38" i="4" s="1"/>
  <c r="I38" i="28"/>
  <c r="K38" i="28"/>
  <c r="V37" i="28"/>
  <c r="L37" i="28"/>
  <c r="Q37" i="28"/>
  <c r="R37" i="28" s="1"/>
  <c r="T37" i="28" s="1"/>
  <c r="O39" i="28"/>
  <c r="N39" i="28"/>
  <c r="P39" i="28"/>
  <c r="E39" i="28"/>
  <c r="M39" i="28"/>
  <c r="AK39" i="4"/>
  <c r="AB39" i="4"/>
  <c r="G39" i="4"/>
  <c r="AH39" i="4"/>
  <c r="I39" i="4"/>
  <c r="AJ39" i="4"/>
  <c r="E39" i="4"/>
  <c r="V39" i="4" s="1"/>
  <c r="AI39" i="4"/>
  <c r="AG39" i="4"/>
  <c r="H39" i="4"/>
  <c r="AL39" i="4"/>
  <c r="J39" i="4"/>
  <c r="AO39" i="4" s="1"/>
  <c r="K39" i="4"/>
  <c r="X39" i="4" s="1"/>
  <c r="M39" i="4"/>
  <c r="Z39" i="4" s="1"/>
  <c r="L39" i="4"/>
  <c r="Y39" i="4" s="1"/>
  <c r="I37" i="29"/>
  <c r="K37" i="29"/>
  <c r="E37" i="29"/>
  <c r="G37" i="29" s="1"/>
  <c r="H37" i="29" s="1"/>
  <c r="AE38" i="4"/>
  <c r="B40" i="28"/>
  <c r="F40" i="28" s="1"/>
  <c r="Y41" i="28"/>
  <c r="AC38" i="4"/>
  <c r="AU41" i="4"/>
  <c r="B40" i="4"/>
  <c r="B38" i="29"/>
  <c r="T39" i="29"/>
  <c r="U38" i="28"/>
  <c r="J38" i="28"/>
  <c r="T36" i="28"/>
  <c r="W39" i="28" l="1"/>
  <c r="AM37" i="4"/>
  <c r="AN37" i="4" s="1"/>
  <c r="AD38" i="4"/>
  <c r="W39" i="4"/>
  <c r="AP39" i="4" s="1"/>
  <c r="AF37" i="4"/>
  <c r="I39" i="28"/>
  <c r="K39" i="28"/>
  <c r="AE39" i="4"/>
  <c r="L38" i="28"/>
  <c r="Q38" i="28"/>
  <c r="R38" i="28" s="1"/>
  <c r="T38" i="28" s="1"/>
  <c r="I38" i="29"/>
  <c r="K38" i="29"/>
  <c r="E38" i="29"/>
  <c r="G38" i="29" s="1"/>
  <c r="H38" i="29" s="1"/>
  <c r="M40" i="28"/>
  <c r="E40" i="28"/>
  <c r="N40" i="28"/>
  <c r="O40" i="28"/>
  <c r="P40" i="28"/>
  <c r="AC39" i="4"/>
  <c r="J39" i="28"/>
  <c r="U39" i="28"/>
  <c r="V39" i="28"/>
  <c r="AK40" i="4"/>
  <c r="H40" i="4"/>
  <c r="M40" i="4"/>
  <c r="Z40" i="4" s="1"/>
  <c r="G40" i="4"/>
  <c r="AH40" i="4"/>
  <c r="E40" i="4"/>
  <c r="J40" i="4"/>
  <c r="AI40" i="4"/>
  <c r="AG40" i="4"/>
  <c r="AB40" i="4"/>
  <c r="K40" i="4"/>
  <c r="X40" i="4" s="1"/>
  <c r="I40" i="4"/>
  <c r="L40" i="4"/>
  <c r="Y40" i="4" s="1"/>
  <c r="AL40" i="4"/>
  <c r="AJ40" i="4"/>
  <c r="V38" i="28"/>
  <c r="AU42" i="4"/>
  <c r="B41" i="4"/>
  <c r="T40" i="29"/>
  <c r="B39" i="29"/>
  <c r="L36" i="29"/>
  <c r="M36" i="29" s="1"/>
  <c r="J36" i="29"/>
  <c r="B41" i="28"/>
  <c r="F41" i="28" s="1"/>
  <c r="Y42" i="28"/>
  <c r="Q39" i="28"/>
  <c r="W40" i="28" l="1"/>
  <c r="K40" i="28"/>
  <c r="AD39" i="4"/>
  <c r="W40" i="4"/>
  <c r="AO40" i="4"/>
  <c r="V40" i="4"/>
  <c r="I40" i="28"/>
  <c r="L39" i="28"/>
  <c r="Y43" i="28"/>
  <c r="B42" i="28"/>
  <c r="F42" i="28" s="1"/>
  <c r="K39" i="29"/>
  <c r="I39" i="29"/>
  <c r="E39" i="29"/>
  <c r="G39" i="29" s="1"/>
  <c r="H39" i="29" s="1"/>
  <c r="AC40" i="4"/>
  <c r="U40" i="28"/>
  <c r="J40" i="28"/>
  <c r="M41" i="28"/>
  <c r="P41" i="28"/>
  <c r="N41" i="28"/>
  <c r="O41" i="28"/>
  <c r="E41" i="28"/>
  <c r="B40" i="29"/>
  <c r="T41" i="29"/>
  <c r="AE40" i="4"/>
  <c r="AK41" i="4"/>
  <c r="AG41" i="4"/>
  <c r="M41" i="4"/>
  <c r="Z41" i="4" s="1"/>
  <c r="H41" i="4"/>
  <c r="G41" i="4"/>
  <c r="AH41" i="4"/>
  <c r="AI41" i="4"/>
  <c r="E41" i="4"/>
  <c r="V41" i="4" s="1"/>
  <c r="AL41" i="4"/>
  <c r="K41" i="4"/>
  <c r="X41" i="4" s="1"/>
  <c r="AJ41" i="4"/>
  <c r="I41" i="4"/>
  <c r="AB41" i="4"/>
  <c r="J41" i="4"/>
  <c r="AO41" i="4" s="1"/>
  <c r="L41" i="4"/>
  <c r="Y41" i="4" s="1"/>
  <c r="AF38" i="4"/>
  <c r="AM38" i="4"/>
  <c r="AN38" i="4" s="1"/>
  <c r="AU43" i="4"/>
  <c r="B42" i="4"/>
  <c r="J37" i="29"/>
  <c r="L37" i="29"/>
  <c r="M37" i="29" s="1"/>
  <c r="V40" i="28"/>
  <c r="L38" i="29"/>
  <c r="M38" i="29" s="1"/>
  <c r="J38" i="29"/>
  <c r="R39" i="28"/>
  <c r="W41" i="28" l="1"/>
  <c r="AP40" i="4"/>
  <c r="AD40" i="4"/>
  <c r="AF40" i="4" s="1"/>
  <c r="W41" i="4"/>
  <c r="AP41" i="4" s="1"/>
  <c r="I41" i="28"/>
  <c r="K41" i="28"/>
  <c r="AC41" i="4"/>
  <c r="AK42" i="4"/>
  <c r="AB42" i="4"/>
  <c r="E42" i="4"/>
  <c r="V42" i="4" s="1"/>
  <c r="AG42" i="4"/>
  <c r="AI42" i="4"/>
  <c r="I42" i="4"/>
  <c r="AJ42" i="4"/>
  <c r="H42" i="4"/>
  <c r="J42" i="4"/>
  <c r="AO42" i="4" s="1"/>
  <c r="AL42" i="4"/>
  <c r="K42" i="4"/>
  <c r="X42" i="4" s="1"/>
  <c r="G42" i="4"/>
  <c r="AH42" i="4"/>
  <c r="M42" i="4"/>
  <c r="Z42" i="4" s="1"/>
  <c r="L42" i="4"/>
  <c r="Y42" i="4" s="1"/>
  <c r="AM39" i="4"/>
  <c r="AN39" i="4" s="1"/>
  <c r="AF39" i="4"/>
  <c r="U41" i="28"/>
  <c r="V41" i="28" s="1"/>
  <c r="J41" i="28"/>
  <c r="T42" i="29"/>
  <c r="B41" i="29"/>
  <c r="E42" i="28"/>
  <c r="M42" i="28"/>
  <c r="N42" i="28"/>
  <c r="O42" i="28"/>
  <c r="P42" i="28"/>
  <c r="B43" i="4"/>
  <c r="AU44" i="4"/>
  <c r="AE41" i="4"/>
  <c r="E40" i="29"/>
  <c r="G40" i="29" s="1"/>
  <c r="H40" i="29" s="1"/>
  <c r="I40" i="29"/>
  <c r="K40" i="29"/>
  <c r="L40" i="28"/>
  <c r="Q40" i="28"/>
  <c r="R40" i="28" s="1"/>
  <c r="T40" i="28" s="1"/>
  <c r="J39" i="29"/>
  <c r="L39" i="29"/>
  <c r="M39" i="29" s="1"/>
  <c r="Y44" i="28"/>
  <c r="B43" i="28"/>
  <c r="F43" i="28" s="1"/>
  <c r="T39" i="28"/>
  <c r="W42" i="28" l="1"/>
  <c r="AM40" i="4"/>
  <c r="AN40" i="4" s="1"/>
  <c r="K42" i="28"/>
  <c r="AD41" i="4"/>
  <c r="W42" i="4"/>
  <c r="AP42" i="4" s="1"/>
  <c r="I42" i="28"/>
  <c r="AC42" i="4"/>
  <c r="O43" i="28"/>
  <c r="E43" i="28"/>
  <c r="M43" i="28"/>
  <c r="N43" i="28"/>
  <c r="P43" i="28"/>
  <c r="AU45" i="4"/>
  <c r="B44" i="4"/>
  <c r="J42" i="28"/>
  <c r="U42" i="28"/>
  <c r="Q41" i="28"/>
  <c r="R41" i="28" s="1"/>
  <c r="T41" i="28" s="1"/>
  <c r="L41" i="28"/>
  <c r="AE42" i="4"/>
  <c r="K41" i="29"/>
  <c r="E41" i="29"/>
  <c r="G41" i="29" s="1"/>
  <c r="H41" i="29" s="1"/>
  <c r="I41" i="29"/>
  <c r="Y45" i="28"/>
  <c r="B44" i="28"/>
  <c r="F44" i="28" s="1"/>
  <c r="AK43" i="4"/>
  <c r="L43" i="4"/>
  <c r="Y43" i="4" s="1"/>
  <c r="K43" i="4"/>
  <c r="X43" i="4" s="1"/>
  <c r="I43" i="4"/>
  <c r="J43" i="4"/>
  <c r="AO43" i="4" s="1"/>
  <c r="E43" i="4"/>
  <c r="V43" i="4" s="1"/>
  <c r="AG43" i="4"/>
  <c r="H43" i="4"/>
  <c r="AJ43" i="4"/>
  <c r="M43" i="4"/>
  <c r="Z43" i="4" s="1"/>
  <c r="AB43" i="4"/>
  <c r="AL43" i="4"/>
  <c r="AH43" i="4"/>
  <c r="AI43" i="4"/>
  <c r="G43" i="4"/>
  <c r="V42" i="28"/>
  <c r="T43" i="29"/>
  <c r="B42" i="29"/>
  <c r="W43" i="28" l="1"/>
  <c r="W43" i="4"/>
  <c r="AP43" i="4" s="1"/>
  <c r="K43" i="28"/>
  <c r="AD42" i="4"/>
  <c r="I43" i="28"/>
  <c r="B43" i="29"/>
  <c r="T44" i="29"/>
  <c r="AE43" i="4"/>
  <c r="P44" i="28"/>
  <c r="N44" i="28"/>
  <c r="O44" i="28"/>
  <c r="M44" i="28"/>
  <c r="E44" i="28"/>
  <c r="AK44" i="4"/>
  <c r="E44" i="4"/>
  <c r="V44" i="4" s="1"/>
  <c r="L44" i="4"/>
  <c r="Y44" i="4" s="1"/>
  <c r="K44" i="4"/>
  <c r="X44" i="4" s="1"/>
  <c r="AG44" i="4"/>
  <c r="J44" i="4"/>
  <c r="AO44" i="4" s="1"/>
  <c r="AL44" i="4"/>
  <c r="I44" i="4"/>
  <c r="G44" i="4"/>
  <c r="AB44" i="4"/>
  <c r="H44" i="4"/>
  <c r="AI44" i="4"/>
  <c r="AJ44" i="4"/>
  <c r="M44" i="4"/>
  <c r="Z44" i="4" s="1"/>
  <c r="AH44" i="4"/>
  <c r="J43" i="28"/>
  <c r="U43" i="28"/>
  <c r="AC43" i="4"/>
  <c r="B45" i="28"/>
  <c r="F45" i="28" s="1"/>
  <c r="Y46" i="28"/>
  <c r="B45" i="4"/>
  <c r="AU46" i="4"/>
  <c r="E42" i="29"/>
  <c r="G42" i="29" s="1"/>
  <c r="H42" i="29" s="1"/>
  <c r="I42" i="29"/>
  <c r="K42" i="29"/>
  <c r="J40" i="29"/>
  <c r="L40" i="29"/>
  <c r="M40" i="29" s="1"/>
  <c r="L41" i="29"/>
  <c r="M41" i="29" s="1"/>
  <c r="J41" i="29"/>
  <c r="AF41" i="4"/>
  <c r="AM41" i="4"/>
  <c r="AN41" i="4" s="1"/>
  <c r="Q42" i="28"/>
  <c r="R42" i="28" s="1"/>
  <c r="T42" i="28" s="1"/>
  <c r="L42" i="28"/>
  <c r="W44" i="28" l="1"/>
  <c r="AD43" i="4"/>
  <c r="W44" i="4"/>
  <c r="AP44" i="4" s="1"/>
  <c r="I44" i="28"/>
  <c r="K44" i="28"/>
  <c r="V43" i="28"/>
  <c r="E45" i="28"/>
  <c r="O45" i="28"/>
  <c r="M45" i="28"/>
  <c r="N45" i="28"/>
  <c r="P45" i="28"/>
  <c r="AU47" i="4"/>
  <c r="B46" i="4"/>
  <c r="AK45" i="4"/>
  <c r="M45" i="4"/>
  <c r="Z45" i="4" s="1"/>
  <c r="AG45" i="4"/>
  <c r="AB45" i="4"/>
  <c r="H45" i="4"/>
  <c r="AH45" i="4"/>
  <c r="K45" i="4"/>
  <c r="X45" i="4" s="1"/>
  <c r="AJ45" i="4"/>
  <c r="J45" i="4"/>
  <c r="AO45" i="4" s="1"/>
  <c r="AL45" i="4"/>
  <c r="L45" i="4"/>
  <c r="Y45" i="4" s="1"/>
  <c r="AI45" i="4"/>
  <c r="I45" i="4"/>
  <c r="G45" i="4"/>
  <c r="E45" i="4"/>
  <c r="V45" i="4" s="1"/>
  <c r="Y47" i="28"/>
  <c r="B46" i="28"/>
  <c r="F46" i="28" s="1"/>
  <c r="AC44" i="4"/>
  <c r="J44" i="28"/>
  <c r="U44" i="28"/>
  <c r="B44" i="29"/>
  <c r="T45" i="29"/>
  <c r="L42" i="29"/>
  <c r="M42" i="29" s="1"/>
  <c r="J42" i="29"/>
  <c r="L43" i="28"/>
  <c r="Q43" i="28"/>
  <c r="R43" i="28" s="1"/>
  <c r="T43" i="28" s="1"/>
  <c r="AM42" i="4"/>
  <c r="AN42" i="4" s="1"/>
  <c r="AF42" i="4"/>
  <c r="AE44" i="4"/>
  <c r="I43" i="29"/>
  <c r="K43" i="29"/>
  <c r="E43" i="29"/>
  <c r="G43" i="29" s="1"/>
  <c r="H43" i="29" s="1"/>
  <c r="AM43" i="4" l="1"/>
  <c r="AN43" i="4" s="1"/>
  <c r="W45" i="28"/>
  <c r="AF43" i="4"/>
  <c r="W45" i="4"/>
  <c r="AP45" i="4" s="1"/>
  <c r="AD44" i="4"/>
  <c r="AM44" i="4" s="1"/>
  <c r="AN44" i="4" s="1"/>
  <c r="I45" i="28"/>
  <c r="K45" i="28"/>
  <c r="AE45" i="4"/>
  <c r="AF44" i="4"/>
  <c r="Q44" i="28"/>
  <c r="R44" i="28" s="1"/>
  <c r="T44" i="28" s="1"/>
  <c r="L44" i="28"/>
  <c r="N46" i="28"/>
  <c r="P46" i="28"/>
  <c r="E46" i="28"/>
  <c r="M46" i="28"/>
  <c r="O46" i="28"/>
  <c r="T46" i="29"/>
  <c r="B45" i="29"/>
  <c r="Y48" i="28"/>
  <c r="B47" i="28"/>
  <c r="F47" i="28" s="1"/>
  <c r="AK46" i="4"/>
  <c r="G46" i="4"/>
  <c r="K46" i="4"/>
  <c r="X46" i="4" s="1"/>
  <c r="AG46" i="4"/>
  <c r="AJ46" i="4"/>
  <c r="H46" i="4"/>
  <c r="E46" i="4"/>
  <c r="V46" i="4" s="1"/>
  <c r="AB46" i="4"/>
  <c r="J46" i="4"/>
  <c r="AO46" i="4" s="1"/>
  <c r="AL46" i="4"/>
  <c r="AH46" i="4"/>
  <c r="AI46" i="4"/>
  <c r="I46" i="4"/>
  <c r="L46" i="4"/>
  <c r="Y46" i="4" s="1"/>
  <c r="M46" i="4"/>
  <c r="Z46" i="4" s="1"/>
  <c r="J45" i="28"/>
  <c r="U45" i="28"/>
  <c r="K44" i="29"/>
  <c r="I44" i="29"/>
  <c r="E44" i="29"/>
  <c r="V44" i="28"/>
  <c r="AC45" i="4"/>
  <c r="AU48" i="4"/>
  <c r="B47" i="4"/>
  <c r="W46" i="28" l="1"/>
  <c r="G44" i="29"/>
  <c r="H44" i="29" s="1"/>
  <c r="L44" i="29" s="1"/>
  <c r="M44" i="29" s="1"/>
  <c r="AD45" i="4"/>
  <c r="AF45" i="4" s="1"/>
  <c r="W46" i="4"/>
  <c r="AP46" i="4" s="1"/>
  <c r="I46" i="28"/>
  <c r="K46" i="28"/>
  <c r="V45" i="28"/>
  <c r="T47" i="29"/>
  <c r="B46" i="29"/>
  <c r="AK47" i="4"/>
  <c r="AJ47" i="4"/>
  <c r="K47" i="4"/>
  <c r="X47" i="4" s="1"/>
  <c r="AH47" i="4"/>
  <c r="I47" i="4"/>
  <c r="AI47" i="4"/>
  <c r="L47" i="4"/>
  <c r="Y47" i="4" s="1"/>
  <c r="J47" i="4"/>
  <c r="AO47" i="4" s="1"/>
  <c r="AL47" i="4"/>
  <c r="E47" i="4"/>
  <c r="V47" i="4" s="1"/>
  <c r="H47" i="4"/>
  <c r="M47" i="4"/>
  <c r="Z47" i="4" s="1"/>
  <c r="AG47" i="4"/>
  <c r="G47" i="4"/>
  <c r="AB47" i="4"/>
  <c r="L45" i="28"/>
  <c r="Q45" i="28"/>
  <c r="R45" i="28" s="1"/>
  <c r="T45" i="28" s="1"/>
  <c r="P47" i="28"/>
  <c r="E47" i="28"/>
  <c r="N47" i="28"/>
  <c r="O47" i="28"/>
  <c r="M47" i="28"/>
  <c r="J46" i="28"/>
  <c r="U46" i="28"/>
  <c r="AC46" i="4"/>
  <c r="Y49" i="28"/>
  <c r="B48" i="28"/>
  <c r="F48" i="28" s="1"/>
  <c r="V46" i="28"/>
  <c r="AU49" i="4"/>
  <c r="B48" i="4"/>
  <c r="J43" i="29"/>
  <c r="L43" i="29"/>
  <c r="M43" i="29" s="1"/>
  <c r="AE46" i="4"/>
  <c r="I45" i="29"/>
  <c r="E45" i="29"/>
  <c r="K45" i="29"/>
  <c r="W47" i="28" l="1"/>
  <c r="AM45" i="4"/>
  <c r="AN45" i="4" s="1"/>
  <c r="G45" i="29"/>
  <c r="H45" i="29" s="1"/>
  <c r="W47" i="4"/>
  <c r="AP47" i="4" s="1"/>
  <c r="AD46" i="4"/>
  <c r="AF46" i="4" s="1"/>
  <c r="J44" i="29"/>
  <c r="I47" i="28"/>
  <c r="K47" i="28"/>
  <c r="K46" i="29"/>
  <c r="E46" i="29"/>
  <c r="G46" i="29" s="1"/>
  <c r="H46" i="29" s="1"/>
  <c r="I46" i="29"/>
  <c r="B49" i="4"/>
  <c r="AU50" i="4"/>
  <c r="N48" i="28"/>
  <c r="O48" i="28"/>
  <c r="M48" i="28"/>
  <c r="E48" i="28"/>
  <c r="P48" i="28"/>
  <c r="K48" i="28" s="1"/>
  <c r="AK48" i="4"/>
  <c r="G48" i="4"/>
  <c r="H48" i="4"/>
  <c r="J48" i="4"/>
  <c r="AO48" i="4" s="1"/>
  <c r="AJ48" i="4"/>
  <c r="AL48" i="4"/>
  <c r="E48" i="4"/>
  <c r="V48" i="4" s="1"/>
  <c r="AG48" i="4"/>
  <c r="AI48" i="4"/>
  <c r="AB48" i="4"/>
  <c r="K48" i="4"/>
  <c r="X48" i="4" s="1"/>
  <c r="L48" i="4"/>
  <c r="Y48" i="4" s="1"/>
  <c r="M48" i="4"/>
  <c r="Z48" i="4" s="1"/>
  <c r="I48" i="4"/>
  <c r="AH48" i="4"/>
  <c r="Y50" i="28"/>
  <c r="B49" i="28"/>
  <c r="F49" i="28" s="1"/>
  <c r="Q46" i="28"/>
  <c r="R46" i="28" s="1"/>
  <c r="T46" i="28" s="1"/>
  <c r="L46" i="28"/>
  <c r="AC47" i="4"/>
  <c r="T48" i="29"/>
  <c r="B47" i="29"/>
  <c r="J47" i="28"/>
  <c r="U47" i="28"/>
  <c r="AE47" i="4"/>
  <c r="W48" i="28" l="1"/>
  <c r="AD47" i="4"/>
  <c r="AM47" i="4" s="1"/>
  <c r="AN47" i="4" s="1"/>
  <c r="W48" i="4"/>
  <c r="AP48" i="4" s="1"/>
  <c r="AM46" i="4"/>
  <c r="AN46" i="4" s="1"/>
  <c r="I48" i="28"/>
  <c r="AC48" i="4"/>
  <c r="I47" i="29"/>
  <c r="E47" i="29"/>
  <c r="G47" i="29" s="1"/>
  <c r="H47" i="29" s="1"/>
  <c r="K47" i="29"/>
  <c r="AF47" i="4"/>
  <c r="T49" i="29"/>
  <c r="B48" i="29"/>
  <c r="N49" i="28"/>
  <c r="P49" i="28"/>
  <c r="O49" i="28"/>
  <c r="M49" i="28"/>
  <c r="E49" i="28"/>
  <c r="AU51" i="4"/>
  <c r="B50" i="4"/>
  <c r="B50" i="28"/>
  <c r="F50" i="28" s="1"/>
  <c r="Y51" i="28"/>
  <c r="AK49" i="4"/>
  <c r="AH49" i="4"/>
  <c r="AB49" i="4"/>
  <c r="AG49" i="4"/>
  <c r="E49" i="4"/>
  <c r="V49" i="4" s="1"/>
  <c r="J49" i="4"/>
  <c r="AO49" i="4" s="1"/>
  <c r="AI49" i="4"/>
  <c r="M49" i="4"/>
  <c r="Z49" i="4" s="1"/>
  <c r="H49" i="4"/>
  <c r="AL49" i="4"/>
  <c r="AJ49" i="4"/>
  <c r="K49" i="4"/>
  <c r="X49" i="4" s="1"/>
  <c r="I49" i="4"/>
  <c r="L49" i="4"/>
  <c r="Y49" i="4" s="1"/>
  <c r="G49" i="4"/>
  <c r="V47" i="28"/>
  <c r="Q47" i="28"/>
  <c r="R47" i="28" s="1"/>
  <c r="T47" i="28" s="1"/>
  <c r="L47" i="28"/>
  <c r="AE48" i="4"/>
  <c r="J48" i="28"/>
  <c r="U48" i="28"/>
  <c r="V48" i="28" s="1"/>
  <c r="L45" i="29"/>
  <c r="M45" i="29" s="1"/>
  <c r="J45" i="29"/>
  <c r="W49" i="28" l="1"/>
  <c r="W49" i="4"/>
  <c r="AP49" i="4" s="1"/>
  <c r="AD48" i="4"/>
  <c r="AF48" i="4" s="1"/>
  <c r="I49" i="28"/>
  <c r="K49" i="28"/>
  <c r="L47" i="29"/>
  <c r="M47" i="29" s="1"/>
  <c r="P50" i="28"/>
  <c r="M50" i="28"/>
  <c r="E50" i="28"/>
  <c r="N50" i="28"/>
  <c r="O50" i="28"/>
  <c r="J47" i="29"/>
  <c r="AE49" i="4"/>
  <c r="J46" i="29"/>
  <c r="L46" i="29"/>
  <c r="M46" i="29" s="1"/>
  <c r="U49" i="28"/>
  <c r="J49" i="28"/>
  <c r="AK50" i="4"/>
  <c r="AJ50" i="4"/>
  <c r="AL50" i="4"/>
  <c r="AI50" i="4"/>
  <c r="I50" i="4"/>
  <c r="M50" i="4"/>
  <c r="G50" i="4"/>
  <c r="J50" i="4"/>
  <c r="AH50" i="4"/>
  <c r="K50" i="4"/>
  <c r="X50" i="4" s="1"/>
  <c r="AB50" i="4"/>
  <c r="L50" i="4"/>
  <c r="AG50" i="4"/>
  <c r="E50" i="4"/>
  <c r="V50" i="4" s="1"/>
  <c r="H50" i="4"/>
  <c r="B49" i="29"/>
  <c r="T50" i="29"/>
  <c r="L48" i="28"/>
  <c r="Q48" i="28"/>
  <c r="R48" i="28" s="1"/>
  <c r="T48" i="28" s="1"/>
  <c r="AC49" i="4"/>
  <c r="Y52" i="28"/>
  <c r="B51" i="28"/>
  <c r="F51" i="28" s="1"/>
  <c r="AU52" i="4"/>
  <c r="B51" i="4"/>
  <c r="I48" i="29"/>
  <c r="E48" i="29"/>
  <c r="K48" i="29"/>
  <c r="W50" i="28" l="1"/>
  <c r="G48" i="29"/>
  <c r="H48" i="29" s="1"/>
  <c r="L48" i="29" s="1"/>
  <c r="M48" i="29" s="1"/>
  <c r="AD49" i="4"/>
  <c r="AM49" i="4" s="1"/>
  <c r="AN49" i="4" s="1"/>
  <c r="Y50" i="4"/>
  <c r="AO50" i="4"/>
  <c r="Z50" i="4"/>
  <c r="W50" i="4"/>
  <c r="AM48" i="4"/>
  <c r="AN48" i="4" s="1"/>
  <c r="I50" i="28"/>
  <c r="J50" i="28" s="1"/>
  <c r="K50" i="28"/>
  <c r="V49" i="28"/>
  <c r="AE50" i="4"/>
  <c r="U50" i="28"/>
  <c r="B52" i="28"/>
  <c r="F52" i="28" s="1"/>
  <c r="Y53" i="28"/>
  <c r="AC50" i="4"/>
  <c r="AK51" i="4"/>
  <c r="AG51" i="4"/>
  <c r="M51" i="4"/>
  <c r="H51" i="4"/>
  <c r="E51" i="4"/>
  <c r="V51" i="4" s="1"/>
  <c r="I51" i="4"/>
  <c r="AI51" i="4"/>
  <c r="L51" i="4"/>
  <c r="AL51" i="4"/>
  <c r="AH51" i="4"/>
  <c r="AB51" i="4"/>
  <c r="K51" i="4"/>
  <c r="X51" i="4" s="1"/>
  <c r="J51" i="4"/>
  <c r="AO51" i="4" s="1"/>
  <c r="AJ51" i="4"/>
  <c r="G51" i="4"/>
  <c r="T51" i="29"/>
  <c r="B50" i="29"/>
  <c r="J48" i="29"/>
  <c r="M51" i="28"/>
  <c r="N51" i="28"/>
  <c r="P51" i="28"/>
  <c r="O51" i="28"/>
  <c r="E51" i="28"/>
  <c r="AU53" i="4"/>
  <c r="B52" i="4"/>
  <c r="AF49" i="4"/>
  <c r="E49" i="29"/>
  <c r="I49" i="29"/>
  <c r="K49" i="29"/>
  <c r="L49" i="28"/>
  <c r="Q49" i="28"/>
  <c r="R49" i="28" s="1"/>
  <c r="T49" i="28" s="1"/>
  <c r="W51" i="28" l="1"/>
  <c r="G49" i="29"/>
  <c r="H49" i="29" s="1"/>
  <c r="K51" i="28"/>
  <c r="AP50" i="4"/>
  <c r="W51" i="4"/>
  <c r="AP51" i="4" s="1"/>
  <c r="AD50" i="4"/>
  <c r="AM50" i="4" s="1"/>
  <c r="AN50" i="4" s="1"/>
  <c r="Y51" i="4"/>
  <c r="Z51" i="4"/>
  <c r="I51" i="28"/>
  <c r="V50" i="28"/>
  <c r="Y54" i="28"/>
  <c r="B53" i="28"/>
  <c r="F53" i="28" s="1"/>
  <c r="AE51" i="4"/>
  <c r="P52" i="28"/>
  <c r="O52" i="28"/>
  <c r="N52" i="28"/>
  <c r="M52" i="28"/>
  <c r="E52" i="28"/>
  <c r="AK52" i="4"/>
  <c r="AJ52" i="4"/>
  <c r="AG52" i="4"/>
  <c r="AI52" i="4"/>
  <c r="E52" i="4"/>
  <c r="V52" i="4" s="1"/>
  <c r="M52" i="4"/>
  <c r="H52" i="4"/>
  <c r="I52" i="4"/>
  <c r="AB52" i="4"/>
  <c r="G52" i="4"/>
  <c r="J52" i="4"/>
  <c r="AH52" i="4"/>
  <c r="AL52" i="4"/>
  <c r="K52" i="4"/>
  <c r="X52" i="4" s="1"/>
  <c r="L52" i="4"/>
  <c r="I50" i="29"/>
  <c r="E50" i="29"/>
  <c r="K50" i="29"/>
  <c r="AU54" i="4"/>
  <c r="B53" i="4"/>
  <c r="T52" i="29"/>
  <c r="B51" i="29"/>
  <c r="L50" i="28"/>
  <c r="Q50" i="28"/>
  <c r="R50" i="28" s="1"/>
  <c r="T50" i="28" s="1"/>
  <c r="J51" i="28"/>
  <c r="U51" i="28"/>
  <c r="W52" i="28" l="1"/>
  <c r="AC51" i="4"/>
  <c r="G50" i="29"/>
  <c r="H50" i="29" s="1"/>
  <c r="AD51" i="4"/>
  <c r="AO52" i="4"/>
  <c r="Z52" i="4"/>
  <c r="Y52" i="4"/>
  <c r="W52" i="4"/>
  <c r="AF50" i="4"/>
  <c r="I52" i="28"/>
  <c r="J52" i="28" s="1"/>
  <c r="K52" i="28"/>
  <c r="V51" i="28"/>
  <c r="T53" i="29"/>
  <c r="B52" i="29"/>
  <c r="L49" i="29"/>
  <c r="M49" i="29" s="1"/>
  <c r="J49" i="29"/>
  <c r="U52" i="28"/>
  <c r="Q51" i="28"/>
  <c r="R51" i="28" s="1"/>
  <c r="T51" i="28" s="1"/>
  <c r="L51" i="28"/>
  <c r="E51" i="29"/>
  <c r="K51" i="29"/>
  <c r="I51" i="29"/>
  <c r="B54" i="4"/>
  <c r="AU55" i="4"/>
  <c r="J50" i="29"/>
  <c r="L50" i="29"/>
  <c r="M50" i="29" s="1"/>
  <c r="AE52" i="4"/>
  <c r="N53" i="28"/>
  <c r="O53" i="28"/>
  <c r="E53" i="28"/>
  <c r="M53" i="28"/>
  <c r="P53" i="28"/>
  <c r="K53" i="28" s="1"/>
  <c r="AK53" i="4"/>
  <c r="M53" i="4"/>
  <c r="AJ53" i="4"/>
  <c r="J53" i="4"/>
  <c r="L53" i="4"/>
  <c r="H53" i="4"/>
  <c r="G53" i="4"/>
  <c r="E53" i="4"/>
  <c r="AH53" i="4"/>
  <c r="AB53" i="4"/>
  <c r="AI53" i="4"/>
  <c r="K53" i="4"/>
  <c r="AG53" i="4"/>
  <c r="I53" i="4"/>
  <c r="AL53" i="4"/>
  <c r="Y55" i="28"/>
  <c r="B54" i="28"/>
  <c r="F54" i="28" s="1"/>
  <c r="W53" i="28" l="1"/>
  <c r="V53" i="4"/>
  <c r="AO53" i="4"/>
  <c r="V52" i="28"/>
  <c r="G51" i="29"/>
  <c r="H51" i="29" s="1"/>
  <c r="AP52" i="4"/>
  <c r="W53" i="4"/>
  <c r="AC52" i="4"/>
  <c r="Y53" i="4"/>
  <c r="X53" i="4"/>
  <c r="AD52" i="4"/>
  <c r="Z53" i="4"/>
  <c r="I53" i="28"/>
  <c r="AE53" i="4"/>
  <c r="M54" i="28"/>
  <c r="N54" i="28"/>
  <c r="P54" i="28"/>
  <c r="E54" i="28"/>
  <c r="O54" i="28"/>
  <c r="U53" i="28"/>
  <c r="V53" i="28" s="1"/>
  <c r="J53" i="28"/>
  <c r="AF51" i="4"/>
  <c r="AM51" i="4"/>
  <c r="AN51" i="4" s="1"/>
  <c r="AU56" i="4"/>
  <c r="B55" i="4"/>
  <c r="I52" i="29"/>
  <c r="K52" i="29"/>
  <c r="E52" i="29"/>
  <c r="B55" i="28"/>
  <c r="F55" i="28" s="1"/>
  <c r="Y56" i="28"/>
  <c r="AK54" i="4"/>
  <c r="M54" i="4"/>
  <c r="AJ54" i="4"/>
  <c r="E54" i="4"/>
  <c r="H54" i="4"/>
  <c r="J54" i="4"/>
  <c r="AG54" i="4"/>
  <c r="K54" i="4"/>
  <c r="AB54" i="4"/>
  <c r="I54" i="4"/>
  <c r="G54" i="4"/>
  <c r="L54" i="4"/>
  <c r="AL54" i="4"/>
  <c r="AH54" i="4"/>
  <c r="Q52" i="28"/>
  <c r="R52" i="28" s="1"/>
  <c r="T52" i="28" s="1"/>
  <c r="L52" i="28"/>
  <c r="T54" i="29"/>
  <c r="B53" i="29"/>
  <c r="AP53" i="4" l="1"/>
  <c r="W54" i="28"/>
  <c r="V54" i="4"/>
  <c r="G52" i="29"/>
  <c r="H52" i="29" s="1"/>
  <c r="AC53" i="4"/>
  <c r="AD53" i="4"/>
  <c r="X54" i="4"/>
  <c r="Y54" i="4"/>
  <c r="W54" i="4"/>
  <c r="Z54" i="4"/>
  <c r="AO54" i="4"/>
  <c r="I54" i="28"/>
  <c r="K54" i="28"/>
  <c r="AU57" i="4"/>
  <c r="B56" i="4"/>
  <c r="B56" i="28"/>
  <c r="F56" i="28" s="1"/>
  <c r="Y57" i="28"/>
  <c r="AF52" i="4"/>
  <c r="AM52" i="4"/>
  <c r="AN52" i="4" s="1"/>
  <c r="I53" i="29"/>
  <c r="E53" i="29"/>
  <c r="K53" i="29"/>
  <c r="L51" i="29"/>
  <c r="M51" i="29" s="1"/>
  <c r="J51" i="29"/>
  <c r="E55" i="28"/>
  <c r="N55" i="28"/>
  <c r="P55" i="28"/>
  <c r="O55" i="28"/>
  <c r="M55" i="28"/>
  <c r="T55" i="29"/>
  <c r="B54" i="29"/>
  <c r="J52" i="29"/>
  <c r="L52" i="29"/>
  <c r="M52" i="29" s="1"/>
  <c r="AK55" i="4"/>
  <c r="AB55" i="4"/>
  <c r="M55" i="4"/>
  <c r="Z55" i="4" s="1"/>
  <c r="J55" i="4"/>
  <c r="AI55" i="4"/>
  <c r="H55" i="4"/>
  <c r="I55" i="4"/>
  <c r="G55" i="4"/>
  <c r="AG55" i="4"/>
  <c r="K55" i="4"/>
  <c r="X55" i="4" s="1"/>
  <c r="AL55" i="4"/>
  <c r="L55" i="4"/>
  <c r="Y55" i="4" s="1"/>
  <c r="E55" i="4"/>
  <c r="V55" i="4" s="1"/>
  <c r="AJ55" i="4"/>
  <c r="AH55" i="4"/>
  <c r="Q53" i="28"/>
  <c r="R53" i="28" s="1"/>
  <c r="T53" i="28" s="1"/>
  <c r="L53" i="28"/>
  <c r="U54" i="28"/>
  <c r="J54" i="28"/>
  <c r="AM53" i="4" l="1"/>
  <c r="AN53" i="4" s="1"/>
  <c r="W55" i="28"/>
  <c r="G53" i="29"/>
  <c r="H53" i="29" s="1"/>
  <c r="W55" i="4"/>
  <c r="AC54" i="4"/>
  <c r="AP54" i="4"/>
  <c r="AD54" i="4"/>
  <c r="AD55" i="4"/>
  <c r="AO55" i="4"/>
  <c r="AF53" i="4"/>
  <c r="I55" i="28"/>
  <c r="K55" i="28"/>
  <c r="AE55" i="4"/>
  <c r="L54" i="28"/>
  <c r="Q54" i="28"/>
  <c r="R54" i="28" s="1"/>
  <c r="T54" i="28" s="1"/>
  <c r="B57" i="28"/>
  <c r="F57" i="28" s="1"/>
  <c r="Y58" i="28"/>
  <c r="V54" i="28"/>
  <c r="AC55" i="4"/>
  <c r="I54" i="29"/>
  <c r="K54" i="29"/>
  <c r="E54" i="29"/>
  <c r="U55" i="28"/>
  <c r="J55" i="28"/>
  <c r="M56" i="28"/>
  <c r="N56" i="28"/>
  <c r="P56" i="28"/>
  <c r="O56" i="28"/>
  <c r="E56" i="28"/>
  <c r="AK56" i="4"/>
  <c r="AG56" i="4"/>
  <c r="E56" i="4"/>
  <c r="V56" i="4" s="1"/>
  <c r="M56" i="4"/>
  <c r="Z56" i="4" s="1"/>
  <c r="G56" i="4"/>
  <c r="AB56" i="4"/>
  <c r="AH56" i="4"/>
  <c r="H56" i="4"/>
  <c r="AJ56" i="4"/>
  <c r="L56" i="4"/>
  <c r="Y56" i="4" s="1"/>
  <c r="J56" i="4"/>
  <c r="AO56" i="4" s="1"/>
  <c r="I56" i="4"/>
  <c r="AI56" i="4"/>
  <c r="K56" i="4"/>
  <c r="X56" i="4" s="1"/>
  <c r="AL56" i="4"/>
  <c r="B55" i="29"/>
  <c r="T56" i="29"/>
  <c r="AU58" i="4"/>
  <c r="B57" i="4"/>
  <c r="W56" i="28" l="1"/>
  <c r="AP55" i="4"/>
  <c r="G54" i="29"/>
  <c r="H54" i="29" s="1"/>
  <c r="J54" i="29" s="1"/>
  <c r="W56" i="4"/>
  <c r="AP56" i="4" s="1"/>
  <c r="I56" i="28"/>
  <c r="K56" i="28"/>
  <c r="AU59" i="4"/>
  <c r="B58" i="4"/>
  <c r="AF55" i="4"/>
  <c r="AM55" i="4"/>
  <c r="AN55" i="4" s="1"/>
  <c r="N57" i="28"/>
  <c r="E57" i="28"/>
  <c r="O57" i="28"/>
  <c r="M57" i="28"/>
  <c r="P57" i="28"/>
  <c r="K57" i="28" s="1"/>
  <c r="L53" i="29"/>
  <c r="M53" i="29" s="1"/>
  <c r="J53" i="29"/>
  <c r="AE56" i="4"/>
  <c r="L54" i="29"/>
  <c r="M54" i="29" s="1"/>
  <c r="AK57" i="4"/>
  <c r="G57" i="4"/>
  <c r="E57" i="4"/>
  <c r="V57" i="4" s="1"/>
  <c r="J57" i="4"/>
  <c r="AO57" i="4" s="1"/>
  <c r="AH57" i="4"/>
  <c r="AL57" i="4"/>
  <c r="K57" i="4"/>
  <c r="X57" i="4" s="1"/>
  <c r="H57" i="4"/>
  <c r="M57" i="4"/>
  <c r="Z57" i="4" s="1"/>
  <c r="AB57" i="4"/>
  <c r="AJ57" i="4"/>
  <c r="L57" i="4"/>
  <c r="Y57" i="4" s="1"/>
  <c r="I57" i="4"/>
  <c r="AG57" i="4"/>
  <c r="AI57" i="4"/>
  <c r="I55" i="29"/>
  <c r="E55" i="29"/>
  <c r="K55" i="29"/>
  <c r="U56" i="28"/>
  <c r="V56" i="28" s="1"/>
  <c r="J56" i="28"/>
  <c r="T57" i="29"/>
  <c r="B56" i="29"/>
  <c r="AC56" i="4"/>
  <c r="L55" i="28"/>
  <c r="Q55" i="28"/>
  <c r="R55" i="28" s="1"/>
  <c r="T55" i="28" s="1"/>
  <c r="Y59" i="28"/>
  <c r="B58" i="28"/>
  <c r="F58" i="28" s="1"/>
  <c r="V55" i="28"/>
  <c r="W57" i="28" l="1"/>
  <c r="G55" i="29"/>
  <c r="H55" i="29" s="1"/>
  <c r="AD56" i="4"/>
  <c r="AF56" i="4" s="1"/>
  <c r="W57" i="4"/>
  <c r="AP57" i="4" s="1"/>
  <c r="I57" i="28"/>
  <c r="L56" i="28"/>
  <c r="Q56" i="28"/>
  <c r="R56" i="28" s="1"/>
  <c r="T56" i="28" s="1"/>
  <c r="E56" i="29"/>
  <c r="I56" i="29"/>
  <c r="K56" i="29"/>
  <c r="AC57" i="4"/>
  <c r="J57" i="28"/>
  <c r="U57" i="28"/>
  <c r="V57" i="28" s="1"/>
  <c r="T58" i="29"/>
  <c r="B57" i="29"/>
  <c r="L55" i="29"/>
  <c r="M55" i="29" s="1"/>
  <c r="J55" i="29"/>
  <c r="AE57" i="4"/>
  <c r="AM56" i="4"/>
  <c r="AN56" i="4" s="1"/>
  <c r="E58" i="28"/>
  <c r="N58" i="28"/>
  <c r="P58" i="28"/>
  <c r="O58" i="28"/>
  <c r="M58" i="28"/>
  <c r="AK58" i="4"/>
  <c r="AG58" i="4"/>
  <c r="AI58" i="4"/>
  <c r="E58" i="4"/>
  <c r="V58" i="4" s="1"/>
  <c r="H58" i="4"/>
  <c r="J58" i="4"/>
  <c r="AO58" i="4" s="1"/>
  <c r="AL58" i="4"/>
  <c r="AH58" i="4"/>
  <c r="K58" i="4"/>
  <c r="X58" i="4" s="1"/>
  <c r="M58" i="4"/>
  <c r="Z58" i="4" s="1"/>
  <c r="AJ58" i="4"/>
  <c r="G58" i="4"/>
  <c r="L58" i="4"/>
  <c r="Y58" i="4" s="1"/>
  <c r="AB58" i="4"/>
  <c r="I58" i="4"/>
  <c r="B59" i="28"/>
  <c r="F59" i="28" s="1"/>
  <c r="Y60" i="28"/>
  <c r="AU60" i="4"/>
  <c r="B59" i="4"/>
  <c r="W58" i="28" l="1"/>
  <c r="G56" i="29"/>
  <c r="H56" i="29" s="1"/>
  <c r="W58" i="4"/>
  <c r="AP58" i="4" s="1"/>
  <c r="AD57" i="4"/>
  <c r="I58" i="28"/>
  <c r="K58" i="28"/>
  <c r="B60" i="28"/>
  <c r="F60" i="28" s="1"/>
  <c r="Y61" i="28"/>
  <c r="AK59" i="4"/>
  <c r="AH59" i="4"/>
  <c r="AL59" i="4"/>
  <c r="G59" i="4"/>
  <c r="H59" i="4"/>
  <c r="E59" i="4"/>
  <c r="AI59" i="4"/>
  <c r="AG59" i="4"/>
  <c r="J59" i="4"/>
  <c r="M59" i="4"/>
  <c r="I59" i="4"/>
  <c r="AJ59" i="4"/>
  <c r="AB59" i="4"/>
  <c r="K59" i="4"/>
  <c r="X59" i="4" s="1"/>
  <c r="L59" i="4"/>
  <c r="AU61" i="4"/>
  <c r="B60" i="4"/>
  <c r="J58" i="28"/>
  <c r="U58" i="28"/>
  <c r="E57" i="29"/>
  <c r="I57" i="29"/>
  <c r="K57" i="29"/>
  <c r="T59" i="29"/>
  <c r="B58" i="29"/>
  <c r="AC58" i="4"/>
  <c r="E59" i="28"/>
  <c r="O59" i="28"/>
  <c r="M59" i="28"/>
  <c r="P59" i="28"/>
  <c r="N59" i="28"/>
  <c r="AE58" i="4"/>
  <c r="L57" i="28"/>
  <c r="Q57" i="28"/>
  <c r="R57" i="28" s="1"/>
  <c r="T57" i="28" s="1"/>
  <c r="Y59" i="4" l="1"/>
  <c r="W59" i="28"/>
  <c r="AO59" i="4"/>
  <c r="V59" i="4"/>
  <c r="G57" i="29"/>
  <c r="H57" i="29" s="1"/>
  <c r="AD58" i="4"/>
  <c r="AF58" i="4" s="1"/>
  <c r="Z59" i="4"/>
  <c r="W59" i="4"/>
  <c r="AP59" i="4" s="1"/>
  <c r="I59" i="28"/>
  <c r="J59" i="28" s="1"/>
  <c r="K59" i="28"/>
  <c r="V58" i="28"/>
  <c r="U59" i="28"/>
  <c r="B59" i="29"/>
  <c r="T60" i="29"/>
  <c r="AK60" i="4"/>
  <c r="I60" i="4"/>
  <c r="K60" i="4"/>
  <c r="X60" i="4" s="1"/>
  <c r="AI60" i="4"/>
  <c r="M60" i="4"/>
  <c r="Z60" i="4" s="1"/>
  <c r="AL60" i="4"/>
  <c r="H60" i="4"/>
  <c r="AJ60" i="4"/>
  <c r="L60" i="4"/>
  <c r="Y60" i="4" s="1"/>
  <c r="G60" i="4"/>
  <c r="AB60" i="4"/>
  <c r="E60" i="4"/>
  <c r="V60" i="4" s="1"/>
  <c r="AG60" i="4"/>
  <c r="J60" i="4"/>
  <c r="AH60" i="4"/>
  <c r="AM57" i="4"/>
  <c r="AN57" i="4" s="1"/>
  <c r="AF57" i="4"/>
  <c r="B61" i="4"/>
  <c r="AU62" i="4"/>
  <c r="Y62" i="28"/>
  <c r="B61" i="28"/>
  <c r="F61" i="28" s="1"/>
  <c r="AM58" i="4"/>
  <c r="AN58" i="4" s="1"/>
  <c r="L56" i="29"/>
  <c r="M56" i="29" s="1"/>
  <c r="J56" i="29"/>
  <c r="AE59" i="4"/>
  <c r="N60" i="28"/>
  <c r="M60" i="28"/>
  <c r="P60" i="28"/>
  <c r="E60" i="28"/>
  <c r="O60" i="28"/>
  <c r="K58" i="29"/>
  <c r="E58" i="29"/>
  <c r="I58" i="29"/>
  <c r="L58" i="28"/>
  <c r="Q58" i="28"/>
  <c r="R58" i="28" s="1"/>
  <c r="T58" i="28" s="1"/>
  <c r="AC59" i="4"/>
  <c r="W60" i="28" l="1"/>
  <c r="G58" i="29"/>
  <c r="H58" i="29" s="1"/>
  <c r="AD59" i="4"/>
  <c r="AO60" i="4"/>
  <c r="W60" i="4"/>
  <c r="I60" i="28"/>
  <c r="K60" i="28"/>
  <c r="V59" i="28"/>
  <c r="N61" i="28"/>
  <c r="E61" i="28"/>
  <c r="P61" i="28"/>
  <c r="M61" i="28"/>
  <c r="O61" i="28"/>
  <c r="AK61" i="4"/>
  <c r="L61" i="4"/>
  <c r="Y61" i="4" s="1"/>
  <c r="AG61" i="4"/>
  <c r="M61" i="4"/>
  <c r="Z61" i="4" s="1"/>
  <c r="I61" i="4"/>
  <c r="G61" i="4"/>
  <c r="H61" i="4"/>
  <c r="AJ61" i="4"/>
  <c r="AH61" i="4"/>
  <c r="AL61" i="4"/>
  <c r="E61" i="4"/>
  <c r="V61" i="4" s="1"/>
  <c r="J61" i="4"/>
  <c r="AO61" i="4" s="1"/>
  <c r="K61" i="4"/>
  <c r="X61" i="4" s="1"/>
  <c r="AI61" i="4"/>
  <c r="AB61" i="4"/>
  <c r="AC60" i="4"/>
  <c r="K59" i="29"/>
  <c r="I59" i="29"/>
  <c r="E59" i="29"/>
  <c r="AU63" i="4"/>
  <c r="B62" i="4"/>
  <c r="U60" i="28"/>
  <c r="J60" i="28"/>
  <c r="Y63" i="28"/>
  <c r="B62" i="28"/>
  <c r="F62" i="28" s="1"/>
  <c r="L57" i="29"/>
  <c r="M57" i="29" s="1"/>
  <c r="J57" i="29"/>
  <c r="AE60" i="4"/>
  <c r="L59" i="28"/>
  <c r="Q59" i="28"/>
  <c r="R59" i="28" s="1"/>
  <c r="T59" i="28" s="1"/>
  <c r="J58" i="29"/>
  <c r="L58" i="29"/>
  <c r="M58" i="29" s="1"/>
  <c r="B60" i="29"/>
  <c r="T61" i="29"/>
  <c r="W61" i="28" l="1"/>
  <c r="AM59" i="4"/>
  <c r="AN59" i="4" s="1"/>
  <c r="G59" i="29"/>
  <c r="H59" i="29" s="1"/>
  <c r="AP60" i="4"/>
  <c r="AD60" i="4"/>
  <c r="W61" i="4"/>
  <c r="AP61" i="4" s="1"/>
  <c r="I61" i="28"/>
  <c r="AC61" i="4"/>
  <c r="K61" i="28"/>
  <c r="V60" i="28"/>
  <c r="AF59" i="4"/>
  <c r="K60" i="29"/>
  <c r="I60" i="29"/>
  <c r="E60" i="29"/>
  <c r="G60" i="29" s="1"/>
  <c r="H60" i="29" s="1"/>
  <c r="N62" i="28"/>
  <c r="E62" i="28"/>
  <c r="O62" i="28"/>
  <c r="M62" i="28"/>
  <c r="P62" i="28"/>
  <c r="J61" i="28"/>
  <c r="U61" i="28"/>
  <c r="B63" i="4"/>
  <c r="AU64" i="4"/>
  <c r="B61" i="29"/>
  <c r="T62" i="29"/>
  <c r="B63" i="28"/>
  <c r="F63" i="28" s="1"/>
  <c r="Y64" i="28"/>
  <c r="AE61" i="4"/>
  <c r="L60" i="28"/>
  <c r="Q60" i="28"/>
  <c r="R60" i="28" s="1"/>
  <c r="T60" i="28" s="1"/>
  <c r="AK62" i="4"/>
  <c r="K62" i="4"/>
  <c r="X62" i="4" s="1"/>
  <c r="G62" i="4"/>
  <c r="M62" i="4"/>
  <c r="AG62" i="4"/>
  <c r="L62" i="4"/>
  <c r="J62" i="4"/>
  <c r="E62" i="4"/>
  <c r="AJ62" i="4"/>
  <c r="AL62" i="4"/>
  <c r="H62" i="4"/>
  <c r="AI62" i="4"/>
  <c r="AB62" i="4"/>
  <c r="I62" i="4"/>
  <c r="AH62" i="4"/>
  <c r="AO62" i="4" l="1"/>
  <c r="AF60" i="4"/>
  <c r="W62" i="28"/>
  <c r="V62" i="4"/>
  <c r="Z62" i="4"/>
  <c r="Y62" i="4"/>
  <c r="AD61" i="4"/>
  <c r="AM61" i="4" s="1"/>
  <c r="AN61" i="4" s="1"/>
  <c r="W62" i="4"/>
  <c r="AP62" i="4" s="1"/>
  <c r="L60" i="29"/>
  <c r="M60" i="29" s="1"/>
  <c r="I62" i="28"/>
  <c r="K62" i="28"/>
  <c r="AM60" i="4"/>
  <c r="AN60" i="4" s="1"/>
  <c r="V61" i="28"/>
  <c r="T63" i="29"/>
  <c r="B62" i="29"/>
  <c r="J59" i="29"/>
  <c r="L59" i="29"/>
  <c r="M59" i="29" s="1"/>
  <c r="I61" i="29"/>
  <c r="K61" i="29"/>
  <c r="E61" i="29"/>
  <c r="G61" i="29" s="1"/>
  <c r="H61" i="29" s="1"/>
  <c r="U62" i="28"/>
  <c r="J62" i="28"/>
  <c r="Y65" i="28"/>
  <c r="B64" i="28"/>
  <c r="F64" i="28" s="1"/>
  <c r="B64" i="4"/>
  <c r="AU65" i="4"/>
  <c r="AE62" i="4"/>
  <c r="AC62" i="4"/>
  <c r="N63" i="28"/>
  <c r="O63" i="28"/>
  <c r="M63" i="28"/>
  <c r="E63" i="28"/>
  <c r="P63" i="28"/>
  <c r="AK63" i="4"/>
  <c r="E63" i="4"/>
  <c r="AB63" i="4"/>
  <c r="H63" i="4"/>
  <c r="L63" i="4"/>
  <c r="M63" i="4"/>
  <c r="J63" i="4"/>
  <c r="AI63" i="4"/>
  <c r="AJ63" i="4"/>
  <c r="K63" i="4"/>
  <c r="AG63" i="4"/>
  <c r="I63" i="4"/>
  <c r="G63" i="4"/>
  <c r="AL63" i="4"/>
  <c r="AH63" i="4"/>
  <c r="Q61" i="28"/>
  <c r="R61" i="28" s="1"/>
  <c r="T61" i="28" s="1"/>
  <c r="L61" i="28"/>
  <c r="W63" i="28" l="1"/>
  <c r="AD62" i="4"/>
  <c r="V63" i="4"/>
  <c r="K63" i="28"/>
  <c r="W63" i="4"/>
  <c r="Y63" i="4"/>
  <c r="X63" i="4"/>
  <c r="Z63" i="4"/>
  <c r="J60" i="29"/>
  <c r="AO63" i="4"/>
  <c r="AF61" i="4"/>
  <c r="I63" i="28"/>
  <c r="V62" i="28"/>
  <c r="J61" i="29"/>
  <c r="AE63" i="4"/>
  <c r="AK64" i="4"/>
  <c r="AG64" i="4"/>
  <c r="AB64" i="4"/>
  <c r="G64" i="4"/>
  <c r="E64" i="4"/>
  <c r="V64" i="4" s="1"/>
  <c r="M64" i="4"/>
  <c r="Z64" i="4" s="1"/>
  <c r="K64" i="4"/>
  <c r="X64" i="4" s="1"/>
  <c r="H64" i="4"/>
  <c r="J64" i="4"/>
  <c r="AO64" i="4" s="1"/>
  <c r="AJ64" i="4"/>
  <c r="AI64" i="4"/>
  <c r="L64" i="4"/>
  <c r="Y64" i="4" s="1"/>
  <c r="I64" i="4"/>
  <c r="AH64" i="4"/>
  <c r="AL64" i="4"/>
  <c r="Q62" i="28"/>
  <c r="R62" i="28" s="1"/>
  <c r="T62" i="28" s="1"/>
  <c r="L62" i="28"/>
  <c r="M64" i="28"/>
  <c r="O64" i="28"/>
  <c r="N64" i="28"/>
  <c r="E64" i="28"/>
  <c r="P64" i="28"/>
  <c r="B65" i="28"/>
  <c r="F65" i="28" s="1"/>
  <c r="Y66" i="28"/>
  <c r="K62" i="29"/>
  <c r="E62" i="29"/>
  <c r="G62" i="29" s="1"/>
  <c r="H62" i="29" s="1"/>
  <c r="I62" i="29"/>
  <c r="J63" i="28"/>
  <c r="U63" i="28"/>
  <c r="V63" i="28" s="1"/>
  <c r="B65" i="4"/>
  <c r="AU66" i="4"/>
  <c r="B63" i="29"/>
  <c r="T64" i="29"/>
  <c r="W64" i="28" l="1"/>
  <c r="AP63" i="4"/>
  <c r="AD63" i="4"/>
  <c r="AC63" i="4"/>
  <c r="W64" i="4"/>
  <c r="AP64" i="4" s="1"/>
  <c r="K64" i="28"/>
  <c r="I64" i="28"/>
  <c r="L61" i="29"/>
  <c r="M61" i="29" s="1"/>
  <c r="Y67" i="28"/>
  <c r="B66" i="28"/>
  <c r="F66" i="28" s="1"/>
  <c r="E63" i="29"/>
  <c r="G63" i="29" s="1"/>
  <c r="H63" i="29" s="1"/>
  <c r="K63" i="29"/>
  <c r="I63" i="29"/>
  <c r="AK65" i="4"/>
  <c r="AH65" i="4"/>
  <c r="AL65" i="4"/>
  <c r="AB65" i="4"/>
  <c r="I65" i="4"/>
  <c r="AG65" i="4"/>
  <c r="AI65" i="4"/>
  <c r="AJ65" i="4"/>
  <c r="J65" i="4"/>
  <c r="AO65" i="4" s="1"/>
  <c r="G65" i="4"/>
  <c r="L65" i="4"/>
  <c r="E65" i="4"/>
  <c r="V65" i="4" s="1"/>
  <c r="M65" i="4"/>
  <c r="H65" i="4"/>
  <c r="K65" i="4"/>
  <c r="X65" i="4" s="1"/>
  <c r="AM62" i="4"/>
  <c r="AN62" i="4" s="1"/>
  <c r="AF62" i="4"/>
  <c r="T65" i="29"/>
  <c r="B64" i="29"/>
  <c r="AU67" i="4"/>
  <c r="B66" i="4"/>
  <c r="P65" i="28"/>
  <c r="M65" i="28"/>
  <c r="E65" i="28"/>
  <c r="N65" i="28"/>
  <c r="O65" i="28"/>
  <c r="L63" i="28"/>
  <c r="Q63" i="28"/>
  <c r="R63" i="28" s="1"/>
  <c r="T63" i="28" s="1"/>
  <c r="AM63" i="4"/>
  <c r="AN63" i="4" s="1"/>
  <c r="J64" i="28"/>
  <c r="U64" i="28"/>
  <c r="AE64" i="4"/>
  <c r="AC64" i="4"/>
  <c r="W65" i="28" l="1"/>
  <c r="AF63" i="4"/>
  <c r="W65" i="4"/>
  <c r="AP65" i="4" s="1"/>
  <c r="Z65" i="4"/>
  <c r="Y65" i="4"/>
  <c r="AD64" i="4"/>
  <c r="I65" i="28"/>
  <c r="K65" i="28"/>
  <c r="V64" i="28"/>
  <c r="AU68" i="4"/>
  <c r="B67" i="4"/>
  <c r="I64" i="29"/>
  <c r="K64" i="29"/>
  <c r="E64" i="29"/>
  <c r="G64" i="29" s="1"/>
  <c r="H64" i="29" s="1"/>
  <c r="Q64" i="28"/>
  <c r="R64" i="28" s="1"/>
  <c r="T64" i="28" s="1"/>
  <c r="L64" i="28"/>
  <c r="J65" i="28"/>
  <c r="U65" i="28"/>
  <c r="T66" i="29"/>
  <c r="B65" i="29"/>
  <c r="L62" i="29"/>
  <c r="M62" i="29" s="1"/>
  <c r="J62" i="29"/>
  <c r="O66" i="28"/>
  <c r="M66" i="28"/>
  <c r="E66" i="28"/>
  <c r="P66" i="28"/>
  <c r="N66" i="28"/>
  <c r="AK66" i="4"/>
  <c r="I66" i="4"/>
  <c r="E66" i="4"/>
  <c r="AL66" i="4"/>
  <c r="AG66" i="4"/>
  <c r="K66" i="4"/>
  <c r="AB66" i="4"/>
  <c r="M66" i="4"/>
  <c r="H66" i="4"/>
  <c r="J66" i="4"/>
  <c r="AI66" i="4"/>
  <c r="AJ66" i="4"/>
  <c r="AH66" i="4"/>
  <c r="L66" i="4"/>
  <c r="G66" i="4"/>
  <c r="AE65" i="4"/>
  <c r="Y68" i="28"/>
  <c r="B67" i="28"/>
  <c r="F67" i="28" s="1"/>
  <c r="V66" i="4" l="1"/>
  <c r="AO66" i="4"/>
  <c r="W66" i="28"/>
  <c r="W66" i="4"/>
  <c r="AP66" i="4" s="1"/>
  <c r="V65" i="28"/>
  <c r="AD65" i="4"/>
  <c r="AF65" i="4" s="1"/>
  <c r="AC65" i="4"/>
  <c r="Y66" i="4"/>
  <c r="X66" i="4"/>
  <c r="Z66" i="4"/>
  <c r="I66" i="28"/>
  <c r="K66" i="28"/>
  <c r="AE66" i="4"/>
  <c r="AF64" i="4"/>
  <c r="AM64" i="4"/>
  <c r="AN64" i="4" s="1"/>
  <c r="M67" i="28"/>
  <c r="P67" i="28"/>
  <c r="N67" i="28"/>
  <c r="O67" i="28"/>
  <c r="E67" i="28"/>
  <c r="J63" i="29"/>
  <c r="L63" i="29"/>
  <c r="M63" i="29" s="1"/>
  <c r="K65" i="29"/>
  <c r="E65" i="29"/>
  <c r="G65" i="29" s="1"/>
  <c r="H65" i="29" s="1"/>
  <c r="I65" i="29"/>
  <c r="Q65" i="28"/>
  <c r="R65" i="28" s="1"/>
  <c r="T65" i="28" s="1"/>
  <c r="L65" i="28"/>
  <c r="L64" i="29"/>
  <c r="M64" i="29" s="1"/>
  <c r="J64" i="29"/>
  <c r="AK67" i="4"/>
  <c r="AI67" i="4"/>
  <c r="AB67" i="4"/>
  <c r="AJ67" i="4"/>
  <c r="E67" i="4"/>
  <c r="K67" i="4"/>
  <c r="J67" i="4"/>
  <c r="H67" i="4"/>
  <c r="L67" i="4"/>
  <c r="I67" i="4"/>
  <c r="G67" i="4"/>
  <c r="AL67" i="4"/>
  <c r="AH67" i="4"/>
  <c r="AG67" i="4"/>
  <c r="M67" i="4"/>
  <c r="B68" i="28"/>
  <c r="F68" i="28" s="1"/>
  <c r="Y69" i="28"/>
  <c r="J66" i="28"/>
  <c r="U66" i="28"/>
  <c r="V66" i="28" s="1"/>
  <c r="B66" i="29"/>
  <c r="T67" i="29"/>
  <c r="AU69" i="4"/>
  <c r="B68" i="4"/>
  <c r="W67" i="28" l="1"/>
  <c r="V67" i="4"/>
  <c r="AM65" i="4"/>
  <c r="AN65" i="4" s="1"/>
  <c r="AC66" i="4"/>
  <c r="W67" i="4"/>
  <c r="AD66" i="4"/>
  <c r="AM66" i="4" s="1"/>
  <c r="AN66" i="4" s="1"/>
  <c r="X67" i="4"/>
  <c r="Y67" i="4"/>
  <c r="Z67" i="4"/>
  <c r="AO67" i="4"/>
  <c r="I67" i="28"/>
  <c r="J65" i="29"/>
  <c r="K67" i="28"/>
  <c r="AK68" i="4"/>
  <c r="L68" i="4"/>
  <c r="Y68" i="4" s="1"/>
  <c r="AL68" i="4"/>
  <c r="G68" i="4"/>
  <c r="I68" i="4"/>
  <c r="AG68" i="4"/>
  <c r="AI68" i="4"/>
  <c r="AJ68" i="4"/>
  <c r="K68" i="4"/>
  <c r="X68" i="4" s="1"/>
  <c r="J68" i="4"/>
  <c r="AO68" i="4" s="1"/>
  <c r="M68" i="4"/>
  <c r="Z68" i="4" s="1"/>
  <c r="AB68" i="4"/>
  <c r="E68" i="4"/>
  <c r="V68" i="4" s="1"/>
  <c r="AH68" i="4"/>
  <c r="H68" i="4"/>
  <c r="Y70" i="28"/>
  <c r="B69" i="28"/>
  <c r="F69" i="28" s="1"/>
  <c r="T68" i="29"/>
  <c r="B67" i="29"/>
  <c r="M68" i="28"/>
  <c r="N68" i="28"/>
  <c r="E68" i="28"/>
  <c r="O68" i="28"/>
  <c r="P68" i="28"/>
  <c r="AE67" i="4"/>
  <c r="AU70" i="4"/>
  <c r="B69" i="4"/>
  <c r="I66" i="29"/>
  <c r="E66" i="29"/>
  <c r="G66" i="29" s="1"/>
  <c r="H66" i="29" s="1"/>
  <c r="K66" i="29"/>
  <c r="L66" i="28"/>
  <c r="Q66" i="28"/>
  <c r="R66" i="28" s="1"/>
  <c r="T66" i="28" s="1"/>
  <c r="U67" i="28"/>
  <c r="J67" i="28"/>
  <c r="W68" i="28" l="1"/>
  <c r="AF66" i="4"/>
  <c r="AP67" i="4"/>
  <c r="AC67" i="4"/>
  <c r="AD67" i="4"/>
  <c r="L65" i="29"/>
  <c r="M65" i="29" s="1"/>
  <c r="W68" i="4"/>
  <c r="AP68" i="4" s="1"/>
  <c r="K68" i="28"/>
  <c r="I68" i="28"/>
  <c r="J68" i="28" s="1"/>
  <c r="V67" i="28"/>
  <c r="AK69" i="4"/>
  <c r="J69" i="4"/>
  <c r="AH69" i="4"/>
  <c r="L69" i="4"/>
  <c r="Y69" i="4" s="1"/>
  <c r="AI69" i="4"/>
  <c r="K69" i="4"/>
  <c r="X69" i="4" s="1"/>
  <c r="H69" i="4"/>
  <c r="AG69" i="4"/>
  <c r="AB69" i="4"/>
  <c r="I69" i="4"/>
  <c r="AJ69" i="4"/>
  <c r="G69" i="4"/>
  <c r="AL69" i="4"/>
  <c r="M69" i="4"/>
  <c r="Z69" i="4" s="1"/>
  <c r="E69" i="4"/>
  <c r="O69" i="28"/>
  <c r="N69" i="28"/>
  <c r="M69" i="28"/>
  <c r="P69" i="28"/>
  <c r="E69" i="28"/>
  <c r="Y71" i="28"/>
  <c r="B70" i="28"/>
  <c r="F70" i="28" s="1"/>
  <c r="AE68" i="4"/>
  <c r="L66" i="29"/>
  <c r="M66" i="29" s="1"/>
  <c r="J66" i="29"/>
  <c r="AU71" i="4"/>
  <c r="B70" i="4"/>
  <c r="U68" i="28"/>
  <c r="K67" i="29"/>
  <c r="E67" i="29"/>
  <c r="G67" i="29" s="1"/>
  <c r="H67" i="29" s="1"/>
  <c r="I67" i="29"/>
  <c r="L67" i="28"/>
  <c r="Q67" i="28"/>
  <c r="R67" i="28" s="1"/>
  <c r="T67" i="28" s="1"/>
  <c r="B68" i="29"/>
  <c r="T69" i="29"/>
  <c r="AC68" i="4"/>
  <c r="W69" i="28" l="1"/>
  <c r="AF67" i="4"/>
  <c r="V69" i="4"/>
  <c r="AM67" i="4"/>
  <c r="AN67" i="4" s="1"/>
  <c r="W69" i="4"/>
  <c r="AD68" i="4"/>
  <c r="AF68" i="4" s="1"/>
  <c r="AO69" i="4"/>
  <c r="I69" i="28"/>
  <c r="K69" i="28"/>
  <c r="AE69" i="4"/>
  <c r="L68" i="28"/>
  <c r="Q68" i="28"/>
  <c r="R68" i="28" s="1"/>
  <c r="T68" i="28" s="1"/>
  <c r="V68" i="28"/>
  <c r="AK70" i="4"/>
  <c r="AL70" i="4"/>
  <c r="J70" i="4"/>
  <c r="AO70" i="4" s="1"/>
  <c r="AG70" i="4"/>
  <c r="L70" i="4"/>
  <c r="Y70" i="4" s="1"/>
  <c r="I70" i="4"/>
  <c r="K70" i="4"/>
  <c r="X70" i="4" s="1"/>
  <c r="AI70" i="4"/>
  <c r="AB70" i="4"/>
  <c r="AJ70" i="4"/>
  <c r="M70" i="4"/>
  <c r="Z70" i="4" s="1"/>
  <c r="H70" i="4"/>
  <c r="E70" i="4"/>
  <c r="V70" i="4" s="1"/>
  <c r="AH70" i="4"/>
  <c r="G70" i="4"/>
  <c r="Y72" i="28"/>
  <c r="B71" i="28"/>
  <c r="F71" i="28" s="1"/>
  <c r="B69" i="29"/>
  <c r="T70" i="29"/>
  <c r="J69" i="28"/>
  <c r="U69" i="28"/>
  <c r="K68" i="29"/>
  <c r="E68" i="29"/>
  <c r="I68" i="29"/>
  <c r="AU72" i="4"/>
  <c r="B71" i="4"/>
  <c r="N70" i="28"/>
  <c r="P70" i="28"/>
  <c r="E70" i="28"/>
  <c r="M70" i="28"/>
  <c r="O70" i="28"/>
  <c r="AC69" i="4"/>
  <c r="W70" i="28" l="1"/>
  <c r="AD69" i="4"/>
  <c r="AP69" i="4"/>
  <c r="G68" i="29"/>
  <c r="H68" i="29" s="1"/>
  <c r="L68" i="29" s="1"/>
  <c r="M68" i="29" s="1"/>
  <c r="W70" i="4"/>
  <c r="AP70" i="4" s="1"/>
  <c r="AM68" i="4"/>
  <c r="AN68" i="4" s="1"/>
  <c r="I70" i="28"/>
  <c r="J70" i="28" s="1"/>
  <c r="V69" i="28"/>
  <c r="K70" i="28"/>
  <c r="V70" i="28" s="1"/>
  <c r="Q69" i="28"/>
  <c r="R69" i="28" s="1"/>
  <c r="T69" i="28" s="1"/>
  <c r="L69" i="28"/>
  <c r="B72" i="28"/>
  <c r="F72" i="28" s="1"/>
  <c r="Y73" i="28"/>
  <c r="U70" i="28"/>
  <c r="AK71" i="4"/>
  <c r="E71" i="4"/>
  <c r="V71" i="4" s="1"/>
  <c r="M71" i="4"/>
  <c r="Z71" i="4" s="1"/>
  <c r="AL71" i="4"/>
  <c r="I71" i="4"/>
  <c r="AB71" i="4"/>
  <c r="J71" i="4"/>
  <c r="AO71" i="4" s="1"/>
  <c r="L71" i="4"/>
  <c r="Y71" i="4" s="1"/>
  <c r="AG71" i="4"/>
  <c r="G71" i="4"/>
  <c r="AH71" i="4"/>
  <c r="AI71" i="4"/>
  <c r="H71" i="4"/>
  <c r="AJ71" i="4"/>
  <c r="K71" i="4"/>
  <c r="X71" i="4" s="1"/>
  <c r="B70" i="29"/>
  <c r="T71" i="29"/>
  <c r="B72" i="4"/>
  <c r="AU73" i="4"/>
  <c r="I69" i="29"/>
  <c r="K69" i="29"/>
  <c r="E69" i="29"/>
  <c r="L67" i="29"/>
  <c r="M67" i="29" s="1"/>
  <c r="J67" i="29"/>
  <c r="E71" i="28"/>
  <c r="M71" i="28"/>
  <c r="P71" i="28"/>
  <c r="N71" i="28"/>
  <c r="O71" i="28"/>
  <c r="AC70" i="4"/>
  <c r="AE70" i="4"/>
  <c r="W71" i="28" l="1"/>
  <c r="J68" i="29"/>
  <c r="G69" i="29"/>
  <c r="H69" i="29" s="1"/>
  <c r="AD70" i="4"/>
  <c r="AF70" i="4" s="1"/>
  <c r="W71" i="4"/>
  <c r="AP71" i="4" s="1"/>
  <c r="I71" i="28"/>
  <c r="K71" i="28"/>
  <c r="AC71" i="4"/>
  <c r="AM69" i="4"/>
  <c r="AN69" i="4" s="1"/>
  <c r="AF69" i="4"/>
  <c r="E70" i="29"/>
  <c r="G70" i="29" s="1"/>
  <c r="H70" i="29" s="1"/>
  <c r="I70" i="29"/>
  <c r="K70" i="29"/>
  <c r="B73" i="28"/>
  <c r="F73" i="28" s="1"/>
  <c r="Y74" i="28"/>
  <c r="E72" i="28"/>
  <c r="O72" i="28"/>
  <c r="M72" i="28"/>
  <c r="N72" i="28"/>
  <c r="P72" i="28"/>
  <c r="U71" i="28"/>
  <c r="J71" i="28"/>
  <c r="AU74" i="4"/>
  <c r="B73" i="4"/>
  <c r="AE71" i="4"/>
  <c r="L70" i="28"/>
  <c r="Q70" i="28"/>
  <c r="R70" i="28" s="1"/>
  <c r="T70" i="28" s="1"/>
  <c r="AK72" i="4"/>
  <c r="AL72" i="4"/>
  <c r="H72" i="4"/>
  <c r="AI72" i="4"/>
  <c r="G72" i="4"/>
  <c r="AG72" i="4"/>
  <c r="M72" i="4"/>
  <c r="Z72" i="4" s="1"/>
  <c r="AB72" i="4"/>
  <c r="L72" i="4"/>
  <c r="Y72" i="4" s="1"/>
  <c r="I72" i="4"/>
  <c r="K72" i="4"/>
  <c r="X72" i="4" s="1"/>
  <c r="J72" i="4"/>
  <c r="E72" i="4"/>
  <c r="AH72" i="4"/>
  <c r="AJ72" i="4"/>
  <c r="T72" i="29"/>
  <c r="B71" i="29"/>
  <c r="W72" i="28" l="1"/>
  <c r="V72" i="4"/>
  <c r="M87" i="7"/>
  <c r="AM70" i="4"/>
  <c r="AN70" i="4" s="1"/>
  <c r="AD71" i="4"/>
  <c r="W72" i="4"/>
  <c r="AO72" i="4"/>
  <c r="I72" i="28"/>
  <c r="K72" i="28"/>
  <c r="V71" i="28"/>
  <c r="I71" i="29"/>
  <c r="E71" i="29"/>
  <c r="G71" i="29" s="1"/>
  <c r="H71" i="29" s="1"/>
  <c r="K71" i="29"/>
  <c r="Y75" i="28"/>
  <c r="B74" i="28"/>
  <c r="F74" i="28" s="1"/>
  <c r="B72" i="29"/>
  <c r="T73" i="29"/>
  <c r="M73" i="28"/>
  <c r="O73" i="28"/>
  <c r="N73" i="28"/>
  <c r="E73" i="28"/>
  <c r="P73" i="28"/>
  <c r="J70" i="29"/>
  <c r="L70" i="29"/>
  <c r="M70" i="29" s="1"/>
  <c r="L69" i="29"/>
  <c r="M69" i="29" s="1"/>
  <c r="J69" i="29"/>
  <c r="AK73" i="4"/>
  <c r="J73" i="4"/>
  <c r="AO73" i="4" s="1"/>
  <c r="H73" i="4"/>
  <c r="AJ73" i="4"/>
  <c r="I73" i="4"/>
  <c r="E73" i="4"/>
  <c r="V73" i="4" s="1"/>
  <c r="AG73" i="4"/>
  <c r="AB73" i="4"/>
  <c r="L73" i="4"/>
  <c r="Y73" i="4" s="1"/>
  <c r="AI73" i="4"/>
  <c r="M73" i="4"/>
  <c r="Z73" i="4" s="1"/>
  <c r="G73" i="4"/>
  <c r="AL73" i="4"/>
  <c r="AH73" i="4"/>
  <c r="K73" i="4"/>
  <c r="X73" i="4" s="1"/>
  <c r="AC72" i="4"/>
  <c r="AU75" i="4"/>
  <c r="B74" i="4"/>
  <c r="AF71" i="4"/>
  <c r="AM71" i="4"/>
  <c r="AN71" i="4" s="1"/>
  <c r="AE72" i="4"/>
  <c r="Q71" i="28"/>
  <c r="R71" i="28" s="1"/>
  <c r="T71" i="28" s="1"/>
  <c r="L71" i="28"/>
  <c r="J72" i="28"/>
  <c r="U72" i="28"/>
  <c r="V72" i="28" s="1"/>
  <c r="W73" i="28" l="1"/>
  <c r="AP72" i="4"/>
  <c r="W73" i="4"/>
  <c r="AP73" i="4" s="1"/>
  <c r="AD72" i="4"/>
  <c r="K73" i="28"/>
  <c r="I73" i="28"/>
  <c r="AC73" i="4"/>
  <c r="E74" i="28"/>
  <c r="M74" i="28"/>
  <c r="N74" i="28"/>
  <c r="P74" i="28"/>
  <c r="O74" i="28"/>
  <c r="J73" i="28"/>
  <c r="U73" i="28"/>
  <c r="Y76" i="28"/>
  <c r="B75" i="28"/>
  <c r="F75" i="28" s="1"/>
  <c r="AK74" i="4"/>
  <c r="G74" i="4"/>
  <c r="AI74" i="4"/>
  <c r="L74" i="4"/>
  <c r="Y74" i="4" s="1"/>
  <c r="AG74" i="4"/>
  <c r="AB74" i="4"/>
  <c r="I74" i="4"/>
  <c r="M74" i="4"/>
  <c r="Z74" i="4" s="1"/>
  <c r="K74" i="4"/>
  <c r="X74" i="4" s="1"/>
  <c r="H74" i="4"/>
  <c r="AL74" i="4"/>
  <c r="AH74" i="4"/>
  <c r="E74" i="4"/>
  <c r="AJ74" i="4"/>
  <c r="J74" i="4"/>
  <c r="AO74" i="4" s="1"/>
  <c r="B75" i="4"/>
  <c r="AU76" i="4"/>
  <c r="AE73" i="4"/>
  <c r="B73" i="29"/>
  <c r="T74" i="29"/>
  <c r="L72" i="28"/>
  <c r="Q72" i="28"/>
  <c r="R72" i="28" s="1"/>
  <c r="T72" i="28" s="1"/>
  <c r="I72" i="29"/>
  <c r="K72" i="29"/>
  <c r="E72" i="29"/>
  <c r="W74" i="28" l="1"/>
  <c r="G72" i="29"/>
  <c r="H72" i="29" s="1"/>
  <c r="L72" i="29" s="1"/>
  <c r="M72" i="29" s="1"/>
  <c r="AD73" i="4"/>
  <c r="AF73" i="4" s="1"/>
  <c r="W74" i="4"/>
  <c r="AP74" i="4" s="1"/>
  <c r="V74" i="4"/>
  <c r="I74" i="28"/>
  <c r="K74" i="28"/>
  <c r="AC74" i="4"/>
  <c r="AE74" i="4"/>
  <c r="V73" i="28"/>
  <c r="K73" i="29"/>
  <c r="I73" i="29"/>
  <c r="E73" i="29"/>
  <c r="J71" i="29"/>
  <c r="L71" i="29"/>
  <c r="M71" i="29" s="1"/>
  <c r="AU77" i="4"/>
  <c r="B76" i="4"/>
  <c r="Q73" i="28"/>
  <c r="R73" i="28" s="1"/>
  <c r="T73" i="28" s="1"/>
  <c r="L73" i="28"/>
  <c r="J74" i="28"/>
  <c r="U74" i="28"/>
  <c r="M88" i="7"/>
  <c r="M89" i="7" s="1"/>
  <c r="M77" i="7" s="1"/>
  <c r="AM72" i="4"/>
  <c r="AN72" i="4" s="1"/>
  <c r="AF72" i="4"/>
  <c r="B74" i="29"/>
  <c r="T75" i="29"/>
  <c r="AK75" i="4"/>
  <c r="AI75" i="4"/>
  <c r="AJ75" i="4"/>
  <c r="AL75" i="4"/>
  <c r="AH75" i="4"/>
  <c r="J75" i="4"/>
  <c r="AO75" i="4" s="1"/>
  <c r="E75" i="4"/>
  <c r="V75" i="4" s="1"/>
  <c r="AG75" i="4"/>
  <c r="I75" i="4"/>
  <c r="H75" i="4"/>
  <c r="K75" i="4"/>
  <c r="X75" i="4" s="1"/>
  <c r="M75" i="4"/>
  <c r="Z75" i="4" s="1"/>
  <c r="G75" i="4"/>
  <c r="L75" i="4"/>
  <c r="Y75" i="4" s="1"/>
  <c r="AB75" i="4"/>
  <c r="E75" i="28"/>
  <c r="M75" i="28"/>
  <c r="N75" i="28"/>
  <c r="O75" i="28"/>
  <c r="P75" i="28"/>
  <c r="AM73" i="4"/>
  <c r="AN73" i="4" s="1"/>
  <c r="B76" i="28"/>
  <c r="F76" i="28" s="1"/>
  <c r="Y77" i="28"/>
  <c r="W75" i="28" l="1"/>
  <c r="J72" i="29"/>
  <c r="G73" i="29"/>
  <c r="H73" i="29" s="1"/>
  <c r="L73" i="29" s="1"/>
  <c r="M73" i="29" s="1"/>
  <c r="W75" i="4"/>
  <c r="AP75" i="4" s="1"/>
  <c r="AD74" i="4"/>
  <c r="AF74" i="4" s="1"/>
  <c r="I75" i="28"/>
  <c r="K75" i="28"/>
  <c r="V74" i="28"/>
  <c r="U75" i="28"/>
  <c r="J75" i="28"/>
  <c r="B77" i="28"/>
  <c r="F77" i="28" s="1"/>
  <c r="Y78" i="28"/>
  <c r="AK76" i="4"/>
  <c r="J76" i="4"/>
  <c r="AO76" i="4" s="1"/>
  <c r="AB76" i="4"/>
  <c r="AH76" i="4"/>
  <c r="AJ76" i="4"/>
  <c r="AL76" i="4"/>
  <c r="G76" i="4"/>
  <c r="H76" i="4"/>
  <c r="E76" i="4"/>
  <c r="V76" i="4" s="1"/>
  <c r="AI76" i="4"/>
  <c r="M76" i="4"/>
  <c r="Z76" i="4" s="1"/>
  <c r="K76" i="4"/>
  <c r="X76" i="4" s="1"/>
  <c r="L76" i="4"/>
  <c r="Y76" i="4" s="1"/>
  <c r="AG76" i="4"/>
  <c r="I76" i="4"/>
  <c r="L74" i="28"/>
  <c r="Q74" i="28"/>
  <c r="R74" i="28" s="1"/>
  <c r="T74" i="28" s="1"/>
  <c r="AU78" i="4"/>
  <c r="B77" i="4"/>
  <c r="E76" i="28"/>
  <c r="M76" i="28"/>
  <c r="N76" i="28"/>
  <c r="O76" i="28"/>
  <c r="P76" i="28"/>
  <c r="AE75" i="4"/>
  <c r="B75" i="29"/>
  <c r="T76" i="29"/>
  <c r="AC75" i="4"/>
  <c r="E74" i="29"/>
  <c r="I74" i="29"/>
  <c r="K74" i="29"/>
  <c r="J73" i="29" l="1"/>
  <c r="I76" i="28"/>
  <c r="W76" i="28"/>
  <c r="G74" i="29"/>
  <c r="H74" i="29" s="1"/>
  <c r="AM74" i="4"/>
  <c r="AN74" i="4" s="1"/>
  <c r="AD75" i="4"/>
  <c r="K76" i="28"/>
  <c r="W76" i="4"/>
  <c r="AP76" i="4" s="1"/>
  <c r="V75" i="28"/>
  <c r="AC76" i="4"/>
  <c r="Y79" i="28"/>
  <c r="B78" i="28"/>
  <c r="F78" i="28" s="1"/>
  <c r="AK77" i="4"/>
  <c r="G77" i="4"/>
  <c r="AG77" i="4"/>
  <c r="L77" i="4"/>
  <c r="Y77" i="4" s="1"/>
  <c r="AI77" i="4"/>
  <c r="AH77" i="4"/>
  <c r="E77" i="4"/>
  <c r="V77" i="4" s="1"/>
  <c r="K77" i="4"/>
  <c r="X77" i="4" s="1"/>
  <c r="J77" i="4"/>
  <c r="AO77" i="4" s="1"/>
  <c r="AJ77" i="4"/>
  <c r="AL77" i="4"/>
  <c r="I77" i="4"/>
  <c r="H77" i="4"/>
  <c r="M77" i="4"/>
  <c r="Z77" i="4" s="1"/>
  <c r="AB77" i="4"/>
  <c r="B76" i="29"/>
  <c r="T77" i="29"/>
  <c r="I75" i="29"/>
  <c r="E75" i="29"/>
  <c r="K75" i="29"/>
  <c r="J76" i="28"/>
  <c r="Q76" i="28" s="1"/>
  <c r="R76" i="28" s="1"/>
  <c r="T76" i="28" s="1"/>
  <c r="U76" i="28"/>
  <c r="M77" i="28"/>
  <c r="N77" i="28"/>
  <c r="O77" i="28"/>
  <c r="P77" i="28"/>
  <c r="E77" i="28"/>
  <c r="AE76" i="4"/>
  <c r="Q75" i="28"/>
  <c r="R75" i="28" s="1"/>
  <c r="T75" i="28" s="1"/>
  <c r="L75" i="28"/>
  <c r="AM75" i="4"/>
  <c r="AN75" i="4" s="1"/>
  <c r="AF75" i="4"/>
  <c r="B78" i="4"/>
  <c r="AU79" i="4"/>
  <c r="W77" i="28" l="1"/>
  <c r="G75" i="29"/>
  <c r="H75" i="29" s="1"/>
  <c r="AD76" i="4"/>
  <c r="W77" i="4"/>
  <c r="AP77" i="4" s="1"/>
  <c r="I77" i="28"/>
  <c r="K77" i="28"/>
  <c r="L76" i="28"/>
  <c r="AK78" i="4"/>
  <c r="M78" i="4"/>
  <c r="Z78" i="4" s="1"/>
  <c r="I78" i="4"/>
  <c r="K78" i="4"/>
  <c r="X78" i="4" s="1"/>
  <c r="AB78" i="4"/>
  <c r="AG78" i="4"/>
  <c r="H78" i="4"/>
  <c r="G78" i="4"/>
  <c r="J78" i="4"/>
  <c r="AJ78" i="4"/>
  <c r="AH78" i="4"/>
  <c r="AI78" i="4"/>
  <c r="L78" i="4"/>
  <c r="Y78" i="4" s="1"/>
  <c r="AL78" i="4"/>
  <c r="E78" i="4"/>
  <c r="K76" i="29"/>
  <c r="E76" i="29"/>
  <c r="I76" i="29"/>
  <c r="AC77" i="4"/>
  <c r="N78" i="28"/>
  <c r="O78" i="28"/>
  <c r="M78" i="28"/>
  <c r="P78" i="28"/>
  <c r="E78" i="28"/>
  <c r="J77" i="28"/>
  <c r="U77" i="28"/>
  <c r="AE77" i="4"/>
  <c r="B79" i="28"/>
  <c r="F79" i="28" s="1"/>
  <c r="Y80" i="28"/>
  <c r="J74" i="29"/>
  <c r="L74" i="29"/>
  <c r="M74" i="29" s="1"/>
  <c r="AF76" i="4"/>
  <c r="AM76" i="4"/>
  <c r="AN76" i="4" s="1"/>
  <c r="B79" i="4"/>
  <c r="AU80" i="4"/>
  <c r="L75" i="29"/>
  <c r="M75" i="29" s="1"/>
  <c r="J75" i="29"/>
  <c r="B77" i="29"/>
  <c r="T78" i="29"/>
  <c r="V76" i="28"/>
  <c r="M3" i="7"/>
  <c r="M5" i="7" s="1"/>
  <c r="M7" i="7" s="1"/>
  <c r="M9" i="7" s="1"/>
  <c r="K66" i="7" s="1"/>
  <c r="W78" i="28" l="1"/>
  <c r="G76" i="29"/>
  <c r="H76" i="29" s="1"/>
  <c r="V77" i="28"/>
  <c r="W78" i="4"/>
  <c r="AD77" i="4"/>
  <c r="AF77" i="4" s="1"/>
  <c r="AO78" i="4"/>
  <c r="V78" i="4"/>
  <c r="I78" i="28"/>
  <c r="AE78" i="4"/>
  <c r="K78" i="28"/>
  <c r="H18" i="7"/>
  <c r="I18" i="7" s="1"/>
  <c r="K10" i="7"/>
  <c r="J11" i="28" s="1"/>
  <c r="H7" i="7"/>
  <c r="I7" i="7" s="1"/>
  <c r="K25" i="7"/>
  <c r="J26" i="28" s="1"/>
  <c r="Q26" i="28" s="1"/>
  <c r="R26" i="28" s="1"/>
  <c r="T26" i="28" s="1"/>
  <c r="K65" i="7"/>
  <c r="K24" i="7"/>
  <c r="J25" i="28" s="1"/>
  <c r="K57" i="7"/>
  <c r="H70" i="7"/>
  <c r="I70" i="7" s="1"/>
  <c r="H3" i="7"/>
  <c r="I3" i="7" s="1"/>
  <c r="H21" i="7"/>
  <c r="I21" i="7" s="1"/>
  <c r="H50" i="7"/>
  <c r="I50" i="7" s="1"/>
  <c r="H25" i="7"/>
  <c r="I25" i="7" s="1"/>
  <c r="K45" i="7"/>
  <c r="K43" i="7"/>
  <c r="K26" i="7"/>
  <c r="J27" i="28" s="1"/>
  <c r="L27" i="28" s="1"/>
  <c r="H53" i="7"/>
  <c r="I53" i="7" s="1"/>
  <c r="K31" i="7"/>
  <c r="K5" i="7"/>
  <c r="J6" i="28" s="1"/>
  <c r="K17" i="7"/>
  <c r="J18" i="28" s="1"/>
  <c r="L18" i="28" s="1"/>
  <c r="H46" i="7"/>
  <c r="I46" i="7" s="1"/>
  <c r="K67" i="7"/>
  <c r="H14" i="7"/>
  <c r="I14" i="7" s="1"/>
  <c r="H48" i="7"/>
  <c r="I48" i="7" s="1"/>
  <c r="K42" i="7"/>
  <c r="H16" i="7"/>
  <c r="I16" i="7" s="1"/>
  <c r="H47" i="7"/>
  <c r="I47" i="7" s="1"/>
  <c r="K48" i="7"/>
  <c r="K49" i="7"/>
  <c r="H67" i="7"/>
  <c r="I67" i="7" s="1"/>
  <c r="H27" i="7"/>
  <c r="I27" i="7" s="1"/>
  <c r="H66" i="7"/>
  <c r="I66" i="7" s="1"/>
  <c r="H64" i="7"/>
  <c r="I64" i="7" s="1"/>
  <c r="K58" i="7"/>
  <c r="H33" i="7"/>
  <c r="I33" i="7" s="1"/>
  <c r="H32" i="7"/>
  <c r="I32" i="7" s="1"/>
  <c r="H31" i="7"/>
  <c r="I31" i="7" s="1"/>
  <c r="K63" i="7"/>
  <c r="K4" i="7"/>
  <c r="J5" i="28" s="1"/>
  <c r="Q5" i="28" s="1"/>
  <c r="R5" i="28" s="1"/>
  <c r="T5" i="28" s="1"/>
  <c r="H4" i="7"/>
  <c r="I4" i="7" s="1"/>
  <c r="K9" i="7"/>
  <c r="J10" i="28" s="1"/>
  <c r="H26" i="7"/>
  <c r="I26" i="7" s="1"/>
  <c r="K36" i="7"/>
  <c r="H22" i="7"/>
  <c r="I22" i="7" s="1"/>
  <c r="H65" i="7"/>
  <c r="I65" i="7" s="1"/>
  <c r="K37" i="7"/>
  <c r="H6" i="7"/>
  <c r="I6" i="7" s="1"/>
  <c r="H45" i="7"/>
  <c r="I45" i="7" s="1"/>
  <c r="K7" i="7"/>
  <c r="J8" i="28" s="1"/>
  <c r="K39" i="7"/>
  <c r="K71" i="7"/>
  <c r="H19" i="7"/>
  <c r="I19" i="7" s="1"/>
  <c r="H41" i="7"/>
  <c r="I41" i="7" s="1"/>
  <c r="H62" i="7"/>
  <c r="I62" i="7" s="1"/>
  <c r="K19" i="7"/>
  <c r="J20" i="28" s="1"/>
  <c r="Q20" i="28" s="1"/>
  <c r="R20" i="28" s="1"/>
  <c r="T20" i="28" s="1"/>
  <c r="K40" i="7"/>
  <c r="K61" i="7"/>
  <c r="H13" i="7"/>
  <c r="I13" i="7" s="1"/>
  <c r="H59" i="7"/>
  <c r="I59" i="7" s="1"/>
  <c r="K32" i="7"/>
  <c r="H10" i="7"/>
  <c r="I10" i="7" s="1"/>
  <c r="H55" i="7"/>
  <c r="I55" i="7" s="1"/>
  <c r="K44" i="7"/>
  <c r="H28" i="7"/>
  <c r="I28" i="7" s="1"/>
  <c r="H44" i="7"/>
  <c r="I44" i="7" s="1"/>
  <c r="H60" i="7"/>
  <c r="I60" i="7" s="1"/>
  <c r="K6" i="7"/>
  <c r="J7" i="28" s="1"/>
  <c r="L7" i="28" s="1"/>
  <c r="K22" i="7"/>
  <c r="J23" i="28" s="1"/>
  <c r="Q23" i="28" s="1"/>
  <c r="R23" i="28" s="1"/>
  <c r="T23" i="28" s="1"/>
  <c r="K38" i="7"/>
  <c r="K54" i="7"/>
  <c r="K70" i="7"/>
  <c r="E77" i="29"/>
  <c r="I77" i="29"/>
  <c r="K77" i="29"/>
  <c r="AK79" i="4"/>
  <c r="AJ79" i="4"/>
  <c r="M79" i="4"/>
  <c r="Z79" i="4" s="1"/>
  <c r="J79" i="4"/>
  <c r="AO79" i="4" s="1"/>
  <c r="AB79" i="4"/>
  <c r="AG79" i="4"/>
  <c r="G79" i="4"/>
  <c r="H79" i="4"/>
  <c r="E79" i="4"/>
  <c r="V79" i="4" s="1"/>
  <c r="K79" i="4"/>
  <c r="X79" i="4" s="1"/>
  <c r="L79" i="4"/>
  <c r="Y79" i="4" s="1"/>
  <c r="I79" i="4"/>
  <c r="AI79" i="4"/>
  <c r="AL79" i="4"/>
  <c r="AH79" i="4"/>
  <c r="J78" i="28"/>
  <c r="U78" i="28"/>
  <c r="K3" i="7"/>
  <c r="J4" i="28" s="1"/>
  <c r="K20" i="7"/>
  <c r="H37" i="7"/>
  <c r="I37" i="7" s="1"/>
  <c r="K47" i="7"/>
  <c r="H42" i="7"/>
  <c r="I42" i="7" s="1"/>
  <c r="K52" i="7"/>
  <c r="H69" i="7"/>
  <c r="I69" i="7" s="1"/>
  <c r="H9" i="7"/>
  <c r="I9" i="7" s="1"/>
  <c r="H43" i="7"/>
  <c r="I43" i="7" s="1"/>
  <c r="K16" i="7"/>
  <c r="J17" i="28" s="1"/>
  <c r="Q17" i="28" s="1"/>
  <c r="R17" i="28" s="1"/>
  <c r="T17" i="28" s="1"/>
  <c r="K59" i="7"/>
  <c r="H23" i="7"/>
  <c r="I23" i="7" s="1"/>
  <c r="H61" i="7"/>
  <c r="I61" i="7" s="1"/>
  <c r="K28" i="7"/>
  <c r="J30" i="28" s="1"/>
  <c r="L30" i="28" s="1"/>
  <c r="K55" i="7"/>
  <c r="H11" i="7"/>
  <c r="I11" i="7" s="1"/>
  <c r="H30" i="7"/>
  <c r="I30" i="7" s="1"/>
  <c r="H51" i="7"/>
  <c r="I51" i="7" s="1"/>
  <c r="K8" i="7"/>
  <c r="J9" i="28" s="1"/>
  <c r="L9" i="28" s="1"/>
  <c r="K29" i="7"/>
  <c r="K51" i="7"/>
  <c r="K72" i="7"/>
  <c r="H38" i="7"/>
  <c r="I38" i="7" s="1"/>
  <c r="K11" i="7"/>
  <c r="J12" i="28" s="1"/>
  <c r="L12" i="28" s="1"/>
  <c r="K53" i="7"/>
  <c r="H29" i="7"/>
  <c r="I29" i="7" s="1"/>
  <c r="K12" i="7"/>
  <c r="J13" i="28" s="1"/>
  <c r="L13" i="28" s="1"/>
  <c r="H20" i="7"/>
  <c r="I20" i="7" s="1"/>
  <c r="H36" i="7"/>
  <c r="I36" i="7" s="1"/>
  <c r="H52" i="7"/>
  <c r="I52" i="7" s="1"/>
  <c r="H68" i="7"/>
  <c r="I68" i="7" s="1"/>
  <c r="K14" i="7"/>
  <c r="J15" i="28" s="1"/>
  <c r="L15" i="28" s="1"/>
  <c r="K30" i="7"/>
  <c r="K46" i="7"/>
  <c r="K62" i="7"/>
  <c r="Y81" i="28"/>
  <c r="B80" i="28"/>
  <c r="F80" i="28" s="1"/>
  <c r="H12" i="7"/>
  <c r="I12" i="7" s="1"/>
  <c r="K41" i="7"/>
  <c r="H58" i="7"/>
  <c r="I58" i="7" s="1"/>
  <c r="K68" i="7"/>
  <c r="H63" i="7"/>
  <c r="I63" i="7" s="1"/>
  <c r="H8" i="7"/>
  <c r="I8" i="7" s="1"/>
  <c r="K15" i="7"/>
  <c r="J16" i="28" s="1"/>
  <c r="Q16" i="28" s="1"/>
  <c r="R16" i="28" s="1"/>
  <c r="T16" i="28" s="1"/>
  <c r="H17" i="7"/>
  <c r="I17" i="7" s="1"/>
  <c r="H54" i="7"/>
  <c r="I54" i="7" s="1"/>
  <c r="K27" i="7"/>
  <c r="J29" i="28" s="1"/>
  <c r="Q29" i="28" s="1"/>
  <c r="R29" i="28" s="1"/>
  <c r="T29" i="28" s="1"/>
  <c r="K69" i="7"/>
  <c r="H34" i="7"/>
  <c r="I34" i="7" s="1"/>
  <c r="H71" i="7"/>
  <c r="I71" i="7" s="1"/>
  <c r="K33" i="7"/>
  <c r="K60" i="7"/>
  <c r="H15" i="7"/>
  <c r="I15" i="7" s="1"/>
  <c r="H35" i="7"/>
  <c r="I35" i="7" s="1"/>
  <c r="H57" i="7"/>
  <c r="I57" i="7" s="1"/>
  <c r="K13" i="7"/>
  <c r="J14" i="28" s="1"/>
  <c r="L14" i="28" s="1"/>
  <c r="K35" i="7"/>
  <c r="K56" i="7"/>
  <c r="H5" i="7"/>
  <c r="I5" i="7" s="1"/>
  <c r="H49" i="7"/>
  <c r="I49" i="7" s="1"/>
  <c r="K21" i="7"/>
  <c r="J22" i="28" s="1"/>
  <c r="Q22" i="28" s="1"/>
  <c r="R22" i="28" s="1"/>
  <c r="T22" i="28" s="1"/>
  <c r="K64" i="7"/>
  <c r="H39" i="7"/>
  <c r="I39" i="7" s="1"/>
  <c r="K23" i="7"/>
  <c r="J24" i="28" s="1"/>
  <c r="Q24" i="28" s="1"/>
  <c r="R24" i="28" s="1"/>
  <c r="T24" i="28" s="1"/>
  <c r="H24" i="7"/>
  <c r="I24" i="7" s="1"/>
  <c r="H40" i="7"/>
  <c r="I40" i="7" s="1"/>
  <c r="H56" i="7"/>
  <c r="I56" i="7" s="1"/>
  <c r="H72" i="7"/>
  <c r="I72" i="7" s="1"/>
  <c r="K18" i="7"/>
  <c r="J19" i="28" s="1"/>
  <c r="Q19" i="28" s="1"/>
  <c r="R19" i="28" s="1"/>
  <c r="T19" i="28" s="1"/>
  <c r="K34" i="7"/>
  <c r="K50" i="7"/>
  <c r="B78" i="29"/>
  <c r="T79" i="29"/>
  <c r="AU81" i="4"/>
  <c r="B80" i="4"/>
  <c r="P79" i="28"/>
  <c r="N79" i="28"/>
  <c r="O79" i="28"/>
  <c r="E79" i="28"/>
  <c r="M79" i="28"/>
  <c r="Q77" i="28"/>
  <c r="R77" i="28" s="1"/>
  <c r="T77" i="28" s="1"/>
  <c r="L77" i="28"/>
  <c r="AC78" i="4"/>
  <c r="J21" i="28"/>
  <c r="L21" i="28" s="1"/>
  <c r="Q30" i="28"/>
  <c r="R30" i="28" s="1"/>
  <c r="T30" i="28" s="1"/>
  <c r="L20" i="28"/>
  <c r="L25" i="28"/>
  <c r="Q25" i="28"/>
  <c r="R25" i="28" s="1"/>
  <c r="T25" i="28" s="1"/>
  <c r="L17" i="28"/>
  <c r="L23" i="28"/>
  <c r="L26" i="28"/>
  <c r="Q21" i="28"/>
  <c r="R21" i="28" s="1"/>
  <c r="T21" i="28" s="1"/>
  <c r="Q11" i="28"/>
  <c r="R11" i="28" s="1"/>
  <c r="T11" i="28" s="1"/>
  <c r="L11" i="28"/>
  <c r="Q18" i="28"/>
  <c r="R18" i="28" s="1"/>
  <c r="T18" i="28" s="1"/>
  <c r="Q27" i="28"/>
  <c r="R27" i="28" s="1"/>
  <c r="T27" i="28" s="1"/>
  <c r="L8" i="28"/>
  <c r="Q8" i="28"/>
  <c r="R8" i="28" s="1"/>
  <c r="T8" i="28" s="1"/>
  <c r="L5" i="28"/>
  <c r="L6" i="28"/>
  <c r="Q6" i="28"/>
  <c r="R6" i="28" s="1"/>
  <c r="T6" i="28" s="1"/>
  <c r="L10" i="28"/>
  <c r="Q10" i="28"/>
  <c r="R10" i="28" s="1"/>
  <c r="T10" i="28" s="1"/>
  <c r="Q15" i="28"/>
  <c r="R15" i="28" s="1"/>
  <c r="T15" i="28" s="1"/>
  <c r="W79" i="28" l="1"/>
  <c r="Q4" i="28"/>
  <c r="R4" i="28" s="1"/>
  <c r="T4" i="28" s="1"/>
  <c r="G77" i="29"/>
  <c r="H77" i="29" s="1"/>
  <c r="J77" i="29" s="1"/>
  <c r="W79" i="4"/>
  <c r="AP79" i="4" s="1"/>
  <c r="AM77" i="4"/>
  <c r="AN77" i="4" s="1"/>
  <c r="AD78" i="4"/>
  <c r="AP78" i="4"/>
  <c r="AD79" i="4"/>
  <c r="L22" i="28"/>
  <c r="L19" i="28"/>
  <c r="I79" i="28"/>
  <c r="K79" i="28"/>
  <c r="Q12" i="28"/>
  <c r="R12" i="28" s="1"/>
  <c r="T12" i="28" s="1"/>
  <c r="Q14" i="28"/>
  <c r="R14" i="28" s="1"/>
  <c r="T14" i="28" s="1"/>
  <c r="L24" i="28"/>
  <c r="L16" i="28"/>
  <c r="L29" i="28"/>
  <c r="Q7" i="28"/>
  <c r="R7" i="28" s="1"/>
  <c r="T7" i="28" s="1"/>
  <c r="Q13" i="28"/>
  <c r="R13" i="28" s="1"/>
  <c r="T13" i="28" s="1"/>
  <c r="Q9" i="28"/>
  <c r="R9" i="28" s="1"/>
  <c r="T9" i="28" s="1"/>
  <c r="AK80" i="4"/>
  <c r="K80" i="4"/>
  <c r="X80" i="4" s="1"/>
  <c r="I80" i="4"/>
  <c r="AG80" i="4"/>
  <c r="AI80" i="4"/>
  <c r="J80" i="4"/>
  <c r="AO80" i="4" s="1"/>
  <c r="AL80" i="4"/>
  <c r="G80" i="4"/>
  <c r="M80" i="4"/>
  <c r="Z80" i="4" s="1"/>
  <c r="L80" i="4"/>
  <c r="Y80" i="4" s="1"/>
  <c r="AJ80" i="4"/>
  <c r="E80" i="4"/>
  <c r="V80" i="4" s="1"/>
  <c r="AB80" i="4"/>
  <c r="AH80" i="4"/>
  <c r="H80" i="4"/>
  <c r="L78" i="28"/>
  <c r="Q78" i="28"/>
  <c r="R78" i="28" s="1"/>
  <c r="T78" i="28" s="1"/>
  <c r="L4" i="28"/>
  <c r="B81" i="4"/>
  <c r="AU82" i="4"/>
  <c r="L76" i="29"/>
  <c r="M76" i="29" s="1"/>
  <c r="J76" i="29"/>
  <c r="J79" i="28"/>
  <c r="U79" i="28"/>
  <c r="T80" i="29"/>
  <c r="B79" i="29"/>
  <c r="P80" i="28"/>
  <c r="M80" i="28"/>
  <c r="O80" i="28"/>
  <c r="N80" i="28"/>
  <c r="E80" i="28"/>
  <c r="W80" i="28" s="1"/>
  <c r="V78" i="28"/>
  <c r="K78" i="29"/>
  <c r="E78" i="29"/>
  <c r="I78" i="29"/>
  <c r="Y82" i="28"/>
  <c r="B81" i="28"/>
  <c r="F81" i="28" s="1"/>
  <c r="AE79" i="4"/>
  <c r="AC79" i="4"/>
  <c r="L77" i="29" l="1"/>
  <c r="M77" i="29" s="1"/>
  <c r="G78" i="29"/>
  <c r="H78" i="29" s="1"/>
  <c r="W80" i="4"/>
  <c r="AP80" i="4" s="1"/>
  <c r="I80" i="28"/>
  <c r="K80" i="28"/>
  <c r="V79" i="28"/>
  <c r="M81" i="28"/>
  <c r="P81" i="28"/>
  <c r="N81" i="28"/>
  <c r="O81" i="28"/>
  <c r="E81" i="28"/>
  <c r="W81" i="28" s="1"/>
  <c r="Y83" i="28"/>
  <c r="B82" i="28"/>
  <c r="B82" i="4"/>
  <c r="AU83" i="4"/>
  <c r="AE80" i="4"/>
  <c r="AM78" i="4"/>
  <c r="AN78" i="4" s="1"/>
  <c r="AF78" i="4"/>
  <c r="E79" i="29"/>
  <c r="I79" i="29"/>
  <c r="K79" i="29"/>
  <c r="L79" i="28"/>
  <c r="Q79" i="28"/>
  <c r="R79" i="28" s="1"/>
  <c r="T79" i="28" s="1"/>
  <c r="AK81" i="4"/>
  <c r="AI81" i="4"/>
  <c r="I81" i="4"/>
  <c r="E81" i="4"/>
  <c r="V81" i="4" s="1"/>
  <c r="L81" i="4"/>
  <c r="Y81" i="4" s="1"/>
  <c r="AH81" i="4"/>
  <c r="AG81" i="4"/>
  <c r="M81" i="4"/>
  <c r="Z81" i="4" s="1"/>
  <c r="AL81" i="4"/>
  <c r="J81" i="4"/>
  <c r="AO81" i="4" s="1"/>
  <c r="AB81" i="4"/>
  <c r="AJ81" i="4"/>
  <c r="G81" i="4"/>
  <c r="H81" i="4"/>
  <c r="K81" i="4"/>
  <c r="X81" i="4" s="1"/>
  <c r="AC80" i="4"/>
  <c r="U80" i="28"/>
  <c r="J80" i="28"/>
  <c r="T81" i="29"/>
  <c r="B80" i="29"/>
  <c r="F82" i="28" l="1"/>
  <c r="G79" i="29"/>
  <c r="H79" i="29" s="1"/>
  <c r="AD80" i="4"/>
  <c r="AM80" i="4" s="1"/>
  <c r="AN80" i="4" s="1"/>
  <c r="W81" i="4"/>
  <c r="AP81" i="4" s="1"/>
  <c r="I81" i="28"/>
  <c r="K81" i="28"/>
  <c r="AC81" i="4"/>
  <c r="I80" i="29"/>
  <c r="K80" i="29"/>
  <c r="E80" i="29"/>
  <c r="AE81" i="4"/>
  <c r="AK82" i="4"/>
  <c r="AI82" i="4"/>
  <c r="M82" i="4"/>
  <c r="Z82" i="4" s="1"/>
  <c r="E82" i="4"/>
  <c r="V82" i="4" s="1"/>
  <c r="H82" i="4"/>
  <c r="K82" i="4"/>
  <c r="X82" i="4" s="1"/>
  <c r="AB82" i="4"/>
  <c r="AL82" i="4"/>
  <c r="AJ82" i="4"/>
  <c r="G82" i="4"/>
  <c r="J82" i="4"/>
  <c r="AO82" i="4" s="1"/>
  <c r="AG82" i="4"/>
  <c r="I82" i="4"/>
  <c r="AH82" i="4"/>
  <c r="L82" i="4"/>
  <c r="Y82" i="4" s="1"/>
  <c r="Y84" i="28"/>
  <c r="B83" i="28"/>
  <c r="F83" i="28" s="1"/>
  <c r="V80" i="28"/>
  <c r="J81" i="28"/>
  <c r="U81" i="28"/>
  <c r="B81" i="29"/>
  <c r="T82" i="29"/>
  <c r="AF79" i="4"/>
  <c r="AM79" i="4"/>
  <c r="AN79" i="4" s="1"/>
  <c r="Q80" i="28"/>
  <c r="R80" i="28" s="1"/>
  <c r="T80" i="28" s="1"/>
  <c r="L80" i="28"/>
  <c r="J78" i="29"/>
  <c r="L78" i="29"/>
  <c r="M78" i="29" s="1"/>
  <c r="AU84" i="4"/>
  <c r="B83" i="4"/>
  <c r="M82" i="28"/>
  <c r="N82" i="28"/>
  <c r="P82" i="28"/>
  <c r="E82" i="28"/>
  <c r="O82" i="28"/>
  <c r="W82" i="28" l="1"/>
  <c r="K82" i="28"/>
  <c r="G80" i="29"/>
  <c r="H80" i="29" s="1"/>
  <c r="J80" i="29" s="1"/>
  <c r="W82" i="4"/>
  <c r="AP82" i="4" s="1"/>
  <c r="AD81" i="4"/>
  <c r="AF80" i="4"/>
  <c r="I82" i="28"/>
  <c r="V81" i="28"/>
  <c r="AC82" i="4"/>
  <c r="L79" i="29"/>
  <c r="M79" i="29" s="1"/>
  <c r="J79" i="29"/>
  <c r="L81" i="28"/>
  <c r="Q81" i="28"/>
  <c r="R81" i="28" s="1"/>
  <c r="T81" i="28" s="1"/>
  <c r="N83" i="28"/>
  <c r="P83" i="28"/>
  <c r="O83" i="28"/>
  <c r="E83" i="28"/>
  <c r="M83" i="28"/>
  <c r="J82" i="28"/>
  <c r="U82" i="28"/>
  <c r="V82" i="28" s="1"/>
  <c r="T83" i="29"/>
  <c r="B82" i="29"/>
  <c r="B84" i="28"/>
  <c r="F84" i="28" s="1"/>
  <c r="Y85" i="28"/>
  <c r="AE82" i="4"/>
  <c r="AU85" i="4"/>
  <c r="B84" i="4"/>
  <c r="AK83" i="4"/>
  <c r="H83" i="4"/>
  <c r="AB83" i="4"/>
  <c r="G83" i="4"/>
  <c r="M83" i="4"/>
  <c r="Z83" i="4" s="1"/>
  <c r="I83" i="4"/>
  <c r="AH83" i="4"/>
  <c r="AJ83" i="4"/>
  <c r="AG83" i="4"/>
  <c r="J83" i="4"/>
  <c r="AO83" i="4" s="1"/>
  <c r="AI83" i="4"/>
  <c r="K83" i="4"/>
  <c r="X83" i="4" s="1"/>
  <c r="AL83" i="4"/>
  <c r="L83" i="4"/>
  <c r="Y83" i="4" s="1"/>
  <c r="E83" i="4"/>
  <c r="V83" i="4" s="1"/>
  <c r="K81" i="29"/>
  <c r="E81" i="29"/>
  <c r="I81" i="29"/>
  <c r="W83" i="28" l="1"/>
  <c r="AM81" i="4"/>
  <c r="AN81" i="4" s="1"/>
  <c r="L80" i="29"/>
  <c r="M80" i="29" s="1"/>
  <c r="AF81" i="4"/>
  <c r="G81" i="29"/>
  <c r="H81" i="29" s="1"/>
  <c r="AD82" i="4"/>
  <c r="W83" i="4"/>
  <c r="AP83" i="4" s="1"/>
  <c r="I83" i="28"/>
  <c r="K83" i="28"/>
  <c r="AC83" i="4"/>
  <c r="AE83" i="4"/>
  <c r="T84" i="29"/>
  <c r="B83" i="29"/>
  <c r="AK84" i="4"/>
  <c r="H84" i="4"/>
  <c r="I84" i="4"/>
  <c r="AB84" i="4"/>
  <c r="J84" i="4"/>
  <c r="AO84" i="4" s="1"/>
  <c r="AH84" i="4"/>
  <c r="M84" i="4"/>
  <c r="Z84" i="4" s="1"/>
  <c r="AJ84" i="4"/>
  <c r="AG84" i="4"/>
  <c r="L84" i="4"/>
  <c r="Y84" i="4" s="1"/>
  <c r="K84" i="4"/>
  <c r="X84" i="4" s="1"/>
  <c r="AL84" i="4"/>
  <c r="AI84" i="4"/>
  <c r="G84" i="4"/>
  <c r="E84" i="4"/>
  <c r="V84" i="4" s="1"/>
  <c r="Y86" i="28"/>
  <c r="B85" i="28"/>
  <c r="F85" i="28" s="1"/>
  <c r="B85" i="4"/>
  <c r="AU86" i="4"/>
  <c r="N84" i="28"/>
  <c r="E84" i="28"/>
  <c r="M84" i="28"/>
  <c r="P84" i="28"/>
  <c r="O84" i="28"/>
  <c r="Q82" i="28"/>
  <c r="R82" i="28" s="1"/>
  <c r="T82" i="28" s="1"/>
  <c r="L82" i="28"/>
  <c r="U83" i="28"/>
  <c r="J83" i="28"/>
  <c r="AF82" i="4"/>
  <c r="AM82" i="4"/>
  <c r="AN82" i="4" s="1"/>
  <c r="I82" i="29"/>
  <c r="E82" i="29"/>
  <c r="K82" i="29"/>
  <c r="W84" i="28" l="1"/>
  <c r="G82" i="29"/>
  <c r="H82" i="29" s="1"/>
  <c r="W84" i="4"/>
  <c r="AP84" i="4" s="1"/>
  <c r="AD83" i="4"/>
  <c r="AF83" i="4" s="1"/>
  <c r="I84" i="28"/>
  <c r="K84" i="28"/>
  <c r="AC84" i="4"/>
  <c r="B86" i="4"/>
  <c r="AU87" i="4"/>
  <c r="Y87" i="28"/>
  <c r="B86" i="28"/>
  <c r="F86" i="28" s="1"/>
  <c r="AE84" i="4"/>
  <c r="J84" i="28"/>
  <c r="U84" i="28"/>
  <c r="AK85" i="4"/>
  <c r="AB85" i="4"/>
  <c r="AH85" i="4"/>
  <c r="AG85" i="4"/>
  <c r="E85" i="4"/>
  <c r="V85" i="4" s="1"/>
  <c r="L85" i="4"/>
  <c r="Y85" i="4" s="1"/>
  <c r="I85" i="4"/>
  <c r="AI85" i="4"/>
  <c r="K85" i="4"/>
  <c r="X85" i="4" s="1"/>
  <c r="H85" i="4"/>
  <c r="AJ85" i="4"/>
  <c r="M85" i="4"/>
  <c r="Z85" i="4" s="1"/>
  <c r="G85" i="4"/>
  <c r="J85" i="4"/>
  <c r="AO85" i="4" s="1"/>
  <c r="AL85" i="4"/>
  <c r="V83" i="28"/>
  <c r="Q83" i="28"/>
  <c r="R83" i="28" s="1"/>
  <c r="T83" i="28" s="1"/>
  <c r="L83" i="28"/>
  <c r="L81" i="29"/>
  <c r="M81" i="29" s="1"/>
  <c r="J81" i="29"/>
  <c r="I83" i="29"/>
  <c r="K83" i="29"/>
  <c r="E83" i="29"/>
  <c r="E85" i="28"/>
  <c r="O85" i="28"/>
  <c r="N85" i="28"/>
  <c r="P85" i="28"/>
  <c r="M85" i="28"/>
  <c r="B84" i="29"/>
  <c r="T85" i="29"/>
  <c r="W85" i="28" l="1"/>
  <c r="G83" i="29"/>
  <c r="H83" i="29" s="1"/>
  <c r="AD84" i="4"/>
  <c r="AM83" i="4"/>
  <c r="AN83" i="4" s="1"/>
  <c r="W85" i="4"/>
  <c r="AP85" i="4" s="1"/>
  <c r="I85" i="28"/>
  <c r="J85" i="28" s="1"/>
  <c r="K85" i="28"/>
  <c r="V84" i="28"/>
  <c r="AE85" i="4"/>
  <c r="Y88" i="28"/>
  <c r="B87" i="28"/>
  <c r="F87" i="28" s="1"/>
  <c r="U85" i="28"/>
  <c r="AC85" i="4"/>
  <c r="AU88" i="4"/>
  <c r="B87" i="4"/>
  <c r="AK86" i="4"/>
  <c r="G86" i="4"/>
  <c r="AG86" i="4"/>
  <c r="H86" i="4"/>
  <c r="L86" i="4"/>
  <c r="Y86" i="4" s="1"/>
  <c r="AB86" i="4"/>
  <c r="K86" i="4"/>
  <c r="X86" i="4" s="1"/>
  <c r="E86" i="4"/>
  <c r="V86" i="4" s="1"/>
  <c r="J86" i="4"/>
  <c r="AO86" i="4" s="1"/>
  <c r="M86" i="4"/>
  <c r="Z86" i="4" s="1"/>
  <c r="AH86" i="4"/>
  <c r="AJ86" i="4"/>
  <c r="AL86" i="4"/>
  <c r="AI86" i="4"/>
  <c r="I86" i="4"/>
  <c r="T86" i="29"/>
  <c r="B85" i="29"/>
  <c r="E84" i="29"/>
  <c r="G84" i="29" s="1"/>
  <c r="H84" i="29" s="1"/>
  <c r="I84" i="29"/>
  <c r="K84" i="29"/>
  <c r="L82" i="29"/>
  <c r="M82" i="29" s="1"/>
  <c r="J82" i="29"/>
  <c r="L84" i="28"/>
  <c r="Q84" i="28"/>
  <c r="R84" i="28" s="1"/>
  <c r="T84" i="28" s="1"/>
  <c r="M86" i="28"/>
  <c r="N86" i="28"/>
  <c r="O86" i="28"/>
  <c r="E86" i="28"/>
  <c r="P86" i="28"/>
  <c r="W86" i="28" l="1"/>
  <c r="AD85" i="4"/>
  <c r="AM85" i="4" s="1"/>
  <c r="AN85" i="4" s="1"/>
  <c r="W86" i="4"/>
  <c r="AP86" i="4" s="1"/>
  <c r="K86" i="28"/>
  <c r="I86" i="28"/>
  <c r="J86" i="28" s="1"/>
  <c r="V85" i="28"/>
  <c r="L84" i="29"/>
  <c r="M84" i="29" s="1"/>
  <c r="AM84" i="4"/>
  <c r="AN84" i="4" s="1"/>
  <c r="AF84" i="4"/>
  <c r="AE86" i="4"/>
  <c r="U86" i="28"/>
  <c r="AU89" i="4"/>
  <c r="B88" i="4"/>
  <c r="Q85" i="28"/>
  <c r="R85" i="28" s="1"/>
  <c r="T85" i="28" s="1"/>
  <c r="L85" i="28"/>
  <c r="M87" i="28"/>
  <c r="N87" i="28"/>
  <c r="E87" i="28"/>
  <c r="O87" i="28"/>
  <c r="P87" i="28"/>
  <c r="T87" i="29"/>
  <c r="B86" i="29"/>
  <c r="Y89" i="28"/>
  <c r="B88" i="28"/>
  <c r="F88" i="28" s="1"/>
  <c r="E85" i="29"/>
  <c r="G85" i="29" s="1"/>
  <c r="H85" i="29" s="1"/>
  <c r="K85" i="29"/>
  <c r="I85" i="29"/>
  <c r="AC86" i="4"/>
  <c r="AK87" i="4"/>
  <c r="L87" i="4"/>
  <c r="Y87" i="4" s="1"/>
  <c r="AG87" i="4"/>
  <c r="K87" i="4"/>
  <c r="X87" i="4" s="1"/>
  <c r="AB87" i="4"/>
  <c r="I87" i="4"/>
  <c r="J87" i="4"/>
  <c r="AO87" i="4" s="1"/>
  <c r="AH87" i="4"/>
  <c r="H87" i="4"/>
  <c r="AJ87" i="4"/>
  <c r="M87" i="4"/>
  <c r="Z87" i="4" s="1"/>
  <c r="G87" i="4"/>
  <c r="E87" i="4"/>
  <c r="V87" i="4" s="1"/>
  <c r="AI87" i="4"/>
  <c r="AL87" i="4"/>
  <c r="J83" i="29"/>
  <c r="L83" i="29"/>
  <c r="M83" i="29" s="1"/>
  <c r="W87" i="28" l="1"/>
  <c r="AF85" i="4"/>
  <c r="W87" i="4"/>
  <c r="AP87" i="4" s="1"/>
  <c r="K87" i="28"/>
  <c r="AD86" i="4"/>
  <c r="AF86" i="4" s="1"/>
  <c r="J84" i="29"/>
  <c r="I87" i="28"/>
  <c r="J87" i="28" s="1"/>
  <c r="AE87" i="4"/>
  <c r="V86" i="28"/>
  <c r="L85" i="29"/>
  <c r="M85" i="29" s="1"/>
  <c r="E86" i="29"/>
  <c r="G86" i="29" s="1"/>
  <c r="H86" i="29" s="1"/>
  <c r="I86" i="29"/>
  <c r="K86" i="29"/>
  <c r="U87" i="28"/>
  <c r="M88" i="28"/>
  <c r="N88" i="28"/>
  <c r="P88" i="28"/>
  <c r="E88" i="28"/>
  <c r="O88" i="28"/>
  <c r="B87" i="29"/>
  <c r="T88" i="29"/>
  <c r="AK88" i="4"/>
  <c r="M88" i="4"/>
  <c r="Z88" i="4" s="1"/>
  <c r="I88" i="4"/>
  <c r="E88" i="4"/>
  <c r="V88" i="4" s="1"/>
  <c r="AJ88" i="4"/>
  <c r="H88" i="4"/>
  <c r="AB88" i="4"/>
  <c r="L88" i="4"/>
  <c r="Y88" i="4" s="1"/>
  <c r="AG88" i="4"/>
  <c r="J88" i="4"/>
  <c r="AO88" i="4" s="1"/>
  <c r="AL88" i="4"/>
  <c r="AI88" i="4"/>
  <c r="K88" i="4"/>
  <c r="X88" i="4" s="1"/>
  <c r="AH88" i="4"/>
  <c r="G88" i="4"/>
  <c r="Y90" i="28"/>
  <c r="B89" i="28"/>
  <c r="F89" i="28" s="1"/>
  <c r="B89" i="4"/>
  <c r="AU90" i="4"/>
  <c r="AC87" i="4"/>
  <c r="Q86" i="28"/>
  <c r="R86" i="28" s="1"/>
  <c r="T86" i="28" s="1"/>
  <c r="L86" i="28"/>
  <c r="W88" i="28" l="1"/>
  <c r="AM86" i="4"/>
  <c r="AN86" i="4" s="1"/>
  <c r="AD87" i="4"/>
  <c r="W88" i="4"/>
  <c r="AP88" i="4" s="1"/>
  <c r="I88" i="28"/>
  <c r="K88" i="28"/>
  <c r="V87" i="28"/>
  <c r="J85" i="29"/>
  <c r="AC88" i="4"/>
  <c r="B90" i="28"/>
  <c r="F90" i="28" s="1"/>
  <c r="Y91" i="28"/>
  <c r="AU91" i="4"/>
  <c r="B90" i="4"/>
  <c r="AE88" i="4"/>
  <c r="K87" i="29"/>
  <c r="I87" i="29"/>
  <c r="E87" i="29"/>
  <c r="G87" i="29" s="1"/>
  <c r="H87" i="29" s="1"/>
  <c r="L87" i="28"/>
  <c r="Q87" i="28"/>
  <c r="R87" i="28" s="1"/>
  <c r="T87" i="28" s="1"/>
  <c r="J86" i="29"/>
  <c r="L86" i="29"/>
  <c r="M86" i="29" s="1"/>
  <c r="U88" i="28"/>
  <c r="J88" i="28"/>
  <c r="AK89" i="4"/>
  <c r="AJ89" i="4"/>
  <c r="J89" i="4"/>
  <c r="AO89" i="4" s="1"/>
  <c r="M89" i="4"/>
  <c r="L89" i="4"/>
  <c r="G89" i="4"/>
  <c r="AL89" i="4"/>
  <c r="AI89" i="4"/>
  <c r="K89" i="4"/>
  <c r="X89" i="4" s="1"/>
  <c r="AG89" i="4"/>
  <c r="I89" i="4"/>
  <c r="H89" i="4"/>
  <c r="AB89" i="4"/>
  <c r="E89" i="4"/>
  <c r="V89" i="4" s="1"/>
  <c r="AH89" i="4"/>
  <c r="O89" i="28"/>
  <c r="P89" i="28"/>
  <c r="M89" i="28"/>
  <c r="N89" i="28"/>
  <c r="E89" i="28"/>
  <c r="T89" i="29"/>
  <c r="B88" i="29"/>
  <c r="W89" i="28" l="1"/>
  <c r="AD88" i="4"/>
  <c r="Z89" i="4"/>
  <c r="W89" i="4"/>
  <c r="AP89" i="4" s="1"/>
  <c r="Y89" i="4"/>
  <c r="I89" i="28"/>
  <c r="V88" i="28"/>
  <c r="K89" i="28"/>
  <c r="L87" i="29"/>
  <c r="M87" i="29" s="1"/>
  <c r="AF88" i="4"/>
  <c r="AM88" i="4"/>
  <c r="AN88" i="4" s="1"/>
  <c r="AE89" i="4"/>
  <c r="B91" i="4"/>
  <c r="AU92" i="4"/>
  <c r="Y92" i="28"/>
  <c r="B91" i="28"/>
  <c r="F91" i="28" s="1"/>
  <c r="M90" i="28"/>
  <c r="N90" i="28"/>
  <c r="O90" i="28"/>
  <c r="P90" i="28"/>
  <c r="E90" i="28"/>
  <c r="J89" i="28"/>
  <c r="U89" i="28"/>
  <c r="K88" i="29"/>
  <c r="E88" i="29"/>
  <c r="G88" i="29" s="1"/>
  <c r="H88" i="29" s="1"/>
  <c r="I88" i="29"/>
  <c r="T90" i="29"/>
  <c r="B89" i="29"/>
  <c r="Q88" i="28"/>
  <c r="R88" i="28" s="1"/>
  <c r="T88" i="28" s="1"/>
  <c r="L88" i="28"/>
  <c r="AK90" i="4"/>
  <c r="AL90" i="4"/>
  <c r="AJ90" i="4"/>
  <c r="E90" i="4"/>
  <c r="V90" i="4" s="1"/>
  <c r="J90" i="4"/>
  <c r="AO90" i="4" s="1"/>
  <c r="L90" i="4"/>
  <c r="Y90" i="4" s="1"/>
  <c r="G90" i="4"/>
  <c r="K90" i="4"/>
  <c r="X90" i="4" s="1"/>
  <c r="AG90" i="4"/>
  <c r="AB90" i="4"/>
  <c r="M90" i="4"/>
  <c r="Z90" i="4" s="1"/>
  <c r="AI90" i="4"/>
  <c r="I90" i="4"/>
  <c r="H90" i="4"/>
  <c r="AH90" i="4"/>
  <c r="AF87" i="4"/>
  <c r="AM87" i="4"/>
  <c r="AN87" i="4" s="1"/>
  <c r="W90" i="28" l="1"/>
  <c r="AC89" i="4"/>
  <c r="W90" i="4"/>
  <c r="AP90" i="4" s="1"/>
  <c r="AD89" i="4"/>
  <c r="AM89" i="4" s="1"/>
  <c r="AN89" i="4" s="1"/>
  <c r="J87" i="29"/>
  <c r="I90" i="28"/>
  <c r="K90" i="28"/>
  <c r="L88" i="29"/>
  <c r="M88" i="29" s="1"/>
  <c r="AE90" i="4"/>
  <c r="V89" i="28"/>
  <c r="AK91" i="4"/>
  <c r="AI91" i="4"/>
  <c r="AB91" i="4"/>
  <c r="E91" i="4"/>
  <c r="V91" i="4" s="1"/>
  <c r="G91" i="4"/>
  <c r="AL91" i="4"/>
  <c r="J91" i="4"/>
  <c r="AO91" i="4" s="1"/>
  <c r="I91" i="4"/>
  <c r="K91" i="4"/>
  <c r="M91" i="4"/>
  <c r="AH91" i="4"/>
  <c r="H91" i="4"/>
  <c r="AJ91" i="4"/>
  <c r="AG91" i="4"/>
  <c r="L91" i="4"/>
  <c r="B90" i="29"/>
  <c r="T91" i="29"/>
  <c r="Q89" i="28"/>
  <c r="R89" i="28" s="1"/>
  <c r="T89" i="28" s="1"/>
  <c r="L89" i="28"/>
  <c r="M91" i="28"/>
  <c r="N91" i="28"/>
  <c r="O91" i="28"/>
  <c r="E91" i="28"/>
  <c r="P91" i="28"/>
  <c r="K89" i="29"/>
  <c r="I89" i="29"/>
  <c r="E89" i="29"/>
  <c r="G89" i="29" s="1"/>
  <c r="H89" i="29" s="1"/>
  <c r="AC90" i="4"/>
  <c r="U90" i="28"/>
  <c r="J90" i="28"/>
  <c r="Y93" i="28"/>
  <c r="B92" i="28"/>
  <c r="F92" i="28" s="1"/>
  <c r="V90" i="28"/>
  <c r="AU93" i="4"/>
  <c r="B92" i="4"/>
  <c r="W91" i="28" l="1"/>
  <c r="AD90" i="4"/>
  <c r="AF90" i="4" s="1"/>
  <c r="AF89" i="4"/>
  <c r="Y91" i="4"/>
  <c r="Z91" i="4"/>
  <c r="X91" i="4"/>
  <c r="W91" i="4"/>
  <c r="AP91" i="4" s="1"/>
  <c r="I91" i="28"/>
  <c r="J91" i="28" s="1"/>
  <c r="K91" i="28"/>
  <c r="J88" i="29"/>
  <c r="B91" i="29"/>
  <c r="T92" i="29"/>
  <c r="AU94" i="4"/>
  <c r="B93" i="4"/>
  <c r="Q90" i="28"/>
  <c r="R90" i="28" s="1"/>
  <c r="T90" i="28" s="1"/>
  <c r="L90" i="28"/>
  <c r="L89" i="29"/>
  <c r="M89" i="29" s="1"/>
  <c r="J89" i="29"/>
  <c r="U91" i="28"/>
  <c r="M92" i="28"/>
  <c r="E92" i="28"/>
  <c r="N92" i="28"/>
  <c r="O92" i="28"/>
  <c r="P92" i="28"/>
  <c r="K92" i="28" s="1"/>
  <c r="I90" i="29"/>
  <c r="K90" i="29"/>
  <c r="E90" i="29"/>
  <c r="G90" i="29" s="1"/>
  <c r="H90" i="29" s="1"/>
  <c r="AK92" i="4"/>
  <c r="M92" i="4"/>
  <c r="AH92" i="4"/>
  <c r="E92" i="4"/>
  <c r="H92" i="4"/>
  <c r="AL92" i="4"/>
  <c r="AG92" i="4"/>
  <c r="AB92" i="4"/>
  <c r="J92" i="4"/>
  <c r="K92" i="4"/>
  <c r="L92" i="4"/>
  <c r="G92" i="4"/>
  <c r="AJ92" i="4"/>
  <c r="I92" i="4"/>
  <c r="Y94" i="28"/>
  <c r="B93" i="28"/>
  <c r="F93" i="28" s="1"/>
  <c r="AE91" i="4"/>
  <c r="W92" i="28" l="1"/>
  <c r="V92" i="4"/>
  <c r="AM90" i="4"/>
  <c r="AN90" i="4" s="1"/>
  <c r="AC91" i="4"/>
  <c r="AD91" i="4"/>
  <c r="AF91" i="4" s="1"/>
  <c r="Y92" i="4"/>
  <c r="X92" i="4"/>
  <c r="Z92" i="4"/>
  <c r="W92" i="4"/>
  <c r="AO92" i="4"/>
  <c r="I92" i="28"/>
  <c r="J92" i="28" s="1"/>
  <c r="V91" i="28"/>
  <c r="Q91" i="28"/>
  <c r="R91" i="28" s="1"/>
  <c r="T91" i="28" s="1"/>
  <c r="L91" i="28"/>
  <c r="U92" i="28"/>
  <c r="V92" i="28" s="1"/>
  <c r="T93" i="29"/>
  <c r="B92" i="29"/>
  <c r="E93" i="28"/>
  <c r="P93" i="28"/>
  <c r="N93" i="28"/>
  <c r="M93" i="28"/>
  <c r="O93" i="28"/>
  <c r="AK93" i="4"/>
  <c r="I93" i="4"/>
  <c r="H93" i="4"/>
  <c r="AB93" i="4"/>
  <c r="K93" i="4"/>
  <c r="X93" i="4" s="1"/>
  <c r="L93" i="4"/>
  <c r="Y93" i="4" s="1"/>
  <c r="AG93" i="4"/>
  <c r="AJ93" i="4"/>
  <c r="M93" i="4"/>
  <c r="Z93" i="4" s="1"/>
  <c r="AH93" i="4"/>
  <c r="AI93" i="4"/>
  <c r="AL93" i="4"/>
  <c r="G93" i="4"/>
  <c r="E93" i="4"/>
  <c r="V93" i="4" s="1"/>
  <c r="J93" i="4"/>
  <c r="AO93" i="4" s="1"/>
  <c r="I91" i="29"/>
  <c r="K91" i="29"/>
  <c r="E91" i="29"/>
  <c r="G91" i="29" s="1"/>
  <c r="H91" i="29" s="1"/>
  <c r="B94" i="28"/>
  <c r="F94" i="28" s="1"/>
  <c r="Y95" i="28"/>
  <c r="AU95" i="4"/>
  <c r="B94" i="4"/>
  <c r="W93" i="28" l="1"/>
  <c r="AC92" i="4"/>
  <c r="AP92" i="4"/>
  <c r="AD92" i="4"/>
  <c r="W93" i="4"/>
  <c r="AP93" i="4" s="1"/>
  <c r="AM91" i="4"/>
  <c r="AN91" i="4" s="1"/>
  <c r="I93" i="28"/>
  <c r="K93" i="28"/>
  <c r="AE93" i="4"/>
  <c r="B95" i="28"/>
  <c r="F95" i="28" s="1"/>
  <c r="Y96" i="28"/>
  <c r="AC93" i="4"/>
  <c r="E92" i="29"/>
  <c r="I92" i="29"/>
  <c r="K92" i="29"/>
  <c r="B93" i="29"/>
  <c r="T94" i="29"/>
  <c r="AK94" i="4"/>
  <c r="AB94" i="4"/>
  <c r="G94" i="4"/>
  <c r="E94" i="4"/>
  <c r="V94" i="4" s="1"/>
  <c r="AJ94" i="4"/>
  <c r="K94" i="4"/>
  <c r="X94" i="4" s="1"/>
  <c r="AH94" i="4"/>
  <c r="M94" i="4"/>
  <c r="Z94" i="4" s="1"/>
  <c r="AL94" i="4"/>
  <c r="AI94" i="4"/>
  <c r="L94" i="4"/>
  <c r="Y94" i="4" s="1"/>
  <c r="J94" i="4"/>
  <c r="AO94" i="4" s="1"/>
  <c r="I94" i="4"/>
  <c r="H94" i="4"/>
  <c r="AG94" i="4"/>
  <c r="M94" i="28"/>
  <c r="P94" i="28"/>
  <c r="K94" i="28" s="1"/>
  <c r="N94" i="28"/>
  <c r="E94" i="28"/>
  <c r="O94" i="28"/>
  <c r="U93" i="28"/>
  <c r="J93" i="28"/>
  <c r="Q92" i="28"/>
  <c r="R92" i="28" s="1"/>
  <c r="T92" i="28" s="1"/>
  <c r="L92" i="28"/>
  <c r="AU96" i="4"/>
  <c r="B95" i="4"/>
  <c r="J90" i="29"/>
  <c r="L90" i="29"/>
  <c r="M90" i="29" s="1"/>
  <c r="W94" i="28" l="1"/>
  <c r="G92" i="29"/>
  <c r="H92" i="29" s="1"/>
  <c r="L92" i="29" s="1"/>
  <c r="M92" i="29" s="1"/>
  <c r="AD93" i="4"/>
  <c r="AM93" i="4" s="1"/>
  <c r="AN93" i="4" s="1"/>
  <c r="W94" i="4"/>
  <c r="AP94" i="4" s="1"/>
  <c r="I94" i="28"/>
  <c r="AC94" i="4"/>
  <c r="V93" i="28"/>
  <c r="AE94" i="4"/>
  <c r="B96" i="4"/>
  <c r="AU97" i="4"/>
  <c r="T95" i="29"/>
  <c r="B94" i="29"/>
  <c r="Y97" i="28"/>
  <c r="B96" i="28"/>
  <c r="F96" i="28" s="1"/>
  <c r="AK95" i="4"/>
  <c r="I95" i="4"/>
  <c r="M95" i="4"/>
  <c r="Z95" i="4" s="1"/>
  <c r="AL95" i="4"/>
  <c r="AJ95" i="4"/>
  <c r="AG95" i="4"/>
  <c r="H95" i="4"/>
  <c r="G95" i="4"/>
  <c r="K95" i="4"/>
  <c r="X95" i="4" s="1"/>
  <c r="E95" i="4"/>
  <c r="V95" i="4" s="1"/>
  <c r="J95" i="4"/>
  <c r="AO95" i="4" s="1"/>
  <c r="L95" i="4"/>
  <c r="Y95" i="4" s="1"/>
  <c r="AH95" i="4"/>
  <c r="AB95" i="4"/>
  <c r="AI95" i="4"/>
  <c r="Q93" i="28"/>
  <c r="R93" i="28" s="1"/>
  <c r="T93" i="28" s="1"/>
  <c r="L93" i="28"/>
  <c r="J91" i="29"/>
  <c r="L91" i="29"/>
  <c r="M91" i="29" s="1"/>
  <c r="U94" i="28"/>
  <c r="J94" i="28"/>
  <c r="I93" i="29"/>
  <c r="E93" i="29"/>
  <c r="K93" i="29"/>
  <c r="M95" i="28"/>
  <c r="P95" i="28"/>
  <c r="N95" i="28"/>
  <c r="E95" i="28"/>
  <c r="O95" i="28"/>
  <c r="W95" i="28" l="1"/>
  <c r="AF93" i="4"/>
  <c r="G93" i="29"/>
  <c r="H93" i="29" s="1"/>
  <c r="W95" i="4"/>
  <c r="AP95" i="4" s="1"/>
  <c r="AD94" i="4"/>
  <c r="I95" i="28"/>
  <c r="J95" i="28" s="1"/>
  <c r="K95" i="28"/>
  <c r="AC95" i="4"/>
  <c r="J92" i="29"/>
  <c r="U95" i="28"/>
  <c r="K94" i="29"/>
  <c r="I94" i="29"/>
  <c r="E94" i="29"/>
  <c r="G94" i="29" s="1"/>
  <c r="H94" i="29" s="1"/>
  <c r="AK96" i="4"/>
  <c r="E96" i="4"/>
  <c r="V96" i="4" s="1"/>
  <c r="J96" i="4"/>
  <c r="AO96" i="4" s="1"/>
  <c r="H96" i="4"/>
  <c r="M96" i="4"/>
  <c r="Z96" i="4" s="1"/>
  <c r="AI96" i="4"/>
  <c r="AB96" i="4"/>
  <c r="AL96" i="4"/>
  <c r="I96" i="4"/>
  <c r="G96" i="4"/>
  <c r="AJ96" i="4"/>
  <c r="K96" i="4"/>
  <c r="X96" i="4" s="1"/>
  <c r="L96" i="4"/>
  <c r="Y96" i="4" s="1"/>
  <c r="AG96" i="4"/>
  <c r="AH96" i="4"/>
  <c r="Q94" i="28"/>
  <c r="R94" i="28" s="1"/>
  <c r="T94" i="28" s="1"/>
  <c r="L94" i="28"/>
  <c r="B95" i="29"/>
  <c r="T96" i="29"/>
  <c r="AE95" i="4"/>
  <c r="M96" i="28"/>
  <c r="O96" i="28"/>
  <c r="E96" i="28"/>
  <c r="N96" i="28"/>
  <c r="P96" i="28"/>
  <c r="Y98" i="28"/>
  <c r="B97" i="28"/>
  <c r="F97" i="28" s="1"/>
  <c r="AU98" i="4"/>
  <c r="B97" i="4"/>
  <c r="V94" i="28"/>
  <c r="W96" i="28" l="1"/>
  <c r="AD95" i="4"/>
  <c r="W96" i="4"/>
  <c r="AP96" i="4" s="1"/>
  <c r="I96" i="28"/>
  <c r="K96" i="28"/>
  <c r="V95" i="28"/>
  <c r="L93" i="29"/>
  <c r="M93" i="29" s="1"/>
  <c r="J93" i="29"/>
  <c r="AC96" i="4"/>
  <c r="AE96" i="4"/>
  <c r="AK97" i="4"/>
  <c r="AI97" i="4"/>
  <c r="E97" i="4"/>
  <c r="AB97" i="4"/>
  <c r="G97" i="4"/>
  <c r="L97" i="4"/>
  <c r="M97" i="4"/>
  <c r="J97" i="4"/>
  <c r="I97" i="4"/>
  <c r="AJ97" i="4"/>
  <c r="K97" i="4"/>
  <c r="X97" i="4" s="1"/>
  <c r="AG97" i="4"/>
  <c r="AH97" i="4"/>
  <c r="H97" i="4"/>
  <c r="AL97" i="4"/>
  <c r="AM94" i="4"/>
  <c r="AN94" i="4" s="1"/>
  <c r="AF94" i="4"/>
  <c r="B96" i="29"/>
  <c r="T97" i="29"/>
  <c r="L95" i="28"/>
  <c r="Q95" i="28"/>
  <c r="R95" i="28" s="1"/>
  <c r="T95" i="28" s="1"/>
  <c r="M97" i="28"/>
  <c r="E97" i="28"/>
  <c r="O97" i="28"/>
  <c r="N97" i="28"/>
  <c r="P97" i="28"/>
  <c r="B98" i="28"/>
  <c r="F98" i="28" s="1"/>
  <c r="Y99" i="28"/>
  <c r="B98" i="4"/>
  <c r="AU99" i="4"/>
  <c r="U96" i="28"/>
  <c r="J96" i="28"/>
  <c r="I95" i="29"/>
  <c r="E95" i="29"/>
  <c r="G95" i="29" s="1"/>
  <c r="H95" i="29" s="1"/>
  <c r="K95" i="29"/>
  <c r="AO97" i="4" l="1"/>
  <c r="W97" i="28"/>
  <c r="Y97" i="4"/>
  <c r="V97" i="4"/>
  <c r="AD96" i="4"/>
  <c r="AF96" i="4" s="1"/>
  <c r="Z97" i="4"/>
  <c r="AC97" i="4" s="1"/>
  <c r="W97" i="4"/>
  <c r="AP97" i="4" s="1"/>
  <c r="I97" i="28"/>
  <c r="K97" i="28"/>
  <c r="AE97" i="4"/>
  <c r="N98" i="28"/>
  <c r="P98" i="28"/>
  <c r="M98" i="28"/>
  <c r="O98" i="28"/>
  <c r="E98" i="28"/>
  <c r="J97" i="28"/>
  <c r="U97" i="28"/>
  <c r="I96" i="29"/>
  <c r="K96" i="29"/>
  <c r="E96" i="29"/>
  <c r="Y100" i="28"/>
  <c r="B99" i="28"/>
  <c r="F99" i="28" s="1"/>
  <c r="Q96" i="28"/>
  <c r="R96" i="28" s="1"/>
  <c r="T96" i="28" s="1"/>
  <c r="L96" i="28"/>
  <c r="AU100" i="4"/>
  <c r="B99" i="4"/>
  <c r="AK98" i="4"/>
  <c r="I98" i="4"/>
  <c r="G98" i="4"/>
  <c r="AJ98" i="4"/>
  <c r="L98" i="4"/>
  <c r="Y98" i="4" s="1"/>
  <c r="J98" i="4"/>
  <c r="AO98" i="4" s="1"/>
  <c r="M98" i="4"/>
  <c r="Z98" i="4" s="1"/>
  <c r="AI98" i="4"/>
  <c r="H98" i="4"/>
  <c r="AG98" i="4"/>
  <c r="K98" i="4"/>
  <c r="X98" i="4" s="1"/>
  <c r="AH98" i="4"/>
  <c r="AB98" i="4"/>
  <c r="AL98" i="4"/>
  <c r="E98" i="4"/>
  <c r="V98" i="4" s="1"/>
  <c r="L94" i="29"/>
  <c r="M94" i="29" s="1"/>
  <c r="J94" i="29"/>
  <c r="AF95" i="4"/>
  <c r="AM95" i="4"/>
  <c r="AN95" i="4" s="1"/>
  <c r="B97" i="29"/>
  <c r="T98" i="29"/>
  <c r="V96" i="28"/>
  <c r="W98" i="28" l="1"/>
  <c r="G96" i="29"/>
  <c r="H96" i="29" s="1"/>
  <c r="AD97" i="4"/>
  <c r="W98" i="4"/>
  <c r="AP98" i="4" s="1"/>
  <c r="I98" i="28"/>
  <c r="AM96" i="4"/>
  <c r="AN96" i="4" s="1"/>
  <c r="K98" i="28"/>
  <c r="V97" i="28"/>
  <c r="AE98" i="4"/>
  <c r="T99" i="29"/>
  <c r="B98" i="29"/>
  <c r="B100" i="4"/>
  <c r="AU101" i="4"/>
  <c r="L97" i="28"/>
  <c r="Q97" i="28"/>
  <c r="R97" i="28" s="1"/>
  <c r="T97" i="28" s="1"/>
  <c r="E97" i="29"/>
  <c r="K97" i="29"/>
  <c r="I97" i="29"/>
  <c r="J95" i="29"/>
  <c r="L95" i="29"/>
  <c r="M95" i="29" s="1"/>
  <c r="N99" i="28"/>
  <c r="O99" i="28"/>
  <c r="M99" i="28"/>
  <c r="P99" i="28"/>
  <c r="E99" i="28"/>
  <c r="AF97" i="4"/>
  <c r="AM97" i="4"/>
  <c r="AN97" i="4" s="1"/>
  <c r="AC98" i="4"/>
  <c r="Y101" i="28"/>
  <c r="B100" i="28"/>
  <c r="F100" i="28" s="1"/>
  <c r="U98" i="28"/>
  <c r="J98" i="28"/>
  <c r="AK99" i="4"/>
  <c r="AH99" i="4"/>
  <c r="J99" i="4"/>
  <c r="AO99" i="4" s="1"/>
  <c r="AL99" i="4"/>
  <c r="M99" i="4"/>
  <c r="Z99" i="4" s="1"/>
  <c r="K99" i="4"/>
  <c r="X99" i="4" s="1"/>
  <c r="E99" i="4"/>
  <c r="V99" i="4" s="1"/>
  <c r="AG99" i="4"/>
  <c r="AB99" i="4"/>
  <c r="AJ99" i="4"/>
  <c r="L99" i="4"/>
  <c r="Y99" i="4" s="1"/>
  <c r="G99" i="4"/>
  <c r="AI99" i="4"/>
  <c r="H99" i="4"/>
  <c r="I99" i="4"/>
  <c r="W99" i="28" l="1"/>
  <c r="G97" i="29"/>
  <c r="H97" i="29" s="1"/>
  <c r="W99" i="4"/>
  <c r="AP99" i="4" s="1"/>
  <c r="AD98" i="4"/>
  <c r="I99" i="28"/>
  <c r="K99" i="28"/>
  <c r="AC99" i="4"/>
  <c r="E100" i="28"/>
  <c r="M100" i="28"/>
  <c r="O100" i="28"/>
  <c r="N100" i="28"/>
  <c r="P100" i="28"/>
  <c r="U99" i="28"/>
  <c r="J99" i="28"/>
  <c r="AU102" i="4"/>
  <c r="B101" i="4"/>
  <c r="Y102" i="28"/>
  <c r="B101" i="28"/>
  <c r="F101" i="28" s="1"/>
  <c r="AK100" i="4"/>
  <c r="AG100" i="4"/>
  <c r="E100" i="4"/>
  <c r="AH100" i="4"/>
  <c r="AL100" i="4"/>
  <c r="AJ100" i="4"/>
  <c r="K100" i="4"/>
  <c r="X100" i="4" s="1"/>
  <c r="L100" i="4"/>
  <c r="H100" i="4"/>
  <c r="I100" i="4"/>
  <c r="G100" i="4"/>
  <c r="J100" i="4"/>
  <c r="AI100" i="4"/>
  <c r="M100" i="4"/>
  <c r="AB100" i="4"/>
  <c r="AE99" i="4"/>
  <c r="L98" i="28"/>
  <c r="Q98" i="28"/>
  <c r="R98" i="28" s="1"/>
  <c r="T98" i="28" s="1"/>
  <c r="K98" i="29"/>
  <c r="E98" i="29"/>
  <c r="I98" i="29"/>
  <c r="V98" i="28"/>
  <c r="L96" i="29"/>
  <c r="M96" i="29" s="1"/>
  <c r="J96" i="29"/>
  <c r="T100" i="29"/>
  <c r="B99" i="29"/>
  <c r="AO100" i="4" l="1"/>
  <c r="W100" i="28"/>
  <c r="V100" i="4"/>
  <c r="G98" i="29"/>
  <c r="H98" i="29" s="1"/>
  <c r="AD99" i="4"/>
  <c r="AF99" i="4" s="1"/>
  <c r="V99" i="28"/>
  <c r="Y100" i="4"/>
  <c r="Z100" i="4"/>
  <c r="W100" i="4"/>
  <c r="AP100" i="4" s="1"/>
  <c r="I100" i="28"/>
  <c r="K100" i="28"/>
  <c r="N101" i="28"/>
  <c r="P101" i="28"/>
  <c r="O101" i="28"/>
  <c r="M101" i="28"/>
  <c r="E101" i="28"/>
  <c r="L97" i="29"/>
  <c r="M97" i="29" s="1"/>
  <c r="J97" i="29"/>
  <c r="K99" i="29"/>
  <c r="E99" i="29"/>
  <c r="I99" i="29"/>
  <c r="T101" i="29"/>
  <c r="B100" i="29"/>
  <c r="Y103" i="28"/>
  <c r="B102" i="28"/>
  <c r="F102" i="28" s="1"/>
  <c r="L99" i="28"/>
  <c r="Q99" i="28"/>
  <c r="R99" i="28" s="1"/>
  <c r="T99" i="28" s="1"/>
  <c r="AK101" i="4"/>
  <c r="K101" i="4"/>
  <c r="G101" i="4"/>
  <c r="M101" i="4"/>
  <c r="AG101" i="4"/>
  <c r="E101" i="4"/>
  <c r="AL101" i="4"/>
  <c r="AJ101" i="4"/>
  <c r="L101" i="4"/>
  <c r="AI101" i="4"/>
  <c r="J101" i="4"/>
  <c r="I101" i="4"/>
  <c r="H101" i="4"/>
  <c r="AH101" i="4"/>
  <c r="AB101" i="4"/>
  <c r="J100" i="28"/>
  <c r="U100" i="28"/>
  <c r="AE100" i="4"/>
  <c r="AU103" i="4"/>
  <c r="B102" i="4"/>
  <c r="AM98" i="4"/>
  <c r="AN98" i="4" s="1"/>
  <c r="AF98" i="4"/>
  <c r="W101" i="28" l="1"/>
  <c r="AD100" i="4"/>
  <c r="AM99" i="4"/>
  <c r="AN99" i="4" s="1"/>
  <c r="V101" i="4"/>
  <c r="G99" i="29"/>
  <c r="H99" i="29" s="1"/>
  <c r="AC100" i="4"/>
  <c r="X101" i="4"/>
  <c r="Y101" i="4"/>
  <c r="Z101" i="4"/>
  <c r="AO101" i="4"/>
  <c r="W101" i="4"/>
  <c r="I101" i="28"/>
  <c r="J101" i="28" s="1"/>
  <c r="K101" i="28"/>
  <c r="I100" i="29"/>
  <c r="E100" i="29"/>
  <c r="K100" i="29"/>
  <c r="U101" i="28"/>
  <c r="N102" i="28"/>
  <c r="E102" i="28"/>
  <c r="P102" i="28"/>
  <c r="M102" i="28"/>
  <c r="O102" i="28"/>
  <c r="B101" i="29"/>
  <c r="T102" i="29"/>
  <c r="AK102" i="4"/>
  <c r="AB102" i="4"/>
  <c r="H102" i="4"/>
  <c r="I102" i="4"/>
  <c r="AL102" i="4"/>
  <c r="G102" i="4"/>
  <c r="K102" i="4"/>
  <c r="X102" i="4" s="1"/>
  <c r="AG102" i="4"/>
  <c r="AI102" i="4"/>
  <c r="L102" i="4"/>
  <c r="Y102" i="4" s="1"/>
  <c r="M102" i="4"/>
  <c r="Z102" i="4" s="1"/>
  <c r="E102" i="4"/>
  <c r="V102" i="4" s="1"/>
  <c r="AH102" i="4"/>
  <c r="AJ102" i="4"/>
  <c r="J102" i="4"/>
  <c r="AO102" i="4" s="1"/>
  <c r="L100" i="28"/>
  <c r="Q100" i="28"/>
  <c r="R100" i="28" s="1"/>
  <c r="T100" i="28" s="1"/>
  <c r="V100" i="28"/>
  <c r="Y104" i="28"/>
  <c r="B103" i="28"/>
  <c r="F103" i="28" s="1"/>
  <c r="B103" i="4"/>
  <c r="AU104" i="4"/>
  <c r="AE101" i="4"/>
  <c r="J98" i="29"/>
  <c r="L98" i="29"/>
  <c r="M98" i="29" s="1"/>
  <c r="W102" i="28" l="1"/>
  <c r="G100" i="29"/>
  <c r="H100" i="29" s="1"/>
  <c r="L100" i="29" s="1"/>
  <c r="M100" i="29" s="1"/>
  <c r="AC101" i="4"/>
  <c r="AP101" i="4"/>
  <c r="AD101" i="4"/>
  <c r="W102" i="4"/>
  <c r="AP102" i="4" s="1"/>
  <c r="I102" i="28"/>
  <c r="K102" i="28"/>
  <c r="V101" i="28"/>
  <c r="AM100" i="4"/>
  <c r="AN100" i="4" s="1"/>
  <c r="AF100" i="4"/>
  <c r="AK103" i="4"/>
  <c r="M103" i="4"/>
  <c r="Z103" i="4" s="1"/>
  <c r="AB103" i="4"/>
  <c r="G103" i="4"/>
  <c r="AJ103" i="4"/>
  <c r="K103" i="4"/>
  <c r="X103" i="4" s="1"/>
  <c r="I103" i="4"/>
  <c r="AG103" i="4"/>
  <c r="AL103" i="4"/>
  <c r="H103" i="4"/>
  <c r="E103" i="4"/>
  <c r="V103" i="4" s="1"/>
  <c r="L103" i="4"/>
  <c r="Y103" i="4" s="1"/>
  <c r="J103" i="4"/>
  <c r="AO103" i="4" s="1"/>
  <c r="AH103" i="4"/>
  <c r="AI103" i="4"/>
  <c r="B104" i="28"/>
  <c r="F104" i="28" s="1"/>
  <c r="Y105" i="28"/>
  <c r="B102" i="29"/>
  <c r="T103" i="29"/>
  <c r="L99" i="29"/>
  <c r="M99" i="29" s="1"/>
  <c r="J99" i="29"/>
  <c r="B104" i="4"/>
  <c r="AU105" i="4"/>
  <c r="I101" i="29"/>
  <c r="K101" i="29"/>
  <c r="E101" i="29"/>
  <c r="J100" i="29"/>
  <c r="AE102" i="4"/>
  <c r="J102" i="28"/>
  <c r="U102" i="28"/>
  <c r="V102" i="28" s="1"/>
  <c r="Q101" i="28"/>
  <c r="R101" i="28" s="1"/>
  <c r="T101" i="28" s="1"/>
  <c r="L101" i="28"/>
  <c r="O103" i="28"/>
  <c r="M103" i="28"/>
  <c r="N103" i="28"/>
  <c r="P103" i="28"/>
  <c r="E103" i="28"/>
  <c r="AC102" i="4"/>
  <c r="W103" i="28" l="1"/>
  <c r="G101" i="29"/>
  <c r="H101" i="29" s="1"/>
  <c r="L101" i="29" s="1"/>
  <c r="M101" i="29" s="1"/>
  <c r="AD102" i="4"/>
  <c r="W103" i="4"/>
  <c r="AP103" i="4" s="1"/>
  <c r="I103" i="28"/>
  <c r="K103" i="28"/>
  <c r="AE103" i="4"/>
  <c r="B105" i="28"/>
  <c r="F105" i="28" s="1"/>
  <c r="Y106" i="28"/>
  <c r="AC103" i="4"/>
  <c r="Q102" i="28"/>
  <c r="R102" i="28" s="1"/>
  <c r="T102" i="28" s="1"/>
  <c r="L102" i="28"/>
  <c r="E104" i="28"/>
  <c r="M104" i="28"/>
  <c r="O104" i="28"/>
  <c r="N104" i="28"/>
  <c r="P104" i="28"/>
  <c r="AU106" i="4"/>
  <c r="B105" i="4"/>
  <c r="B103" i="29"/>
  <c r="T104" i="29"/>
  <c r="AM101" i="4"/>
  <c r="AN101" i="4" s="1"/>
  <c r="AF101" i="4"/>
  <c r="U103" i="28"/>
  <c r="J103" i="28"/>
  <c r="AK104" i="4"/>
  <c r="G104" i="4"/>
  <c r="E104" i="4"/>
  <c r="V104" i="4" s="1"/>
  <c r="H104" i="4"/>
  <c r="AI104" i="4"/>
  <c r="M104" i="4"/>
  <c r="Z104" i="4" s="1"/>
  <c r="AL104" i="4"/>
  <c r="I104" i="4"/>
  <c r="K104" i="4"/>
  <c r="X104" i="4" s="1"/>
  <c r="AH104" i="4"/>
  <c r="AG104" i="4"/>
  <c r="L104" i="4"/>
  <c r="Y104" i="4" s="1"/>
  <c r="AJ104" i="4"/>
  <c r="J104" i="4"/>
  <c r="AO104" i="4" s="1"/>
  <c r="AB104" i="4"/>
  <c r="K102" i="29"/>
  <c r="I102" i="29"/>
  <c r="E102" i="29"/>
  <c r="W104" i="28" l="1"/>
  <c r="G102" i="29"/>
  <c r="H102" i="29" s="1"/>
  <c r="J102" i="29" s="1"/>
  <c r="AD103" i="4"/>
  <c r="AM103" i="4" s="1"/>
  <c r="AN103" i="4" s="1"/>
  <c r="W104" i="4"/>
  <c r="AP104" i="4" s="1"/>
  <c r="J101" i="29"/>
  <c r="I104" i="28"/>
  <c r="K104" i="28"/>
  <c r="V103" i="28"/>
  <c r="AE104" i="4"/>
  <c r="AF102" i="4"/>
  <c r="AM102" i="4"/>
  <c r="AN102" i="4" s="1"/>
  <c r="AU107" i="4"/>
  <c r="B106" i="4"/>
  <c r="B104" i="29"/>
  <c r="T105" i="29"/>
  <c r="B106" i="28"/>
  <c r="F106" i="28" s="1"/>
  <c r="Y107" i="28"/>
  <c r="K103" i="29"/>
  <c r="E103" i="29"/>
  <c r="I103" i="29"/>
  <c r="O105" i="28"/>
  <c r="N105" i="28"/>
  <c r="P105" i="28"/>
  <c r="E105" i="28"/>
  <c r="M105" i="28"/>
  <c r="AC104" i="4"/>
  <c r="AF103" i="4"/>
  <c r="Q103" i="28"/>
  <c r="R103" i="28" s="1"/>
  <c r="T103" i="28" s="1"/>
  <c r="L103" i="28"/>
  <c r="AK105" i="4"/>
  <c r="J105" i="4"/>
  <c r="AO105" i="4" s="1"/>
  <c r="AG105" i="4"/>
  <c r="AB105" i="4"/>
  <c r="E105" i="4"/>
  <c r="V105" i="4" s="1"/>
  <c r="AL105" i="4"/>
  <c r="M105" i="4"/>
  <c r="I105" i="4"/>
  <c r="L105" i="4"/>
  <c r="AI105" i="4"/>
  <c r="AH105" i="4"/>
  <c r="AJ105" i="4"/>
  <c r="K105" i="4"/>
  <c r="H105" i="4"/>
  <c r="G105" i="4"/>
  <c r="J104" i="28"/>
  <c r="U104" i="28"/>
  <c r="W105" i="28" l="1"/>
  <c r="G103" i="29"/>
  <c r="H103" i="29" s="1"/>
  <c r="L103" i="29" s="1"/>
  <c r="M103" i="29" s="1"/>
  <c r="W105" i="4"/>
  <c r="AP105" i="4" s="1"/>
  <c r="X105" i="4"/>
  <c r="Y105" i="4"/>
  <c r="Z105" i="4"/>
  <c r="AD104" i="4"/>
  <c r="L102" i="29"/>
  <c r="M102" i="29" s="1"/>
  <c r="I105" i="28"/>
  <c r="K105" i="28"/>
  <c r="V104" i="28"/>
  <c r="P106" i="28"/>
  <c r="M106" i="28"/>
  <c r="N106" i="28"/>
  <c r="O106" i="28"/>
  <c r="E106" i="28"/>
  <c r="AK106" i="4"/>
  <c r="AI106" i="4"/>
  <c r="J106" i="4"/>
  <c r="AO106" i="4" s="1"/>
  <c r="L106" i="4"/>
  <c r="Y106" i="4" s="1"/>
  <c r="M106" i="4"/>
  <c r="Z106" i="4" s="1"/>
  <c r="G106" i="4"/>
  <c r="K106" i="4"/>
  <c r="X106" i="4" s="1"/>
  <c r="AG106" i="4"/>
  <c r="I106" i="4"/>
  <c r="AH106" i="4"/>
  <c r="H106" i="4"/>
  <c r="E106" i="4"/>
  <c r="V106" i="4" s="1"/>
  <c r="AL106" i="4"/>
  <c r="AJ106" i="4"/>
  <c r="AB106" i="4"/>
  <c r="AE105" i="4"/>
  <c r="T106" i="29"/>
  <c r="B105" i="29"/>
  <c r="B107" i="4"/>
  <c r="AU108" i="4"/>
  <c r="U105" i="28"/>
  <c r="J105" i="28"/>
  <c r="E104" i="29"/>
  <c r="I104" i="29"/>
  <c r="K104" i="29"/>
  <c r="Q104" i="28"/>
  <c r="R104" i="28" s="1"/>
  <c r="T104" i="28" s="1"/>
  <c r="L104" i="28"/>
  <c r="Y108" i="28"/>
  <c r="B107" i="28"/>
  <c r="F107" i="28" s="1"/>
  <c r="W106" i="28" l="1"/>
  <c r="J103" i="29"/>
  <c r="G104" i="29"/>
  <c r="H104" i="29" s="1"/>
  <c r="J104" i="29" s="1"/>
  <c r="W106" i="4"/>
  <c r="AP106" i="4" s="1"/>
  <c r="AD105" i="4"/>
  <c r="AF105" i="4" s="1"/>
  <c r="AC105" i="4"/>
  <c r="I106" i="28"/>
  <c r="J106" i="28" s="1"/>
  <c r="K106" i="28"/>
  <c r="B108" i="28"/>
  <c r="F108" i="28" s="1"/>
  <c r="Y109" i="28"/>
  <c r="I105" i="29"/>
  <c r="E105" i="29"/>
  <c r="K105" i="29"/>
  <c r="T107" i="29"/>
  <c r="B106" i="29"/>
  <c r="AM104" i="4"/>
  <c r="AN104" i="4" s="1"/>
  <c r="AF104" i="4"/>
  <c r="U106" i="28"/>
  <c r="P107" i="28"/>
  <c r="M107" i="28"/>
  <c r="E107" i="28"/>
  <c r="N107" i="28"/>
  <c r="O107" i="28"/>
  <c r="AM105" i="4"/>
  <c r="AN105" i="4" s="1"/>
  <c r="L104" i="29"/>
  <c r="M104" i="29" s="1"/>
  <c r="AK107" i="4"/>
  <c r="K107" i="4"/>
  <c r="X107" i="4" s="1"/>
  <c r="AJ107" i="4"/>
  <c r="AL107" i="4"/>
  <c r="AI107" i="4"/>
  <c r="AG107" i="4"/>
  <c r="L107" i="4"/>
  <c r="Y107" i="4" s="1"/>
  <c r="AH107" i="4"/>
  <c r="E107" i="4"/>
  <c r="V107" i="4" s="1"/>
  <c r="G107" i="4"/>
  <c r="I107" i="4"/>
  <c r="AB107" i="4"/>
  <c r="H107" i="4"/>
  <c r="M107" i="4"/>
  <c r="Z107" i="4" s="1"/>
  <c r="J107" i="4"/>
  <c r="AO107" i="4" s="1"/>
  <c r="Q105" i="28"/>
  <c r="R105" i="28" s="1"/>
  <c r="T105" i="28" s="1"/>
  <c r="L105" i="28"/>
  <c r="B108" i="4"/>
  <c r="AU109" i="4"/>
  <c r="AC106" i="4"/>
  <c r="V106" i="28"/>
  <c r="AE106" i="4"/>
  <c r="V105" i="28"/>
  <c r="W107" i="28" l="1"/>
  <c r="G105" i="29"/>
  <c r="H105" i="29" s="1"/>
  <c r="AD106" i="4"/>
  <c r="W107" i="4"/>
  <c r="AP107" i="4" s="1"/>
  <c r="I107" i="28"/>
  <c r="J107" i="28" s="1"/>
  <c r="K107" i="28"/>
  <c r="AE107" i="4"/>
  <c r="U107" i="28"/>
  <c r="Q106" i="28"/>
  <c r="R106" i="28" s="1"/>
  <c r="T106" i="28" s="1"/>
  <c r="L106" i="28"/>
  <c r="K106" i="29"/>
  <c r="E106" i="29"/>
  <c r="I106" i="29"/>
  <c r="AK108" i="4"/>
  <c r="I108" i="4"/>
  <c r="J108" i="4"/>
  <c r="AO108" i="4" s="1"/>
  <c r="K108" i="4"/>
  <c r="X108" i="4" s="1"/>
  <c r="G108" i="4"/>
  <c r="AJ108" i="4"/>
  <c r="M108" i="4"/>
  <c r="Z108" i="4" s="1"/>
  <c r="L108" i="4"/>
  <c r="Y108" i="4" s="1"/>
  <c r="H108" i="4"/>
  <c r="AI108" i="4"/>
  <c r="E108" i="4"/>
  <c r="V108" i="4" s="1"/>
  <c r="AG108" i="4"/>
  <c r="AB108" i="4"/>
  <c r="AH108" i="4"/>
  <c r="AL108" i="4"/>
  <c r="AU110" i="4"/>
  <c r="B109" i="4"/>
  <c r="AF106" i="4"/>
  <c r="AM106" i="4"/>
  <c r="AN106" i="4" s="1"/>
  <c r="T108" i="29"/>
  <c r="B107" i="29"/>
  <c r="AC107" i="4"/>
  <c r="B109" i="28"/>
  <c r="F109" i="28" s="1"/>
  <c r="Y110" i="28"/>
  <c r="N108" i="28"/>
  <c r="O108" i="28"/>
  <c r="E108" i="28"/>
  <c r="M108" i="28"/>
  <c r="P108" i="28"/>
  <c r="W108" i="28" l="1"/>
  <c r="V107" i="28"/>
  <c r="G106" i="29"/>
  <c r="H106" i="29" s="1"/>
  <c r="L106" i="29" s="1"/>
  <c r="M106" i="29" s="1"/>
  <c r="W108" i="4"/>
  <c r="AP108" i="4" s="1"/>
  <c r="AD107" i="4"/>
  <c r="AM107" i="4" s="1"/>
  <c r="AN107" i="4" s="1"/>
  <c r="I108" i="28"/>
  <c r="K108" i="28"/>
  <c r="J108" i="28"/>
  <c r="U108" i="28"/>
  <c r="Y111" i="28"/>
  <c r="B110" i="28"/>
  <c r="F110" i="28" s="1"/>
  <c r="K107" i="29"/>
  <c r="I107" i="29"/>
  <c r="E107" i="29"/>
  <c r="AK109" i="4"/>
  <c r="J109" i="4"/>
  <c r="AO109" i="4" s="1"/>
  <c r="AI109" i="4"/>
  <c r="AB109" i="4"/>
  <c r="AG109" i="4"/>
  <c r="M109" i="4"/>
  <c r="Z109" i="4" s="1"/>
  <c r="G109" i="4"/>
  <c r="AJ109" i="4"/>
  <c r="E109" i="4"/>
  <c r="V109" i="4" s="1"/>
  <c r="AL109" i="4"/>
  <c r="H109" i="4"/>
  <c r="I109" i="4"/>
  <c r="L109" i="4"/>
  <c r="Y109" i="4" s="1"/>
  <c r="K109" i="4"/>
  <c r="X109" i="4" s="1"/>
  <c r="AH109" i="4"/>
  <c r="O109" i="28"/>
  <c r="M109" i="28"/>
  <c r="P109" i="28"/>
  <c r="E109" i="28"/>
  <c r="N109" i="28"/>
  <c r="T109" i="29"/>
  <c r="B108" i="29"/>
  <c r="B110" i="4"/>
  <c r="AU111" i="4"/>
  <c r="AC108" i="4"/>
  <c r="L105" i="29"/>
  <c r="M105" i="29" s="1"/>
  <c r="J105" i="29"/>
  <c r="Q107" i="28"/>
  <c r="R107" i="28" s="1"/>
  <c r="T107" i="28" s="1"/>
  <c r="L107" i="28"/>
  <c r="AE108" i="4"/>
  <c r="W109" i="28" l="1"/>
  <c r="AF107" i="4"/>
  <c r="G107" i="29"/>
  <c r="H107" i="29" s="1"/>
  <c r="AD108" i="4"/>
  <c r="W109" i="4"/>
  <c r="AP109" i="4" s="1"/>
  <c r="V108" i="28"/>
  <c r="I109" i="28"/>
  <c r="J109" i="28" s="1"/>
  <c r="K109" i="28"/>
  <c r="J106" i="29"/>
  <c r="AK110" i="4"/>
  <c r="I110" i="4"/>
  <c r="AL110" i="4"/>
  <c r="J110" i="4"/>
  <c r="AO110" i="4" s="1"/>
  <c r="AB110" i="4"/>
  <c r="AJ110" i="4"/>
  <c r="E110" i="4"/>
  <c r="V110" i="4" s="1"/>
  <c r="AG110" i="4"/>
  <c r="K110" i="4"/>
  <c r="X110" i="4" s="1"/>
  <c r="M110" i="4"/>
  <c r="Z110" i="4" s="1"/>
  <c r="L110" i="4"/>
  <c r="Y110" i="4" s="1"/>
  <c r="H110" i="4"/>
  <c r="AI110" i="4"/>
  <c r="G110" i="4"/>
  <c r="AH110" i="4"/>
  <c r="E108" i="29"/>
  <c r="G108" i="29" s="1"/>
  <c r="H108" i="29" s="1"/>
  <c r="I108" i="29"/>
  <c r="K108" i="29"/>
  <c r="B109" i="29"/>
  <c r="T110" i="29"/>
  <c r="B111" i="28"/>
  <c r="F111" i="28" s="1"/>
  <c r="Y112" i="28"/>
  <c r="U109" i="28"/>
  <c r="B111" i="4"/>
  <c r="AU112" i="4"/>
  <c r="AC109" i="4"/>
  <c r="AE109" i="4"/>
  <c r="Q108" i="28"/>
  <c r="R108" i="28" s="1"/>
  <c r="T108" i="28" s="1"/>
  <c r="L108" i="28"/>
  <c r="M110" i="28"/>
  <c r="N110" i="28"/>
  <c r="E110" i="28"/>
  <c r="P110" i="28"/>
  <c r="O110" i="28"/>
  <c r="W110" i="28" l="1"/>
  <c r="M160" i="7"/>
  <c r="AF108" i="4"/>
  <c r="W110" i="4"/>
  <c r="AP110" i="4" s="1"/>
  <c r="AM108" i="4"/>
  <c r="AN108" i="4" s="1"/>
  <c r="AD109" i="4"/>
  <c r="AM109" i="4" s="1"/>
  <c r="AN109" i="4" s="1"/>
  <c r="I110" i="28"/>
  <c r="J110" i="28" s="1"/>
  <c r="K110" i="28"/>
  <c r="AC110" i="4"/>
  <c r="V109" i="28"/>
  <c r="B112" i="4"/>
  <c r="AU113" i="4"/>
  <c r="B112" i="28"/>
  <c r="F112" i="28" s="1"/>
  <c r="Y113" i="28"/>
  <c r="T111" i="29"/>
  <c r="B110" i="29"/>
  <c r="AK111" i="4"/>
  <c r="AG111" i="4"/>
  <c r="AL111" i="4"/>
  <c r="AI111" i="4"/>
  <c r="I111" i="4"/>
  <c r="H111" i="4"/>
  <c r="G111" i="4"/>
  <c r="AH111" i="4"/>
  <c r="AJ111" i="4"/>
  <c r="M111" i="4"/>
  <c r="Z111" i="4" s="1"/>
  <c r="K111" i="4"/>
  <c r="X111" i="4" s="1"/>
  <c r="E111" i="4"/>
  <c r="V111" i="4" s="1"/>
  <c r="L111" i="4"/>
  <c r="Y111" i="4" s="1"/>
  <c r="J111" i="4"/>
  <c r="AO111" i="4" s="1"/>
  <c r="AB111" i="4"/>
  <c r="E111" i="28"/>
  <c r="M111" i="28"/>
  <c r="N111" i="28"/>
  <c r="O111" i="28"/>
  <c r="P111" i="28"/>
  <c r="I109" i="29"/>
  <c r="K109" i="29"/>
  <c r="E109" i="29"/>
  <c r="G109" i="29" s="1"/>
  <c r="H109" i="29" s="1"/>
  <c r="J107" i="29"/>
  <c r="L107" i="29"/>
  <c r="M107" i="29" s="1"/>
  <c r="AE110" i="4"/>
  <c r="U110" i="28"/>
  <c r="L109" i="28"/>
  <c r="Q109" i="28"/>
  <c r="R109" i="28" s="1"/>
  <c r="T109" i="28" s="1"/>
  <c r="W111" i="28" l="1"/>
  <c r="AD110" i="4"/>
  <c r="AF109" i="4"/>
  <c r="V110" i="28"/>
  <c r="W111" i="4"/>
  <c r="AP111" i="4" s="1"/>
  <c r="I111" i="28"/>
  <c r="K111" i="28"/>
  <c r="L109" i="29"/>
  <c r="M109" i="29" s="1"/>
  <c r="J108" i="29"/>
  <c r="L108" i="29"/>
  <c r="M108" i="29" s="1"/>
  <c r="AC111" i="4"/>
  <c r="AE111" i="4"/>
  <c r="M112" i="28"/>
  <c r="N112" i="28"/>
  <c r="O112" i="28"/>
  <c r="P112" i="28"/>
  <c r="E112" i="28"/>
  <c r="E110" i="29"/>
  <c r="G110" i="29" s="1"/>
  <c r="H110" i="29" s="1"/>
  <c r="K110" i="29"/>
  <c r="I110" i="29"/>
  <c r="AU114" i="4"/>
  <c r="B113" i="4"/>
  <c r="T112" i="29"/>
  <c r="B111" i="29"/>
  <c r="AK112" i="4"/>
  <c r="AB112" i="4"/>
  <c r="K112" i="4"/>
  <c r="X112" i="4" s="1"/>
  <c r="H112" i="4"/>
  <c r="AH112" i="4"/>
  <c r="M112" i="4"/>
  <c r="Z112" i="4" s="1"/>
  <c r="AJ112" i="4"/>
  <c r="L112" i="4"/>
  <c r="Y112" i="4" s="1"/>
  <c r="G112" i="4"/>
  <c r="I112" i="4"/>
  <c r="AG112" i="4"/>
  <c r="J112" i="4"/>
  <c r="AO112" i="4" s="1"/>
  <c r="AL112" i="4"/>
  <c r="AI112" i="4"/>
  <c r="E112" i="4"/>
  <c r="V112" i="4" s="1"/>
  <c r="M161" i="7"/>
  <c r="M162" i="7" s="1"/>
  <c r="M150" i="7" s="1"/>
  <c r="AF110" i="4"/>
  <c r="AM110" i="4"/>
  <c r="AN110" i="4" s="1"/>
  <c r="L110" i="28"/>
  <c r="Q110" i="28"/>
  <c r="R110" i="28" s="1"/>
  <c r="T110" i="28" s="1"/>
  <c r="U111" i="28"/>
  <c r="J111" i="28"/>
  <c r="B113" i="28"/>
  <c r="F113" i="28" s="1"/>
  <c r="Y114" i="28"/>
  <c r="W112" i="28" l="1"/>
  <c r="W112" i="4"/>
  <c r="AP112" i="4" s="1"/>
  <c r="AD111" i="4"/>
  <c r="AM111" i="4" s="1"/>
  <c r="AN111" i="4" s="1"/>
  <c r="I112" i="28"/>
  <c r="K112" i="28"/>
  <c r="J109" i="29"/>
  <c r="AE112" i="4"/>
  <c r="L110" i="29"/>
  <c r="M110" i="29" s="1"/>
  <c r="B114" i="4"/>
  <c r="AU115" i="4"/>
  <c r="M113" i="28"/>
  <c r="N113" i="28"/>
  <c r="E113" i="28"/>
  <c r="O113" i="28"/>
  <c r="P113" i="28"/>
  <c r="E111" i="29"/>
  <c r="G111" i="29" s="1"/>
  <c r="H111" i="29" s="1"/>
  <c r="K111" i="29"/>
  <c r="I111" i="29"/>
  <c r="V111" i="28"/>
  <c r="AC112" i="4"/>
  <c r="B112" i="29"/>
  <c r="T113" i="29"/>
  <c r="J112" i="28"/>
  <c r="U112" i="28"/>
  <c r="Y115" i="28"/>
  <c r="B114" i="28"/>
  <c r="F114" i="28" s="1"/>
  <c r="AF111" i="4"/>
  <c r="L111" i="28"/>
  <c r="Q111" i="28"/>
  <c r="R111" i="28" s="1"/>
  <c r="T111" i="28" s="1"/>
  <c r="AK113" i="4"/>
  <c r="AL113" i="4"/>
  <c r="J113" i="4"/>
  <c r="AO113" i="4" s="1"/>
  <c r="AJ113" i="4"/>
  <c r="AG113" i="4"/>
  <c r="H113" i="4"/>
  <c r="I113" i="4"/>
  <c r="K113" i="4"/>
  <c r="X113" i="4" s="1"/>
  <c r="M113" i="4"/>
  <c r="Z113" i="4" s="1"/>
  <c r="L113" i="4"/>
  <c r="Y113" i="4" s="1"/>
  <c r="G113" i="4"/>
  <c r="AB113" i="4"/>
  <c r="AI113" i="4"/>
  <c r="E113" i="4"/>
  <c r="V113" i="4" s="1"/>
  <c r="AH113" i="4"/>
  <c r="W113" i="28" l="1"/>
  <c r="W113" i="4"/>
  <c r="AP113" i="4" s="1"/>
  <c r="K113" i="28"/>
  <c r="AD112" i="4"/>
  <c r="AF112" i="4" s="1"/>
  <c r="J110" i="29"/>
  <c r="I113" i="28"/>
  <c r="J113" i="28" s="1"/>
  <c r="V112" i="28"/>
  <c r="AC113" i="4"/>
  <c r="Q112" i="28"/>
  <c r="R112" i="28" s="1"/>
  <c r="T112" i="28" s="1"/>
  <c r="L112" i="28"/>
  <c r="U113" i="28"/>
  <c r="E114" i="28"/>
  <c r="O114" i="28"/>
  <c r="N114" i="28"/>
  <c r="P114" i="28"/>
  <c r="M114" i="28"/>
  <c r="B113" i="29"/>
  <c r="T114" i="29"/>
  <c r="AE113" i="4"/>
  <c r="Y116" i="28"/>
  <c r="B115" i="28"/>
  <c r="F115" i="28" s="1"/>
  <c r="E112" i="29"/>
  <c r="G112" i="29" s="1"/>
  <c r="H112" i="29" s="1"/>
  <c r="K112" i="29"/>
  <c r="I112" i="29"/>
  <c r="AU116" i="4"/>
  <c r="B115" i="4"/>
  <c r="AK114" i="4"/>
  <c r="AG114" i="4"/>
  <c r="K114" i="4"/>
  <c r="X114" i="4" s="1"/>
  <c r="AL114" i="4"/>
  <c r="J114" i="4"/>
  <c r="AO114" i="4" s="1"/>
  <c r="G114" i="4"/>
  <c r="AB114" i="4"/>
  <c r="L114" i="4"/>
  <c r="Y114" i="4" s="1"/>
  <c r="H114" i="4"/>
  <c r="E114" i="4"/>
  <c r="V114" i="4" s="1"/>
  <c r="M114" i="4"/>
  <c r="Z114" i="4" s="1"/>
  <c r="I114" i="4"/>
  <c r="AI114" i="4"/>
  <c r="AH114" i="4"/>
  <c r="AJ114" i="4"/>
  <c r="W114" i="28" l="1"/>
  <c r="AD113" i="4"/>
  <c r="AM113" i="4" s="1"/>
  <c r="AN113" i="4" s="1"/>
  <c r="AM112" i="4"/>
  <c r="AN112" i="4" s="1"/>
  <c r="W114" i="4"/>
  <c r="AP114" i="4" s="1"/>
  <c r="I114" i="28"/>
  <c r="J114" i="28" s="1"/>
  <c r="K114" i="28"/>
  <c r="V113" i="28"/>
  <c r="J112" i="29"/>
  <c r="AC114" i="4"/>
  <c r="B116" i="4"/>
  <c r="AU117" i="4"/>
  <c r="L111" i="29"/>
  <c r="M111" i="29" s="1"/>
  <c r="J111" i="29"/>
  <c r="B114" i="29"/>
  <c r="T115" i="29"/>
  <c r="U114" i="28"/>
  <c r="P115" i="28"/>
  <c r="O115" i="28"/>
  <c r="M115" i="28"/>
  <c r="E115" i="28"/>
  <c r="N115" i="28"/>
  <c r="I113" i="29"/>
  <c r="K113" i="29"/>
  <c r="E113" i="29"/>
  <c r="G113" i="29" s="1"/>
  <c r="H113" i="29" s="1"/>
  <c r="AE114" i="4"/>
  <c r="AK115" i="4"/>
  <c r="AB115" i="4"/>
  <c r="M115" i="4"/>
  <c r="Z115" i="4" s="1"/>
  <c r="I115" i="4"/>
  <c r="AI115" i="4"/>
  <c r="AJ115" i="4"/>
  <c r="L115" i="4"/>
  <c r="Y115" i="4" s="1"/>
  <c r="G115" i="4"/>
  <c r="E115" i="4"/>
  <c r="V115" i="4" s="1"/>
  <c r="AH115" i="4"/>
  <c r="K115" i="4"/>
  <c r="X115" i="4" s="1"/>
  <c r="H115" i="4"/>
  <c r="AL115" i="4"/>
  <c r="J115" i="4"/>
  <c r="AO115" i="4" s="1"/>
  <c r="AG115" i="4"/>
  <c r="Y117" i="28"/>
  <c r="B116" i="28"/>
  <c r="F116" i="28" s="1"/>
  <c r="Q113" i="28"/>
  <c r="R113" i="28" s="1"/>
  <c r="T113" i="28" s="1"/>
  <c r="L113" i="28"/>
  <c r="W115" i="28" l="1"/>
  <c r="AF113" i="4"/>
  <c r="AD114" i="4"/>
  <c r="AM114" i="4" s="1"/>
  <c r="AN114" i="4" s="1"/>
  <c r="W115" i="4"/>
  <c r="AP115" i="4" s="1"/>
  <c r="I115" i="28"/>
  <c r="L112" i="29"/>
  <c r="M112" i="29" s="1"/>
  <c r="K115" i="28"/>
  <c r="V114" i="28"/>
  <c r="AC115" i="4"/>
  <c r="L114" i="28"/>
  <c r="Q114" i="28"/>
  <c r="R114" i="28" s="1"/>
  <c r="T114" i="28" s="1"/>
  <c r="AK116" i="4"/>
  <c r="M116" i="4"/>
  <c r="Z116" i="4" s="1"/>
  <c r="AI116" i="4"/>
  <c r="L116" i="4"/>
  <c r="Y116" i="4" s="1"/>
  <c r="AG116" i="4"/>
  <c r="AB116" i="4"/>
  <c r="G116" i="4"/>
  <c r="E116" i="4"/>
  <c r="K116" i="4"/>
  <c r="X116" i="4" s="1"/>
  <c r="J116" i="4"/>
  <c r="AO116" i="4" s="1"/>
  <c r="AJ116" i="4"/>
  <c r="H116" i="4"/>
  <c r="I116" i="4"/>
  <c r="AL116" i="4"/>
  <c r="AH116" i="4"/>
  <c r="T116" i="29"/>
  <c r="B115" i="29"/>
  <c r="AE115" i="4"/>
  <c r="J115" i="28"/>
  <c r="U115" i="28"/>
  <c r="I114" i="29"/>
  <c r="E114" i="29"/>
  <c r="G114" i="29" s="1"/>
  <c r="H114" i="29" s="1"/>
  <c r="K114" i="29"/>
  <c r="N116" i="28"/>
  <c r="O116" i="28"/>
  <c r="E116" i="28"/>
  <c r="P116" i="28"/>
  <c r="M116" i="28"/>
  <c r="B117" i="28"/>
  <c r="F117" i="28" s="1"/>
  <c r="Y118" i="28"/>
  <c r="AU118" i="4"/>
  <c r="B117" i="4"/>
  <c r="W116" i="28" l="1"/>
  <c r="AD115" i="4"/>
  <c r="AF115" i="4" s="1"/>
  <c r="W116" i="4"/>
  <c r="AP116" i="4" s="1"/>
  <c r="V116" i="4"/>
  <c r="AC116" i="4"/>
  <c r="I116" i="28"/>
  <c r="K116" i="28"/>
  <c r="V115" i="28"/>
  <c r="AF114" i="4"/>
  <c r="B118" i="28"/>
  <c r="F118" i="28" s="1"/>
  <c r="Y119" i="28"/>
  <c r="AK117" i="4"/>
  <c r="J117" i="4"/>
  <c r="AO117" i="4" s="1"/>
  <c r="H117" i="4"/>
  <c r="L117" i="4"/>
  <c r="Y117" i="4" s="1"/>
  <c r="M117" i="4"/>
  <c r="Z117" i="4" s="1"/>
  <c r="G117" i="4"/>
  <c r="I117" i="4"/>
  <c r="AJ117" i="4"/>
  <c r="E117" i="4"/>
  <c r="V117" i="4" s="1"/>
  <c r="AI117" i="4"/>
  <c r="AB117" i="4"/>
  <c r="AH117" i="4"/>
  <c r="AG117" i="4"/>
  <c r="AL117" i="4"/>
  <c r="K117" i="4"/>
  <c r="X117" i="4" s="1"/>
  <c r="M117" i="28"/>
  <c r="P117" i="28"/>
  <c r="E117" i="28"/>
  <c r="N117" i="28"/>
  <c r="O117" i="28"/>
  <c r="L115" i="28"/>
  <c r="Q115" i="28"/>
  <c r="R115" i="28" s="1"/>
  <c r="T115" i="28" s="1"/>
  <c r="T117" i="29"/>
  <c r="B116" i="29"/>
  <c r="AE116" i="4"/>
  <c r="L113" i="29"/>
  <c r="M113" i="29" s="1"/>
  <c r="J113" i="29"/>
  <c r="B118" i="4"/>
  <c r="AU119" i="4"/>
  <c r="U116" i="28"/>
  <c r="J116" i="28"/>
  <c r="K115" i="29"/>
  <c r="I115" i="29"/>
  <c r="E115" i="29"/>
  <c r="G115" i="29" s="1"/>
  <c r="H115" i="29" s="1"/>
  <c r="W117" i="28" l="1"/>
  <c r="AM115" i="4"/>
  <c r="AN115" i="4" s="1"/>
  <c r="W117" i="4"/>
  <c r="AP117" i="4" s="1"/>
  <c r="V116" i="28"/>
  <c r="AD116" i="4"/>
  <c r="AM116" i="4" s="1"/>
  <c r="AN116" i="4" s="1"/>
  <c r="I117" i="28"/>
  <c r="K117" i="28"/>
  <c r="AE117" i="4"/>
  <c r="T118" i="29"/>
  <c r="B117" i="29"/>
  <c r="J115" i="29"/>
  <c r="L115" i="29"/>
  <c r="M115" i="29" s="1"/>
  <c r="Q116" i="28"/>
  <c r="R116" i="28" s="1"/>
  <c r="T116" i="28" s="1"/>
  <c r="L116" i="28"/>
  <c r="B119" i="4"/>
  <c r="AU120" i="4"/>
  <c r="Y120" i="28"/>
  <c r="B119" i="28"/>
  <c r="F119" i="28" s="1"/>
  <c r="J117" i="28"/>
  <c r="U117" i="28"/>
  <c r="AK118" i="4"/>
  <c r="J118" i="4"/>
  <c r="AO118" i="4" s="1"/>
  <c r="H118" i="4"/>
  <c r="G118" i="4"/>
  <c r="AH118" i="4"/>
  <c r="AG118" i="4"/>
  <c r="E118" i="4"/>
  <c r="V118" i="4" s="1"/>
  <c r="K118" i="4"/>
  <c r="X118" i="4" s="1"/>
  <c r="AL118" i="4"/>
  <c r="AI118" i="4"/>
  <c r="I118" i="4"/>
  <c r="AJ118" i="4"/>
  <c r="AB118" i="4"/>
  <c r="L118" i="4"/>
  <c r="Y118" i="4" s="1"/>
  <c r="M118" i="4"/>
  <c r="Z118" i="4" s="1"/>
  <c r="K116" i="29"/>
  <c r="E116" i="29"/>
  <c r="I116" i="29"/>
  <c r="L114" i="29"/>
  <c r="M114" i="29" s="1"/>
  <c r="J114" i="29"/>
  <c r="AC117" i="4"/>
  <c r="P118" i="28"/>
  <c r="M118" i="28"/>
  <c r="E118" i="28"/>
  <c r="N118" i="28"/>
  <c r="O118" i="28"/>
  <c r="W118" i="28" l="1"/>
  <c r="G116" i="29"/>
  <c r="H116" i="29" s="1"/>
  <c r="AD117" i="4"/>
  <c r="AM117" i="4" s="1"/>
  <c r="AN117" i="4" s="1"/>
  <c r="W118" i="4"/>
  <c r="AP118" i="4" s="1"/>
  <c r="AF116" i="4"/>
  <c r="I118" i="28"/>
  <c r="J118" i="28" s="1"/>
  <c r="K118" i="28"/>
  <c r="U118" i="28"/>
  <c r="L117" i="28"/>
  <c r="Q117" i="28"/>
  <c r="R117" i="28" s="1"/>
  <c r="T117" i="28" s="1"/>
  <c r="P119" i="28"/>
  <c r="E119" i="28"/>
  <c r="N119" i="28"/>
  <c r="M119" i="28"/>
  <c r="O119" i="28"/>
  <c r="B120" i="4"/>
  <c r="AU121" i="4"/>
  <c r="E117" i="29"/>
  <c r="K117" i="29"/>
  <c r="I117" i="29"/>
  <c r="AE118" i="4"/>
  <c r="Y121" i="28"/>
  <c r="B120" i="28"/>
  <c r="F120" i="28" s="1"/>
  <c r="AK119" i="4"/>
  <c r="E119" i="4"/>
  <c r="V119" i="4" s="1"/>
  <c r="H119" i="4"/>
  <c r="AG119" i="4"/>
  <c r="J119" i="4"/>
  <c r="AO119" i="4" s="1"/>
  <c r="M119" i="4"/>
  <c r="Z119" i="4" s="1"/>
  <c r="G119" i="4"/>
  <c r="L119" i="4"/>
  <c r="Y119" i="4" s="1"/>
  <c r="K119" i="4"/>
  <c r="X119" i="4" s="1"/>
  <c r="I119" i="4"/>
  <c r="AB119" i="4"/>
  <c r="AJ119" i="4"/>
  <c r="AL119" i="4"/>
  <c r="AH119" i="4"/>
  <c r="AI119" i="4"/>
  <c r="B118" i="29"/>
  <c r="T119" i="29"/>
  <c r="AC118" i="4"/>
  <c r="V117" i="28"/>
  <c r="W119" i="28" l="1"/>
  <c r="G117" i="29"/>
  <c r="H117" i="29" s="1"/>
  <c r="AF117" i="4"/>
  <c r="AD118" i="4"/>
  <c r="AM118" i="4" s="1"/>
  <c r="AN118" i="4" s="1"/>
  <c r="W119" i="4"/>
  <c r="AP119" i="4" s="1"/>
  <c r="I119" i="28"/>
  <c r="V118" i="28"/>
  <c r="K119" i="28"/>
  <c r="AE119" i="4"/>
  <c r="AC119" i="4"/>
  <c r="B121" i="4"/>
  <c r="AU122" i="4"/>
  <c r="B119" i="29"/>
  <c r="T120" i="29"/>
  <c r="E118" i="29"/>
  <c r="G118" i="29" s="1"/>
  <c r="H118" i="29" s="1"/>
  <c r="K118" i="29"/>
  <c r="I118" i="29"/>
  <c r="M120" i="28"/>
  <c r="E120" i="28"/>
  <c r="P120" i="28"/>
  <c r="O120" i="28"/>
  <c r="N120" i="28"/>
  <c r="AK120" i="4"/>
  <c r="G120" i="4"/>
  <c r="AL120" i="4"/>
  <c r="J120" i="4"/>
  <c r="AO120" i="4" s="1"/>
  <c r="L120" i="4"/>
  <c r="Y120" i="4" s="1"/>
  <c r="H120" i="4"/>
  <c r="K120" i="4"/>
  <c r="X120" i="4" s="1"/>
  <c r="E120" i="4"/>
  <c r="V120" i="4" s="1"/>
  <c r="AI120" i="4"/>
  <c r="AJ120" i="4"/>
  <c r="AG120" i="4"/>
  <c r="M120" i="4"/>
  <c r="Z120" i="4" s="1"/>
  <c r="I120" i="4"/>
  <c r="AB120" i="4"/>
  <c r="AH120" i="4"/>
  <c r="J116" i="29"/>
  <c r="L116" i="29"/>
  <c r="M116" i="29" s="1"/>
  <c r="L118" i="28"/>
  <c r="Q118" i="28"/>
  <c r="R118" i="28" s="1"/>
  <c r="T118" i="28" s="1"/>
  <c r="B121" i="28"/>
  <c r="F121" i="28" s="1"/>
  <c r="Y122" i="28"/>
  <c r="U119" i="28"/>
  <c r="J119" i="28"/>
  <c r="J117" i="29"/>
  <c r="L117" i="29"/>
  <c r="M117" i="29" s="1"/>
  <c r="AF118" i="4" l="1"/>
  <c r="W120" i="28"/>
  <c r="AD119" i="4"/>
  <c r="AF119" i="4" s="1"/>
  <c r="W120" i="4"/>
  <c r="AP120" i="4" s="1"/>
  <c r="I120" i="28"/>
  <c r="J120" i="28" s="1"/>
  <c r="K120" i="28"/>
  <c r="Q119" i="28"/>
  <c r="R119" i="28" s="1"/>
  <c r="T119" i="28" s="1"/>
  <c r="L119" i="28"/>
  <c r="U120" i="28"/>
  <c r="K119" i="29"/>
  <c r="I119" i="29"/>
  <c r="E119" i="29"/>
  <c r="G119" i="29" s="1"/>
  <c r="H119" i="29" s="1"/>
  <c r="B122" i="4"/>
  <c r="AU123" i="4"/>
  <c r="AM119" i="4"/>
  <c r="AN119" i="4" s="1"/>
  <c r="M121" i="28"/>
  <c r="P121" i="28"/>
  <c r="N121" i="28"/>
  <c r="O121" i="28"/>
  <c r="E121" i="28"/>
  <c r="AC120" i="4"/>
  <c r="AE120" i="4"/>
  <c r="AK121" i="4"/>
  <c r="G121" i="4"/>
  <c r="E121" i="4"/>
  <c r="V121" i="4" s="1"/>
  <c r="I121" i="4"/>
  <c r="H121" i="4"/>
  <c r="K121" i="4"/>
  <c r="X121" i="4" s="1"/>
  <c r="AG121" i="4"/>
  <c r="AL121" i="4"/>
  <c r="AH121" i="4"/>
  <c r="M121" i="4"/>
  <c r="Z121" i="4" s="1"/>
  <c r="L121" i="4"/>
  <c r="Y121" i="4" s="1"/>
  <c r="J121" i="4"/>
  <c r="AO121" i="4" s="1"/>
  <c r="AI121" i="4"/>
  <c r="AJ121" i="4"/>
  <c r="AB121" i="4"/>
  <c r="Y123" i="28"/>
  <c r="B122" i="28"/>
  <c r="F122" i="28" s="1"/>
  <c r="T121" i="29"/>
  <c r="B120" i="29"/>
  <c r="V119" i="28"/>
  <c r="W121" i="28" l="1"/>
  <c r="V120" i="28"/>
  <c r="AD120" i="4"/>
  <c r="AF120" i="4" s="1"/>
  <c r="W121" i="4"/>
  <c r="AP121" i="4" s="1"/>
  <c r="I121" i="28"/>
  <c r="J121" i="28" s="1"/>
  <c r="K121" i="28"/>
  <c r="AC121" i="4"/>
  <c r="U121" i="28"/>
  <c r="AU124" i="4"/>
  <c r="B123" i="4"/>
  <c r="AM120" i="4"/>
  <c r="AN120" i="4" s="1"/>
  <c r="J118" i="29"/>
  <c r="L118" i="29"/>
  <c r="M118" i="29" s="1"/>
  <c r="O122" i="28"/>
  <c r="P122" i="28"/>
  <c r="N122" i="28"/>
  <c r="M122" i="28"/>
  <c r="E122" i="28"/>
  <c r="AE121" i="4"/>
  <c r="AK122" i="4"/>
  <c r="I122" i="4"/>
  <c r="M122" i="4"/>
  <c r="Z122" i="4" s="1"/>
  <c r="K122" i="4"/>
  <c r="X122" i="4" s="1"/>
  <c r="AJ122" i="4"/>
  <c r="H122" i="4"/>
  <c r="J122" i="4"/>
  <c r="AO122" i="4" s="1"/>
  <c r="G122" i="4"/>
  <c r="AH122" i="4"/>
  <c r="AL122" i="4"/>
  <c r="E122" i="4"/>
  <c r="V122" i="4" s="1"/>
  <c r="AI122" i="4"/>
  <c r="AB122" i="4"/>
  <c r="L122" i="4"/>
  <c r="Y122" i="4" s="1"/>
  <c r="AG122" i="4"/>
  <c r="I120" i="29"/>
  <c r="E120" i="29"/>
  <c r="K120" i="29"/>
  <c r="B123" i="28"/>
  <c r="F123" i="28" s="1"/>
  <c r="Y124" i="28"/>
  <c r="B121" i="29"/>
  <c r="T122" i="29"/>
  <c r="J119" i="29"/>
  <c r="L119" i="29"/>
  <c r="M119" i="29" s="1"/>
  <c r="Q120" i="28"/>
  <c r="R120" i="28" s="1"/>
  <c r="T120" i="28" s="1"/>
  <c r="L120" i="28"/>
  <c r="W122" i="28" l="1"/>
  <c r="G120" i="29"/>
  <c r="H120" i="29" s="1"/>
  <c r="W122" i="4"/>
  <c r="AP122" i="4" s="1"/>
  <c r="AD121" i="4"/>
  <c r="AM121" i="4" s="1"/>
  <c r="AN121" i="4" s="1"/>
  <c r="V121" i="28"/>
  <c r="I122" i="28"/>
  <c r="K122" i="28"/>
  <c r="AE122" i="4"/>
  <c r="I121" i="29"/>
  <c r="E121" i="29"/>
  <c r="K121" i="29"/>
  <c r="Y125" i="28"/>
  <c r="B124" i="28"/>
  <c r="F124" i="28" s="1"/>
  <c r="M123" i="28"/>
  <c r="N123" i="28"/>
  <c r="O123" i="28"/>
  <c r="P123" i="28"/>
  <c r="E123" i="28"/>
  <c r="AC122" i="4"/>
  <c r="AK123" i="4"/>
  <c r="H123" i="4"/>
  <c r="G123" i="4"/>
  <c r="AI123" i="4"/>
  <c r="AH123" i="4"/>
  <c r="AL123" i="4"/>
  <c r="K123" i="4"/>
  <c r="X123" i="4" s="1"/>
  <c r="AJ123" i="4"/>
  <c r="I123" i="4"/>
  <c r="M123" i="4"/>
  <c r="Z123" i="4" s="1"/>
  <c r="L123" i="4"/>
  <c r="Y123" i="4" s="1"/>
  <c r="E123" i="4"/>
  <c r="V123" i="4" s="1"/>
  <c r="AG123" i="4"/>
  <c r="AB123" i="4"/>
  <c r="J123" i="4"/>
  <c r="AO123" i="4" s="1"/>
  <c r="Q121" i="28"/>
  <c r="R121" i="28" s="1"/>
  <c r="T121" i="28" s="1"/>
  <c r="L121" i="28"/>
  <c r="J120" i="29"/>
  <c r="L120" i="29"/>
  <c r="M120" i="29" s="1"/>
  <c r="B122" i="29"/>
  <c r="T123" i="29"/>
  <c r="U122" i="28"/>
  <c r="J122" i="28"/>
  <c r="AU125" i="4"/>
  <c r="B124" i="4"/>
  <c r="V122" i="28"/>
  <c r="W123" i="28" l="1"/>
  <c r="G121" i="29"/>
  <c r="H121" i="29" s="1"/>
  <c r="AD122" i="4"/>
  <c r="AM122" i="4" s="1"/>
  <c r="AN122" i="4" s="1"/>
  <c r="W123" i="4"/>
  <c r="AP123" i="4" s="1"/>
  <c r="I123" i="28"/>
  <c r="AF121" i="4"/>
  <c r="K123" i="28"/>
  <c r="T124" i="29"/>
  <c r="B123" i="29"/>
  <c r="Q122" i="28"/>
  <c r="R122" i="28" s="1"/>
  <c r="T122" i="28" s="1"/>
  <c r="L122" i="28"/>
  <c r="I122" i="29"/>
  <c r="K122" i="29"/>
  <c r="E122" i="29"/>
  <c r="G122" i="29" s="1"/>
  <c r="H122" i="29" s="1"/>
  <c r="AC123" i="4"/>
  <c r="AU126" i="4"/>
  <c r="B125" i="4"/>
  <c r="AK124" i="4"/>
  <c r="K124" i="4"/>
  <c r="X124" i="4" s="1"/>
  <c r="AH124" i="4"/>
  <c r="E124" i="4"/>
  <c r="V124" i="4" s="1"/>
  <c r="H124" i="4"/>
  <c r="AB124" i="4"/>
  <c r="M124" i="4"/>
  <c r="Z124" i="4" s="1"/>
  <c r="G124" i="4"/>
  <c r="AI124" i="4"/>
  <c r="AJ124" i="4"/>
  <c r="L124" i="4"/>
  <c r="Y124" i="4" s="1"/>
  <c r="I124" i="4"/>
  <c r="J124" i="4"/>
  <c r="AO124" i="4" s="1"/>
  <c r="AL124" i="4"/>
  <c r="AG124" i="4"/>
  <c r="AE123" i="4"/>
  <c r="J123" i="28"/>
  <c r="U123" i="28"/>
  <c r="V123" i="28" s="1"/>
  <c r="L121" i="29"/>
  <c r="M121" i="29" s="1"/>
  <c r="J121" i="29"/>
  <c r="O124" i="28"/>
  <c r="E124" i="28"/>
  <c r="M124" i="28"/>
  <c r="P124" i="28"/>
  <c r="N124" i="28"/>
  <c r="Y126" i="28"/>
  <c r="B125" i="28"/>
  <c r="F125" i="28" s="1"/>
  <c r="W124" i="28" l="1"/>
  <c r="AD123" i="4"/>
  <c r="AF123" i="4" s="1"/>
  <c r="W124" i="4"/>
  <c r="AP124" i="4" s="1"/>
  <c r="AF122" i="4"/>
  <c r="K124" i="28"/>
  <c r="I124" i="28"/>
  <c r="B126" i="28"/>
  <c r="F126" i="28" s="1"/>
  <c r="Y127" i="28"/>
  <c r="AK125" i="4"/>
  <c r="AH125" i="4"/>
  <c r="K125" i="4"/>
  <c r="X125" i="4" s="1"/>
  <c r="J125" i="4"/>
  <c r="AO125" i="4" s="1"/>
  <c r="L125" i="4"/>
  <c r="Y125" i="4" s="1"/>
  <c r="M125" i="4"/>
  <c r="Z125" i="4" s="1"/>
  <c r="I125" i="4"/>
  <c r="G125" i="4"/>
  <c r="AB125" i="4"/>
  <c r="E125" i="4"/>
  <c r="V125" i="4" s="1"/>
  <c r="AJ125" i="4"/>
  <c r="H125" i="4"/>
  <c r="AG125" i="4"/>
  <c r="AL125" i="4"/>
  <c r="AI125" i="4"/>
  <c r="L122" i="29"/>
  <c r="M122" i="29" s="1"/>
  <c r="J122" i="29"/>
  <c r="L123" i="28"/>
  <c r="Q123" i="28"/>
  <c r="R123" i="28" s="1"/>
  <c r="T123" i="28" s="1"/>
  <c r="AU127" i="4"/>
  <c r="B126" i="4"/>
  <c r="J124" i="28"/>
  <c r="U124" i="28"/>
  <c r="AE124" i="4"/>
  <c r="AC124" i="4"/>
  <c r="I123" i="29"/>
  <c r="E123" i="29"/>
  <c r="G123" i="29" s="1"/>
  <c r="H123" i="29" s="1"/>
  <c r="K123" i="29"/>
  <c r="N125" i="28"/>
  <c r="O125" i="28"/>
  <c r="M125" i="28"/>
  <c r="E125" i="28"/>
  <c r="P125" i="28"/>
  <c r="B124" i="29"/>
  <c r="T125" i="29"/>
  <c r="W125" i="28" l="1"/>
  <c r="W125" i="4"/>
  <c r="AP125" i="4" s="1"/>
  <c r="AD124" i="4"/>
  <c r="AM124" i="4" s="1"/>
  <c r="AN124" i="4" s="1"/>
  <c r="K125" i="28"/>
  <c r="I125" i="28"/>
  <c r="AM123" i="4"/>
  <c r="AN123" i="4" s="1"/>
  <c r="T126" i="29"/>
  <c r="B125" i="29"/>
  <c r="K124" i="29"/>
  <c r="E124" i="29"/>
  <c r="G124" i="29" s="1"/>
  <c r="H124" i="29" s="1"/>
  <c r="I124" i="29"/>
  <c r="AK126" i="4"/>
  <c r="E126" i="4"/>
  <c r="V126" i="4" s="1"/>
  <c r="AJ126" i="4"/>
  <c r="M126" i="4"/>
  <c r="Z126" i="4" s="1"/>
  <c r="L126" i="4"/>
  <c r="Y126" i="4" s="1"/>
  <c r="I126" i="4"/>
  <c r="H126" i="4"/>
  <c r="AB126" i="4"/>
  <c r="AH126" i="4"/>
  <c r="AL126" i="4"/>
  <c r="G126" i="4"/>
  <c r="J126" i="4"/>
  <c r="AO126" i="4" s="1"/>
  <c r="AG126" i="4"/>
  <c r="AI126" i="4"/>
  <c r="K126" i="4"/>
  <c r="X126" i="4" s="1"/>
  <c r="E126" i="28"/>
  <c r="P126" i="28"/>
  <c r="N126" i="28"/>
  <c r="O126" i="28"/>
  <c r="M126" i="28"/>
  <c r="AU128" i="4"/>
  <c r="B127" i="4"/>
  <c r="V124" i="28"/>
  <c r="U125" i="28"/>
  <c r="V125" i="28" s="1"/>
  <c r="J125" i="28"/>
  <c r="AC125" i="4"/>
  <c r="L124" i="28"/>
  <c r="Q124" i="28"/>
  <c r="R124" i="28" s="1"/>
  <c r="T124" i="28" s="1"/>
  <c r="AE125" i="4"/>
  <c r="B127" i="28"/>
  <c r="F127" i="28" s="1"/>
  <c r="Y128" i="28"/>
  <c r="W126" i="28" l="1"/>
  <c r="AD125" i="4"/>
  <c r="AF124" i="4"/>
  <c r="W126" i="4"/>
  <c r="AP126" i="4" s="1"/>
  <c r="I126" i="28"/>
  <c r="J126" i="28" s="1"/>
  <c r="K126" i="28"/>
  <c r="AC126" i="4"/>
  <c r="Y129" i="28"/>
  <c r="B128" i="28"/>
  <c r="F128" i="28" s="1"/>
  <c r="L125" i="28"/>
  <c r="Q125" i="28"/>
  <c r="R125" i="28" s="1"/>
  <c r="T125" i="28" s="1"/>
  <c r="J123" i="29"/>
  <c r="L123" i="29"/>
  <c r="M123" i="29" s="1"/>
  <c r="U126" i="28"/>
  <c r="N127" i="28"/>
  <c r="O127" i="28"/>
  <c r="E127" i="28"/>
  <c r="M127" i="28"/>
  <c r="P127" i="28"/>
  <c r="AK127" i="4"/>
  <c r="I127" i="4"/>
  <c r="AJ127" i="4"/>
  <c r="J127" i="4"/>
  <c r="AO127" i="4" s="1"/>
  <c r="AI127" i="4"/>
  <c r="G127" i="4"/>
  <c r="AH127" i="4"/>
  <c r="K127" i="4"/>
  <c r="X127" i="4" s="1"/>
  <c r="H127" i="4"/>
  <c r="L127" i="4"/>
  <c r="Y127" i="4" s="1"/>
  <c r="E127" i="4"/>
  <c r="V127" i="4" s="1"/>
  <c r="AL127" i="4"/>
  <c r="AG127" i="4"/>
  <c r="M127" i="4"/>
  <c r="Z127" i="4" s="1"/>
  <c r="AB127" i="4"/>
  <c r="K125" i="29"/>
  <c r="E125" i="29"/>
  <c r="G125" i="29" s="1"/>
  <c r="H125" i="29" s="1"/>
  <c r="I125" i="29"/>
  <c r="AF125" i="4"/>
  <c r="AM125" i="4"/>
  <c r="AN125" i="4" s="1"/>
  <c r="B128" i="4"/>
  <c r="AU129" i="4"/>
  <c r="J124" i="29"/>
  <c r="L124" i="29"/>
  <c r="M124" i="29" s="1"/>
  <c r="B126" i="29"/>
  <c r="T127" i="29"/>
  <c r="AE126" i="4"/>
  <c r="W127" i="28" l="1"/>
  <c r="V126" i="28"/>
  <c r="W127" i="4"/>
  <c r="AP127" i="4" s="1"/>
  <c r="K127" i="28"/>
  <c r="AD126" i="4"/>
  <c r="AF126" i="4" s="1"/>
  <c r="I127" i="28"/>
  <c r="T128" i="29"/>
  <c r="B127" i="29"/>
  <c r="B129" i="4"/>
  <c r="AU130" i="4"/>
  <c r="U127" i="28"/>
  <c r="J127" i="28"/>
  <c r="L126" i="28"/>
  <c r="Q126" i="28"/>
  <c r="R126" i="28" s="1"/>
  <c r="T126" i="28" s="1"/>
  <c r="AE127" i="4"/>
  <c r="AC127" i="4"/>
  <c r="M128" i="28"/>
  <c r="O128" i="28"/>
  <c r="E128" i="28"/>
  <c r="P128" i="28"/>
  <c r="N128" i="28"/>
  <c r="K126" i="29"/>
  <c r="E126" i="29"/>
  <c r="G126" i="29" s="1"/>
  <c r="H126" i="29" s="1"/>
  <c r="I126" i="29"/>
  <c r="AK128" i="4"/>
  <c r="E128" i="4"/>
  <c r="V128" i="4" s="1"/>
  <c r="M128" i="4"/>
  <c r="Z128" i="4" s="1"/>
  <c r="AH128" i="4"/>
  <c r="G128" i="4"/>
  <c r="AG128" i="4"/>
  <c r="K128" i="4"/>
  <c r="X128" i="4" s="1"/>
  <c r="L128" i="4"/>
  <c r="Y128" i="4" s="1"/>
  <c r="I128" i="4"/>
  <c r="AI128" i="4"/>
  <c r="AL128" i="4"/>
  <c r="J128" i="4"/>
  <c r="AO128" i="4" s="1"/>
  <c r="AJ128" i="4"/>
  <c r="H128" i="4"/>
  <c r="AB128" i="4"/>
  <c r="J125" i="29"/>
  <c r="L125" i="29"/>
  <c r="M125" i="29" s="1"/>
  <c r="Y130" i="28"/>
  <c r="B129" i="28"/>
  <c r="F129" i="28" s="1"/>
  <c r="W128" i="28" l="1"/>
  <c r="AM126" i="4"/>
  <c r="AN126" i="4" s="1"/>
  <c r="AD127" i="4"/>
  <c r="AF127" i="4" s="1"/>
  <c r="W128" i="4"/>
  <c r="AP128" i="4" s="1"/>
  <c r="I128" i="28"/>
  <c r="K128" i="28"/>
  <c r="V127" i="28"/>
  <c r="AU131" i="4"/>
  <c r="B130" i="4"/>
  <c r="M129" i="28"/>
  <c r="O129" i="28"/>
  <c r="E129" i="28"/>
  <c r="N129" i="28"/>
  <c r="P129" i="28"/>
  <c r="AE128" i="4"/>
  <c r="AC128" i="4"/>
  <c r="U128" i="28"/>
  <c r="J128" i="28"/>
  <c r="Q127" i="28"/>
  <c r="R127" i="28" s="1"/>
  <c r="T127" i="28" s="1"/>
  <c r="L127" i="28"/>
  <c r="AK129" i="4"/>
  <c r="AL129" i="4"/>
  <c r="E129" i="4"/>
  <c r="V129" i="4" s="1"/>
  <c r="J129" i="4"/>
  <c r="AO129" i="4" s="1"/>
  <c r="H129" i="4"/>
  <c r="AG129" i="4"/>
  <c r="AJ129" i="4"/>
  <c r="AH129" i="4"/>
  <c r="M129" i="4"/>
  <c r="Z129" i="4" s="1"/>
  <c r="I129" i="4"/>
  <c r="K129" i="4"/>
  <c r="X129" i="4" s="1"/>
  <c r="L129" i="4"/>
  <c r="Y129" i="4" s="1"/>
  <c r="G129" i="4"/>
  <c r="AI129" i="4"/>
  <c r="AB129" i="4"/>
  <c r="K127" i="29"/>
  <c r="I127" i="29"/>
  <c r="E127" i="29"/>
  <c r="G127" i="29" s="1"/>
  <c r="H127" i="29" s="1"/>
  <c r="Y131" i="28"/>
  <c r="B130" i="28"/>
  <c r="F130" i="28" s="1"/>
  <c r="B128" i="29"/>
  <c r="T129" i="29"/>
  <c r="W129" i="28" l="1"/>
  <c r="AM127" i="4"/>
  <c r="AN127" i="4" s="1"/>
  <c r="W129" i="4"/>
  <c r="AP129" i="4" s="1"/>
  <c r="K129" i="28"/>
  <c r="AD128" i="4"/>
  <c r="AF128" i="4" s="1"/>
  <c r="I129" i="28"/>
  <c r="L127" i="29"/>
  <c r="M127" i="29" s="1"/>
  <c r="L126" i="29"/>
  <c r="M126" i="29" s="1"/>
  <c r="J126" i="29"/>
  <c r="AC129" i="4"/>
  <c r="B129" i="29"/>
  <c r="T130" i="29"/>
  <c r="P130" i="28"/>
  <c r="M130" i="28"/>
  <c r="N130" i="28"/>
  <c r="O130" i="28"/>
  <c r="E130" i="28"/>
  <c r="AE129" i="4"/>
  <c r="L128" i="28"/>
  <c r="Q128" i="28"/>
  <c r="R128" i="28" s="1"/>
  <c r="T128" i="28" s="1"/>
  <c r="AK130" i="4"/>
  <c r="AH130" i="4"/>
  <c r="AJ130" i="4"/>
  <c r="I130" i="4"/>
  <c r="L130" i="4"/>
  <c r="K130" i="4"/>
  <c r="G130" i="4"/>
  <c r="AB130" i="4"/>
  <c r="H130" i="4"/>
  <c r="E130" i="4"/>
  <c r="M130" i="4"/>
  <c r="AL130" i="4"/>
  <c r="AG130" i="4"/>
  <c r="J130" i="4"/>
  <c r="K128" i="29"/>
  <c r="I128" i="29"/>
  <c r="E128" i="29"/>
  <c r="G128" i="29" s="1"/>
  <c r="H128" i="29" s="1"/>
  <c r="Y132" i="28"/>
  <c r="B131" i="28"/>
  <c r="F131" i="28" s="1"/>
  <c r="U129" i="28"/>
  <c r="J129" i="28"/>
  <c r="B131" i="4"/>
  <c r="AU132" i="4"/>
  <c r="V128" i="28"/>
  <c r="W130" i="28" l="1"/>
  <c r="V130" i="4"/>
  <c r="AD129" i="4"/>
  <c r="X130" i="4"/>
  <c r="Y130" i="4"/>
  <c r="Z130" i="4"/>
  <c r="W130" i="4"/>
  <c r="AO130" i="4"/>
  <c r="AM128" i="4"/>
  <c r="AN128" i="4" s="1"/>
  <c r="I130" i="28"/>
  <c r="K130" i="28"/>
  <c r="J127" i="29"/>
  <c r="V129" i="28"/>
  <c r="AU133" i="4"/>
  <c r="B132" i="4"/>
  <c r="AK131" i="4"/>
  <c r="AL131" i="4"/>
  <c r="M131" i="4"/>
  <c r="Z131" i="4" s="1"/>
  <c r="AJ131" i="4"/>
  <c r="AG131" i="4"/>
  <c r="I131" i="4"/>
  <c r="K131" i="4"/>
  <c r="X131" i="4" s="1"/>
  <c r="G131" i="4"/>
  <c r="H131" i="4"/>
  <c r="J131" i="4"/>
  <c r="AO131" i="4" s="1"/>
  <c r="L131" i="4"/>
  <c r="Y131" i="4" s="1"/>
  <c r="E131" i="4"/>
  <c r="V131" i="4" s="1"/>
  <c r="AH131" i="4"/>
  <c r="AI131" i="4"/>
  <c r="AB131" i="4"/>
  <c r="Q129" i="28"/>
  <c r="R129" i="28" s="1"/>
  <c r="T129" i="28" s="1"/>
  <c r="L129" i="28"/>
  <c r="M131" i="28"/>
  <c r="N131" i="28"/>
  <c r="O131" i="28"/>
  <c r="P131" i="28"/>
  <c r="E131" i="28"/>
  <c r="J130" i="28"/>
  <c r="U130" i="28"/>
  <c r="B132" i="28"/>
  <c r="F132" i="28" s="1"/>
  <c r="Y133" i="28"/>
  <c r="B130" i="29"/>
  <c r="T131" i="29"/>
  <c r="E129" i="29"/>
  <c r="G129" i="29" s="1"/>
  <c r="H129" i="29" s="1"/>
  <c r="K129" i="29"/>
  <c r="I129" i="29"/>
  <c r="W131" i="28" l="1"/>
  <c r="V130" i="28"/>
  <c r="AC130" i="4"/>
  <c r="AP130" i="4"/>
  <c r="AD130" i="4"/>
  <c r="W131" i="4"/>
  <c r="AP131" i="4" s="1"/>
  <c r="I131" i="28"/>
  <c r="K131" i="28"/>
  <c r="AE131" i="4"/>
  <c r="M132" i="28"/>
  <c r="O132" i="28"/>
  <c r="N132" i="28"/>
  <c r="P132" i="28"/>
  <c r="E132" i="28"/>
  <c r="J131" i="28"/>
  <c r="U131" i="28"/>
  <c r="AK132" i="4"/>
  <c r="E132" i="4"/>
  <c r="V132" i="4" s="1"/>
  <c r="AI132" i="4"/>
  <c r="L132" i="4"/>
  <c r="Y132" i="4" s="1"/>
  <c r="M132" i="4"/>
  <c r="Z132" i="4" s="1"/>
  <c r="J132" i="4"/>
  <c r="AO132" i="4" s="1"/>
  <c r="G132" i="4"/>
  <c r="AH132" i="4"/>
  <c r="I132" i="4"/>
  <c r="AJ132" i="4"/>
  <c r="AB132" i="4"/>
  <c r="K132" i="4"/>
  <c r="X132" i="4" s="1"/>
  <c r="AL132" i="4"/>
  <c r="H132" i="4"/>
  <c r="AG132" i="4"/>
  <c r="I130" i="29"/>
  <c r="K130" i="29"/>
  <c r="E130" i="29"/>
  <c r="G130" i="29" s="1"/>
  <c r="H130" i="29" s="1"/>
  <c r="Y134" i="28"/>
  <c r="B133" i="28"/>
  <c r="F133" i="28" s="1"/>
  <c r="Q130" i="28"/>
  <c r="R130" i="28" s="1"/>
  <c r="T130" i="28" s="1"/>
  <c r="L130" i="28"/>
  <c r="T132" i="29"/>
  <c r="B131" i="29"/>
  <c r="J128" i="29"/>
  <c r="L128" i="29"/>
  <c r="M128" i="29" s="1"/>
  <c r="AM129" i="4"/>
  <c r="AN129" i="4" s="1"/>
  <c r="AF129" i="4"/>
  <c r="AC131" i="4"/>
  <c r="AU134" i="4"/>
  <c r="B133" i="4"/>
  <c r="W132" i="28" l="1"/>
  <c r="W132" i="4"/>
  <c r="AP132" i="4" s="1"/>
  <c r="AD131" i="4"/>
  <c r="I132" i="28"/>
  <c r="K132" i="28"/>
  <c r="V131" i="28"/>
  <c r="L130" i="29"/>
  <c r="M130" i="29" s="1"/>
  <c r="J130" i="29"/>
  <c r="AE132" i="4"/>
  <c r="Q131" i="28"/>
  <c r="R131" i="28" s="1"/>
  <c r="T131" i="28" s="1"/>
  <c r="L131" i="28"/>
  <c r="J129" i="29"/>
  <c r="L129" i="29"/>
  <c r="M129" i="29" s="1"/>
  <c r="AK133" i="4"/>
  <c r="AH133" i="4"/>
  <c r="K133" i="4"/>
  <c r="X133" i="4" s="1"/>
  <c r="J133" i="4"/>
  <c r="AO133" i="4" s="1"/>
  <c r="H133" i="4"/>
  <c r="AI133" i="4"/>
  <c r="M133" i="4"/>
  <c r="Z133" i="4" s="1"/>
  <c r="AG133" i="4"/>
  <c r="L133" i="4"/>
  <c r="Y133" i="4" s="1"/>
  <c r="AB133" i="4"/>
  <c r="G133" i="4"/>
  <c r="E133" i="4"/>
  <c r="V133" i="4" s="1"/>
  <c r="AL133" i="4"/>
  <c r="I133" i="4"/>
  <c r="AJ133" i="4"/>
  <c r="K131" i="29"/>
  <c r="E131" i="29"/>
  <c r="G131" i="29" s="1"/>
  <c r="H131" i="29" s="1"/>
  <c r="I131" i="29"/>
  <c r="N133" i="28"/>
  <c r="P133" i="28"/>
  <c r="M133" i="28"/>
  <c r="E133" i="28"/>
  <c r="O133" i="28"/>
  <c r="AU135" i="4"/>
  <c r="B134" i="4"/>
  <c r="T133" i="29"/>
  <c r="B132" i="29"/>
  <c r="Y135" i="28"/>
  <c r="B134" i="28"/>
  <c r="F134" i="28" s="1"/>
  <c r="AC132" i="4"/>
  <c r="J132" i="28"/>
  <c r="U132" i="28"/>
  <c r="V132" i="28" s="1"/>
  <c r="W133" i="28" l="1"/>
  <c r="W133" i="4"/>
  <c r="AP133" i="4" s="1"/>
  <c r="AD132" i="4"/>
  <c r="AF132" i="4" s="1"/>
  <c r="I133" i="28"/>
  <c r="J133" i="28" s="1"/>
  <c r="K133" i="28"/>
  <c r="AE133" i="4"/>
  <c r="U133" i="28"/>
  <c r="AF131" i="4"/>
  <c r="AM131" i="4"/>
  <c r="AN131" i="4" s="1"/>
  <c r="L132" i="28"/>
  <c r="Q132" i="28"/>
  <c r="R132" i="28" s="1"/>
  <c r="T132" i="28" s="1"/>
  <c r="E132" i="29"/>
  <c r="G132" i="29" s="1"/>
  <c r="H132" i="29" s="1"/>
  <c r="I132" i="29"/>
  <c r="K132" i="29"/>
  <c r="B133" i="29"/>
  <c r="T134" i="29"/>
  <c r="P134" i="28"/>
  <c r="E134" i="28"/>
  <c r="M134" i="28"/>
  <c r="N134" i="28"/>
  <c r="O134" i="28"/>
  <c r="AK134" i="4"/>
  <c r="E134" i="4"/>
  <c r="V134" i="4" s="1"/>
  <c r="AB134" i="4"/>
  <c r="M134" i="4"/>
  <c r="Z134" i="4" s="1"/>
  <c r="K134" i="4"/>
  <c r="X134" i="4" s="1"/>
  <c r="G134" i="4"/>
  <c r="AG134" i="4"/>
  <c r="H134" i="4"/>
  <c r="I134" i="4"/>
  <c r="AL134" i="4"/>
  <c r="L134" i="4"/>
  <c r="Y134" i="4" s="1"/>
  <c r="AI134" i="4"/>
  <c r="AJ134" i="4"/>
  <c r="AH134" i="4"/>
  <c r="J134" i="4"/>
  <c r="AO134" i="4" s="1"/>
  <c r="B135" i="28"/>
  <c r="F135" i="28" s="1"/>
  <c r="Y136" i="28"/>
  <c r="B135" i="4"/>
  <c r="AU136" i="4"/>
  <c r="V133" i="28"/>
  <c r="AC133" i="4"/>
  <c r="W134" i="28" l="1"/>
  <c r="AD133" i="4"/>
  <c r="W134" i="4"/>
  <c r="AP134" i="4" s="1"/>
  <c r="AM132" i="4"/>
  <c r="AN132" i="4" s="1"/>
  <c r="I134" i="28"/>
  <c r="J134" i="28" s="1"/>
  <c r="K134" i="28"/>
  <c r="AM133" i="4"/>
  <c r="AN133" i="4" s="1"/>
  <c r="Y137" i="28"/>
  <c r="B136" i="28"/>
  <c r="F136" i="28" s="1"/>
  <c r="AC134" i="4"/>
  <c r="T135" i="29"/>
  <c r="B134" i="29"/>
  <c r="O135" i="28"/>
  <c r="P135" i="28"/>
  <c r="M135" i="28"/>
  <c r="N135" i="28"/>
  <c r="E135" i="28"/>
  <c r="U134" i="28"/>
  <c r="E133" i="29"/>
  <c r="G133" i="29" s="1"/>
  <c r="H133" i="29" s="1"/>
  <c r="K133" i="29"/>
  <c r="I133" i="29"/>
  <c r="J132" i="29"/>
  <c r="L132" i="29"/>
  <c r="M132" i="29" s="1"/>
  <c r="AK135" i="4"/>
  <c r="L135" i="4"/>
  <c r="J135" i="4"/>
  <c r="AB135" i="4"/>
  <c r="AJ135" i="4"/>
  <c r="AL135" i="4"/>
  <c r="AG135" i="4"/>
  <c r="I135" i="4"/>
  <c r="M135" i="4"/>
  <c r="AI135" i="4"/>
  <c r="AH135" i="4"/>
  <c r="H135" i="4"/>
  <c r="E135" i="4"/>
  <c r="G135" i="4"/>
  <c r="K135" i="4"/>
  <c r="X135" i="4" s="1"/>
  <c r="B136" i="4"/>
  <c r="AU137" i="4"/>
  <c r="Q133" i="28"/>
  <c r="R133" i="28" s="1"/>
  <c r="T133" i="28" s="1"/>
  <c r="L133" i="28"/>
  <c r="AE134" i="4"/>
  <c r="J131" i="29"/>
  <c r="L131" i="29"/>
  <c r="M131" i="29" s="1"/>
  <c r="AO135" i="4" l="1"/>
  <c r="Y135" i="4"/>
  <c r="W135" i="28"/>
  <c r="V135" i="4"/>
  <c r="W135" i="4"/>
  <c r="AP135" i="4" s="1"/>
  <c r="Z135" i="4"/>
  <c r="AC135" i="4" s="1"/>
  <c r="AD134" i="4"/>
  <c r="AF133" i="4"/>
  <c r="I135" i="28"/>
  <c r="K135" i="28"/>
  <c r="V134" i="28"/>
  <c r="B137" i="4"/>
  <c r="AU138" i="4"/>
  <c r="AK136" i="4"/>
  <c r="L136" i="4"/>
  <c r="Y136" i="4" s="1"/>
  <c r="AH136" i="4"/>
  <c r="AB136" i="4"/>
  <c r="H136" i="4"/>
  <c r="AI136" i="4"/>
  <c r="K136" i="4"/>
  <c r="X136" i="4" s="1"/>
  <c r="G136" i="4"/>
  <c r="E136" i="4"/>
  <c r="V136" i="4" s="1"/>
  <c r="M136" i="4"/>
  <c r="Z136" i="4" s="1"/>
  <c r="AG136" i="4"/>
  <c r="AL136" i="4"/>
  <c r="AJ136" i="4"/>
  <c r="I136" i="4"/>
  <c r="J136" i="4"/>
  <c r="AO136" i="4" s="1"/>
  <c r="J135" i="28"/>
  <c r="U135" i="28"/>
  <c r="T136" i="29"/>
  <c r="B135" i="29"/>
  <c r="L133" i="29"/>
  <c r="M133" i="29" s="1"/>
  <c r="J133" i="29"/>
  <c r="AE135" i="4"/>
  <c r="M136" i="28"/>
  <c r="O136" i="28"/>
  <c r="P136" i="28"/>
  <c r="N136" i="28"/>
  <c r="E136" i="28"/>
  <c r="L134" i="28"/>
  <c r="Q134" i="28"/>
  <c r="R134" i="28" s="1"/>
  <c r="T134" i="28" s="1"/>
  <c r="I134" i="29"/>
  <c r="K134" i="29"/>
  <c r="E134" i="29"/>
  <c r="G134" i="29" s="1"/>
  <c r="H134" i="29" s="1"/>
  <c r="Y138" i="28"/>
  <c r="B137" i="28"/>
  <c r="F137" i="28" s="1"/>
  <c r="W136" i="28" l="1"/>
  <c r="AD135" i="4"/>
  <c r="W136" i="4"/>
  <c r="AP136" i="4" s="1"/>
  <c r="K136" i="28"/>
  <c r="I136" i="28"/>
  <c r="V135" i="28"/>
  <c r="B138" i="28"/>
  <c r="F138" i="28" s="1"/>
  <c r="Y139" i="28"/>
  <c r="L134" i="29"/>
  <c r="M134" i="29" s="1"/>
  <c r="J134" i="29"/>
  <c r="I135" i="29"/>
  <c r="K135" i="29"/>
  <c r="E135" i="29"/>
  <c r="G135" i="29" s="1"/>
  <c r="H135" i="29" s="1"/>
  <c r="L135" i="28"/>
  <c r="Q135" i="28"/>
  <c r="R135" i="28" s="1"/>
  <c r="T135" i="28" s="1"/>
  <c r="AE136" i="4"/>
  <c r="AF134" i="4"/>
  <c r="AM134" i="4"/>
  <c r="AN134" i="4" s="1"/>
  <c r="J136" i="28"/>
  <c r="U136" i="28"/>
  <c r="O137" i="28"/>
  <c r="M137" i="28"/>
  <c r="P137" i="28"/>
  <c r="N137" i="28"/>
  <c r="E137" i="28"/>
  <c r="AF135" i="4"/>
  <c r="AM135" i="4"/>
  <c r="AN135" i="4" s="1"/>
  <c r="V136" i="28"/>
  <c r="B136" i="29"/>
  <c r="T137" i="29"/>
  <c r="AC136" i="4"/>
  <c r="B138" i="4"/>
  <c r="AU139" i="4"/>
  <c r="AK137" i="4"/>
  <c r="J137" i="4"/>
  <c r="AO137" i="4" s="1"/>
  <c r="K137" i="4"/>
  <c r="X137" i="4" s="1"/>
  <c r="M137" i="4"/>
  <c r="Z137" i="4" s="1"/>
  <c r="AG137" i="4"/>
  <c r="I137" i="4"/>
  <c r="AB137" i="4"/>
  <c r="AH137" i="4"/>
  <c r="AL137" i="4"/>
  <c r="H137" i="4"/>
  <c r="AI137" i="4"/>
  <c r="L137" i="4"/>
  <c r="Y137" i="4" s="1"/>
  <c r="E137" i="4"/>
  <c r="V137" i="4" s="1"/>
  <c r="AJ137" i="4"/>
  <c r="G137" i="4"/>
  <c r="W137" i="28" l="1"/>
  <c r="W137" i="4"/>
  <c r="AP137" i="4" s="1"/>
  <c r="AD136" i="4"/>
  <c r="I137" i="28"/>
  <c r="K137" i="28"/>
  <c r="L135" i="29"/>
  <c r="M135" i="29" s="1"/>
  <c r="AC137" i="4"/>
  <c r="AU140" i="4"/>
  <c r="B139" i="4"/>
  <c r="E136" i="29"/>
  <c r="G136" i="29" s="1"/>
  <c r="H136" i="29" s="1"/>
  <c r="I136" i="29"/>
  <c r="K136" i="29"/>
  <c r="U137" i="28"/>
  <c r="J137" i="28"/>
  <c r="L136" i="28"/>
  <c r="Q136" i="28"/>
  <c r="R136" i="28" s="1"/>
  <c r="T136" i="28" s="1"/>
  <c r="B139" i="28"/>
  <c r="F139" i="28" s="1"/>
  <c r="Y140" i="28"/>
  <c r="AK138" i="4"/>
  <c r="AL138" i="4"/>
  <c r="AH138" i="4"/>
  <c r="AJ138" i="4"/>
  <c r="J138" i="4"/>
  <c r="E138" i="4"/>
  <c r="M138" i="4"/>
  <c r="AI138" i="4"/>
  <c r="G138" i="4"/>
  <c r="AG138" i="4"/>
  <c r="I138" i="4"/>
  <c r="L138" i="4"/>
  <c r="AB138" i="4"/>
  <c r="H138" i="4"/>
  <c r="K138" i="4"/>
  <c r="X138" i="4" s="1"/>
  <c r="N138" i="28"/>
  <c r="P138" i="28"/>
  <c r="O138" i="28"/>
  <c r="M138" i="28"/>
  <c r="E138" i="28"/>
  <c r="AE137" i="4"/>
  <c r="T138" i="29"/>
  <c r="B137" i="29"/>
  <c r="AO138" i="4" l="1"/>
  <c r="W138" i="28"/>
  <c r="V138" i="4"/>
  <c r="V137" i="28"/>
  <c r="AD137" i="4"/>
  <c r="W138" i="4"/>
  <c r="AP138" i="4" s="1"/>
  <c r="Z138" i="4"/>
  <c r="Y138" i="4"/>
  <c r="J135" i="29"/>
  <c r="I138" i="28"/>
  <c r="K138" i="28"/>
  <c r="J136" i="29"/>
  <c r="K137" i="29"/>
  <c r="E137" i="29"/>
  <c r="G137" i="29" s="1"/>
  <c r="H137" i="29" s="1"/>
  <c r="I137" i="29"/>
  <c r="B138" i="29"/>
  <c r="T139" i="29"/>
  <c r="Y141" i="28"/>
  <c r="B140" i="28"/>
  <c r="F140" i="28" s="1"/>
  <c r="AK139" i="4"/>
  <c r="K139" i="4"/>
  <c r="I139" i="4"/>
  <c r="G139" i="4"/>
  <c r="J139" i="4"/>
  <c r="AL139" i="4"/>
  <c r="AI139" i="4"/>
  <c r="H139" i="4"/>
  <c r="AB139" i="4"/>
  <c r="L139" i="4"/>
  <c r="E139" i="4"/>
  <c r="AH139" i="4"/>
  <c r="AG139" i="4"/>
  <c r="M139" i="4"/>
  <c r="AJ139" i="4"/>
  <c r="AF136" i="4"/>
  <c r="AM136" i="4"/>
  <c r="AN136" i="4" s="1"/>
  <c r="U138" i="28"/>
  <c r="J138" i="28"/>
  <c r="AC138" i="4"/>
  <c r="O139" i="28"/>
  <c r="P139" i="28"/>
  <c r="M139" i="28"/>
  <c r="N139" i="28"/>
  <c r="E139" i="28"/>
  <c r="B140" i="4"/>
  <c r="AU141" i="4"/>
  <c r="V138" i="28"/>
  <c r="AE138" i="4"/>
  <c r="Q137" i="28"/>
  <c r="R137" i="28" s="1"/>
  <c r="T137" i="28" s="1"/>
  <c r="L137" i="28"/>
  <c r="AM137" i="4"/>
  <c r="AN137" i="4" s="1"/>
  <c r="AF137" i="4"/>
  <c r="W139" i="28" l="1"/>
  <c r="AD138" i="4"/>
  <c r="V139" i="4"/>
  <c r="Z139" i="4"/>
  <c r="Y139" i="4"/>
  <c r="X139" i="4"/>
  <c r="L136" i="29"/>
  <c r="M136" i="29" s="1"/>
  <c r="AO139" i="4"/>
  <c r="W139" i="4"/>
  <c r="I139" i="28"/>
  <c r="K139" i="28"/>
  <c r="AE139" i="4"/>
  <c r="B141" i="4"/>
  <c r="AU142" i="4"/>
  <c r="U139" i="28"/>
  <c r="J139" i="28"/>
  <c r="AK140" i="4"/>
  <c r="K140" i="4"/>
  <c r="X140" i="4" s="1"/>
  <c r="H140" i="4"/>
  <c r="AG140" i="4"/>
  <c r="AH140" i="4"/>
  <c r="J140" i="4"/>
  <c r="AO140" i="4" s="1"/>
  <c r="G140" i="4"/>
  <c r="M140" i="4"/>
  <c r="Z140" i="4" s="1"/>
  <c r="I140" i="4"/>
  <c r="AI140" i="4"/>
  <c r="AB140" i="4"/>
  <c r="AL140" i="4"/>
  <c r="AJ140" i="4"/>
  <c r="E140" i="4"/>
  <c r="V140" i="4" s="1"/>
  <c r="L140" i="4"/>
  <c r="Y140" i="4" s="1"/>
  <c r="P140" i="28"/>
  <c r="M140" i="28"/>
  <c r="N140" i="28"/>
  <c r="O140" i="28"/>
  <c r="E140" i="28"/>
  <c r="T140" i="29"/>
  <c r="B139" i="29"/>
  <c r="AF138" i="4"/>
  <c r="AM138" i="4"/>
  <c r="AN138" i="4" s="1"/>
  <c r="V139" i="28"/>
  <c r="L138" i="28"/>
  <c r="Q138" i="28"/>
  <c r="R138" i="28" s="1"/>
  <c r="T138" i="28" s="1"/>
  <c r="Y142" i="28"/>
  <c r="B141" i="28"/>
  <c r="F141" i="28" s="1"/>
  <c r="E138" i="29"/>
  <c r="G138" i="29" s="1"/>
  <c r="H138" i="29" s="1"/>
  <c r="I138" i="29"/>
  <c r="K138" i="29"/>
  <c r="W140" i="28" l="1"/>
  <c r="AP139" i="4"/>
  <c r="AC139" i="4"/>
  <c r="K140" i="28"/>
  <c r="AD139" i="4"/>
  <c r="AF139" i="4" s="1"/>
  <c r="W140" i="4"/>
  <c r="AP140" i="4" s="1"/>
  <c r="I140" i="28"/>
  <c r="M141" i="28"/>
  <c r="O141" i="28"/>
  <c r="N141" i="28"/>
  <c r="P141" i="28"/>
  <c r="E141" i="28"/>
  <c r="L137" i="29"/>
  <c r="M137" i="29" s="1"/>
  <c r="J137" i="29"/>
  <c r="AC140" i="4"/>
  <c r="B142" i="4"/>
  <c r="AU143" i="4"/>
  <c r="B142" i="28"/>
  <c r="F142" i="28" s="1"/>
  <c r="Y143" i="28"/>
  <c r="AK141" i="4"/>
  <c r="AH141" i="4"/>
  <c r="AB141" i="4"/>
  <c r="G141" i="4"/>
  <c r="AG141" i="4"/>
  <c r="AJ141" i="4"/>
  <c r="I141" i="4"/>
  <c r="E141" i="4"/>
  <c r="V141" i="4" s="1"/>
  <c r="AI141" i="4"/>
  <c r="K141" i="4"/>
  <c r="X141" i="4" s="1"/>
  <c r="H141" i="4"/>
  <c r="L141" i="4"/>
  <c r="Y141" i="4" s="1"/>
  <c r="J141" i="4"/>
  <c r="AO141" i="4" s="1"/>
  <c r="AL141" i="4"/>
  <c r="M141" i="4"/>
  <c r="Z141" i="4" s="1"/>
  <c r="K139" i="29"/>
  <c r="I139" i="29"/>
  <c r="E139" i="29"/>
  <c r="G139" i="29" s="1"/>
  <c r="H139" i="29" s="1"/>
  <c r="T141" i="29"/>
  <c r="B140" i="29"/>
  <c r="AE140" i="4"/>
  <c r="Q139" i="28"/>
  <c r="R139" i="28" s="1"/>
  <c r="T139" i="28" s="1"/>
  <c r="L139" i="28"/>
  <c r="U140" i="28"/>
  <c r="J140" i="28"/>
  <c r="W141" i="28" l="1"/>
  <c r="AM139" i="4"/>
  <c r="AN139" i="4" s="1"/>
  <c r="AD140" i="4"/>
  <c r="W141" i="4"/>
  <c r="AP141" i="4" s="1"/>
  <c r="I141" i="28"/>
  <c r="K141" i="28"/>
  <c r="AE141" i="4"/>
  <c r="AC141" i="4"/>
  <c r="V140" i="28"/>
  <c r="L140" i="28"/>
  <c r="Q140" i="28"/>
  <c r="R140" i="28" s="1"/>
  <c r="T140" i="28" s="1"/>
  <c r="AK142" i="4"/>
  <c r="J142" i="4"/>
  <c r="AO142" i="4" s="1"/>
  <c r="AI142" i="4"/>
  <c r="AH142" i="4"/>
  <c r="AL142" i="4"/>
  <c r="I142" i="4"/>
  <c r="M142" i="4"/>
  <c r="Z142" i="4" s="1"/>
  <c r="G142" i="4"/>
  <c r="K142" i="4"/>
  <c r="X142" i="4" s="1"/>
  <c r="AB142" i="4"/>
  <c r="AG142" i="4"/>
  <c r="AJ142" i="4"/>
  <c r="L142" i="4"/>
  <c r="Y142" i="4" s="1"/>
  <c r="E142" i="4"/>
  <c r="V142" i="4" s="1"/>
  <c r="H142" i="4"/>
  <c r="B143" i="28"/>
  <c r="F143" i="28" s="1"/>
  <c r="Y144" i="28"/>
  <c r="B141" i="29"/>
  <c r="T142" i="29"/>
  <c r="J138" i="29"/>
  <c r="L138" i="29"/>
  <c r="M138" i="29" s="1"/>
  <c r="E140" i="29"/>
  <c r="G140" i="29" s="1"/>
  <c r="H140" i="29" s="1"/>
  <c r="I140" i="29"/>
  <c r="K140" i="29"/>
  <c r="N142" i="28"/>
  <c r="O142" i="28"/>
  <c r="P142" i="28"/>
  <c r="M142" i="28"/>
  <c r="E142" i="28"/>
  <c r="U141" i="28"/>
  <c r="J141" i="28"/>
  <c r="B143" i="4"/>
  <c r="AU144" i="4"/>
  <c r="W142" i="28" l="1"/>
  <c r="W142" i="4"/>
  <c r="AP142" i="4" s="1"/>
  <c r="AD141" i="4"/>
  <c r="I142" i="28"/>
  <c r="K142" i="28"/>
  <c r="V141" i="28"/>
  <c r="AK143" i="4"/>
  <c r="M143" i="4"/>
  <c r="Z143" i="4" s="1"/>
  <c r="H143" i="4"/>
  <c r="AH143" i="4"/>
  <c r="E143" i="4"/>
  <c r="V143" i="4" s="1"/>
  <c r="AI143" i="4"/>
  <c r="AG143" i="4"/>
  <c r="G143" i="4"/>
  <c r="K143" i="4"/>
  <c r="X143" i="4" s="1"/>
  <c r="AJ143" i="4"/>
  <c r="I143" i="4"/>
  <c r="J143" i="4"/>
  <c r="AO143" i="4" s="1"/>
  <c r="L143" i="4"/>
  <c r="Y143" i="4" s="1"/>
  <c r="AL143" i="4"/>
  <c r="AB143" i="4"/>
  <c r="Q141" i="28"/>
  <c r="R141" i="28" s="1"/>
  <c r="T141" i="28" s="1"/>
  <c r="L141" i="28"/>
  <c r="O143" i="28"/>
  <c r="M143" i="28"/>
  <c r="N143" i="28"/>
  <c r="P143" i="28"/>
  <c r="E143" i="28"/>
  <c r="B142" i="29"/>
  <c r="T143" i="29"/>
  <c r="AC142" i="4"/>
  <c r="AE142" i="4"/>
  <c r="B144" i="4"/>
  <c r="AU145" i="4"/>
  <c r="AM140" i="4"/>
  <c r="AN140" i="4" s="1"/>
  <c r="AF140" i="4"/>
  <c r="L139" i="29"/>
  <c r="M139" i="29" s="1"/>
  <c r="J139" i="29"/>
  <c r="E141" i="29"/>
  <c r="G141" i="29" s="1"/>
  <c r="H141" i="29" s="1"/>
  <c r="I141" i="29"/>
  <c r="K141" i="29"/>
  <c r="U142" i="28"/>
  <c r="J142" i="28"/>
  <c r="B144" i="28"/>
  <c r="F144" i="28" s="1"/>
  <c r="Y145" i="28"/>
  <c r="W143" i="28" l="1"/>
  <c r="AD142" i="4"/>
  <c r="W143" i="4"/>
  <c r="AP143" i="4" s="1"/>
  <c r="I143" i="28"/>
  <c r="J143" i="28" s="1"/>
  <c r="K143" i="28"/>
  <c r="V142" i="28"/>
  <c r="AE143" i="4"/>
  <c r="L142" i="28"/>
  <c r="Q142" i="28"/>
  <c r="R142" i="28" s="1"/>
  <c r="T142" i="28" s="1"/>
  <c r="U143" i="28"/>
  <c r="Y146" i="28"/>
  <c r="B145" i="28"/>
  <c r="F145" i="28" s="1"/>
  <c r="AF141" i="4"/>
  <c r="AM141" i="4"/>
  <c r="AN141" i="4" s="1"/>
  <c r="AU146" i="4"/>
  <c r="B145" i="4"/>
  <c r="T144" i="29"/>
  <c r="B143" i="29"/>
  <c r="AK144" i="4"/>
  <c r="K144" i="4"/>
  <c r="X144" i="4" s="1"/>
  <c r="H144" i="4"/>
  <c r="AG144" i="4"/>
  <c r="M144" i="4"/>
  <c r="Z144" i="4" s="1"/>
  <c r="J144" i="4"/>
  <c r="AO144" i="4" s="1"/>
  <c r="AB144" i="4"/>
  <c r="AJ144" i="4"/>
  <c r="AI144" i="4"/>
  <c r="AL144" i="4"/>
  <c r="I144" i="4"/>
  <c r="G144" i="4"/>
  <c r="AH144" i="4"/>
  <c r="L144" i="4"/>
  <c r="Y144" i="4" s="1"/>
  <c r="E144" i="4"/>
  <c r="V144" i="4" s="1"/>
  <c r="K142" i="29"/>
  <c r="E142" i="29"/>
  <c r="G142" i="29" s="1"/>
  <c r="H142" i="29" s="1"/>
  <c r="I142" i="29"/>
  <c r="N144" i="28"/>
  <c r="P144" i="28"/>
  <c r="O144" i="28"/>
  <c r="M144" i="28"/>
  <c r="E144" i="28"/>
  <c r="J140" i="29"/>
  <c r="L140" i="29"/>
  <c r="M140" i="29" s="1"/>
  <c r="AM142" i="4"/>
  <c r="AN142" i="4" s="1"/>
  <c r="AF142" i="4"/>
  <c r="AC143" i="4"/>
  <c r="W144" i="28" l="1"/>
  <c r="W144" i="4"/>
  <c r="AP144" i="4" s="1"/>
  <c r="AD143" i="4"/>
  <c r="AM143" i="4" s="1"/>
  <c r="AN143" i="4" s="1"/>
  <c r="I144" i="28"/>
  <c r="K144" i="28"/>
  <c r="V143" i="28"/>
  <c r="AU147" i="4"/>
  <c r="B146" i="4"/>
  <c r="P145" i="28"/>
  <c r="M145" i="28"/>
  <c r="O145" i="28"/>
  <c r="N145" i="28"/>
  <c r="E145" i="28"/>
  <c r="Q143" i="28"/>
  <c r="R143" i="28" s="1"/>
  <c r="T143" i="28" s="1"/>
  <c r="L143" i="28"/>
  <c r="K143" i="29"/>
  <c r="E143" i="29"/>
  <c r="G143" i="29" s="1"/>
  <c r="H143" i="29" s="1"/>
  <c r="I143" i="29"/>
  <c r="L141" i="29"/>
  <c r="M141" i="29" s="1"/>
  <c r="J141" i="29"/>
  <c r="B146" i="28"/>
  <c r="F146" i="28" s="1"/>
  <c r="Y147" i="28"/>
  <c r="B144" i="29"/>
  <c r="T145" i="29"/>
  <c r="U144" i="28"/>
  <c r="J144" i="28"/>
  <c r="AE144" i="4"/>
  <c r="AC144" i="4"/>
  <c r="AK145" i="4"/>
  <c r="L145" i="4"/>
  <c r="Y145" i="4" s="1"/>
  <c r="E145" i="4"/>
  <c r="V145" i="4" s="1"/>
  <c r="I145" i="4"/>
  <c r="J145" i="4"/>
  <c r="AO145" i="4" s="1"/>
  <c r="AJ145" i="4"/>
  <c r="AG145" i="4"/>
  <c r="AB145" i="4"/>
  <c r="M145" i="4"/>
  <c r="Z145" i="4" s="1"/>
  <c r="AH145" i="4"/>
  <c r="G145" i="4"/>
  <c r="AI145" i="4"/>
  <c r="AL145" i="4"/>
  <c r="H145" i="4"/>
  <c r="K145" i="4"/>
  <c r="X145" i="4" s="1"/>
  <c r="W145" i="28" l="1"/>
  <c r="W145" i="4"/>
  <c r="AP145" i="4" s="1"/>
  <c r="AF143" i="4"/>
  <c r="AD144" i="4"/>
  <c r="AF144" i="4" s="1"/>
  <c r="I145" i="28"/>
  <c r="K145" i="28"/>
  <c r="AE145" i="4"/>
  <c r="L142" i="29"/>
  <c r="M142" i="29" s="1"/>
  <c r="J142" i="29"/>
  <c r="E144" i="29"/>
  <c r="G144" i="29" s="1"/>
  <c r="H144" i="29" s="1"/>
  <c r="K144" i="29"/>
  <c r="I144" i="29"/>
  <c r="M146" i="28"/>
  <c r="E146" i="28"/>
  <c r="N146" i="28"/>
  <c r="P146" i="28"/>
  <c r="O146" i="28"/>
  <c r="U145" i="28"/>
  <c r="J145" i="28"/>
  <c r="Q144" i="28"/>
  <c r="R144" i="28" s="1"/>
  <c r="T144" i="28" s="1"/>
  <c r="L144" i="28"/>
  <c r="V144" i="28"/>
  <c r="AK146" i="4"/>
  <c r="H146" i="4"/>
  <c r="AG146" i="4"/>
  <c r="J146" i="4"/>
  <c r="AO146" i="4" s="1"/>
  <c r="AB146" i="4"/>
  <c r="K146" i="4"/>
  <c r="X146" i="4" s="1"/>
  <c r="E146" i="4"/>
  <c r="V146" i="4" s="1"/>
  <c r="AJ146" i="4"/>
  <c r="I146" i="4"/>
  <c r="M146" i="4"/>
  <c r="Z146" i="4" s="1"/>
  <c r="AH146" i="4"/>
  <c r="AI146" i="4"/>
  <c r="G146" i="4"/>
  <c r="L146" i="4"/>
  <c r="Y146" i="4" s="1"/>
  <c r="AL146" i="4"/>
  <c r="AC145" i="4"/>
  <c r="T146" i="29"/>
  <c r="B145" i="29"/>
  <c r="B147" i="28"/>
  <c r="F147" i="28" s="1"/>
  <c r="Y148" i="28"/>
  <c r="AU148" i="4"/>
  <c r="B147" i="4"/>
  <c r="W146" i="28" l="1"/>
  <c r="AD145" i="4"/>
  <c r="W146" i="4"/>
  <c r="AP146" i="4" s="1"/>
  <c r="AM144" i="4"/>
  <c r="AN144" i="4" s="1"/>
  <c r="I146" i="28"/>
  <c r="K146" i="28"/>
  <c r="AE146" i="4"/>
  <c r="Y149" i="28"/>
  <c r="B148" i="28"/>
  <c r="F148" i="28" s="1"/>
  <c r="AC146" i="4"/>
  <c r="Q145" i="28"/>
  <c r="R145" i="28" s="1"/>
  <c r="T145" i="28" s="1"/>
  <c r="L145" i="28"/>
  <c r="N147" i="28"/>
  <c r="O147" i="28"/>
  <c r="P147" i="28"/>
  <c r="M147" i="28"/>
  <c r="E147" i="28"/>
  <c r="AK147" i="4"/>
  <c r="AG147" i="4"/>
  <c r="AH147" i="4"/>
  <c r="K147" i="4"/>
  <c r="X147" i="4" s="1"/>
  <c r="AI147" i="4"/>
  <c r="AB147" i="4"/>
  <c r="L147" i="4"/>
  <c r="Y147" i="4" s="1"/>
  <c r="J147" i="4"/>
  <c r="AO147" i="4" s="1"/>
  <c r="G147" i="4"/>
  <c r="H147" i="4"/>
  <c r="I147" i="4"/>
  <c r="AL147" i="4"/>
  <c r="M147" i="4"/>
  <c r="Z147" i="4" s="1"/>
  <c r="E147" i="4"/>
  <c r="V147" i="4" s="1"/>
  <c r="AJ147" i="4"/>
  <c r="E145" i="29"/>
  <c r="G145" i="29" s="1"/>
  <c r="H145" i="29" s="1"/>
  <c r="K145" i="29"/>
  <c r="I145" i="29"/>
  <c r="J143" i="29"/>
  <c r="L143" i="29"/>
  <c r="M143" i="29" s="1"/>
  <c r="AU149" i="4"/>
  <c r="B148" i="4"/>
  <c r="B146" i="29"/>
  <c r="T147" i="29"/>
  <c r="V145" i="28"/>
  <c r="J146" i="28"/>
  <c r="U146" i="28"/>
  <c r="W147" i="28" l="1"/>
  <c r="AD146" i="4"/>
  <c r="AF146" i="4" s="1"/>
  <c r="W147" i="4"/>
  <c r="AP147" i="4" s="1"/>
  <c r="I147" i="28"/>
  <c r="K147" i="28"/>
  <c r="V146" i="28"/>
  <c r="AK148" i="4"/>
  <c r="AG148" i="4"/>
  <c r="AB148" i="4"/>
  <c r="L148" i="4"/>
  <c r="Y148" i="4" s="1"/>
  <c r="AI148" i="4"/>
  <c r="G148" i="4"/>
  <c r="H148" i="4"/>
  <c r="I148" i="4"/>
  <c r="J148" i="4"/>
  <c r="AO148" i="4" s="1"/>
  <c r="AL148" i="4"/>
  <c r="AH148" i="4"/>
  <c r="AJ148" i="4"/>
  <c r="M148" i="4"/>
  <c r="Z148" i="4" s="1"/>
  <c r="E148" i="4"/>
  <c r="V148" i="4" s="1"/>
  <c r="K148" i="4"/>
  <c r="X148" i="4" s="1"/>
  <c r="M231" i="7"/>
  <c r="B149" i="4"/>
  <c r="AU150" i="4"/>
  <c r="T148" i="29"/>
  <c r="B147" i="29"/>
  <c r="J144" i="29"/>
  <c r="L144" i="29"/>
  <c r="M144" i="29" s="1"/>
  <c r="AM145" i="4"/>
  <c r="AN145" i="4" s="1"/>
  <c r="AF145" i="4"/>
  <c r="Q146" i="28"/>
  <c r="R146" i="28" s="1"/>
  <c r="T146" i="28" s="1"/>
  <c r="L146" i="28"/>
  <c r="E146" i="29"/>
  <c r="G146" i="29" s="1"/>
  <c r="H146" i="29" s="1"/>
  <c r="I146" i="29"/>
  <c r="K146" i="29"/>
  <c r="AE147" i="4"/>
  <c r="AC147" i="4"/>
  <c r="J147" i="28"/>
  <c r="U147" i="28"/>
  <c r="N148" i="28"/>
  <c r="E148" i="28"/>
  <c r="O148" i="28"/>
  <c r="P148" i="28"/>
  <c r="M148" i="28"/>
  <c r="B149" i="28"/>
  <c r="F149" i="28" s="1"/>
  <c r="Y150" i="28"/>
  <c r="W148" i="28" l="1"/>
  <c r="AM146" i="4"/>
  <c r="AN146" i="4" s="1"/>
  <c r="V147" i="28"/>
  <c r="AD147" i="4"/>
  <c r="W148" i="4"/>
  <c r="AP148" i="4" s="1"/>
  <c r="I148" i="28"/>
  <c r="K148" i="28"/>
  <c r="AE148" i="4"/>
  <c r="E147" i="29"/>
  <c r="G147" i="29" s="1"/>
  <c r="H147" i="29" s="1"/>
  <c r="K147" i="29"/>
  <c r="I147" i="29"/>
  <c r="B150" i="4"/>
  <c r="AU151" i="4"/>
  <c r="B150" i="28"/>
  <c r="F150" i="28" s="1"/>
  <c r="Y151" i="28"/>
  <c r="M149" i="28"/>
  <c r="N149" i="28"/>
  <c r="P149" i="28"/>
  <c r="E149" i="28"/>
  <c r="O149" i="28"/>
  <c r="J145" i="29"/>
  <c r="L145" i="29"/>
  <c r="M145" i="29" s="1"/>
  <c r="T149" i="29"/>
  <c r="B148" i="29"/>
  <c r="AK149" i="4"/>
  <c r="AH149" i="4"/>
  <c r="E149" i="4"/>
  <c r="V149" i="4" s="1"/>
  <c r="AJ149" i="4"/>
  <c r="L149" i="4"/>
  <c r="Y149" i="4" s="1"/>
  <c r="AI149" i="4"/>
  <c r="M149" i="4"/>
  <c r="Z149" i="4" s="1"/>
  <c r="H149" i="4"/>
  <c r="J149" i="4"/>
  <c r="AO149" i="4" s="1"/>
  <c r="AB149" i="4"/>
  <c r="AL149" i="4"/>
  <c r="K149" i="4"/>
  <c r="X149" i="4" s="1"/>
  <c r="AG149" i="4"/>
  <c r="I149" i="4"/>
  <c r="G149" i="4"/>
  <c r="AC148" i="4"/>
  <c r="L147" i="28"/>
  <c r="Q147" i="28"/>
  <c r="R147" i="28" s="1"/>
  <c r="T147" i="28" s="1"/>
  <c r="J148" i="28"/>
  <c r="U148" i="28"/>
  <c r="I149" i="28" l="1"/>
  <c r="W149" i="28"/>
  <c r="W149" i="4"/>
  <c r="AP149" i="4" s="1"/>
  <c r="AD148" i="4"/>
  <c r="AF147" i="4"/>
  <c r="AM147" i="4"/>
  <c r="AN147" i="4" s="1"/>
  <c r="K149" i="28"/>
  <c r="M232" i="7"/>
  <c r="M233" i="7" s="1"/>
  <c r="M221" i="7" s="1"/>
  <c r="J147" i="29"/>
  <c r="AE149" i="4"/>
  <c r="B149" i="29"/>
  <c r="T150" i="29"/>
  <c r="M150" i="28"/>
  <c r="N150" i="28"/>
  <c r="P150" i="28"/>
  <c r="E150" i="28"/>
  <c r="O150" i="28"/>
  <c r="L146" i="29"/>
  <c r="M146" i="29" s="1"/>
  <c r="J146" i="29"/>
  <c r="B151" i="4"/>
  <c r="AU152" i="4"/>
  <c r="AK150" i="4"/>
  <c r="L150" i="4"/>
  <c r="Y150" i="4" s="1"/>
  <c r="E150" i="4"/>
  <c r="V150" i="4" s="1"/>
  <c r="M150" i="4"/>
  <c r="Z150" i="4" s="1"/>
  <c r="AG150" i="4"/>
  <c r="J150" i="4"/>
  <c r="AO150" i="4" s="1"/>
  <c r="K150" i="4"/>
  <c r="X150" i="4" s="1"/>
  <c r="AJ150" i="4"/>
  <c r="AH150" i="4"/>
  <c r="AB150" i="4"/>
  <c r="I150" i="4"/>
  <c r="H150" i="4"/>
  <c r="AI150" i="4"/>
  <c r="AL150" i="4"/>
  <c r="G150" i="4"/>
  <c r="L147" i="29"/>
  <c r="M147" i="29" s="1"/>
  <c r="L148" i="28"/>
  <c r="Q148" i="28"/>
  <c r="R148" i="28" s="1"/>
  <c r="T148" i="28" s="1"/>
  <c r="AC149" i="4"/>
  <c r="I148" i="29"/>
  <c r="K148" i="29"/>
  <c r="E148" i="29"/>
  <c r="G148" i="29" s="1"/>
  <c r="H148" i="29" s="1"/>
  <c r="J149" i="28"/>
  <c r="Q149" i="28" s="1"/>
  <c r="R149" i="28" s="1"/>
  <c r="T149" i="28" s="1"/>
  <c r="U149" i="28"/>
  <c r="Y152" i="28"/>
  <c r="B151" i="28"/>
  <c r="F151" i="28" s="1"/>
  <c r="V148" i="28"/>
  <c r="W150" i="28" l="1"/>
  <c r="AD149" i="4"/>
  <c r="W150" i="4"/>
  <c r="AP150" i="4" s="1"/>
  <c r="AF148" i="4"/>
  <c r="I150" i="28"/>
  <c r="AM148" i="4"/>
  <c r="AN148" i="4" s="1"/>
  <c r="AM149" i="4"/>
  <c r="AN149" i="4" s="1"/>
  <c r="K150" i="28"/>
  <c r="V149" i="28"/>
  <c r="M76" i="7"/>
  <c r="M78" i="7" s="1"/>
  <c r="M80" i="7" s="1"/>
  <c r="M82" i="7" s="1"/>
  <c r="K145" i="7" s="1"/>
  <c r="AU153" i="4"/>
  <c r="B152" i="4"/>
  <c r="B150" i="29"/>
  <c r="T151" i="29"/>
  <c r="M151" i="28"/>
  <c r="N151" i="28"/>
  <c r="O151" i="28"/>
  <c r="P151" i="28"/>
  <c r="E151" i="28"/>
  <c r="L149" i="28"/>
  <c r="Y153" i="28"/>
  <c r="B152" i="28"/>
  <c r="F152" i="28" s="1"/>
  <c r="AC150" i="4"/>
  <c r="AK151" i="4"/>
  <c r="E151" i="4"/>
  <c r="V151" i="4" s="1"/>
  <c r="AG151" i="4"/>
  <c r="L151" i="4"/>
  <c r="Y151" i="4" s="1"/>
  <c r="M151" i="4"/>
  <c r="Z151" i="4" s="1"/>
  <c r="AB151" i="4"/>
  <c r="I151" i="4"/>
  <c r="K151" i="4"/>
  <c r="X151" i="4" s="1"/>
  <c r="H151" i="4"/>
  <c r="J151" i="4"/>
  <c r="AO151" i="4" s="1"/>
  <c r="AL151" i="4"/>
  <c r="AH151" i="4"/>
  <c r="AJ151" i="4"/>
  <c r="G151" i="4"/>
  <c r="AI151" i="4"/>
  <c r="J150" i="28"/>
  <c r="U150" i="28"/>
  <c r="E149" i="29"/>
  <c r="G149" i="29" s="1"/>
  <c r="H149" i="29" s="1"/>
  <c r="I149" i="29"/>
  <c r="K149" i="29"/>
  <c r="AE150" i="4"/>
  <c r="W151" i="28" l="1"/>
  <c r="W151" i="4"/>
  <c r="AP151" i="4" s="1"/>
  <c r="AD150" i="4"/>
  <c r="H79" i="7"/>
  <c r="I79" i="7" s="1"/>
  <c r="H138" i="7"/>
  <c r="I138" i="7" s="1"/>
  <c r="H103" i="7"/>
  <c r="I103" i="7" s="1"/>
  <c r="H96" i="7"/>
  <c r="I96" i="7" s="1"/>
  <c r="H113" i="7"/>
  <c r="I113" i="7" s="1"/>
  <c r="H104" i="7"/>
  <c r="I104" i="7" s="1"/>
  <c r="K135" i="7"/>
  <c r="K80" i="7"/>
  <c r="K108" i="7"/>
  <c r="K77" i="7"/>
  <c r="H107" i="7"/>
  <c r="I107" i="7" s="1"/>
  <c r="H100" i="7"/>
  <c r="I100" i="7" s="1"/>
  <c r="H117" i="7"/>
  <c r="I117" i="7" s="1"/>
  <c r="H108" i="7"/>
  <c r="I108" i="7" s="1"/>
  <c r="K146" i="7"/>
  <c r="K86" i="7"/>
  <c r="K119" i="7"/>
  <c r="K81" i="7"/>
  <c r="H139" i="7"/>
  <c r="I139" i="7" s="1"/>
  <c r="H80" i="7"/>
  <c r="I80" i="7" s="1"/>
  <c r="H136" i="7"/>
  <c r="I136" i="7" s="1"/>
  <c r="K95" i="7"/>
  <c r="K128" i="7"/>
  <c r="K131" i="7"/>
  <c r="H93" i="7"/>
  <c r="I93" i="7" s="1"/>
  <c r="H135" i="7"/>
  <c r="I135" i="7" s="1"/>
  <c r="H134" i="7"/>
  <c r="I134" i="7" s="1"/>
  <c r="H143" i="7"/>
  <c r="I143" i="7" s="1"/>
  <c r="H132" i="7"/>
  <c r="I132" i="7" s="1"/>
  <c r="K84" i="7"/>
  <c r="K123" i="7"/>
  <c r="K120" i="7"/>
  <c r="K113" i="7"/>
  <c r="K109" i="7"/>
  <c r="H83" i="7"/>
  <c r="I83" i="7" s="1"/>
  <c r="H81" i="7"/>
  <c r="I81" i="7" s="1"/>
  <c r="H119" i="7"/>
  <c r="I119" i="7" s="1"/>
  <c r="H78" i="7"/>
  <c r="I78" i="7" s="1"/>
  <c r="H116" i="7"/>
  <c r="I116" i="7" s="1"/>
  <c r="H146" i="7"/>
  <c r="I146" i="7" s="1"/>
  <c r="H129" i="7"/>
  <c r="I129" i="7" s="1"/>
  <c r="H90" i="7"/>
  <c r="I90" i="7" s="1"/>
  <c r="H118" i="7"/>
  <c r="I118" i="7" s="1"/>
  <c r="K92" i="7"/>
  <c r="K104" i="7"/>
  <c r="K116" i="7"/>
  <c r="K102" i="7"/>
  <c r="K144" i="7"/>
  <c r="K78" i="7"/>
  <c r="K90" i="7"/>
  <c r="K93" i="7"/>
  <c r="K137" i="7"/>
  <c r="H91" i="7"/>
  <c r="I91" i="7" s="1"/>
  <c r="H89" i="7"/>
  <c r="I89" i="7" s="1"/>
  <c r="H123" i="7"/>
  <c r="I123" i="7" s="1"/>
  <c r="H82" i="7"/>
  <c r="I82" i="7" s="1"/>
  <c r="H120" i="7"/>
  <c r="I120" i="7" s="1"/>
  <c r="H101" i="7"/>
  <c r="I101" i="7" s="1"/>
  <c r="H133" i="7"/>
  <c r="I133" i="7" s="1"/>
  <c r="H94" i="7"/>
  <c r="I94" i="7" s="1"/>
  <c r="H122" i="7"/>
  <c r="I122" i="7" s="1"/>
  <c r="K103" i="7"/>
  <c r="K115" i="7"/>
  <c r="K127" i="7"/>
  <c r="K107" i="7"/>
  <c r="K76" i="7"/>
  <c r="K88" i="7"/>
  <c r="K106" i="7"/>
  <c r="K97" i="7"/>
  <c r="K141" i="7"/>
  <c r="AF149" i="4"/>
  <c r="H77" i="7"/>
  <c r="I77" i="7" s="1"/>
  <c r="H87" i="7"/>
  <c r="I87" i="7" s="1"/>
  <c r="H97" i="7"/>
  <c r="I97" i="7" s="1"/>
  <c r="H111" i="7"/>
  <c r="I111" i="7" s="1"/>
  <c r="H127" i="7"/>
  <c r="I127" i="7" s="1"/>
  <c r="H145" i="7"/>
  <c r="I145" i="7" s="1"/>
  <c r="H86" i="7"/>
  <c r="I86" i="7" s="1"/>
  <c r="H106" i="7"/>
  <c r="I106" i="7" s="1"/>
  <c r="H126" i="7"/>
  <c r="I126" i="7" s="1"/>
  <c r="H140" i="7"/>
  <c r="I140" i="7" s="1"/>
  <c r="H105" i="7"/>
  <c r="I105" i="7" s="1"/>
  <c r="H121" i="7"/>
  <c r="I121" i="7" s="1"/>
  <c r="H137" i="7"/>
  <c r="I137" i="7" s="1"/>
  <c r="H84" i="7"/>
  <c r="I84" i="7" s="1"/>
  <c r="H98" i="7"/>
  <c r="I98" i="7" s="1"/>
  <c r="H112" i="7"/>
  <c r="I112" i="7" s="1"/>
  <c r="H124" i="7"/>
  <c r="I124" i="7" s="1"/>
  <c r="H144" i="7"/>
  <c r="I144" i="7" s="1"/>
  <c r="K114" i="7"/>
  <c r="K83" i="7"/>
  <c r="K126" i="7"/>
  <c r="K100" i="7"/>
  <c r="K132" i="7"/>
  <c r="K91" i="7"/>
  <c r="K112" i="7"/>
  <c r="K134" i="7"/>
  <c r="K87" i="7"/>
  <c r="K130" i="7"/>
  <c r="K99" i="7"/>
  <c r="K142" i="7"/>
  <c r="K122" i="7"/>
  <c r="K85" i="7"/>
  <c r="K101" i="7"/>
  <c r="K121" i="7"/>
  <c r="H85" i="7"/>
  <c r="I85" i="7" s="1"/>
  <c r="H95" i="7"/>
  <c r="I95" i="7" s="1"/>
  <c r="H99" i="7"/>
  <c r="I99" i="7" s="1"/>
  <c r="H115" i="7"/>
  <c r="I115" i="7" s="1"/>
  <c r="H131" i="7"/>
  <c r="I131" i="7" s="1"/>
  <c r="H76" i="7"/>
  <c r="I76" i="7" s="1"/>
  <c r="H92" i="7"/>
  <c r="I92" i="7" s="1"/>
  <c r="H110" i="7"/>
  <c r="I110" i="7" s="1"/>
  <c r="H130" i="7"/>
  <c r="I130" i="7" s="1"/>
  <c r="H142" i="7"/>
  <c r="I142" i="7" s="1"/>
  <c r="H109" i="7"/>
  <c r="I109" i="7" s="1"/>
  <c r="H125" i="7"/>
  <c r="I125" i="7" s="1"/>
  <c r="H141" i="7"/>
  <c r="I141" i="7" s="1"/>
  <c r="H88" i="7"/>
  <c r="I88" i="7" s="1"/>
  <c r="H102" i="7"/>
  <c r="I102" i="7" s="1"/>
  <c r="H114" i="7"/>
  <c r="I114" i="7" s="1"/>
  <c r="H128" i="7"/>
  <c r="I128" i="7" s="1"/>
  <c r="K82" i="7"/>
  <c r="K124" i="7"/>
  <c r="K94" i="7"/>
  <c r="K136" i="7"/>
  <c r="K111" i="7"/>
  <c r="K138" i="7"/>
  <c r="K96" i="7"/>
  <c r="K118" i="7"/>
  <c r="K139" i="7"/>
  <c r="K98" i="7"/>
  <c r="K140" i="7"/>
  <c r="K110" i="7"/>
  <c r="K79" i="7"/>
  <c r="K143" i="7"/>
  <c r="K89" i="7"/>
  <c r="K105" i="7"/>
  <c r="K125" i="7"/>
  <c r="I151" i="28"/>
  <c r="K151" i="28"/>
  <c r="AC151" i="4"/>
  <c r="K117" i="7"/>
  <c r="K133" i="7"/>
  <c r="K129" i="7"/>
  <c r="V150" i="28"/>
  <c r="Q150" i="28"/>
  <c r="R150" i="28" s="1"/>
  <c r="T150" i="28" s="1"/>
  <c r="L150" i="28"/>
  <c r="P152" i="28"/>
  <c r="M152" i="28"/>
  <c r="E152" i="28"/>
  <c r="N152" i="28"/>
  <c r="O152" i="28"/>
  <c r="AK152" i="4"/>
  <c r="L152" i="4"/>
  <c r="Y152" i="4" s="1"/>
  <c r="I152" i="4"/>
  <c r="AG152" i="4"/>
  <c r="AJ152" i="4"/>
  <c r="E152" i="4"/>
  <c r="V152" i="4" s="1"/>
  <c r="H152" i="4"/>
  <c r="M152" i="4"/>
  <c r="Z152" i="4" s="1"/>
  <c r="G152" i="4"/>
  <c r="AB152" i="4"/>
  <c r="J152" i="4"/>
  <c r="AO152" i="4" s="1"/>
  <c r="AI152" i="4"/>
  <c r="K152" i="4"/>
  <c r="X152" i="4" s="1"/>
  <c r="AL152" i="4"/>
  <c r="AH152" i="4"/>
  <c r="AF150" i="4"/>
  <c r="AM150" i="4"/>
  <c r="AN150" i="4" s="1"/>
  <c r="Y154" i="28"/>
  <c r="B153" i="28"/>
  <c r="F153" i="28" s="1"/>
  <c r="B153" i="4"/>
  <c r="AU154" i="4"/>
  <c r="AE151" i="4"/>
  <c r="B151" i="29"/>
  <c r="T152" i="29"/>
  <c r="L148" i="29"/>
  <c r="M148" i="29" s="1"/>
  <c r="J148" i="29"/>
  <c r="J151" i="28"/>
  <c r="U151" i="28"/>
  <c r="V151" i="28" s="1"/>
  <c r="E150" i="29"/>
  <c r="G150" i="29" s="1"/>
  <c r="H150" i="29" s="1"/>
  <c r="I150" i="29"/>
  <c r="K150" i="29"/>
  <c r="W152" i="28" l="1"/>
  <c r="AD151" i="4"/>
  <c r="AF151" i="4" s="1"/>
  <c r="W152" i="4"/>
  <c r="AP152" i="4" s="1"/>
  <c r="I152" i="28"/>
  <c r="K152" i="28"/>
  <c r="AC152" i="4"/>
  <c r="I151" i="29"/>
  <c r="E151" i="29"/>
  <c r="G151" i="29" s="1"/>
  <c r="H151" i="29" s="1"/>
  <c r="K151" i="29"/>
  <c r="O153" i="28"/>
  <c r="E153" i="28"/>
  <c r="W153" i="28" s="1"/>
  <c r="N153" i="28"/>
  <c r="M153" i="28"/>
  <c r="P153" i="28"/>
  <c r="AM151" i="4"/>
  <c r="AN151" i="4" s="1"/>
  <c r="B154" i="28"/>
  <c r="F154" i="28" s="1"/>
  <c r="Y155" i="28"/>
  <c r="AE152" i="4"/>
  <c r="U152" i="28"/>
  <c r="J152" i="28"/>
  <c r="L151" i="28"/>
  <c r="Q151" i="28"/>
  <c r="R151" i="28" s="1"/>
  <c r="T151" i="28" s="1"/>
  <c r="L149" i="29"/>
  <c r="M149" i="29" s="1"/>
  <c r="J149" i="29"/>
  <c r="AU155" i="4"/>
  <c r="B154" i="4"/>
  <c r="T153" i="29"/>
  <c r="B152" i="29"/>
  <c r="AK153" i="4"/>
  <c r="M153" i="4"/>
  <c r="Z153" i="4" s="1"/>
  <c r="I153" i="4"/>
  <c r="K153" i="4"/>
  <c r="X153" i="4" s="1"/>
  <c r="E153" i="4"/>
  <c r="V153" i="4" s="1"/>
  <c r="AH153" i="4"/>
  <c r="J153" i="4"/>
  <c r="AO153" i="4" s="1"/>
  <c r="AI153" i="4"/>
  <c r="AL153" i="4"/>
  <c r="L153" i="4"/>
  <c r="Y153" i="4" s="1"/>
  <c r="AB153" i="4"/>
  <c r="AG153" i="4"/>
  <c r="AJ153" i="4"/>
  <c r="G153" i="4"/>
  <c r="H153" i="4"/>
  <c r="K153" i="28" l="1"/>
  <c r="W153" i="4"/>
  <c r="AP153" i="4" s="1"/>
  <c r="AD152" i="4"/>
  <c r="AF152" i="4" s="1"/>
  <c r="I153" i="28"/>
  <c r="V152" i="28"/>
  <c r="T154" i="29"/>
  <c r="B153" i="29"/>
  <c r="L152" i="28"/>
  <c r="Q152" i="28"/>
  <c r="R152" i="28" s="1"/>
  <c r="T152" i="28" s="1"/>
  <c r="Y156" i="28"/>
  <c r="B155" i="28"/>
  <c r="F155" i="28" s="1"/>
  <c r="AK154" i="4"/>
  <c r="AB154" i="4"/>
  <c r="AI154" i="4"/>
  <c r="E154" i="4"/>
  <c r="V154" i="4" s="1"/>
  <c r="L154" i="4"/>
  <c r="Y154" i="4" s="1"/>
  <c r="I154" i="4"/>
  <c r="AH154" i="4"/>
  <c r="M154" i="4"/>
  <c r="Z154" i="4" s="1"/>
  <c r="G154" i="4"/>
  <c r="J154" i="4"/>
  <c r="AO154" i="4" s="1"/>
  <c r="H154" i="4"/>
  <c r="K154" i="4"/>
  <c r="X154" i="4" s="1"/>
  <c r="AJ154" i="4"/>
  <c r="AL154" i="4"/>
  <c r="AG154" i="4"/>
  <c r="O154" i="28"/>
  <c r="P154" i="28"/>
  <c r="N154" i="28"/>
  <c r="M154" i="28"/>
  <c r="E154" i="28"/>
  <c r="W154" i="28" s="1"/>
  <c r="J153" i="28"/>
  <c r="U153" i="28"/>
  <c r="L151" i="29"/>
  <c r="M151" i="29" s="1"/>
  <c r="J151" i="29"/>
  <c r="AE153" i="4"/>
  <c r="AU156" i="4"/>
  <c r="B155" i="4"/>
  <c r="AM152" i="4"/>
  <c r="AN152" i="4" s="1"/>
  <c r="AC153" i="4"/>
  <c r="E152" i="29"/>
  <c r="G152" i="29" s="1"/>
  <c r="H152" i="29" s="1"/>
  <c r="K152" i="29"/>
  <c r="I152" i="29"/>
  <c r="J150" i="29"/>
  <c r="L150" i="29"/>
  <c r="M150" i="29" s="1"/>
  <c r="AD153" i="4" l="1"/>
  <c r="AF153" i="4" s="1"/>
  <c r="W154" i="4"/>
  <c r="AP154" i="4" s="1"/>
  <c r="I154" i="28"/>
  <c r="K154" i="28"/>
  <c r="V153" i="28"/>
  <c r="Q153" i="28"/>
  <c r="R153" i="28" s="1"/>
  <c r="T153" i="28" s="1"/>
  <c r="L153" i="28"/>
  <c r="B156" i="4"/>
  <c r="AU157" i="4"/>
  <c r="AC154" i="4"/>
  <c r="M155" i="28"/>
  <c r="E155" i="28"/>
  <c r="P155" i="28"/>
  <c r="N155" i="28"/>
  <c r="O155" i="28"/>
  <c r="K153" i="29"/>
  <c r="I153" i="29"/>
  <c r="E153" i="29"/>
  <c r="G153" i="29" s="1"/>
  <c r="H153" i="29" s="1"/>
  <c r="AK155" i="4"/>
  <c r="AL155" i="4"/>
  <c r="AJ155" i="4"/>
  <c r="L155" i="4"/>
  <c r="Y155" i="4" s="1"/>
  <c r="K155" i="4"/>
  <c r="X155" i="4" s="1"/>
  <c r="AB155" i="4"/>
  <c r="AH155" i="4"/>
  <c r="AI155" i="4"/>
  <c r="AG155" i="4"/>
  <c r="J155" i="4"/>
  <c r="AO155" i="4" s="1"/>
  <c r="E155" i="4"/>
  <c r="V155" i="4" s="1"/>
  <c r="H155" i="4"/>
  <c r="G155" i="4"/>
  <c r="I155" i="4"/>
  <c r="M155" i="4"/>
  <c r="Z155" i="4" s="1"/>
  <c r="J154" i="28"/>
  <c r="U154" i="28"/>
  <c r="V154" i="28" s="1"/>
  <c r="AE154" i="4"/>
  <c r="B156" i="28"/>
  <c r="F156" i="28" s="1"/>
  <c r="Y157" i="28"/>
  <c r="B154" i="29"/>
  <c r="T155" i="29"/>
  <c r="W155" i="28" l="1"/>
  <c r="AM153" i="4"/>
  <c r="AN153" i="4" s="1"/>
  <c r="W155" i="4"/>
  <c r="AP155" i="4" s="1"/>
  <c r="AD154" i="4"/>
  <c r="AF154" i="4" s="1"/>
  <c r="I155" i="28"/>
  <c r="K155" i="28"/>
  <c r="B155" i="29"/>
  <c r="T156" i="29"/>
  <c r="I154" i="29"/>
  <c r="K154" i="29"/>
  <c r="E154" i="29"/>
  <c r="G154" i="29" s="1"/>
  <c r="H154" i="29" s="1"/>
  <c r="Y158" i="28"/>
  <c r="B157" i="28"/>
  <c r="F157" i="28" s="1"/>
  <c r="AC155" i="4"/>
  <c r="N156" i="28"/>
  <c r="P156" i="28"/>
  <c r="E156" i="28"/>
  <c r="O156" i="28"/>
  <c r="M156" i="28"/>
  <c r="L154" i="28"/>
  <c r="Q154" i="28"/>
  <c r="R154" i="28" s="1"/>
  <c r="T154" i="28" s="1"/>
  <c r="J152" i="29"/>
  <c r="L152" i="29"/>
  <c r="M152" i="29" s="1"/>
  <c r="AM154" i="4"/>
  <c r="AN154" i="4" s="1"/>
  <c r="B157" i="4"/>
  <c r="AU158" i="4"/>
  <c r="J153" i="29"/>
  <c r="L153" i="29"/>
  <c r="M153" i="29" s="1"/>
  <c r="AK156" i="4"/>
  <c r="AH156" i="4"/>
  <c r="AJ156" i="4"/>
  <c r="J156" i="4"/>
  <c r="AO156" i="4" s="1"/>
  <c r="AG156" i="4"/>
  <c r="E156" i="4"/>
  <c r="V156" i="4" s="1"/>
  <c r="L156" i="4"/>
  <c r="Y156" i="4" s="1"/>
  <c r="G156" i="4"/>
  <c r="M156" i="4"/>
  <c r="Z156" i="4" s="1"/>
  <c r="K156" i="4"/>
  <c r="X156" i="4" s="1"/>
  <c r="AL156" i="4"/>
  <c r="AI156" i="4"/>
  <c r="H156" i="4"/>
  <c r="I156" i="4"/>
  <c r="AB156" i="4"/>
  <c r="AE155" i="4"/>
  <c r="U155" i="28"/>
  <c r="J155" i="28"/>
  <c r="W156" i="28" l="1"/>
  <c r="W156" i="4"/>
  <c r="AP156" i="4" s="1"/>
  <c r="AD155" i="4"/>
  <c r="I156" i="28"/>
  <c r="K156" i="28"/>
  <c r="AE156" i="4"/>
  <c r="AK157" i="4"/>
  <c r="L157" i="4"/>
  <c r="Y157" i="4" s="1"/>
  <c r="E157" i="4"/>
  <c r="V157" i="4" s="1"/>
  <c r="AH157" i="4"/>
  <c r="K157" i="4"/>
  <c r="X157" i="4" s="1"/>
  <c r="H157" i="4"/>
  <c r="AI157" i="4"/>
  <c r="AL157" i="4"/>
  <c r="G157" i="4"/>
  <c r="AB157" i="4"/>
  <c r="AG157" i="4"/>
  <c r="J157" i="4"/>
  <c r="AO157" i="4" s="1"/>
  <c r="I157" i="4"/>
  <c r="M157" i="4"/>
  <c r="Z157" i="4" s="1"/>
  <c r="AJ157" i="4"/>
  <c r="E157" i="28"/>
  <c r="M157" i="28"/>
  <c r="N157" i="28"/>
  <c r="P157" i="28"/>
  <c r="O157" i="28"/>
  <c r="B158" i="28"/>
  <c r="F158" i="28" s="1"/>
  <c r="Y159" i="28"/>
  <c r="AC156" i="4"/>
  <c r="AM155" i="4"/>
  <c r="AN155" i="4" s="1"/>
  <c r="AF155" i="4"/>
  <c r="L154" i="29"/>
  <c r="M154" i="29" s="1"/>
  <c r="J154" i="29"/>
  <c r="B156" i="29"/>
  <c r="T157" i="29"/>
  <c r="L155" i="28"/>
  <c r="Q155" i="28"/>
  <c r="R155" i="28" s="1"/>
  <c r="T155" i="28" s="1"/>
  <c r="AU159" i="4"/>
  <c r="B158" i="4"/>
  <c r="V155" i="28"/>
  <c r="U156" i="28"/>
  <c r="J156" i="28"/>
  <c r="E155" i="29"/>
  <c r="G155" i="29" s="1"/>
  <c r="H155" i="29" s="1"/>
  <c r="K155" i="29"/>
  <c r="I155" i="29"/>
  <c r="W157" i="28" l="1"/>
  <c r="AD156" i="4"/>
  <c r="W157" i="4"/>
  <c r="AP157" i="4" s="1"/>
  <c r="I157" i="28"/>
  <c r="K157" i="28"/>
  <c r="V156" i="28"/>
  <c r="AC157" i="4"/>
  <c r="Q156" i="28"/>
  <c r="R156" i="28" s="1"/>
  <c r="T156" i="28" s="1"/>
  <c r="L156" i="28"/>
  <c r="B159" i="4"/>
  <c r="AU160" i="4"/>
  <c r="K156" i="29"/>
  <c r="E156" i="29"/>
  <c r="G156" i="29" s="1"/>
  <c r="H156" i="29" s="1"/>
  <c r="I156" i="29"/>
  <c r="N158" i="28"/>
  <c r="E158" i="28"/>
  <c r="M158" i="28"/>
  <c r="P158" i="28"/>
  <c r="O158" i="28"/>
  <c r="J157" i="28"/>
  <c r="U157" i="28"/>
  <c r="AE157" i="4"/>
  <c r="AM156" i="4"/>
  <c r="AN156" i="4" s="1"/>
  <c r="AF156" i="4"/>
  <c r="AK158" i="4"/>
  <c r="M158" i="4"/>
  <c r="Z158" i="4" s="1"/>
  <c r="AG158" i="4"/>
  <c r="K158" i="4"/>
  <c r="X158" i="4" s="1"/>
  <c r="I158" i="4"/>
  <c r="AJ158" i="4"/>
  <c r="AL158" i="4"/>
  <c r="AH158" i="4"/>
  <c r="J158" i="4"/>
  <c r="AO158" i="4" s="1"/>
  <c r="AB158" i="4"/>
  <c r="H158" i="4"/>
  <c r="G158" i="4"/>
  <c r="L158" i="4"/>
  <c r="Y158" i="4" s="1"/>
  <c r="AI158" i="4"/>
  <c r="E158" i="4"/>
  <c r="V158" i="4" s="1"/>
  <c r="B157" i="29"/>
  <c r="T158" i="29"/>
  <c r="Y160" i="28"/>
  <c r="B159" i="28"/>
  <c r="F159" i="28" s="1"/>
  <c r="W158" i="28" l="1"/>
  <c r="AD157" i="4"/>
  <c r="W158" i="4"/>
  <c r="AP158" i="4" s="1"/>
  <c r="I158" i="28"/>
  <c r="K158" i="28"/>
  <c r="V157" i="28"/>
  <c r="E159" i="28"/>
  <c r="M159" i="28"/>
  <c r="P159" i="28"/>
  <c r="N159" i="28"/>
  <c r="O159" i="28"/>
  <c r="Y161" i="28"/>
  <c r="B160" i="28"/>
  <c r="F160" i="28" s="1"/>
  <c r="B158" i="29"/>
  <c r="T159" i="29"/>
  <c r="U158" i="28"/>
  <c r="J158" i="28"/>
  <c r="AU161" i="4"/>
  <c r="B160" i="4"/>
  <c r="I157" i="29"/>
  <c r="E157" i="29"/>
  <c r="G157" i="29" s="1"/>
  <c r="H157" i="29" s="1"/>
  <c r="K157" i="29"/>
  <c r="AC158" i="4"/>
  <c r="L155" i="29"/>
  <c r="M155" i="29" s="1"/>
  <c r="J155" i="29"/>
  <c r="AK159" i="4"/>
  <c r="AG159" i="4"/>
  <c r="J159" i="4"/>
  <c r="AO159" i="4" s="1"/>
  <c r="K159" i="4"/>
  <c r="X159" i="4" s="1"/>
  <c r="AB159" i="4"/>
  <c r="E159" i="4"/>
  <c r="V159" i="4" s="1"/>
  <c r="G159" i="4"/>
  <c r="M159" i="4"/>
  <c r="Z159" i="4" s="1"/>
  <c r="L159" i="4"/>
  <c r="Y159" i="4" s="1"/>
  <c r="AJ159" i="4"/>
  <c r="H159" i="4"/>
  <c r="AL159" i="4"/>
  <c r="I159" i="4"/>
  <c r="AH159" i="4"/>
  <c r="AI159" i="4"/>
  <c r="AE158" i="4"/>
  <c r="L157" i="28"/>
  <c r="Q157" i="28"/>
  <c r="R157" i="28" s="1"/>
  <c r="T157" i="28" s="1"/>
  <c r="W159" i="28" l="1"/>
  <c r="V158" i="28"/>
  <c r="W159" i="4"/>
  <c r="AP159" i="4" s="1"/>
  <c r="AD158" i="4"/>
  <c r="AM158" i="4" s="1"/>
  <c r="AN158" i="4" s="1"/>
  <c r="I159" i="28"/>
  <c r="K159" i="28"/>
  <c r="AE159" i="4"/>
  <c r="AC159" i="4"/>
  <c r="AK160" i="4"/>
  <c r="AJ160" i="4"/>
  <c r="E160" i="4"/>
  <c r="V160" i="4" s="1"/>
  <c r="J160" i="4"/>
  <c r="AO160" i="4" s="1"/>
  <c r="L160" i="4"/>
  <c r="Y160" i="4" s="1"/>
  <c r="M160" i="4"/>
  <c r="Z160" i="4" s="1"/>
  <c r="AH160" i="4"/>
  <c r="AI160" i="4"/>
  <c r="I160" i="4"/>
  <c r="AG160" i="4"/>
  <c r="K160" i="4"/>
  <c r="X160" i="4" s="1"/>
  <c r="AB160" i="4"/>
  <c r="AL160" i="4"/>
  <c r="G160" i="4"/>
  <c r="H160" i="4"/>
  <c r="AF157" i="4"/>
  <c r="AM157" i="4"/>
  <c r="AN157" i="4" s="1"/>
  <c r="B161" i="28"/>
  <c r="F161" i="28" s="1"/>
  <c r="Y162" i="28"/>
  <c r="L156" i="29"/>
  <c r="M156" i="29" s="1"/>
  <c r="J156" i="29"/>
  <c r="B161" i="4"/>
  <c r="AU162" i="4"/>
  <c r="B159" i="29"/>
  <c r="T160" i="29"/>
  <c r="J157" i="29"/>
  <c r="L157" i="29"/>
  <c r="M157" i="29" s="1"/>
  <c r="L158" i="28"/>
  <c r="Q158" i="28"/>
  <c r="R158" i="28" s="1"/>
  <c r="T158" i="28" s="1"/>
  <c r="K158" i="29"/>
  <c r="E158" i="29"/>
  <c r="G158" i="29" s="1"/>
  <c r="H158" i="29" s="1"/>
  <c r="I158" i="29"/>
  <c r="O160" i="28"/>
  <c r="E160" i="28"/>
  <c r="N160" i="28"/>
  <c r="M160" i="28"/>
  <c r="P160" i="28"/>
  <c r="J159" i="28"/>
  <c r="U159" i="28"/>
  <c r="W160" i="28" l="1"/>
  <c r="K160" i="28"/>
  <c r="AD159" i="4"/>
  <c r="W160" i="4"/>
  <c r="AP160" i="4" s="1"/>
  <c r="AF158" i="4"/>
  <c r="I160" i="28"/>
  <c r="AC160" i="4"/>
  <c r="V159" i="28"/>
  <c r="L158" i="29"/>
  <c r="M158" i="29" s="1"/>
  <c r="AE160" i="4"/>
  <c r="E159" i="29"/>
  <c r="G159" i="29" s="1"/>
  <c r="H159" i="29" s="1"/>
  <c r="K159" i="29"/>
  <c r="I159" i="29"/>
  <c r="Q159" i="28"/>
  <c r="R159" i="28" s="1"/>
  <c r="T159" i="28" s="1"/>
  <c r="L159" i="28"/>
  <c r="AF159" i="4"/>
  <c r="AM159" i="4"/>
  <c r="AN159" i="4" s="1"/>
  <c r="B162" i="4"/>
  <c r="AU163" i="4"/>
  <c r="B162" i="28"/>
  <c r="F162" i="28" s="1"/>
  <c r="Y163" i="28"/>
  <c r="AK161" i="4"/>
  <c r="AB161" i="4"/>
  <c r="AH161" i="4"/>
  <c r="AG161" i="4"/>
  <c r="H161" i="4"/>
  <c r="L161" i="4"/>
  <c r="Y161" i="4" s="1"/>
  <c r="AJ161" i="4"/>
  <c r="I161" i="4"/>
  <c r="E161" i="4"/>
  <c r="V161" i="4" s="1"/>
  <c r="M161" i="4"/>
  <c r="Z161" i="4" s="1"/>
  <c r="G161" i="4"/>
  <c r="AL161" i="4"/>
  <c r="K161" i="4"/>
  <c r="X161" i="4" s="1"/>
  <c r="J161" i="4"/>
  <c r="AO161" i="4" s="1"/>
  <c r="AI161" i="4"/>
  <c r="P161" i="28"/>
  <c r="M161" i="28"/>
  <c r="E161" i="28"/>
  <c r="O161" i="28"/>
  <c r="N161" i="28"/>
  <c r="J160" i="28"/>
  <c r="U160" i="28"/>
  <c r="B160" i="29"/>
  <c r="T161" i="29"/>
  <c r="V160" i="28" l="1"/>
  <c r="W161" i="28"/>
  <c r="AD160" i="4"/>
  <c r="AF160" i="4" s="1"/>
  <c r="W161" i="4"/>
  <c r="AP161" i="4" s="1"/>
  <c r="I161" i="28"/>
  <c r="J161" i="28" s="1"/>
  <c r="K161" i="28"/>
  <c r="J159" i="29"/>
  <c r="J158" i="29"/>
  <c r="AC161" i="4"/>
  <c r="U161" i="28"/>
  <c r="N162" i="28"/>
  <c r="M162" i="28"/>
  <c r="E162" i="28"/>
  <c r="O162" i="28"/>
  <c r="P162" i="28"/>
  <c r="V161" i="28"/>
  <c r="B163" i="4"/>
  <c r="AU164" i="4"/>
  <c r="AE161" i="4"/>
  <c r="AK162" i="4"/>
  <c r="AH162" i="4"/>
  <c r="H162" i="4"/>
  <c r="L162" i="4"/>
  <c r="Y162" i="4" s="1"/>
  <c r="J162" i="4"/>
  <c r="AO162" i="4" s="1"/>
  <c r="AB162" i="4"/>
  <c r="M162" i="4"/>
  <c r="Z162" i="4" s="1"/>
  <c r="AI162" i="4"/>
  <c r="AG162" i="4"/>
  <c r="AJ162" i="4"/>
  <c r="G162" i="4"/>
  <c r="I162" i="4"/>
  <c r="AL162" i="4"/>
  <c r="K162" i="4"/>
  <c r="X162" i="4" s="1"/>
  <c r="E162" i="4"/>
  <c r="V162" i="4" s="1"/>
  <c r="L160" i="28"/>
  <c r="Q160" i="28"/>
  <c r="R160" i="28" s="1"/>
  <c r="T160" i="28" s="1"/>
  <c r="T162" i="29"/>
  <c r="B161" i="29"/>
  <c r="I160" i="29"/>
  <c r="K160" i="29"/>
  <c r="E160" i="29"/>
  <c r="G160" i="29" s="1"/>
  <c r="H160" i="29" s="1"/>
  <c r="B163" i="28"/>
  <c r="F163" i="28" s="1"/>
  <c r="Y164" i="28"/>
  <c r="W162" i="28" l="1"/>
  <c r="K162" i="28"/>
  <c r="AD161" i="4"/>
  <c r="AM161" i="4" s="1"/>
  <c r="AN161" i="4" s="1"/>
  <c r="L159" i="29"/>
  <c r="M159" i="29" s="1"/>
  <c r="W162" i="4"/>
  <c r="AP162" i="4" s="1"/>
  <c r="AM160" i="4"/>
  <c r="AN160" i="4" s="1"/>
  <c r="I162" i="28"/>
  <c r="AE162" i="4"/>
  <c r="J160" i="29"/>
  <c r="I161" i="29"/>
  <c r="K161" i="29"/>
  <c r="E161" i="29"/>
  <c r="G161" i="29" s="1"/>
  <c r="H161" i="29" s="1"/>
  <c r="B162" i="29"/>
  <c r="T163" i="29"/>
  <c r="AC162" i="4"/>
  <c r="AK163" i="4"/>
  <c r="AB163" i="4"/>
  <c r="M163" i="4"/>
  <c r="Z163" i="4" s="1"/>
  <c r="AH163" i="4"/>
  <c r="K163" i="4"/>
  <c r="X163" i="4" s="1"/>
  <c r="H163" i="4"/>
  <c r="G163" i="4"/>
  <c r="J163" i="4"/>
  <c r="AO163" i="4" s="1"/>
  <c r="AG163" i="4"/>
  <c r="AJ163" i="4"/>
  <c r="AI163" i="4"/>
  <c r="I163" i="4"/>
  <c r="L163" i="4"/>
  <c r="Y163" i="4" s="1"/>
  <c r="E163" i="4"/>
  <c r="V163" i="4" s="1"/>
  <c r="AL163" i="4"/>
  <c r="Y165" i="28"/>
  <c r="B164" i="28"/>
  <c r="F164" i="28" s="1"/>
  <c r="M163" i="28"/>
  <c r="P163" i="28"/>
  <c r="N163" i="28"/>
  <c r="E163" i="28"/>
  <c r="O163" i="28"/>
  <c r="U162" i="28"/>
  <c r="J162" i="28"/>
  <c r="B164" i="4"/>
  <c r="AU165" i="4"/>
  <c r="Q161" i="28"/>
  <c r="R161" i="28" s="1"/>
  <c r="T161" i="28" s="1"/>
  <c r="L161" i="28"/>
  <c r="W163" i="28" l="1"/>
  <c r="AD162" i="4"/>
  <c r="W163" i="4"/>
  <c r="AP163" i="4" s="1"/>
  <c r="AF161" i="4"/>
  <c r="L160" i="29"/>
  <c r="M160" i="29" s="1"/>
  <c r="I163" i="28"/>
  <c r="K163" i="28"/>
  <c r="V162" i="28"/>
  <c r="AE163" i="4"/>
  <c r="AK164" i="4"/>
  <c r="AH164" i="4"/>
  <c r="AJ164" i="4"/>
  <c r="AL164" i="4"/>
  <c r="E164" i="4"/>
  <c r="V164" i="4" s="1"/>
  <c r="M164" i="4"/>
  <c r="Z164" i="4" s="1"/>
  <c r="H164" i="4"/>
  <c r="AI164" i="4"/>
  <c r="G164" i="4"/>
  <c r="J164" i="4"/>
  <c r="AO164" i="4" s="1"/>
  <c r="AB164" i="4"/>
  <c r="I164" i="4"/>
  <c r="AG164" i="4"/>
  <c r="L164" i="4"/>
  <c r="Y164" i="4" s="1"/>
  <c r="K164" i="4"/>
  <c r="X164" i="4" s="1"/>
  <c r="P164" i="28"/>
  <c r="M164" i="28"/>
  <c r="E164" i="28"/>
  <c r="N164" i="28"/>
  <c r="O164" i="28"/>
  <c r="T164" i="29"/>
  <c r="B163" i="29"/>
  <c r="Y166" i="28"/>
  <c r="B165" i="28"/>
  <c r="F165" i="28" s="1"/>
  <c r="K162" i="29"/>
  <c r="I162" i="29"/>
  <c r="E162" i="29"/>
  <c r="G162" i="29" s="1"/>
  <c r="H162" i="29" s="1"/>
  <c r="AC163" i="4"/>
  <c r="J163" i="28"/>
  <c r="U163" i="28"/>
  <c r="V163" i="28" s="1"/>
  <c r="AU166" i="4"/>
  <c r="B165" i="4"/>
  <c r="Q162" i="28"/>
  <c r="R162" i="28" s="1"/>
  <c r="T162" i="28" s="1"/>
  <c r="L162" i="28"/>
  <c r="L161" i="29"/>
  <c r="M161" i="29" s="1"/>
  <c r="J161" i="29"/>
  <c r="W164" i="28" l="1"/>
  <c r="AD163" i="4"/>
  <c r="W164" i="4"/>
  <c r="AP164" i="4" s="1"/>
  <c r="L162" i="29"/>
  <c r="M162" i="29" s="1"/>
  <c r="I164" i="28"/>
  <c r="K164" i="28"/>
  <c r="AM163" i="4"/>
  <c r="AN163" i="4" s="1"/>
  <c r="AM162" i="4"/>
  <c r="AN162" i="4" s="1"/>
  <c r="AF162" i="4"/>
  <c r="AC164" i="4"/>
  <c r="B166" i="4"/>
  <c r="AU167" i="4"/>
  <c r="E163" i="29"/>
  <c r="G163" i="29" s="1"/>
  <c r="H163" i="29" s="1"/>
  <c r="I163" i="29"/>
  <c r="K163" i="29"/>
  <c r="AE164" i="4"/>
  <c r="J162" i="29"/>
  <c r="P165" i="28"/>
  <c r="E165" i="28"/>
  <c r="M165" i="28"/>
  <c r="O165" i="28"/>
  <c r="N165" i="28"/>
  <c r="B164" i="29"/>
  <c r="T165" i="29"/>
  <c r="Q163" i="28"/>
  <c r="R163" i="28" s="1"/>
  <c r="T163" i="28" s="1"/>
  <c r="L163" i="28"/>
  <c r="Y167" i="28"/>
  <c r="B166" i="28"/>
  <c r="F166" i="28" s="1"/>
  <c r="J164" i="28"/>
  <c r="U164" i="28"/>
  <c r="AK165" i="4"/>
  <c r="AI165" i="4"/>
  <c r="AL165" i="4"/>
  <c r="AH165" i="4"/>
  <c r="E165" i="4"/>
  <c r="V165" i="4" s="1"/>
  <c r="H165" i="4"/>
  <c r="AJ165" i="4"/>
  <c r="AB165" i="4"/>
  <c r="K165" i="4"/>
  <c r="X165" i="4" s="1"/>
  <c r="AG165" i="4"/>
  <c r="M165" i="4"/>
  <c r="Z165" i="4" s="1"/>
  <c r="L165" i="4"/>
  <c r="Y165" i="4" s="1"/>
  <c r="G165" i="4"/>
  <c r="I165" i="4"/>
  <c r="J165" i="4"/>
  <c r="AO165" i="4" s="1"/>
  <c r="W165" i="28" l="1"/>
  <c r="AD164" i="4"/>
  <c r="W165" i="4"/>
  <c r="AP165" i="4" s="1"/>
  <c r="AF163" i="4"/>
  <c r="I165" i="28"/>
  <c r="K165" i="28"/>
  <c r="AM164" i="4"/>
  <c r="AN164" i="4" s="1"/>
  <c r="V164" i="28"/>
  <c r="AE165" i="4"/>
  <c r="L164" i="28"/>
  <c r="Q164" i="28"/>
  <c r="R164" i="28" s="1"/>
  <c r="T164" i="28" s="1"/>
  <c r="U165" i="28"/>
  <c r="J165" i="28"/>
  <c r="AU168" i="4"/>
  <c r="B167" i="4"/>
  <c r="N166" i="28"/>
  <c r="O166" i="28"/>
  <c r="P166" i="28"/>
  <c r="M166" i="28"/>
  <c r="E166" i="28"/>
  <c r="B165" i="29"/>
  <c r="T166" i="29"/>
  <c r="AK166" i="4"/>
  <c r="G166" i="4"/>
  <c r="I166" i="4"/>
  <c r="M166" i="4"/>
  <c r="Z166" i="4" s="1"/>
  <c r="AH166" i="4"/>
  <c r="AJ166" i="4"/>
  <c r="AI166" i="4"/>
  <c r="AG166" i="4"/>
  <c r="L166" i="4"/>
  <c r="Y166" i="4" s="1"/>
  <c r="AL166" i="4"/>
  <c r="K166" i="4"/>
  <c r="X166" i="4" s="1"/>
  <c r="J166" i="4"/>
  <c r="AO166" i="4" s="1"/>
  <c r="H166" i="4"/>
  <c r="E166" i="4"/>
  <c r="V166" i="4" s="1"/>
  <c r="AB166" i="4"/>
  <c r="AC165" i="4"/>
  <c r="B167" i="28"/>
  <c r="F167" i="28" s="1"/>
  <c r="Y168" i="28"/>
  <c r="E164" i="29"/>
  <c r="G164" i="29" s="1"/>
  <c r="H164" i="29" s="1"/>
  <c r="I164" i="29"/>
  <c r="K164" i="29"/>
  <c r="W166" i="28" l="1"/>
  <c r="AD165" i="4"/>
  <c r="W166" i="4"/>
  <c r="AP166" i="4" s="1"/>
  <c r="I166" i="28"/>
  <c r="AF164" i="4"/>
  <c r="K166" i="28"/>
  <c r="V165" i="28"/>
  <c r="AK167" i="4"/>
  <c r="J167" i="4"/>
  <c r="AO167" i="4" s="1"/>
  <c r="AL167" i="4"/>
  <c r="H167" i="4"/>
  <c r="L167" i="4"/>
  <c r="Y167" i="4" s="1"/>
  <c r="M167" i="4"/>
  <c r="Z167" i="4" s="1"/>
  <c r="AG167" i="4"/>
  <c r="AH167" i="4"/>
  <c r="E167" i="4"/>
  <c r="V167" i="4" s="1"/>
  <c r="AB167" i="4"/>
  <c r="K167" i="4"/>
  <c r="X167" i="4" s="1"/>
  <c r="I167" i="4"/>
  <c r="AI167" i="4"/>
  <c r="AJ167" i="4"/>
  <c r="G167" i="4"/>
  <c r="M167" i="28"/>
  <c r="O167" i="28"/>
  <c r="N167" i="28"/>
  <c r="E167" i="28"/>
  <c r="P167" i="28"/>
  <c r="AC166" i="4"/>
  <c r="B166" i="29"/>
  <c r="T167" i="29"/>
  <c r="AU169" i="4"/>
  <c r="B168" i="4"/>
  <c r="Y169" i="28"/>
  <c r="B168" i="28"/>
  <c r="F168" i="28" s="1"/>
  <c r="AE166" i="4"/>
  <c r="E165" i="29"/>
  <c r="G165" i="29" s="1"/>
  <c r="H165" i="29" s="1"/>
  <c r="K165" i="29"/>
  <c r="I165" i="29"/>
  <c r="Q165" i="28"/>
  <c r="R165" i="28" s="1"/>
  <c r="T165" i="28" s="1"/>
  <c r="L165" i="28"/>
  <c r="J163" i="29"/>
  <c r="L163" i="29"/>
  <c r="M163" i="29" s="1"/>
  <c r="L164" i="29"/>
  <c r="M164" i="29" s="1"/>
  <c r="J164" i="29"/>
  <c r="J166" i="28"/>
  <c r="U166" i="28"/>
  <c r="W167" i="28" l="1"/>
  <c r="W167" i="4"/>
  <c r="AP167" i="4" s="1"/>
  <c r="AD166" i="4"/>
  <c r="I167" i="28"/>
  <c r="J167" i="28" s="1"/>
  <c r="K167" i="28"/>
  <c r="V166" i="28"/>
  <c r="L165" i="29"/>
  <c r="M165" i="29" s="1"/>
  <c r="AC167" i="4"/>
  <c r="U167" i="28"/>
  <c r="AK168" i="4"/>
  <c r="H168" i="4"/>
  <c r="L168" i="4"/>
  <c r="AJ168" i="4"/>
  <c r="AH168" i="4"/>
  <c r="J168" i="4"/>
  <c r="AO168" i="4" s="1"/>
  <c r="M168" i="4"/>
  <c r="E168" i="4"/>
  <c r="V168" i="4" s="1"/>
  <c r="AB168" i="4"/>
  <c r="G168" i="4"/>
  <c r="K168" i="4"/>
  <c r="AG168" i="4"/>
  <c r="AL168" i="4"/>
  <c r="I168" i="4"/>
  <c r="AE167" i="4"/>
  <c r="B169" i="28"/>
  <c r="F169" i="28" s="1"/>
  <c r="Y170" i="28"/>
  <c r="E166" i="29"/>
  <c r="G166" i="29" s="1"/>
  <c r="H166" i="29" s="1"/>
  <c r="K166" i="29"/>
  <c r="I166" i="29"/>
  <c r="AM165" i="4"/>
  <c r="AN165" i="4" s="1"/>
  <c r="AF165" i="4"/>
  <c r="AU170" i="4"/>
  <c r="B169" i="4"/>
  <c r="L166" i="28"/>
  <c r="Q166" i="28"/>
  <c r="R166" i="28" s="1"/>
  <c r="T166" i="28" s="1"/>
  <c r="N168" i="28"/>
  <c r="O168" i="28"/>
  <c r="M168" i="28"/>
  <c r="P168" i="28"/>
  <c r="E168" i="28"/>
  <c r="B167" i="29"/>
  <c r="T168" i="29"/>
  <c r="V167" i="28"/>
  <c r="W168" i="28" l="1"/>
  <c r="AD167" i="4"/>
  <c r="X168" i="4"/>
  <c r="Z168" i="4"/>
  <c r="Y168" i="4"/>
  <c r="W168" i="4"/>
  <c r="AP168" i="4" s="1"/>
  <c r="J165" i="29"/>
  <c r="K168" i="28"/>
  <c r="I168" i="28"/>
  <c r="J168" i="28" s="1"/>
  <c r="Y171" i="28"/>
  <c r="B170" i="28"/>
  <c r="F170" i="28" s="1"/>
  <c r="U168" i="28"/>
  <c r="N169" i="28"/>
  <c r="E169" i="28"/>
  <c r="O169" i="28"/>
  <c r="M169" i="28"/>
  <c r="P169" i="28"/>
  <c r="AM166" i="4"/>
  <c r="AN166" i="4" s="1"/>
  <c r="AF166" i="4"/>
  <c r="AK169" i="4"/>
  <c r="AG169" i="4"/>
  <c r="M169" i="4"/>
  <c r="Z169" i="4" s="1"/>
  <c r="AJ169" i="4"/>
  <c r="AI169" i="4"/>
  <c r="AL169" i="4"/>
  <c r="AB169" i="4"/>
  <c r="K169" i="4"/>
  <c r="X169" i="4" s="1"/>
  <c r="E169" i="4"/>
  <c r="V169" i="4" s="1"/>
  <c r="L169" i="4"/>
  <c r="Y169" i="4" s="1"/>
  <c r="AH169" i="4"/>
  <c r="J169" i="4"/>
  <c r="AO169" i="4" s="1"/>
  <c r="G169" i="4"/>
  <c r="I169" i="4"/>
  <c r="H169" i="4"/>
  <c r="K167" i="29"/>
  <c r="E167" i="29"/>
  <c r="G167" i="29" s="1"/>
  <c r="H167" i="29" s="1"/>
  <c r="I167" i="29"/>
  <c r="AF167" i="4"/>
  <c r="AM167" i="4"/>
  <c r="AN167" i="4" s="1"/>
  <c r="T169" i="29"/>
  <c r="B168" i="29"/>
  <c r="AU171" i="4"/>
  <c r="B170" i="4"/>
  <c r="L166" i="29"/>
  <c r="M166" i="29" s="1"/>
  <c r="J166" i="29"/>
  <c r="L167" i="28"/>
  <c r="Q167" i="28"/>
  <c r="R167" i="28" s="1"/>
  <c r="T167" i="28" s="1"/>
  <c r="W169" i="28" l="1"/>
  <c r="AC168" i="4"/>
  <c r="K169" i="28"/>
  <c r="W169" i="4"/>
  <c r="AP169" i="4" s="1"/>
  <c r="AD168" i="4"/>
  <c r="I169" i="28"/>
  <c r="AC169" i="4"/>
  <c r="V168" i="28"/>
  <c r="Q168" i="28"/>
  <c r="R168" i="28" s="1"/>
  <c r="T168" i="28" s="1"/>
  <c r="L168" i="28"/>
  <c r="AU172" i="4"/>
  <c r="B171" i="4"/>
  <c r="E168" i="29"/>
  <c r="G168" i="29" s="1"/>
  <c r="H168" i="29" s="1"/>
  <c r="I168" i="29"/>
  <c r="K168" i="29"/>
  <c r="T170" i="29"/>
  <c r="B169" i="29"/>
  <c r="U169" i="28"/>
  <c r="J169" i="28"/>
  <c r="E170" i="28"/>
  <c r="M170" i="28"/>
  <c r="O170" i="28"/>
  <c r="N170" i="28"/>
  <c r="P170" i="28"/>
  <c r="AK170" i="4"/>
  <c r="I170" i="4"/>
  <c r="G170" i="4"/>
  <c r="AI170" i="4"/>
  <c r="J170" i="4"/>
  <c r="AO170" i="4" s="1"/>
  <c r="K170" i="4"/>
  <c r="X170" i="4" s="1"/>
  <c r="AB170" i="4"/>
  <c r="H170" i="4"/>
  <c r="E170" i="4"/>
  <c r="V170" i="4" s="1"/>
  <c r="AG170" i="4"/>
  <c r="AJ170" i="4"/>
  <c r="M170" i="4"/>
  <c r="Z170" i="4" s="1"/>
  <c r="AL170" i="4"/>
  <c r="AH170" i="4"/>
  <c r="L170" i="4"/>
  <c r="Y170" i="4" s="1"/>
  <c r="AE169" i="4"/>
  <c r="B171" i="28"/>
  <c r="F171" i="28" s="1"/>
  <c r="Y172" i="28"/>
  <c r="W170" i="28" l="1"/>
  <c r="AD169" i="4"/>
  <c r="AM169" i="4" s="1"/>
  <c r="AN169" i="4" s="1"/>
  <c r="W170" i="4"/>
  <c r="AP170" i="4" s="1"/>
  <c r="I170" i="28"/>
  <c r="K170" i="28"/>
  <c r="AC170" i="4"/>
  <c r="V169" i="28"/>
  <c r="AE170" i="4"/>
  <c r="M171" i="28"/>
  <c r="N171" i="28"/>
  <c r="O171" i="28"/>
  <c r="E171" i="28"/>
  <c r="P171" i="28"/>
  <c r="K171" i="28" s="1"/>
  <c r="J170" i="28"/>
  <c r="U170" i="28"/>
  <c r="J167" i="29"/>
  <c r="L167" i="29"/>
  <c r="M167" i="29" s="1"/>
  <c r="B172" i="4"/>
  <c r="AU173" i="4"/>
  <c r="L169" i="28"/>
  <c r="Q169" i="28"/>
  <c r="R169" i="28" s="1"/>
  <c r="T169" i="28" s="1"/>
  <c r="E169" i="29"/>
  <c r="G169" i="29" s="1"/>
  <c r="H169" i="29" s="1"/>
  <c r="I169" i="29"/>
  <c r="K169" i="29"/>
  <c r="T171" i="29"/>
  <c r="B170" i="29"/>
  <c r="B172" i="28"/>
  <c r="F172" i="28" s="1"/>
  <c r="Y173" i="28"/>
  <c r="AK171" i="4"/>
  <c r="I171" i="4"/>
  <c r="E171" i="4"/>
  <c r="V171" i="4" s="1"/>
  <c r="M171" i="4"/>
  <c r="Z171" i="4" s="1"/>
  <c r="AI171" i="4"/>
  <c r="J171" i="4"/>
  <c r="AO171" i="4" s="1"/>
  <c r="AG171" i="4"/>
  <c r="AH171" i="4"/>
  <c r="AJ171" i="4"/>
  <c r="AB171" i="4"/>
  <c r="G171" i="4"/>
  <c r="H171" i="4"/>
  <c r="K171" i="4"/>
  <c r="X171" i="4" s="1"/>
  <c r="AL171" i="4"/>
  <c r="L171" i="4"/>
  <c r="Y171" i="4" s="1"/>
  <c r="W171" i="28" l="1"/>
  <c r="AF169" i="4"/>
  <c r="W171" i="4"/>
  <c r="AP171" i="4" s="1"/>
  <c r="AD170" i="4"/>
  <c r="I171" i="28"/>
  <c r="L169" i="29"/>
  <c r="M169" i="29" s="1"/>
  <c r="V170" i="28"/>
  <c r="E172" i="28"/>
  <c r="M172" i="28"/>
  <c r="N172" i="28"/>
  <c r="O172" i="28"/>
  <c r="P172" i="28"/>
  <c r="J169" i="29"/>
  <c r="AE171" i="4"/>
  <c r="J168" i="29"/>
  <c r="L168" i="29"/>
  <c r="M168" i="29" s="1"/>
  <c r="B173" i="4"/>
  <c r="AU174" i="4"/>
  <c r="U171" i="28"/>
  <c r="V171" i="28" s="1"/>
  <c r="J171" i="28"/>
  <c r="AC171" i="4"/>
  <c r="K170" i="29"/>
  <c r="E170" i="29"/>
  <c r="G170" i="29" s="1"/>
  <c r="H170" i="29" s="1"/>
  <c r="I170" i="29"/>
  <c r="AK172" i="4"/>
  <c r="AI172" i="4"/>
  <c r="J172" i="4"/>
  <c r="AO172" i="4" s="1"/>
  <c r="M172" i="4"/>
  <c r="Z172" i="4" s="1"/>
  <c r="AB172" i="4"/>
  <c r="AL172" i="4"/>
  <c r="AH172" i="4"/>
  <c r="I172" i="4"/>
  <c r="G172" i="4"/>
  <c r="AJ172" i="4"/>
  <c r="K172" i="4"/>
  <c r="X172" i="4" s="1"/>
  <c r="L172" i="4"/>
  <c r="Y172" i="4" s="1"/>
  <c r="E172" i="4"/>
  <c r="V172" i="4" s="1"/>
  <c r="AG172" i="4"/>
  <c r="H172" i="4"/>
  <c r="L170" i="28"/>
  <c r="Q170" i="28"/>
  <c r="R170" i="28" s="1"/>
  <c r="T170" i="28" s="1"/>
  <c r="Y174" i="28"/>
  <c r="B173" i="28"/>
  <c r="F173" i="28" s="1"/>
  <c r="B171" i="29"/>
  <c r="T172" i="29"/>
  <c r="W172" i="28" l="1"/>
  <c r="AD171" i="4"/>
  <c r="W172" i="4"/>
  <c r="AP172" i="4" s="1"/>
  <c r="I172" i="28"/>
  <c r="K172" i="28"/>
  <c r="AE172" i="4"/>
  <c r="AU175" i="4"/>
  <c r="B174" i="4"/>
  <c r="AM170" i="4"/>
  <c r="AN170" i="4" s="1"/>
  <c r="AF170" i="4"/>
  <c r="Y175" i="28"/>
  <c r="B174" i="28"/>
  <c r="F174" i="28" s="1"/>
  <c r="T173" i="29"/>
  <c r="B172" i="29"/>
  <c r="I171" i="29"/>
  <c r="E171" i="29"/>
  <c r="G171" i="29" s="1"/>
  <c r="H171" i="29" s="1"/>
  <c r="K171" i="29"/>
  <c r="AK173" i="4"/>
  <c r="M173" i="4"/>
  <c r="AG173" i="4"/>
  <c r="AJ173" i="4"/>
  <c r="AB173" i="4"/>
  <c r="AL173" i="4"/>
  <c r="K173" i="4"/>
  <c r="X173" i="4" s="1"/>
  <c r="G173" i="4"/>
  <c r="AI173" i="4"/>
  <c r="H173" i="4"/>
  <c r="I173" i="4"/>
  <c r="AH173" i="4"/>
  <c r="E173" i="4"/>
  <c r="V173" i="4" s="1"/>
  <c r="L173" i="4"/>
  <c r="Y173" i="4" s="1"/>
  <c r="J173" i="4"/>
  <c r="AO173" i="4" s="1"/>
  <c r="U172" i="28"/>
  <c r="J172" i="28"/>
  <c r="O173" i="28"/>
  <c r="N173" i="28"/>
  <c r="E173" i="28"/>
  <c r="M173" i="28"/>
  <c r="P173" i="28"/>
  <c r="AC172" i="4"/>
  <c r="L171" i="28"/>
  <c r="Q171" i="28"/>
  <c r="R171" i="28" s="1"/>
  <c r="T171" i="28" s="1"/>
  <c r="AF171" i="4"/>
  <c r="AM171" i="4"/>
  <c r="AN171" i="4" s="1"/>
  <c r="W173" i="28" l="1"/>
  <c r="AD172" i="4"/>
  <c r="K173" i="28"/>
  <c r="Z173" i="4"/>
  <c r="AC173" i="4" s="1"/>
  <c r="W173" i="4"/>
  <c r="AP173" i="4" s="1"/>
  <c r="I173" i="28"/>
  <c r="V172" i="28"/>
  <c r="K172" i="29"/>
  <c r="E172" i="29"/>
  <c r="G172" i="29" s="1"/>
  <c r="H172" i="29" s="1"/>
  <c r="I172" i="29"/>
  <c r="T174" i="29"/>
  <c r="B173" i="29"/>
  <c r="J170" i="29"/>
  <c r="L170" i="29"/>
  <c r="M170" i="29" s="1"/>
  <c r="J173" i="28"/>
  <c r="U173" i="28"/>
  <c r="AE173" i="4"/>
  <c r="M174" i="28"/>
  <c r="E174" i="28"/>
  <c r="P174" i="28"/>
  <c r="N174" i="28"/>
  <c r="O174" i="28"/>
  <c r="AK174" i="4"/>
  <c r="AL174" i="4"/>
  <c r="M174" i="4"/>
  <c r="Z174" i="4" s="1"/>
  <c r="AJ174" i="4"/>
  <c r="H174" i="4"/>
  <c r="L174" i="4"/>
  <c r="Y174" i="4" s="1"/>
  <c r="J174" i="4"/>
  <c r="AO174" i="4" s="1"/>
  <c r="AG174" i="4"/>
  <c r="K174" i="4"/>
  <c r="X174" i="4" s="1"/>
  <c r="I174" i="4"/>
  <c r="G174" i="4"/>
  <c r="AI174" i="4"/>
  <c r="E174" i="4"/>
  <c r="V174" i="4" s="1"/>
  <c r="AB174" i="4"/>
  <c r="AH174" i="4"/>
  <c r="L172" i="28"/>
  <c r="Q172" i="28"/>
  <c r="R172" i="28" s="1"/>
  <c r="T172" i="28" s="1"/>
  <c r="B175" i="28"/>
  <c r="F175" i="28" s="1"/>
  <c r="Y176" i="28"/>
  <c r="B175" i="4"/>
  <c r="AU176" i="4"/>
  <c r="W174" i="28" l="1"/>
  <c r="W174" i="4"/>
  <c r="AP174" i="4" s="1"/>
  <c r="AD173" i="4"/>
  <c r="AM173" i="4" s="1"/>
  <c r="AN173" i="4" s="1"/>
  <c r="I174" i="28"/>
  <c r="K174" i="28"/>
  <c r="V173" i="28"/>
  <c r="AM172" i="4"/>
  <c r="AN172" i="4" s="1"/>
  <c r="AF172" i="4"/>
  <c r="P175" i="28"/>
  <c r="M175" i="28"/>
  <c r="O175" i="28"/>
  <c r="N175" i="28"/>
  <c r="E175" i="28"/>
  <c r="AU177" i="4"/>
  <c r="B176" i="4"/>
  <c r="AE174" i="4"/>
  <c r="Q173" i="28"/>
  <c r="R173" i="28" s="1"/>
  <c r="T173" i="28" s="1"/>
  <c r="L173" i="28"/>
  <c r="B174" i="29"/>
  <c r="T175" i="29"/>
  <c r="Y177" i="28"/>
  <c r="B176" i="28"/>
  <c r="F176" i="28" s="1"/>
  <c r="AK175" i="4"/>
  <c r="J175" i="4"/>
  <c r="AO175" i="4" s="1"/>
  <c r="K175" i="4"/>
  <c r="X175" i="4" s="1"/>
  <c r="AH175" i="4"/>
  <c r="AL175" i="4"/>
  <c r="H175" i="4"/>
  <c r="AI175" i="4"/>
  <c r="G175" i="4"/>
  <c r="AG175" i="4"/>
  <c r="AJ175" i="4"/>
  <c r="AB175" i="4"/>
  <c r="L175" i="4"/>
  <c r="Y175" i="4" s="1"/>
  <c r="I175" i="4"/>
  <c r="E175" i="4"/>
  <c r="V175" i="4" s="1"/>
  <c r="M175" i="4"/>
  <c r="Z175" i="4" s="1"/>
  <c r="AC174" i="4"/>
  <c r="J171" i="29"/>
  <c r="L171" i="29"/>
  <c r="M171" i="29" s="1"/>
  <c r="U174" i="28"/>
  <c r="J174" i="28"/>
  <c r="E173" i="29"/>
  <c r="G173" i="29" s="1"/>
  <c r="H173" i="29" s="1"/>
  <c r="I173" i="29"/>
  <c r="K173" i="29"/>
  <c r="J172" i="29"/>
  <c r="L172" i="29"/>
  <c r="M172" i="29" s="1"/>
  <c r="W175" i="28" l="1"/>
  <c r="AD174" i="4"/>
  <c r="W175" i="4"/>
  <c r="AP175" i="4" s="1"/>
  <c r="AF173" i="4"/>
  <c r="I175" i="28"/>
  <c r="J175" i="28" s="1"/>
  <c r="K175" i="28"/>
  <c r="V174" i="28"/>
  <c r="L174" i="28"/>
  <c r="Q174" i="28"/>
  <c r="R174" i="28" s="1"/>
  <c r="T174" i="28" s="1"/>
  <c r="T176" i="29"/>
  <c r="B175" i="29"/>
  <c r="AU178" i="4"/>
  <c r="B177" i="4"/>
  <c r="AE175" i="4"/>
  <c r="I174" i="29"/>
  <c r="K174" i="29"/>
  <c r="E174" i="29"/>
  <c r="G174" i="29" s="1"/>
  <c r="H174" i="29" s="1"/>
  <c r="U175" i="28"/>
  <c r="AM174" i="4"/>
  <c r="AN174" i="4" s="1"/>
  <c r="AF174" i="4"/>
  <c r="N176" i="28"/>
  <c r="O176" i="28"/>
  <c r="E176" i="28"/>
  <c r="M176" i="28"/>
  <c r="P176" i="28"/>
  <c r="AC175" i="4"/>
  <c r="B177" i="28"/>
  <c r="F177" i="28" s="1"/>
  <c r="Y178" i="28"/>
  <c r="AK176" i="4"/>
  <c r="AJ176" i="4"/>
  <c r="E176" i="4"/>
  <c r="V176" i="4" s="1"/>
  <c r="AB176" i="4"/>
  <c r="H176" i="4"/>
  <c r="I176" i="4"/>
  <c r="K176" i="4"/>
  <c r="X176" i="4" s="1"/>
  <c r="AL176" i="4"/>
  <c r="AI176" i="4"/>
  <c r="AG176" i="4"/>
  <c r="AH176" i="4"/>
  <c r="J176" i="4"/>
  <c r="AO176" i="4" s="1"/>
  <c r="L176" i="4"/>
  <c r="G176" i="4"/>
  <c r="M176" i="4"/>
  <c r="W176" i="28" l="1"/>
  <c r="V175" i="28"/>
  <c r="K176" i="28"/>
  <c r="W176" i="4"/>
  <c r="AP176" i="4" s="1"/>
  <c r="AD175" i="4"/>
  <c r="AF175" i="4" s="1"/>
  <c r="Y176" i="4"/>
  <c r="Z176" i="4"/>
  <c r="I176" i="28"/>
  <c r="L174" i="29"/>
  <c r="M174" i="29" s="1"/>
  <c r="L173" i="29"/>
  <c r="M173" i="29" s="1"/>
  <c r="J173" i="29"/>
  <c r="B176" i="29"/>
  <c r="T177" i="29"/>
  <c r="AE176" i="4"/>
  <c r="Y179" i="28"/>
  <c r="B178" i="28"/>
  <c r="F178" i="28" s="1"/>
  <c r="AK177" i="4"/>
  <c r="G177" i="4"/>
  <c r="L177" i="4"/>
  <c r="E177" i="4"/>
  <c r="V177" i="4" s="1"/>
  <c r="J177" i="4"/>
  <c r="AO177" i="4" s="1"/>
  <c r="M177" i="4"/>
  <c r="AH177" i="4"/>
  <c r="AL177" i="4"/>
  <c r="I177" i="4"/>
  <c r="K177" i="4"/>
  <c r="AI177" i="4"/>
  <c r="AJ177" i="4"/>
  <c r="AG177" i="4"/>
  <c r="H177" i="4"/>
  <c r="AB177" i="4"/>
  <c r="AC176" i="4"/>
  <c r="O177" i="28"/>
  <c r="M177" i="28"/>
  <c r="E177" i="28"/>
  <c r="N177" i="28"/>
  <c r="P177" i="28"/>
  <c r="B178" i="4"/>
  <c r="AU179" i="4"/>
  <c r="J176" i="28"/>
  <c r="U176" i="28"/>
  <c r="L175" i="28"/>
  <c r="Q175" i="28"/>
  <c r="R175" i="28" s="1"/>
  <c r="T175" i="28" s="1"/>
  <c r="K175" i="29"/>
  <c r="E175" i="29"/>
  <c r="G175" i="29" s="1"/>
  <c r="H175" i="29" s="1"/>
  <c r="I175" i="29"/>
  <c r="W177" i="28" l="1"/>
  <c r="AD176" i="4"/>
  <c r="AF176" i="4" s="1"/>
  <c r="AM175" i="4"/>
  <c r="AN175" i="4" s="1"/>
  <c r="Y177" i="4"/>
  <c r="Z177" i="4"/>
  <c r="X177" i="4"/>
  <c r="J174" i="29"/>
  <c r="W177" i="4"/>
  <c r="AP177" i="4" s="1"/>
  <c r="I177" i="28"/>
  <c r="K177" i="28"/>
  <c r="B179" i="28"/>
  <c r="F179" i="28" s="1"/>
  <c r="Y180" i="28"/>
  <c r="Q176" i="28"/>
  <c r="R176" i="28" s="1"/>
  <c r="T176" i="28" s="1"/>
  <c r="L176" i="28"/>
  <c r="B179" i="4"/>
  <c r="AU180" i="4"/>
  <c r="AE177" i="4"/>
  <c r="V176" i="28"/>
  <c r="T178" i="29"/>
  <c r="B177" i="29"/>
  <c r="AK178" i="4"/>
  <c r="AI178" i="4"/>
  <c r="K178" i="4"/>
  <c r="X178" i="4" s="1"/>
  <c r="M178" i="4"/>
  <c r="Z178" i="4" s="1"/>
  <c r="G178" i="4"/>
  <c r="I178" i="4"/>
  <c r="AL178" i="4"/>
  <c r="AG178" i="4"/>
  <c r="AB178" i="4"/>
  <c r="AH178" i="4"/>
  <c r="J178" i="4"/>
  <c r="AO178" i="4" s="1"/>
  <c r="AJ178" i="4"/>
  <c r="L178" i="4"/>
  <c r="Y178" i="4" s="1"/>
  <c r="E178" i="4"/>
  <c r="V178" i="4" s="1"/>
  <c r="H178" i="4"/>
  <c r="J177" i="28"/>
  <c r="U177" i="28"/>
  <c r="AM176" i="4"/>
  <c r="AN176" i="4" s="1"/>
  <c r="O178" i="28"/>
  <c r="M178" i="28"/>
  <c r="P178" i="28"/>
  <c r="N178" i="28"/>
  <c r="E178" i="28"/>
  <c r="I176" i="29"/>
  <c r="K176" i="29"/>
  <c r="E176" i="29"/>
  <c r="G176" i="29" s="1"/>
  <c r="H176" i="29" s="1"/>
  <c r="W178" i="28" l="1"/>
  <c r="AC177" i="4"/>
  <c r="AD177" i="4"/>
  <c r="AF177" i="4" s="1"/>
  <c r="W178" i="4"/>
  <c r="AP178" i="4" s="1"/>
  <c r="I178" i="28"/>
  <c r="K178" i="28"/>
  <c r="AE178" i="4"/>
  <c r="L176" i="29"/>
  <c r="M176" i="29" s="1"/>
  <c r="Q177" i="28"/>
  <c r="R177" i="28" s="1"/>
  <c r="T177" i="28" s="1"/>
  <c r="L177" i="28"/>
  <c r="K177" i="29"/>
  <c r="I177" i="29"/>
  <c r="E177" i="29"/>
  <c r="G177" i="29" s="1"/>
  <c r="H177" i="29" s="1"/>
  <c r="AC178" i="4"/>
  <c r="B178" i="29"/>
  <c r="T179" i="29"/>
  <c r="AU181" i="4"/>
  <c r="B180" i="4"/>
  <c r="Y181" i="28"/>
  <c r="B180" i="28"/>
  <c r="F180" i="28" s="1"/>
  <c r="V177" i="28"/>
  <c r="U178" i="28"/>
  <c r="J178" i="28"/>
  <c r="AK179" i="4"/>
  <c r="AB179" i="4"/>
  <c r="K179" i="4"/>
  <c r="X179" i="4" s="1"/>
  <c r="G179" i="4"/>
  <c r="H179" i="4"/>
  <c r="AG179" i="4"/>
  <c r="L179" i="4"/>
  <c r="Y179" i="4" s="1"/>
  <c r="AL179" i="4"/>
  <c r="AI179" i="4"/>
  <c r="M179" i="4"/>
  <c r="Z179" i="4" s="1"/>
  <c r="AH179" i="4"/>
  <c r="I179" i="4"/>
  <c r="AJ179" i="4"/>
  <c r="E179" i="4"/>
  <c r="V179" i="4" s="1"/>
  <c r="J179" i="4"/>
  <c r="AO179" i="4" s="1"/>
  <c r="M179" i="28"/>
  <c r="N179" i="28"/>
  <c r="E179" i="28"/>
  <c r="P179" i="28"/>
  <c r="O179" i="28"/>
  <c r="J175" i="29"/>
  <c r="L175" i="29"/>
  <c r="M175" i="29" s="1"/>
  <c r="W179" i="28" l="1"/>
  <c r="AM177" i="4"/>
  <c r="AN177" i="4" s="1"/>
  <c r="AD178" i="4"/>
  <c r="W179" i="4"/>
  <c r="AP179" i="4" s="1"/>
  <c r="I179" i="28"/>
  <c r="K179" i="28"/>
  <c r="AF178" i="4"/>
  <c r="J176" i="29"/>
  <c r="V178" i="28"/>
  <c r="L177" i="29"/>
  <c r="M177" i="29" s="1"/>
  <c r="AK180" i="4"/>
  <c r="AG180" i="4"/>
  <c r="E180" i="4"/>
  <c r="V180" i="4" s="1"/>
  <c r="K180" i="4"/>
  <c r="X180" i="4" s="1"/>
  <c r="H180" i="4"/>
  <c r="J180" i="4"/>
  <c r="AO180" i="4" s="1"/>
  <c r="M180" i="4"/>
  <c r="Z180" i="4" s="1"/>
  <c r="L180" i="4"/>
  <c r="Y180" i="4" s="1"/>
  <c r="AI180" i="4"/>
  <c r="AL180" i="4"/>
  <c r="G180" i="4"/>
  <c r="AH180" i="4"/>
  <c r="AJ180" i="4"/>
  <c r="I180" i="4"/>
  <c r="AB180" i="4"/>
  <c r="AE179" i="4"/>
  <c r="B181" i="4"/>
  <c r="AU182" i="4"/>
  <c r="U179" i="28"/>
  <c r="J179" i="28"/>
  <c r="AC179" i="4"/>
  <c r="E180" i="28"/>
  <c r="M180" i="28"/>
  <c r="P180" i="28"/>
  <c r="N180" i="28"/>
  <c r="O180" i="28"/>
  <c r="T180" i="29"/>
  <c r="B179" i="29"/>
  <c r="Q178" i="28"/>
  <c r="R178" i="28" s="1"/>
  <c r="T178" i="28" s="1"/>
  <c r="L178" i="28"/>
  <c r="Y182" i="28"/>
  <c r="B181" i="28"/>
  <c r="F181" i="28" s="1"/>
  <c r="K178" i="29"/>
  <c r="E178" i="29"/>
  <c r="G178" i="29" s="1"/>
  <c r="H178" i="29" s="1"/>
  <c r="I178" i="29"/>
  <c r="W180" i="28" l="1"/>
  <c r="AD179" i="4"/>
  <c r="J177" i="29"/>
  <c r="W180" i="4"/>
  <c r="AP180" i="4" s="1"/>
  <c r="AM178" i="4"/>
  <c r="AN178" i="4" s="1"/>
  <c r="I180" i="28"/>
  <c r="K180" i="28"/>
  <c r="V179" i="28"/>
  <c r="L178" i="29"/>
  <c r="M178" i="29" s="1"/>
  <c r="J178" i="29"/>
  <c r="K179" i="29"/>
  <c r="I179" i="29"/>
  <c r="E179" i="29"/>
  <c r="G179" i="29" s="1"/>
  <c r="H179" i="29" s="1"/>
  <c r="B182" i="28"/>
  <c r="F182" i="28" s="1"/>
  <c r="Y183" i="28"/>
  <c r="Q179" i="28"/>
  <c r="R179" i="28" s="1"/>
  <c r="T179" i="28" s="1"/>
  <c r="L179" i="28"/>
  <c r="AE180" i="4"/>
  <c r="U180" i="28"/>
  <c r="J180" i="28"/>
  <c r="B182" i="4"/>
  <c r="AU183" i="4"/>
  <c r="O181" i="28"/>
  <c r="P181" i="28"/>
  <c r="M181" i="28"/>
  <c r="N181" i="28"/>
  <c r="E181" i="28"/>
  <c r="B180" i="29"/>
  <c r="T181" i="29"/>
  <c r="AK181" i="4"/>
  <c r="G181" i="4"/>
  <c r="I181" i="4"/>
  <c r="H181" i="4"/>
  <c r="AI181" i="4"/>
  <c r="AJ181" i="4"/>
  <c r="J181" i="4"/>
  <c r="AO181" i="4" s="1"/>
  <c r="M181" i="4"/>
  <c r="Z181" i="4" s="1"/>
  <c r="AL181" i="4"/>
  <c r="AB181" i="4"/>
  <c r="AH181" i="4"/>
  <c r="K181" i="4"/>
  <c r="X181" i="4" s="1"/>
  <c r="E181" i="4"/>
  <c r="V181" i="4" s="1"/>
  <c r="L181" i="4"/>
  <c r="Y181" i="4" s="1"/>
  <c r="AG181" i="4"/>
  <c r="AC180" i="4"/>
  <c r="W181" i="28" l="1"/>
  <c r="V180" i="28"/>
  <c r="AD180" i="4"/>
  <c r="W181" i="4"/>
  <c r="AP181" i="4" s="1"/>
  <c r="I181" i="28"/>
  <c r="J181" i="28" s="1"/>
  <c r="K181" i="28"/>
  <c r="AC181" i="4"/>
  <c r="U181" i="28"/>
  <c r="AK182" i="4"/>
  <c r="K182" i="4"/>
  <c r="X182" i="4" s="1"/>
  <c r="G182" i="4"/>
  <c r="L182" i="4"/>
  <c r="Y182" i="4" s="1"/>
  <c r="AI182" i="4"/>
  <c r="J182" i="4"/>
  <c r="AO182" i="4" s="1"/>
  <c r="AH182" i="4"/>
  <c r="AJ182" i="4"/>
  <c r="M182" i="4"/>
  <c r="Z182" i="4" s="1"/>
  <c r="H182" i="4"/>
  <c r="I182" i="4"/>
  <c r="AG182" i="4"/>
  <c r="AL182" i="4"/>
  <c r="E182" i="4"/>
  <c r="V182" i="4" s="1"/>
  <c r="AB182" i="4"/>
  <c r="Y184" i="28"/>
  <c r="B183" i="28"/>
  <c r="F183" i="28" s="1"/>
  <c r="T182" i="29"/>
  <c r="B181" i="29"/>
  <c r="L180" i="28"/>
  <c r="Q180" i="28"/>
  <c r="R180" i="28" s="1"/>
  <c r="T180" i="28" s="1"/>
  <c r="N182" i="28"/>
  <c r="O182" i="28"/>
  <c r="P182" i="28"/>
  <c r="M182" i="28"/>
  <c r="E182" i="28"/>
  <c r="I180" i="29"/>
  <c r="E180" i="29"/>
  <c r="G180" i="29" s="1"/>
  <c r="H180" i="29" s="1"/>
  <c r="K180" i="29"/>
  <c r="L179" i="29"/>
  <c r="M179" i="29" s="1"/>
  <c r="J179" i="29"/>
  <c r="AE181" i="4"/>
  <c r="AM179" i="4"/>
  <c r="AN179" i="4" s="1"/>
  <c r="AF179" i="4"/>
  <c r="AU184" i="4"/>
  <c r="B183" i="4"/>
  <c r="W182" i="28" l="1"/>
  <c r="V181" i="28"/>
  <c r="AD181" i="4"/>
  <c r="AF181" i="4" s="1"/>
  <c r="W182" i="4"/>
  <c r="AP182" i="4" s="1"/>
  <c r="I182" i="28"/>
  <c r="J182" i="28" s="1"/>
  <c r="L180" i="29"/>
  <c r="M180" i="29" s="1"/>
  <c r="K182" i="28"/>
  <c r="AE182" i="4"/>
  <c r="U182" i="28"/>
  <c r="AU185" i="4"/>
  <c r="B184" i="4"/>
  <c r="E183" i="28"/>
  <c r="P183" i="28"/>
  <c r="O183" i="28"/>
  <c r="M183" i="28"/>
  <c r="N183" i="28"/>
  <c r="AC182" i="4"/>
  <c r="Y185" i="28"/>
  <c r="B184" i="28"/>
  <c r="F184" i="28" s="1"/>
  <c r="I181" i="29"/>
  <c r="K181" i="29"/>
  <c r="E181" i="29"/>
  <c r="G181" i="29" s="1"/>
  <c r="H181" i="29" s="1"/>
  <c r="AF180" i="4"/>
  <c r="AM180" i="4"/>
  <c r="AN180" i="4" s="1"/>
  <c r="AK183" i="4"/>
  <c r="AH183" i="4"/>
  <c r="AJ183" i="4"/>
  <c r="K183" i="4"/>
  <c r="X183" i="4" s="1"/>
  <c r="AL183" i="4"/>
  <c r="G183" i="4"/>
  <c r="M183" i="4"/>
  <c r="Z183" i="4" s="1"/>
  <c r="AI183" i="4"/>
  <c r="AG183" i="4"/>
  <c r="AB183" i="4"/>
  <c r="E183" i="4"/>
  <c r="V183" i="4" s="1"/>
  <c r="J183" i="4"/>
  <c r="AO183" i="4" s="1"/>
  <c r="I183" i="4"/>
  <c r="L183" i="4"/>
  <c r="Y183" i="4" s="1"/>
  <c r="H183" i="4"/>
  <c r="B182" i="29"/>
  <c r="T183" i="29"/>
  <c r="L181" i="28"/>
  <c r="Q181" i="28"/>
  <c r="R181" i="28" s="1"/>
  <c r="T181" i="28" s="1"/>
  <c r="W183" i="28" l="1"/>
  <c r="AD182" i="4"/>
  <c r="J180" i="29"/>
  <c r="W183" i="4"/>
  <c r="AP183" i="4" s="1"/>
  <c r="AM181" i="4"/>
  <c r="AN181" i="4" s="1"/>
  <c r="I183" i="28"/>
  <c r="K183" i="28"/>
  <c r="V182" i="28"/>
  <c r="B183" i="29"/>
  <c r="T184" i="29"/>
  <c r="AK184" i="4"/>
  <c r="AI184" i="4"/>
  <c r="AG184" i="4"/>
  <c r="I184" i="4"/>
  <c r="E184" i="4"/>
  <c r="V184" i="4" s="1"/>
  <c r="G184" i="4"/>
  <c r="AH184" i="4"/>
  <c r="K184" i="4"/>
  <c r="X184" i="4" s="1"/>
  <c r="J184" i="4"/>
  <c r="AO184" i="4" s="1"/>
  <c r="AB184" i="4"/>
  <c r="L184" i="4"/>
  <c r="Y184" i="4" s="1"/>
  <c r="M184" i="4"/>
  <c r="Z184" i="4" s="1"/>
  <c r="AL184" i="4"/>
  <c r="AJ184" i="4"/>
  <c r="H184" i="4"/>
  <c r="AU186" i="4"/>
  <c r="B185" i="4"/>
  <c r="AE183" i="4"/>
  <c r="E182" i="29"/>
  <c r="G182" i="29" s="1"/>
  <c r="H182" i="29" s="1"/>
  <c r="K182" i="29"/>
  <c r="I182" i="29"/>
  <c r="AC183" i="4"/>
  <c r="M184" i="28"/>
  <c r="P184" i="28"/>
  <c r="N184" i="28"/>
  <c r="O184" i="28"/>
  <c r="E184" i="28"/>
  <c r="L182" i="28"/>
  <c r="Q182" i="28"/>
  <c r="R182" i="28" s="1"/>
  <c r="T182" i="28" s="1"/>
  <c r="B185" i="28"/>
  <c r="F185" i="28" s="1"/>
  <c r="Y186" i="28"/>
  <c r="U183" i="28"/>
  <c r="J183" i="28"/>
  <c r="W184" i="28" l="1"/>
  <c r="AD183" i="4"/>
  <c r="W184" i="4"/>
  <c r="AP184" i="4" s="1"/>
  <c r="I184" i="28"/>
  <c r="K184" i="28"/>
  <c r="AF183" i="4"/>
  <c r="Y187" i="28"/>
  <c r="B186" i="28"/>
  <c r="F186" i="28" s="1"/>
  <c r="N185" i="28"/>
  <c r="O185" i="28"/>
  <c r="E185" i="28"/>
  <c r="M185" i="28"/>
  <c r="P185" i="28"/>
  <c r="V183" i="28"/>
  <c r="AM182" i="4"/>
  <c r="AN182" i="4" s="1"/>
  <c r="AF182" i="4"/>
  <c r="AC184" i="4"/>
  <c r="L181" i="29"/>
  <c r="M181" i="29" s="1"/>
  <c r="J181" i="29"/>
  <c r="Q183" i="28"/>
  <c r="R183" i="28" s="1"/>
  <c r="T183" i="28" s="1"/>
  <c r="L183" i="28"/>
  <c r="AK185" i="4"/>
  <c r="L185" i="4"/>
  <c r="Y185" i="4" s="1"/>
  <c r="J185" i="4"/>
  <c r="AO185" i="4" s="1"/>
  <c r="I185" i="4"/>
  <c r="H185" i="4"/>
  <c r="AB185" i="4"/>
  <c r="M185" i="4"/>
  <c r="Z185" i="4" s="1"/>
  <c r="AJ185" i="4"/>
  <c r="G185" i="4"/>
  <c r="AL185" i="4"/>
  <c r="AH185" i="4"/>
  <c r="E185" i="4"/>
  <c r="V185" i="4" s="1"/>
  <c r="AG185" i="4"/>
  <c r="AI185" i="4"/>
  <c r="K185" i="4"/>
  <c r="X185" i="4" s="1"/>
  <c r="B184" i="29"/>
  <c r="T185" i="29"/>
  <c r="J184" i="28"/>
  <c r="U184" i="28"/>
  <c r="AU187" i="4"/>
  <c r="B186" i="4"/>
  <c r="AE184" i="4"/>
  <c r="I183" i="29"/>
  <c r="K183" i="29"/>
  <c r="E183" i="29"/>
  <c r="G183" i="29" s="1"/>
  <c r="H183" i="29" s="1"/>
  <c r="W185" i="28" l="1"/>
  <c r="V184" i="28"/>
  <c r="W185" i="4"/>
  <c r="AP185" i="4" s="1"/>
  <c r="AD184" i="4"/>
  <c r="M302" i="7" s="1"/>
  <c r="AM183" i="4"/>
  <c r="AN183" i="4" s="1"/>
  <c r="L183" i="29"/>
  <c r="M183" i="29" s="1"/>
  <c r="AC185" i="4"/>
  <c r="I185" i="28"/>
  <c r="J185" i="28" s="1"/>
  <c r="K185" i="28"/>
  <c r="L182" i="29"/>
  <c r="M182" i="29" s="1"/>
  <c r="J182" i="29"/>
  <c r="L184" i="28"/>
  <c r="Q184" i="28"/>
  <c r="R184" i="28" s="1"/>
  <c r="T184" i="28" s="1"/>
  <c r="AK186" i="4"/>
  <c r="AB186" i="4"/>
  <c r="E186" i="4"/>
  <c r="V186" i="4" s="1"/>
  <c r="K186" i="4"/>
  <c r="X186" i="4" s="1"/>
  <c r="M186" i="4"/>
  <c r="Z186" i="4" s="1"/>
  <c r="AG186" i="4"/>
  <c r="AJ186" i="4"/>
  <c r="J186" i="4"/>
  <c r="AO186" i="4" s="1"/>
  <c r="I186" i="4"/>
  <c r="H186" i="4"/>
  <c r="L186" i="4"/>
  <c r="Y186" i="4" s="1"/>
  <c r="AL186" i="4"/>
  <c r="AI186" i="4"/>
  <c r="G186" i="4"/>
  <c r="AH186" i="4"/>
  <c r="T186" i="29"/>
  <c r="B185" i="29"/>
  <c r="AE185" i="4"/>
  <c r="U185" i="28"/>
  <c r="M186" i="28"/>
  <c r="N186" i="28"/>
  <c r="E186" i="28"/>
  <c r="O186" i="28"/>
  <c r="P186" i="28"/>
  <c r="B187" i="4"/>
  <c r="AU188" i="4"/>
  <c r="I184" i="29"/>
  <c r="E184" i="29"/>
  <c r="G184" i="29" s="1"/>
  <c r="H184" i="29" s="1"/>
  <c r="K184" i="29"/>
  <c r="B187" i="28"/>
  <c r="F187" i="28" s="1"/>
  <c r="Y188" i="28"/>
  <c r="W186" i="28" l="1"/>
  <c r="AF184" i="4"/>
  <c r="V185" i="28"/>
  <c r="W186" i="4"/>
  <c r="AP186" i="4" s="1"/>
  <c r="AM184" i="4"/>
  <c r="AN184" i="4" s="1"/>
  <c r="AD185" i="4"/>
  <c r="AM185" i="4" s="1"/>
  <c r="AN185" i="4" s="1"/>
  <c r="J183" i="29"/>
  <c r="K186" i="28"/>
  <c r="I186" i="28"/>
  <c r="I185" i="29"/>
  <c r="E185" i="29"/>
  <c r="G185" i="29" s="1"/>
  <c r="H185" i="29" s="1"/>
  <c r="K185" i="29"/>
  <c r="N187" i="28"/>
  <c r="O187" i="28"/>
  <c r="P187" i="28"/>
  <c r="M187" i="28"/>
  <c r="E187" i="28"/>
  <c r="AU189" i="4"/>
  <c r="B188" i="4"/>
  <c r="B188" i="28"/>
  <c r="F188" i="28" s="1"/>
  <c r="Y189" i="28"/>
  <c r="AK187" i="4"/>
  <c r="M187" i="4"/>
  <c r="Z187" i="4" s="1"/>
  <c r="AH187" i="4"/>
  <c r="G187" i="4"/>
  <c r="AJ187" i="4"/>
  <c r="AB187" i="4"/>
  <c r="H187" i="4"/>
  <c r="E187" i="4"/>
  <c r="V187" i="4" s="1"/>
  <c r="AG187" i="4"/>
  <c r="I187" i="4"/>
  <c r="AL187" i="4"/>
  <c r="K187" i="4"/>
  <c r="X187" i="4" s="1"/>
  <c r="AI187" i="4"/>
  <c r="J187" i="4"/>
  <c r="AO187" i="4" s="1"/>
  <c r="L187" i="4"/>
  <c r="Y187" i="4" s="1"/>
  <c r="U186" i="28"/>
  <c r="V186" i="28" s="1"/>
  <c r="J186" i="28"/>
  <c r="L185" i="28"/>
  <c r="Q185" i="28"/>
  <c r="R185" i="28" s="1"/>
  <c r="T185" i="28" s="1"/>
  <c r="B186" i="29"/>
  <c r="T187" i="29"/>
  <c r="AE186" i="4"/>
  <c r="AC186" i="4"/>
  <c r="W187" i="28" l="1"/>
  <c r="AD186" i="4"/>
  <c r="AF186" i="4" s="1"/>
  <c r="AF185" i="4"/>
  <c r="W187" i="4"/>
  <c r="AP187" i="4" s="1"/>
  <c r="K187" i="28"/>
  <c r="I187" i="28"/>
  <c r="L185" i="29"/>
  <c r="M185" i="29" s="1"/>
  <c r="E186" i="29"/>
  <c r="G186" i="29" s="1"/>
  <c r="H186" i="29" s="1"/>
  <c r="K186" i="29"/>
  <c r="I186" i="29"/>
  <c r="AC187" i="4"/>
  <c r="L184" i="29"/>
  <c r="M184" i="29" s="1"/>
  <c r="J184" i="29"/>
  <c r="U187" i="28"/>
  <c r="J187" i="28"/>
  <c r="J185" i="29"/>
  <c r="B189" i="28"/>
  <c r="F189" i="28" s="1"/>
  <c r="Y190" i="28"/>
  <c r="AK188" i="4"/>
  <c r="L188" i="4"/>
  <c r="Y188" i="4" s="1"/>
  <c r="AB188" i="4"/>
  <c r="AL188" i="4"/>
  <c r="AG188" i="4"/>
  <c r="AH188" i="4"/>
  <c r="H188" i="4"/>
  <c r="M188" i="4"/>
  <c r="Z188" i="4" s="1"/>
  <c r="E188" i="4"/>
  <c r="V188" i="4" s="1"/>
  <c r="K188" i="4"/>
  <c r="X188" i="4" s="1"/>
  <c r="J188" i="4"/>
  <c r="AO188" i="4" s="1"/>
  <c r="G188" i="4"/>
  <c r="AJ188" i="4"/>
  <c r="AI188" i="4"/>
  <c r="I188" i="4"/>
  <c r="B187" i="29"/>
  <c r="T188" i="29"/>
  <c r="Q186" i="28"/>
  <c r="R186" i="28" s="1"/>
  <c r="T186" i="28" s="1"/>
  <c r="L186" i="28"/>
  <c r="AE187" i="4"/>
  <c r="N188" i="28"/>
  <c r="E188" i="28"/>
  <c r="M188" i="28"/>
  <c r="O188" i="28"/>
  <c r="P188" i="28"/>
  <c r="B189" i="4"/>
  <c r="AU190" i="4"/>
  <c r="W188" i="28" l="1"/>
  <c r="W188" i="4"/>
  <c r="AP188" i="4" s="1"/>
  <c r="AD187" i="4"/>
  <c r="AF187" i="4" s="1"/>
  <c r="AM186" i="4"/>
  <c r="AN186" i="4" s="1"/>
  <c r="M303" i="7"/>
  <c r="M304" i="7" s="1"/>
  <c r="M292" i="7" s="1"/>
  <c r="I188" i="28"/>
  <c r="K188" i="28"/>
  <c r="J188" i="28"/>
  <c r="U188" i="28"/>
  <c r="AC188" i="4"/>
  <c r="AU191" i="4"/>
  <c r="B190" i="4"/>
  <c r="B188" i="29"/>
  <c r="T189" i="29"/>
  <c r="AK189" i="4"/>
  <c r="AJ189" i="4"/>
  <c r="AB189" i="4"/>
  <c r="I189" i="4"/>
  <c r="G189" i="4"/>
  <c r="AH189" i="4"/>
  <c r="L189" i="4"/>
  <c r="Y189" i="4" s="1"/>
  <c r="H189" i="4"/>
  <c r="AL189" i="4"/>
  <c r="AI189" i="4"/>
  <c r="AG189" i="4"/>
  <c r="J189" i="4"/>
  <c r="AO189" i="4" s="1"/>
  <c r="K189" i="4"/>
  <c r="X189" i="4" s="1"/>
  <c r="E189" i="4"/>
  <c r="V189" i="4" s="1"/>
  <c r="M189" i="4"/>
  <c r="Z189" i="4" s="1"/>
  <c r="K187" i="29"/>
  <c r="E187" i="29"/>
  <c r="G187" i="29" s="1"/>
  <c r="H187" i="29" s="1"/>
  <c r="I187" i="29"/>
  <c r="AE188" i="4"/>
  <c r="Y191" i="28"/>
  <c r="B190" i="28"/>
  <c r="F190" i="28" s="1"/>
  <c r="L187" i="28"/>
  <c r="Q187" i="28"/>
  <c r="R187" i="28" s="1"/>
  <c r="T187" i="28" s="1"/>
  <c r="O189" i="28"/>
  <c r="E189" i="28"/>
  <c r="N189" i="28"/>
  <c r="M189" i="28"/>
  <c r="P189" i="28"/>
  <c r="J186" i="29"/>
  <c r="L186" i="29"/>
  <c r="M186" i="29" s="1"/>
  <c r="V187" i="28"/>
  <c r="W189" i="28" l="1"/>
  <c r="AD188" i="4"/>
  <c r="W189" i="4"/>
  <c r="AP189" i="4" s="1"/>
  <c r="AM187" i="4"/>
  <c r="AN187" i="4" s="1"/>
  <c r="I189" i="28"/>
  <c r="K189" i="28"/>
  <c r="V188" i="28"/>
  <c r="J187" i="29"/>
  <c r="AC189" i="4"/>
  <c r="E190" i="28"/>
  <c r="M190" i="28"/>
  <c r="N190" i="28"/>
  <c r="O190" i="28"/>
  <c r="P190" i="28"/>
  <c r="E188" i="29"/>
  <c r="G188" i="29" s="1"/>
  <c r="H188" i="29" s="1"/>
  <c r="K188" i="29"/>
  <c r="I188" i="29"/>
  <c r="J189" i="28"/>
  <c r="U189" i="28"/>
  <c r="Y192" i="28"/>
  <c r="B191" i="28"/>
  <c r="F191" i="28" s="1"/>
  <c r="AK190" i="4"/>
  <c r="H190" i="4"/>
  <c r="AJ190" i="4"/>
  <c r="AI190" i="4"/>
  <c r="J190" i="4"/>
  <c r="AO190" i="4" s="1"/>
  <c r="G190" i="4"/>
  <c r="K190" i="4"/>
  <c r="X190" i="4" s="1"/>
  <c r="M190" i="4"/>
  <c r="Z190" i="4" s="1"/>
  <c r="E190" i="4"/>
  <c r="V190" i="4" s="1"/>
  <c r="AB190" i="4"/>
  <c r="AH190" i="4"/>
  <c r="AG190" i="4"/>
  <c r="L190" i="4"/>
  <c r="Y190" i="4" s="1"/>
  <c r="AL190" i="4"/>
  <c r="I190" i="4"/>
  <c r="AE189" i="4"/>
  <c r="AU192" i="4"/>
  <c r="B191" i="4"/>
  <c r="L188" i="28"/>
  <c r="Q188" i="28"/>
  <c r="R188" i="28" s="1"/>
  <c r="T188" i="28" s="1"/>
  <c r="T190" i="29"/>
  <c r="B189" i="29"/>
  <c r="W190" i="28" l="1"/>
  <c r="AD189" i="4"/>
  <c r="AM189" i="4" s="1"/>
  <c r="AN189" i="4" s="1"/>
  <c r="W190" i="4"/>
  <c r="AP190" i="4" s="1"/>
  <c r="I190" i="28"/>
  <c r="K190" i="28"/>
  <c r="V189" i="28"/>
  <c r="L187" i="29"/>
  <c r="M187" i="29" s="1"/>
  <c r="AE190" i="4"/>
  <c r="M191" i="28"/>
  <c r="E191" i="28"/>
  <c r="O191" i="28"/>
  <c r="N191" i="28"/>
  <c r="P191" i="28"/>
  <c r="AM188" i="4"/>
  <c r="AN188" i="4" s="1"/>
  <c r="AF188" i="4"/>
  <c r="Y193" i="28"/>
  <c r="B192" i="28"/>
  <c r="F192" i="28" s="1"/>
  <c r="E189" i="29"/>
  <c r="G189" i="29" s="1"/>
  <c r="H189" i="29" s="1"/>
  <c r="K189" i="29"/>
  <c r="I189" i="29"/>
  <c r="AK191" i="4"/>
  <c r="AG191" i="4"/>
  <c r="L191" i="4"/>
  <c r="Y191" i="4" s="1"/>
  <c r="AJ191" i="4"/>
  <c r="G191" i="4"/>
  <c r="AH191" i="4"/>
  <c r="K191" i="4"/>
  <c r="X191" i="4" s="1"/>
  <c r="AL191" i="4"/>
  <c r="H191" i="4"/>
  <c r="M191" i="4"/>
  <c r="Z191" i="4" s="1"/>
  <c r="I191" i="4"/>
  <c r="AB191" i="4"/>
  <c r="J191" i="4"/>
  <c r="AO191" i="4" s="1"/>
  <c r="AI191" i="4"/>
  <c r="E191" i="4"/>
  <c r="V191" i="4" s="1"/>
  <c r="J190" i="28"/>
  <c r="U190" i="28"/>
  <c r="T191" i="29"/>
  <c r="B190" i="29"/>
  <c r="AU193" i="4"/>
  <c r="B192" i="4"/>
  <c r="AC190" i="4"/>
  <c r="Q189" i="28"/>
  <c r="R189" i="28" s="1"/>
  <c r="T189" i="28" s="1"/>
  <c r="L189" i="28"/>
  <c r="W191" i="28" l="1"/>
  <c r="AF189" i="4"/>
  <c r="AD190" i="4"/>
  <c r="W191" i="4"/>
  <c r="AP191" i="4" s="1"/>
  <c r="I191" i="28"/>
  <c r="J191" i="28" s="1"/>
  <c r="K191" i="28"/>
  <c r="AF190" i="4"/>
  <c r="AU194" i="4"/>
  <c r="B193" i="4"/>
  <c r="L190" i="28"/>
  <c r="Q190" i="28"/>
  <c r="R190" i="28" s="1"/>
  <c r="T190" i="28" s="1"/>
  <c r="T192" i="29"/>
  <c r="B191" i="29"/>
  <c r="U191" i="28"/>
  <c r="J188" i="29"/>
  <c r="L188" i="29"/>
  <c r="M188" i="29" s="1"/>
  <c r="AK192" i="4"/>
  <c r="AI192" i="4"/>
  <c r="L192" i="4"/>
  <c r="Y192" i="4" s="1"/>
  <c r="AG192" i="4"/>
  <c r="AL192" i="4"/>
  <c r="AH192" i="4"/>
  <c r="J192" i="4"/>
  <c r="AO192" i="4" s="1"/>
  <c r="E192" i="4"/>
  <c r="V192" i="4" s="1"/>
  <c r="AJ192" i="4"/>
  <c r="K192" i="4"/>
  <c r="X192" i="4" s="1"/>
  <c r="AB192" i="4"/>
  <c r="M192" i="4"/>
  <c r="Z192" i="4" s="1"/>
  <c r="G192" i="4"/>
  <c r="H192" i="4"/>
  <c r="I192" i="4"/>
  <c r="AE191" i="4"/>
  <c r="M192" i="28"/>
  <c r="N192" i="28"/>
  <c r="E192" i="28"/>
  <c r="O192" i="28"/>
  <c r="P192" i="28"/>
  <c r="I190" i="29"/>
  <c r="E190" i="29"/>
  <c r="G190" i="29" s="1"/>
  <c r="H190" i="29" s="1"/>
  <c r="K190" i="29"/>
  <c r="AC191" i="4"/>
  <c r="Y194" i="28"/>
  <c r="B193" i="28"/>
  <c r="F193" i="28" s="1"/>
  <c r="V190" i="28"/>
  <c r="W192" i="28" l="1"/>
  <c r="AD191" i="4"/>
  <c r="W192" i="4"/>
  <c r="AP192" i="4" s="1"/>
  <c r="AM190" i="4"/>
  <c r="AN190" i="4" s="1"/>
  <c r="I192" i="28"/>
  <c r="K192" i="28"/>
  <c r="V191" i="28"/>
  <c r="AC192" i="4"/>
  <c r="L189" i="29"/>
  <c r="M189" i="29" s="1"/>
  <c r="J189" i="29"/>
  <c r="AE192" i="4"/>
  <c r="L191" i="28"/>
  <c r="Q191" i="28"/>
  <c r="R191" i="28" s="1"/>
  <c r="T191" i="28" s="1"/>
  <c r="N193" i="28"/>
  <c r="O193" i="28"/>
  <c r="E193" i="28"/>
  <c r="M193" i="28"/>
  <c r="P193" i="28"/>
  <c r="K191" i="29"/>
  <c r="E191" i="29"/>
  <c r="G191" i="29" s="1"/>
  <c r="H191" i="29" s="1"/>
  <c r="I191" i="29"/>
  <c r="AK193" i="4"/>
  <c r="M193" i="4"/>
  <c r="Z193" i="4" s="1"/>
  <c r="G193" i="4"/>
  <c r="AH193" i="4"/>
  <c r="I193" i="4"/>
  <c r="E193" i="4"/>
  <c r="V193" i="4" s="1"/>
  <c r="AB193" i="4"/>
  <c r="AJ193" i="4"/>
  <c r="AL193" i="4"/>
  <c r="K193" i="4"/>
  <c r="X193" i="4" s="1"/>
  <c r="L193" i="4"/>
  <c r="Y193" i="4" s="1"/>
  <c r="J193" i="4"/>
  <c r="AO193" i="4" s="1"/>
  <c r="AG193" i="4"/>
  <c r="AI193" i="4"/>
  <c r="H193" i="4"/>
  <c r="B194" i="28"/>
  <c r="F194" i="28" s="1"/>
  <c r="Y195" i="28"/>
  <c r="U192" i="28"/>
  <c r="V192" i="28" s="1"/>
  <c r="J192" i="28"/>
  <c r="B192" i="29"/>
  <c r="T193" i="29"/>
  <c r="B194" i="4"/>
  <c r="AU195" i="4"/>
  <c r="W193" i="28" l="1"/>
  <c r="AD192" i="4"/>
  <c r="AF192" i="4" s="1"/>
  <c r="W193" i="4"/>
  <c r="AP193" i="4" s="1"/>
  <c r="I193" i="28"/>
  <c r="K193" i="28"/>
  <c r="AC193" i="4"/>
  <c r="B193" i="29"/>
  <c r="T194" i="29"/>
  <c r="L190" i="29"/>
  <c r="M190" i="29" s="1"/>
  <c r="J190" i="29"/>
  <c r="K192" i="29"/>
  <c r="I192" i="29"/>
  <c r="E192" i="29"/>
  <c r="G192" i="29" s="1"/>
  <c r="H192" i="29" s="1"/>
  <c r="B195" i="28"/>
  <c r="F195" i="28" s="1"/>
  <c r="Y196" i="28"/>
  <c r="AF191" i="4"/>
  <c r="AM191" i="4"/>
  <c r="AN191" i="4" s="1"/>
  <c r="AU196" i="4"/>
  <c r="B195" i="4"/>
  <c r="Q192" i="28"/>
  <c r="R192" i="28" s="1"/>
  <c r="T192" i="28" s="1"/>
  <c r="L192" i="28"/>
  <c r="E194" i="28"/>
  <c r="P194" i="28"/>
  <c r="O194" i="28"/>
  <c r="N194" i="28"/>
  <c r="M194" i="28"/>
  <c r="AK194" i="4"/>
  <c r="AB194" i="4"/>
  <c r="E194" i="4"/>
  <c r="V194" i="4" s="1"/>
  <c r="J194" i="4"/>
  <c r="AO194" i="4" s="1"/>
  <c r="M194" i="4"/>
  <c r="Z194" i="4" s="1"/>
  <c r="AJ194" i="4"/>
  <c r="L194" i="4"/>
  <c r="Y194" i="4" s="1"/>
  <c r="AG194" i="4"/>
  <c r="G194" i="4"/>
  <c r="AL194" i="4"/>
  <c r="H194" i="4"/>
  <c r="AI194" i="4"/>
  <c r="K194" i="4"/>
  <c r="X194" i="4" s="1"/>
  <c r="AH194" i="4"/>
  <c r="I194" i="4"/>
  <c r="AE193" i="4"/>
  <c r="J193" i="28"/>
  <c r="U193" i="28"/>
  <c r="W194" i="28" l="1"/>
  <c r="W194" i="4"/>
  <c r="AP194" i="4" s="1"/>
  <c r="AM192" i="4"/>
  <c r="AN192" i="4" s="1"/>
  <c r="AD193" i="4"/>
  <c r="I194" i="28"/>
  <c r="J192" i="29"/>
  <c r="K194" i="28"/>
  <c r="V193" i="28"/>
  <c r="AC194" i="4"/>
  <c r="AK195" i="4"/>
  <c r="M195" i="4"/>
  <c r="Z195" i="4" s="1"/>
  <c r="AJ195" i="4"/>
  <c r="I195" i="4"/>
  <c r="AH195" i="4"/>
  <c r="L195" i="4"/>
  <c r="Y195" i="4" s="1"/>
  <c r="AL195" i="4"/>
  <c r="G195" i="4"/>
  <c r="E195" i="4"/>
  <c r="V195" i="4" s="1"/>
  <c r="AI195" i="4"/>
  <c r="H195" i="4"/>
  <c r="AB195" i="4"/>
  <c r="K195" i="4"/>
  <c r="X195" i="4" s="1"/>
  <c r="AG195" i="4"/>
  <c r="J195" i="4"/>
  <c r="AO195" i="4" s="1"/>
  <c r="L192" i="29"/>
  <c r="M192" i="29" s="1"/>
  <c r="AE194" i="4"/>
  <c r="U194" i="28"/>
  <c r="J194" i="28"/>
  <c r="AU197" i="4"/>
  <c r="B196" i="4"/>
  <c r="Q193" i="28"/>
  <c r="R193" i="28" s="1"/>
  <c r="T193" i="28" s="1"/>
  <c r="L193" i="28"/>
  <c r="L191" i="29"/>
  <c r="M191" i="29" s="1"/>
  <c r="J191" i="29"/>
  <c r="B196" i="28"/>
  <c r="F196" i="28" s="1"/>
  <c r="Y197" i="28"/>
  <c r="B194" i="29"/>
  <c r="T195" i="29"/>
  <c r="N195" i="28"/>
  <c r="E195" i="28"/>
  <c r="O195" i="28"/>
  <c r="M195" i="28"/>
  <c r="P195" i="28"/>
  <c r="K193" i="29"/>
  <c r="I193" i="29"/>
  <c r="E193" i="29"/>
  <c r="G193" i="29" s="1"/>
  <c r="H193" i="29" s="1"/>
  <c r="W195" i="28" l="1"/>
  <c r="AD194" i="4"/>
  <c r="W195" i="4"/>
  <c r="AP195" i="4" s="1"/>
  <c r="I195" i="28"/>
  <c r="J195" i="28" s="1"/>
  <c r="K195" i="28"/>
  <c r="AC195" i="4"/>
  <c r="K194" i="29"/>
  <c r="I194" i="29"/>
  <c r="E194" i="29"/>
  <c r="G194" i="29" s="1"/>
  <c r="H194" i="29" s="1"/>
  <c r="B197" i="4"/>
  <c r="AU198" i="4"/>
  <c r="J193" i="29"/>
  <c r="L193" i="29"/>
  <c r="M193" i="29" s="1"/>
  <c r="U195" i="28"/>
  <c r="Y198" i="28"/>
  <c r="B197" i="28"/>
  <c r="F197" i="28" s="1"/>
  <c r="Q194" i="28"/>
  <c r="R194" i="28" s="1"/>
  <c r="T194" i="28" s="1"/>
  <c r="L194" i="28"/>
  <c r="V194" i="28"/>
  <c r="N196" i="28"/>
  <c r="E196" i="28"/>
  <c r="M196" i="28"/>
  <c r="P196" i="28"/>
  <c r="O196" i="28"/>
  <c r="AE195" i="4"/>
  <c r="AM194" i="4"/>
  <c r="AN194" i="4" s="1"/>
  <c r="AF194" i="4"/>
  <c r="B195" i="29"/>
  <c r="T196" i="29"/>
  <c r="AK196" i="4"/>
  <c r="H196" i="4"/>
  <c r="AG196" i="4"/>
  <c r="G196" i="4"/>
  <c r="AH196" i="4"/>
  <c r="AB196" i="4"/>
  <c r="I196" i="4"/>
  <c r="AJ196" i="4"/>
  <c r="AL196" i="4"/>
  <c r="E196" i="4"/>
  <c r="V196" i="4" s="1"/>
  <c r="AI196" i="4"/>
  <c r="K196" i="4"/>
  <c r="X196" i="4" s="1"/>
  <c r="M196" i="4"/>
  <c r="Z196" i="4" s="1"/>
  <c r="J196" i="4"/>
  <c r="AO196" i="4" s="1"/>
  <c r="L196" i="4"/>
  <c r="Y196" i="4" s="1"/>
  <c r="AM193" i="4"/>
  <c r="AN193" i="4" s="1"/>
  <c r="AF193" i="4"/>
  <c r="W196" i="28" l="1"/>
  <c r="AD195" i="4"/>
  <c r="W196" i="4"/>
  <c r="AP196" i="4" s="1"/>
  <c r="I196" i="28"/>
  <c r="K196" i="28"/>
  <c r="J194" i="29"/>
  <c r="AE196" i="4"/>
  <c r="V195" i="28"/>
  <c r="L195" i="28"/>
  <c r="Q195" i="28"/>
  <c r="R195" i="28" s="1"/>
  <c r="T195" i="28" s="1"/>
  <c r="AU199" i="4"/>
  <c r="B198" i="4"/>
  <c r="AC196" i="4"/>
  <c r="T197" i="29"/>
  <c r="B196" i="29"/>
  <c r="O197" i="28"/>
  <c r="N197" i="28"/>
  <c r="E197" i="28"/>
  <c r="M197" i="28"/>
  <c r="P197" i="28"/>
  <c r="AK197" i="4"/>
  <c r="J197" i="4"/>
  <c r="AO197" i="4" s="1"/>
  <c r="M197" i="4"/>
  <c r="Z197" i="4" s="1"/>
  <c r="AL197" i="4"/>
  <c r="E197" i="4"/>
  <c r="V197" i="4" s="1"/>
  <c r="K197" i="4"/>
  <c r="X197" i="4" s="1"/>
  <c r="H197" i="4"/>
  <c r="AG197" i="4"/>
  <c r="G197" i="4"/>
  <c r="AH197" i="4"/>
  <c r="AB197" i="4"/>
  <c r="L197" i="4"/>
  <c r="Y197" i="4" s="1"/>
  <c r="AJ197" i="4"/>
  <c r="I197" i="4"/>
  <c r="AI197" i="4"/>
  <c r="E195" i="29"/>
  <c r="G195" i="29" s="1"/>
  <c r="H195" i="29" s="1"/>
  <c r="K195" i="29"/>
  <c r="I195" i="29"/>
  <c r="J196" i="28"/>
  <c r="U196" i="28"/>
  <c r="Y199" i="28"/>
  <c r="B198" i="28"/>
  <c r="F198" i="28" s="1"/>
  <c r="L194" i="29"/>
  <c r="M194" i="29" s="1"/>
  <c r="W197" i="28" l="1"/>
  <c r="W197" i="4"/>
  <c r="AP197" i="4" s="1"/>
  <c r="K197" i="28"/>
  <c r="AD196" i="4"/>
  <c r="I197" i="28"/>
  <c r="AE197" i="4"/>
  <c r="N198" i="28"/>
  <c r="O198" i="28"/>
  <c r="E198" i="28"/>
  <c r="M198" i="28"/>
  <c r="P198" i="28"/>
  <c r="B199" i="28"/>
  <c r="F199" i="28" s="1"/>
  <c r="Y200" i="28"/>
  <c r="AC197" i="4"/>
  <c r="U197" i="28"/>
  <c r="J197" i="28"/>
  <c r="K196" i="29"/>
  <c r="I196" i="29"/>
  <c r="E196" i="29"/>
  <c r="G196" i="29" s="1"/>
  <c r="H196" i="29" s="1"/>
  <c r="AK198" i="4"/>
  <c r="L198" i="4"/>
  <c r="Y198" i="4" s="1"/>
  <c r="M198" i="4"/>
  <c r="Z198" i="4" s="1"/>
  <c r="AH198" i="4"/>
  <c r="I198" i="4"/>
  <c r="K198" i="4"/>
  <c r="X198" i="4" s="1"/>
  <c r="AG198" i="4"/>
  <c r="J198" i="4"/>
  <c r="AO198" i="4" s="1"/>
  <c r="AI198" i="4"/>
  <c r="AL198" i="4"/>
  <c r="G198" i="4"/>
  <c r="AJ198" i="4"/>
  <c r="H198" i="4"/>
  <c r="AB198" i="4"/>
  <c r="E198" i="4"/>
  <c r="V198" i="4" s="1"/>
  <c r="AF195" i="4"/>
  <c r="AM195" i="4"/>
  <c r="AN195" i="4" s="1"/>
  <c r="L196" i="28"/>
  <c r="Q196" i="28"/>
  <c r="R196" i="28" s="1"/>
  <c r="T196" i="28" s="1"/>
  <c r="T198" i="29"/>
  <c r="B197" i="29"/>
  <c r="B199" i="4"/>
  <c r="AU200" i="4"/>
  <c r="V196" i="28"/>
  <c r="J195" i="29"/>
  <c r="L195" i="29"/>
  <c r="M195" i="29" s="1"/>
  <c r="W198" i="28" l="1"/>
  <c r="AD197" i="4"/>
  <c r="W198" i="4"/>
  <c r="AP198" i="4" s="1"/>
  <c r="K198" i="28"/>
  <c r="I198" i="28"/>
  <c r="V197" i="28"/>
  <c r="AE198" i="4"/>
  <c r="AK199" i="4"/>
  <c r="M199" i="4"/>
  <c r="Z199" i="4" s="1"/>
  <c r="G199" i="4"/>
  <c r="AL199" i="4"/>
  <c r="AG199" i="4"/>
  <c r="AB199" i="4"/>
  <c r="H199" i="4"/>
  <c r="AJ199" i="4"/>
  <c r="L199" i="4"/>
  <c r="Y199" i="4" s="1"/>
  <c r="AH199" i="4"/>
  <c r="I199" i="4"/>
  <c r="E199" i="4"/>
  <c r="V199" i="4" s="1"/>
  <c r="K199" i="4"/>
  <c r="X199" i="4" s="1"/>
  <c r="J199" i="4"/>
  <c r="AO199" i="4" s="1"/>
  <c r="AI199" i="4"/>
  <c r="AC198" i="4"/>
  <c r="I197" i="29"/>
  <c r="E197" i="29"/>
  <c r="G197" i="29" s="1"/>
  <c r="H197" i="29" s="1"/>
  <c r="K197" i="29"/>
  <c r="T199" i="29"/>
  <c r="B198" i="29"/>
  <c r="AM197" i="4"/>
  <c r="AN197" i="4" s="1"/>
  <c r="AF197" i="4"/>
  <c r="Y201" i="28"/>
  <c r="B200" i="28"/>
  <c r="F200" i="28" s="1"/>
  <c r="U198" i="28"/>
  <c r="J198" i="28"/>
  <c r="AF196" i="4"/>
  <c r="AM196" i="4"/>
  <c r="AN196" i="4" s="1"/>
  <c r="B200" i="4"/>
  <c r="AU201" i="4"/>
  <c r="Q197" i="28"/>
  <c r="R197" i="28" s="1"/>
  <c r="T197" i="28" s="1"/>
  <c r="L197" i="28"/>
  <c r="O199" i="28"/>
  <c r="P199" i="28"/>
  <c r="M199" i="28"/>
  <c r="N199" i="28"/>
  <c r="E199" i="28"/>
  <c r="W199" i="28" l="1"/>
  <c r="AD198" i="4"/>
  <c r="AF198" i="4" s="1"/>
  <c r="W199" i="4"/>
  <c r="AP199" i="4" s="1"/>
  <c r="AC199" i="4"/>
  <c r="I199" i="28"/>
  <c r="K199" i="28"/>
  <c r="V198" i="28"/>
  <c r="N200" i="28"/>
  <c r="O200" i="28"/>
  <c r="P200" i="28"/>
  <c r="M200" i="28"/>
  <c r="E200" i="28"/>
  <c r="J196" i="29"/>
  <c r="L196" i="29"/>
  <c r="M196" i="29" s="1"/>
  <c r="Y202" i="28"/>
  <c r="B201" i="28"/>
  <c r="F201" i="28" s="1"/>
  <c r="I198" i="29"/>
  <c r="K198" i="29"/>
  <c r="E198" i="29"/>
  <c r="G198" i="29" s="1"/>
  <c r="H198" i="29" s="1"/>
  <c r="B201" i="4"/>
  <c r="AU202" i="4"/>
  <c r="Q198" i="28"/>
  <c r="R198" i="28" s="1"/>
  <c r="T198" i="28" s="1"/>
  <c r="L198" i="28"/>
  <c r="T200" i="29"/>
  <c r="B199" i="29"/>
  <c r="U199" i="28"/>
  <c r="J199" i="28"/>
  <c r="AK200" i="4"/>
  <c r="AL200" i="4"/>
  <c r="AH200" i="4"/>
  <c r="G200" i="4"/>
  <c r="L200" i="4"/>
  <c r="Y200" i="4" s="1"/>
  <c r="H200" i="4"/>
  <c r="I200" i="4"/>
  <c r="AI200" i="4"/>
  <c r="M200" i="4"/>
  <c r="Z200" i="4" s="1"/>
  <c r="AB200" i="4"/>
  <c r="AJ200" i="4"/>
  <c r="E200" i="4"/>
  <c r="V200" i="4" s="1"/>
  <c r="J200" i="4"/>
  <c r="AO200" i="4" s="1"/>
  <c r="K200" i="4"/>
  <c r="X200" i="4" s="1"/>
  <c r="AG200" i="4"/>
  <c r="AE199" i="4"/>
  <c r="W200" i="28" l="1"/>
  <c r="AD199" i="4"/>
  <c r="AM199" i="4" s="1"/>
  <c r="AN199" i="4" s="1"/>
  <c r="W200" i="4"/>
  <c r="AP200" i="4" s="1"/>
  <c r="I200" i="28"/>
  <c r="AC200" i="4"/>
  <c r="AM198" i="4"/>
  <c r="AN198" i="4" s="1"/>
  <c r="K200" i="28"/>
  <c r="V199" i="28"/>
  <c r="T201" i="29"/>
  <c r="B200" i="29"/>
  <c r="AK201" i="4"/>
  <c r="G201" i="4"/>
  <c r="M201" i="4"/>
  <c r="Z201" i="4" s="1"/>
  <c r="AH201" i="4"/>
  <c r="AJ201" i="4"/>
  <c r="AL201" i="4"/>
  <c r="AI201" i="4"/>
  <c r="AG201" i="4"/>
  <c r="H201" i="4"/>
  <c r="L201" i="4"/>
  <c r="Y201" i="4" s="1"/>
  <c r="AB201" i="4"/>
  <c r="J201" i="4"/>
  <c r="AO201" i="4" s="1"/>
  <c r="E201" i="4"/>
  <c r="V201" i="4" s="1"/>
  <c r="I201" i="4"/>
  <c r="K201" i="4"/>
  <c r="Q199" i="28"/>
  <c r="R199" i="28" s="1"/>
  <c r="T199" i="28" s="1"/>
  <c r="L199" i="28"/>
  <c r="J198" i="29"/>
  <c r="L198" i="29"/>
  <c r="M198" i="29" s="1"/>
  <c r="N201" i="28"/>
  <c r="E201" i="28"/>
  <c r="P201" i="28"/>
  <c r="O201" i="28"/>
  <c r="M201" i="28"/>
  <c r="J200" i="28"/>
  <c r="U200" i="28"/>
  <c r="V200" i="28" s="1"/>
  <c r="AE200" i="4"/>
  <c r="Y203" i="28"/>
  <c r="B202" i="28"/>
  <c r="F202" i="28" s="1"/>
  <c r="L197" i="29"/>
  <c r="M197" i="29" s="1"/>
  <c r="J197" i="29"/>
  <c r="I199" i="29"/>
  <c r="E199" i="29"/>
  <c r="G199" i="29" s="1"/>
  <c r="H199" i="29" s="1"/>
  <c r="K199" i="29"/>
  <c r="B202" i="4"/>
  <c r="AU203" i="4"/>
  <c r="W201" i="28" l="1"/>
  <c r="AD200" i="4"/>
  <c r="X201" i="4"/>
  <c r="AC201" i="4" s="1"/>
  <c r="W201" i="4"/>
  <c r="AP201" i="4" s="1"/>
  <c r="AF199" i="4"/>
  <c r="I201" i="28"/>
  <c r="J201" i="28" s="1"/>
  <c r="K201" i="28"/>
  <c r="B203" i="4"/>
  <c r="AU204" i="4"/>
  <c r="AE201" i="4"/>
  <c r="U201" i="28"/>
  <c r="K200" i="29"/>
  <c r="I200" i="29"/>
  <c r="E200" i="29"/>
  <c r="G200" i="29" s="1"/>
  <c r="H200" i="29" s="1"/>
  <c r="J199" i="29"/>
  <c r="L199" i="29"/>
  <c r="M199" i="29" s="1"/>
  <c r="P202" i="28"/>
  <c r="O202" i="28"/>
  <c r="M202" i="28"/>
  <c r="E202" i="28"/>
  <c r="N202" i="28"/>
  <c r="AK202" i="4"/>
  <c r="L202" i="4"/>
  <c r="Y202" i="4" s="1"/>
  <c r="AI202" i="4"/>
  <c r="G202" i="4"/>
  <c r="E202" i="4"/>
  <c r="V202" i="4" s="1"/>
  <c r="AG202" i="4"/>
  <c r="AH202" i="4"/>
  <c r="AJ202" i="4"/>
  <c r="J202" i="4"/>
  <c r="AO202" i="4" s="1"/>
  <c r="AB202" i="4"/>
  <c r="M202" i="4"/>
  <c r="Z202" i="4" s="1"/>
  <c r="H202" i="4"/>
  <c r="I202" i="4"/>
  <c r="K202" i="4"/>
  <c r="X202" i="4" s="1"/>
  <c r="AL202" i="4"/>
  <c r="B203" i="28"/>
  <c r="F203" i="28" s="1"/>
  <c r="Y204" i="28"/>
  <c r="Q200" i="28"/>
  <c r="R200" i="28" s="1"/>
  <c r="T200" i="28" s="1"/>
  <c r="L200" i="28"/>
  <c r="V201" i="28"/>
  <c r="B201" i="29"/>
  <c r="T202" i="29"/>
  <c r="W202" i="28" l="1"/>
  <c r="AD201" i="4"/>
  <c r="AM201" i="4" s="1"/>
  <c r="AN201" i="4" s="1"/>
  <c r="W202" i="4"/>
  <c r="AP202" i="4" s="1"/>
  <c r="I202" i="28"/>
  <c r="J202" i="28" s="1"/>
  <c r="K202" i="28"/>
  <c r="AE202" i="4"/>
  <c r="AM200" i="4"/>
  <c r="AN200" i="4" s="1"/>
  <c r="AF200" i="4"/>
  <c r="AC202" i="4"/>
  <c r="U202" i="28"/>
  <c r="J200" i="29"/>
  <c r="L200" i="29"/>
  <c r="M200" i="29" s="1"/>
  <c r="T203" i="29"/>
  <c r="B202" i="29"/>
  <c r="E201" i="29"/>
  <c r="G201" i="29" s="1"/>
  <c r="H201" i="29" s="1"/>
  <c r="K201" i="29"/>
  <c r="I201" i="29"/>
  <c r="Y205" i="28"/>
  <c r="B204" i="28"/>
  <c r="F204" i="28" s="1"/>
  <c r="AU205" i="4"/>
  <c r="B204" i="4"/>
  <c r="E203" i="28"/>
  <c r="N203" i="28"/>
  <c r="O203" i="28"/>
  <c r="P203" i="28"/>
  <c r="M203" i="28"/>
  <c r="L201" i="28"/>
  <c r="Q201" i="28"/>
  <c r="R201" i="28" s="1"/>
  <c r="T201" i="28" s="1"/>
  <c r="AK203" i="4"/>
  <c r="AI203" i="4"/>
  <c r="AJ203" i="4"/>
  <c r="AH203" i="4"/>
  <c r="AB203" i="4"/>
  <c r="H203" i="4"/>
  <c r="I203" i="4"/>
  <c r="J203" i="4"/>
  <c r="AO203" i="4" s="1"/>
  <c r="G203" i="4"/>
  <c r="M203" i="4"/>
  <c r="Z203" i="4" s="1"/>
  <c r="AL203" i="4"/>
  <c r="AG203" i="4"/>
  <c r="K203" i="4"/>
  <c r="X203" i="4" s="1"/>
  <c r="L203" i="4"/>
  <c r="Y203" i="4" s="1"/>
  <c r="E203" i="4"/>
  <c r="V203" i="4" s="1"/>
  <c r="W203" i="28" l="1"/>
  <c r="W203" i="4"/>
  <c r="AP203" i="4" s="1"/>
  <c r="AD202" i="4"/>
  <c r="AF201" i="4"/>
  <c r="I203" i="28"/>
  <c r="J203" i="28" s="1"/>
  <c r="K203" i="28"/>
  <c r="V202" i="28"/>
  <c r="AC203" i="4"/>
  <c r="AU206" i="4"/>
  <c r="B205" i="4"/>
  <c r="K202" i="29"/>
  <c r="E202" i="29"/>
  <c r="G202" i="29" s="1"/>
  <c r="H202" i="29" s="1"/>
  <c r="I202" i="29"/>
  <c r="T204" i="29"/>
  <c r="B203" i="29"/>
  <c r="AE203" i="4"/>
  <c r="U203" i="28"/>
  <c r="N204" i="28"/>
  <c r="E204" i="28"/>
  <c r="O204" i="28"/>
  <c r="P204" i="28"/>
  <c r="M204" i="28"/>
  <c r="AK204" i="4"/>
  <c r="AI204" i="4"/>
  <c r="AJ204" i="4"/>
  <c r="AB204" i="4"/>
  <c r="G204" i="4"/>
  <c r="AH204" i="4"/>
  <c r="I204" i="4"/>
  <c r="AL204" i="4"/>
  <c r="AG204" i="4"/>
  <c r="H204" i="4"/>
  <c r="E204" i="4"/>
  <c r="V204" i="4" s="1"/>
  <c r="L204" i="4"/>
  <c r="Y204" i="4" s="1"/>
  <c r="M204" i="4"/>
  <c r="Z204" i="4" s="1"/>
  <c r="K204" i="4"/>
  <c r="X204" i="4" s="1"/>
  <c r="J204" i="4"/>
  <c r="AO204" i="4" s="1"/>
  <c r="Y206" i="28"/>
  <c r="B205" i="28"/>
  <c r="F205" i="28" s="1"/>
  <c r="J201" i="29"/>
  <c r="L201" i="29"/>
  <c r="M201" i="29" s="1"/>
  <c r="L202" i="28"/>
  <c r="Q202" i="28"/>
  <c r="R202" i="28" s="1"/>
  <c r="T202" i="28" s="1"/>
  <c r="W204" i="28" l="1"/>
  <c r="AD203" i="4"/>
  <c r="AM203" i="4" s="1"/>
  <c r="AN203" i="4" s="1"/>
  <c r="V203" i="28"/>
  <c r="W204" i="4"/>
  <c r="AP204" i="4" s="1"/>
  <c r="AC204" i="4"/>
  <c r="I204" i="28"/>
  <c r="K204" i="28"/>
  <c r="Q203" i="28"/>
  <c r="R203" i="28" s="1"/>
  <c r="T203" i="28" s="1"/>
  <c r="L203" i="28"/>
  <c r="AK205" i="4"/>
  <c r="E205" i="4"/>
  <c r="V205" i="4" s="1"/>
  <c r="AL205" i="4"/>
  <c r="I205" i="4"/>
  <c r="AG205" i="4"/>
  <c r="M205" i="4"/>
  <c r="Z205" i="4" s="1"/>
  <c r="AJ205" i="4"/>
  <c r="AH205" i="4"/>
  <c r="G205" i="4"/>
  <c r="AB205" i="4"/>
  <c r="J205" i="4"/>
  <c r="AO205" i="4" s="1"/>
  <c r="H205" i="4"/>
  <c r="AI205" i="4"/>
  <c r="K205" i="4"/>
  <c r="X205" i="4" s="1"/>
  <c r="L205" i="4"/>
  <c r="Y205" i="4" s="1"/>
  <c r="M205" i="28"/>
  <c r="P205" i="28"/>
  <c r="E205" i="28"/>
  <c r="N205" i="28"/>
  <c r="O205" i="28"/>
  <c r="Y207" i="28"/>
  <c r="B206" i="28"/>
  <c r="F206" i="28" s="1"/>
  <c r="AE204" i="4"/>
  <c r="J204" i="28"/>
  <c r="U204" i="28"/>
  <c r="K203" i="29"/>
  <c r="E203" i="29"/>
  <c r="G203" i="29" s="1"/>
  <c r="H203" i="29" s="1"/>
  <c r="I203" i="29"/>
  <c r="AU207" i="4"/>
  <c r="B206" i="4"/>
  <c r="T205" i="29"/>
  <c r="B204" i="29"/>
  <c r="V204" i="28"/>
  <c r="AM202" i="4"/>
  <c r="AN202" i="4" s="1"/>
  <c r="AF202" i="4"/>
  <c r="W205" i="28" l="1"/>
  <c r="W205" i="4"/>
  <c r="AP205" i="4" s="1"/>
  <c r="AD204" i="4"/>
  <c r="AF203" i="4"/>
  <c r="I205" i="28"/>
  <c r="K205" i="28"/>
  <c r="AK206" i="4"/>
  <c r="AJ206" i="4"/>
  <c r="J206" i="4"/>
  <c r="AO206" i="4" s="1"/>
  <c r="AB206" i="4"/>
  <c r="AL206" i="4"/>
  <c r="AH206" i="4"/>
  <c r="L206" i="4"/>
  <c r="Y206" i="4" s="1"/>
  <c r="G206" i="4"/>
  <c r="M206" i="4"/>
  <c r="Z206" i="4" s="1"/>
  <c r="I206" i="4"/>
  <c r="E206" i="4"/>
  <c r="V206" i="4" s="1"/>
  <c r="H206" i="4"/>
  <c r="K206" i="4"/>
  <c r="AG206" i="4"/>
  <c r="J203" i="29"/>
  <c r="L203" i="29"/>
  <c r="M203" i="29" s="1"/>
  <c r="L204" i="28"/>
  <c r="Q204" i="28"/>
  <c r="R204" i="28" s="1"/>
  <c r="T204" i="28" s="1"/>
  <c r="U205" i="28"/>
  <c r="V205" i="28" s="1"/>
  <c r="J205" i="28"/>
  <c r="AE205" i="4"/>
  <c r="AU208" i="4"/>
  <c r="B207" i="4"/>
  <c r="AC205" i="4"/>
  <c r="I204" i="29"/>
  <c r="E204" i="29"/>
  <c r="G204" i="29" s="1"/>
  <c r="H204" i="29" s="1"/>
  <c r="K204" i="29"/>
  <c r="L202" i="29"/>
  <c r="M202" i="29" s="1"/>
  <c r="J202" i="29"/>
  <c r="N206" i="28"/>
  <c r="E206" i="28"/>
  <c r="O206" i="28"/>
  <c r="P206" i="28"/>
  <c r="M206" i="28"/>
  <c r="B205" i="29"/>
  <c r="T206" i="29"/>
  <c r="B207" i="28"/>
  <c r="F207" i="28" s="1"/>
  <c r="Y208" i="28"/>
  <c r="AF204" i="4"/>
  <c r="AM204" i="4"/>
  <c r="AN204" i="4" s="1"/>
  <c r="W206" i="28" l="1"/>
  <c r="AD205" i="4"/>
  <c r="W206" i="4"/>
  <c r="AP206" i="4" s="1"/>
  <c r="X206" i="4"/>
  <c r="AC206" i="4" s="1"/>
  <c r="I206" i="28"/>
  <c r="J206" i="28" s="1"/>
  <c r="K206" i="28"/>
  <c r="J204" i="29"/>
  <c r="T207" i="29"/>
  <c r="B206" i="29"/>
  <c r="U206" i="28"/>
  <c r="L204" i="29"/>
  <c r="M204" i="29" s="1"/>
  <c r="Q205" i="28"/>
  <c r="R205" i="28" s="1"/>
  <c r="T205" i="28" s="1"/>
  <c r="L205" i="28"/>
  <c r="I205" i="29"/>
  <c r="K205" i="29"/>
  <c r="E205" i="29"/>
  <c r="G205" i="29" s="1"/>
  <c r="H205" i="29" s="1"/>
  <c r="B208" i="28"/>
  <c r="F208" i="28" s="1"/>
  <c r="Y209" i="28"/>
  <c r="AK207" i="4"/>
  <c r="E207" i="4"/>
  <c r="V207" i="4" s="1"/>
  <c r="AI207" i="4"/>
  <c r="H207" i="4"/>
  <c r="I207" i="4"/>
  <c r="AG207" i="4"/>
  <c r="L207" i="4"/>
  <c r="Y207" i="4" s="1"/>
  <c r="K207" i="4"/>
  <c r="X207" i="4" s="1"/>
  <c r="AH207" i="4"/>
  <c r="AB207" i="4"/>
  <c r="G207" i="4"/>
  <c r="AL207" i="4"/>
  <c r="AJ207" i="4"/>
  <c r="J207" i="4"/>
  <c r="AO207" i="4" s="1"/>
  <c r="M207" i="4"/>
  <c r="Z207" i="4" s="1"/>
  <c r="AM205" i="4"/>
  <c r="AN205" i="4" s="1"/>
  <c r="AF205" i="4"/>
  <c r="B208" i="4"/>
  <c r="AU209" i="4"/>
  <c r="N207" i="28"/>
  <c r="E207" i="28"/>
  <c r="P207" i="28"/>
  <c r="M207" i="28"/>
  <c r="O207" i="28"/>
  <c r="W207" i="28" l="1"/>
  <c r="AD206" i="4"/>
  <c r="W207" i="4"/>
  <c r="AP207" i="4" s="1"/>
  <c r="J205" i="29"/>
  <c r="I207" i="28"/>
  <c r="K207" i="28"/>
  <c r="V206" i="28"/>
  <c r="L205" i="29"/>
  <c r="M205" i="29" s="1"/>
  <c r="Q206" i="28"/>
  <c r="R206" i="28" s="1"/>
  <c r="T206" i="28" s="1"/>
  <c r="L206" i="28"/>
  <c r="AU210" i="4"/>
  <c r="B209" i="4"/>
  <c r="AE207" i="4"/>
  <c r="AC207" i="4"/>
  <c r="Y210" i="28"/>
  <c r="B209" i="28"/>
  <c r="F209" i="28" s="1"/>
  <c r="K206" i="29"/>
  <c r="E206" i="29"/>
  <c r="G206" i="29" s="1"/>
  <c r="H206" i="29" s="1"/>
  <c r="I206" i="29"/>
  <c r="J207" i="28"/>
  <c r="U207" i="28"/>
  <c r="AK208" i="4"/>
  <c r="I208" i="4"/>
  <c r="AJ208" i="4"/>
  <c r="M208" i="4"/>
  <c r="Z208" i="4" s="1"/>
  <c r="AB208" i="4"/>
  <c r="J208" i="4"/>
  <c r="AO208" i="4" s="1"/>
  <c r="AH208" i="4"/>
  <c r="E208" i="4"/>
  <c r="V208" i="4" s="1"/>
  <c r="G208" i="4"/>
  <c r="H208" i="4"/>
  <c r="AG208" i="4"/>
  <c r="K208" i="4"/>
  <c r="X208" i="4" s="1"/>
  <c r="AI208" i="4"/>
  <c r="AL208" i="4"/>
  <c r="L208" i="4"/>
  <c r="Y208" i="4" s="1"/>
  <c r="O208" i="28"/>
  <c r="M208" i="28"/>
  <c r="E208" i="28"/>
  <c r="N208" i="28"/>
  <c r="P208" i="28"/>
  <c r="T208" i="29"/>
  <c r="B207" i="29"/>
  <c r="W208" i="28" l="1"/>
  <c r="W208" i="4"/>
  <c r="AP208" i="4" s="1"/>
  <c r="AD207" i="4"/>
  <c r="AM207" i="4" s="1"/>
  <c r="AN207" i="4" s="1"/>
  <c r="K208" i="28"/>
  <c r="I208" i="28"/>
  <c r="J208" i="28" s="1"/>
  <c r="U208" i="28"/>
  <c r="Q207" i="28"/>
  <c r="R207" i="28" s="1"/>
  <c r="T207" i="28" s="1"/>
  <c r="L207" i="28"/>
  <c r="AE208" i="4"/>
  <c r="M209" i="28"/>
  <c r="P209" i="28"/>
  <c r="N209" i="28"/>
  <c r="O209" i="28"/>
  <c r="E209" i="28"/>
  <c r="AK209" i="4"/>
  <c r="E209" i="4"/>
  <c r="V209" i="4" s="1"/>
  <c r="AG209" i="4"/>
  <c r="AB209" i="4"/>
  <c r="H209" i="4"/>
  <c r="AJ209" i="4"/>
  <c r="L209" i="4"/>
  <c r="Y209" i="4" s="1"/>
  <c r="AI209" i="4"/>
  <c r="AL209" i="4"/>
  <c r="G209" i="4"/>
  <c r="AH209" i="4"/>
  <c r="I209" i="4"/>
  <c r="K209" i="4"/>
  <c r="X209" i="4" s="1"/>
  <c r="M209" i="4"/>
  <c r="Z209" i="4" s="1"/>
  <c r="J209" i="4"/>
  <c r="AO209" i="4" s="1"/>
  <c r="Y211" i="28"/>
  <c r="B210" i="28"/>
  <c r="F210" i="28" s="1"/>
  <c r="AU211" i="4"/>
  <c r="B210" i="4"/>
  <c r="K207" i="29"/>
  <c r="E207" i="29"/>
  <c r="G207" i="29" s="1"/>
  <c r="H207" i="29" s="1"/>
  <c r="I207" i="29"/>
  <c r="T209" i="29"/>
  <c r="B208" i="29"/>
  <c r="AC208" i="4"/>
  <c r="V207" i="28"/>
  <c r="W209" i="28" l="1"/>
  <c r="AF207" i="4"/>
  <c r="AD208" i="4"/>
  <c r="W209" i="4"/>
  <c r="AP209" i="4" s="1"/>
  <c r="I209" i="28"/>
  <c r="V208" i="28"/>
  <c r="K209" i="28"/>
  <c r="B211" i="4"/>
  <c r="AU212" i="4"/>
  <c r="P210" i="28"/>
  <c r="M210" i="28"/>
  <c r="E210" i="28"/>
  <c r="O210" i="28"/>
  <c r="N210" i="28"/>
  <c r="B211" i="28"/>
  <c r="F211" i="28" s="1"/>
  <c r="Y212" i="28"/>
  <c r="AC209" i="4"/>
  <c r="AE209" i="4"/>
  <c r="Q208" i="28"/>
  <c r="R208" i="28" s="1"/>
  <c r="T208" i="28" s="1"/>
  <c r="L208" i="28"/>
  <c r="T210" i="29"/>
  <c r="B209" i="29"/>
  <c r="AM208" i="4"/>
  <c r="AN208" i="4" s="1"/>
  <c r="AF208" i="4"/>
  <c r="I208" i="29"/>
  <c r="E208" i="29"/>
  <c r="G208" i="29" s="1"/>
  <c r="H208" i="29" s="1"/>
  <c r="K208" i="29"/>
  <c r="AK210" i="4"/>
  <c r="I210" i="4"/>
  <c r="AL210" i="4"/>
  <c r="AG210" i="4"/>
  <c r="AH210" i="4"/>
  <c r="K210" i="4"/>
  <c r="X210" i="4" s="1"/>
  <c r="E210" i="4"/>
  <c r="V210" i="4" s="1"/>
  <c r="AI210" i="4"/>
  <c r="AJ210" i="4"/>
  <c r="M210" i="4"/>
  <c r="Z210" i="4" s="1"/>
  <c r="AB210" i="4"/>
  <c r="G210" i="4"/>
  <c r="J210" i="4"/>
  <c r="AO210" i="4" s="1"/>
  <c r="H210" i="4"/>
  <c r="L210" i="4"/>
  <c r="Y210" i="4" s="1"/>
  <c r="J206" i="29"/>
  <c r="L206" i="29"/>
  <c r="M206" i="29" s="1"/>
  <c r="U209" i="28"/>
  <c r="J209" i="28"/>
  <c r="W210" i="28" l="1"/>
  <c r="AD209" i="4"/>
  <c r="AF209" i="4" s="1"/>
  <c r="W210" i="4"/>
  <c r="AP210" i="4" s="1"/>
  <c r="I210" i="28"/>
  <c r="K210" i="28"/>
  <c r="V209" i="28"/>
  <c r="AC210" i="4"/>
  <c r="I209" i="29"/>
  <c r="K209" i="29"/>
  <c r="E209" i="29"/>
  <c r="G209" i="29" s="1"/>
  <c r="H209" i="29" s="1"/>
  <c r="J207" i="29"/>
  <c r="L207" i="29"/>
  <c r="M207" i="29" s="1"/>
  <c r="B210" i="29"/>
  <c r="T211" i="29"/>
  <c r="J210" i="28"/>
  <c r="U210" i="28"/>
  <c r="Y213" i="28"/>
  <c r="B212" i="28"/>
  <c r="F212" i="28" s="1"/>
  <c r="B212" i="4"/>
  <c r="AU213" i="4"/>
  <c r="Q209" i="28"/>
  <c r="R209" i="28" s="1"/>
  <c r="T209" i="28" s="1"/>
  <c r="L209" i="28"/>
  <c r="AE210" i="4"/>
  <c r="E211" i="28"/>
  <c r="P211" i="28"/>
  <c r="M211" i="28"/>
  <c r="N211" i="28"/>
  <c r="O211" i="28"/>
  <c r="AK211" i="4"/>
  <c r="G211" i="4"/>
  <c r="I211" i="4"/>
  <c r="AJ211" i="4"/>
  <c r="K211" i="4"/>
  <c r="X211" i="4" s="1"/>
  <c r="H211" i="4"/>
  <c r="AL211" i="4"/>
  <c r="E211" i="4"/>
  <c r="V211" i="4" s="1"/>
  <c r="AB211" i="4"/>
  <c r="AG211" i="4"/>
  <c r="AH211" i="4"/>
  <c r="M211" i="4"/>
  <c r="Z211" i="4" s="1"/>
  <c r="J211" i="4"/>
  <c r="AO211" i="4" s="1"/>
  <c r="L211" i="4"/>
  <c r="Y211" i="4" s="1"/>
  <c r="AI211" i="4"/>
  <c r="W211" i="28" l="1"/>
  <c r="V210" i="28"/>
  <c r="AD210" i="4"/>
  <c r="AM210" i="4" s="1"/>
  <c r="AN210" i="4" s="1"/>
  <c r="W211" i="4"/>
  <c r="AP211" i="4" s="1"/>
  <c r="AM209" i="4"/>
  <c r="AN209" i="4" s="1"/>
  <c r="I211" i="28"/>
  <c r="K211" i="28"/>
  <c r="AC211" i="4"/>
  <c r="J208" i="29"/>
  <c r="L208" i="29"/>
  <c r="M208" i="29" s="1"/>
  <c r="Y214" i="28"/>
  <c r="B213" i="28"/>
  <c r="F213" i="28" s="1"/>
  <c r="L210" i="28"/>
  <c r="Q210" i="28"/>
  <c r="R210" i="28" s="1"/>
  <c r="T210" i="28" s="1"/>
  <c r="E210" i="29"/>
  <c r="G210" i="29" s="1"/>
  <c r="H210" i="29" s="1"/>
  <c r="K210" i="29"/>
  <c r="I210" i="29"/>
  <c r="B213" i="4"/>
  <c r="AU214" i="4"/>
  <c r="AE211" i="4"/>
  <c r="AK212" i="4"/>
  <c r="K212" i="4"/>
  <c r="X212" i="4" s="1"/>
  <c r="I212" i="4"/>
  <c r="AG212" i="4"/>
  <c r="H212" i="4"/>
  <c r="AH212" i="4"/>
  <c r="G212" i="4"/>
  <c r="AB212" i="4"/>
  <c r="E212" i="4"/>
  <c r="V212" i="4" s="1"/>
  <c r="AL212" i="4"/>
  <c r="J212" i="4"/>
  <c r="AO212" i="4" s="1"/>
  <c r="L212" i="4"/>
  <c r="Y212" i="4" s="1"/>
  <c r="AI212" i="4"/>
  <c r="AJ212" i="4"/>
  <c r="M212" i="4"/>
  <c r="Z212" i="4" s="1"/>
  <c r="J211" i="28"/>
  <c r="U211" i="28"/>
  <c r="O212" i="28"/>
  <c r="M212" i="28"/>
  <c r="E212" i="28"/>
  <c r="N212" i="28"/>
  <c r="P212" i="28"/>
  <c r="B211" i="29"/>
  <c r="T212" i="29"/>
  <c r="W212" i="28" l="1"/>
  <c r="AD211" i="4"/>
  <c r="W212" i="4"/>
  <c r="AP212" i="4" s="1"/>
  <c r="AF210" i="4"/>
  <c r="I212" i="28"/>
  <c r="J212" i="28" s="1"/>
  <c r="K212" i="28"/>
  <c r="L210" i="29"/>
  <c r="M210" i="29" s="1"/>
  <c r="B214" i="4"/>
  <c r="AU215" i="4"/>
  <c r="J209" i="29"/>
  <c r="L209" i="29"/>
  <c r="M209" i="29" s="1"/>
  <c r="Y215" i="28"/>
  <c r="B214" i="28"/>
  <c r="F214" i="28" s="1"/>
  <c r="L211" i="28"/>
  <c r="Q211" i="28"/>
  <c r="R211" i="28" s="1"/>
  <c r="T211" i="28" s="1"/>
  <c r="AK213" i="4"/>
  <c r="G213" i="4"/>
  <c r="E213" i="4"/>
  <c r="V213" i="4" s="1"/>
  <c r="AH213" i="4"/>
  <c r="AJ213" i="4"/>
  <c r="M213" i="4"/>
  <c r="Z213" i="4" s="1"/>
  <c r="AL213" i="4"/>
  <c r="L213" i="4"/>
  <c r="Y213" i="4" s="1"/>
  <c r="AI213" i="4"/>
  <c r="AG213" i="4"/>
  <c r="J213" i="4"/>
  <c r="AO213" i="4" s="1"/>
  <c r="H213" i="4"/>
  <c r="I213" i="4"/>
  <c r="K213" i="4"/>
  <c r="X213" i="4" s="1"/>
  <c r="AB213" i="4"/>
  <c r="V211" i="28"/>
  <c r="T213" i="29"/>
  <c r="B212" i="29"/>
  <c r="I211" i="29"/>
  <c r="K211" i="29"/>
  <c r="E211" i="29"/>
  <c r="G211" i="29" s="1"/>
  <c r="H211" i="29" s="1"/>
  <c r="U212" i="28"/>
  <c r="AE212" i="4"/>
  <c r="AC212" i="4"/>
  <c r="E213" i="28"/>
  <c r="O213" i="28"/>
  <c r="M213" i="28"/>
  <c r="P213" i="28"/>
  <c r="N213" i="28"/>
  <c r="W213" i="28" l="1"/>
  <c r="AD212" i="4"/>
  <c r="W213" i="4"/>
  <c r="AP213" i="4" s="1"/>
  <c r="I213" i="28"/>
  <c r="K213" i="28"/>
  <c r="J210" i="29"/>
  <c r="AM211" i="4"/>
  <c r="AN211" i="4" s="1"/>
  <c r="AF211" i="4"/>
  <c r="M214" i="28"/>
  <c r="N214" i="28"/>
  <c r="P214" i="28"/>
  <c r="O214" i="28"/>
  <c r="E214" i="28"/>
  <c r="J211" i="29"/>
  <c r="L211" i="29"/>
  <c r="M211" i="29" s="1"/>
  <c r="K212" i="29"/>
  <c r="E212" i="29"/>
  <c r="G212" i="29" s="1"/>
  <c r="H212" i="29" s="1"/>
  <c r="I212" i="29"/>
  <c r="V212" i="28"/>
  <c r="Y216" i="28"/>
  <c r="B215" i="28"/>
  <c r="F215" i="28" s="1"/>
  <c r="T214" i="29"/>
  <c r="B213" i="29"/>
  <c r="AE213" i="4"/>
  <c r="B215" i="4"/>
  <c r="AU216" i="4"/>
  <c r="J213" i="28"/>
  <c r="U213" i="28"/>
  <c r="Q212" i="28"/>
  <c r="R212" i="28" s="1"/>
  <c r="T212" i="28" s="1"/>
  <c r="L212" i="28"/>
  <c r="AC213" i="4"/>
  <c r="AK214" i="4"/>
  <c r="J214" i="4"/>
  <c r="AO214" i="4" s="1"/>
  <c r="AI214" i="4"/>
  <c r="I214" i="4"/>
  <c r="AG214" i="4"/>
  <c r="AH214" i="4"/>
  <c r="L214" i="4"/>
  <c r="Y214" i="4" s="1"/>
  <c r="AJ214" i="4"/>
  <c r="AB214" i="4"/>
  <c r="H214" i="4"/>
  <c r="M214" i="4"/>
  <c r="Z214" i="4" s="1"/>
  <c r="K214" i="4"/>
  <c r="X214" i="4" s="1"/>
  <c r="G214" i="4"/>
  <c r="AL214" i="4"/>
  <c r="E214" i="4"/>
  <c r="V214" i="4" s="1"/>
  <c r="W214" i="28" l="1"/>
  <c r="W214" i="4"/>
  <c r="AP214" i="4" s="1"/>
  <c r="AD213" i="4"/>
  <c r="AM213" i="4" s="1"/>
  <c r="AN213" i="4" s="1"/>
  <c r="I214" i="28"/>
  <c r="K214" i="28"/>
  <c r="V213" i="28"/>
  <c r="AE214" i="4"/>
  <c r="AC214" i="4"/>
  <c r="AK215" i="4"/>
  <c r="M215" i="4"/>
  <c r="Z215" i="4" s="1"/>
  <c r="AL215" i="4"/>
  <c r="E215" i="4"/>
  <c r="V215" i="4" s="1"/>
  <c r="G215" i="4"/>
  <c r="AG215" i="4"/>
  <c r="AH215" i="4"/>
  <c r="I215" i="4"/>
  <c r="L215" i="4"/>
  <c r="Y215" i="4" s="1"/>
  <c r="AJ215" i="4"/>
  <c r="H215" i="4"/>
  <c r="K215" i="4"/>
  <c r="X215" i="4" s="1"/>
  <c r="AI215" i="4"/>
  <c r="AB215" i="4"/>
  <c r="J215" i="4"/>
  <c r="AO215" i="4" s="1"/>
  <c r="B214" i="29"/>
  <c r="T215" i="29"/>
  <c r="AM212" i="4"/>
  <c r="AN212" i="4" s="1"/>
  <c r="AF212" i="4"/>
  <c r="Q213" i="28"/>
  <c r="R213" i="28" s="1"/>
  <c r="T213" i="28" s="1"/>
  <c r="L213" i="28"/>
  <c r="O215" i="28"/>
  <c r="P215" i="28"/>
  <c r="M215" i="28"/>
  <c r="N215" i="28"/>
  <c r="E215" i="28"/>
  <c r="B216" i="28"/>
  <c r="F216" i="28" s="1"/>
  <c r="Y217" i="28"/>
  <c r="B216" i="4"/>
  <c r="AU217" i="4"/>
  <c r="I213" i="29"/>
  <c r="E213" i="29"/>
  <c r="G213" i="29" s="1"/>
  <c r="H213" i="29" s="1"/>
  <c r="K213" i="29"/>
  <c r="U214" i="28"/>
  <c r="J214" i="28"/>
  <c r="W215" i="28" l="1"/>
  <c r="AD214" i="4"/>
  <c r="AM214" i="4" s="1"/>
  <c r="AN214" i="4" s="1"/>
  <c r="V214" i="28"/>
  <c r="W215" i="4"/>
  <c r="AP215" i="4" s="1"/>
  <c r="AF213" i="4"/>
  <c r="L213" i="29"/>
  <c r="M213" i="29" s="1"/>
  <c r="I215" i="28"/>
  <c r="J215" i="28" s="1"/>
  <c r="K215" i="28"/>
  <c r="U215" i="28"/>
  <c r="L214" i="28"/>
  <c r="Q214" i="28"/>
  <c r="R214" i="28" s="1"/>
  <c r="T214" i="28" s="1"/>
  <c r="L212" i="29"/>
  <c r="M212" i="29" s="1"/>
  <c r="J212" i="29"/>
  <c r="T216" i="29"/>
  <c r="B215" i="29"/>
  <c r="B217" i="28"/>
  <c r="F217" i="28" s="1"/>
  <c r="Y218" i="28"/>
  <c r="I214" i="29"/>
  <c r="E214" i="29"/>
  <c r="G214" i="29" s="1"/>
  <c r="H214" i="29" s="1"/>
  <c r="K214" i="29"/>
  <c r="AC215" i="4"/>
  <c r="AU218" i="4"/>
  <c r="B217" i="4"/>
  <c r="M216" i="28"/>
  <c r="N216" i="28"/>
  <c r="P216" i="28"/>
  <c r="O216" i="28"/>
  <c r="E216" i="28"/>
  <c r="AE215" i="4"/>
  <c r="AK216" i="4"/>
  <c r="I216" i="4"/>
  <c r="H216" i="4"/>
  <c r="AB216" i="4"/>
  <c r="L216" i="4"/>
  <c r="Y216" i="4" s="1"/>
  <c r="J216" i="4"/>
  <c r="AO216" i="4" s="1"/>
  <c r="E216" i="4"/>
  <c r="V216" i="4" s="1"/>
  <c r="AI216" i="4"/>
  <c r="AG216" i="4"/>
  <c r="M216" i="4"/>
  <c r="Z216" i="4" s="1"/>
  <c r="AJ216" i="4"/>
  <c r="AL216" i="4"/>
  <c r="G216" i="4"/>
  <c r="AH216" i="4"/>
  <c r="K216" i="4"/>
  <c r="X216" i="4" s="1"/>
  <c r="V215" i="28"/>
  <c r="W216" i="28" l="1"/>
  <c r="W216" i="4"/>
  <c r="AP216" i="4" s="1"/>
  <c r="AD215" i="4"/>
  <c r="AM215" i="4" s="1"/>
  <c r="AN215" i="4" s="1"/>
  <c r="J213" i="29"/>
  <c r="AF214" i="4"/>
  <c r="I216" i="28"/>
  <c r="AC216" i="4"/>
  <c r="K216" i="28"/>
  <c r="AE216" i="4"/>
  <c r="E215" i="29"/>
  <c r="G215" i="29" s="1"/>
  <c r="H215" i="29" s="1"/>
  <c r="I215" i="29"/>
  <c r="K215" i="29"/>
  <c r="AK217" i="4"/>
  <c r="G217" i="4"/>
  <c r="J217" i="4"/>
  <c r="AO217" i="4" s="1"/>
  <c r="AJ217" i="4"/>
  <c r="AB217" i="4"/>
  <c r="L217" i="4"/>
  <c r="Y217" i="4" s="1"/>
  <c r="M217" i="4"/>
  <c r="Z217" i="4" s="1"/>
  <c r="AG217" i="4"/>
  <c r="AH217" i="4"/>
  <c r="AL217" i="4"/>
  <c r="H217" i="4"/>
  <c r="I217" i="4"/>
  <c r="E217" i="4"/>
  <c r="V217" i="4" s="1"/>
  <c r="AI217" i="4"/>
  <c r="K217" i="4"/>
  <c r="X217" i="4" s="1"/>
  <c r="B218" i="28"/>
  <c r="F218" i="28" s="1"/>
  <c r="Y219" i="28"/>
  <c r="B216" i="29"/>
  <c r="T217" i="29"/>
  <c r="U216" i="28"/>
  <c r="J216" i="28"/>
  <c r="AU219" i="4"/>
  <c r="B218" i="4"/>
  <c r="E217" i="28"/>
  <c r="N217" i="28"/>
  <c r="O217" i="28"/>
  <c r="M217" i="28"/>
  <c r="P217" i="28"/>
  <c r="J214" i="29"/>
  <c r="L214" i="29"/>
  <c r="M214" i="29" s="1"/>
  <c r="L215" i="28"/>
  <c r="Q215" i="28"/>
  <c r="R215" i="28" s="1"/>
  <c r="T215" i="28" s="1"/>
  <c r="W217" i="28" l="1"/>
  <c r="AF215" i="4"/>
  <c r="W217" i="4"/>
  <c r="AP217" i="4" s="1"/>
  <c r="AD216" i="4"/>
  <c r="AM216" i="4" s="1"/>
  <c r="AN216" i="4" s="1"/>
  <c r="I217" i="28"/>
  <c r="K217" i="28"/>
  <c r="AC217" i="4"/>
  <c r="AU220" i="4"/>
  <c r="B219" i="4"/>
  <c r="I216" i="29"/>
  <c r="K216" i="29"/>
  <c r="E216" i="29"/>
  <c r="G216" i="29" s="1"/>
  <c r="H216" i="29" s="1"/>
  <c r="AE217" i="4"/>
  <c r="J217" i="28"/>
  <c r="U217" i="28"/>
  <c r="Q216" i="28"/>
  <c r="R216" i="28" s="1"/>
  <c r="T216" i="28" s="1"/>
  <c r="L216" i="28"/>
  <c r="Y220" i="28"/>
  <c r="B219" i="28"/>
  <c r="F219" i="28" s="1"/>
  <c r="N218" i="28"/>
  <c r="E218" i="28"/>
  <c r="M218" i="28"/>
  <c r="P218" i="28"/>
  <c r="O218" i="28"/>
  <c r="V216" i="28"/>
  <c r="AK218" i="4"/>
  <c r="AH218" i="4"/>
  <c r="L218" i="4"/>
  <c r="Y218" i="4" s="1"/>
  <c r="K218" i="4"/>
  <c r="X218" i="4" s="1"/>
  <c r="E218" i="4"/>
  <c r="V218" i="4" s="1"/>
  <c r="AI218" i="4"/>
  <c r="H218" i="4"/>
  <c r="M218" i="4"/>
  <c r="Z218" i="4" s="1"/>
  <c r="I218" i="4"/>
  <c r="J218" i="4"/>
  <c r="AO218" i="4" s="1"/>
  <c r="AB218" i="4"/>
  <c r="G218" i="4"/>
  <c r="AL218" i="4"/>
  <c r="AG218" i="4"/>
  <c r="AJ218" i="4"/>
  <c r="B217" i="29"/>
  <c r="T218" i="29"/>
  <c r="W218" i="28" l="1"/>
  <c r="AF216" i="4"/>
  <c r="AD217" i="4"/>
  <c r="W218" i="4"/>
  <c r="AP218" i="4" s="1"/>
  <c r="I218" i="28"/>
  <c r="J218" i="28" s="1"/>
  <c r="K218" i="28"/>
  <c r="AM217" i="4"/>
  <c r="AN217" i="4" s="1"/>
  <c r="V217" i="28"/>
  <c r="L216" i="29"/>
  <c r="M216" i="29" s="1"/>
  <c r="U218" i="28"/>
  <c r="M219" i="28"/>
  <c r="N219" i="28"/>
  <c r="P219" i="28"/>
  <c r="E219" i="28"/>
  <c r="O219" i="28"/>
  <c r="J216" i="29"/>
  <c r="AK219" i="4"/>
  <c r="M219" i="4"/>
  <c r="Z219" i="4" s="1"/>
  <c r="AG219" i="4"/>
  <c r="K219" i="4"/>
  <c r="X219" i="4" s="1"/>
  <c r="AH219" i="4"/>
  <c r="L219" i="4"/>
  <c r="Y219" i="4" s="1"/>
  <c r="H219" i="4"/>
  <c r="I219" i="4"/>
  <c r="G219" i="4"/>
  <c r="AJ219" i="4"/>
  <c r="J219" i="4"/>
  <c r="AO219" i="4" s="1"/>
  <c r="AI219" i="4"/>
  <c r="AL219" i="4"/>
  <c r="AB219" i="4"/>
  <c r="E219" i="4"/>
  <c r="V219" i="4" s="1"/>
  <c r="AE218" i="4"/>
  <c r="Y221" i="28"/>
  <c r="B220" i="28"/>
  <c r="F220" i="28" s="1"/>
  <c r="Q217" i="28"/>
  <c r="R217" i="28" s="1"/>
  <c r="T217" i="28" s="1"/>
  <c r="L217" i="28"/>
  <c r="AU221" i="4"/>
  <c r="B220" i="4"/>
  <c r="T219" i="29"/>
  <c r="B218" i="29"/>
  <c r="E217" i="29"/>
  <c r="G217" i="29" s="1"/>
  <c r="H217" i="29" s="1"/>
  <c r="K217" i="29"/>
  <c r="I217" i="29"/>
  <c r="AC218" i="4"/>
  <c r="J215" i="29"/>
  <c r="L215" i="29"/>
  <c r="M215" i="29" s="1"/>
  <c r="W219" i="28" l="1"/>
  <c r="W219" i="4"/>
  <c r="AP219" i="4" s="1"/>
  <c r="AD218" i="4"/>
  <c r="AF218" i="4" s="1"/>
  <c r="I219" i="28"/>
  <c r="K219" i="28"/>
  <c r="AF217" i="4"/>
  <c r="V218" i="28"/>
  <c r="AC219" i="4"/>
  <c r="AE219" i="4"/>
  <c r="AU222" i="4"/>
  <c r="B221" i="4"/>
  <c r="B221" i="28"/>
  <c r="F221" i="28" s="1"/>
  <c r="Y222" i="28"/>
  <c r="I218" i="29"/>
  <c r="E218" i="29"/>
  <c r="G218" i="29" s="1"/>
  <c r="H218" i="29" s="1"/>
  <c r="K218" i="29"/>
  <c r="B219" i="29"/>
  <c r="T220" i="29"/>
  <c r="AK220" i="4"/>
  <c r="I220" i="4"/>
  <c r="AB220" i="4"/>
  <c r="AI220" i="4"/>
  <c r="G220" i="4"/>
  <c r="AL220" i="4"/>
  <c r="K220" i="4"/>
  <c r="X220" i="4" s="1"/>
  <c r="AG220" i="4"/>
  <c r="AJ220" i="4"/>
  <c r="M220" i="4"/>
  <c r="Z220" i="4" s="1"/>
  <c r="J220" i="4"/>
  <c r="AO220" i="4" s="1"/>
  <c r="E220" i="4"/>
  <c r="V220" i="4" s="1"/>
  <c r="AH220" i="4"/>
  <c r="H220" i="4"/>
  <c r="L220" i="4"/>
  <c r="Y220" i="4" s="1"/>
  <c r="M220" i="28"/>
  <c r="E220" i="28"/>
  <c r="N220" i="28"/>
  <c r="P220" i="28"/>
  <c r="O220" i="28"/>
  <c r="L218" i="28"/>
  <c r="Q218" i="28"/>
  <c r="R218" i="28" s="1"/>
  <c r="T218" i="28" s="1"/>
  <c r="J219" i="28"/>
  <c r="U219" i="28"/>
  <c r="W220" i="28" l="1"/>
  <c r="AM218" i="4"/>
  <c r="AN218" i="4" s="1"/>
  <c r="W220" i="4"/>
  <c r="AP220" i="4" s="1"/>
  <c r="AD219" i="4"/>
  <c r="AF219" i="4" s="1"/>
  <c r="I220" i="28"/>
  <c r="K220" i="28"/>
  <c r="V219" i="28"/>
  <c r="L218" i="29"/>
  <c r="M218" i="29" s="1"/>
  <c r="AE220" i="4"/>
  <c r="I219" i="29"/>
  <c r="K219" i="29"/>
  <c r="E219" i="29"/>
  <c r="G219" i="29" s="1"/>
  <c r="H219" i="29" s="1"/>
  <c r="AK221" i="4"/>
  <c r="AB221" i="4"/>
  <c r="G221" i="4"/>
  <c r="J221" i="4"/>
  <c r="AO221" i="4" s="1"/>
  <c r="AL221" i="4"/>
  <c r="AG221" i="4"/>
  <c r="K221" i="4"/>
  <c r="X221" i="4" s="1"/>
  <c r="AH221" i="4"/>
  <c r="AI221" i="4"/>
  <c r="I221" i="4"/>
  <c r="M221" i="4"/>
  <c r="Z221" i="4" s="1"/>
  <c r="AJ221" i="4"/>
  <c r="H221" i="4"/>
  <c r="L221" i="4"/>
  <c r="Y221" i="4" s="1"/>
  <c r="E221" i="4"/>
  <c r="V221" i="4" s="1"/>
  <c r="L217" i="29"/>
  <c r="M217" i="29" s="1"/>
  <c r="J217" i="29"/>
  <c r="B222" i="4"/>
  <c r="AU223" i="4"/>
  <c r="L219" i="28"/>
  <c r="Q219" i="28"/>
  <c r="R219" i="28" s="1"/>
  <c r="T219" i="28" s="1"/>
  <c r="Y223" i="28"/>
  <c r="B222" i="28"/>
  <c r="F222" i="28" s="1"/>
  <c r="U220" i="28"/>
  <c r="V220" i="28" s="1"/>
  <c r="J220" i="28"/>
  <c r="AC220" i="4"/>
  <c r="B220" i="29"/>
  <c r="T221" i="29"/>
  <c r="E221" i="28"/>
  <c r="P221" i="28"/>
  <c r="M221" i="28"/>
  <c r="N221" i="28"/>
  <c r="O221" i="28"/>
  <c r="W221" i="28" l="1"/>
  <c r="AD220" i="4"/>
  <c r="J218" i="29"/>
  <c r="W221" i="4"/>
  <c r="AP221" i="4" s="1"/>
  <c r="AM219" i="4"/>
  <c r="AN219" i="4" s="1"/>
  <c r="AM220" i="4"/>
  <c r="AN220" i="4" s="1"/>
  <c r="I221" i="28"/>
  <c r="J221" i="28" s="1"/>
  <c r="K221" i="28"/>
  <c r="T222" i="29"/>
  <c r="B221" i="29"/>
  <c r="Q220" i="28"/>
  <c r="R220" i="28" s="1"/>
  <c r="T220" i="28" s="1"/>
  <c r="L220" i="28"/>
  <c r="AE221" i="4"/>
  <c r="U221" i="28"/>
  <c r="K220" i="29"/>
  <c r="E220" i="29"/>
  <c r="G220" i="29" s="1"/>
  <c r="H220" i="29" s="1"/>
  <c r="I220" i="29"/>
  <c r="M222" i="28"/>
  <c r="N222" i="28"/>
  <c r="P222" i="28"/>
  <c r="E222" i="28"/>
  <c r="O222" i="28"/>
  <c r="AU224" i="4"/>
  <c r="B223" i="4"/>
  <c r="AC221" i="4"/>
  <c r="B223" i="28"/>
  <c r="F223" i="28" s="1"/>
  <c r="Y224" i="28"/>
  <c r="AK222" i="4"/>
  <c r="AL222" i="4"/>
  <c r="M222" i="4"/>
  <c r="Z222" i="4" s="1"/>
  <c r="J222" i="4"/>
  <c r="AO222" i="4" s="1"/>
  <c r="AH222" i="4"/>
  <c r="G222" i="4"/>
  <c r="AI222" i="4"/>
  <c r="K222" i="4"/>
  <c r="X222" i="4" s="1"/>
  <c r="L222" i="4"/>
  <c r="Y222" i="4" s="1"/>
  <c r="AG222" i="4"/>
  <c r="AJ222" i="4"/>
  <c r="AB222" i="4"/>
  <c r="H222" i="4"/>
  <c r="I222" i="4"/>
  <c r="E222" i="4"/>
  <c r="V222" i="4" s="1"/>
  <c r="J219" i="29"/>
  <c r="L219" i="29"/>
  <c r="M219" i="29" s="1"/>
  <c r="I222" i="28" l="1"/>
  <c r="W222" i="28"/>
  <c r="V221" i="28"/>
  <c r="W222" i="4"/>
  <c r="AP222" i="4" s="1"/>
  <c r="AD221" i="4"/>
  <c r="AF220" i="4"/>
  <c r="L220" i="29"/>
  <c r="M220" i="29" s="1"/>
  <c r="K222" i="28"/>
  <c r="M149" i="7" s="1"/>
  <c r="M151" i="7" s="1"/>
  <c r="M153" i="7" s="1"/>
  <c r="M155" i="7" s="1"/>
  <c r="AE222" i="4"/>
  <c r="AU225" i="4"/>
  <c r="B224" i="4"/>
  <c r="J220" i="29"/>
  <c r="AC222" i="4"/>
  <c r="B224" i="28"/>
  <c r="F224" i="28" s="1"/>
  <c r="Y225" i="28"/>
  <c r="L221" i="28"/>
  <c r="Q221" i="28"/>
  <c r="R221" i="28" s="1"/>
  <c r="T221" i="28" s="1"/>
  <c r="K221" i="29"/>
  <c r="E221" i="29"/>
  <c r="G221" i="29" s="1"/>
  <c r="H221" i="29" s="1"/>
  <c r="I221" i="29"/>
  <c r="M223" i="28"/>
  <c r="E223" i="28"/>
  <c r="W223" i="28" s="1"/>
  <c r="N223" i="28"/>
  <c r="P223" i="28"/>
  <c r="O223" i="28"/>
  <c r="AK223" i="4"/>
  <c r="L223" i="4"/>
  <c r="Y223" i="4" s="1"/>
  <c r="AG223" i="4"/>
  <c r="AJ223" i="4"/>
  <c r="H223" i="4"/>
  <c r="AB223" i="4"/>
  <c r="AL223" i="4"/>
  <c r="AH223" i="4"/>
  <c r="I223" i="4"/>
  <c r="M223" i="4"/>
  <c r="Z223" i="4" s="1"/>
  <c r="K223" i="4"/>
  <c r="X223" i="4" s="1"/>
  <c r="E223" i="4"/>
  <c r="V223" i="4" s="1"/>
  <c r="J223" i="4"/>
  <c r="AO223" i="4" s="1"/>
  <c r="G223" i="4"/>
  <c r="AI223" i="4"/>
  <c r="J222" i="28"/>
  <c r="L222" i="28" s="1"/>
  <c r="U222" i="28"/>
  <c r="V222" i="28" s="1"/>
  <c r="B222" i="29"/>
  <c r="T223" i="29"/>
  <c r="AD222" i="4" l="1"/>
  <c r="W223" i="4"/>
  <c r="AP223" i="4" s="1"/>
  <c r="AC223" i="4"/>
  <c r="K206" i="7"/>
  <c r="K202" i="7"/>
  <c r="K182" i="7"/>
  <c r="K166" i="7"/>
  <c r="K217" i="7"/>
  <c r="K201" i="7"/>
  <c r="K185" i="7"/>
  <c r="K169" i="7"/>
  <c r="K153" i="7"/>
  <c r="K196" i="7"/>
  <c r="K195" i="7"/>
  <c r="K215" i="7"/>
  <c r="K183" i="7"/>
  <c r="K151" i="7"/>
  <c r="K150" i="7"/>
  <c r="K155" i="7"/>
  <c r="K192" i="7"/>
  <c r="K152" i="7"/>
  <c r="H202" i="7"/>
  <c r="I202" i="7" s="1"/>
  <c r="H186" i="7"/>
  <c r="I186" i="7" s="1"/>
  <c r="H170" i="7"/>
  <c r="I170" i="7" s="1"/>
  <c r="H154" i="7"/>
  <c r="I154" i="7" s="1"/>
  <c r="H209" i="7"/>
  <c r="I209" i="7" s="1"/>
  <c r="H193" i="7"/>
  <c r="I193" i="7" s="1"/>
  <c r="H177" i="7"/>
  <c r="I177" i="7" s="1"/>
  <c r="H161" i="7"/>
  <c r="I161" i="7" s="1"/>
  <c r="H184" i="7"/>
  <c r="I184" i="7" s="1"/>
  <c r="H216" i="7"/>
  <c r="I216" i="7" s="1"/>
  <c r="H200" i="7"/>
  <c r="I200" i="7" s="1"/>
  <c r="H180" i="7"/>
  <c r="I180" i="7" s="1"/>
  <c r="H152" i="7"/>
  <c r="I152" i="7" s="1"/>
  <c r="H203" i="7"/>
  <c r="I203" i="7" s="1"/>
  <c r="H187" i="7"/>
  <c r="I187" i="7" s="1"/>
  <c r="H171" i="7"/>
  <c r="I171" i="7" s="1"/>
  <c r="H155" i="7"/>
  <c r="I155" i="7" s="1"/>
  <c r="K198" i="7"/>
  <c r="K178" i="7"/>
  <c r="K162" i="7"/>
  <c r="K213" i="7"/>
  <c r="K197" i="7"/>
  <c r="K181" i="7"/>
  <c r="K165" i="7"/>
  <c r="K149" i="7"/>
  <c r="K180" i="7"/>
  <c r="K179" i="7"/>
  <c r="K207" i="7"/>
  <c r="K175" i="7"/>
  <c r="K188" i="7"/>
  <c r="K203" i="7"/>
  <c r="K216" i="7"/>
  <c r="K176" i="7"/>
  <c r="H214" i="7"/>
  <c r="I214" i="7" s="1"/>
  <c r="H198" i="7"/>
  <c r="I198" i="7" s="1"/>
  <c r="H182" i="7"/>
  <c r="I182" i="7" s="1"/>
  <c r="H166" i="7"/>
  <c r="I166" i="7" s="1"/>
  <c r="H150" i="7"/>
  <c r="I150" i="7" s="1"/>
  <c r="H205" i="7"/>
  <c r="I205" i="7" s="1"/>
  <c r="H189" i="7"/>
  <c r="I189" i="7" s="1"/>
  <c r="H173" i="7"/>
  <c r="I173" i="7" s="1"/>
  <c r="H157" i="7"/>
  <c r="I157" i="7" s="1"/>
  <c r="H168" i="7"/>
  <c r="I168" i="7" s="1"/>
  <c r="H212" i="7"/>
  <c r="I212" i="7" s="1"/>
  <c r="H196" i="7"/>
  <c r="I196" i="7" s="1"/>
  <c r="H176" i="7"/>
  <c r="I176" i="7" s="1"/>
  <c r="H215" i="7"/>
  <c r="I215" i="7" s="1"/>
  <c r="H199" i="7"/>
  <c r="I199" i="7" s="1"/>
  <c r="H183" i="7"/>
  <c r="I183" i="7" s="1"/>
  <c r="H167" i="7"/>
  <c r="I167" i="7" s="1"/>
  <c r="H151" i="7"/>
  <c r="I151" i="7" s="1"/>
  <c r="K190" i="7"/>
  <c r="K174" i="7"/>
  <c r="K158" i="7"/>
  <c r="K209" i="7"/>
  <c r="K193" i="7"/>
  <c r="K177" i="7"/>
  <c r="K161" i="7"/>
  <c r="K212" i="7"/>
  <c r="K164" i="7"/>
  <c r="K163" i="7"/>
  <c r="K199" i="7"/>
  <c r="K167" i="7"/>
  <c r="K172" i="7"/>
  <c r="K187" i="7"/>
  <c r="K208" i="7"/>
  <c r="K168" i="7"/>
  <c r="H210" i="7"/>
  <c r="I210" i="7" s="1"/>
  <c r="H194" i="7"/>
  <c r="I194" i="7" s="1"/>
  <c r="H178" i="7"/>
  <c r="I178" i="7" s="1"/>
  <c r="H162" i="7"/>
  <c r="I162" i="7" s="1"/>
  <c r="H217" i="7"/>
  <c r="I217" i="7" s="1"/>
  <c r="H201" i="7"/>
  <c r="I201" i="7" s="1"/>
  <c r="H185" i="7"/>
  <c r="I185" i="7" s="1"/>
  <c r="H169" i="7"/>
  <c r="I169" i="7" s="1"/>
  <c r="H153" i="7"/>
  <c r="I153" i="7" s="1"/>
  <c r="H160" i="7"/>
  <c r="I160" i="7" s="1"/>
  <c r="H208" i="7"/>
  <c r="I208" i="7" s="1"/>
  <c r="H192" i="7"/>
  <c r="I192" i="7" s="1"/>
  <c r="H172" i="7"/>
  <c r="I172" i="7" s="1"/>
  <c r="H211" i="7"/>
  <c r="I211" i="7" s="1"/>
  <c r="H195" i="7"/>
  <c r="I195" i="7" s="1"/>
  <c r="H179" i="7"/>
  <c r="I179" i="7" s="1"/>
  <c r="H163" i="7"/>
  <c r="I163" i="7" s="1"/>
  <c r="K210" i="7"/>
  <c r="K186" i="7"/>
  <c r="K170" i="7"/>
  <c r="K154" i="7"/>
  <c r="K205" i="7"/>
  <c r="K189" i="7"/>
  <c r="K173" i="7"/>
  <c r="K157" i="7"/>
  <c r="K204" i="7"/>
  <c r="K211" i="7"/>
  <c r="K184" i="7"/>
  <c r="K191" i="7"/>
  <c r="K159" i="7"/>
  <c r="K156" i="7"/>
  <c r="K171" i="7"/>
  <c r="K200" i="7"/>
  <c r="K160" i="7"/>
  <c r="H206" i="7"/>
  <c r="I206" i="7" s="1"/>
  <c r="H190" i="7"/>
  <c r="I190" i="7" s="1"/>
  <c r="H174" i="7"/>
  <c r="I174" i="7" s="1"/>
  <c r="H158" i="7"/>
  <c r="I158" i="7" s="1"/>
  <c r="H213" i="7"/>
  <c r="I213" i="7" s="1"/>
  <c r="H197" i="7"/>
  <c r="I197" i="7" s="1"/>
  <c r="H181" i="7"/>
  <c r="I181" i="7" s="1"/>
  <c r="H165" i="7"/>
  <c r="I165" i="7" s="1"/>
  <c r="H149" i="7"/>
  <c r="I149" i="7" s="1"/>
  <c r="H156" i="7"/>
  <c r="I156" i="7" s="1"/>
  <c r="H204" i="7"/>
  <c r="I204" i="7" s="1"/>
  <c r="H188" i="7"/>
  <c r="I188" i="7" s="1"/>
  <c r="H164" i="7"/>
  <c r="I164" i="7" s="1"/>
  <c r="H207" i="7"/>
  <c r="I207" i="7" s="1"/>
  <c r="H191" i="7"/>
  <c r="I191" i="7" s="1"/>
  <c r="H175" i="7"/>
  <c r="I175" i="7" s="1"/>
  <c r="H159" i="7"/>
  <c r="I159" i="7" s="1"/>
  <c r="I223" i="28"/>
  <c r="J223" i="28" s="1"/>
  <c r="K223" i="28"/>
  <c r="K194" i="7"/>
  <c r="K214" i="7"/>
  <c r="AE223" i="4"/>
  <c r="U223" i="28"/>
  <c r="B225" i="28"/>
  <c r="F225" i="28" s="1"/>
  <c r="Y226" i="28"/>
  <c r="Q222" i="28"/>
  <c r="R222" i="28" s="1"/>
  <c r="T222" i="28" s="1"/>
  <c r="I222" i="29"/>
  <c r="E222" i="29"/>
  <c r="G222" i="29" s="1"/>
  <c r="H222" i="29" s="1"/>
  <c r="K222" i="29"/>
  <c r="E224" i="28"/>
  <c r="W224" i="28" s="1"/>
  <c r="O224" i="28"/>
  <c r="M224" i="28"/>
  <c r="N224" i="28"/>
  <c r="P224" i="28"/>
  <c r="AK224" i="4"/>
  <c r="AB224" i="4"/>
  <c r="M224" i="4"/>
  <c r="Z224" i="4" s="1"/>
  <c r="E224" i="4"/>
  <c r="V224" i="4" s="1"/>
  <c r="G224" i="4"/>
  <c r="AL224" i="4"/>
  <c r="AG224" i="4"/>
  <c r="J224" i="4"/>
  <c r="AO224" i="4" s="1"/>
  <c r="AI224" i="4"/>
  <c r="I224" i="4"/>
  <c r="H224" i="4"/>
  <c r="AH224" i="4"/>
  <c r="K224" i="4"/>
  <c r="X224" i="4" s="1"/>
  <c r="L224" i="4"/>
  <c r="Y224" i="4" s="1"/>
  <c r="AJ224" i="4"/>
  <c r="B223" i="29"/>
  <c r="T224" i="29"/>
  <c r="V223" i="28"/>
  <c r="B225" i="4"/>
  <c r="AU226" i="4"/>
  <c r="L221" i="29"/>
  <c r="M221" i="29" s="1"/>
  <c r="J221" i="29"/>
  <c r="AM221" i="4"/>
  <c r="AN221" i="4" s="1"/>
  <c r="AF221" i="4"/>
  <c r="AD223" i="4" l="1"/>
  <c r="W224" i="4"/>
  <c r="AP224" i="4" s="1"/>
  <c r="M373" i="7"/>
  <c r="AM222" i="4"/>
  <c r="AN222" i="4" s="1"/>
  <c r="AF222" i="4"/>
  <c r="I224" i="28"/>
  <c r="K224" i="28"/>
  <c r="AC224" i="4"/>
  <c r="AE224" i="4"/>
  <c r="J224" i="28"/>
  <c r="U224" i="28"/>
  <c r="M225" i="28"/>
  <c r="E225" i="28"/>
  <c r="W225" i="28" s="1"/>
  <c r="P225" i="28"/>
  <c r="O225" i="28"/>
  <c r="N225" i="28"/>
  <c r="B224" i="29"/>
  <c r="T225" i="29"/>
  <c r="Q223" i="28"/>
  <c r="R223" i="28" s="1"/>
  <c r="T223" i="28" s="1"/>
  <c r="L223" i="28"/>
  <c r="AK225" i="4"/>
  <c r="I225" i="4"/>
  <c r="AB225" i="4"/>
  <c r="K225" i="4"/>
  <c r="X225" i="4" s="1"/>
  <c r="M225" i="4"/>
  <c r="Z225" i="4" s="1"/>
  <c r="E225" i="4"/>
  <c r="V225" i="4" s="1"/>
  <c r="H225" i="4"/>
  <c r="AG225" i="4"/>
  <c r="AI225" i="4"/>
  <c r="AH225" i="4"/>
  <c r="G225" i="4"/>
  <c r="L225" i="4"/>
  <c r="Y225" i="4" s="1"/>
  <c r="J225" i="4"/>
  <c r="AO225" i="4" s="1"/>
  <c r="AJ225" i="4"/>
  <c r="AL225" i="4"/>
  <c r="AF223" i="4"/>
  <c r="AM223" i="4"/>
  <c r="AN223" i="4" s="1"/>
  <c r="B226" i="4"/>
  <c r="AU227" i="4"/>
  <c r="E223" i="29"/>
  <c r="G223" i="29" s="1"/>
  <c r="H223" i="29" s="1"/>
  <c r="K223" i="29"/>
  <c r="I223" i="29"/>
  <c r="V224" i="28"/>
  <c r="Y227" i="28"/>
  <c r="B226" i="28"/>
  <c r="F226" i="28" s="1"/>
  <c r="AD224" i="4" l="1"/>
  <c r="AF224" i="4" s="1"/>
  <c r="W225" i="4"/>
  <c r="AP225" i="4" s="1"/>
  <c r="I225" i="28"/>
  <c r="K225" i="28"/>
  <c r="I224" i="29"/>
  <c r="E224" i="29"/>
  <c r="G224" i="29" s="1"/>
  <c r="H224" i="29" s="1"/>
  <c r="K224" i="29"/>
  <c r="J222" i="29"/>
  <c r="L222" i="29"/>
  <c r="M222" i="29" s="1"/>
  <c r="AC225" i="4"/>
  <c r="M226" i="28"/>
  <c r="N226" i="28"/>
  <c r="P226" i="28"/>
  <c r="O226" i="28"/>
  <c r="E226" i="28"/>
  <c r="W226" i="28" s="1"/>
  <c r="B227" i="4"/>
  <c r="AU228" i="4"/>
  <c r="AE225" i="4"/>
  <c r="U225" i="28"/>
  <c r="J225" i="28"/>
  <c r="Q224" i="28"/>
  <c r="R224" i="28" s="1"/>
  <c r="T224" i="28" s="1"/>
  <c r="L224" i="28"/>
  <c r="Y228" i="28"/>
  <c r="B227" i="28"/>
  <c r="F227" i="28" s="1"/>
  <c r="AK226" i="4"/>
  <c r="M226" i="4"/>
  <c r="Z226" i="4" s="1"/>
  <c r="I226" i="4"/>
  <c r="AB226" i="4"/>
  <c r="G226" i="4"/>
  <c r="AI226" i="4"/>
  <c r="AG226" i="4"/>
  <c r="L226" i="4"/>
  <c r="Y226" i="4" s="1"/>
  <c r="H226" i="4"/>
  <c r="E226" i="4"/>
  <c r="V226" i="4" s="1"/>
  <c r="AH226" i="4"/>
  <c r="J226" i="4"/>
  <c r="AO226" i="4" s="1"/>
  <c r="AJ226" i="4"/>
  <c r="K226" i="4"/>
  <c r="AL226" i="4"/>
  <c r="T226" i="29"/>
  <c r="B225" i="29"/>
  <c r="AM224" i="4" l="1"/>
  <c r="AN224" i="4" s="1"/>
  <c r="M374" i="7"/>
  <c r="M375" i="7" s="1"/>
  <c r="M363" i="7" s="1"/>
  <c r="W226" i="4"/>
  <c r="AP226" i="4" s="1"/>
  <c r="AD225" i="4"/>
  <c r="AF225" i="4" s="1"/>
  <c r="X226" i="4"/>
  <c r="AC226" i="4" s="1"/>
  <c r="I226" i="28"/>
  <c r="K226" i="28"/>
  <c r="AE226" i="4"/>
  <c r="B228" i="28"/>
  <c r="F228" i="28" s="1"/>
  <c r="Y229" i="28"/>
  <c r="AK227" i="4"/>
  <c r="E227" i="4"/>
  <c r="V227" i="4" s="1"/>
  <c r="AH227" i="4"/>
  <c r="I227" i="4"/>
  <c r="G227" i="4"/>
  <c r="AJ227" i="4"/>
  <c r="J227" i="4"/>
  <c r="AO227" i="4" s="1"/>
  <c r="AB227" i="4"/>
  <c r="H227" i="4"/>
  <c r="AL227" i="4"/>
  <c r="AG227" i="4"/>
  <c r="M227" i="4"/>
  <c r="Z227" i="4" s="1"/>
  <c r="K227" i="4"/>
  <c r="X227" i="4" s="1"/>
  <c r="AI227" i="4"/>
  <c r="L227" i="4"/>
  <c r="Y227" i="4" s="1"/>
  <c r="V225" i="28"/>
  <c r="I225" i="29"/>
  <c r="K225" i="29"/>
  <c r="E225" i="29"/>
  <c r="G225" i="29" s="1"/>
  <c r="H225" i="29" s="1"/>
  <c r="U226" i="28"/>
  <c r="J226" i="28"/>
  <c r="L223" i="29"/>
  <c r="M223" i="29" s="1"/>
  <c r="J223" i="29"/>
  <c r="T227" i="29"/>
  <c r="B226" i="29"/>
  <c r="AM225" i="4"/>
  <c r="AN225" i="4" s="1"/>
  <c r="E227" i="28"/>
  <c r="W227" i="28" s="1"/>
  <c r="P227" i="28"/>
  <c r="O227" i="28"/>
  <c r="M227" i="28"/>
  <c r="N227" i="28"/>
  <c r="Q225" i="28"/>
  <c r="R225" i="28" s="1"/>
  <c r="T225" i="28" s="1"/>
  <c r="L225" i="28"/>
  <c r="B228" i="4"/>
  <c r="AU229" i="4"/>
  <c r="V226" i="28" l="1"/>
  <c r="AD226" i="4"/>
  <c r="AF226" i="4" s="1"/>
  <c r="W227" i="4"/>
  <c r="AP227" i="4" s="1"/>
  <c r="I227" i="28"/>
  <c r="K227" i="28"/>
  <c r="AE227" i="4"/>
  <c r="L224" i="29"/>
  <c r="M224" i="29" s="1"/>
  <c r="J224" i="29"/>
  <c r="AU230" i="4"/>
  <c r="B229" i="4"/>
  <c r="AC227" i="4"/>
  <c r="AK228" i="4"/>
  <c r="M228" i="4"/>
  <c r="Z228" i="4" s="1"/>
  <c r="L228" i="4"/>
  <c r="Y228" i="4" s="1"/>
  <c r="I228" i="4"/>
  <c r="G228" i="4"/>
  <c r="J228" i="4"/>
  <c r="AO228" i="4" s="1"/>
  <c r="AH228" i="4"/>
  <c r="AL228" i="4"/>
  <c r="E228" i="4"/>
  <c r="V228" i="4" s="1"/>
  <c r="AB228" i="4"/>
  <c r="H228" i="4"/>
  <c r="AJ228" i="4"/>
  <c r="AI228" i="4"/>
  <c r="AG228" i="4"/>
  <c r="K228" i="4"/>
  <c r="X228" i="4" s="1"/>
  <c r="E226" i="29"/>
  <c r="G226" i="29" s="1"/>
  <c r="H226" i="29" s="1"/>
  <c r="K226" i="29"/>
  <c r="I226" i="29"/>
  <c r="Y230" i="28"/>
  <c r="B229" i="28"/>
  <c r="F229" i="28" s="1"/>
  <c r="U227" i="28"/>
  <c r="J227" i="28"/>
  <c r="B227" i="29"/>
  <c r="T228" i="29"/>
  <c r="Q226" i="28"/>
  <c r="R226" i="28" s="1"/>
  <c r="T226" i="28" s="1"/>
  <c r="L226" i="28"/>
  <c r="M228" i="28"/>
  <c r="P228" i="28"/>
  <c r="N228" i="28"/>
  <c r="O228" i="28"/>
  <c r="E228" i="28"/>
  <c r="W228" i="28" l="1"/>
  <c r="AM226" i="4"/>
  <c r="AN226" i="4" s="1"/>
  <c r="W228" i="4"/>
  <c r="AP228" i="4" s="1"/>
  <c r="AD227" i="4"/>
  <c r="AM227" i="4" s="1"/>
  <c r="AN227" i="4" s="1"/>
  <c r="I228" i="28"/>
  <c r="J228" i="28" s="1"/>
  <c r="AC228" i="4"/>
  <c r="J226" i="29"/>
  <c r="K228" i="28"/>
  <c r="V227" i="28"/>
  <c r="U228" i="28"/>
  <c r="B228" i="29"/>
  <c r="T229" i="29"/>
  <c r="P229" i="28"/>
  <c r="O229" i="28"/>
  <c r="M229" i="28"/>
  <c r="E229" i="28"/>
  <c r="N229" i="28"/>
  <c r="I227" i="29"/>
  <c r="E227" i="29"/>
  <c r="G227" i="29" s="1"/>
  <c r="H227" i="29" s="1"/>
  <c r="K227" i="29"/>
  <c r="Y231" i="28"/>
  <c r="B230" i="28"/>
  <c r="F230" i="28" s="1"/>
  <c r="Q227" i="28"/>
  <c r="R227" i="28" s="1"/>
  <c r="T227" i="28" s="1"/>
  <c r="L227" i="28"/>
  <c r="L225" i="29"/>
  <c r="M225" i="29" s="1"/>
  <c r="J225" i="29"/>
  <c r="AK229" i="4"/>
  <c r="AG229" i="4"/>
  <c r="AL229" i="4"/>
  <c r="AH229" i="4"/>
  <c r="G229" i="4"/>
  <c r="I229" i="4"/>
  <c r="J229" i="4"/>
  <c r="AO229" i="4" s="1"/>
  <c r="AB229" i="4"/>
  <c r="L229" i="4"/>
  <c r="Y229" i="4" s="1"/>
  <c r="AI229" i="4"/>
  <c r="M229" i="4"/>
  <c r="Z229" i="4" s="1"/>
  <c r="K229" i="4"/>
  <c r="X229" i="4" s="1"/>
  <c r="H229" i="4"/>
  <c r="AJ229" i="4"/>
  <c r="E229" i="4"/>
  <c r="V229" i="4" s="1"/>
  <c r="AE228" i="4"/>
  <c r="AU231" i="4"/>
  <c r="B230" i="4"/>
  <c r="V228" i="28" l="1"/>
  <c r="W229" i="28"/>
  <c r="AF227" i="4"/>
  <c r="W229" i="4"/>
  <c r="AP229" i="4" s="1"/>
  <c r="AD228" i="4"/>
  <c r="AF228" i="4" s="1"/>
  <c r="L226" i="29"/>
  <c r="M226" i="29" s="1"/>
  <c r="I229" i="28"/>
  <c r="K229" i="28"/>
  <c r="AU232" i="4"/>
  <c r="B231" i="4"/>
  <c r="AE229" i="4"/>
  <c r="K228" i="29"/>
  <c r="E228" i="29"/>
  <c r="G228" i="29" s="1"/>
  <c r="H228" i="29" s="1"/>
  <c r="I228" i="29"/>
  <c r="J227" i="29"/>
  <c r="L227" i="29"/>
  <c r="M227" i="29" s="1"/>
  <c r="E230" i="28"/>
  <c r="M230" i="28"/>
  <c r="O230" i="28"/>
  <c r="N230" i="28"/>
  <c r="P230" i="28"/>
  <c r="J229" i="28"/>
  <c r="U229" i="28"/>
  <c r="V229" i="28" s="1"/>
  <c r="AK230" i="4"/>
  <c r="AJ230" i="4"/>
  <c r="G230" i="4"/>
  <c r="M230" i="4"/>
  <c r="Z230" i="4" s="1"/>
  <c r="AH230" i="4"/>
  <c r="AG230" i="4"/>
  <c r="AL230" i="4"/>
  <c r="AI230" i="4"/>
  <c r="E230" i="4"/>
  <c r="V230" i="4" s="1"/>
  <c r="J230" i="4"/>
  <c r="AO230" i="4" s="1"/>
  <c r="H230" i="4"/>
  <c r="K230" i="4"/>
  <c r="X230" i="4" s="1"/>
  <c r="I230" i="4"/>
  <c r="L230" i="4"/>
  <c r="Y230" i="4" s="1"/>
  <c r="AB230" i="4"/>
  <c r="AC229" i="4"/>
  <c r="AM228" i="4"/>
  <c r="AN228" i="4" s="1"/>
  <c r="Y232" i="28"/>
  <c r="B231" i="28"/>
  <c r="F231" i="28" s="1"/>
  <c r="B229" i="29"/>
  <c r="T230" i="29"/>
  <c r="L228" i="28"/>
  <c r="Q228" i="28"/>
  <c r="R228" i="28" s="1"/>
  <c r="T228" i="28" s="1"/>
  <c r="W230" i="28" l="1"/>
  <c r="AD229" i="4"/>
  <c r="AF229" i="4" s="1"/>
  <c r="W230" i="4"/>
  <c r="AP230" i="4" s="1"/>
  <c r="I230" i="28"/>
  <c r="J228" i="29"/>
  <c r="K230" i="28"/>
  <c r="AC230" i="4"/>
  <c r="I229" i="29"/>
  <c r="E229" i="29"/>
  <c r="G229" i="29" s="1"/>
  <c r="H229" i="29" s="1"/>
  <c r="K229" i="29"/>
  <c r="E231" i="28"/>
  <c r="P231" i="28"/>
  <c r="O231" i="28"/>
  <c r="N231" i="28"/>
  <c r="M231" i="28"/>
  <c r="Y233" i="28"/>
  <c r="B232" i="28"/>
  <c r="F232" i="28" s="1"/>
  <c r="AE230" i="4"/>
  <c r="T231" i="29"/>
  <c r="B230" i="29"/>
  <c r="L229" i="28"/>
  <c r="Q229" i="28"/>
  <c r="R229" i="28" s="1"/>
  <c r="T229" i="28" s="1"/>
  <c r="AK231" i="4"/>
  <c r="AB231" i="4"/>
  <c r="AH231" i="4"/>
  <c r="AG231" i="4"/>
  <c r="M231" i="4"/>
  <c r="Z231" i="4" s="1"/>
  <c r="G231" i="4"/>
  <c r="H231" i="4"/>
  <c r="K231" i="4"/>
  <c r="X231" i="4" s="1"/>
  <c r="AL231" i="4"/>
  <c r="AI231" i="4"/>
  <c r="J231" i="4"/>
  <c r="AO231" i="4" s="1"/>
  <c r="AJ231" i="4"/>
  <c r="I231" i="4"/>
  <c r="L231" i="4"/>
  <c r="Y231" i="4" s="1"/>
  <c r="E231" i="4"/>
  <c r="V231" i="4" s="1"/>
  <c r="J230" i="28"/>
  <c r="U230" i="28"/>
  <c r="B232" i="4"/>
  <c r="AU233" i="4"/>
  <c r="W231" i="28" l="1"/>
  <c r="AM229" i="4"/>
  <c r="AN229" i="4" s="1"/>
  <c r="AD230" i="4"/>
  <c r="L228" i="29"/>
  <c r="M228" i="29" s="1"/>
  <c r="W231" i="4"/>
  <c r="AP231" i="4" s="1"/>
  <c r="I231" i="28"/>
  <c r="K231" i="28"/>
  <c r="V230" i="28"/>
  <c r="Q230" i="28"/>
  <c r="R230" i="28" s="1"/>
  <c r="T230" i="28" s="1"/>
  <c r="L230" i="28"/>
  <c r="AC231" i="4"/>
  <c r="AU234" i="4"/>
  <c r="B233" i="4"/>
  <c r="AK232" i="4"/>
  <c r="H232" i="4"/>
  <c r="AH232" i="4"/>
  <c r="J232" i="4"/>
  <c r="AO232" i="4" s="1"/>
  <c r="E232" i="4"/>
  <c r="V232" i="4" s="1"/>
  <c r="AI232" i="4"/>
  <c r="I232" i="4"/>
  <c r="L232" i="4"/>
  <c r="Y232" i="4" s="1"/>
  <c r="M232" i="4"/>
  <c r="Z232" i="4" s="1"/>
  <c r="AG232" i="4"/>
  <c r="AL232" i="4"/>
  <c r="AJ232" i="4"/>
  <c r="K232" i="4"/>
  <c r="X232" i="4" s="1"/>
  <c r="G232" i="4"/>
  <c r="AB232" i="4"/>
  <c r="I230" i="29"/>
  <c r="K230" i="29"/>
  <c r="E230" i="29"/>
  <c r="G230" i="29" s="1"/>
  <c r="H230" i="29" s="1"/>
  <c r="E232" i="28"/>
  <c r="M232" i="28"/>
  <c r="P232" i="28"/>
  <c r="N232" i="28"/>
  <c r="O232" i="28"/>
  <c r="U231" i="28"/>
  <c r="J231" i="28"/>
  <c r="AE231" i="4"/>
  <c r="T232" i="29"/>
  <c r="B231" i="29"/>
  <c r="B233" i="28"/>
  <c r="F233" i="28" s="1"/>
  <c r="Y234" i="28"/>
  <c r="W232" i="28" l="1"/>
  <c r="W232" i="4"/>
  <c r="AP232" i="4" s="1"/>
  <c r="AD231" i="4"/>
  <c r="I232" i="28"/>
  <c r="J232" i="28" s="1"/>
  <c r="K232" i="28"/>
  <c r="AE232" i="4"/>
  <c r="Y235" i="28"/>
  <c r="B234" i="28"/>
  <c r="F234" i="28" s="1"/>
  <c r="U232" i="28"/>
  <c r="AC232" i="4"/>
  <c r="B234" i="4"/>
  <c r="AU235" i="4"/>
  <c r="O233" i="28"/>
  <c r="N233" i="28"/>
  <c r="P233" i="28"/>
  <c r="M233" i="28"/>
  <c r="E233" i="28"/>
  <c r="L229" i="29"/>
  <c r="M229" i="29" s="1"/>
  <c r="J229" i="29"/>
  <c r="I231" i="29"/>
  <c r="K231" i="29"/>
  <c r="E231" i="29"/>
  <c r="G231" i="29" s="1"/>
  <c r="H231" i="29" s="1"/>
  <c r="L231" i="28"/>
  <c r="Q231" i="28"/>
  <c r="R231" i="28" s="1"/>
  <c r="T231" i="28" s="1"/>
  <c r="AF230" i="4"/>
  <c r="AM230" i="4"/>
  <c r="AN230" i="4" s="1"/>
  <c r="B232" i="29"/>
  <c r="T233" i="29"/>
  <c r="V231" i="28"/>
  <c r="AK233" i="4"/>
  <c r="AB233" i="4"/>
  <c r="AJ233" i="4"/>
  <c r="M233" i="4"/>
  <c r="Z233" i="4" s="1"/>
  <c r="G233" i="4"/>
  <c r="AI233" i="4"/>
  <c r="K233" i="4"/>
  <c r="X233" i="4" s="1"/>
  <c r="AH233" i="4"/>
  <c r="I233" i="4"/>
  <c r="AG233" i="4"/>
  <c r="H233" i="4"/>
  <c r="E233" i="4"/>
  <c r="V233" i="4" s="1"/>
  <c r="AL233" i="4"/>
  <c r="J233" i="4"/>
  <c r="AO233" i="4" s="1"/>
  <c r="L233" i="4"/>
  <c r="Y233" i="4" s="1"/>
  <c r="W233" i="28" l="1"/>
  <c r="V232" i="28"/>
  <c r="AD232" i="4"/>
  <c r="W233" i="4"/>
  <c r="AP233" i="4" s="1"/>
  <c r="I233" i="28"/>
  <c r="K233" i="28"/>
  <c r="AE233" i="4"/>
  <c r="B235" i="4"/>
  <c r="AU236" i="4"/>
  <c r="B233" i="29"/>
  <c r="T234" i="29"/>
  <c r="AK234" i="4"/>
  <c r="AJ234" i="4"/>
  <c r="M234" i="4"/>
  <c r="Z234" i="4" s="1"/>
  <c r="AI234" i="4"/>
  <c r="E234" i="4"/>
  <c r="V234" i="4" s="1"/>
  <c r="AL234" i="4"/>
  <c r="J234" i="4"/>
  <c r="AO234" i="4" s="1"/>
  <c r="K234" i="4"/>
  <c r="X234" i="4" s="1"/>
  <c r="H234" i="4"/>
  <c r="I234" i="4"/>
  <c r="AH234" i="4"/>
  <c r="L234" i="4"/>
  <c r="Y234" i="4" s="1"/>
  <c r="G234" i="4"/>
  <c r="AG234" i="4"/>
  <c r="AB234" i="4"/>
  <c r="Q232" i="28"/>
  <c r="R232" i="28" s="1"/>
  <c r="T232" i="28" s="1"/>
  <c r="L232" i="28"/>
  <c r="AC233" i="4"/>
  <c r="AF231" i="4"/>
  <c r="AM231" i="4"/>
  <c r="AN231" i="4" s="1"/>
  <c r="I232" i="29"/>
  <c r="E232" i="29"/>
  <c r="G232" i="29" s="1"/>
  <c r="H232" i="29" s="1"/>
  <c r="K232" i="29"/>
  <c r="U233" i="28"/>
  <c r="J233" i="28"/>
  <c r="AF232" i="4"/>
  <c r="AM232" i="4"/>
  <c r="AN232" i="4" s="1"/>
  <c r="N234" i="28"/>
  <c r="P234" i="28"/>
  <c r="E234" i="28"/>
  <c r="O234" i="28"/>
  <c r="M234" i="28"/>
  <c r="L230" i="29"/>
  <c r="M230" i="29" s="1"/>
  <c r="J230" i="29"/>
  <c r="Y236" i="28"/>
  <c r="B235" i="28"/>
  <c r="F235" i="28" s="1"/>
  <c r="W234" i="28" l="1"/>
  <c r="W234" i="4"/>
  <c r="AP234" i="4" s="1"/>
  <c r="AD233" i="4"/>
  <c r="AF233" i="4" s="1"/>
  <c r="K234" i="28"/>
  <c r="I234" i="28"/>
  <c r="L232" i="29"/>
  <c r="M232" i="29" s="1"/>
  <c r="I233" i="29"/>
  <c r="K233" i="29"/>
  <c r="E233" i="29"/>
  <c r="G233" i="29" s="1"/>
  <c r="H233" i="29" s="1"/>
  <c r="V233" i="28"/>
  <c r="B236" i="28"/>
  <c r="F236" i="28" s="1"/>
  <c r="Y237" i="28"/>
  <c r="AE234" i="4"/>
  <c r="L231" i="29"/>
  <c r="M231" i="29" s="1"/>
  <c r="J231" i="29"/>
  <c r="E235" i="28"/>
  <c r="O235" i="28"/>
  <c r="M235" i="28"/>
  <c r="N235" i="28"/>
  <c r="P235" i="28"/>
  <c r="AU237" i="4"/>
  <c r="B236" i="4"/>
  <c r="L233" i="28"/>
  <c r="Q233" i="28"/>
  <c r="R233" i="28" s="1"/>
  <c r="T233" i="28" s="1"/>
  <c r="J234" i="28"/>
  <c r="U234" i="28"/>
  <c r="AC234" i="4"/>
  <c r="B234" i="29"/>
  <c r="T235" i="29"/>
  <c r="AK235" i="4"/>
  <c r="L235" i="4"/>
  <c r="Y235" i="4" s="1"/>
  <c r="G235" i="4"/>
  <c r="J235" i="4"/>
  <c r="AO235" i="4" s="1"/>
  <c r="K235" i="4"/>
  <c r="X235" i="4" s="1"/>
  <c r="AH235" i="4"/>
  <c r="M235" i="4"/>
  <c r="Z235" i="4" s="1"/>
  <c r="H235" i="4"/>
  <c r="AI235" i="4"/>
  <c r="AB235" i="4"/>
  <c r="AL235" i="4"/>
  <c r="E235" i="4"/>
  <c r="V235" i="4" s="1"/>
  <c r="I235" i="4"/>
  <c r="AG235" i="4"/>
  <c r="AJ235" i="4"/>
  <c r="W235" i="28" l="1"/>
  <c r="AD234" i="4"/>
  <c r="AM233" i="4"/>
  <c r="AN233" i="4" s="1"/>
  <c r="W235" i="4"/>
  <c r="AP235" i="4" s="1"/>
  <c r="I235" i="28"/>
  <c r="J235" i="28" s="1"/>
  <c r="J232" i="29"/>
  <c r="K235" i="28"/>
  <c r="AF234" i="4"/>
  <c r="T236" i="29"/>
  <c r="B235" i="29"/>
  <c r="L234" i="28"/>
  <c r="Q234" i="28"/>
  <c r="R234" i="28" s="1"/>
  <c r="T234" i="28" s="1"/>
  <c r="B237" i="4"/>
  <c r="AU238" i="4"/>
  <c r="AE235" i="4"/>
  <c r="I234" i="29"/>
  <c r="K234" i="29"/>
  <c r="E234" i="29"/>
  <c r="G234" i="29" s="1"/>
  <c r="H234" i="29" s="1"/>
  <c r="U235" i="28"/>
  <c r="AC235" i="4"/>
  <c r="V234" i="28"/>
  <c r="AK236" i="4"/>
  <c r="E236" i="4"/>
  <c r="V236" i="4" s="1"/>
  <c r="K236" i="4"/>
  <c r="X236" i="4" s="1"/>
  <c r="L236" i="4"/>
  <c r="Y236" i="4" s="1"/>
  <c r="J236" i="4"/>
  <c r="AO236" i="4" s="1"/>
  <c r="I236" i="4"/>
  <c r="AH236" i="4"/>
  <c r="AL236" i="4"/>
  <c r="AG236" i="4"/>
  <c r="AI236" i="4"/>
  <c r="M236" i="4"/>
  <c r="Z236" i="4" s="1"/>
  <c r="AJ236" i="4"/>
  <c r="AB236" i="4"/>
  <c r="H236" i="4"/>
  <c r="G236" i="4"/>
  <c r="Y238" i="28"/>
  <c r="B237" i="28"/>
  <c r="F237" i="28" s="1"/>
  <c r="M236" i="28"/>
  <c r="P236" i="28"/>
  <c r="E236" i="28"/>
  <c r="O236" i="28"/>
  <c r="N236" i="28"/>
  <c r="L233" i="29"/>
  <c r="M233" i="29" s="1"/>
  <c r="J233" i="29"/>
  <c r="W236" i="28" l="1"/>
  <c r="W236" i="4"/>
  <c r="AP236" i="4" s="1"/>
  <c r="AD235" i="4"/>
  <c r="AM234" i="4"/>
  <c r="AN234" i="4" s="1"/>
  <c r="I236" i="28"/>
  <c r="K236" i="28"/>
  <c r="B238" i="28"/>
  <c r="F238" i="28" s="1"/>
  <c r="Y239" i="28"/>
  <c r="Q235" i="28"/>
  <c r="R235" i="28" s="1"/>
  <c r="T235" i="28" s="1"/>
  <c r="L235" i="28"/>
  <c r="AC236" i="4"/>
  <c r="AU239" i="4"/>
  <c r="B238" i="4"/>
  <c r="K235" i="29"/>
  <c r="I235" i="29"/>
  <c r="E235" i="29"/>
  <c r="G235" i="29" s="1"/>
  <c r="H235" i="29" s="1"/>
  <c r="L234" i="29"/>
  <c r="M234" i="29" s="1"/>
  <c r="J234" i="29"/>
  <c r="V235" i="28"/>
  <c r="AE236" i="4"/>
  <c r="J236" i="28"/>
  <c r="U236" i="28"/>
  <c r="M237" i="28"/>
  <c r="E237" i="28"/>
  <c r="P237" i="28"/>
  <c r="O237" i="28"/>
  <c r="N237" i="28"/>
  <c r="AK237" i="4"/>
  <c r="AH237" i="4"/>
  <c r="AL237" i="4"/>
  <c r="AB237" i="4"/>
  <c r="AJ237" i="4"/>
  <c r="G237" i="4"/>
  <c r="I237" i="4"/>
  <c r="AG237" i="4"/>
  <c r="J237" i="4"/>
  <c r="AO237" i="4" s="1"/>
  <c r="AI237" i="4"/>
  <c r="H237" i="4"/>
  <c r="E237" i="4"/>
  <c r="V237" i="4" s="1"/>
  <c r="K237" i="4"/>
  <c r="X237" i="4" s="1"/>
  <c r="M237" i="4"/>
  <c r="Z237" i="4" s="1"/>
  <c r="L237" i="4"/>
  <c r="Y237" i="4" s="1"/>
  <c r="B236" i="29"/>
  <c r="T237" i="29"/>
  <c r="W237" i="28" l="1"/>
  <c r="AD236" i="4"/>
  <c r="W237" i="4"/>
  <c r="AP237" i="4" s="1"/>
  <c r="I237" i="28"/>
  <c r="K237" i="28"/>
  <c r="V236" i="28"/>
  <c r="AE237" i="4"/>
  <c r="B239" i="28"/>
  <c r="F239" i="28" s="1"/>
  <c r="Y240" i="28"/>
  <c r="E236" i="29"/>
  <c r="G236" i="29" s="1"/>
  <c r="H236" i="29" s="1"/>
  <c r="I236" i="29"/>
  <c r="K236" i="29"/>
  <c r="AM235" i="4"/>
  <c r="AN235" i="4" s="1"/>
  <c r="AF235" i="4"/>
  <c r="AU240" i="4"/>
  <c r="B239" i="4"/>
  <c r="AF236" i="4"/>
  <c r="AM236" i="4"/>
  <c r="AN236" i="4" s="1"/>
  <c r="L236" i="28"/>
  <c r="Q236" i="28"/>
  <c r="R236" i="28" s="1"/>
  <c r="T236" i="28" s="1"/>
  <c r="O238" i="28"/>
  <c r="P238" i="28"/>
  <c r="M238" i="28"/>
  <c r="E238" i="28"/>
  <c r="N238" i="28"/>
  <c r="B237" i="29"/>
  <c r="T238" i="29"/>
  <c r="AC237" i="4"/>
  <c r="U237" i="28"/>
  <c r="J237" i="28"/>
  <c r="AK238" i="4"/>
  <c r="M238" i="4"/>
  <c r="Z238" i="4" s="1"/>
  <c r="L238" i="4"/>
  <c r="Y238" i="4" s="1"/>
  <c r="AJ238" i="4"/>
  <c r="AH238" i="4"/>
  <c r="H238" i="4"/>
  <c r="G238" i="4"/>
  <c r="J238" i="4"/>
  <c r="AO238" i="4" s="1"/>
  <c r="AL238" i="4"/>
  <c r="AG238" i="4"/>
  <c r="E238" i="4"/>
  <c r="V238" i="4" s="1"/>
  <c r="AI238" i="4"/>
  <c r="AB238" i="4"/>
  <c r="K238" i="4"/>
  <c r="X238" i="4" s="1"/>
  <c r="I238" i="4"/>
  <c r="W238" i="28" l="1"/>
  <c r="AD237" i="4"/>
  <c r="AF237" i="4" s="1"/>
  <c r="W238" i="4"/>
  <c r="AP238" i="4" s="1"/>
  <c r="J236" i="29"/>
  <c r="I238" i="28"/>
  <c r="K238" i="28"/>
  <c r="AC238" i="4"/>
  <c r="AK239" i="4"/>
  <c r="K239" i="4"/>
  <c r="X239" i="4" s="1"/>
  <c r="AB239" i="4"/>
  <c r="AG239" i="4"/>
  <c r="G239" i="4"/>
  <c r="H239" i="4"/>
  <c r="J239" i="4"/>
  <c r="AO239" i="4" s="1"/>
  <c r="AI239" i="4"/>
  <c r="AH239" i="4"/>
  <c r="L239" i="4"/>
  <c r="Y239" i="4" s="1"/>
  <c r="AJ239" i="4"/>
  <c r="E239" i="4"/>
  <c r="V239" i="4" s="1"/>
  <c r="AL239" i="4"/>
  <c r="I239" i="4"/>
  <c r="M239" i="4"/>
  <c r="Z239" i="4" s="1"/>
  <c r="L237" i="28"/>
  <c r="Q237" i="28"/>
  <c r="R237" i="28" s="1"/>
  <c r="T237" i="28" s="1"/>
  <c r="I237" i="29"/>
  <c r="K237" i="29"/>
  <c r="E237" i="29"/>
  <c r="G237" i="29" s="1"/>
  <c r="H237" i="29" s="1"/>
  <c r="L236" i="29"/>
  <c r="M236" i="29" s="1"/>
  <c r="V237" i="28"/>
  <c r="B240" i="4"/>
  <c r="AU241" i="4"/>
  <c r="Y241" i="28"/>
  <c r="B240" i="28"/>
  <c r="F240" i="28" s="1"/>
  <c r="AE238" i="4"/>
  <c r="J235" i="29"/>
  <c r="L235" i="29"/>
  <c r="M235" i="29" s="1"/>
  <c r="T239" i="29"/>
  <c r="B238" i="29"/>
  <c r="U238" i="28"/>
  <c r="J238" i="28"/>
  <c r="O239" i="28"/>
  <c r="N239" i="28"/>
  <c r="E239" i="28"/>
  <c r="P239" i="28"/>
  <c r="M239" i="28"/>
  <c r="W239" i="28" l="1"/>
  <c r="W239" i="4"/>
  <c r="AP239" i="4" s="1"/>
  <c r="AD238" i="4"/>
  <c r="AM237" i="4"/>
  <c r="AN237" i="4" s="1"/>
  <c r="I239" i="28"/>
  <c r="K239" i="28"/>
  <c r="B241" i="4"/>
  <c r="AU242" i="4"/>
  <c r="J239" i="28"/>
  <c r="U239" i="28"/>
  <c r="L238" i="28"/>
  <c r="Q238" i="28"/>
  <c r="R238" i="28" s="1"/>
  <c r="T238" i="28" s="1"/>
  <c r="Y242" i="28"/>
  <c r="B241" i="28"/>
  <c r="F241" i="28" s="1"/>
  <c r="V238" i="28"/>
  <c r="I238" i="29"/>
  <c r="K238" i="29"/>
  <c r="E238" i="29"/>
  <c r="G238" i="29" s="1"/>
  <c r="H238" i="29" s="1"/>
  <c r="AK240" i="4"/>
  <c r="J240" i="4"/>
  <c r="AO240" i="4" s="1"/>
  <c r="G240" i="4"/>
  <c r="I240" i="4"/>
  <c r="AJ240" i="4"/>
  <c r="E240" i="4"/>
  <c r="V240" i="4" s="1"/>
  <c r="AG240" i="4"/>
  <c r="AH240" i="4"/>
  <c r="M240" i="4"/>
  <c r="Z240" i="4" s="1"/>
  <c r="AB240" i="4"/>
  <c r="K240" i="4"/>
  <c r="X240" i="4" s="1"/>
  <c r="H240" i="4"/>
  <c r="L240" i="4"/>
  <c r="Y240" i="4" s="1"/>
  <c r="AL240" i="4"/>
  <c r="AI240" i="4"/>
  <c r="AC239" i="4"/>
  <c r="V239" i="28"/>
  <c r="B239" i="29"/>
  <c r="T240" i="29"/>
  <c r="M240" i="28"/>
  <c r="E240" i="28"/>
  <c r="N240" i="28"/>
  <c r="O240" i="28"/>
  <c r="P240" i="28"/>
  <c r="J237" i="29"/>
  <c r="L237" i="29"/>
  <c r="M237" i="29" s="1"/>
  <c r="AE239" i="4"/>
  <c r="W240" i="28" l="1"/>
  <c r="W240" i="4"/>
  <c r="AP240" i="4" s="1"/>
  <c r="AD239" i="4"/>
  <c r="I240" i="28"/>
  <c r="K240" i="28"/>
  <c r="J238" i="29"/>
  <c r="AF239" i="4"/>
  <c r="J240" i="28"/>
  <c r="U240" i="28"/>
  <c r="AE240" i="4"/>
  <c r="E241" i="28"/>
  <c r="O241" i="28"/>
  <c r="P241" i="28"/>
  <c r="M241" i="28"/>
  <c r="N241" i="28"/>
  <c r="Y243" i="28"/>
  <c r="B242" i="28"/>
  <c r="F242" i="28" s="1"/>
  <c r="Q239" i="28"/>
  <c r="R239" i="28" s="1"/>
  <c r="T239" i="28" s="1"/>
  <c r="L239" i="28"/>
  <c r="B240" i="29"/>
  <c r="T241" i="29"/>
  <c r="AF238" i="4"/>
  <c r="AM238" i="4"/>
  <c r="AN238" i="4" s="1"/>
  <c r="B242" i="4"/>
  <c r="AU243" i="4"/>
  <c r="I239" i="29"/>
  <c r="K239" i="29"/>
  <c r="E239" i="29"/>
  <c r="G239" i="29" s="1"/>
  <c r="H239" i="29" s="1"/>
  <c r="AC240" i="4"/>
  <c r="AK241" i="4"/>
  <c r="K241" i="4"/>
  <c r="X241" i="4" s="1"/>
  <c r="AB241" i="4"/>
  <c r="AH241" i="4"/>
  <c r="AL241" i="4"/>
  <c r="L241" i="4"/>
  <c r="Y241" i="4" s="1"/>
  <c r="AG241" i="4"/>
  <c r="J241" i="4"/>
  <c r="AO241" i="4" s="1"/>
  <c r="AI241" i="4"/>
  <c r="G241" i="4"/>
  <c r="AJ241" i="4"/>
  <c r="M241" i="4"/>
  <c r="Z241" i="4" s="1"/>
  <c r="I241" i="4"/>
  <c r="E241" i="4"/>
  <c r="V241" i="4" s="1"/>
  <c r="H241" i="4"/>
  <c r="W241" i="28" l="1"/>
  <c r="AD240" i="4"/>
  <c r="AF240" i="4" s="1"/>
  <c r="W241" i="4"/>
  <c r="AP241" i="4" s="1"/>
  <c r="L238" i="29"/>
  <c r="M238" i="29" s="1"/>
  <c r="AM239" i="4"/>
  <c r="AN239" i="4" s="1"/>
  <c r="I241" i="28"/>
  <c r="K241" i="28"/>
  <c r="AE241" i="4"/>
  <c r="B241" i="29"/>
  <c r="T242" i="29"/>
  <c r="K240" i="29"/>
  <c r="I240" i="29"/>
  <c r="E240" i="29"/>
  <c r="G240" i="29" s="1"/>
  <c r="H240" i="29" s="1"/>
  <c r="M242" i="28"/>
  <c r="N242" i="28"/>
  <c r="P242" i="28"/>
  <c r="O242" i="28"/>
  <c r="E242" i="28"/>
  <c r="J241" i="28"/>
  <c r="U241" i="28"/>
  <c r="L240" i="28"/>
  <c r="Q240" i="28"/>
  <c r="R240" i="28" s="1"/>
  <c r="T240" i="28" s="1"/>
  <c r="AU244" i="4"/>
  <c r="B243" i="4"/>
  <c r="V240" i="28"/>
  <c r="Y244" i="28"/>
  <c r="B243" i="28"/>
  <c r="F243" i="28" s="1"/>
  <c r="AC241" i="4"/>
  <c r="AK242" i="4"/>
  <c r="H242" i="4"/>
  <c r="J242" i="4"/>
  <c r="AO242" i="4" s="1"/>
  <c r="E242" i="4"/>
  <c r="V242" i="4" s="1"/>
  <c r="AB242" i="4"/>
  <c r="G242" i="4"/>
  <c r="L242" i="4"/>
  <c r="Y242" i="4" s="1"/>
  <c r="K242" i="4"/>
  <c r="X242" i="4" s="1"/>
  <c r="AG242" i="4"/>
  <c r="AH242" i="4"/>
  <c r="M242" i="4"/>
  <c r="Z242" i="4" s="1"/>
  <c r="AL242" i="4"/>
  <c r="AI242" i="4"/>
  <c r="I242" i="4"/>
  <c r="AJ242" i="4"/>
  <c r="V241" i="28"/>
  <c r="W242" i="28" l="1"/>
  <c r="W242" i="4"/>
  <c r="AP242" i="4" s="1"/>
  <c r="AD241" i="4"/>
  <c r="AM240" i="4"/>
  <c r="AN240" i="4" s="1"/>
  <c r="I242" i="28"/>
  <c r="K242" i="28"/>
  <c r="AC242" i="4"/>
  <c r="AE242" i="4"/>
  <c r="L239" i="29"/>
  <c r="M239" i="29" s="1"/>
  <c r="J239" i="29"/>
  <c r="AK243" i="4"/>
  <c r="AH243" i="4"/>
  <c r="M243" i="4"/>
  <c r="Z243" i="4" s="1"/>
  <c r="AL243" i="4"/>
  <c r="K243" i="4"/>
  <c r="X243" i="4" s="1"/>
  <c r="H243" i="4"/>
  <c r="L243" i="4"/>
  <c r="Y243" i="4" s="1"/>
  <c r="E243" i="4"/>
  <c r="V243" i="4" s="1"/>
  <c r="I243" i="4"/>
  <c r="AG243" i="4"/>
  <c r="J243" i="4"/>
  <c r="AO243" i="4" s="1"/>
  <c r="AJ243" i="4"/>
  <c r="AI243" i="4"/>
  <c r="G243" i="4"/>
  <c r="AB243" i="4"/>
  <c r="O243" i="28"/>
  <c r="M243" i="28"/>
  <c r="E243" i="28"/>
  <c r="N243" i="28"/>
  <c r="P243" i="28"/>
  <c r="B244" i="4"/>
  <c r="AU245" i="4"/>
  <c r="L241" i="28"/>
  <c r="Q241" i="28"/>
  <c r="R241" i="28" s="1"/>
  <c r="T241" i="28" s="1"/>
  <c r="B242" i="29"/>
  <c r="T243" i="29"/>
  <c r="Y245" i="28"/>
  <c r="B244" i="28"/>
  <c r="F244" i="28" s="1"/>
  <c r="U242" i="28"/>
  <c r="J242" i="28"/>
  <c r="I241" i="29"/>
  <c r="E241" i="29"/>
  <c r="G241" i="29" s="1"/>
  <c r="H241" i="29" s="1"/>
  <c r="K241" i="29"/>
  <c r="W243" i="28" l="1"/>
  <c r="AD242" i="4"/>
  <c r="W243" i="4"/>
  <c r="AP243" i="4" s="1"/>
  <c r="AC243" i="4"/>
  <c r="I243" i="28"/>
  <c r="K243" i="28"/>
  <c r="V242" i="28"/>
  <c r="L242" i="28"/>
  <c r="Q242" i="28"/>
  <c r="R242" i="28" s="1"/>
  <c r="T242" i="28" s="1"/>
  <c r="AM241" i="4"/>
  <c r="AN241" i="4" s="1"/>
  <c r="AF241" i="4"/>
  <c r="B245" i="28"/>
  <c r="F245" i="28" s="1"/>
  <c r="Y246" i="28"/>
  <c r="J240" i="29"/>
  <c r="L240" i="29"/>
  <c r="M240" i="29" s="1"/>
  <c r="AK244" i="4"/>
  <c r="AB244" i="4"/>
  <c r="M244" i="4"/>
  <c r="Z244" i="4" s="1"/>
  <c r="K244" i="4"/>
  <c r="X244" i="4" s="1"/>
  <c r="G244" i="4"/>
  <c r="I244" i="4"/>
  <c r="AJ244" i="4"/>
  <c r="J244" i="4"/>
  <c r="AO244" i="4" s="1"/>
  <c r="AG244" i="4"/>
  <c r="H244" i="4"/>
  <c r="L244" i="4"/>
  <c r="Y244" i="4" s="1"/>
  <c r="E244" i="4"/>
  <c r="V244" i="4" s="1"/>
  <c r="AH244" i="4"/>
  <c r="AL244" i="4"/>
  <c r="J243" i="28"/>
  <c r="U243" i="28"/>
  <c r="AE243" i="4"/>
  <c r="B243" i="29"/>
  <c r="T244" i="29"/>
  <c r="M244" i="28"/>
  <c r="N244" i="28"/>
  <c r="P244" i="28"/>
  <c r="O244" i="28"/>
  <c r="E244" i="28"/>
  <c r="K242" i="29"/>
  <c r="E242" i="29"/>
  <c r="G242" i="29" s="1"/>
  <c r="H242" i="29" s="1"/>
  <c r="I242" i="29"/>
  <c r="AU246" i="4"/>
  <c r="B245" i="4"/>
  <c r="W244" i="28" l="1"/>
  <c r="V243" i="28"/>
  <c r="W244" i="4"/>
  <c r="AP244" i="4" s="1"/>
  <c r="AD243" i="4"/>
  <c r="AM243" i="4" s="1"/>
  <c r="AN243" i="4" s="1"/>
  <c r="I244" i="28"/>
  <c r="J244" i="28" s="1"/>
  <c r="K244" i="28"/>
  <c r="B244" i="29"/>
  <c r="T245" i="29"/>
  <c r="AF242" i="4"/>
  <c r="AM242" i="4"/>
  <c r="AN242" i="4" s="1"/>
  <c r="U244" i="28"/>
  <c r="J241" i="29"/>
  <c r="L241" i="29"/>
  <c r="M241" i="29" s="1"/>
  <c r="Q243" i="28"/>
  <c r="R243" i="28" s="1"/>
  <c r="T243" i="28" s="1"/>
  <c r="L243" i="28"/>
  <c r="Y247" i="28"/>
  <c r="B246" i="28"/>
  <c r="F246" i="28" s="1"/>
  <c r="AK245" i="4"/>
  <c r="M245" i="4"/>
  <c r="Z245" i="4" s="1"/>
  <c r="E245" i="4"/>
  <c r="V245" i="4" s="1"/>
  <c r="G245" i="4"/>
  <c r="AI245" i="4"/>
  <c r="I245" i="4"/>
  <c r="AB245" i="4"/>
  <c r="AL245" i="4"/>
  <c r="AG245" i="4"/>
  <c r="AJ245" i="4"/>
  <c r="L245" i="4"/>
  <c r="Y245" i="4" s="1"/>
  <c r="H245" i="4"/>
  <c r="J245" i="4"/>
  <c r="AO245" i="4" s="1"/>
  <c r="AH245" i="4"/>
  <c r="K245" i="4"/>
  <c r="X245" i="4" s="1"/>
  <c r="N245" i="28"/>
  <c r="E245" i="28"/>
  <c r="O245" i="28"/>
  <c r="M245" i="28"/>
  <c r="P245" i="28"/>
  <c r="J242" i="29"/>
  <c r="L242" i="29"/>
  <c r="M242" i="29" s="1"/>
  <c r="B246" i="4"/>
  <c r="AU247" i="4"/>
  <c r="E243" i="29"/>
  <c r="G243" i="29" s="1"/>
  <c r="H243" i="29" s="1"/>
  <c r="I243" i="29"/>
  <c r="K243" i="29"/>
  <c r="AC244" i="4"/>
  <c r="W245" i="28" l="1"/>
  <c r="AF243" i="4"/>
  <c r="AD244" i="4"/>
  <c r="W245" i="4"/>
  <c r="AP245" i="4" s="1"/>
  <c r="I245" i="28"/>
  <c r="K245" i="28"/>
  <c r="L244" i="28"/>
  <c r="Q244" i="28"/>
  <c r="R244" i="28" s="1"/>
  <c r="T244" i="28" s="1"/>
  <c r="AU248" i="4"/>
  <c r="B247" i="4"/>
  <c r="AK246" i="4"/>
  <c r="E246" i="4"/>
  <c r="V246" i="4" s="1"/>
  <c r="M246" i="4"/>
  <c r="Z246" i="4" s="1"/>
  <c r="L246" i="4"/>
  <c r="Y246" i="4" s="1"/>
  <c r="AJ246" i="4"/>
  <c r="H246" i="4"/>
  <c r="I246" i="4"/>
  <c r="J246" i="4"/>
  <c r="AO246" i="4" s="1"/>
  <c r="AB246" i="4"/>
  <c r="AH246" i="4"/>
  <c r="AI246" i="4"/>
  <c r="G246" i="4"/>
  <c r="AG246" i="4"/>
  <c r="AL246" i="4"/>
  <c r="K246" i="4"/>
  <c r="X246" i="4" s="1"/>
  <c r="AE245" i="4"/>
  <c r="N246" i="28"/>
  <c r="P246" i="28"/>
  <c r="E246" i="28"/>
  <c r="O246" i="28"/>
  <c r="M246" i="28"/>
  <c r="T246" i="29"/>
  <c r="B245" i="29"/>
  <c r="U245" i="28"/>
  <c r="V245" i="28" s="1"/>
  <c r="J245" i="28"/>
  <c r="AC245" i="4"/>
  <c r="Y248" i="28"/>
  <c r="B247" i="28"/>
  <c r="F247" i="28" s="1"/>
  <c r="E244" i="29"/>
  <c r="G244" i="29" s="1"/>
  <c r="H244" i="29" s="1"/>
  <c r="K244" i="29"/>
  <c r="I244" i="29"/>
  <c r="V244" i="28"/>
  <c r="W246" i="28" l="1"/>
  <c r="W246" i="4"/>
  <c r="AP246" i="4" s="1"/>
  <c r="AD245" i="4"/>
  <c r="AM245" i="4" s="1"/>
  <c r="AN245" i="4" s="1"/>
  <c r="I246" i="28"/>
  <c r="K246" i="28"/>
  <c r="L244" i="29"/>
  <c r="M244" i="29" s="1"/>
  <c r="AC246" i="4"/>
  <c r="AU249" i="4"/>
  <c r="B248" i="4"/>
  <c r="E245" i="29"/>
  <c r="G245" i="29" s="1"/>
  <c r="H245" i="29" s="1"/>
  <c r="K245" i="29"/>
  <c r="I245" i="29"/>
  <c r="AE246" i="4"/>
  <c r="J243" i="29"/>
  <c r="L243" i="29"/>
  <c r="M243" i="29" s="1"/>
  <c r="E247" i="28"/>
  <c r="M247" i="28"/>
  <c r="O247" i="28"/>
  <c r="N247" i="28"/>
  <c r="P247" i="28"/>
  <c r="L245" i="28"/>
  <c r="Q245" i="28"/>
  <c r="R245" i="28" s="1"/>
  <c r="T245" i="28" s="1"/>
  <c r="B246" i="29"/>
  <c r="T247" i="29"/>
  <c r="B248" i="28"/>
  <c r="F248" i="28" s="1"/>
  <c r="Y249" i="28"/>
  <c r="J246" i="28"/>
  <c r="U246" i="28"/>
  <c r="AK247" i="4"/>
  <c r="AL247" i="4"/>
  <c r="AG247" i="4"/>
  <c r="J247" i="4"/>
  <c r="AO247" i="4" s="1"/>
  <c r="AB247" i="4"/>
  <c r="G247" i="4"/>
  <c r="AI247" i="4"/>
  <c r="E247" i="4"/>
  <c r="V247" i="4" s="1"/>
  <c r="AH247" i="4"/>
  <c r="I247" i="4"/>
  <c r="H247" i="4"/>
  <c r="K247" i="4"/>
  <c r="X247" i="4" s="1"/>
  <c r="L247" i="4"/>
  <c r="Y247" i="4" s="1"/>
  <c r="AJ247" i="4"/>
  <c r="M247" i="4"/>
  <c r="Z247" i="4" s="1"/>
  <c r="W247" i="28" l="1"/>
  <c r="AD246" i="4"/>
  <c r="AF245" i="4"/>
  <c r="W247" i="4"/>
  <c r="AP247" i="4" s="1"/>
  <c r="J244" i="29"/>
  <c r="I247" i="28"/>
  <c r="J245" i="29"/>
  <c r="K247" i="28"/>
  <c r="M248" i="28"/>
  <c r="E248" i="28"/>
  <c r="P248" i="28"/>
  <c r="O248" i="28"/>
  <c r="N248" i="28"/>
  <c r="E246" i="29"/>
  <c r="G246" i="29" s="1"/>
  <c r="H246" i="29" s="1"/>
  <c r="K246" i="29"/>
  <c r="I246" i="29"/>
  <c r="AF246" i="4"/>
  <c r="AM246" i="4"/>
  <c r="AN246" i="4" s="1"/>
  <c r="AK248" i="4"/>
  <c r="AB248" i="4"/>
  <c r="E248" i="4"/>
  <c r="V248" i="4" s="1"/>
  <c r="I248" i="4"/>
  <c r="G248" i="4"/>
  <c r="J248" i="4"/>
  <c r="AO248" i="4" s="1"/>
  <c r="M248" i="4"/>
  <c r="Z248" i="4" s="1"/>
  <c r="K248" i="4"/>
  <c r="X248" i="4" s="1"/>
  <c r="AI248" i="4"/>
  <c r="AG248" i="4"/>
  <c r="AH248" i="4"/>
  <c r="AJ248" i="4"/>
  <c r="AL248" i="4"/>
  <c r="H248" i="4"/>
  <c r="L248" i="4"/>
  <c r="Y248" i="4" s="1"/>
  <c r="AE247" i="4"/>
  <c r="Y250" i="28"/>
  <c r="B249" i="28"/>
  <c r="F249" i="28" s="1"/>
  <c r="B247" i="29"/>
  <c r="T248" i="29"/>
  <c r="AC247" i="4"/>
  <c r="U247" i="28"/>
  <c r="V247" i="28" s="1"/>
  <c r="J247" i="28"/>
  <c r="B249" i="4"/>
  <c r="AU250" i="4"/>
  <c r="L246" i="28"/>
  <c r="Q246" i="28"/>
  <c r="R246" i="28" s="1"/>
  <c r="T246" i="28" s="1"/>
  <c r="V246" i="28"/>
  <c r="W248" i="28" l="1"/>
  <c r="AD247" i="4"/>
  <c r="AF247" i="4" s="1"/>
  <c r="L245" i="29"/>
  <c r="M245" i="29" s="1"/>
  <c r="W248" i="4"/>
  <c r="AP248" i="4" s="1"/>
  <c r="I248" i="28"/>
  <c r="J248" i="28" s="1"/>
  <c r="K248" i="28"/>
  <c r="U248" i="28"/>
  <c r="AE248" i="4"/>
  <c r="L247" i="28"/>
  <c r="Q247" i="28"/>
  <c r="R247" i="28" s="1"/>
  <c r="T247" i="28" s="1"/>
  <c r="AC248" i="4"/>
  <c r="L246" i="29"/>
  <c r="M246" i="29" s="1"/>
  <c r="J246" i="29"/>
  <c r="E249" i="28"/>
  <c r="M249" i="28"/>
  <c r="N249" i="28"/>
  <c r="O249" i="28"/>
  <c r="P249" i="28"/>
  <c r="B250" i="28"/>
  <c r="F250" i="28" s="1"/>
  <c r="Y251" i="28"/>
  <c r="B250" i="4"/>
  <c r="AU251" i="4"/>
  <c r="B248" i="29"/>
  <c r="T249" i="29"/>
  <c r="AK249" i="4"/>
  <c r="H249" i="4"/>
  <c r="AJ249" i="4"/>
  <c r="I249" i="4"/>
  <c r="AG249" i="4"/>
  <c r="AH249" i="4"/>
  <c r="E249" i="4"/>
  <c r="V249" i="4" s="1"/>
  <c r="AI249" i="4"/>
  <c r="J249" i="4"/>
  <c r="AO249" i="4" s="1"/>
  <c r="L249" i="4"/>
  <c r="Y249" i="4" s="1"/>
  <c r="AB249" i="4"/>
  <c r="G249" i="4"/>
  <c r="M249" i="4"/>
  <c r="Z249" i="4" s="1"/>
  <c r="AL249" i="4"/>
  <c r="K249" i="4"/>
  <c r="X249" i="4" s="1"/>
  <c r="I247" i="29"/>
  <c r="E247" i="29"/>
  <c r="G247" i="29" s="1"/>
  <c r="H247" i="29" s="1"/>
  <c r="K247" i="29"/>
  <c r="W249" i="28" l="1"/>
  <c r="AM247" i="4"/>
  <c r="AN247" i="4" s="1"/>
  <c r="AD248" i="4"/>
  <c r="AF248" i="4" s="1"/>
  <c r="W249" i="4"/>
  <c r="AP249" i="4" s="1"/>
  <c r="I249" i="28"/>
  <c r="J249" i="28" s="1"/>
  <c r="V248" i="28"/>
  <c r="K249" i="28"/>
  <c r="AM248" i="4"/>
  <c r="AN248" i="4" s="1"/>
  <c r="B249" i="29"/>
  <c r="T258" i="29"/>
  <c r="T250" i="29"/>
  <c r="Y252" i="28"/>
  <c r="B251" i="28"/>
  <c r="F251" i="28" s="1"/>
  <c r="U249" i="28"/>
  <c r="L247" i="29"/>
  <c r="M247" i="29" s="1"/>
  <c r="J247" i="29"/>
  <c r="AK250" i="4"/>
  <c r="K250" i="4"/>
  <c r="X250" i="4" s="1"/>
  <c r="AB250" i="4"/>
  <c r="J250" i="4"/>
  <c r="AO250" i="4" s="1"/>
  <c r="AH250" i="4"/>
  <c r="H250" i="4"/>
  <c r="E250" i="4"/>
  <c r="V250" i="4" s="1"/>
  <c r="AI250" i="4"/>
  <c r="G250" i="4"/>
  <c r="L250" i="4"/>
  <c r="Y250" i="4" s="1"/>
  <c r="M250" i="4"/>
  <c r="Z250" i="4" s="1"/>
  <c r="AG250" i="4"/>
  <c r="AL250" i="4"/>
  <c r="AJ250" i="4"/>
  <c r="I250" i="4"/>
  <c r="AC249" i="4"/>
  <c r="E248" i="29"/>
  <c r="G248" i="29" s="1"/>
  <c r="H248" i="29" s="1"/>
  <c r="K248" i="29"/>
  <c r="I248" i="29"/>
  <c r="O250" i="28"/>
  <c r="M250" i="28"/>
  <c r="P250" i="28"/>
  <c r="N250" i="28"/>
  <c r="E250" i="28"/>
  <c r="W250" i="28" s="1"/>
  <c r="AE249" i="4"/>
  <c r="AU252" i="4"/>
  <c r="B251" i="4"/>
  <c r="Q248" i="28"/>
  <c r="R248" i="28" s="1"/>
  <c r="T248" i="28" s="1"/>
  <c r="L248" i="28"/>
  <c r="W250" i="4" l="1"/>
  <c r="AP250" i="4" s="1"/>
  <c r="AD249" i="4"/>
  <c r="AM249" i="4" s="1"/>
  <c r="AN249" i="4" s="1"/>
  <c r="I250" i="28"/>
  <c r="K250" i="28"/>
  <c r="V249" i="28"/>
  <c r="AE250" i="4"/>
  <c r="B252" i="4"/>
  <c r="AU253" i="4"/>
  <c r="AK251" i="4"/>
  <c r="AH251" i="4"/>
  <c r="AL251" i="4"/>
  <c r="AB251" i="4"/>
  <c r="AJ251" i="4"/>
  <c r="AG251" i="4"/>
  <c r="L251" i="4"/>
  <c r="Y251" i="4" s="1"/>
  <c r="M251" i="4"/>
  <c r="Z251" i="4" s="1"/>
  <c r="J251" i="4"/>
  <c r="AO251" i="4" s="1"/>
  <c r="E251" i="4"/>
  <c r="V251" i="4" s="1"/>
  <c r="G251" i="4"/>
  <c r="AI251" i="4"/>
  <c r="K251" i="4"/>
  <c r="X251" i="4" s="1"/>
  <c r="I251" i="4"/>
  <c r="H251" i="4"/>
  <c r="J250" i="28"/>
  <c r="U250" i="28"/>
  <c r="Y253" i="28"/>
  <c r="B252" i="28"/>
  <c r="F252" i="28" s="1"/>
  <c r="AC250" i="4"/>
  <c r="T251" i="29"/>
  <c r="B250" i="29"/>
  <c r="Q249" i="28"/>
  <c r="R249" i="28" s="1"/>
  <c r="T249" i="28" s="1"/>
  <c r="L249" i="28"/>
  <c r="T259" i="29"/>
  <c r="B258" i="29"/>
  <c r="E251" i="28"/>
  <c r="O251" i="28"/>
  <c r="M251" i="28"/>
  <c r="N251" i="28"/>
  <c r="P251" i="28"/>
  <c r="K249" i="29"/>
  <c r="I249" i="29"/>
  <c r="E249" i="29"/>
  <c r="G249" i="29" s="1"/>
  <c r="H249" i="29" s="1"/>
  <c r="W251" i="28" l="1"/>
  <c r="AF249" i="4"/>
  <c r="AD250" i="4"/>
  <c r="AF250" i="4" s="1"/>
  <c r="W251" i="4"/>
  <c r="AP251" i="4" s="1"/>
  <c r="I251" i="28"/>
  <c r="K251" i="28"/>
  <c r="V250" i="28"/>
  <c r="AC251" i="4"/>
  <c r="K258" i="29"/>
  <c r="I258" i="29"/>
  <c r="E258" i="29"/>
  <c r="G258" i="29" s="1"/>
  <c r="H258" i="29" s="1"/>
  <c r="K250" i="29"/>
  <c r="I250" i="29"/>
  <c r="E250" i="29"/>
  <c r="G250" i="29" s="1"/>
  <c r="H250" i="29" s="1"/>
  <c r="B253" i="28"/>
  <c r="F253" i="28" s="1"/>
  <c r="Y254" i="28"/>
  <c r="L250" i="28"/>
  <c r="Q250" i="28"/>
  <c r="R250" i="28" s="1"/>
  <c r="T250" i="28" s="1"/>
  <c r="B259" i="29"/>
  <c r="T260" i="29"/>
  <c r="B251" i="29"/>
  <c r="T252" i="29"/>
  <c r="AM250" i="4"/>
  <c r="AN250" i="4" s="1"/>
  <c r="AE251" i="4"/>
  <c r="J248" i="29"/>
  <c r="L248" i="29"/>
  <c r="M248" i="29" s="1"/>
  <c r="AU254" i="4"/>
  <c r="B253" i="4"/>
  <c r="U251" i="28"/>
  <c r="J251" i="28"/>
  <c r="E252" i="28"/>
  <c r="M252" i="28"/>
  <c r="N252" i="28"/>
  <c r="P252" i="28"/>
  <c r="O252" i="28"/>
  <c r="AK252" i="4"/>
  <c r="AH252" i="4"/>
  <c r="K252" i="4"/>
  <c r="X252" i="4" s="1"/>
  <c r="I252" i="4"/>
  <c r="AL252" i="4"/>
  <c r="E252" i="4"/>
  <c r="V252" i="4" s="1"/>
  <c r="H252" i="4"/>
  <c r="L252" i="4"/>
  <c r="Y252" i="4" s="1"/>
  <c r="AB252" i="4"/>
  <c r="J252" i="4"/>
  <c r="AO252" i="4" s="1"/>
  <c r="AJ252" i="4"/>
  <c r="M252" i="4"/>
  <c r="Z252" i="4" s="1"/>
  <c r="AG252" i="4"/>
  <c r="AI252" i="4"/>
  <c r="G252" i="4"/>
  <c r="W252" i="28" l="1"/>
  <c r="V251" i="28"/>
  <c r="W252" i="4"/>
  <c r="AD252" i="4" s="1"/>
  <c r="AD251" i="4"/>
  <c r="AM251" i="4" s="1"/>
  <c r="AN251" i="4" s="1"/>
  <c r="I252" i="28"/>
  <c r="J252" i="28" s="1"/>
  <c r="L258" i="29"/>
  <c r="M258" i="29" s="1"/>
  <c r="K252" i="28"/>
  <c r="T261" i="29"/>
  <c r="B260" i="29"/>
  <c r="J258" i="29"/>
  <c r="AC252" i="4"/>
  <c r="U252" i="28"/>
  <c r="AK253" i="4"/>
  <c r="K253" i="4"/>
  <c r="X253" i="4" s="1"/>
  <c r="J253" i="4"/>
  <c r="AO253" i="4" s="1"/>
  <c r="G253" i="4"/>
  <c r="AB253" i="4"/>
  <c r="I253" i="4"/>
  <c r="AJ253" i="4"/>
  <c r="AG253" i="4"/>
  <c r="AL253" i="4"/>
  <c r="H253" i="4"/>
  <c r="M253" i="4"/>
  <c r="Z253" i="4" s="1"/>
  <c r="E253" i="4"/>
  <c r="V253" i="4" s="1"/>
  <c r="AH253" i="4"/>
  <c r="AI253" i="4"/>
  <c r="L253" i="4"/>
  <c r="Y253" i="4" s="1"/>
  <c r="I259" i="29"/>
  <c r="K259" i="29"/>
  <c r="E259" i="29"/>
  <c r="G259" i="29" s="1"/>
  <c r="H259" i="29" s="1"/>
  <c r="B254" i="28"/>
  <c r="F254" i="28" s="1"/>
  <c r="Y255" i="28"/>
  <c r="B254" i="4"/>
  <c r="AU255" i="4"/>
  <c r="B252" i="29"/>
  <c r="T253" i="29"/>
  <c r="L249" i="29"/>
  <c r="M249" i="29" s="1"/>
  <c r="J249" i="29"/>
  <c r="N253" i="28"/>
  <c r="O253" i="28"/>
  <c r="E253" i="28"/>
  <c r="M253" i="28"/>
  <c r="P253" i="28"/>
  <c r="AE252" i="4"/>
  <c r="Q251" i="28"/>
  <c r="R251" i="28" s="1"/>
  <c r="T251" i="28" s="1"/>
  <c r="L251" i="28"/>
  <c r="E251" i="29"/>
  <c r="G251" i="29" s="1"/>
  <c r="H251" i="29" s="1"/>
  <c r="K251" i="29"/>
  <c r="I251" i="29"/>
  <c r="W253" i="28" l="1"/>
  <c r="AP252" i="4"/>
  <c r="AF251" i="4"/>
  <c r="W253" i="4"/>
  <c r="AP253" i="4" s="1"/>
  <c r="I253" i="28"/>
  <c r="V252" i="28"/>
  <c r="K253" i="28"/>
  <c r="K252" i="29"/>
  <c r="E252" i="29"/>
  <c r="G252" i="29" s="1"/>
  <c r="H252" i="29" s="1"/>
  <c r="I252" i="29"/>
  <c r="Y256" i="28"/>
  <c r="B255" i="28"/>
  <c r="F255" i="28" s="1"/>
  <c r="AU256" i="4"/>
  <c r="B255" i="4"/>
  <c r="N254" i="28"/>
  <c r="E254" i="28"/>
  <c r="W254" i="28" s="1"/>
  <c r="P254" i="28"/>
  <c r="M254" i="28"/>
  <c r="O254" i="28"/>
  <c r="U253" i="28"/>
  <c r="J253" i="28"/>
  <c r="AK254" i="4"/>
  <c r="J254" i="4"/>
  <c r="AO254" i="4" s="1"/>
  <c r="AH254" i="4"/>
  <c r="AL254" i="4"/>
  <c r="M254" i="4"/>
  <c r="Z254" i="4" s="1"/>
  <c r="AG254" i="4"/>
  <c r="AI254" i="4"/>
  <c r="AB254" i="4"/>
  <c r="L254" i="4"/>
  <c r="Y254" i="4" s="1"/>
  <c r="G254" i="4"/>
  <c r="E254" i="4"/>
  <c r="V254" i="4" s="1"/>
  <c r="K254" i="4"/>
  <c r="X254" i="4" s="1"/>
  <c r="I254" i="4"/>
  <c r="AJ254" i="4"/>
  <c r="H254" i="4"/>
  <c r="J259" i="29"/>
  <c r="L259" i="29"/>
  <c r="M259" i="29" s="1"/>
  <c r="L252" i="28"/>
  <c r="Q252" i="28"/>
  <c r="R252" i="28" s="1"/>
  <c r="T252" i="28" s="1"/>
  <c r="B253" i="29"/>
  <c r="T254" i="29"/>
  <c r="AM252" i="4"/>
  <c r="AN252" i="4" s="1"/>
  <c r="AF252" i="4"/>
  <c r="AC253" i="4"/>
  <c r="I260" i="29"/>
  <c r="E260" i="29"/>
  <c r="G260" i="29" s="1"/>
  <c r="H260" i="29" s="1"/>
  <c r="K260" i="29"/>
  <c r="J250" i="29"/>
  <c r="L250" i="29"/>
  <c r="M250" i="29" s="1"/>
  <c r="J251" i="29"/>
  <c r="L251" i="29"/>
  <c r="M251" i="29" s="1"/>
  <c r="AE253" i="4"/>
  <c r="T262" i="29"/>
  <c r="B261" i="29"/>
  <c r="W254" i="4" l="1"/>
  <c r="AP254" i="4" s="1"/>
  <c r="AD253" i="4"/>
  <c r="AF253" i="4" s="1"/>
  <c r="I254" i="28"/>
  <c r="AC254" i="4"/>
  <c r="K254" i="28"/>
  <c r="V253" i="28"/>
  <c r="T255" i="29"/>
  <c r="B254" i="29"/>
  <c r="AK255" i="4"/>
  <c r="M255" i="4"/>
  <c r="Z255" i="4" s="1"/>
  <c r="J255" i="4"/>
  <c r="AO255" i="4" s="1"/>
  <c r="I255" i="4"/>
  <c r="AG255" i="4"/>
  <c r="L255" i="4"/>
  <c r="Y255" i="4" s="1"/>
  <c r="G255" i="4"/>
  <c r="AB255" i="4"/>
  <c r="K255" i="4"/>
  <c r="X255" i="4" s="1"/>
  <c r="AI255" i="4"/>
  <c r="E255" i="4"/>
  <c r="V255" i="4" s="1"/>
  <c r="AL255" i="4"/>
  <c r="H255" i="4"/>
  <c r="AJ255" i="4"/>
  <c r="AH255" i="4"/>
  <c r="T263" i="29"/>
  <c r="B262" i="29"/>
  <c r="I253" i="29"/>
  <c r="E253" i="29"/>
  <c r="G253" i="29" s="1"/>
  <c r="H253" i="29" s="1"/>
  <c r="K253" i="29"/>
  <c r="AE254" i="4"/>
  <c r="L253" i="28"/>
  <c r="Q253" i="28"/>
  <c r="R253" i="28" s="1"/>
  <c r="T253" i="28" s="1"/>
  <c r="AU257" i="4"/>
  <c r="B256" i="4"/>
  <c r="L252" i="29"/>
  <c r="M252" i="29" s="1"/>
  <c r="J252" i="29"/>
  <c r="U254" i="28"/>
  <c r="V254" i="28" s="1"/>
  <c r="J254" i="28"/>
  <c r="O255" i="28"/>
  <c r="P255" i="28"/>
  <c r="M255" i="28"/>
  <c r="E255" i="28"/>
  <c r="N255" i="28"/>
  <c r="I261" i="29"/>
  <c r="E261" i="29"/>
  <c r="G261" i="29" s="1"/>
  <c r="H261" i="29" s="1"/>
  <c r="K261" i="29"/>
  <c r="J260" i="29"/>
  <c r="L260" i="29"/>
  <c r="M260" i="29" s="1"/>
  <c r="B256" i="28"/>
  <c r="F256" i="28" s="1"/>
  <c r="Y257" i="28"/>
  <c r="W255" i="28" l="1"/>
  <c r="AM253" i="4"/>
  <c r="AN253" i="4" s="1"/>
  <c r="AD254" i="4"/>
  <c r="AM254" i="4" s="1"/>
  <c r="AN254" i="4" s="1"/>
  <c r="W255" i="4"/>
  <c r="AP255" i="4" s="1"/>
  <c r="J261" i="29"/>
  <c r="I255" i="28"/>
  <c r="J255" i="28" s="1"/>
  <c r="K255" i="28"/>
  <c r="AC255" i="4"/>
  <c r="U255" i="28"/>
  <c r="B263" i="29"/>
  <c r="T264" i="29"/>
  <c r="AE255" i="4"/>
  <c r="L261" i="29"/>
  <c r="M261" i="29" s="1"/>
  <c r="Q254" i="28"/>
  <c r="R254" i="28" s="1"/>
  <c r="T254" i="28" s="1"/>
  <c r="L254" i="28"/>
  <c r="B257" i="28"/>
  <c r="F257" i="28" s="1"/>
  <c r="Y258" i="28"/>
  <c r="M256" i="28"/>
  <c r="N256" i="28"/>
  <c r="P256" i="28"/>
  <c r="O256" i="28"/>
  <c r="E256" i="28"/>
  <c r="V255" i="28"/>
  <c r="AK256" i="4"/>
  <c r="AI256" i="4"/>
  <c r="AJ256" i="4"/>
  <c r="E256" i="4"/>
  <c r="V256" i="4" s="1"/>
  <c r="K256" i="4"/>
  <c r="X256" i="4" s="1"/>
  <c r="AB256" i="4"/>
  <c r="AH256" i="4"/>
  <c r="H256" i="4"/>
  <c r="AG256" i="4"/>
  <c r="AL256" i="4"/>
  <c r="M256" i="4"/>
  <c r="Z256" i="4" s="1"/>
  <c r="L256" i="4"/>
  <c r="Y256" i="4" s="1"/>
  <c r="J256" i="4"/>
  <c r="AO256" i="4" s="1"/>
  <c r="G256" i="4"/>
  <c r="I256" i="4"/>
  <c r="B257" i="4"/>
  <c r="AU258" i="4"/>
  <c r="E254" i="29"/>
  <c r="G254" i="29" s="1"/>
  <c r="H254" i="29" s="1"/>
  <c r="K254" i="29"/>
  <c r="I254" i="29"/>
  <c r="K262" i="29"/>
  <c r="E262" i="29"/>
  <c r="G262" i="29" s="1"/>
  <c r="H262" i="29" s="1"/>
  <c r="I262" i="29"/>
  <c r="T256" i="29"/>
  <c r="B255" i="29"/>
  <c r="W256" i="28" l="1"/>
  <c r="AF254" i="4"/>
  <c r="AD255" i="4"/>
  <c r="AF255" i="4" s="1"/>
  <c r="W256" i="4"/>
  <c r="AP256" i="4" s="1"/>
  <c r="I256" i="28"/>
  <c r="K256" i="28"/>
  <c r="K255" i="29"/>
  <c r="I255" i="29"/>
  <c r="E255" i="29"/>
  <c r="G255" i="29" s="1"/>
  <c r="H255" i="29" s="1"/>
  <c r="AC256" i="4"/>
  <c r="B264" i="29"/>
  <c r="T265" i="29"/>
  <c r="B265" i="29" s="1"/>
  <c r="T257" i="29"/>
  <c r="B256" i="29"/>
  <c r="J253" i="29"/>
  <c r="L253" i="29"/>
  <c r="M253" i="29" s="1"/>
  <c r="B258" i="28"/>
  <c r="F258" i="28" s="1"/>
  <c r="Y259" i="28"/>
  <c r="E263" i="29"/>
  <c r="G263" i="29" s="1"/>
  <c r="H263" i="29" s="1"/>
  <c r="I263" i="29"/>
  <c r="K263" i="29"/>
  <c r="M257" i="28"/>
  <c r="N257" i="28"/>
  <c r="P257" i="28"/>
  <c r="E257" i="28"/>
  <c r="O257" i="28"/>
  <c r="B258" i="4"/>
  <c r="AU259" i="4"/>
  <c r="AK257" i="4"/>
  <c r="K257" i="4"/>
  <c r="X257" i="4" s="1"/>
  <c r="AJ257" i="4"/>
  <c r="AG257" i="4"/>
  <c r="I257" i="4"/>
  <c r="AH257" i="4"/>
  <c r="AL257" i="4"/>
  <c r="M257" i="4"/>
  <c r="Z257" i="4" s="1"/>
  <c r="AI257" i="4"/>
  <c r="G257" i="4"/>
  <c r="E257" i="4"/>
  <c r="V257" i="4" s="1"/>
  <c r="J257" i="4"/>
  <c r="AO257" i="4" s="1"/>
  <c r="H257" i="4"/>
  <c r="AB257" i="4"/>
  <c r="L257" i="4"/>
  <c r="Y257" i="4" s="1"/>
  <c r="AE256" i="4"/>
  <c r="J256" i="28"/>
  <c r="U256" i="28"/>
  <c r="Q255" i="28"/>
  <c r="R255" i="28" s="1"/>
  <c r="T255" i="28" s="1"/>
  <c r="L255" i="28"/>
  <c r="W257" i="28" l="1"/>
  <c r="AM255" i="4"/>
  <c r="AN255" i="4" s="1"/>
  <c r="AD256" i="4"/>
  <c r="W257" i="4"/>
  <c r="AP257" i="4" s="1"/>
  <c r="I257" i="28"/>
  <c r="J257" i="28" s="1"/>
  <c r="K257" i="28"/>
  <c r="AE257" i="4"/>
  <c r="AU260" i="4"/>
  <c r="B259" i="4"/>
  <c r="U257" i="28"/>
  <c r="Q256" i="28"/>
  <c r="R256" i="28" s="1"/>
  <c r="T256" i="28" s="1"/>
  <c r="L256" i="28"/>
  <c r="AC257" i="4"/>
  <c r="AK258" i="4"/>
  <c r="AB258" i="4"/>
  <c r="AJ258" i="4"/>
  <c r="J258" i="4"/>
  <c r="AO258" i="4" s="1"/>
  <c r="M258" i="4"/>
  <c r="Z258" i="4" s="1"/>
  <c r="G258" i="4"/>
  <c r="AH258" i="4"/>
  <c r="E258" i="4"/>
  <c r="V258" i="4" s="1"/>
  <c r="AI258" i="4"/>
  <c r="K258" i="4"/>
  <c r="X258" i="4" s="1"/>
  <c r="I258" i="4"/>
  <c r="AG258" i="4"/>
  <c r="H258" i="4"/>
  <c r="L258" i="4"/>
  <c r="Y258" i="4" s="1"/>
  <c r="AL258" i="4"/>
  <c r="V257" i="28"/>
  <c r="Y260" i="28"/>
  <c r="B259" i="28"/>
  <c r="F259" i="28" s="1"/>
  <c r="I256" i="29"/>
  <c r="E256" i="29"/>
  <c r="G256" i="29" s="1"/>
  <c r="H256" i="29" s="1"/>
  <c r="K256" i="29"/>
  <c r="K265" i="29"/>
  <c r="I265" i="29"/>
  <c r="E265" i="29"/>
  <c r="G265" i="29" s="1"/>
  <c r="H265" i="29" s="1"/>
  <c r="M258" i="28"/>
  <c r="E258" i="28"/>
  <c r="N258" i="28"/>
  <c r="O258" i="28"/>
  <c r="P258" i="28"/>
  <c r="T266" i="29"/>
  <c r="B257" i="29"/>
  <c r="I264" i="29"/>
  <c r="K264" i="29"/>
  <c r="E264" i="29"/>
  <c r="G264" i="29" s="1"/>
  <c r="H264" i="29" s="1"/>
  <c r="J262" i="29"/>
  <c r="L262" i="29"/>
  <c r="M262" i="29" s="1"/>
  <c r="L263" i="29"/>
  <c r="M263" i="29" s="1"/>
  <c r="J263" i="29"/>
  <c r="V256" i="28"/>
  <c r="J254" i="29"/>
  <c r="L254" i="29"/>
  <c r="M254" i="29" s="1"/>
  <c r="W258" i="28" l="1"/>
  <c r="W258" i="4"/>
  <c r="AP258" i="4" s="1"/>
  <c r="AD257" i="4"/>
  <c r="I258" i="28"/>
  <c r="J258" i="28" s="1"/>
  <c r="K258" i="28"/>
  <c r="AE258" i="4"/>
  <c r="AM257" i="4"/>
  <c r="AN257" i="4" s="1"/>
  <c r="U258" i="28"/>
  <c r="Y261" i="28"/>
  <c r="B260" i="28"/>
  <c r="F260" i="28" s="1"/>
  <c r="L256" i="29"/>
  <c r="M256" i="29" s="1"/>
  <c r="J256" i="29"/>
  <c r="AK259" i="4"/>
  <c r="I259" i="4"/>
  <c r="J259" i="4"/>
  <c r="AO259" i="4" s="1"/>
  <c r="L259" i="4"/>
  <c r="Y259" i="4" s="1"/>
  <c r="E259" i="4"/>
  <c r="V259" i="4" s="1"/>
  <c r="AL259" i="4"/>
  <c r="AJ259" i="4"/>
  <c r="K259" i="4"/>
  <c r="X259" i="4" s="1"/>
  <c r="AI259" i="4"/>
  <c r="G259" i="4"/>
  <c r="H259" i="4"/>
  <c r="AH259" i="4"/>
  <c r="M259" i="4"/>
  <c r="Z259" i="4" s="1"/>
  <c r="AG259" i="4"/>
  <c r="AB259" i="4"/>
  <c r="K257" i="29"/>
  <c r="I257" i="29"/>
  <c r="E257" i="29"/>
  <c r="G257" i="29" s="1"/>
  <c r="H257" i="29" s="1"/>
  <c r="B266" i="29"/>
  <c r="T267" i="29"/>
  <c r="J255" i="29"/>
  <c r="L255" i="29"/>
  <c r="M255" i="29" s="1"/>
  <c r="AF256" i="4"/>
  <c r="AM256" i="4"/>
  <c r="AN256" i="4" s="1"/>
  <c r="B260" i="4"/>
  <c r="AU261" i="4"/>
  <c r="M259" i="28"/>
  <c r="O259" i="28"/>
  <c r="E259" i="28"/>
  <c r="N259" i="28"/>
  <c r="P259" i="28"/>
  <c r="AC258" i="4"/>
  <c r="L257" i="28"/>
  <c r="Q257" i="28"/>
  <c r="R257" i="28" s="1"/>
  <c r="T257" i="28" s="1"/>
  <c r="W259" i="28" l="1"/>
  <c r="V258" i="28"/>
  <c r="W259" i="4"/>
  <c r="AP259" i="4" s="1"/>
  <c r="AD258" i="4"/>
  <c r="AF258" i="4" s="1"/>
  <c r="I259" i="28"/>
  <c r="J259" i="28" s="1"/>
  <c r="K259" i="28"/>
  <c r="AF257" i="4"/>
  <c r="T268" i="29"/>
  <c r="B267" i="29"/>
  <c r="AE259" i="4"/>
  <c r="Y262" i="28"/>
  <c r="B261" i="28"/>
  <c r="F261" i="28" s="1"/>
  <c r="U259" i="28"/>
  <c r="J265" i="29"/>
  <c r="L265" i="29"/>
  <c r="M265" i="29" s="1"/>
  <c r="I266" i="29"/>
  <c r="K266" i="29"/>
  <c r="E266" i="29"/>
  <c r="G266" i="29" s="1"/>
  <c r="H266" i="29" s="1"/>
  <c r="Q258" i="28"/>
  <c r="R258" i="28" s="1"/>
  <c r="T258" i="28" s="1"/>
  <c r="L258" i="28"/>
  <c r="AU262" i="4"/>
  <c r="B261" i="4"/>
  <c r="J264" i="29"/>
  <c r="L264" i="29"/>
  <c r="M264" i="29" s="1"/>
  <c r="AC259" i="4"/>
  <c r="AK260" i="4"/>
  <c r="I260" i="4"/>
  <c r="AL260" i="4"/>
  <c r="AJ260" i="4"/>
  <c r="AI260" i="4"/>
  <c r="H260" i="4"/>
  <c r="E260" i="4"/>
  <c r="V260" i="4" s="1"/>
  <c r="L260" i="4"/>
  <c r="Y260" i="4" s="1"/>
  <c r="M260" i="4"/>
  <c r="Z260" i="4" s="1"/>
  <c r="AH260" i="4"/>
  <c r="J260" i="4"/>
  <c r="AO260" i="4" s="1"/>
  <c r="AB260" i="4"/>
  <c r="G260" i="4"/>
  <c r="AG260" i="4"/>
  <c r="K260" i="4"/>
  <c r="X260" i="4" s="1"/>
  <c r="J257" i="29"/>
  <c r="L257" i="29"/>
  <c r="M257" i="29" s="1"/>
  <c r="M260" i="28"/>
  <c r="P260" i="28"/>
  <c r="N260" i="28"/>
  <c r="O260" i="28"/>
  <c r="E260" i="28"/>
  <c r="W260" i="28" l="1"/>
  <c r="AM258" i="4"/>
  <c r="AN258" i="4" s="1"/>
  <c r="AD259" i="4"/>
  <c r="AF259" i="4" s="1"/>
  <c r="W260" i="4"/>
  <c r="AP260" i="4" s="1"/>
  <c r="I260" i="28"/>
  <c r="K260" i="28"/>
  <c r="AC260" i="4"/>
  <c r="AE260" i="4"/>
  <c r="E261" i="28"/>
  <c r="O261" i="28"/>
  <c r="N261" i="28"/>
  <c r="M261" i="28"/>
  <c r="P261" i="28"/>
  <c r="Y263" i="28"/>
  <c r="B262" i="28"/>
  <c r="F262" i="28" s="1"/>
  <c r="J260" i="28"/>
  <c r="U260" i="28"/>
  <c r="AK261" i="4"/>
  <c r="H261" i="4"/>
  <c r="AI261" i="4"/>
  <c r="AL261" i="4"/>
  <c r="I261" i="4"/>
  <c r="K261" i="4"/>
  <c r="X261" i="4" s="1"/>
  <c r="M261" i="4"/>
  <c r="Z261" i="4" s="1"/>
  <c r="AB261" i="4"/>
  <c r="AJ261" i="4"/>
  <c r="J261" i="4"/>
  <c r="AO261" i="4" s="1"/>
  <c r="G261" i="4"/>
  <c r="AH261" i="4"/>
  <c r="E261" i="4"/>
  <c r="V261" i="4" s="1"/>
  <c r="L261" i="4"/>
  <c r="Y261" i="4" s="1"/>
  <c r="AG261" i="4"/>
  <c r="Q259" i="28"/>
  <c r="R259" i="28" s="1"/>
  <c r="T259" i="28" s="1"/>
  <c r="L259" i="28"/>
  <c r="K267" i="29"/>
  <c r="I267" i="29"/>
  <c r="E267" i="29"/>
  <c r="G267" i="29" s="1"/>
  <c r="H267" i="29" s="1"/>
  <c r="B262" i="4"/>
  <c r="AU263" i="4"/>
  <c r="V259" i="28"/>
  <c r="B268" i="29"/>
  <c r="T269" i="29"/>
  <c r="W261" i="28" l="1"/>
  <c r="AD260" i="4"/>
  <c r="V260" i="28"/>
  <c r="W261" i="4"/>
  <c r="AP261" i="4" s="1"/>
  <c r="AM259" i="4"/>
  <c r="AN259" i="4" s="1"/>
  <c r="I261" i="28"/>
  <c r="K261" i="28"/>
  <c r="AK262" i="4"/>
  <c r="AG262" i="4"/>
  <c r="G262" i="4"/>
  <c r="J262" i="4"/>
  <c r="AO262" i="4" s="1"/>
  <c r="I262" i="4"/>
  <c r="AL262" i="4"/>
  <c r="H262" i="4"/>
  <c r="AB262" i="4"/>
  <c r="AI262" i="4"/>
  <c r="AH262" i="4"/>
  <c r="M262" i="4"/>
  <c r="Z262" i="4" s="1"/>
  <c r="AJ262" i="4"/>
  <c r="E262" i="4"/>
  <c r="V262" i="4" s="1"/>
  <c r="L262" i="4"/>
  <c r="Y262" i="4" s="1"/>
  <c r="K262" i="4"/>
  <c r="X262" i="4" s="1"/>
  <c r="AC261" i="4"/>
  <c r="Q260" i="28"/>
  <c r="R260" i="28" s="1"/>
  <c r="T260" i="28" s="1"/>
  <c r="L260" i="28"/>
  <c r="N262" i="28"/>
  <c r="P262" i="28"/>
  <c r="O262" i="28"/>
  <c r="E262" i="28"/>
  <c r="M262" i="28"/>
  <c r="U261" i="28"/>
  <c r="V261" i="28" s="1"/>
  <c r="J261" i="28"/>
  <c r="K268" i="29"/>
  <c r="E268" i="29"/>
  <c r="G268" i="29" s="1"/>
  <c r="H268" i="29" s="1"/>
  <c r="I268" i="29"/>
  <c r="AU264" i="4"/>
  <c r="B263" i="4"/>
  <c r="B269" i="29"/>
  <c r="T270" i="29"/>
  <c r="AE261" i="4"/>
  <c r="Y264" i="28"/>
  <c r="B263" i="28"/>
  <c r="F263" i="28" s="1"/>
  <c r="J266" i="29"/>
  <c r="L266" i="29"/>
  <c r="M266" i="29" s="1"/>
  <c r="W262" i="28" l="1"/>
  <c r="AD261" i="4"/>
  <c r="W262" i="4"/>
  <c r="AP262" i="4" s="1"/>
  <c r="I262" i="28"/>
  <c r="K262" i="28"/>
  <c r="P263" i="28"/>
  <c r="N263" i="28"/>
  <c r="E263" i="28"/>
  <c r="M263" i="28"/>
  <c r="O263" i="28"/>
  <c r="T271" i="29"/>
  <c r="B270" i="29"/>
  <c r="AF260" i="4"/>
  <c r="M444" i="7"/>
  <c r="AM260" i="4"/>
  <c r="AN260" i="4" s="1"/>
  <c r="L261" i="28"/>
  <c r="Q261" i="28"/>
  <c r="R261" i="28" s="1"/>
  <c r="T261" i="28" s="1"/>
  <c r="U262" i="28"/>
  <c r="J262" i="28"/>
  <c r="AK263" i="4"/>
  <c r="I263" i="4"/>
  <c r="AB263" i="4"/>
  <c r="AL263" i="4"/>
  <c r="E263" i="4"/>
  <c r="V263" i="4" s="1"/>
  <c r="AH263" i="4"/>
  <c r="AJ263" i="4"/>
  <c r="G263" i="4"/>
  <c r="AG263" i="4"/>
  <c r="M263" i="4"/>
  <c r="Z263" i="4" s="1"/>
  <c r="J263" i="4"/>
  <c r="AO263" i="4" s="1"/>
  <c r="L263" i="4"/>
  <c r="Y263" i="4" s="1"/>
  <c r="K263" i="4"/>
  <c r="X263" i="4" s="1"/>
  <c r="AI263" i="4"/>
  <c r="H263" i="4"/>
  <c r="AM261" i="4"/>
  <c r="AN261" i="4" s="1"/>
  <c r="AF261" i="4"/>
  <c r="AC262" i="4"/>
  <c r="AE262" i="4"/>
  <c r="J267" i="29"/>
  <c r="L267" i="29"/>
  <c r="M267" i="29" s="1"/>
  <c r="AU265" i="4"/>
  <c r="B264" i="4"/>
  <c r="B264" i="28"/>
  <c r="F264" i="28" s="1"/>
  <c r="Y265" i="28"/>
  <c r="E269" i="29"/>
  <c r="G269" i="29" s="1"/>
  <c r="H269" i="29" s="1"/>
  <c r="K269" i="29"/>
  <c r="I269" i="29"/>
  <c r="W263" i="28" l="1"/>
  <c r="AD262" i="4"/>
  <c r="W263" i="4"/>
  <c r="AP263" i="4" s="1"/>
  <c r="I263" i="28"/>
  <c r="K263" i="28"/>
  <c r="V262" i="28"/>
  <c r="AC263" i="4"/>
  <c r="Y266" i="28"/>
  <c r="B265" i="28"/>
  <c r="F265" i="28" s="1"/>
  <c r="L268" i="29"/>
  <c r="M268" i="29" s="1"/>
  <c r="J268" i="29"/>
  <c r="AE263" i="4"/>
  <c r="Q262" i="28"/>
  <c r="R262" i="28" s="1"/>
  <c r="T262" i="28" s="1"/>
  <c r="L262" i="28"/>
  <c r="B271" i="29"/>
  <c r="T272" i="29"/>
  <c r="N264" i="28"/>
  <c r="E264" i="28"/>
  <c r="O264" i="28"/>
  <c r="M264" i="28"/>
  <c r="P264" i="28"/>
  <c r="AK264" i="4"/>
  <c r="AI264" i="4"/>
  <c r="E264" i="4"/>
  <c r="V264" i="4" s="1"/>
  <c r="AG264" i="4"/>
  <c r="AJ264" i="4"/>
  <c r="K264" i="4"/>
  <c r="X264" i="4" s="1"/>
  <c r="J264" i="4"/>
  <c r="AO264" i="4" s="1"/>
  <c r="H264" i="4"/>
  <c r="AB264" i="4"/>
  <c r="M264" i="4"/>
  <c r="Z264" i="4" s="1"/>
  <c r="L264" i="4"/>
  <c r="Y264" i="4" s="1"/>
  <c r="AL264" i="4"/>
  <c r="G264" i="4"/>
  <c r="AH264" i="4"/>
  <c r="I264" i="4"/>
  <c r="M445" i="7"/>
  <c r="M446" i="7" s="1"/>
  <c r="M434" i="7" s="1"/>
  <c r="AF262" i="4"/>
  <c r="AM262" i="4"/>
  <c r="AN262" i="4" s="1"/>
  <c r="L269" i="29"/>
  <c r="M269" i="29" s="1"/>
  <c r="J269" i="29"/>
  <c r="B265" i="4"/>
  <c r="AU266" i="4"/>
  <c r="I270" i="29"/>
  <c r="E270" i="29"/>
  <c r="G270" i="29" s="1"/>
  <c r="H270" i="29" s="1"/>
  <c r="K270" i="29"/>
  <c r="U263" i="28"/>
  <c r="V263" i="28" s="1"/>
  <c r="J263" i="28"/>
  <c r="W264" i="28" l="1"/>
  <c r="K264" i="28"/>
  <c r="W264" i="4"/>
  <c r="AP264" i="4" s="1"/>
  <c r="AD263" i="4"/>
  <c r="AM263" i="4" s="1"/>
  <c r="AN263" i="4" s="1"/>
  <c r="I264" i="28"/>
  <c r="J264" i="28" s="1"/>
  <c r="AE264" i="4"/>
  <c r="U264" i="28"/>
  <c r="AU267" i="4"/>
  <c r="B266" i="4"/>
  <c r="AC264" i="4"/>
  <c r="L263" i="28"/>
  <c r="Q263" i="28"/>
  <c r="R263" i="28" s="1"/>
  <c r="T263" i="28" s="1"/>
  <c r="AK265" i="4"/>
  <c r="J265" i="4"/>
  <c r="AO265" i="4" s="1"/>
  <c r="E265" i="4"/>
  <c r="V265" i="4" s="1"/>
  <c r="AJ265" i="4"/>
  <c r="G265" i="4"/>
  <c r="AB265" i="4"/>
  <c r="K265" i="4"/>
  <c r="X265" i="4" s="1"/>
  <c r="M265" i="4"/>
  <c r="Z265" i="4" s="1"/>
  <c r="AG265" i="4"/>
  <c r="H265" i="4"/>
  <c r="AH265" i="4"/>
  <c r="L265" i="4"/>
  <c r="Y265" i="4" s="1"/>
  <c r="I265" i="4"/>
  <c r="AL265" i="4"/>
  <c r="AI265" i="4"/>
  <c r="B272" i="29"/>
  <c r="T273" i="29"/>
  <c r="M265" i="28"/>
  <c r="E265" i="28"/>
  <c r="N265" i="28"/>
  <c r="P265" i="28"/>
  <c r="O265" i="28"/>
  <c r="E271" i="29"/>
  <c r="G271" i="29" s="1"/>
  <c r="H271" i="29" s="1"/>
  <c r="K271" i="29"/>
  <c r="I271" i="29"/>
  <c r="Y267" i="28"/>
  <c r="B266" i="28"/>
  <c r="F266" i="28" s="1"/>
  <c r="W265" i="28" l="1"/>
  <c r="AF263" i="4"/>
  <c r="AD264" i="4"/>
  <c r="V264" i="28"/>
  <c r="W265" i="4"/>
  <c r="AP265" i="4" s="1"/>
  <c r="I265" i="28"/>
  <c r="K265" i="28"/>
  <c r="E272" i="29"/>
  <c r="G272" i="29" s="1"/>
  <c r="H272" i="29" s="1"/>
  <c r="I272" i="29"/>
  <c r="K272" i="29"/>
  <c r="J270" i="29"/>
  <c r="L270" i="29"/>
  <c r="M270" i="29" s="1"/>
  <c r="U265" i="28"/>
  <c r="J265" i="28"/>
  <c r="AC265" i="4"/>
  <c r="AK266" i="4"/>
  <c r="H266" i="4"/>
  <c r="AB266" i="4"/>
  <c r="AL266" i="4"/>
  <c r="L266" i="4"/>
  <c r="Y266" i="4" s="1"/>
  <c r="G266" i="4"/>
  <c r="AJ266" i="4"/>
  <c r="AI266" i="4"/>
  <c r="AG266" i="4"/>
  <c r="AH266" i="4"/>
  <c r="J266" i="4"/>
  <c r="AO266" i="4" s="1"/>
  <c r="K266" i="4"/>
  <c r="X266" i="4" s="1"/>
  <c r="M266" i="4"/>
  <c r="Z266" i="4" s="1"/>
  <c r="I266" i="4"/>
  <c r="E266" i="4"/>
  <c r="V266" i="4" s="1"/>
  <c r="L264" i="28"/>
  <c r="Q264" i="28"/>
  <c r="R264" i="28" s="1"/>
  <c r="T264" i="28" s="1"/>
  <c r="O266" i="28"/>
  <c r="N266" i="28"/>
  <c r="P266" i="28"/>
  <c r="M266" i="28"/>
  <c r="E266" i="28"/>
  <c r="Y268" i="28"/>
  <c r="B267" i="28"/>
  <c r="F267" i="28" s="1"/>
  <c r="T274" i="29"/>
  <c r="B273" i="29"/>
  <c r="AE265" i="4"/>
  <c r="AU268" i="4"/>
  <c r="B267" i="4"/>
  <c r="W266" i="28" l="1"/>
  <c r="V265" i="28"/>
  <c r="AD265" i="4"/>
  <c r="AF265" i="4" s="1"/>
  <c r="W266" i="4"/>
  <c r="AP266" i="4" s="1"/>
  <c r="I266" i="28"/>
  <c r="K266" i="28"/>
  <c r="AC266" i="4"/>
  <c r="AM264" i="4"/>
  <c r="AN264" i="4" s="1"/>
  <c r="AF264" i="4"/>
  <c r="K273" i="29"/>
  <c r="I273" i="29"/>
  <c r="E273" i="29"/>
  <c r="G273" i="29" s="1"/>
  <c r="H273" i="29" s="1"/>
  <c r="B268" i="28"/>
  <c r="F268" i="28" s="1"/>
  <c r="Y269" i="28"/>
  <c r="AE266" i="4"/>
  <c r="AK267" i="4"/>
  <c r="H267" i="4"/>
  <c r="AH267" i="4"/>
  <c r="G267" i="4"/>
  <c r="E267" i="4"/>
  <c r="V267" i="4" s="1"/>
  <c r="J267" i="4"/>
  <c r="AO267" i="4" s="1"/>
  <c r="L267" i="4"/>
  <c r="Y267" i="4" s="1"/>
  <c r="AJ267" i="4"/>
  <c r="AG267" i="4"/>
  <c r="AI267" i="4"/>
  <c r="AL267" i="4"/>
  <c r="M267" i="4"/>
  <c r="Z267" i="4" s="1"/>
  <c r="K267" i="4"/>
  <c r="X267" i="4" s="1"/>
  <c r="AB267" i="4"/>
  <c r="I267" i="4"/>
  <c r="T275" i="29"/>
  <c r="B274" i="29"/>
  <c r="J266" i="28"/>
  <c r="U266" i="28"/>
  <c r="B268" i="4"/>
  <c r="AU269" i="4"/>
  <c r="J271" i="29"/>
  <c r="L271" i="29"/>
  <c r="M271" i="29" s="1"/>
  <c r="E267" i="28"/>
  <c r="M267" i="28"/>
  <c r="P267" i="28"/>
  <c r="N267" i="28"/>
  <c r="O267" i="28"/>
  <c r="Q265" i="28"/>
  <c r="R265" i="28" s="1"/>
  <c r="T265" i="28" s="1"/>
  <c r="L265" i="28"/>
  <c r="W267" i="28" l="1"/>
  <c r="AD266" i="4"/>
  <c r="W267" i="4"/>
  <c r="AP267" i="4" s="1"/>
  <c r="AM265" i="4"/>
  <c r="AN265" i="4" s="1"/>
  <c r="I267" i="28"/>
  <c r="K267" i="28"/>
  <c r="AC267" i="4"/>
  <c r="B275" i="29"/>
  <c r="T276" i="29"/>
  <c r="B269" i="28"/>
  <c r="F269" i="28" s="1"/>
  <c r="Y270" i="28"/>
  <c r="L272" i="29"/>
  <c r="M272" i="29" s="1"/>
  <c r="J272" i="29"/>
  <c r="Q266" i="28"/>
  <c r="R266" i="28" s="1"/>
  <c r="T266" i="28" s="1"/>
  <c r="L266" i="28"/>
  <c r="AE267" i="4"/>
  <c r="M268" i="28"/>
  <c r="N268" i="28"/>
  <c r="O268" i="28"/>
  <c r="P268" i="28"/>
  <c r="E268" i="28"/>
  <c r="AU270" i="4"/>
  <c r="B269" i="4"/>
  <c r="U267" i="28"/>
  <c r="J267" i="28"/>
  <c r="AK268" i="4"/>
  <c r="G268" i="4"/>
  <c r="H268" i="4"/>
  <c r="AH268" i="4"/>
  <c r="K268" i="4"/>
  <c r="X268" i="4" s="1"/>
  <c r="AG268" i="4"/>
  <c r="AB268" i="4"/>
  <c r="J268" i="4"/>
  <c r="AO268" i="4" s="1"/>
  <c r="L268" i="4"/>
  <c r="Y268" i="4" s="1"/>
  <c r="E268" i="4"/>
  <c r="V268" i="4" s="1"/>
  <c r="AL268" i="4"/>
  <c r="AI268" i="4"/>
  <c r="AJ268" i="4"/>
  <c r="M268" i="4"/>
  <c r="Z268" i="4" s="1"/>
  <c r="I268" i="4"/>
  <c r="K274" i="29"/>
  <c r="E274" i="29"/>
  <c r="G274" i="29" s="1"/>
  <c r="H274" i="29" s="1"/>
  <c r="I274" i="29"/>
  <c r="V266" i="28"/>
  <c r="W268" i="28" l="1"/>
  <c r="AD267" i="4"/>
  <c r="AF267" i="4" s="1"/>
  <c r="W268" i="4"/>
  <c r="AP268" i="4" s="1"/>
  <c r="I268" i="28"/>
  <c r="K268" i="28"/>
  <c r="V267" i="28"/>
  <c r="AE268" i="4"/>
  <c r="M269" i="28"/>
  <c r="N269" i="28"/>
  <c r="P269" i="28"/>
  <c r="O269" i="28"/>
  <c r="E269" i="28"/>
  <c r="AK269" i="4"/>
  <c r="AL269" i="4"/>
  <c r="K269" i="4"/>
  <c r="X269" i="4" s="1"/>
  <c r="G269" i="4"/>
  <c r="E269" i="4"/>
  <c r="V269" i="4" s="1"/>
  <c r="J269" i="4"/>
  <c r="AO269" i="4" s="1"/>
  <c r="L269" i="4"/>
  <c r="Y269" i="4" s="1"/>
  <c r="H269" i="4"/>
  <c r="M269" i="4"/>
  <c r="Z269" i="4" s="1"/>
  <c r="AG269" i="4"/>
  <c r="AJ269" i="4"/>
  <c r="I269" i="4"/>
  <c r="AH269" i="4"/>
  <c r="AI269" i="4"/>
  <c r="AB269" i="4"/>
  <c r="AU271" i="4"/>
  <c r="B270" i="4"/>
  <c r="AC268" i="4"/>
  <c r="L273" i="29"/>
  <c r="M273" i="29" s="1"/>
  <c r="J273" i="29"/>
  <c r="T277" i="29"/>
  <c r="B276" i="29"/>
  <c r="AM267" i="4"/>
  <c r="AN267" i="4" s="1"/>
  <c r="L267" i="28"/>
  <c r="Q267" i="28"/>
  <c r="R267" i="28" s="1"/>
  <c r="T267" i="28" s="1"/>
  <c r="AM266" i="4"/>
  <c r="AN266" i="4" s="1"/>
  <c r="AF266" i="4"/>
  <c r="J268" i="28"/>
  <c r="U268" i="28"/>
  <c r="V268" i="28" s="1"/>
  <c r="Y271" i="28"/>
  <c r="B270" i="28"/>
  <c r="F270" i="28" s="1"/>
  <c r="I275" i="29"/>
  <c r="E275" i="29"/>
  <c r="G275" i="29" s="1"/>
  <c r="H275" i="29" s="1"/>
  <c r="K275" i="29"/>
  <c r="W269" i="28" l="1"/>
  <c r="AD268" i="4"/>
  <c r="AF268" i="4" s="1"/>
  <c r="W269" i="4"/>
  <c r="AP269" i="4" s="1"/>
  <c r="I269" i="28"/>
  <c r="K269" i="28"/>
  <c r="Y272" i="28"/>
  <c r="B271" i="28"/>
  <c r="F271" i="28" s="1"/>
  <c r="N270" i="28"/>
  <c r="E270" i="28"/>
  <c r="P270" i="28"/>
  <c r="M270" i="28"/>
  <c r="O270" i="28"/>
  <c r="B277" i="29"/>
  <c r="T278" i="29"/>
  <c r="AK270" i="4"/>
  <c r="AI270" i="4"/>
  <c r="E270" i="4"/>
  <c r="V270" i="4" s="1"/>
  <c r="H270" i="4"/>
  <c r="K270" i="4"/>
  <c r="X270" i="4" s="1"/>
  <c r="L270" i="4"/>
  <c r="Y270" i="4" s="1"/>
  <c r="I270" i="4"/>
  <c r="AJ270" i="4"/>
  <c r="AG270" i="4"/>
  <c r="G270" i="4"/>
  <c r="M270" i="4"/>
  <c r="Z270" i="4" s="1"/>
  <c r="AL270" i="4"/>
  <c r="AB270" i="4"/>
  <c r="AH270" i="4"/>
  <c r="J270" i="4"/>
  <c r="AO270" i="4" s="1"/>
  <c r="K276" i="29"/>
  <c r="E276" i="29"/>
  <c r="G276" i="29" s="1"/>
  <c r="H276" i="29" s="1"/>
  <c r="I276" i="29"/>
  <c r="Q268" i="28"/>
  <c r="R268" i="28" s="1"/>
  <c r="T268" i="28" s="1"/>
  <c r="L268" i="28"/>
  <c r="L274" i="29"/>
  <c r="M274" i="29" s="1"/>
  <c r="J274" i="29"/>
  <c r="B271" i="4"/>
  <c r="AU272" i="4"/>
  <c r="AC269" i="4"/>
  <c r="J269" i="28"/>
  <c r="U269" i="28"/>
  <c r="AE269" i="4"/>
  <c r="W270" i="28" l="1"/>
  <c r="W270" i="4"/>
  <c r="AP270" i="4" s="1"/>
  <c r="AD269" i="4"/>
  <c r="AM268" i="4"/>
  <c r="AN268" i="4" s="1"/>
  <c r="I270" i="28"/>
  <c r="K270" i="28"/>
  <c r="V269" i="28"/>
  <c r="AE270" i="4"/>
  <c r="T279" i="29"/>
  <c r="B278" i="29"/>
  <c r="AU273" i="4"/>
  <c r="B272" i="4"/>
  <c r="AK271" i="4"/>
  <c r="G271" i="4"/>
  <c r="M271" i="4"/>
  <c r="Z271" i="4" s="1"/>
  <c r="AB271" i="4"/>
  <c r="L271" i="4"/>
  <c r="Y271" i="4" s="1"/>
  <c r="AJ271" i="4"/>
  <c r="H271" i="4"/>
  <c r="AI271" i="4"/>
  <c r="J271" i="4"/>
  <c r="AO271" i="4" s="1"/>
  <c r="K271" i="4"/>
  <c r="X271" i="4" s="1"/>
  <c r="AH271" i="4"/>
  <c r="AG271" i="4"/>
  <c r="AL271" i="4"/>
  <c r="E271" i="4"/>
  <c r="V271" i="4" s="1"/>
  <c r="I271" i="4"/>
  <c r="E277" i="29"/>
  <c r="G277" i="29" s="1"/>
  <c r="H277" i="29" s="1"/>
  <c r="I277" i="29"/>
  <c r="K277" i="29"/>
  <c r="J270" i="28"/>
  <c r="U270" i="28"/>
  <c r="N271" i="28"/>
  <c r="P271" i="28"/>
  <c r="O271" i="28"/>
  <c r="M271" i="28"/>
  <c r="E271" i="28"/>
  <c r="AC270" i="4"/>
  <c r="Q269" i="28"/>
  <c r="R269" i="28" s="1"/>
  <c r="T269" i="28" s="1"/>
  <c r="L269" i="28"/>
  <c r="J275" i="29"/>
  <c r="L275" i="29"/>
  <c r="M275" i="29" s="1"/>
  <c r="Y273" i="28"/>
  <c r="B272" i="28"/>
  <c r="F272" i="28" s="1"/>
  <c r="W271" i="28" l="1"/>
  <c r="AD270" i="4"/>
  <c r="W271" i="4"/>
  <c r="AP271" i="4" s="1"/>
  <c r="I271" i="28"/>
  <c r="J271" i="28" s="1"/>
  <c r="K271" i="28"/>
  <c r="V270" i="28"/>
  <c r="L277" i="29"/>
  <c r="M277" i="29" s="1"/>
  <c r="AE271" i="4"/>
  <c r="AC271" i="4"/>
  <c r="U271" i="28"/>
  <c r="Y274" i="28"/>
  <c r="B273" i="28"/>
  <c r="F273" i="28" s="1"/>
  <c r="AU274" i="4"/>
  <c r="B273" i="4"/>
  <c r="L270" i="28"/>
  <c r="Q270" i="28"/>
  <c r="R270" i="28" s="1"/>
  <c r="T270" i="28" s="1"/>
  <c r="J277" i="29"/>
  <c r="AM269" i="4"/>
  <c r="AN269" i="4" s="1"/>
  <c r="AF269" i="4"/>
  <c r="N272" i="28"/>
  <c r="M272" i="28"/>
  <c r="P272" i="28"/>
  <c r="E272" i="28"/>
  <c r="O272" i="28"/>
  <c r="J276" i="29"/>
  <c r="L276" i="29"/>
  <c r="M276" i="29" s="1"/>
  <c r="K278" i="29"/>
  <c r="E278" i="29"/>
  <c r="G278" i="29" s="1"/>
  <c r="H278" i="29" s="1"/>
  <c r="I278" i="29"/>
  <c r="AK272" i="4"/>
  <c r="H272" i="4"/>
  <c r="AB272" i="4"/>
  <c r="L272" i="4"/>
  <c r="Y272" i="4" s="1"/>
  <c r="J272" i="4"/>
  <c r="AO272" i="4" s="1"/>
  <c r="AJ272" i="4"/>
  <c r="AG272" i="4"/>
  <c r="M272" i="4"/>
  <c r="Z272" i="4" s="1"/>
  <c r="AI272" i="4"/>
  <c r="K272" i="4"/>
  <c r="X272" i="4" s="1"/>
  <c r="I272" i="4"/>
  <c r="E272" i="4"/>
  <c r="V272" i="4" s="1"/>
  <c r="AH272" i="4"/>
  <c r="AL272" i="4"/>
  <c r="G272" i="4"/>
  <c r="T280" i="29"/>
  <c r="B279" i="29"/>
  <c r="W272" i="28" l="1"/>
  <c r="W272" i="4"/>
  <c r="AP272" i="4" s="1"/>
  <c r="AD271" i="4"/>
  <c r="I272" i="28"/>
  <c r="J272" i="28" s="1"/>
  <c r="K272" i="28"/>
  <c r="V271" i="28"/>
  <c r="AE272" i="4"/>
  <c r="AC272" i="4"/>
  <c r="U272" i="28"/>
  <c r="B274" i="4"/>
  <c r="AU275" i="4"/>
  <c r="N273" i="28"/>
  <c r="E273" i="28"/>
  <c r="O273" i="28"/>
  <c r="P273" i="28"/>
  <c r="M273" i="28"/>
  <c r="K279" i="29"/>
  <c r="I279" i="29"/>
  <c r="E279" i="29"/>
  <c r="G279" i="29" s="1"/>
  <c r="H279" i="29" s="1"/>
  <c r="B280" i="29"/>
  <c r="T281" i="29"/>
  <c r="AM270" i="4"/>
  <c r="AN270" i="4" s="1"/>
  <c r="AF270" i="4"/>
  <c r="V272" i="28"/>
  <c r="B274" i="28"/>
  <c r="F274" i="28" s="1"/>
  <c r="Y275" i="28"/>
  <c r="AK273" i="4"/>
  <c r="I273" i="4"/>
  <c r="AI273" i="4"/>
  <c r="L273" i="4"/>
  <c r="Y273" i="4" s="1"/>
  <c r="AH273" i="4"/>
  <c r="J273" i="4"/>
  <c r="AO273" i="4" s="1"/>
  <c r="H273" i="4"/>
  <c r="G273" i="4"/>
  <c r="AJ273" i="4"/>
  <c r="K273" i="4"/>
  <c r="X273" i="4" s="1"/>
  <c r="AL273" i="4"/>
  <c r="E273" i="4"/>
  <c r="V273" i="4" s="1"/>
  <c r="M273" i="4"/>
  <c r="Z273" i="4" s="1"/>
  <c r="AG273" i="4"/>
  <c r="AB273" i="4"/>
  <c r="Q271" i="28"/>
  <c r="R271" i="28" s="1"/>
  <c r="T271" i="28" s="1"/>
  <c r="L271" i="28"/>
  <c r="W273" i="28" l="1"/>
  <c r="AD272" i="4"/>
  <c r="W273" i="4"/>
  <c r="AP273" i="4" s="1"/>
  <c r="I273" i="28"/>
  <c r="K273" i="28"/>
  <c r="AF271" i="4"/>
  <c r="AM271" i="4"/>
  <c r="AN271" i="4" s="1"/>
  <c r="B281" i="29"/>
  <c r="T282" i="29"/>
  <c r="AE273" i="4"/>
  <c r="B275" i="28"/>
  <c r="F275" i="28" s="1"/>
  <c r="Y276" i="28"/>
  <c r="K280" i="29"/>
  <c r="E280" i="29"/>
  <c r="G280" i="29" s="1"/>
  <c r="H280" i="29" s="1"/>
  <c r="I280" i="29"/>
  <c r="B275" i="4"/>
  <c r="AU276" i="4"/>
  <c r="AC273" i="4"/>
  <c r="N274" i="28"/>
  <c r="O274" i="28"/>
  <c r="P274" i="28"/>
  <c r="M274" i="28"/>
  <c r="E274" i="28"/>
  <c r="L278" i="29"/>
  <c r="M278" i="29" s="1"/>
  <c r="J278" i="29"/>
  <c r="AK274" i="4"/>
  <c r="J274" i="4"/>
  <c r="AO274" i="4" s="1"/>
  <c r="E274" i="4"/>
  <c r="V274" i="4" s="1"/>
  <c r="AL274" i="4"/>
  <c r="K274" i="4"/>
  <c r="X274" i="4" s="1"/>
  <c r="G274" i="4"/>
  <c r="AJ274" i="4"/>
  <c r="M274" i="4"/>
  <c r="Z274" i="4" s="1"/>
  <c r="AG274" i="4"/>
  <c r="AH274" i="4"/>
  <c r="L274" i="4"/>
  <c r="Y274" i="4" s="1"/>
  <c r="AB274" i="4"/>
  <c r="AI274" i="4"/>
  <c r="I274" i="4"/>
  <c r="H274" i="4"/>
  <c r="AF272" i="4"/>
  <c r="AM272" i="4"/>
  <c r="AN272" i="4" s="1"/>
  <c r="U273" i="28"/>
  <c r="V273" i="28" s="1"/>
  <c r="J273" i="28"/>
  <c r="L272" i="28"/>
  <c r="Q272" i="28"/>
  <c r="R272" i="28" s="1"/>
  <c r="T272" i="28" s="1"/>
  <c r="W274" i="28" l="1"/>
  <c r="W274" i="4"/>
  <c r="AP274" i="4" s="1"/>
  <c r="AD273" i="4"/>
  <c r="AF273" i="4" s="1"/>
  <c r="I274" i="28"/>
  <c r="K274" i="28"/>
  <c r="AE274" i="4"/>
  <c r="J279" i="29"/>
  <c r="L279" i="29"/>
  <c r="M279" i="29" s="1"/>
  <c r="AK275" i="4"/>
  <c r="J275" i="4"/>
  <c r="AO275" i="4" s="1"/>
  <c r="G275" i="4"/>
  <c r="AB275" i="4"/>
  <c r="K275" i="4"/>
  <c r="X275" i="4" s="1"/>
  <c r="AG275" i="4"/>
  <c r="L275" i="4"/>
  <c r="Y275" i="4" s="1"/>
  <c r="H275" i="4"/>
  <c r="AI275" i="4"/>
  <c r="AJ275" i="4"/>
  <c r="E275" i="4"/>
  <c r="V275" i="4" s="1"/>
  <c r="M275" i="4"/>
  <c r="Z275" i="4" s="1"/>
  <c r="AL275" i="4"/>
  <c r="I275" i="4"/>
  <c r="AH275" i="4"/>
  <c r="T283" i="29"/>
  <c r="B282" i="29"/>
  <c r="L273" i="28"/>
  <c r="Q273" i="28"/>
  <c r="R273" i="28" s="1"/>
  <c r="T273" i="28" s="1"/>
  <c r="Y277" i="28"/>
  <c r="B276" i="28"/>
  <c r="F276" i="28" s="1"/>
  <c r="I281" i="29"/>
  <c r="K281" i="29"/>
  <c r="E281" i="29"/>
  <c r="G281" i="29" s="1"/>
  <c r="H281" i="29" s="1"/>
  <c r="O275" i="28"/>
  <c r="P275" i="28"/>
  <c r="M275" i="28"/>
  <c r="E275" i="28"/>
  <c r="N275" i="28"/>
  <c r="AC274" i="4"/>
  <c r="U274" i="28"/>
  <c r="V274" i="28" s="1"/>
  <c r="J274" i="28"/>
  <c r="AU277" i="4"/>
  <c r="B276" i="4"/>
  <c r="W275" i="28" l="1"/>
  <c r="AM273" i="4"/>
  <c r="AN273" i="4" s="1"/>
  <c r="AD274" i="4"/>
  <c r="AF274" i="4" s="1"/>
  <c r="W275" i="4"/>
  <c r="AP275" i="4" s="1"/>
  <c r="L281" i="29"/>
  <c r="M281" i="29" s="1"/>
  <c r="AC275" i="4"/>
  <c r="I275" i="28"/>
  <c r="J275" i="28" s="1"/>
  <c r="K275" i="28"/>
  <c r="AE275" i="4"/>
  <c r="U275" i="28"/>
  <c r="Q274" i="28"/>
  <c r="R274" i="28" s="1"/>
  <c r="T274" i="28" s="1"/>
  <c r="L274" i="28"/>
  <c r="J280" i="29"/>
  <c r="L280" i="29"/>
  <c r="M280" i="29" s="1"/>
  <c r="J281" i="29"/>
  <c r="P276" i="28"/>
  <c r="M276" i="28"/>
  <c r="E276" i="28"/>
  <c r="N276" i="28"/>
  <c r="O276" i="28"/>
  <c r="E282" i="29"/>
  <c r="G282" i="29" s="1"/>
  <c r="H282" i="29" s="1"/>
  <c r="I282" i="29"/>
  <c r="K282" i="29"/>
  <c r="AK276" i="4"/>
  <c r="L276" i="4"/>
  <c r="Y276" i="4" s="1"/>
  <c r="AG276" i="4"/>
  <c r="AB276" i="4"/>
  <c r="K276" i="4"/>
  <c r="X276" i="4" s="1"/>
  <c r="I276" i="4"/>
  <c r="M276" i="4"/>
  <c r="Z276" i="4" s="1"/>
  <c r="AL276" i="4"/>
  <c r="E276" i="4"/>
  <c r="V276" i="4" s="1"/>
  <c r="AJ276" i="4"/>
  <c r="G276" i="4"/>
  <c r="J276" i="4"/>
  <c r="AO276" i="4" s="1"/>
  <c r="AH276" i="4"/>
  <c r="AI276" i="4"/>
  <c r="H276" i="4"/>
  <c r="B277" i="28"/>
  <c r="F277" i="28" s="1"/>
  <c r="Y278" i="28"/>
  <c r="B283" i="29"/>
  <c r="T284" i="29"/>
  <c r="B277" i="4"/>
  <c r="AU278" i="4"/>
  <c r="V275" i="28"/>
  <c r="AM274" i="4"/>
  <c r="AN274" i="4" s="1"/>
  <c r="W276" i="28" l="1"/>
  <c r="W276" i="4"/>
  <c r="AP276" i="4" s="1"/>
  <c r="AD275" i="4"/>
  <c r="AM275" i="4" s="1"/>
  <c r="AN275" i="4" s="1"/>
  <c r="I276" i="28"/>
  <c r="K276" i="28"/>
  <c r="AU279" i="4"/>
  <c r="B278" i="4"/>
  <c r="Y279" i="28"/>
  <c r="B278" i="28"/>
  <c r="F278" i="28" s="1"/>
  <c r="AC276" i="4"/>
  <c r="AK277" i="4"/>
  <c r="J277" i="4"/>
  <c r="AO277" i="4" s="1"/>
  <c r="AL277" i="4"/>
  <c r="AI277" i="4"/>
  <c r="H277" i="4"/>
  <c r="AH277" i="4"/>
  <c r="AB277" i="4"/>
  <c r="K277" i="4"/>
  <c r="X277" i="4" s="1"/>
  <c r="I277" i="4"/>
  <c r="E277" i="4"/>
  <c r="V277" i="4" s="1"/>
  <c r="G277" i="4"/>
  <c r="AG277" i="4"/>
  <c r="AJ277" i="4"/>
  <c r="L277" i="4"/>
  <c r="Y277" i="4" s="1"/>
  <c r="M277" i="4"/>
  <c r="Z277" i="4" s="1"/>
  <c r="E277" i="28"/>
  <c r="P277" i="28"/>
  <c r="O277" i="28"/>
  <c r="M277" i="28"/>
  <c r="N277" i="28"/>
  <c r="AE276" i="4"/>
  <c r="AF275" i="4"/>
  <c r="B284" i="29"/>
  <c r="T285" i="29"/>
  <c r="I283" i="29"/>
  <c r="K283" i="29"/>
  <c r="E283" i="29"/>
  <c r="G283" i="29" s="1"/>
  <c r="H283" i="29" s="1"/>
  <c r="J276" i="28"/>
  <c r="U276" i="28"/>
  <c r="Q275" i="28"/>
  <c r="R275" i="28" s="1"/>
  <c r="T275" i="28" s="1"/>
  <c r="L275" i="28"/>
  <c r="W277" i="28" l="1"/>
  <c r="W277" i="4"/>
  <c r="AP277" i="4" s="1"/>
  <c r="AD276" i="4"/>
  <c r="I277" i="28"/>
  <c r="K277" i="28"/>
  <c r="J283" i="29"/>
  <c r="V276" i="28"/>
  <c r="L282" i="29"/>
  <c r="M282" i="29" s="1"/>
  <c r="J282" i="29"/>
  <c r="N278" i="28"/>
  <c r="E278" i="28"/>
  <c r="O278" i="28"/>
  <c r="M278" i="28"/>
  <c r="P278" i="28"/>
  <c r="Y280" i="28"/>
  <c r="B279" i="28"/>
  <c r="F279" i="28" s="1"/>
  <c r="T286" i="29"/>
  <c r="B285" i="29"/>
  <c r="J277" i="28"/>
  <c r="U277" i="28"/>
  <c r="AC277" i="4"/>
  <c r="AK278" i="4"/>
  <c r="G278" i="4"/>
  <c r="I278" i="4"/>
  <c r="AL278" i="4"/>
  <c r="J278" i="4"/>
  <c r="AO278" i="4" s="1"/>
  <c r="AH278" i="4"/>
  <c r="AJ278" i="4"/>
  <c r="H278" i="4"/>
  <c r="AB278" i="4"/>
  <c r="K278" i="4"/>
  <c r="X278" i="4" s="1"/>
  <c r="E278" i="4"/>
  <c r="V278" i="4" s="1"/>
  <c r="AG278" i="4"/>
  <c r="L278" i="4"/>
  <c r="Y278" i="4" s="1"/>
  <c r="M278" i="4"/>
  <c r="Z278" i="4" s="1"/>
  <c r="AI278" i="4"/>
  <c r="L276" i="28"/>
  <c r="Q276" i="28"/>
  <c r="R276" i="28" s="1"/>
  <c r="T276" i="28" s="1"/>
  <c r="K284" i="29"/>
  <c r="E284" i="29"/>
  <c r="G284" i="29" s="1"/>
  <c r="H284" i="29" s="1"/>
  <c r="I284" i="29"/>
  <c r="AE277" i="4"/>
  <c r="B279" i="4"/>
  <c r="AU280" i="4"/>
  <c r="W278" i="28" l="1"/>
  <c r="AD277" i="4"/>
  <c r="K278" i="28"/>
  <c r="W278" i="4"/>
  <c r="AP278" i="4" s="1"/>
  <c r="I278" i="28"/>
  <c r="J278" i="28" s="1"/>
  <c r="L283" i="29"/>
  <c r="M283" i="29" s="1"/>
  <c r="AK279" i="4"/>
  <c r="I279" i="4"/>
  <c r="AG279" i="4"/>
  <c r="H279" i="4"/>
  <c r="AI279" i="4"/>
  <c r="AJ279" i="4"/>
  <c r="J279" i="4"/>
  <c r="AO279" i="4" s="1"/>
  <c r="G279" i="4"/>
  <c r="L279" i="4"/>
  <c r="Y279" i="4" s="1"/>
  <c r="AB279" i="4"/>
  <c r="AH279" i="4"/>
  <c r="K279" i="4"/>
  <c r="X279" i="4" s="1"/>
  <c r="E279" i="4"/>
  <c r="V279" i="4" s="1"/>
  <c r="M279" i="4"/>
  <c r="Z279" i="4" s="1"/>
  <c r="AL279" i="4"/>
  <c r="AE278" i="4"/>
  <c r="B286" i="29"/>
  <c r="T287" i="29"/>
  <c r="U278" i="28"/>
  <c r="M279" i="28"/>
  <c r="N279" i="28"/>
  <c r="E279" i="28"/>
  <c r="O279" i="28"/>
  <c r="P279" i="28"/>
  <c r="AM276" i="4"/>
  <c r="AN276" i="4" s="1"/>
  <c r="AF276" i="4"/>
  <c r="AC278" i="4"/>
  <c r="L277" i="28"/>
  <c r="Q277" i="28"/>
  <c r="R277" i="28" s="1"/>
  <c r="T277" i="28" s="1"/>
  <c r="B280" i="28"/>
  <c r="F280" i="28" s="1"/>
  <c r="Y281" i="28"/>
  <c r="B280" i="4"/>
  <c r="AU281" i="4"/>
  <c r="I285" i="29"/>
  <c r="E285" i="29"/>
  <c r="G285" i="29" s="1"/>
  <c r="H285" i="29" s="1"/>
  <c r="K285" i="29"/>
  <c r="V277" i="28"/>
  <c r="AF277" i="4"/>
  <c r="AM277" i="4"/>
  <c r="AN277" i="4" s="1"/>
  <c r="W279" i="28" l="1"/>
  <c r="V278" i="28"/>
  <c r="K279" i="28"/>
  <c r="AD278" i="4"/>
  <c r="AF278" i="4" s="1"/>
  <c r="W279" i="4"/>
  <c r="AP279" i="4" s="1"/>
  <c r="I279" i="28"/>
  <c r="AE279" i="4"/>
  <c r="U279" i="28"/>
  <c r="J279" i="28"/>
  <c r="T288" i="29"/>
  <c r="B287" i="29"/>
  <c r="B281" i="28"/>
  <c r="F281" i="28" s="1"/>
  <c r="Y282" i="28"/>
  <c r="I286" i="29"/>
  <c r="E286" i="29"/>
  <c r="G286" i="29" s="1"/>
  <c r="H286" i="29" s="1"/>
  <c r="K286" i="29"/>
  <c r="L284" i="29"/>
  <c r="M284" i="29" s="1"/>
  <c r="J284" i="29"/>
  <c r="AC279" i="4"/>
  <c r="P280" i="28"/>
  <c r="N280" i="28"/>
  <c r="M280" i="28"/>
  <c r="O280" i="28"/>
  <c r="E280" i="28"/>
  <c r="Q278" i="28"/>
  <c r="R278" i="28" s="1"/>
  <c r="T278" i="28" s="1"/>
  <c r="L278" i="28"/>
  <c r="B281" i="4"/>
  <c r="AU282" i="4"/>
  <c r="AK280" i="4"/>
  <c r="G280" i="4"/>
  <c r="L280" i="4"/>
  <c r="Y280" i="4" s="1"/>
  <c r="I280" i="4"/>
  <c r="H280" i="4"/>
  <c r="AJ280" i="4"/>
  <c r="K280" i="4"/>
  <c r="X280" i="4" s="1"/>
  <c r="AL280" i="4"/>
  <c r="AB280" i="4"/>
  <c r="AI280" i="4"/>
  <c r="AG280" i="4"/>
  <c r="M280" i="4"/>
  <c r="Z280" i="4" s="1"/>
  <c r="J280" i="4"/>
  <c r="AO280" i="4" s="1"/>
  <c r="AH280" i="4"/>
  <c r="E280" i="4"/>
  <c r="V280" i="4" s="1"/>
  <c r="W280" i="28" l="1"/>
  <c r="V279" i="28"/>
  <c r="AM278" i="4"/>
  <c r="AN278" i="4" s="1"/>
  <c r="AD279" i="4"/>
  <c r="AF279" i="4" s="1"/>
  <c r="W280" i="4"/>
  <c r="AP280" i="4" s="1"/>
  <c r="I280" i="28"/>
  <c r="K280" i="28"/>
  <c r="J285" i="29"/>
  <c r="L285" i="29"/>
  <c r="M285" i="29" s="1"/>
  <c r="AE280" i="4"/>
  <c r="B282" i="4"/>
  <c r="AU283" i="4"/>
  <c r="Y283" i="28"/>
  <c r="B282" i="28"/>
  <c r="F282" i="28" s="1"/>
  <c r="E287" i="29"/>
  <c r="G287" i="29" s="1"/>
  <c r="H287" i="29" s="1"/>
  <c r="I287" i="29"/>
  <c r="K287" i="29"/>
  <c r="L279" i="28"/>
  <c r="Q279" i="28"/>
  <c r="R279" i="28" s="1"/>
  <c r="T279" i="28" s="1"/>
  <c r="AC280" i="4"/>
  <c r="AK281" i="4"/>
  <c r="J281" i="4"/>
  <c r="AO281" i="4" s="1"/>
  <c r="M281" i="4"/>
  <c r="Z281" i="4" s="1"/>
  <c r="AI281" i="4"/>
  <c r="K281" i="4"/>
  <c r="X281" i="4" s="1"/>
  <c r="L281" i="4"/>
  <c r="Y281" i="4" s="1"/>
  <c r="AJ281" i="4"/>
  <c r="E281" i="4"/>
  <c r="V281" i="4" s="1"/>
  <c r="AH281" i="4"/>
  <c r="I281" i="4"/>
  <c r="G281" i="4"/>
  <c r="H281" i="4"/>
  <c r="AB281" i="4"/>
  <c r="AG281" i="4"/>
  <c r="AL281" i="4"/>
  <c r="J280" i="28"/>
  <c r="U280" i="28"/>
  <c r="E281" i="28"/>
  <c r="M281" i="28"/>
  <c r="P281" i="28"/>
  <c r="N281" i="28"/>
  <c r="O281" i="28"/>
  <c r="T289" i="29"/>
  <c r="B289" i="29" s="1"/>
  <c r="B288" i="29"/>
  <c r="W281" i="28" l="1"/>
  <c r="AM279" i="4"/>
  <c r="AN279" i="4" s="1"/>
  <c r="W281" i="4"/>
  <c r="AP281" i="4" s="1"/>
  <c r="AD280" i="4"/>
  <c r="AF280" i="4" s="1"/>
  <c r="I281" i="28"/>
  <c r="J281" i="28" s="1"/>
  <c r="K281" i="28"/>
  <c r="U281" i="28"/>
  <c r="L280" i="28"/>
  <c r="Q280" i="28"/>
  <c r="R280" i="28" s="1"/>
  <c r="T280" i="28" s="1"/>
  <c r="B283" i="4"/>
  <c r="AU284" i="4"/>
  <c r="K288" i="29"/>
  <c r="E288" i="29"/>
  <c r="G288" i="29" s="1"/>
  <c r="H288" i="29" s="1"/>
  <c r="I288" i="29"/>
  <c r="I294" i="29" s="1"/>
  <c r="K884" i="28" s="1"/>
  <c r="AE281" i="4"/>
  <c r="AK282" i="4"/>
  <c r="E282" i="4"/>
  <c r="V282" i="4" s="1"/>
  <c r="AB282" i="4"/>
  <c r="AJ282" i="4"/>
  <c r="L282" i="4"/>
  <c r="Y282" i="4" s="1"/>
  <c r="AG282" i="4"/>
  <c r="I282" i="4"/>
  <c r="M282" i="4"/>
  <c r="Z282" i="4" s="1"/>
  <c r="K282" i="4"/>
  <c r="AH282" i="4"/>
  <c r="J282" i="4"/>
  <c r="AO282" i="4" s="1"/>
  <c r="H282" i="4"/>
  <c r="G282" i="4"/>
  <c r="AL282" i="4"/>
  <c r="I289" i="29"/>
  <c r="I293" i="29" s="1"/>
  <c r="K887" i="28" s="1"/>
  <c r="E289" i="29"/>
  <c r="K289" i="29"/>
  <c r="V281" i="28"/>
  <c r="J286" i="29"/>
  <c r="L286" i="29"/>
  <c r="M286" i="29" s="1"/>
  <c r="M282" i="28"/>
  <c r="N282" i="28"/>
  <c r="E282" i="28"/>
  <c r="O282" i="28"/>
  <c r="P282" i="28"/>
  <c r="AC281" i="4"/>
  <c r="Y284" i="28"/>
  <c r="B283" i="28"/>
  <c r="F283" i="28" s="1"/>
  <c r="V280" i="28"/>
  <c r="E129" i="65" l="1"/>
  <c r="E82" i="65"/>
  <c r="E172" i="65"/>
  <c r="E84" i="65"/>
  <c r="E173" i="65"/>
  <c r="E85" i="65"/>
  <c r="E168" i="65"/>
  <c r="E86" i="65"/>
  <c r="E169" i="65"/>
  <c r="E87" i="65"/>
  <c r="E170" i="65"/>
  <c r="E51" i="65"/>
  <c r="E128" i="65"/>
  <c r="E83" i="65"/>
  <c r="W282" i="28"/>
  <c r="G289" i="29"/>
  <c r="H289" i="29" s="1"/>
  <c r="W282" i="4"/>
  <c r="AP282" i="4" s="1"/>
  <c r="AD281" i="4"/>
  <c r="AF281" i="4" s="1"/>
  <c r="AM280" i="4"/>
  <c r="AN280" i="4" s="1"/>
  <c r="X282" i="4"/>
  <c r="AC282" i="4" s="1"/>
  <c r="I282" i="28"/>
  <c r="K282" i="28"/>
  <c r="N283" i="28"/>
  <c r="E283" i="28"/>
  <c r="M283" i="28"/>
  <c r="O283" i="28"/>
  <c r="P283" i="28"/>
  <c r="J282" i="28"/>
  <c r="U282" i="28"/>
  <c r="J287" i="29"/>
  <c r="L287" i="29"/>
  <c r="M287" i="29" s="1"/>
  <c r="Y285" i="28"/>
  <c r="B284" i="28"/>
  <c r="F284" i="28" s="1"/>
  <c r="B284" i="4"/>
  <c r="AU285" i="4"/>
  <c r="E293" i="29"/>
  <c r="E887" i="28" s="1"/>
  <c r="E294" i="29"/>
  <c r="E884" i="28" s="1"/>
  <c r="AK283" i="4"/>
  <c r="AJ283" i="4"/>
  <c r="I283" i="4"/>
  <c r="AI283" i="4"/>
  <c r="G283" i="4"/>
  <c r="M283" i="4"/>
  <c r="Z283" i="4" s="1"/>
  <c r="AG283" i="4"/>
  <c r="K283" i="4"/>
  <c r="X283" i="4" s="1"/>
  <c r="J283" i="4"/>
  <c r="AO283" i="4" s="1"/>
  <c r="AH283" i="4"/>
  <c r="E283" i="4"/>
  <c r="V283" i="4" s="1"/>
  <c r="AL283" i="4"/>
  <c r="AB283" i="4"/>
  <c r="L283" i="4"/>
  <c r="Y283" i="4" s="1"/>
  <c r="H283" i="4"/>
  <c r="L281" i="28"/>
  <c r="Q281" i="28"/>
  <c r="R281" i="28" s="1"/>
  <c r="T281" i="28" s="1"/>
  <c r="W283" i="28" l="1"/>
  <c r="AM281" i="4"/>
  <c r="AN281" i="4" s="1"/>
  <c r="I168" i="65"/>
  <c r="G168" i="65"/>
  <c r="G173" i="65"/>
  <c r="I173" i="65"/>
  <c r="I169" i="65"/>
  <c r="G169" i="65"/>
  <c r="G129" i="65"/>
  <c r="I129" i="65"/>
  <c r="I170" i="65"/>
  <c r="G170" i="65"/>
  <c r="I172" i="65"/>
  <c r="G172" i="65"/>
  <c r="V282" i="28"/>
  <c r="K283" i="28"/>
  <c r="AD282" i="4"/>
  <c r="W283" i="4"/>
  <c r="AP283" i="4" s="1"/>
  <c r="I283" i="28"/>
  <c r="AC283" i="4"/>
  <c r="G294" i="29"/>
  <c r="I884" i="28" s="1"/>
  <c r="G293" i="29"/>
  <c r="I887" i="28" s="1"/>
  <c r="AK284" i="4"/>
  <c r="AH284" i="4"/>
  <c r="AL284" i="4"/>
  <c r="H284" i="4"/>
  <c r="I284" i="4"/>
  <c r="AI284" i="4"/>
  <c r="AJ284" i="4"/>
  <c r="M284" i="4"/>
  <c r="Z284" i="4" s="1"/>
  <c r="E284" i="4"/>
  <c r="V284" i="4" s="1"/>
  <c r="L284" i="4"/>
  <c r="Y284" i="4" s="1"/>
  <c r="J284" i="4"/>
  <c r="AO284" i="4" s="1"/>
  <c r="AG284" i="4"/>
  <c r="K284" i="4"/>
  <c r="X284" i="4" s="1"/>
  <c r="G284" i="4"/>
  <c r="AB284" i="4"/>
  <c r="O284" i="28"/>
  <c r="M284" i="28"/>
  <c r="E284" i="28"/>
  <c r="N284" i="28"/>
  <c r="P284" i="28"/>
  <c r="U283" i="28"/>
  <c r="V283" i="28" s="1"/>
  <c r="J283" i="28"/>
  <c r="Y286" i="28"/>
  <c r="B285" i="28"/>
  <c r="F285" i="28" s="1"/>
  <c r="AE283" i="4"/>
  <c r="I128" i="65"/>
  <c r="G128" i="65"/>
  <c r="B285" i="4"/>
  <c r="AU286" i="4"/>
  <c r="L282" i="28"/>
  <c r="Q282" i="28"/>
  <c r="R282" i="28" s="1"/>
  <c r="T282" i="28" s="1"/>
  <c r="W284" i="28" l="1"/>
  <c r="I82" i="65"/>
  <c r="G82" i="65"/>
  <c r="G84" i="65"/>
  <c r="I84" i="65"/>
  <c r="G51" i="65"/>
  <c r="I51" i="65"/>
  <c r="I86" i="65"/>
  <c r="G86" i="65"/>
  <c r="G85" i="65"/>
  <c r="I85" i="65"/>
  <c r="I87" i="65"/>
  <c r="G87" i="65"/>
  <c r="W284" i="4"/>
  <c r="AP284" i="4" s="1"/>
  <c r="AD283" i="4"/>
  <c r="I284" i="28"/>
  <c r="K284" i="28"/>
  <c r="AU287" i="4"/>
  <c r="B286" i="4"/>
  <c r="Q283" i="28"/>
  <c r="R283" i="28" s="1"/>
  <c r="T283" i="28" s="1"/>
  <c r="L283" i="28"/>
  <c r="AK285" i="4"/>
  <c r="E285" i="4"/>
  <c r="V285" i="4" s="1"/>
  <c r="M285" i="4"/>
  <c r="Z285" i="4" s="1"/>
  <c r="K285" i="4"/>
  <c r="X285" i="4" s="1"/>
  <c r="H285" i="4"/>
  <c r="AH285" i="4"/>
  <c r="I285" i="4"/>
  <c r="AI285" i="4"/>
  <c r="AL285" i="4"/>
  <c r="G285" i="4"/>
  <c r="AJ285" i="4"/>
  <c r="AB285" i="4"/>
  <c r="AG285" i="4"/>
  <c r="L285" i="4"/>
  <c r="Y285" i="4" s="1"/>
  <c r="J285" i="4"/>
  <c r="AO285" i="4" s="1"/>
  <c r="N285" i="28"/>
  <c r="E285" i="28"/>
  <c r="M285" i="28"/>
  <c r="O285" i="28"/>
  <c r="P285" i="28"/>
  <c r="I83" i="65"/>
  <c r="G83" i="65"/>
  <c r="AC284" i="4"/>
  <c r="J288" i="29"/>
  <c r="H294" i="29"/>
  <c r="J884" i="28" s="1"/>
  <c r="L288" i="29"/>
  <c r="M288" i="29" s="1"/>
  <c r="Y287" i="28"/>
  <c r="B286" i="28"/>
  <c r="F286" i="28" s="1"/>
  <c r="U284" i="28"/>
  <c r="J284" i="28"/>
  <c r="AE284" i="4"/>
  <c r="L289" i="29"/>
  <c r="M289" i="29" s="1"/>
  <c r="J289" i="29"/>
  <c r="H293" i="29"/>
  <c r="J887" i="28" s="1"/>
  <c r="W285" i="28" l="1"/>
  <c r="K285" i="28"/>
  <c r="AD284" i="4"/>
  <c r="AF284" i="4" s="1"/>
  <c r="W285" i="4"/>
  <c r="AP285" i="4" s="1"/>
  <c r="I285" i="28"/>
  <c r="V284" i="28"/>
  <c r="AC285" i="4"/>
  <c r="AF283" i="4"/>
  <c r="AM283" i="4"/>
  <c r="AN283" i="4" s="1"/>
  <c r="E286" i="28"/>
  <c r="P286" i="28"/>
  <c r="M286" i="28"/>
  <c r="O286" i="28"/>
  <c r="N286" i="28"/>
  <c r="Q284" i="28"/>
  <c r="R284" i="28" s="1"/>
  <c r="T284" i="28" s="1"/>
  <c r="L284" i="28"/>
  <c r="B287" i="28"/>
  <c r="F287" i="28" s="1"/>
  <c r="Y288" i="28"/>
  <c r="AK286" i="4"/>
  <c r="AL286" i="4"/>
  <c r="J286" i="4"/>
  <c r="AO286" i="4" s="1"/>
  <c r="AH286" i="4"/>
  <c r="E286" i="4"/>
  <c r="V286" i="4" s="1"/>
  <c r="L286" i="4"/>
  <c r="Y286" i="4" s="1"/>
  <c r="H286" i="4"/>
  <c r="I286" i="4"/>
  <c r="K286" i="4"/>
  <c r="X286" i="4" s="1"/>
  <c r="G286" i="4"/>
  <c r="AB286" i="4"/>
  <c r="AJ286" i="4"/>
  <c r="M286" i="4"/>
  <c r="Z286" i="4" s="1"/>
  <c r="AG286" i="4"/>
  <c r="AI286" i="4"/>
  <c r="J285" i="28"/>
  <c r="U285" i="28"/>
  <c r="AE285" i="4"/>
  <c r="B287" i="4"/>
  <c r="AU288" i="4"/>
  <c r="W286" i="28" l="1"/>
  <c r="AM284" i="4"/>
  <c r="AN284" i="4" s="1"/>
  <c r="W286" i="4"/>
  <c r="AP286" i="4" s="1"/>
  <c r="AD285" i="4"/>
  <c r="AF285" i="4" s="1"/>
  <c r="I286" i="28"/>
  <c r="J286" i="28" s="1"/>
  <c r="K286" i="28"/>
  <c r="V285" i="28"/>
  <c r="U286" i="28"/>
  <c r="AE286" i="4"/>
  <c r="AC286" i="4"/>
  <c r="B288" i="4"/>
  <c r="AU289" i="4"/>
  <c r="Q285" i="28"/>
  <c r="R285" i="28" s="1"/>
  <c r="T285" i="28" s="1"/>
  <c r="L285" i="28"/>
  <c r="AK287" i="4"/>
  <c r="I287" i="4"/>
  <c r="K287" i="4"/>
  <c r="X287" i="4" s="1"/>
  <c r="M287" i="4"/>
  <c r="Z287" i="4" s="1"/>
  <c r="AB287" i="4"/>
  <c r="J287" i="4"/>
  <c r="AO287" i="4" s="1"/>
  <c r="E287" i="4"/>
  <c r="V287" i="4" s="1"/>
  <c r="AJ287" i="4"/>
  <c r="H287" i="4"/>
  <c r="AI287" i="4"/>
  <c r="AH287" i="4"/>
  <c r="L287" i="4"/>
  <c r="Y287" i="4" s="1"/>
  <c r="AG287" i="4"/>
  <c r="G287" i="4"/>
  <c r="AL287" i="4"/>
  <c r="Y289" i="28"/>
  <c r="B288" i="28"/>
  <c r="F288" i="28" s="1"/>
  <c r="O287" i="28"/>
  <c r="P287" i="28"/>
  <c r="M287" i="28"/>
  <c r="E287" i="28"/>
  <c r="N287" i="28"/>
  <c r="V286" i="28"/>
  <c r="W287" i="28" l="1"/>
  <c r="AD286" i="4"/>
  <c r="AF286" i="4" s="1"/>
  <c r="W287" i="4"/>
  <c r="AP287" i="4" s="1"/>
  <c r="K287" i="28"/>
  <c r="I287" i="28"/>
  <c r="AM285" i="4"/>
  <c r="AN285" i="4" s="1"/>
  <c r="AK288" i="4"/>
  <c r="J288" i="4"/>
  <c r="AO288" i="4" s="1"/>
  <c r="M288" i="4"/>
  <c r="Z288" i="4" s="1"/>
  <c r="K288" i="4"/>
  <c r="X288" i="4" s="1"/>
  <c r="G288" i="4"/>
  <c r="AJ288" i="4"/>
  <c r="AB288" i="4"/>
  <c r="H288" i="4"/>
  <c r="L288" i="4"/>
  <c r="Y288" i="4" s="1"/>
  <c r="E288" i="4"/>
  <c r="V288" i="4" s="1"/>
  <c r="AL288" i="4"/>
  <c r="AG288" i="4"/>
  <c r="I288" i="4"/>
  <c r="AH288" i="4"/>
  <c r="AI288" i="4"/>
  <c r="N288" i="28"/>
  <c r="O288" i="28"/>
  <c r="P288" i="28"/>
  <c r="M288" i="28"/>
  <c r="E288" i="28"/>
  <c r="B289" i="28"/>
  <c r="F289" i="28" s="1"/>
  <c r="Y290" i="28"/>
  <c r="AE287" i="4"/>
  <c r="AC287" i="4"/>
  <c r="Q286" i="28"/>
  <c r="R286" i="28" s="1"/>
  <c r="T286" i="28" s="1"/>
  <c r="L286" i="28"/>
  <c r="J287" i="28"/>
  <c r="U287" i="28"/>
  <c r="AU290" i="4"/>
  <c r="B289" i="4"/>
  <c r="AM286" i="4"/>
  <c r="AN286" i="4" s="1"/>
  <c r="W288" i="28" l="1"/>
  <c r="W288" i="4"/>
  <c r="AP288" i="4" s="1"/>
  <c r="AD287" i="4"/>
  <c r="AF287" i="4" s="1"/>
  <c r="I288" i="28"/>
  <c r="K288" i="28"/>
  <c r="V287" i="28"/>
  <c r="Y291" i="28"/>
  <c r="B290" i="28"/>
  <c r="F290" i="28" s="1"/>
  <c r="AC288" i="4"/>
  <c r="AE288" i="4"/>
  <c r="AU291" i="4"/>
  <c r="B290" i="4"/>
  <c r="Q287" i="28"/>
  <c r="R287" i="28" s="1"/>
  <c r="T287" i="28" s="1"/>
  <c r="L287" i="28"/>
  <c r="O289" i="28"/>
  <c r="P289" i="28"/>
  <c r="M289" i="28"/>
  <c r="E289" i="28"/>
  <c r="N289" i="28"/>
  <c r="AK289" i="4"/>
  <c r="H289" i="4"/>
  <c r="E289" i="4"/>
  <c r="V289" i="4" s="1"/>
  <c r="AB289" i="4"/>
  <c r="L289" i="4"/>
  <c r="Y289" i="4" s="1"/>
  <c r="G289" i="4"/>
  <c r="M289" i="4"/>
  <c r="Z289" i="4" s="1"/>
  <c r="I289" i="4"/>
  <c r="AG289" i="4"/>
  <c r="AL289" i="4"/>
  <c r="AH289" i="4"/>
  <c r="AI289" i="4"/>
  <c r="K289" i="4"/>
  <c r="AJ289" i="4"/>
  <c r="J289" i="4"/>
  <c r="AO289" i="4" s="1"/>
  <c r="U288" i="28"/>
  <c r="J288" i="28"/>
  <c r="W289" i="28" l="1"/>
  <c r="AD288" i="4"/>
  <c r="AM287" i="4"/>
  <c r="AN287" i="4" s="1"/>
  <c r="X289" i="4"/>
  <c r="AC289" i="4" s="1"/>
  <c r="W289" i="4"/>
  <c r="AP289" i="4" s="1"/>
  <c r="I289" i="28"/>
  <c r="K289" i="28"/>
  <c r="Q288" i="28"/>
  <c r="R288" i="28" s="1"/>
  <c r="T288" i="28" s="1"/>
  <c r="L288" i="28"/>
  <c r="AK290" i="4"/>
  <c r="L290" i="4"/>
  <c r="Y290" i="4" s="1"/>
  <c r="M290" i="4"/>
  <c r="Z290" i="4" s="1"/>
  <c r="G290" i="4"/>
  <c r="K290" i="4"/>
  <c r="X290" i="4" s="1"/>
  <c r="AI290" i="4"/>
  <c r="E290" i="4"/>
  <c r="V290" i="4" s="1"/>
  <c r="J290" i="4"/>
  <c r="AO290" i="4" s="1"/>
  <c r="I290" i="4"/>
  <c r="AJ290" i="4"/>
  <c r="AH290" i="4"/>
  <c r="AL290" i="4"/>
  <c r="AG290" i="4"/>
  <c r="H290" i="4"/>
  <c r="AB290" i="4"/>
  <c r="V288" i="28"/>
  <c r="AF288" i="4"/>
  <c r="AM288" i="4"/>
  <c r="AN288" i="4" s="1"/>
  <c r="AU292" i="4"/>
  <c r="B291" i="4"/>
  <c r="M290" i="28"/>
  <c r="N290" i="28"/>
  <c r="E290" i="28"/>
  <c r="P290" i="28"/>
  <c r="O290" i="28"/>
  <c r="B291" i="28"/>
  <c r="F291" i="28" s="1"/>
  <c r="Y292" i="28"/>
  <c r="AE289" i="4"/>
  <c r="U289" i="28"/>
  <c r="J289" i="28"/>
  <c r="W290" i="28" l="1"/>
  <c r="AD289" i="4"/>
  <c r="W290" i="4"/>
  <c r="AP290" i="4" s="1"/>
  <c r="I290" i="28"/>
  <c r="K290" i="28"/>
  <c r="V289" i="28"/>
  <c r="Q289" i="28"/>
  <c r="R289" i="28" s="1"/>
  <c r="T289" i="28" s="1"/>
  <c r="L289" i="28"/>
  <c r="Y293" i="28"/>
  <c r="B292" i="28"/>
  <c r="F292" i="28" s="1"/>
  <c r="B292" i="4"/>
  <c r="AU293" i="4"/>
  <c r="N291" i="28"/>
  <c r="O291" i="28"/>
  <c r="P291" i="28"/>
  <c r="M291" i="28"/>
  <c r="E291" i="28"/>
  <c r="AC290" i="4"/>
  <c r="U290" i="28"/>
  <c r="J290" i="28"/>
  <c r="AK291" i="4"/>
  <c r="AG291" i="4"/>
  <c r="H291" i="4"/>
  <c r="I291" i="4"/>
  <c r="AI291" i="4"/>
  <c r="AL291" i="4"/>
  <c r="AB291" i="4"/>
  <c r="E291" i="4"/>
  <c r="V291" i="4" s="1"/>
  <c r="M291" i="4"/>
  <c r="Z291" i="4" s="1"/>
  <c r="AJ291" i="4"/>
  <c r="J291" i="4"/>
  <c r="AO291" i="4" s="1"/>
  <c r="G291" i="4"/>
  <c r="K291" i="4"/>
  <c r="X291" i="4" s="1"/>
  <c r="L291" i="4"/>
  <c r="Y291" i="4" s="1"/>
  <c r="AH291" i="4"/>
  <c r="AE290" i="4"/>
  <c r="W291" i="28" l="1"/>
  <c r="AD290" i="4"/>
  <c r="AM290" i="4" s="1"/>
  <c r="AN290" i="4" s="1"/>
  <c r="W291" i="4"/>
  <c r="AP291" i="4" s="1"/>
  <c r="I291" i="28"/>
  <c r="K291" i="28"/>
  <c r="N292" i="28"/>
  <c r="P292" i="28"/>
  <c r="E292" i="28"/>
  <c r="M292" i="28"/>
  <c r="O292" i="28"/>
  <c r="AC291" i="4"/>
  <c r="Y294" i="28"/>
  <c r="B293" i="28"/>
  <c r="F293" i="28" s="1"/>
  <c r="AF290" i="4"/>
  <c r="AE291" i="4"/>
  <c r="AM289" i="4"/>
  <c r="AN289" i="4" s="1"/>
  <c r="AF289" i="4"/>
  <c r="Q290" i="28"/>
  <c r="R290" i="28" s="1"/>
  <c r="T290" i="28" s="1"/>
  <c r="L290" i="28"/>
  <c r="B293" i="4"/>
  <c r="AU294" i="4"/>
  <c r="V290" i="28"/>
  <c r="J291" i="28"/>
  <c r="U291" i="28"/>
  <c r="AK292" i="4"/>
  <c r="M292" i="4"/>
  <c r="Z292" i="4" s="1"/>
  <c r="J292" i="4"/>
  <c r="AO292" i="4" s="1"/>
  <c r="AI292" i="4"/>
  <c r="AJ292" i="4"/>
  <c r="E292" i="4"/>
  <c r="V292" i="4" s="1"/>
  <c r="G292" i="4"/>
  <c r="I292" i="4"/>
  <c r="H292" i="4"/>
  <c r="AB292" i="4"/>
  <c r="K292" i="4"/>
  <c r="X292" i="4" s="1"/>
  <c r="AH292" i="4"/>
  <c r="L292" i="4"/>
  <c r="Y292" i="4" s="1"/>
  <c r="AL292" i="4"/>
  <c r="AG292" i="4"/>
  <c r="W292" i="28" l="1"/>
  <c r="W292" i="4"/>
  <c r="AP292" i="4" s="1"/>
  <c r="AD291" i="4"/>
  <c r="AF291" i="4" s="1"/>
  <c r="I292" i="28"/>
  <c r="K292" i="28"/>
  <c r="AC292" i="4"/>
  <c r="V291" i="28"/>
  <c r="B294" i="4"/>
  <c r="AU295" i="4"/>
  <c r="AE292" i="4"/>
  <c r="L291" i="28"/>
  <c r="Q291" i="28"/>
  <c r="R291" i="28" s="1"/>
  <c r="T291" i="28" s="1"/>
  <c r="N293" i="28"/>
  <c r="P293" i="28"/>
  <c r="E293" i="28"/>
  <c r="M293" i="28"/>
  <c r="O293" i="28"/>
  <c r="AK293" i="4"/>
  <c r="J293" i="4"/>
  <c r="AO293" i="4" s="1"/>
  <c r="H293" i="4"/>
  <c r="AL293" i="4"/>
  <c r="L293" i="4"/>
  <c r="Y293" i="4" s="1"/>
  <c r="AI293" i="4"/>
  <c r="M293" i="4"/>
  <c r="Z293" i="4" s="1"/>
  <c r="K293" i="4"/>
  <c r="X293" i="4" s="1"/>
  <c r="AG293" i="4"/>
  <c r="AJ293" i="4"/>
  <c r="I293" i="4"/>
  <c r="AH293" i="4"/>
  <c r="G293" i="4"/>
  <c r="AB293" i="4"/>
  <c r="E293" i="4"/>
  <c r="V293" i="4" s="1"/>
  <c r="B294" i="28"/>
  <c r="F294" i="28" s="1"/>
  <c r="Y295" i="28"/>
  <c r="U292" i="28"/>
  <c r="V292" i="28" s="1"/>
  <c r="J292" i="28"/>
  <c r="W293" i="28" l="1"/>
  <c r="AM291" i="4"/>
  <c r="AN291" i="4" s="1"/>
  <c r="AD292" i="4"/>
  <c r="AM292" i="4" s="1"/>
  <c r="AN292" i="4" s="1"/>
  <c r="W293" i="4"/>
  <c r="AP293" i="4" s="1"/>
  <c r="I293" i="28"/>
  <c r="K293" i="28"/>
  <c r="Q292" i="28"/>
  <c r="R292" i="28" s="1"/>
  <c r="T292" i="28" s="1"/>
  <c r="L292" i="28"/>
  <c r="AU296" i="4"/>
  <c r="B295" i="4"/>
  <c r="AK294" i="4"/>
  <c r="I294" i="4"/>
  <c r="H294" i="4"/>
  <c r="L294" i="4"/>
  <c r="Y294" i="4" s="1"/>
  <c r="E294" i="4"/>
  <c r="V294" i="4" s="1"/>
  <c r="AG294" i="4"/>
  <c r="AH294" i="4"/>
  <c r="AB294" i="4"/>
  <c r="G294" i="4"/>
  <c r="AI294" i="4"/>
  <c r="K294" i="4"/>
  <c r="X294" i="4" s="1"/>
  <c r="AL294" i="4"/>
  <c r="M294" i="4"/>
  <c r="Z294" i="4" s="1"/>
  <c r="AJ294" i="4"/>
  <c r="J294" i="4"/>
  <c r="AO294" i="4" s="1"/>
  <c r="B295" i="28"/>
  <c r="F295" i="28" s="1"/>
  <c r="Y296" i="28"/>
  <c r="U293" i="28"/>
  <c r="J293" i="28"/>
  <c r="O294" i="28"/>
  <c r="E294" i="28"/>
  <c r="M294" i="28"/>
  <c r="P294" i="28"/>
  <c r="N294" i="28"/>
  <c r="AC293" i="4"/>
  <c r="AE293" i="4"/>
  <c r="W294" i="28" l="1"/>
  <c r="AD293" i="4"/>
  <c r="W294" i="4"/>
  <c r="AP294" i="4" s="1"/>
  <c r="AF292" i="4"/>
  <c r="I294" i="28"/>
  <c r="K294" i="28"/>
  <c r="AE294" i="4"/>
  <c r="L293" i="28"/>
  <c r="Q293" i="28"/>
  <c r="R293" i="28" s="1"/>
  <c r="T293" i="28" s="1"/>
  <c r="AK295" i="4"/>
  <c r="M295" i="4"/>
  <c r="Z295" i="4" s="1"/>
  <c r="K295" i="4"/>
  <c r="X295" i="4" s="1"/>
  <c r="AI295" i="4"/>
  <c r="AB295" i="4"/>
  <c r="G295" i="4"/>
  <c r="E295" i="4"/>
  <c r="V295" i="4" s="1"/>
  <c r="AG295" i="4"/>
  <c r="L295" i="4"/>
  <c r="Y295" i="4" s="1"/>
  <c r="AJ295" i="4"/>
  <c r="J295" i="4"/>
  <c r="AO295" i="4" s="1"/>
  <c r="I295" i="4"/>
  <c r="H295" i="4"/>
  <c r="AL295" i="4"/>
  <c r="AH295" i="4"/>
  <c r="V293" i="28"/>
  <c r="AC294" i="4"/>
  <c r="B296" i="4"/>
  <c r="AU297" i="4"/>
  <c r="U294" i="28"/>
  <c r="J294" i="28"/>
  <c r="N295" i="28"/>
  <c r="P295" i="28"/>
  <c r="O295" i="28"/>
  <c r="M295" i="28"/>
  <c r="E295" i="28"/>
  <c r="B296" i="28"/>
  <c r="F296" i="28" s="1"/>
  <c r="Y297" i="28"/>
  <c r="I295" i="28" l="1"/>
  <c r="W295" i="28"/>
  <c r="AD294" i="4"/>
  <c r="AM294" i="4" s="1"/>
  <c r="AN294" i="4" s="1"/>
  <c r="W295" i="4"/>
  <c r="AP295" i="4" s="1"/>
  <c r="K295" i="28"/>
  <c r="V294" i="28"/>
  <c r="AE295" i="4"/>
  <c r="J295" i="28"/>
  <c r="U295" i="28"/>
  <c r="Y298" i="28"/>
  <c r="B297" i="28"/>
  <c r="F297" i="28" s="1"/>
  <c r="AF293" i="4"/>
  <c r="AM293" i="4"/>
  <c r="AN293" i="4" s="1"/>
  <c r="L294" i="28"/>
  <c r="Q294" i="28"/>
  <c r="R294" i="28" s="1"/>
  <c r="T294" i="28" s="1"/>
  <c r="AK296" i="4"/>
  <c r="K296" i="4"/>
  <c r="X296" i="4" s="1"/>
  <c r="L296" i="4"/>
  <c r="Y296" i="4" s="1"/>
  <c r="H296" i="4"/>
  <c r="AL296" i="4"/>
  <c r="AI296" i="4"/>
  <c r="G296" i="4"/>
  <c r="J296" i="4"/>
  <c r="AO296" i="4" s="1"/>
  <c r="AH296" i="4"/>
  <c r="M296" i="4"/>
  <c r="Z296" i="4" s="1"/>
  <c r="AJ296" i="4"/>
  <c r="I296" i="4"/>
  <c r="E296" i="4"/>
  <c r="V296" i="4" s="1"/>
  <c r="AG296" i="4"/>
  <c r="AB296" i="4"/>
  <c r="M296" i="28"/>
  <c r="P296" i="28"/>
  <c r="N296" i="28"/>
  <c r="O296" i="28"/>
  <c r="E296" i="28"/>
  <c r="W296" i="28" s="1"/>
  <c r="B297" i="4"/>
  <c r="AU298" i="4"/>
  <c r="AC295" i="4"/>
  <c r="Q295" i="28"/>
  <c r="R295" i="28" s="1"/>
  <c r="T295" i="28" s="1"/>
  <c r="AD295" i="4" l="1"/>
  <c r="AF295" i="4" s="1"/>
  <c r="W296" i="4"/>
  <c r="AP296" i="4" s="1"/>
  <c r="AF294" i="4"/>
  <c r="I296" i="28"/>
  <c r="J296" i="28" s="1"/>
  <c r="K296" i="28"/>
  <c r="U296" i="28"/>
  <c r="AE296" i="4"/>
  <c r="AU299" i="4"/>
  <c r="B298" i="4"/>
  <c r="M220" i="7"/>
  <c r="M222" i="7" s="1"/>
  <c r="M224" i="7" s="1"/>
  <c r="M226" i="7" s="1"/>
  <c r="K278" i="7" s="1"/>
  <c r="V295" i="28"/>
  <c r="AK297" i="4"/>
  <c r="M297" i="4"/>
  <c r="Z297" i="4" s="1"/>
  <c r="AB297" i="4"/>
  <c r="AH297" i="4"/>
  <c r="E297" i="4"/>
  <c r="V297" i="4" s="1"/>
  <c r="AG297" i="4"/>
  <c r="I297" i="4"/>
  <c r="J297" i="4"/>
  <c r="AO297" i="4" s="1"/>
  <c r="G297" i="4"/>
  <c r="K297" i="4"/>
  <c r="X297" i="4" s="1"/>
  <c r="H297" i="4"/>
  <c r="AJ297" i="4"/>
  <c r="L297" i="4"/>
  <c r="Y297" i="4" s="1"/>
  <c r="AI297" i="4"/>
  <c r="AL297" i="4"/>
  <c r="N297" i="28"/>
  <c r="P297" i="28"/>
  <c r="O297" i="28"/>
  <c r="M297" i="28"/>
  <c r="E297" i="28"/>
  <c r="W297" i="28" s="1"/>
  <c r="AC296" i="4"/>
  <c r="Y299" i="28"/>
  <c r="B298" i="28"/>
  <c r="F298" i="28" s="1"/>
  <c r="L295" i="28"/>
  <c r="W297" i="4" l="1"/>
  <c r="AP297" i="4" s="1"/>
  <c r="AD296" i="4"/>
  <c r="AM295" i="4"/>
  <c r="AN295" i="4" s="1"/>
  <c r="K283" i="7"/>
  <c r="H262" i="7"/>
  <c r="I262" i="7" s="1"/>
  <c r="H224" i="7"/>
  <c r="I224" i="7" s="1"/>
  <c r="K247" i="7"/>
  <c r="H223" i="7"/>
  <c r="I223" i="7" s="1"/>
  <c r="H261" i="7"/>
  <c r="I261" i="7" s="1"/>
  <c r="H281" i="7"/>
  <c r="I281" i="7" s="1"/>
  <c r="K251" i="7"/>
  <c r="H229" i="7"/>
  <c r="I229" i="7" s="1"/>
  <c r="K288" i="7"/>
  <c r="H284" i="7"/>
  <c r="I284" i="7" s="1"/>
  <c r="H246" i="7"/>
  <c r="I246" i="7" s="1"/>
  <c r="K241" i="7"/>
  <c r="H256" i="7"/>
  <c r="I256" i="7" s="1"/>
  <c r="H273" i="7"/>
  <c r="I273" i="7" s="1"/>
  <c r="K224" i="7"/>
  <c r="K276" i="7"/>
  <c r="K279" i="7"/>
  <c r="H278" i="7"/>
  <c r="I278" i="7" s="1"/>
  <c r="H239" i="7"/>
  <c r="I239" i="7" s="1"/>
  <c r="H288" i="7"/>
  <c r="I288" i="7" s="1"/>
  <c r="K268" i="7"/>
  <c r="K256" i="7"/>
  <c r="H244" i="7"/>
  <c r="I244" i="7" s="1"/>
  <c r="H230" i="7"/>
  <c r="I230" i="7" s="1"/>
  <c r="K225" i="7"/>
  <c r="I297" i="28"/>
  <c r="K297" i="28"/>
  <c r="K257" i="7"/>
  <c r="K273" i="7"/>
  <c r="H255" i="7"/>
  <c r="I255" i="7" s="1"/>
  <c r="H271" i="7"/>
  <c r="I271" i="7" s="1"/>
  <c r="H287" i="7"/>
  <c r="I287" i="7" s="1"/>
  <c r="K234" i="7"/>
  <c r="K250" i="7"/>
  <c r="K266" i="7"/>
  <c r="K282" i="7"/>
  <c r="H264" i="7"/>
  <c r="I264" i="7" s="1"/>
  <c r="H225" i="7"/>
  <c r="I225" i="7" s="1"/>
  <c r="K284" i="7"/>
  <c r="H269" i="7"/>
  <c r="I269" i="7" s="1"/>
  <c r="K232" i="7"/>
  <c r="K264" i="7"/>
  <c r="K228" i="7"/>
  <c r="H220" i="7"/>
  <c r="I220" i="7" s="1"/>
  <c r="K223" i="7"/>
  <c r="K287" i="7"/>
  <c r="H250" i="7"/>
  <c r="I250" i="7" s="1"/>
  <c r="H282" i="7"/>
  <c r="I282" i="7" s="1"/>
  <c r="K261" i="7"/>
  <c r="H243" i="7"/>
  <c r="I243" i="7" s="1"/>
  <c r="H275" i="7"/>
  <c r="I275" i="7" s="1"/>
  <c r="K238" i="7"/>
  <c r="K270" i="7"/>
  <c r="H240" i="7"/>
  <c r="I240" i="7" s="1"/>
  <c r="H272" i="7"/>
  <c r="I272" i="7" s="1"/>
  <c r="K235" i="7"/>
  <c r="K267" i="7"/>
  <c r="H241" i="7"/>
  <c r="I241" i="7" s="1"/>
  <c r="K236" i="7"/>
  <c r="H276" i="7"/>
  <c r="I276" i="7" s="1"/>
  <c r="H245" i="7"/>
  <c r="I245" i="7" s="1"/>
  <c r="H277" i="7"/>
  <c r="I277" i="7" s="1"/>
  <c r="K240" i="7"/>
  <c r="K272" i="7"/>
  <c r="H249" i="7"/>
  <c r="I249" i="7" s="1"/>
  <c r="K244" i="7"/>
  <c r="H228" i="7"/>
  <c r="I228" i="7" s="1"/>
  <c r="H260" i="7"/>
  <c r="I260" i="7" s="1"/>
  <c r="K231" i="7"/>
  <c r="K263" i="7"/>
  <c r="H222" i="7"/>
  <c r="I222" i="7" s="1"/>
  <c r="H238" i="7"/>
  <c r="I238" i="7" s="1"/>
  <c r="H254" i="7"/>
  <c r="I254" i="7" s="1"/>
  <c r="H270" i="7"/>
  <c r="I270" i="7" s="1"/>
  <c r="H286" i="7"/>
  <c r="I286" i="7" s="1"/>
  <c r="K233" i="7"/>
  <c r="K249" i="7"/>
  <c r="K265" i="7"/>
  <c r="K281" i="7"/>
  <c r="H231" i="7"/>
  <c r="I231" i="7" s="1"/>
  <c r="H247" i="7"/>
  <c r="I247" i="7" s="1"/>
  <c r="H263" i="7"/>
  <c r="I263" i="7" s="1"/>
  <c r="H279" i="7"/>
  <c r="I279" i="7" s="1"/>
  <c r="K226" i="7"/>
  <c r="K242" i="7"/>
  <c r="K258" i="7"/>
  <c r="K274" i="7"/>
  <c r="H232" i="7"/>
  <c r="I232" i="7" s="1"/>
  <c r="K227" i="7"/>
  <c r="K259" i="7"/>
  <c r="K220" i="7"/>
  <c r="H237" i="7"/>
  <c r="I237" i="7" s="1"/>
  <c r="H233" i="7"/>
  <c r="I233" i="7" s="1"/>
  <c r="H252" i="7"/>
  <c r="I252" i="7" s="1"/>
  <c r="K255" i="7"/>
  <c r="H234" i="7"/>
  <c r="I234" i="7" s="1"/>
  <c r="H266" i="7"/>
  <c r="I266" i="7" s="1"/>
  <c r="K229" i="7"/>
  <c r="K245" i="7"/>
  <c r="K277" i="7"/>
  <c r="H227" i="7"/>
  <c r="I227" i="7" s="1"/>
  <c r="H259" i="7"/>
  <c r="I259" i="7" s="1"/>
  <c r="K222" i="7"/>
  <c r="K254" i="7"/>
  <c r="K286" i="7"/>
  <c r="H248" i="7"/>
  <c r="I248" i="7" s="1"/>
  <c r="H280" i="7"/>
  <c r="I280" i="7" s="1"/>
  <c r="K243" i="7"/>
  <c r="K275" i="7"/>
  <c r="H257" i="7"/>
  <c r="I257" i="7" s="1"/>
  <c r="K252" i="7"/>
  <c r="H221" i="7"/>
  <c r="I221" i="7" s="1"/>
  <c r="H253" i="7"/>
  <c r="I253" i="7" s="1"/>
  <c r="H285" i="7"/>
  <c r="I285" i="7" s="1"/>
  <c r="K248" i="7"/>
  <c r="K280" i="7"/>
  <c r="H265" i="7"/>
  <c r="I265" i="7" s="1"/>
  <c r="K260" i="7"/>
  <c r="H236" i="7"/>
  <c r="I236" i="7" s="1"/>
  <c r="H268" i="7"/>
  <c r="I268" i="7" s="1"/>
  <c r="K239" i="7"/>
  <c r="K271" i="7"/>
  <c r="H226" i="7"/>
  <c r="I226" i="7" s="1"/>
  <c r="H242" i="7"/>
  <c r="I242" i="7" s="1"/>
  <c r="H258" i="7"/>
  <c r="I258" i="7" s="1"/>
  <c r="H274" i="7"/>
  <c r="I274" i="7" s="1"/>
  <c r="K221" i="7"/>
  <c r="K237" i="7"/>
  <c r="K253" i="7"/>
  <c r="K269" i="7"/>
  <c r="K285" i="7"/>
  <c r="H235" i="7"/>
  <c r="I235" i="7" s="1"/>
  <c r="H251" i="7"/>
  <c r="I251" i="7" s="1"/>
  <c r="H267" i="7"/>
  <c r="I267" i="7" s="1"/>
  <c r="H283" i="7"/>
  <c r="I283" i="7" s="1"/>
  <c r="K230" i="7"/>
  <c r="K246" i="7"/>
  <c r="K262" i="7"/>
  <c r="V296" i="28"/>
  <c r="AU300" i="4"/>
  <c r="B299" i="4"/>
  <c r="M298" i="28"/>
  <c r="P298" i="28"/>
  <c r="N298" i="28"/>
  <c r="E298" i="28"/>
  <c r="W298" i="28" s="1"/>
  <c r="O298" i="28"/>
  <c r="Y300" i="28"/>
  <c r="B299" i="28"/>
  <c r="F299" i="28" s="1"/>
  <c r="Q296" i="28"/>
  <c r="R296" i="28" s="1"/>
  <c r="T296" i="28" s="1"/>
  <c r="L296" i="28"/>
  <c r="U297" i="28"/>
  <c r="J297" i="28"/>
  <c r="AE297" i="4"/>
  <c r="V297" i="28"/>
  <c r="AC297" i="4"/>
  <c r="AK298" i="4"/>
  <c r="AL298" i="4"/>
  <c r="J298" i="4"/>
  <c r="AO298" i="4" s="1"/>
  <c r="E298" i="4"/>
  <c r="V298" i="4" s="1"/>
  <c r="AG298" i="4"/>
  <c r="AH298" i="4"/>
  <c r="M298" i="4"/>
  <c r="Z298" i="4" s="1"/>
  <c r="K298" i="4"/>
  <c r="X298" i="4" s="1"/>
  <c r="L298" i="4"/>
  <c r="Y298" i="4" s="1"/>
  <c r="I298" i="4"/>
  <c r="H298" i="4"/>
  <c r="G298" i="4"/>
  <c r="AJ298" i="4"/>
  <c r="AI298" i="4"/>
  <c r="AB298" i="4"/>
  <c r="W298" i="4" l="1"/>
  <c r="AP298" i="4" s="1"/>
  <c r="AD297" i="4"/>
  <c r="AF297" i="4" s="1"/>
  <c r="I298" i="28"/>
  <c r="K298" i="28"/>
  <c r="AC298" i="4"/>
  <c r="L297" i="28"/>
  <c r="Q297" i="28"/>
  <c r="R297" i="28" s="1"/>
  <c r="T297" i="28" s="1"/>
  <c r="E299" i="28"/>
  <c r="W299" i="28" s="1"/>
  <c r="P299" i="28"/>
  <c r="O299" i="28"/>
  <c r="M299" i="28"/>
  <c r="N299" i="28"/>
  <c r="J298" i="28"/>
  <c r="U298" i="28"/>
  <c r="Y301" i="28"/>
  <c r="B300" i="28"/>
  <c r="F300" i="28" s="1"/>
  <c r="AK299" i="4"/>
  <c r="AG299" i="4"/>
  <c r="AI299" i="4"/>
  <c r="AH299" i="4"/>
  <c r="K299" i="4"/>
  <c r="X299" i="4" s="1"/>
  <c r="I299" i="4"/>
  <c r="AL299" i="4"/>
  <c r="L299" i="4"/>
  <c r="Y299" i="4" s="1"/>
  <c r="J299" i="4"/>
  <c r="AO299" i="4" s="1"/>
  <c r="E299" i="4"/>
  <c r="V299" i="4" s="1"/>
  <c r="G299" i="4"/>
  <c r="AJ299" i="4"/>
  <c r="AB299" i="4"/>
  <c r="H299" i="4"/>
  <c r="M299" i="4"/>
  <c r="Z299" i="4" s="1"/>
  <c r="AE298" i="4"/>
  <c r="AF296" i="4"/>
  <c r="AM296" i="4"/>
  <c r="AN296" i="4" s="1"/>
  <c r="AU301" i="4"/>
  <c r="B300" i="4"/>
  <c r="V298" i="28"/>
  <c r="AM297" i="4"/>
  <c r="AN297" i="4" s="1"/>
  <c r="AD298" i="4" l="1"/>
  <c r="W299" i="4"/>
  <c r="AP299" i="4" s="1"/>
  <c r="I299" i="28"/>
  <c r="K299" i="28"/>
  <c r="M515" i="7"/>
  <c r="AE299" i="4"/>
  <c r="AK300" i="4"/>
  <c r="J300" i="4"/>
  <c r="AO300" i="4" s="1"/>
  <c r="E300" i="4"/>
  <c r="V300" i="4" s="1"/>
  <c r="AJ300" i="4"/>
  <c r="AG300" i="4"/>
  <c r="AL300" i="4"/>
  <c r="I300" i="4"/>
  <c r="AH300" i="4"/>
  <c r="AI300" i="4"/>
  <c r="G300" i="4"/>
  <c r="H300" i="4"/>
  <c r="K300" i="4"/>
  <c r="X300" i="4" s="1"/>
  <c r="L300" i="4"/>
  <c r="Y300" i="4" s="1"/>
  <c r="M300" i="4"/>
  <c r="Z300" i="4" s="1"/>
  <c r="AB300" i="4"/>
  <c r="M300" i="28"/>
  <c r="P300" i="28"/>
  <c r="E300" i="28"/>
  <c r="W300" i="28" s="1"/>
  <c r="N300" i="28"/>
  <c r="O300" i="28"/>
  <c r="B301" i="28"/>
  <c r="F301" i="28" s="1"/>
  <c r="Y302" i="28"/>
  <c r="AF298" i="4"/>
  <c r="B301" i="4"/>
  <c r="AU302" i="4"/>
  <c r="U299" i="28"/>
  <c r="V299" i="28" s="1"/>
  <c r="J299" i="28"/>
  <c r="AC299" i="4"/>
  <c r="Q298" i="28"/>
  <c r="R298" i="28" s="1"/>
  <c r="T298" i="28" s="1"/>
  <c r="L298" i="28"/>
  <c r="W300" i="4" l="1"/>
  <c r="AP300" i="4" s="1"/>
  <c r="K300" i="28"/>
  <c r="AD299" i="4"/>
  <c r="AF299" i="4" s="1"/>
  <c r="AM298" i="4"/>
  <c r="AN298" i="4" s="1"/>
  <c r="I300" i="28"/>
  <c r="AC300" i="4"/>
  <c r="B302" i="28"/>
  <c r="F302" i="28" s="1"/>
  <c r="Y303" i="28"/>
  <c r="N301" i="28"/>
  <c r="P301" i="28"/>
  <c r="O301" i="28"/>
  <c r="M301" i="28"/>
  <c r="E301" i="28"/>
  <c r="W301" i="28" s="1"/>
  <c r="Q299" i="28"/>
  <c r="R299" i="28" s="1"/>
  <c r="T299" i="28" s="1"/>
  <c r="L299" i="28"/>
  <c r="AK301" i="4"/>
  <c r="AB301" i="4"/>
  <c r="K301" i="4"/>
  <c r="X301" i="4" s="1"/>
  <c r="AL301" i="4"/>
  <c r="AJ301" i="4"/>
  <c r="I301" i="4"/>
  <c r="M301" i="4"/>
  <c r="Z301" i="4" s="1"/>
  <c r="G301" i="4"/>
  <c r="AI301" i="4"/>
  <c r="L301" i="4"/>
  <c r="Y301" i="4" s="1"/>
  <c r="AG301" i="4"/>
  <c r="H301" i="4"/>
  <c r="AH301" i="4"/>
  <c r="J301" i="4"/>
  <c r="AO301" i="4" s="1"/>
  <c r="E301" i="4"/>
  <c r="V301" i="4" s="1"/>
  <c r="B302" i="4"/>
  <c r="AU303" i="4"/>
  <c r="U300" i="28"/>
  <c r="V300" i="28" s="1"/>
  <c r="J300" i="28"/>
  <c r="AE300" i="4"/>
  <c r="AD300" i="4" l="1"/>
  <c r="W301" i="4"/>
  <c r="AP301" i="4" s="1"/>
  <c r="AM299" i="4"/>
  <c r="AN299" i="4" s="1"/>
  <c r="I301" i="28"/>
  <c r="K301" i="28"/>
  <c r="AK302" i="4"/>
  <c r="L302" i="4"/>
  <c r="Y302" i="4" s="1"/>
  <c r="K302" i="4"/>
  <c r="X302" i="4" s="1"/>
  <c r="E302" i="4"/>
  <c r="V302" i="4" s="1"/>
  <c r="AG302" i="4"/>
  <c r="H302" i="4"/>
  <c r="J302" i="4"/>
  <c r="AO302" i="4" s="1"/>
  <c r="AL302" i="4"/>
  <c r="G302" i="4"/>
  <c r="AH302" i="4"/>
  <c r="I302" i="4"/>
  <c r="AB302" i="4"/>
  <c r="AI302" i="4"/>
  <c r="AJ302" i="4"/>
  <c r="M302" i="4"/>
  <c r="Z302" i="4" s="1"/>
  <c r="AE301" i="4"/>
  <c r="B303" i="28"/>
  <c r="F303" i="28" s="1"/>
  <c r="Y304" i="28"/>
  <c r="Q300" i="28"/>
  <c r="R300" i="28" s="1"/>
  <c r="T300" i="28" s="1"/>
  <c r="L300" i="28"/>
  <c r="M302" i="28"/>
  <c r="E302" i="28"/>
  <c r="W302" i="28" s="1"/>
  <c r="N302" i="28"/>
  <c r="P302" i="28"/>
  <c r="O302" i="28"/>
  <c r="AU304" i="4"/>
  <c r="B303" i="4"/>
  <c r="AC301" i="4"/>
  <c r="M516" i="7"/>
  <c r="M517" i="7" s="1"/>
  <c r="M505" i="7" s="1"/>
  <c r="AM300" i="4"/>
  <c r="AN300" i="4" s="1"/>
  <c r="AF300" i="4"/>
  <c r="U301" i="28"/>
  <c r="J301" i="28"/>
  <c r="W302" i="4" l="1"/>
  <c r="AP302" i="4" s="1"/>
  <c r="AD301" i="4"/>
  <c r="AF301" i="4" s="1"/>
  <c r="I302" i="28"/>
  <c r="K302" i="28"/>
  <c r="V301" i="28"/>
  <c r="AE302" i="4"/>
  <c r="J302" i="28"/>
  <c r="U302" i="28"/>
  <c r="AK303" i="4"/>
  <c r="I303" i="4"/>
  <c r="AJ303" i="4"/>
  <c r="E303" i="4"/>
  <c r="V303" i="4" s="1"/>
  <c r="M303" i="4"/>
  <c r="Z303" i="4" s="1"/>
  <c r="K303" i="4"/>
  <c r="X303" i="4" s="1"/>
  <c r="H303" i="4"/>
  <c r="AG303" i="4"/>
  <c r="J303" i="4"/>
  <c r="AO303" i="4" s="1"/>
  <c r="AI303" i="4"/>
  <c r="G303" i="4"/>
  <c r="AL303" i="4"/>
  <c r="AH303" i="4"/>
  <c r="AB303" i="4"/>
  <c r="L303" i="4"/>
  <c r="Y303" i="4" s="1"/>
  <c r="B304" i="28"/>
  <c r="F304" i="28" s="1"/>
  <c r="Y305" i="28"/>
  <c r="AC302" i="4"/>
  <c r="L301" i="28"/>
  <c r="Q301" i="28"/>
  <c r="R301" i="28" s="1"/>
  <c r="T301" i="28" s="1"/>
  <c r="AU305" i="4"/>
  <c r="B304" i="4"/>
  <c r="P303" i="28"/>
  <c r="N303" i="28"/>
  <c r="E303" i="28"/>
  <c r="W303" i="28" s="1"/>
  <c r="M303" i="28"/>
  <c r="O303" i="28"/>
  <c r="AM301" i="4" l="1"/>
  <c r="AN301" i="4" s="1"/>
  <c r="W303" i="4"/>
  <c r="AP303" i="4" s="1"/>
  <c r="AD302" i="4"/>
  <c r="AM302" i="4" s="1"/>
  <c r="AN302" i="4" s="1"/>
  <c r="I303" i="28"/>
  <c r="K303" i="28"/>
  <c r="AE303" i="4"/>
  <c r="L302" i="28"/>
  <c r="Q302" i="28"/>
  <c r="R302" i="28" s="1"/>
  <c r="T302" i="28" s="1"/>
  <c r="O304" i="28"/>
  <c r="N304" i="28"/>
  <c r="E304" i="28"/>
  <c r="W304" i="28" s="1"/>
  <c r="M304" i="28"/>
  <c r="P304" i="28"/>
  <c r="AK304" i="4"/>
  <c r="M304" i="4"/>
  <c r="Z304" i="4" s="1"/>
  <c r="AL304" i="4"/>
  <c r="L304" i="4"/>
  <c r="Y304" i="4" s="1"/>
  <c r="I304" i="4"/>
  <c r="AJ304" i="4"/>
  <c r="K304" i="4"/>
  <c r="X304" i="4" s="1"/>
  <c r="E304" i="4"/>
  <c r="V304" i="4" s="1"/>
  <c r="AG304" i="4"/>
  <c r="AH304" i="4"/>
  <c r="AB304" i="4"/>
  <c r="AI304" i="4"/>
  <c r="J304" i="4"/>
  <c r="AO304" i="4" s="1"/>
  <c r="H304" i="4"/>
  <c r="G304" i="4"/>
  <c r="AC303" i="4"/>
  <c r="AF302" i="4"/>
  <c r="U303" i="28"/>
  <c r="J303" i="28"/>
  <c r="B305" i="4"/>
  <c r="AU306" i="4"/>
  <c r="Y306" i="28"/>
  <c r="B305" i="28"/>
  <c r="F305" i="28" s="1"/>
  <c r="V302" i="28"/>
  <c r="K304" i="28" l="1"/>
  <c r="AD303" i="4"/>
  <c r="AF303" i="4" s="1"/>
  <c r="W304" i="4"/>
  <c r="AP304" i="4" s="1"/>
  <c r="I304" i="28"/>
  <c r="V303" i="28"/>
  <c r="AM303" i="4"/>
  <c r="AN303" i="4" s="1"/>
  <c r="AK305" i="4"/>
  <c r="L305" i="4"/>
  <c r="Y305" i="4" s="1"/>
  <c r="AI305" i="4"/>
  <c r="AH305" i="4"/>
  <c r="AJ305" i="4"/>
  <c r="K305" i="4"/>
  <c r="X305" i="4" s="1"/>
  <c r="J305" i="4"/>
  <c r="AO305" i="4" s="1"/>
  <c r="G305" i="4"/>
  <c r="H305" i="4"/>
  <c r="E305" i="4"/>
  <c r="V305" i="4" s="1"/>
  <c r="AG305" i="4"/>
  <c r="I305" i="4"/>
  <c r="AB305" i="4"/>
  <c r="M305" i="4"/>
  <c r="Z305" i="4" s="1"/>
  <c r="AL305" i="4"/>
  <c r="U304" i="28"/>
  <c r="V304" i="28" s="1"/>
  <c r="J304" i="28"/>
  <c r="N305" i="28"/>
  <c r="O305" i="28"/>
  <c r="P305" i="28"/>
  <c r="M305" i="28"/>
  <c r="E305" i="28"/>
  <c r="W305" i="28" s="1"/>
  <c r="B306" i="28"/>
  <c r="F306" i="28" s="1"/>
  <c r="Y307" i="28"/>
  <c r="L303" i="28"/>
  <c r="Q303" i="28"/>
  <c r="R303" i="28" s="1"/>
  <c r="T303" i="28" s="1"/>
  <c r="B306" i="4"/>
  <c r="AU307" i="4"/>
  <c r="AC304" i="4"/>
  <c r="AE304" i="4"/>
  <c r="W305" i="4" l="1"/>
  <c r="AP305" i="4" s="1"/>
  <c r="AD304" i="4"/>
  <c r="AM304" i="4" s="1"/>
  <c r="AN304" i="4" s="1"/>
  <c r="I305" i="28"/>
  <c r="K305" i="28"/>
  <c r="AE305" i="4"/>
  <c r="B307" i="28"/>
  <c r="F307" i="28" s="1"/>
  <c r="Y308" i="28"/>
  <c r="AC305" i="4"/>
  <c r="AK306" i="4"/>
  <c r="AB306" i="4"/>
  <c r="AJ306" i="4"/>
  <c r="H306" i="4"/>
  <c r="I306" i="4"/>
  <c r="AL306" i="4"/>
  <c r="E306" i="4"/>
  <c r="V306" i="4" s="1"/>
  <c r="AG306" i="4"/>
  <c r="K306" i="4"/>
  <c r="X306" i="4" s="1"/>
  <c r="G306" i="4"/>
  <c r="M306" i="4"/>
  <c r="Z306" i="4" s="1"/>
  <c r="L306" i="4"/>
  <c r="Y306" i="4" s="1"/>
  <c r="J306" i="4"/>
  <c r="AO306" i="4" s="1"/>
  <c r="AI306" i="4"/>
  <c r="AH306" i="4"/>
  <c r="E306" i="28"/>
  <c r="W306" i="28" s="1"/>
  <c r="P306" i="28"/>
  <c r="M306" i="28"/>
  <c r="O306" i="28"/>
  <c r="N306" i="28"/>
  <c r="Q304" i="28"/>
  <c r="R304" i="28" s="1"/>
  <c r="T304" i="28" s="1"/>
  <c r="L304" i="28"/>
  <c r="B307" i="4"/>
  <c r="AU308" i="4"/>
  <c r="J305" i="28"/>
  <c r="U305" i="28"/>
  <c r="W306" i="4" l="1"/>
  <c r="AP306" i="4" s="1"/>
  <c r="AD305" i="4"/>
  <c r="AF305" i="4" s="1"/>
  <c r="AF304" i="4"/>
  <c r="I306" i="28"/>
  <c r="J306" i="28" s="1"/>
  <c r="K306" i="28"/>
  <c r="L305" i="28"/>
  <c r="Q305" i="28"/>
  <c r="R305" i="28" s="1"/>
  <c r="T305" i="28" s="1"/>
  <c r="AE306" i="4"/>
  <c r="V305" i="28"/>
  <c r="AK307" i="4"/>
  <c r="AG307" i="4"/>
  <c r="AI307" i="4"/>
  <c r="M307" i="4"/>
  <c r="Z307" i="4" s="1"/>
  <c r="AH307" i="4"/>
  <c r="L307" i="4"/>
  <c r="Y307" i="4" s="1"/>
  <c r="AJ307" i="4"/>
  <c r="J307" i="4"/>
  <c r="AO307" i="4" s="1"/>
  <c r="E307" i="4"/>
  <c r="V307" i="4" s="1"/>
  <c r="H307" i="4"/>
  <c r="AB307" i="4"/>
  <c r="I307" i="4"/>
  <c r="K307" i="4"/>
  <c r="X307" i="4" s="1"/>
  <c r="AL307" i="4"/>
  <c r="G307" i="4"/>
  <c r="AC306" i="4"/>
  <c r="B308" i="28"/>
  <c r="F308" i="28" s="1"/>
  <c r="Y309" i="28"/>
  <c r="B308" i="4"/>
  <c r="AU309" i="4"/>
  <c r="U306" i="28"/>
  <c r="M307" i="28"/>
  <c r="E307" i="28"/>
  <c r="W307" i="28" s="1"/>
  <c r="O307" i="28"/>
  <c r="P307" i="28"/>
  <c r="N307" i="28"/>
  <c r="AM305" i="4" l="1"/>
  <c r="AN305" i="4" s="1"/>
  <c r="AD306" i="4"/>
  <c r="AM306" i="4" s="1"/>
  <c r="AN306" i="4" s="1"/>
  <c r="W307" i="4"/>
  <c r="AP307" i="4" s="1"/>
  <c r="I307" i="28"/>
  <c r="K307" i="28"/>
  <c r="AE307" i="4"/>
  <c r="AC307" i="4"/>
  <c r="AU310" i="4"/>
  <c r="B309" i="4"/>
  <c r="AK308" i="4"/>
  <c r="M308" i="4"/>
  <c r="Z308" i="4" s="1"/>
  <c r="L308" i="4"/>
  <c r="Y308" i="4" s="1"/>
  <c r="G308" i="4"/>
  <c r="AI308" i="4"/>
  <c r="E308" i="4"/>
  <c r="V308" i="4" s="1"/>
  <c r="AH308" i="4"/>
  <c r="H308" i="4"/>
  <c r="AL308" i="4"/>
  <c r="AG308" i="4"/>
  <c r="J308" i="4"/>
  <c r="AO308" i="4" s="1"/>
  <c r="AB308" i="4"/>
  <c r="K308" i="4"/>
  <c r="X308" i="4" s="1"/>
  <c r="I308" i="4"/>
  <c r="AJ308" i="4"/>
  <c r="V306" i="28"/>
  <c r="Y310" i="28"/>
  <c r="B309" i="28"/>
  <c r="F309" i="28" s="1"/>
  <c r="U307" i="28"/>
  <c r="J307" i="28"/>
  <c r="L306" i="28"/>
  <c r="Q306" i="28"/>
  <c r="R306" i="28" s="1"/>
  <c r="T306" i="28" s="1"/>
  <c r="M308" i="28"/>
  <c r="O308" i="28"/>
  <c r="P308" i="28"/>
  <c r="N308" i="28"/>
  <c r="E308" i="28"/>
  <c r="W308" i="28" s="1"/>
  <c r="AD307" i="4" l="1"/>
  <c r="AM307" i="4" s="1"/>
  <c r="AN307" i="4" s="1"/>
  <c r="W308" i="4"/>
  <c r="AP308" i="4" s="1"/>
  <c r="AF306" i="4"/>
  <c r="AC308" i="4"/>
  <c r="I308" i="28"/>
  <c r="K308" i="28"/>
  <c r="AE308" i="4"/>
  <c r="M309" i="28"/>
  <c r="P309" i="28"/>
  <c r="N309" i="28"/>
  <c r="O309" i="28"/>
  <c r="E309" i="28"/>
  <c r="W309" i="28" s="1"/>
  <c r="V307" i="28"/>
  <c r="U308" i="28"/>
  <c r="J308" i="28"/>
  <c r="Y311" i="28"/>
  <c r="B310" i="28"/>
  <c r="F310" i="28" s="1"/>
  <c r="Q307" i="28"/>
  <c r="R307" i="28" s="1"/>
  <c r="T307" i="28" s="1"/>
  <c r="L307" i="28"/>
  <c r="AK309" i="4"/>
  <c r="G309" i="4"/>
  <c r="H309" i="4"/>
  <c r="I309" i="4"/>
  <c r="M309" i="4"/>
  <c r="Z309" i="4" s="1"/>
  <c r="AB309" i="4"/>
  <c r="AJ309" i="4"/>
  <c r="AI309" i="4"/>
  <c r="AH309" i="4"/>
  <c r="J309" i="4"/>
  <c r="AO309" i="4" s="1"/>
  <c r="K309" i="4"/>
  <c r="X309" i="4" s="1"/>
  <c r="AL309" i="4"/>
  <c r="L309" i="4"/>
  <c r="Y309" i="4" s="1"/>
  <c r="E309" i="4"/>
  <c r="V309" i="4" s="1"/>
  <c r="AG309" i="4"/>
  <c r="B310" i="4"/>
  <c r="AU311" i="4"/>
  <c r="AD308" i="4" l="1"/>
  <c r="W309" i="4"/>
  <c r="AP309" i="4" s="1"/>
  <c r="AF307" i="4"/>
  <c r="I309" i="28"/>
  <c r="J309" i="28" s="1"/>
  <c r="K309" i="28"/>
  <c r="AC309" i="4"/>
  <c r="Y312" i="28"/>
  <c r="B311" i="28"/>
  <c r="F311" i="28" s="1"/>
  <c r="U309" i="28"/>
  <c r="L308" i="28"/>
  <c r="Q308" i="28"/>
  <c r="R308" i="28" s="1"/>
  <c r="T308" i="28" s="1"/>
  <c r="AU312" i="4"/>
  <c r="B311" i="4"/>
  <c r="AK310" i="4"/>
  <c r="AJ310" i="4"/>
  <c r="K310" i="4"/>
  <c r="X310" i="4" s="1"/>
  <c r="H310" i="4"/>
  <c r="M310" i="4"/>
  <c r="Z310" i="4" s="1"/>
  <c r="AH310" i="4"/>
  <c r="E310" i="4"/>
  <c r="V310" i="4" s="1"/>
  <c r="AL310" i="4"/>
  <c r="AB310" i="4"/>
  <c r="J310" i="4"/>
  <c r="AO310" i="4" s="1"/>
  <c r="AG310" i="4"/>
  <c r="L310" i="4"/>
  <c r="Y310" i="4" s="1"/>
  <c r="I310" i="4"/>
  <c r="G310" i="4"/>
  <c r="AI310" i="4"/>
  <c r="AE309" i="4"/>
  <c r="M310" i="28"/>
  <c r="N310" i="28"/>
  <c r="O310" i="28"/>
  <c r="P310" i="28"/>
  <c r="E310" i="28"/>
  <c r="W310" i="28" s="1"/>
  <c r="V308" i="28"/>
  <c r="AF308" i="4" l="1"/>
  <c r="AM308" i="4"/>
  <c r="AN308" i="4" s="1"/>
  <c r="W310" i="4"/>
  <c r="AP310" i="4" s="1"/>
  <c r="AD309" i="4"/>
  <c r="V309" i="28"/>
  <c r="I310" i="28"/>
  <c r="K310" i="28"/>
  <c r="AE310" i="4"/>
  <c r="AK311" i="4"/>
  <c r="M311" i="4"/>
  <c r="Z311" i="4" s="1"/>
  <c r="AL311" i="4"/>
  <c r="I311" i="4"/>
  <c r="H311" i="4"/>
  <c r="E311" i="4"/>
  <c r="V311" i="4" s="1"/>
  <c r="AJ311" i="4"/>
  <c r="AH311" i="4"/>
  <c r="AB311" i="4"/>
  <c r="AG311" i="4"/>
  <c r="AI311" i="4"/>
  <c r="J311" i="4"/>
  <c r="AO311" i="4" s="1"/>
  <c r="K311" i="4"/>
  <c r="X311" i="4" s="1"/>
  <c r="L311" i="4"/>
  <c r="Y311" i="4" s="1"/>
  <c r="G311" i="4"/>
  <c r="Y313" i="28"/>
  <c r="B312" i="28"/>
  <c r="F312" i="28" s="1"/>
  <c r="AC310" i="4"/>
  <c r="B312" i="4"/>
  <c r="AU313" i="4"/>
  <c r="Q309" i="28"/>
  <c r="R309" i="28" s="1"/>
  <c r="T309" i="28" s="1"/>
  <c r="L309" i="28"/>
  <c r="J310" i="28"/>
  <c r="U310" i="28"/>
  <c r="E311" i="28"/>
  <c r="W311" i="28" s="1"/>
  <c r="P311" i="28"/>
  <c r="O311" i="28"/>
  <c r="M311" i="28"/>
  <c r="N311" i="28"/>
  <c r="AD310" i="4" l="1"/>
  <c r="AF310" i="4" s="1"/>
  <c r="W311" i="4"/>
  <c r="AP311" i="4" s="1"/>
  <c r="V310" i="28"/>
  <c r="I311" i="28"/>
  <c r="J311" i="28" s="1"/>
  <c r="K311" i="28"/>
  <c r="U311" i="28"/>
  <c r="Q310" i="28"/>
  <c r="R310" i="28" s="1"/>
  <c r="T310" i="28" s="1"/>
  <c r="L310" i="28"/>
  <c r="B313" i="4"/>
  <c r="AU314" i="4"/>
  <c r="N312" i="28"/>
  <c r="P312" i="28"/>
  <c r="O312" i="28"/>
  <c r="M312" i="28"/>
  <c r="E312" i="28"/>
  <c r="W312" i="28" s="1"/>
  <c r="AC311" i="4"/>
  <c r="AF309" i="4"/>
  <c r="AM309" i="4"/>
  <c r="AN309" i="4" s="1"/>
  <c r="AK312" i="4"/>
  <c r="K312" i="4"/>
  <c r="X312" i="4" s="1"/>
  <c r="AI312" i="4"/>
  <c r="AL312" i="4"/>
  <c r="L312" i="4"/>
  <c r="Y312" i="4" s="1"/>
  <c r="AB312" i="4"/>
  <c r="M312" i="4"/>
  <c r="Z312" i="4" s="1"/>
  <c r="E312" i="4"/>
  <c r="V312" i="4" s="1"/>
  <c r="I312" i="4"/>
  <c r="AJ312" i="4"/>
  <c r="AG312" i="4"/>
  <c r="AH312" i="4"/>
  <c r="H312" i="4"/>
  <c r="G312" i="4"/>
  <c r="J312" i="4"/>
  <c r="AO312" i="4" s="1"/>
  <c r="B313" i="28"/>
  <c r="F313" i="28" s="1"/>
  <c r="Y314" i="28"/>
  <c r="AE311" i="4"/>
  <c r="V311" i="28" l="1"/>
  <c r="AD311" i="4"/>
  <c r="AM311" i="4" s="1"/>
  <c r="AN311" i="4" s="1"/>
  <c r="W312" i="4"/>
  <c r="AP312" i="4" s="1"/>
  <c r="AM310" i="4"/>
  <c r="AN310" i="4" s="1"/>
  <c r="I312" i="28"/>
  <c r="K312" i="28"/>
  <c r="E313" i="28"/>
  <c r="W313" i="28" s="1"/>
  <c r="O313" i="28"/>
  <c r="M313" i="28"/>
  <c r="N313" i="28"/>
  <c r="P313" i="28"/>
  <c r="AE312" i="4"/>
  <c r="AK313" i="4"/>
  <c r="AH313" i="4"/>
  <c r="I313" i="4"/>
  <c r="AB313" i="4"/>
  <c r="M313" i="4"/>
  <c r="Z313" i="4" s="1"/>
  <c r="G313" i="4"/>
  <c r="J313" i="4"/>
  <c r="AO313" i="4" s="1"/>
  <c r="AG313" i="4"/>
  <c r="AI313" i="4"/>
  <c r="AL313" i="4"/>
  <c r="H313" i="4"/>
  <c r="K313" i="4"/>
  <c r="X313" i="4" s="1"/>
  <c r="L313" i="4"/>
  <c r="Y313" i="4" s="1"/>
  <c r="AJ313" i="4"/>
  <c r="E313" i="4"/>
  <c r="V313" i="4" s="1"/>
  <c r="J312" i="28"/>
  <c r="U312" i="28"/>
  <c r="AC312" i="4"/>
  <c r="B314" i="28"/>
  <c r="F314" i="28" s="1"/>
  <c r="Y315" i="28"/>
  <c r="B314" i="4"/>
  <c r="AU315" i="4"/>
  <c r="Q311" i="28"/>
  <c r="R311" i="28" s="1"/>
  <c r="T311" i="28" s="1"/>
  <c r="L311" i="28"/>
  <c r="W313" i="4" l="1"/>
  <c r="AP313" i="4" s="1"/>
  <c r="AD312" i="4"/>
  <c r="AF311" i="4"/>
  <c r="I313" i="28"/>
  <c r="K313" i="28"/>
  <c r="AF312" i="4"/>
  <c r="AE313" i="4"/>
  <c r="B315" i="28"/>
  <c r="F315" i="28" s="1"/>
  <c r="Y316" i="28"/>
  <c r="N314" i="28"/>
  <c r="E314" i="28"/>
  <c r="W314" i="28" s="1"/>
  <c r="O314" i="28"/>
  <c r="M314" i="28"/>
  <c r="P314" i="28"/>
  <c r="B315" i="4"/>
  <c r="AU316" i="4"/>
  <c r="Q312" i="28"/>
  <c r="R312" i="28" s="1"/>
  <c r="T312" i="28" s="1"/>
  <c r="L312" i="28"/>
  <c r="AC313" i="4"/>
  <c r="V312" i="28"/>
  <c r="AK314" i="4"/>
  <c r="AI314" i="4"/>
  <c r="H314" i="4"/>
  <c r="AH314" i="4"/>
  <c r="I314" i="4"/>
  <c r="AJ314" i="4"/>
  <c r="AL314" i="4"/>
  <c r="AB314" i="4"/>
  <c r="L314" i="4"/>
  <c r="Y314" i="4" s="1"/>
  <c r="E314" i="4"/>
  <c r="V314" i="4" s="1"/>
  <c r="K314" i="4"/>
  <c r="X314" i="4" s="1"/>
  <c r="M314" i="4"/>
  <c r="Z314" i="4" s="1"/>
  <c r="J314" i="4"/>
  <c r="AO314" i="4" s="1"/>
  <c r="AG314" i="4"/>
  <c r="G314" i="4"/>
  <c r="J313" i="28"/>
  <c r="U313" i="28"/>
  <c r="K314" i="28" l="1"/>
  <c r="AD313" i="4"/>
  <c r="AF313" i="4" s="1"/>
  <c r="W314" i="4"/>
  <c r="AP314" i="4" s="1"/>
  <c r="I314" i="28"/>
  <c r="AM312" i="4"/>
  <c r="AN312" i="4" s="1"/>
  <c r="Q313" i="28"/>
  <c r="R313" i="28" s="1"/>
  <c r="T313" i="28" s="1"/>
  <c r="L313" i="28"/>
  <c r="V313" i="28"/>
  <c r="B316" i="4"/>
  <c r="AU317" i="4"/>
  <c r="AC314" i="4"/>
  <c r="AE314" i="4"/>
  <c r="AK315" i="4"/>
  <c r="H315" i="4"/>
  <c r="AB315" i="4"/>
  <c r="E315" i="4"/>
  <c r="V315" i="4" s="1"/>
  <c r="I315" i="4"/>
  <c r="AG315" i="4"/>
  <c r="L315" i="4"/>
  <c r="Y315" i="4" s="1"/>
  <c r="AH315" i="4"/>
  <c r="M315" i="4"/>
  <c r="Z315" i="4" s="1"/>
  <c r="AI315" i="4"/>
  <c r="AJ315" i="4"/>
  <c r="J315" i="4"/>
  <c r="AO315" i="4" s="1"/>
  <c r="K315" i="4"/>
  <c r="AL315" i="4"/>
  <c r="G315" i="4"/>
  <c r="J314" i="28"/>
  <c r="U314" i="28"/>
  <c r="V314" i="28" s="1"/>
  <c r="Y317" i="28"/>
  <c r="B316" i="28"/>
  <c r="F316" i="28" s="1"/>
  <c r="P315" i="28"/>
  <c r="E315" i="28"/>
  <c r="W315" i="28" s="1"/>
  <c r="M315" i="28"/>
  <c r="O315" i="28"/>
  <c r="N315" i="28"/>
  <c r="AM313" i="4" l="1"/>
  <c r="AN313" i="4" s="1"/>
  <c r="W315" i="4"/>
  <c r="AP315" i="4" s="1"/>
  <c r="AD314" i="4"/>
  <c r="AF314" i="4" s="1"/>
  <c r="X315" i="4"/>
  <c r="AC315" i="4" s="1"/>
  <c r="I315" i="28"/>
  <c r="J315" i="28" s="1"/>
  <c r="K315" i="28"/>
  <c r="AE315" i="4"/>
  <c r="Y318" i="28"/>
  <c r="B317" i="28"/>
  <c r="F317" i="28" s="1"/>
  <c r="B317" i="4"/>
  <c r="AU318" i="4"/>
  <c r="U315" i="28"/>
  <c r="L314" i="28"/>
  <c r="Q314" i="28"/>
  <c r="R314" i="28" s="1"/>
  <c r="T314" i="28" s="1"/>
  <c r="AK316" i="4"/>
  <c r="AI316" i="4"/>
  <c r="K316" i="4"/>
  <c r="X316" i="4" s="1"/>
  <c r="I316" i="4"/>
  <c r="AB316" i="4"/>
  <c r="H316" i="4"/>
  <c r="AH316" i="4"/>
  <c r="G316" i="4"/>
  <c r="M316" i="4"/>
  <c r="Z316" i="4" s="1"/>
  <c r="AL316" i="4"/>
  <c r="L316" i="4"/>
  <c r="Y316" i="4" s="1"/>
  <c r="J316" i="4"/>
  <c r="AO316" i="4" s="1"/>
  <c r="E316" i="4"/>
  <c r="V316" i="4" s="1"/>
  <c r="AJ316" i="4"/>
  <c r="AG316" i="4"/>
  <c r="V315" i="28"/>
  <c r="N316" i="28"/>
  <c r="P316" i="28"/>
  <c r="E316" i="28"/>
  <c r="W316" i="28" s="1"/>
  <c r="M316" i="28"/>
  <c r="O316" i="28"/>
  <c r="K316" i="28" l="1"/>
  <c r="AM314" i="4"/>
  <c r="AN314" i="4" s="1"/>
  <c r="AD315" i="4"/>
  <c r="AM315" i="4" s="1"/>
  <c r="AN315" i="4" s="1"/>
  <c r="W316" i="4"/>
  <c r="AP316" i="4" s="1"/>
  <c r="I316" i="28"/>
  <c r="J316" i="28" s="1"/>
  <c r="B318" i="4"/>
  <c r="AU319" i="4"/>
  <c r="U316" i="28"/>
  <c r="AK317" i="4"/>
  <c r="L317" i="4"/>
  <c r="Y317" i="4" s="1"/>
  <c r="K317" i="4"/>
  <c r="X317" i="4" s="1"/>
  <c r="M317" i="4"/>
  <c r="Z317" i="4" s="1"/>
  <c r="AL317" i="4"/>
  <c r="J317" i="4"/>
  <c r="AO317" i="4" s="1"/>
  <c r="H317" i="4"/>
  <c r="AJ317" i="4"/>
  <c r="E317" i="4"/>
  <c r="V317" i="4" s="1"/>
  <c r="I317" i="4"/>
  <c r="AB317" i="4"/>
  <c r="AG317" i="4"/>
  <c r="AI317" i="4"/>
  <c r="AH317" i="4"/>
  <c r="G317" i="4"/>
  <c r="AC316" i="4"/>
  <c r="Q315" i="28"/>
  <c r="R315" i="28" s="1"/>
  <c r="T315" i="28" s="1"/>
  <c r="L315" i="28"/>
  <c r="N317" i="28"/>
  <c r="P317" i="28"/>
  <c r="E317" i="28"/>
  <c r="W317" i="28" s="1"/>
  <c r="M317" i="28"/>
  <c r="O317" i="28"/>
  <c r="AE316" i="4"/>
  <c r="Y319" i="28"/>
  <c r="B318" i="28"/>
  <c r="F318" i="28" s="1"/>
  <c r="W317" i="4" l="1"/>
  <c r="AP317" i="4" s="1"/>
  <c r="AD316" i="4"/>
  <c r="AF315" i="4"/>
  <c r="I317" i="28"/>
  <c r="J317" i="28" s="1"/>
  <c r="K317" i="28"/>
  <c r="V316" i="28"/>
  <c r="Q316" i="28"/>
  <c r="R316" i="28" s="1"/>
  <c r="T316" i="28" s="1"/>
  <c r="L316" i="28"/>
  <c r="B319" i="28"/>
  <c r="F319" i="28" s="1"/>
  <c r="Y320" i="28"/>
  <c r="U317" i="28"/>
  <c r="AC317" i="4"/>
  <c r="AU320" i="4"/>
  <c r="B319" i="4"/>
  <c r="N318" i="28"/>
  <c r="O318" i="28"/>
  <c r="P318" i="28"/>
  <c r="M318" i="28"/>
  <c r="E318" i="28"/>
  <c r="W318" i="28" s="1"/>
  <c r="V317" i="28"/>
  <c r="AK318" i="4"/>
  <c r="AJ318" i="4"/>
  <c r="AB318" i="4"/>
  <c r="I318" i="4"/>
  <c r="AG318" i="4"/>
  <c r="AL318" i="4"/>
  <c r="J318" i="4"/>
  <c r="AO318" i="4" s="1"/>
  <c r="E318" i="4"/>
  <c r="V318" i="4" s="1"/>
  <c r="L318" i="4"/>
  <c r="Y318" i="4" s="1"/>
  <c r="AI318" i="4"/>
  <c r="M318" i="4"/>
  <c r="Z318" i="4" s="1"/>
  <c r="K318" i="4"/>
  <c r="X318" i="4" s="1"/>
  <c r="G318" i="4"/>
  <c r="AH318" i="4"/>
  <c r="H318" i="4"/>
  <c r="AE317" i="4"/>
  <c r="W318" i="4" l="1"/>
  <c r="AP318" i="4" s="1"/>
  <c r="AD317" i="4"/>
  <c r="AM317" i="4" s="1"/>
  <c r="AN317" i="4" s="1"/>
  <c r="I318" i="28"/>
  <c r="J318" i="28" s="1"/>
  <c r="K318" i="28"/>
  <c r="AC318" i="4"/>
  <c r="AF316" i="4"/>
  <c r="AM316" i="4"/>
  <c r="AN316" i="4" s="1"/>
  <c r="U318" i="28"/>
  <c r="AU321" i="4"/>
  <c r="B320" i="4"/>
  <c r="Y321" i="28"/>
  <c r="B320" i="28"/>
  <c r="F320" i="28" s="1"/>
  <c r="AE318" i="4"/>
  <c r="O319" i="28"/>
  <c r="N319" i="28"/>
  <c r="P319" i="28"/>
  <c r="M319" i="28"/>
  <c r="E319" i="28"/>
  <c r="W319" i="28" s="1"/>
  <c r="V318" i="28"/>
  <c r="AK319" i="4"/>
  <c r="E319" i="4"/>
  <c r="V319" i="4" s="1"/>
  <c r="L319" i="4"/>
  <c r="Y319" i="4" s="1"/>
  <c r="AL319" i="4"/>
  <c r="AH319" i="4"/>
  <c r="I319" i="4"/>
  <c r="AI319" i="4"/>
  <c r="G319" i="4"/>
  <c r="H319" i="4"/>
  <c r="AB319" i="4"/>
  <c r="AG319" i="4"/>
  <c r="AJ319" i="4"/>
  <c r="J319" i="4"/>
  <c r="AO319" i="4" s="1"/>
  <c r="K319" i="4"/>
  <c r="X319" i="4" s="1"/>
  <c r="M319" i="4"/>
  <c r="Z319" i="4" s="1"/>
  <c r="Q317" i="28"/>
  <c r="R317" i="28" s="1"/>
  <c r="T317" i="28" s="1"/>
  <c r="L317" i="28"/>
  <c r="AD318" i="4" l="1"/>
  <c r="AF317" i="4"/>
  <c r="K319" i="28"/>
  <c r="W319" i="4"/>
  <c r="AP319" i="4" s="1"/>
  <c r="I319" i="28"/>
  <c r="B321" i="28"/>
  <c r="F321" i="28" s="1"/>
  <c r="Y322" i="28"/>
  <c r="L318" i="28"/>
  <c r="Q318" i="28"/>
  <c r="R318" i="28" s="1"/>
  <c r="T318" i="28" s="1"/>
  <c r="AK320" i="4"/>
  <c r="H320" i="4"/>
  <c r="AL320" i="4"/>
  <c r="I320" i="4"/>
  <c r="E320" i="4"/>
  <c r="V320" i="4" s="1"/>
  <c r="AG320" i="4"/>
  <c r="M320" i="4"/>
  <c r="Z320" i="4" s="1"/>
  <c r="G320" i="4"/>
  <c r="L320" i="4"/>
  <c r="Y320" i="4" s="1"/>
  <c r="AJ320" i="4"/>
  <c r="AH320" i="4"/>
  <c r="AB320" i="4"/>
  <c r="K320" i="4"/>
  <c r="J320" i="4"/>
  <c r="AO320" i="4" s="1"/>
  <c r="AE319" i="4"/>
  <c r="AM318" i="4"/>
  <c r="AN318" i="4" s="1"/>
  <c r="AF318" i="4"/>
  <c r="B321" i="4"/>
  <c r="AU322" i="4"/>
  <c r="AC319" i="4"/>
  <c r="U319" i="28"/>
  <c r="V319" i="28" s="1"/>
  <c r="J319" i="28"/>
  <c r="N320" i="28"/>
  <c r="E320" i="28"/>
  <c r="W320" i="28" s="1"/>
  <c r="M320" i="28"/>
  <c r="P320" i="28"/>
  <c r="O320" i="28"/>
  <c r="AD319" i="4" l="1"/>
  <c r="AF319" i="4" s="1"/>
  <c r="X320" i="4"/>
  <c r="AC320" i="4" s="1"/>
  <c r="W320" i="4"/>
  <c r="AP320" i="4" s="1"/>
  <c r="K320" i="28"/>
  <c r="I320" i="28"/>
  <c r="AK321" i="4"/>
  <c r="AL321" i="4"/>
  <c r="E321" i="4"/>
  <c r="V321" i="4" s="1"/>
  <c r="AI321" i="4"/>
  <c r="AH321" i="4"/>
  <c r="L321" i="4"/>
  <c r="Y321" i="4" s="1"/>
  <c r="M321" i="4"/>
  <c r="Z321" i="4" s="1"/>
  <c r="AJ321" i="4"/>
  <c r="AG321" i="4"/>
  <c r="J321" i="4"/>
  <c r="AO321" i="4" s="1"/>
  <c r="G321" i="4"/>
  <c r="H321" i="4"/>
  <c r="K321" i="4"/>
  <c r="X321" i="4" s="1"/>
  <c r="AB321" i="4"/>
  <c r="I321" i="4"/>
  <c r="U320" i="28"/>
  <c r="J320" i="28"/>
  <c r="AM319" i="4"/>
  <c r="AN319" i="4" s="1"/>
  <c r="B322" i="28"/>
  <c r="F322" i="28" s="1"/>
  <c r="Y323" i="28"/>
  <c r="N321" i="28"/>
  <c r="P321" i="28"/>
  <c r="M321" i="28"/>
  <c r="O321" i="28"/>
  <c r="E321" i="28"/>
  <c r="W321" i="28" s="1"/>
  <c r="Q319" i="28"/>
  <c r="R319" i="28" s="1"/>
  <c r="T319" i="28" s="1"/>
  <c r="L319" i="28"/>
  <c r="B322" i="4"/>
  <c r="AU323" i="4"/>
  <c r="AD320" i="4" l="1"/>
  <c r="W321" i="4"/>
  <c r="AP321" i="4" s="1"/>
  <c r="K321" i="28"/>
  <c r="AC321" i="4"/>
  <c r="I321" i="28"/>
  <c r="V320" i="28"/>
  <c r="B323" i="4"/>
  <c r="AU324" i="4"/>
  <c r="AK322" i="4"/>
  <c r="AB322" i="4"/>
  <c r="AI322" i="4"/>
  <c r="AJ322" i="4"/>
  <c r="J322" i="4"/>
  <c r="AO322" i="4" s="1"/>
  <c r="L322" i="4"/>
  <c r="Y322" i="4" s="1"/>
  <c r="I322" i="4"/>
  <c r="E322" i="4"/>
  <c r="V322" i="4" s="1"/>
  <c r="M322" i="4"/>
  <c r="Z322" i="4" s="1"/>
  <c r="G322" i="4"/>
  <c r="AH322" i="4"/>
  <c r="AG322" i="4"/>
  <c r="K322" i="4"/>
  <c r="H322" i="4"/>
  <c r="AL322" i="4"/>
  <c r="J321" i="28"/>
  <c r="U321" i="28"/>
  <c r="B323" i="28"/>
  <c r="F323" i="28" s="1"/>
  <c r="Y324" i="28"/>
  <c r="AE321" i="4"/>
  <c r="M322" i="28"/>
  <c r="E322" i="28"/>
  <c r="W322" i="28" s="1"/>
  <c r="N322" i="28"/>
  <c r="O322" i="28"/>
  <c r="P322" i="28"/>
  <c r="L320" i="28"/>
  <c r="Q320" i="28"/>
  <c r="R320" i="28" s="1"/>
  <c r="T320" i="28" s="1"/>
  <c r="K322" i="28" l="1"/>
  <c r="AD321" i="4"/>
  <c r="AM321" i="4" s="1"/>
  <c r="AN321" i="4" s="1"/>
  <c r="W322" i="4"/>
  <c r="AP322" i="4" s="1"/>
  <c r="X322" i="4"/>
  <c r="AC322" i="4" s="1"/>
  <c r="I322" i="28"/>
  <c r="AE322" i="4"/>
  <c r="V321" i="28"/>
  <c r="J322" i="28"/>
  <c r="U322" i="28"/>
  <c r="Y325" i="28"/>
  <c r="B324" i="28"/>
  <c r="F324" i="28" s="1"/>
  <c r="L321" i="28"/>
  <c r="Q321" i="28"/>
  <c r="R321" i="28" s="1"/>
  <c r="T321" i="28" s="1"/>
  <c r="E323" i="28"/>
  <c r="W323" i="28" s="1"/>
  <c r="P323" i="28"/>
  <c r="M323" i="28"/>
  <c r="O323" i="28"/>
  <c r="N323" i="28"/>
  <c r="AU325" i="4"/>
  <c r="B324" i="4"/>
  <c r="AK323" i="4"/>
  <c r="I323" i="4"/>
  <c r="L323" i="4"/>
  <c r="Y323" i="4" s="1"/>
  <c r="AJ323" i="4"/>
  <c r="AB323" i="4"/>
  <c r="H323" i="4"/>
  <c r="AI323" i="4"/>
  <c r="AL323" i="4"/>
  <c r="E323" i="4"/>
  <c r="V323" i="4" s="1"/>
  <c r="M323" i="4"/>
  <c r="Z323" i="4" s="1"/>
  <c r="G323" i="4"/>
  <c r="AG323" i="4"/>
  <c r="K323" i="4"/>
  <c r="X323" i="4" s="1"/>
  <c r="AH323" i="4"/>
  <c r="J323" i="4"/>
  <c r="AO323" i="4" s="1"/>
  <c r="AD322" i="4" l="1"/>
  <c r="W323" i="4"/>
  <c r="AP323" i="4" s="1"/>
  <c r="I323" i="28"/>
  <c r="AF321" i="4"/>
  <c r="K323" i="28"/>
  <c r="AE323" i="4"/>
  <c r="AC323" i="4"/>
  <c r="AK324" i="4"/>
  <c r="M324" i="4"/>
  <c r="Z324" i="4" s="1"/>
  <c r="AL324" i="4"/>
  <c r="K324" i="4"/>
  <c r="X324" i="4" s="1"/>
  <c r="G324" i="4"/>
  <c r="AB324" i="4"/>
  <c r="AI324" i="4"/>
  <c r="AH324" i="4"/>
  <c r="AG324" i="4"/>
  <c r="AJ324" i="4"/>
  <c r="I324" i="4"/>
  <c r="E324" i="4"/>
  <c r="V324" i="4" s="1"/>
  <c r="H324" i="4"/>
  <c r="J324" i="4"/>
  <c r="AO324" i="4" s="1"/>
  <c r="L324" i="4"/>
  <c r="Y324" i="4" s="1"/>
  <c r="B325" i="28"/>
  <c r="F325" i="28" s="1"/>
  <c r="Y326" i="28"/>
  <c r="B325" i="4"/>
  <c r="AU326" i="4"/>
  <c r="J323" i="28"/>
  <c r="U323" i="28"/>
  <c r="V322" i="28"/>
  <c r="Q322" i="28"/>
  <c r="R322" i="28" s="1"/>
  <c r="T322" i="28" s="1"/>
  <c r="L322" i="28"/>
  <c r="E324" i="28"/>
  <c r="W324" i="28" s="1"/>
  <c r="P324" i="28"/>
  <c r="N324" i="28"/>
  <c r="O324" i="28"/>
  <c r="M324" i="28"/>
  <c r="AD323" i="4" l="1"/>
  <c r="AM323" i="4" s="1"/>
  <c r="AN323" i="4" s="1"/>
  <c r="W324" i="4"/>
  <c r="AP324" i="4" s="1"/>
  <c r="I324" i="28"/>
  <c r="K324" i="28"/>
  <c r="AF323" i="4"/>
  <c r="V323" i="28"/>
  <c r="AC324" i="4"/>
  <c r="Q323" i="28"/>
  <c r="R323" i="28" s="1"/>
  <c r="T323" i="28" s="1"/>
  <c r="L323" i="28"/>
  <c r="Y327" i="28"/>
  <c r="B326" i="28"/>
  <c r="F326" i="28" s="1"/>
  <c r="AE324" i="4"/>
  <c r="AU327" i="4"/>
  <c r="B326" i="4"/>
  <c r="M325" i="28"/>
  <c r="N325" i="28"/>
  <c r="E325" i="28"/>
  <c r="W325" i="28" s="1"/>
  <c r="O325" i="28"/>
  <c r="P325" i="28"/>
  <c r="K325" i="28" s="1"/>
  <c r="J324" i="28"/>
  <c r="U324" i="28"/>
  <c r="AK325" i="4"/>
  <c r="E325" i="4"/>
  <c r="V325" i="4" s="1"/>
  <c r="G325" i="4"/>
  <c r="AG325" i="4"/>
  <c r="H325" i="4"/>
  <c r="AJ325" i="4"/>
  <c r="M325" i="4"/>
  <c r="Z325" i="4" s="1"/>
  <c r="AL325" i="4"/>
  <c r="AH325" i="4"/>
  <c r="K325" i="4"/>
  <c r="X325" i="4" s="1"/>
  <c r="I325" i="4"/>
  <c r="J325" i="4"/>
  <c r="AO325" i="4" s="1"/>
  <c r="AI325" i="4"/>
  <c r="AB325" i="4"/>
  <c r="L325" i="4"/>
  <c r="Y325" i="4" s="1"/>
  <c r="AF322" i="4"/>
  <c r="AM322" i="4"/>
  <c r="AN322" i="4" s="1"/>
  <c r="AD324" i="4" l="1"/>
  <c r="W325" i="4"/>
  <c r="AP325" i="4" s="1"/>
  <c r="I325" i="28"/>
  <c r="AC325" i="4"/>
  <c r="AU328" i="4"/>
  <c r="B327" i="4"/>
  <c r="N326" i="28"/>
  <c r="O326" i="28"/>
  <c r="P326" i="28"/>
  <c r="M326" i="28"/>
  <c r="E326" i="28"/>
  <c r="W326" i="28" s="1"/>
  <c r="V324" i="28"/>
  <c r="AE325" i="4"/>
  <c r="U325" i="28"/>
  <c r="J325" i="28"/>
  <c r="L324" i="28"/>
  <c r="Q324" i="28"/>
  <c r="R324" i="28" s="1"/>
  <c r="T324" i="28" s="1"/>
  <c r="AK326" i="4"/>
  <c r="I326" i="4"/>
  <c r="E326" i="4"/>
  <c r="V326" i="4" s="1"/>
  <c r="AH326" i="4"/>
  <c r="G326" i="4"/>
  <c r="AI326" i="4"/>
  <c r="K326" i="4"/>
  <c r="X326" i="4" s="1"/>
  <c r="L326" i="4"/>
  <c r="Y326" i="4" s="1"/>
  <c r="AB326" i="4"/>
  <c r="AJ326" i="4"/>
  <c r="AG326" i="4"/>
  <c r="AL326" i="4"/>
  <c r="M326" i="4"/>
  <c r="Z326" i="4" s="1"/>
  <c r="J326" i="4"/>
  <c r="AO326" i="4" s="1"/>
  <c r="H326" i="4"/>
  <c r="B327" i="28"/>
  <c r="F327" i="28" s="1"/>
  <c r="Y328" i="28"/>
  <c r="AD325" i="4" l="1"/>
  <c r="W326" i="4"/>
  <c r="AP326" i="4" s="1"/>
  <c r="I326" i="28"/>
  <c r="AE326" i="4"/>
  <c r="K326" i="28"/>
  <c r="AC326" i="4"/>
  <c r="B328" i="4"/>
  <c r="AU329" i="4"/>
  <c r="V325" i="28"/>
  <c r="AF324" i="4"/>
  <c r="AM324" i="4"/>
  <c r="AN324" i="4" s="1"/>
  <c r="N327" i="28"/>
  <c r="E327" i="28"/>
  <c r="W327" i="28" s="1"/>
  <c r="O327" i="28"/>
  <c r="P327" i="28"/>
  <c r="M327" i="28"/>
  <c r="Y329" i="28"/>
  <c r="B328" i="28"/>
  <c r="F328" i="28" s="1"/>
  <c r="L325" i="28"/>
  <c r="Q325" i="28"/>
  <c r="R325" i="28" s="1"/>
  <c r="T325" i="28" s="1"/>
  <c r="J326" i="28"/>
  <c r="U326" i="28"/>
  <c r="AK327" i="4"/>
  <c r="AL327" i="4"/>
  <c r="G327" i="4"/>
  <c r="AH327" i="4"/>
  <c r="I327" i="4"/>
  <c r="E327" i="4"/>
  <c r="V327" i="4" s="1"/>
  <c r="AG327" i="4"/>
  <c r="AI327" i="4"/>
  <c r="AJ327" i="4"/>
  <c r="J327" i="4"/>
  <c r="AO327" i="4" s="1"/>
  <c r="AB327" i="4"/>
  <c r="M327" i="4"/>
  <c r="Z327" i="4" s="1"/>
  <c r="H327" i="4"/>
  <c r="K327" i="4"/>
  <c r="X327" i="4" s="1"/>
  <c r="L327" i="4"/>
  <c r="Y327" i="4" s="1"/>
  <c r="AD326" i="4" l="1"/>
  <c r="W327" i="4"/>
  <c r="AP327" i="4" s="1"/>
  <c r="I327" i="28"/>
  <c r="K327" i="28"/>
  <c r="V326" i="28"/>
  <c r="AC327" i="4"/>
  <c r="AE327" i="4"/>
  <c r="B329" i="28"/>
  <c r="F329" i="28" s="1"/>
  <c r="Y330" i="28"/>
  <c r="AF325" i="4"/>
  <c r="AM325" i="4"/>
  <c r="AN325" i="4" s="1"/>
  <c r="AU330" i="4"/>
  <c r="B329" i="4"/>
  <c r="U327" i="28"/>
  <c r="J327" i="28"/>
  <c r="AK328" i="4"/>
  <c r="AI328" i="4"/>
  <c r="M328" i="4"/>
  <c r="Z328" i="4" s="1"/>
  <c r="AL328" i="4"/>
  <c r="E328" i="4"/>
  <c r="V328" i="4" s="1"/>
  <c r="G328" i="4"/>
  <c r="I328" i="4"/>
  <c r="J328" i="4"/>
  <c r="AO328" i="4" s="1"/>
  <c r="K328" i="4"/>
  <c r="X328" i="4" s="1"/>
  <c r="L328" i="4"/>
  <c r="Y328" i="4" s="1"/>
  <c r="AG328" i="4"/>
  <c r="AB328" i="4"/>
  <c r="H328" i="4"/>
  <c r="AH328" i="4"/>
  <c r="AJ328" i="4"/>
  <c r="L326" i="28"/>
  <c r="Q326" i="28"/>
  <c r="R326" i="28" s="1"/>
  <c r="T326" i="28" s="1"/>
  <c r="M328" i="28"/>
  <c r="E328" i="28"/>
  <c r="W328" i="28" s="1"/>
  <c r="N328" i="28"/>
  <c r="P328" i="28"/>
  <c r="O328" i="28"/>
  <c r="V327" i="28" l="1"/>
  <c r="W328" i="4"/>
  <c r="AP328" i="4" s="1"/>
  <c r="AD327" i="4"/>
  <c r="I328" i="28"/>
  <c r="K328" i="28"/>
  <c r="AC328" i="4"/>
  <c r="U328" i="28"/>
  <c r="J328" i="28"/>
  <c r="AK329" i="4"/>
  <c r="AJ329" i="4"/>
  <c r="L329" i="4"/>
  <c r="Y329" i="4" s="1"/>
  <c r="M329" i="4"/>
  <c r="Z329" i="4" s="1"/>
  <c r="AG329" i="4"/>
  <c r="J329" i="4"/>
  <c r="AO329" i="4" s="1"/>
  <c r="AI329" i="4"/>
  <c r="H329" i="4"/>
  <c r="I329" i="4"/>
  <c r="AB329" i="4"/>
  <c r="AL329" i="4"/>
  <c r="K329" i="4"/>
  <c r="X329" i="4" s="1"/>
  <c r="AH329" i="4"/>
  <c r="G329" i="4"/>
  <c r="E329" i="4"/>
  <c r="V329" i="4" s="1"/>
  <c r="AM326" i="4"/>
  <c r="AN326" i="4" s="1"/>
  <c r="AF326" i="4"/>
  <c r="AE328" i="4"/>
  <c r="L327" i="28"/>
  <c r="Q327" i="28"/>
  <c r="R327" i="28" s="1"/>
  <c r="T327" i="28" s="1"/>
  <c r="AU331" i="4"/>
  <c r="B330" i="4"/>
  <c r="B330" i="28"/>
  <c r="F330" i="28" s="1"/>
  <c r="Y331" i="28"/>
  <c r="E329" i="28"/>
  <c r="W329" i="28" s="1"/>
  <c r="P329" i="28"/>
  <c r="M329" i="28"/>
  <c r="O329" i="28"/>
  <c r="N329" i="28"/>
  <c r="AD328" i="4" l="1"/>
  <c r="AM328" i="4" s="1"/>
  <c r="AN328" i="4" s="1"/>
  <c r="V328" i="28"/>
  <c r="W329" i="4"/>
  <c r="AP329" i="4" s="1"/>
  <c r="I329" i="28"/>
  <c r="K329" i="28"/>
  <c r="P330" i="28"/>
  <c r="N330" i="28"/>
  <c r="E330" i="28"/>
  <c r="W330" i="28" s="1"/>
  <c r="O330" i="28"/>
  <c r="M330" i="28"/>
  <c r="AK330" i="4"/>
  <c r="AH330" i="4"/>
  <c r="M330" i="4"/>
  <c r="Z330" i="4" s="1"/>
  <c r="AB330" i="4"/>
  <c r="AL330" i="4"/>
  <c r="E330" i="4"/>
  <c r="V330" i="4" s="1"/>
  <c r="L330" i="4"/>
  <c r="Y330" i="4" s="1"/>
  <c r="H330" i="4"/>
  <c r="AI330" i="4"/>
  <c r="AJ330" i="4"/>
  <c r="G330" i="4"/>
  <c r="J330" i="4"/>
  <c r="AO330" i="4" s="1"/>
  <c r="I330" i="4"/>
  <c r="AG330" i="4"/>
  <c r="K330" i="4"/>
  <c r="X330" i="4" s="1"/>
  <c r="AC329" i="4"/>
  <c r="AM327" i="4"/>
  <c r="AN327" i="4" s="1"/>
  <c r="AF327" i="4"/>
  <c r="AE329" i="4"/>
  <c r="J329" i="28"/>
  <c r="U329" i="28"/>
  <c r="B331" i="4"/>
  <c r="AU332" i="4"/>
  <c r="B331" i="28"/>
  <c r="F331" i="28" s="1"/>
  <c r="Y332" i="28"/>
  <c r="L328" i="28"/>
  <c r="Q328" i="28"/>
  <c r="R328" i="28" s="1"/>
  <c r="T328" i="28" s="1"/>
  <c r="AD329" i="4" l="1"/>
  <c r="AM329" i="4" s="1"/>
  <c r="AN329" i="4" s="1"/>
  <c r="W330" i="4"/>
  <c r="AP330" i="4" s="1"/>
  <c r="AF328" i="4"/>
  <c r="I330" i="28"/>
  <c r="AC330" i="4"/>
  <c r="K330" i="28"/>
  <c r="AK331" i="4"/>
  <c r="M331" i="4"/>
  <c r="Z331" i="4" s="1"/>
  <c r="AL331" i="4"/>
  <c r="AG331" i="4"/>
  <c r="J331" i="4"/>
  <c r="AO331" i="4" s="1"/>
  <c r="E331" i="4"/>
  <c r="V331" i="4" s="1"/>
  <c r="H331" i="4"/>
  <c r="I331" i="4"/>
  <c r="AH331" i="4"/>
  <c r="G331" i="4"/>
  <c r="K331" i="4"/>
  <c r="X331" i="4" s="1"/>
  <c r="AB331" i="4"/>
  <c r="AJ331" i="4"/>
  <c r="AI331" i="4"/>
  <c r="L331" i="4"/>
  <c r="Y331" i="4" s="1"/>
  <c r="V329" i="28"/>
  <c r="B332" i="4"/>
  <c r="AU333" i="4"/>
  <c r="Y333" i="28"/>
  <c r="B332" i="28"/>
  <c r="F332" i="28" s="1"/>
  <c r="J330" i="28"/>
  <c r="U330" i="28"/>
  <c r="N331" i="28"/>
  <c r="E331" i="28"/>
  <c r="W331" i="28" s="1"/>
  <c r="M331" i="28"/>
  <c r="O331" i="28"/>
  <c r="P331" i="28"/>
  <c r="Q329" i="28"/>
  <c r="R329" i="28" s="1"/>
  <c r="T329" i="28" s="1"/>
  <c r="L329" i="28"/>
  <c r="AE330" i="4"/>
  <c r="V330" i="28" l="1"/>
  <c r="AF329" i="4"/>
  <c r="K331" i="28"/>
  <c r="AD330" i="4"/>
  <c r="W331" i="4"/>
  <c r="AP331" i="4" s="1"/>
  <c r="I331" i="28"/>
  <c r="AK332" i="4"/>
  <c r="L332" i="4"/>
  <c r="Y332" i="4" s="1"/>
  <c r="AH332" i="4"/>
  <c r="AI332" i="4"/>
  <c r="AJ332" i="4"/>
  <c r="G332" i="4"/>
  <c r="AB332" i="4"/>
  <c r="K332" i="4"/>
  <c r="X332" i="4" s="1"/>
  <c r="E332" i="4"/>
  <c r="V332" i="4" s="1"/>
  <c r="AL332" i="4"/>
  <c r="I332" i="4"/>
  <c r="M332" i="4"/>
  <c r="Z332" i="4" s="1"/>
  <c r="J332" i="4"/>
  <c r="AO332" i="4" s="1"/>
  <c r="AG332" i="4"/>
  <c r="H332" i="4"/>
  <c r="P332" i="28"/>
  <c r="E332" i="28"/>
  <c r="W332" i="28" s="1"/>
  <c r="N332" i="28"/>
  <c r="M332" i="28"/>
  <c r="O332" i="28"/>
  <c r="Y334" i="28"/>
  <c r="B333" i="28"/>
  <c r="F333" i="28" s="1"/>
  <c r="AC331" i="4"/>
  <c r="AE331" i="4"/>
  <c r="J331" i="28"/>
  <c r="U331" i="28"/>
  <c r="Q330" i="28"/>
  <c r="R330" i="28" s="1"/>
  <c r="T330" i="28" s="1"/>
  <c r="L330" i="28"/>
  <c r="AU334" i="4"/>
  <c r="B333" i="4"/>
  <c r="AD331" i="4" l="1"/>
  <c r="W332" i="4"/>
  <c r="AP332" i="4" s="1"/>
  <c r="I332" i="28"/>
  <c r="K332" i="28"/>
  <c r="AF331" i="4"/>
  <c r="V331" i="28"/>
  <c r="AF330" i="4"/>
  <c r="AM330" i="4"/>
  <c r="AN330" i="4" s="1"/>
  <c r="AC332" i="4"/>
  <c r="N333" i="28"/>
  <c r="E333" i="28"/>
  <c r="W333" i="28" s="1"/>
  <c r="M333" i="28"/>
  <c r="O333" i="28"/>
  <c r="P333" i="28"/>
  <c r="B334" i="4"/>
  <c r="AU335" i="4"/>
  <c r="L331" i="28"/>
  <c r="Q331" i="28"/>
  <c r="R331" i="28" s="1"/>
  <c r="T331" i="28" s="1"/>
  <c r="Y335" i="28"/>
  <c r="B334" i="28"/>
  <c r="F334" i="28" s="1"/>
  <c r="U332" i="28"/>
  <c r="J332" i="28"/>
  <c r="AE332" i="4"/>
  <c r="AK333" i="4"/>
  <c r="L333" i="4"/>
  <c r="Y333" i="4" s="1"/>
  <c r="E333" i="4"/>
  <c r="V333" i="4" s="1"/>
  <c r="J333" i="4"/>
  <c r="AO333" i="4" s="1"/>
  <c r="K333" i="4"/>
  <c r="X333" i="4" s="1"/>
  <c r="H333" i="4"/>
  <c r="I333" i="4"/>
  <c r="G333" i="4"/>
  <c r="AJ333" i="4"/>
  <c r="M333" i="4"/>
  <c r="Z333" i="4" s="1"/>
  <c r="AB333" i="4"/>
  <c r="AL333" i="4"/>
  <c r="AI333" i="4"/>
  <c r="AG333" i="4"/>
  <c r="AH333" i="4"/>
  <c r="W333" i="4" l="1"/>
  <c r="AP333" i="4" s="1"/>
  <c r="K333" i="28"/>
  <c r="AD332" i="4"/>
  <c r="AF332" i="4" s="1"/>
  <c r="AM331" i="4"/>
  <c r="AN331" i="4" s="1"/>
  <c r="I333" i="28"/>
  <c r="V332" i="28"/>
  <c r="Q332" i="28"/>
  <c r="R332" i="28" s="1"/>
  <c r="T332" i="28" s="1"/>
  <c r="L332" i="28"/>
  <c r="E334" i="28"/>
  <c r="W334" i="28" s="1"/>
  <c r="M334" i="28"/>
  <c r="N334" i="28"/>
  <c r="P334" i="28"/>
  <c r="O334" i="28"/>
  <c r="B335" i="4"/>
  <c r="AU336" i="4"/>
  <c r="AC333" i="4"/>
  <c r="AE333" i="4"/>
  <c r="Y336" i="28"/>
  <c r="B335" i="28"/>
  <c r="F335" i="28" s="1"/>
  <c r="AK334" i="4"/>
  <c r="J334" i="4"/>
  <c r="AO334" i="4" s="1"/>
  <c r="AB334" i="4"/>
  <c r="AJ334" i="4"/>
  <c r="AI334" i="4"/>
  <c r="M334" i="4"/>
  <c r="Z334" i="4" s="1"/>
  <c r="K334" i="4"/>
  <c r="X334" i="4" s="1"/>
  <c r="L334" i="4"/>
  <c r="Y334" i="4" s="1"/>
  <c r="G334" i="4"/>
  <c r="E334" i="4"/>
  <c r="V334" i="4" s="1"/>
  <c r="AH334" i="4"/>
  <c r="AG334" i="4"/>
  <c r="AL334" i="4"/>
  <c r="H334" i="4"/>
  <c r="I334" i="4"/>
  <c r="U333" i="28"/>
  <c r="J333" i="28"/>
  <c r="W334" i="4" l="1"/>
  <c r="AP334" i="4" s="1"/>
  <c r="AD333" i="4"/>
  <c r="AF333" i="4" s="1"/>
  <c r="AM332" i="4"/>
  <c r="AN332" i="4" s="1"/>
  <c r="I334" i="28"/>
  <c r="K334" i="28"/>
  <c r="V333" i="28"/>
  <c r="AC334" i="4"/>
  <c r="B336" i="28"/>
  <c r="F336" i="28" s="1"/>
  <c r="Y337" i="28"/>
  <c r="J334" i="28"/>
  <c r="U334" i="28"/>
  <c r="Q333" i="28"/>
  <c r="R333" i="28" s="1"/>
  <c r="T333" i="28" s="1"/>
  <c r="L333" i="28"/>
  <c r="AU337" i="4"/>
  <c r="B336" i="4"/>
  <c r="AE334" i="4"/>
  <c r="AK335" i="4"/>
  <c r="AL335" i="4"/>
  <c r="M335" i="4"/>
  <c r="Z335" i="4" s="1"/>
  <c r="H335" i="4"/>
  <c r="G335" i="4"/>
  <c r="AG335" i="4"/>
  <c r="AB335" i="4"/>
  <c r="AI335" i="4"/>
  <c r="J335" i="4"/>
  <c r="AO335" i="4" s="1"/>
  <c r="K335" i="4"/>
  <c r="X335" i="4" s="1"/>
  <c r="AJ335" i="4"/>
  <c r="L335" i="4"/>
  <c r="Y335" i="4" s="1"/>
  <c r="I335" i="4"/>
  <c r="E335" i="4"/>
  <c r="V335" i="4" s="1"/>
  <c r="AH335" i="4"/>
  <c r="P335" i="28"/>
  <c r="M335" i="28"/>
  <c r="N335" i="28"/>
  <c r="O335" i="28"/>
  <c r="E335" i="28"/>
  <c r="W335" i="28" s="1"/>
  <c r="AM333" i="4" l="1"/>
  <c r="AN333" i="4" s="1"/>
  <c r="AD334" i="4"/>
  <c r="AM334" i="4" s="1"/>
  <c r="AN334" i="4" s="1"/>
  <c r="W335" i="4"/>
  <c r="AP335" i="4" s="1"/>
  <c r="AC335" i="4"/>
  <c r="I335" i="28"/>
  <c r="J335" i="28" s="1"/>
  <c r="K335" i="28"/>
  <c r="V334" i="28"/>
  <c r="AE335" i="4"/>
  <c r="B337" i="4"/>
  <c r="AU338" i="4"/>
  <c r="U335" i="28"/>
  <c r="B337" i="28"/>
  <c r="F337" i="28" s="1"/>
  <c r="Y338" i="28"/>
  <c r="N336" i="28"/>
  <c r="P336" i="28"/>
  <c r="E336" i="28"/>
  <c r="W336" i="28" s="1"/>
  <c r="O336" i="28"/>
  <c r="M336" i="28"/>
  <c r="AK336" i="4"/>
  <c r="AG336" i="4"/>
  <c r="AL336" i="4"/>
  <c r="J336" i="4"/>
  <c r="AO336" i="4" s="1"/>
  <c r="M336" i="4"/>
  <c r="Z336" i="4" s="1"/>
  <c r="E336" i="4"/>
  <c r="V336" i="4" s="1"/>
  <c r="AB336" i="4"/>
  <c r="K336" i="4"/>
  <c r="X336" i="4" s="1"/>
  <c r="H336" i="4"/>
  <c r="AI336" i="4"/>
  <c r="G336" i="4"/>
  <c r="I336" i="4"/>
  <c r="AJ336" i="4"/>
  <c r="L336" i="4"/>
  <c r="Y336" i="4" s="1"/>
  <c r="AH336" i="4"/>
  <c r="Q334" i="28"/>
  <c r="R334" i="28" s="1"/>
  <c r="T334" i="28" s="1"/>
  <c r="L334" i="28"/>
  <c r="W336" i="4" l="1"/>
  <c r="AP336" i="4" s="1"/>
  <c r="AD335" i="4"/>
  <c r="AF334" i="4"/>
  <c r="I336" i="28"/>
  <c r="J336" i="28" s="1"/>
  <c r="K336" i="28"/>
  <c r="AM335" i="4"/>
  <c r="AN335" i="4" s="1"/>
  <c r="V335" i="28"/>
  <c r="AC336" i="4"/>
  <c r="U336" i="28"/>
  <c r="AU339" i="4"/>
  <c r="B338" i="4"/>
  <c r="AE336" i="4"/>
  <c r="B338" i="28"/>
  <c r="F338" i="28" s="1"/>
  <c r="Y339" i="28"/>
  <c r="AK337" i="4"/>
  <c r="AJ337" i="4"/>
  <c r="AL337" i="4"/>
  <c r="H337" i="4"/>
  <c r="J337" i="4"/>
  <c r="AO337" i="4" s="1"/>
  <c r="I337" i="4"/>
  <c r="M337" i="4"/>
  <c r="Z337" i="4" s="1"/>
  <c r="L337" i="4"/>
  <c r="Y337" i="4" s="1"/>
  <c r="G337" i="4"/>
  <c r="E337" i="4"/>
  <c r="V337" i="4" s="1"/>
  <c r="K337" i="4"/>
  <c r="X337" i="4" s="1"/>
  <c r="AG337" i="4"/>
  <c r="AI337" i="4"/>
  <c r="AH337" i="4"/>
  <c r="AB337" i="4"/>
  <c r="V336" i="28"/>
  <c r="M337" i="28"/>
  <c r="O337" i="28"/>
  <c r="N337" i="28"/>
  <c r="P337" i="28"/>
  <c r="E337" i="28"/>
  <c r="W337" i="28" s="1"/>
  <c r="L335" i="28"/>
  <c r="Q335" i="28"/>
  <c r="R335" i="28" s="1"/>
  <c r="T335" i="28" s="1"/>
  <c r="AD336" i="4" l="1"/>
  <c r="AM336" i="4" s="1"/>
  <c r="AN336" i="4" s="1"/>
  <c r="W337" i="4"/>
  <c r="AP337" i="4" s="1"/>
  <c r="AF335" i="4"/>
  <c r="I337" i="28"/>
  <c r="J337" i="28" s="1"/>
  <c r="K337" i="28"/>
  <c r="AK338" i="4"/>
  <c r="E338" i="4"/>
  <c r="V338" i="4" s="1"/>
  <c r="M338" i="4"/>
  <c r="Z338" i="4" s="1"/>
  <c r="AJ338" i="4"/>
  <c r="G338" i="4"/>
  <c r="AH338" i="4"/>
  <c r="J338" i="4"/>
  <c r="AO338" i="4" s="1"/>
  <c r="AI338" i="4"/>
  <c r="AL338" i="4"/>
  <c r="AB338" i="4"/>
  <c r="L338" i="4"/>
  <c r="Y338" i="4" s="1"/>
  <c r="AG338" i="4"/>
  <c r="K338" i="4"/>
  <c r="X338" i="4" s="1"/>
  <c r="H338" i="4"/>
  <c r="I338" i="4"/>
  <c r="AF336" i="4"/>
  <c r="M586" i="7"/>
  <c r="Y340" i="28"/>
  <c r="B339" i="28"/>
  <c r="F339" i="28" s="1"/>
  <c r="B339" i="4"/>
  <c r="AU340" i="4"/>
  <c r="U337" i="28"/>
  <c r="V337" i="28" s="1"/>
  <c r="AC337" i="4"/>
  <c r="AE337" i="4"/>
  <c r="M338" i="28"/>
  <c r="E338" i="28"/>
  <c r="W338" i="28" s="1"/>
  <c r="N338" i="28"/>
  <c r="P338" i="28"/>
  <c r="O338" i="28"/>
  <c r="L336" i="28"/>
  <c r="Q336" i="28"/>
  <c r="R336" i="28" s="1"/>
  <c r="T336" i="28" s="1"/>
  <c r="AD337" i="4" l="1"/>
  <c r="AF337" i="4" s="1"/>
  <c r="W338" i="4"/>
  <c r="AP338" i="4" s="1"/>
  <c r="I338" i="28"/>
  <c r="K338" i="28"/>
  <c r="AC338" i="4"/>
  <c r="L337" i="28"/>
  <c r="Q337" i="28"/>
  <c r="R337" i="28" s="1"/>
  <c r="T337" i="28" s="1"/>
  <c r="Y341" i="28"/>
  <c r="B340" i="28"/>
  <c r="F340" i="28" s="1"/>
  <c r="B340" i="4"/>
  <c r="AU341" i="4"/>
  <c r="AK339" i="4"/>
  <c r="AL339" i="4"/>
  <c r="I339" i="4"/>
  <c r="H339" i="4"/>
  <c r="AG339" i="4"/>
  <c r="AI339" i="4"/>
  <c r="E339" i="4"/>
  <c r="V339" i="4" s="1"/>
  <c r="G339" i="4"/>
  <c r="AB339" i="4"/>
  <c r="AJ339" i="4"/>
  <c r="AH339" i="4"/>
  <c r="M339" i="4"/>
  <c r="Z339" i="4" s="1"/>
  <c r="J339" i="4"/>
  <c r="AO339" i="4" s="1"/>
  <c r="L339" i="4"/>
  <c r="Y339" i="4" s="1"/>
  <c r="K339" i="4"/>
  <c r="X339" i="4" s="1"/>
  <c r="AE338" i="4"/>
  <c r="J338" i="28"/>
  <c r="U338" i="28"/>
  <c r="N339" i="28"/>
  <c r="O339" i="28"/>
  <c r="P339" i="28"/>
  <c r="E339" i="28"/>
  <c r="W339" i="28" s="1"/>
  <c r="M339" i="28"/>
  <c r="AM337" i="4" l="1"/>
  <c r="AN337" i="4" s="1"/>
  <c r="AD338" i="4"/>
  <c r="AM338" i="4" s="1"/>
  <c r="AN338" i="4" s="1"/>
  <c r="W339" i="4"/>
  <c r="AP339" i="4" s="1"/>
  <c r="I339" i="28"/>
  <c r="K339" i="28"/>
  <c r="AE339" i="4"/>
  <c r="AK340" i="4"/>
  <c r="AG340" i="4"/>
  <c r="L340" i="4"/>
  <c r="Y340" i="4" s="1"/>
  <c r="AI340" i="4"/>
  <c r="E340" i="4"/>
  <c r="V340" i="4" s="1"/>
  <c r="H340" i="4"/>
  <c r="M340" i="4"/>
  <c r="Z340" i="4" s="1"/>
  <c r="I340" i="4"/>
  <c r="AH340" i="4"/>
  <c r="AJ340" i="4"/>
  <c r="J340" i="4"/>
  <c r="AO340" i="4" s="1"/>
  <c r="AB340" i="4"/>
  <c r="G340" i="4"/>
  <c r="AL340" i="4"/>
  <c r="K340" i="4"/>
  <c r="X340" i="4" s="1"/>
  <c r="P340" i="28"/>
  <c r="M340" i="28"/>
  <c r="E340" i="28"/>
  <c r="W340" i="28" s="1"/>
  <c r="N340" i="28"/>
  <c r="O340" i="28"/>
  <c r="V338" i="28"/>
  <c r="Q338" i="28"/>
  <c r="R338" i="28" s="1"/>
  <c r="T338" i="28" s="1"/>
  <c r="L338" i="28"/>
  <c r="Y342" i="28"/>
  <c r="B341" i="28"/>
  <c r="F341" i="28" s="1"/>
  <c r="U339" i="28"/>
  <c r="V339" i="28" s="1"/>
  <c r="J339" i="28"/>
  <c r="AC339" i="4"/>
  <c r="B341" i="4"/>
  <c r="AU342" i="4"/>
  <c r="W340" i="4" l="1"/>
  <c r="AP340" i="4" s="1"/>
  <c r="AD339" i="4"/>
  <c r="AF338" i="4"/>
  <c r="M587" i="7"/>
  <c r="M588" i="7" s="1"/>
  <c r="M576" i="7" s="1"/>
  <c r="I340" i="28"/>
  <c r="K340" i="28"/>
  <c r="AE340" i="4"/>
  <c r="Y343" i="28"/>
  <c r="B342" i="28"/>
  <c r="F342" i="28" s="1"/>
  <c r="AU343" i="4"/>
  <c r="B342" i="4"/>
  <c r="L339" i="28"/>
  <c r="Q339" i="28"/>
  <c r="R339" i="28" s="1"/>
  <c r="T339" i="28" s="1"/>
  <c r="U340" i="28"/>
  <c r="V340" i="28" s="1"/>
  <c r="J340" i="28"/>
  <c r="AK341" i="4"/>
  <c r="J341" i="4"/>
  <c r="AO341" i="4" s="1"/>
  <c r="L341" i="4"/>
  <c r="Y341" i="4" s="1"/>
  <c r="M341" i="4"/>
  <c r="Z341" i="4" s="1"/>
  <c r="K341" i="4"/>
  <c r="X341" i="4" s="1"/>
  <c r="I341" i="4"/>
  <c r="AL341" i="4"/>
  <c r="G341" i="4"/>
  <c r="AG341" i="4"/>
  <c r="H341" i="4"/>
  <c r="AI341" i="4"/>
  <c r="AB341" i="4"/>
  <c r="AJ341" i="4"/>
  <c r="E341" i="4"/>
  <c r="V341" i="4" s="1"/>
  <c r="AH341" i="4"/>
  <c r="M341" i="28"/>
  <c r="P341" i="28"/>
  <c r="N341" i="28"/>
  <c r="E341" i="28"/>
  <c r="W341" i="28" s="1"/>
  <c r="O341" i="28"/>
  <c r="AC340" i="4"/>
  <c r="AD340" i="4" l="1"/>
  <c r="W341" i="4"/>
  <c r="AP341" i="4" s="1"/>
  <c r="I341" i="28"/>
  <c r="J341" i="28" s="1"/>
  <c r="K341" i="28"/>
  <c r="U341" i="28"/>
  <c r="B343" i="4"/>
  <c r="AU344" i="4"/>
  <c r="AC341" i="4"/>
  <c r="M342" i="28"/>
  <c r="N342" i="28"/>
  <c r="E342" i="28"/>
  <c r="W342" i="28" s="1"/>
  <c r="O342" i="28"/>
  <c r="P342" i="28"/>
  <c r="V341" i="28"/>
  <c r="AF339" i="4"/>
  <c r="AM339" i="4"/>
  <c r="AN339" i="4" s="1"/>
  <c r="Y344" i="28"/>
  <c r="B343" i="28"/>
  <c r="F343" i="28" s="1"/>
  <c r="AE341" i="4"/>
  <c r="Q340" i="28"/>
  <c r="R340" i="28" s="1"/>
  <c r="T340" i="28" s="1"/>
  <c r="L340" i="28"/>
  <c r="AK342" i="4"/>
  <c r="L342" i="4"/>
  <c r="Y342" i="4" s="1"/>
  <c r="G342" i="4"/>
  <c r="J342" i="4"/>
  <c r="AO342" i="4" s="1"/>
  <c r="AB342" i="4"/>
  <c r="AH342" i="4"/>
  <c r="I342" i="4"/>
  <c r="H342" i="4"/>
  <c r="AJ342" i="4"/>
  <c r="K342" i="4"/>
  <c r="X342" i="4" s="1"/>
  <c r="M342" i="4"/>
  <c r="Z342" i="4" s="1"/>
  <c r="AI342" i="4"/>
  <c r="E342" i="4"/>
  <c r="V342" i="4" s="1"/>
  <c r="AG342" i="4"/>
  <c r="AL342" i="4"/>
  <c r="AF340" i="4"/>
  <c r="AM340" i="4"/>
  <c r="AN340" i="4" s="1"/>
  <c r="AD341" i="4" l="1"/>
  <c r="AF341" i="4" s="1"/>
  <c r="W342" i="4"/>
  <c r="AP342" i="4" s="1"/>
  <c r="K342" i="28"/>
  <c r="I342" i="28"/>
  <c r="AC342" i="4"/>
  <c r="AE342" i="4"/>
  <c r="AK343" i="4"/>
  <c r="AG343" i="4"/>
  <c r="AI343" i="4"/>
  <c r="AH343" i="4"/>
  <c r="E343" i="4"/>
  <c r="V343" i="4" s="1"/>
  <c r="AB343" i="4"/>
  <c r="M343" i="4"/>
  <c r="Z343" i="4" s="1"/>
  <c r="AL343" i="4"/>
  <c r="K343" i="4"/>
  <c r="X343" i="4" s="1"/>
  <c r="AJ343" i="4"/>
  <c r="G343" i="4"/>
  <c r="H343" i="4"/>
  <c r="L343" i="4"/>
  <c r="Y343" i="4" s="1"/>
  <c r="J343" i="4"/>
  <c r="AO343" i="4" s="1"/>
  <c r="I343" i="4"/>
  <c r="AM341" i="4"/>
  <c r="AN341" i="4" s="1"/>
  <c r="M343" i="28"/>
  <c r="O343" i="28"/>
  <c r="P343" i="28"/>
  <c r="E343" i="28"/>
  <c r="W343" i="28" s="1"/>
  <c r="N343" i="28"/>
  <c r="J342" i="28"/>
  <c r="U342" i="28"/>
  <c r="Y345" i="28"/>
  <c r="B344" i="28"/>
  <c r="F344" i="28" s="1"/>
  <c r="B344" i="4"/>
  <c r="AU345" i="4"/>
  <c r="L341" i="28"/>
  <c r="Q341" i="28"/>
  <c r="R341" i="28" s="1"/>
  <c r="T341" i="28" s="1"/>
  <c r="AD342" i="4" l="1"/>
  <c r="AM342" i="4" s="1"/>
  <c r="AN342" i="4" s="1"/>
  <c r="W343" i="4"/>
  <c r="AP343" i="4" s="1"/>
  <c r="I343" i="28"/>
  <c r="K343" i="28"/>
  <c r="AE343" i="4"/>
  <c r="M344" i="28"/>
  <c r="P344" i="28"/>
  <c r="N344" i="28"/>
  <c r="E344" i="28"/>
  <c r="W344" i="28" s="1"/>
  <c r="O344" i="28"/>
  <c r="AC343" i="4"/>
  <c r="V342" i="28"/>
  <c r="B345" i="28"/>
  <c r="F345" i="28" s="1"/>
  <c r="Y346" i="28"/>
  <c r="B345" i="4"/>
  <c r="AU346" i="4"/>
  <c r="AK344" i="4"/>
  <c r="E344" i="4"/>
  <c r="V344" i="4" s="1"/>
  <c r="G344" i="4"/>
  <c r="J344" i="4"/>
  <c r="AO344" i="4" s="1"/>
  <c r="H344" i="4"/>
  <c r="L344" i="4"/>
  <c r="Y344" i="4" s="1"/>
  <c r="M344" i="4"/>
  <c r="Z344" i="4" s="1"/>
  <c r="AL344" i="4"/>
  <c r="I344" i="4"/>
  <c r="K344" i="4"/>
  <c r="X344" i="4" s="1"/>
  <c r="AG344" i="4"/>
  <c r="AJ344" i="4"/>
  <c r="AI344" i="4"/>
  <c r="AH344" i="4"/>
  <c r="AB344" i="4"/>
  <c r="Q342" i="28"/>
  <c r="R342" i="28" s="1"/>
  <c r="T342" i="28" s="1"/>
  <c r="L342" i="28"/>
  <c r="J343" i="28"/>
  <c r="U343" i="28"/>
  <c r="AF342" i="4" l="1"/>
  <c r="AD343" i="4"/>
  <c r="AF343" i="4" s="1"/>
  <c r="W344" i="4"/>
  <c r="AP344" i="4" s="1"/>
  <c r="I344" i="28"/>
  <c r="K344" i="28"/>
  <c r="AC344" i="4"/>
  <c r="Q343" i="28"/>
  <c r="R343" i="28" s="1"/>
  <c r="T343" i="28" s="1"/>
  <c r="L343" i="28"/>
  <c r="AE344" i="4"/>
  <c r="AU347" i="4"/>
  <c r="B346" i="4"/>
  <c r="V343" i="28"/>
  <c r="AK345" i="4"/>
  <c r="AL345" i="4"/>
  <c r="G345" i="4"/>
  <c r="L345" i="4"/>
  <c r="Y345" i="4" s="1"/>
  <c r="E345" i="4"/>
  <c r="V345" i="4" s="1"/>
  <c r="AG345" i="4"/>
  <c r="AJ345" i="4"/>
  <c r="AB345" i="4"/>
  <c r="H345" i="4"/>
  <c r="AH345" i="4"/>
  <c r="K345" i="4"/>
  <c r="X345" i="4" s="1"/>
  <c r="AI345" i="4"/>
  <c r="J345" i="4"/>
  <c r="AO345" i="4" s="1"/>
  <c r="M345" i="4"/>
  <c r="Z345" i="4" s="1"/>
  <c r="I345" i="4"/>
  <c r="B346" i="28"/>
  <c r="F346" i="28" s="1"/>
  <c r="Y347" i="28"/>
  <c r="M345" i="28"/>
  <c r="N345" i="28"/>
  <c r="E345" i="28"/>
  <c r="W345" i="28" s="1"/>
  <c r="O345" i="28"/>
  <c r="P345" i="28"/>
  <c r="K345" i="28" s="1"/>
  <c r="U344" i="28"/>
  <c r="J344" i="28"/>
  <c r="AD344" i="4" l="1"/>
  <c r="W345" i="4"/>
  <c r="AP345" i="4" s="1"/>
  <c r="AM343" i="4"/>
  <c r="AN343" i="4" s="1"/>
  <c r="I345" i="28"/>
  <c r="AF344" i="4"/>
  <c r="AU348" i="4"/>
  <c r="B347" i="4"/>
  <c r="V344" i="28"/>
  <c r="B347" i="28"/>
  <c r="F347" i="28" s="1"/>
  <c r="Y348" i="28"/>
  <c r="AC345" i="4"/>
  <c r="Q344" i="28"/>
  <c r="R344" i="28" s="1"/>
  <c r="T344" i="28" s="1"/>
  <c r="L344" i="28"/>
  <c r="J345" i="28"/>
  <c r="U345" i="28"/>
  <c r="N346" i="28"/>
  <c r="P346" i="28"/>
  <c r="E346" i="28"/>
  <c r="W346" i="28" s="1"/>
  <c r="O346" i="28"/>
  <c r="M346" i="28"/>
  <c r="AE345" i="4"/>
  <c r="AK346" i="4"/>
  <c r="AJ346" i="4"/>
  <c r="AL346" i="4"/>
  <c r="AH346" i="4"/>
  <c r="M346" i="4"/>
  <c r="Z346" i="4" s="1"/>
  <c r="H346" i="4"/>
  <c r="E346" i="4"/>
  <c r="V346" i="4" s="1"/>
  <c r="AG346" i="4"/>
  <c r="AI346" i="4"/>
  <c r="L346" i="4"/>
  <c r="Y346" i="4" s="1"/>
  <c r="AB346" i="4"/>
  <c r="K346" i="4"/>
  <c r="X346" i="4" s="1"/>
  <c r="I346" i="4"/>
  <c r="G346" i="4"/>
  <c r="J346" i="4"/>
  <c r="AO346" i="4" s="1"/>
  <c r="W346" i="4" l="1"/>
  <c r="AP346" i="4" s="1"/>
  <c r="AD345" i="4"/>
  <c r="I346" i="28"/>
  <c r="K346" i="28"/>
  <c r="AM344" i="4"/>
  <c r="AN344" i="4" s="1"/>
  <c r="V345" i="28"/>
  <c r="B348" i="28"/>
  <c r="F348" i="28" s="1"/>
  <c r="Y349" i="28"/>
  <c r="AU349" i="4"/>
  <c r="B348" i="4"/>
  <c r="AC346" i="4"/>
  <c r="J346" i="28"/>
  <c r="U346" i="28"/>
  <c r="M347" i="28"/>
  <c r="O347" i="28"/>
  <c r="E347" i="28"/>
  <c r="W347" i="28" s="1"/>
  <c r="N347" i="28"/>
  <c r="P347" i="28"/>
  <c r="AE346" i="4"/>
  <c r="Q345" i="28"/>
  <c r="R345" i="28" s="1"/>
  <c r="T345" i="28" s="1"/>
  <c r="L345" i="28"/>
  <c r="AK347" i="4"/>
  <c r="AI347" i="4"/>
  <c r="J347" i="4"/>
  <c r="AO347" i="4" s="1"/>
  <c r="G347" i="4"/>
  <c r="AL347" i="4"/>
  <c r="L347" i="4"/>
  <c r="Y347" i="4" s="1"/>
  <c r="H347" i="4"/>
  <c r="M347" i="4"/>
  <c r="Z347" i="4" s="1"/>
  <c r="AB347" i="4"/>
  <c r="E347" i="4"/>
  <c r="V347" i="4" s="1"/>
  <c r="K347" i="4"/>
  <c r="X347" i="4" s="1"/>
  <c r="AH347" i="4"/>
  <c r="I347" i="4"/>
  <c r="AG347" i="4"/>
  <c r="AJ347" i="4"/>
  <c r="V346" i="28" l="1"/>
  <c r="K347" i="28"/>
  <c r="W347" i="4"/>
  <c r="AP347" i="4" s="1"/>
  <c r="AD346" i="4"/>
  <c r="I347" i="28"/>
  <c r="AF345" i="4"/>
  <c r="AM345" i="4"/>
  <c r="AN345" i="4" s="1"/>
  <c r="AK348" i="4"/>
  <c r="G348" i="4"/>
  <c r="AB348" i="4"/>
  <c r="I348" i="4"/>
  <c r="L348" i="4"/>
  <c r="Y348" i="4" s="1"/>
  <c r="E348" i="4"/>
  <c r="V348" i="4" s="1"/>
  <c r="AG348" i="4"/>
  <c r="M348" i="4"/>
  <c r="Z348" i="4" s="1"/>
  <c r="K348" i="4"/>
  <c r="X348" i="4" s="1"/>
  <c r="AI348" i="4"/>
  <c r="AH348" i="4"/>
  <c r="AL348" i="4"/>
  <c r="H348" i="4"/>
  <c r="AJ348" i="4"/>
  <c r="J348" i="4"/>
  <c r="AO348" i="4" s="1"/>
  <c r="AC347" i="4"/>
  <c r="J347" i="28"/>
  <c r="U347" i="28"/>
  <c r="AU350" i="4"/>
  <c r="B349" i="4"/>
  <c r="L346" i="28"/>
  <c r="Q346" i="28"/>
  <c r="R346" i="28" s="1"/>
  <c r="T346" i="28" s="1"/>
  <c r="B349" i="28"/>
  <c r="F349" i="28" s="1"/>
  <c r="Y350" i="28"/>
  <c r="AE347" i="4"/>
  <c r="N348" i="28"/>
  <c r="E348" i="28"/>
  <c r="W348" i="28" s="1"/>
  <c r="P348" i="28"/>
  <c r="M348" i="28"/>
  <c r="O348" i="28"/>
  <c r="AF346" i="4" l="1"/>
  <c r="AM346" i="4"/>
  <c r="AN346" i="4" s="1"/>
  <c r="AD347" i="4"/>
  <c r="W348" i="4"/>
  <c r="AP348" i="4" s="1"/>
  <c r="AC348" i="4"/>
  <c r="I348" i="28"/>
  <c r="K348" i="28"/>
  <c r="AK349" i="4"/>
  <c r="K349" i="4"/>
  <c r="X349" i="4" s="1"/>
  <c r="AB349" i="4"/>
  <c r="G349" i="4"/>
  <c r="E349" i="4"/>
  <c r="V349" i="4" s="1"/>
  <c r="AG349" i="4"/>
  <c r="AI349" i="4"/>
  <c r="I349" i="4"/>
  <c r="M349" i="4"/>
  <c r="Z349" i="4" s="1"/>
  <c r="AJ349" i="4"/>
  <c r="H349" i="4"/>
  <c r="AH349" i="4"/>
  <c r="J349" i="4"/>
  <c r="AO349" i="4" s="1"/>
  <c r="AL349" i="4"/>
  <c r="L349" i="4"/>
  <c r="Y349" i="4" s="1"/>
  <c r="AE348" i="4"/>
  <c r="B350" i="4"/>
  <c r="AU351" i="4"/>
  <c r="V347" i="28"/>
  <c r="B350" i="28"/>
  <c r="F350" i="28" s="1"/>
  <c r="Y351" i="28"/>
  <c r="U348" i="28"/>
  <c r="J348" i="28"/>
  <c r="O349" i="28"/>
  <c r="M349" i="28"/>
  <c r="P349" i="28"/>
  <c r="N349" i="28"/>
  <c r="E349" i="28"/>
  <c r="W349" i="28" s="1"/>
  <c r="AM347" i="4"/>
  <c r="AN347" i="4" s="1"/>
  <c r="AF347" i="4"/>
  <c r="Q347" i="28"/>
  <c r="R347" i="28" s="1"/>
  <c r="T347" i="28" s="1"/>
  <c r="L347" i="28"/>
  <c r="AD348" i="4" l="1"/>
  <c r="W349" i="4"/>
  <c r="AP349" i="4" s="1"/>
  <c r="I349" i="28"/>
  <c r="J349" i="28" s="1"/>
  <c r="K349" i="28"/>
  <c r="AM348" i="4"/>
  <c r="AN348" i="4" s="1"/>
  <c r="AE349" i="4"/>
  <c r="V348" i="28"/>
  <c r="U349" i="28"/>
  <c r="B351" i="28"/>
  <c r="F351" i="28" s="1"/>
  <c r="Y352" i="28"/>
  <c r="M350" i="28"/>
  <c r="P350" i="28"/>
  <c r="O350" i="28"/>
  <c r="N350" i="28"/>
  <c r="E350" i="28"/>
  <c r="W350" i="28" s="1"/>
  <c r="AU352" i="4"/>
  <c r="B351" i="4"/>
  <c r="Q348" i="28"/>
  <c r="R348" i="28" s="1"/>
  <c r="T348" i="28" s="1"/>
  <c r="L348" i="28"/>
  <c r="AK350" i="4"/>
  <c r="AI350" i="4"/>
  <c r="I350" i="4"/>
  <c r="AG350" i="4"/>
  <c r="AJ350" i="4"/>
  <c r="G350" i="4"/>
  <c r="H350" i="4"/>
  <c r="M350" i="4"/>
  <c r="Z350" i="4" s="1"/>
  <c r="J350" i="4"/>
  <c r="AO350" i="4" s="1"/>
  <c r="K350" i="4"/>
  <c r="X350" i="4" s="1"/>
  <c r="L350" i="4"/>
  <c r="Y350" i="4" s="1"/>
  <c r="E350" i="4"/>
  <c r="V350" i="4" s="1"/>
  <c r="AH350" i="4"/>
  <c r="AL350" i="4"/>
  <c r="AB350" i="4"/>
  <c r="AC349" i="4"/>
  <c r="AD349" i="4" l="1"/>
  <c r="AM349" i="4" s="1"/>
  <c r="AN349" i="4" s="1"/>
  <c r="W350" i="4"/>
  <c r="AP350" i="4" s="1"/>
  <c r="AF348" i="4"/>
  <c r="I350" i="28"/>
  <c r="K350" i="28"/>
  <c r="AE350" i="4"/>
  <c r="V349" i="28"/>
  <c r="N351" i="28"/>
  <c r="E351" i="28"/>
  <c r="W351" i="28" s="1"/>
  <c r="O351" i="28"/>
  <c r="P351" i="28"/>
  <c r="M351" i="28"/>
  <c r="AC350" i="4"/>
  <c r="AK351" i="4"/>
  <c r="E351" i="4"/>
  <c r="V351" i="4" s="1"/>
  <c r="AB351" i="4"/>
  <c r="H351" i="4"/>
  <c r="AG351" i="4"/>
  <c r="M351" i="4"/>
  <c r="Z351" i="4" s="1"/>
  <c r="J351" i="4"/>
  <c r="AO351" i="4" s="1"/>
  <c r="AL351" i="4"/>
  <c r="I351" i="4"/>
  <c r="G351" i="4"/>
  <c r="AI351" i="4"/>
  <c r="AH351" i="4"/>
  <c r="L351" i="4"/>
  <c r="Y351" i="4" s="1"/>
  <c r="K351" i="4"/>
  <c r="X351" i="4" s="1"/>
  <c r="AJ351" i="4"/>
  <c r="AU353" i="4"/>
  <c r="B352" i="4"/>
  <c r="L349" i="28"/>
  <c r="Q349" i="28"/>
  <c r="R349" i="28" s="1"/>
  <c r="T349" i="28" s="1"/>
  <c r="U350" i="28"/>
  <c r="J350" i="28"/>
  <c r="Y353" i="28"/>
  <c r="B352" i="28"/>
  <c r="F352" i="28" s="1"/>
  <c r="AF349" i="4" l="1"/>
  <c r="W351" i="4"/>
  <c r="AP351" i="4" s="1"/>
  <c r="AD350" i="4"/>
  <c r="AM350" i="4" s="1"/>
  <c r="AN350" i="4" s="1"/>
  <c r="I351" i="28"/>
  <c r="K351" i="28"/>
  <c r="Y354" i="28"/>
  <c r="B353" i="28"/>
  <c r="F353" i="28" s="1"/>
  <c r="AK352" i="4"/>
  <c r="AL352" i="4"/>
  <c r="AH352" i="4"/>
  <c r="L352" i="4"/>
  <c r="Y352" i="4" s="1"/>
  <c r="AB352" i="4"/>
  <c r="K352" i="4"/>
  <c r="X352" i="4" s="1"/>
  <c r="AG352" i="4"/>
  <c r="I352" i="4"/>
  <c r="J352" i="4"/>
  <c r="AO352" i="4" s="1"/>
  <c r="M352" i="4"/>
  <c r="Z352" i="4" s="1"/>
  <c r="E352" i="4"/>
  <c r="V352" i="4" s="1"/>
  <c r="AI352" i="4"/>
  <c r="H352" i="4"/>
  <c r="G352" i="4"/>
  <c r="AJ352" i="4"/>
  <c r="N352" i="28"/>
  <c r="O352" i="28"/>
  <c r="P352" i="28"/>
  <c r="M352" i="28"/>
  <c r="E352" i="28"/>
  <c r="W352" i="28" s="1"/>
  <c r="B353" i="4"/>
  <c r="AU354" i="4"/>
  <c r="AE351" i="4"/>
  <c r="V350" i="28"/>
  <c r="Q350" i="28"/>
  <c r="R350" i="28" s="1"/>
  <c r="T350" i="28" s="1"/>
  <c r="L350" i="28"/>
  <c r="AC351" i="4"/>
  <c r="J351" i="28"/>
  <c r="U351" i="28"/>
  <c r="V351" i="28" s="1"/>
  <c r="AF350" i="4" l="1"/>
  <c r="AD351" i="4"/>
  <c r="W352" i="4"/>
  <c r="AP352" i="4" s="1"/>
  <c r="I352" i="28"/>
  <c r="K352" i="28"/>
  <c r="L351" i="28"/>
  <c r="Q351" i="28"/>
  <c r="R351" i="28" s="1"/>
  <c r="T351" i="28" s="1"/>
  <c r="AU355" i="4"/>
  <c r="B354" i="4"/>
  <c r="AK353" i="4"/>
  <c r="J353" i="4"/>
  <c r="AO353" i="4" s="1"/>
  <c r="AJ353" i="4"/>
  <c r="M353" i="4"/>
  <c r="Z353" i="4" s="1"/>
  <c r="L353" i="4"/>
  <c r="Y353" i="4" s="1"/>
  <c r="AB353" i="4"/>
  <c r="I353" i="4"/>
  <c r="AH353" i="4"/>
  <c r="AI353" i="4"/>
  <c r="G353" i="4"/>
  <c r="H353" i="4"/>
  <c r="AL353" i="4"/>
  <c r="E353" i="4"/>
  <c r="V353" i="4" s="1"/>
  <c r="AG353" i="4"/>
  <c r="K353" i="4"/>
  <c r="X353" i="4" s="1"/>
  <c r="U352" i="28"/>
  <c r="V352" i="28" s="1"/>
  <c r="J352" i="28"/>
  <c r="M353" i="28"/>
  <c r="E353" i="28"/>
  <c r="W353" i="28" s="1"/>
  <c r="O353" i="28"/>
  <c r="P353" i="28"/>
  <c r="N353" i="28"/>
  <c r="Y355" i="28"/>
  <c r="B354" i="28"/>
  <c r="F354" i="28" s="1"/>
  <c r="AC352" i="4"/>
  <c r="AE352" i="4"/>
  <c r="W353" i="4" l="1"/>
  <c r="AP353" i="4" s="1"/>
  <c r="AD352" i="4"/>
  <c r="AF352" i="4" s="1"/>
  <c r="I353" i="28"/>
  <c r="K353" i="28"/>
  <c r="AC353" i="4"/>
  <c r="B355" i="4"/>
  <c r="AU356" i="4"/>
  <c r="Q352" i="28"/>
  <c r="R352" i="28" s="1"/>
  <c r="T352" i="28" s="1"/>
  <c r="L352" i="28"/>
  <c r="P354" i="28"/>
  <c r="M354" i="28"/>
  <c r="O354" i="28"/>
  <c r="N354" i="28"/>
  <c r="E354" i="28"/>
  <c r="W354" i="28" s="1"/>
  <c r="AE353" i="4"/>
  <c r="AM351" i="4"/>
  <c r="AN351" i="4" s="1"/>
  <c r="AF351" i="4"/>
  <c r="B355" i="28"/>
  <c r="F355" i="28" s="1"/>
  <c r="Y356" i="28"/>
  <c r="U353" i="28"/>
  <c r="V353" i="28" s="1"/>
  <c r="J353" i="28"/>
  <c r="AK354" i="4"/>
  <c r="AB354" i="4"/>
  <c r="AH354" i="4"/>
  <c r="AJ354" i="4"/>
  <c r="I354" i="4"/>
  <c r="E354" i="4"/>
  <c r="V354" i="4" s="1"/>
  <c r="H354" i="4"/>
  <c r="AI354" i="4"/>
  <c r="G354" i="4"/>
  <c r="AL354" i="4"/>
  <c r="L354" i="4"/>
  <c r="Y354" i="4" s="1"/>
  <c r="AG354" i="4"/>
  <c r="J354" i="4"/>
  <c r="AO354" i="4" s="1"/>
  <c r="M354" i="4"/>
  <c r="Z354" i="4" s="1"/>
  <c r="K354" i="4"/>
  <c r="X354" i="4" s="1"/>
  <c r="AD353" i="4" l="1"/>
  <c r="AM353" i="4" s="1"/>
  <c r="AN353" i="4" s="1"/>
  <c r="AM352" i="4"/>
  <c r="AN352" i="4" s="1"/>
  <c r="W354" i="4"/>
  <c r="AP354" i="4" s="1"/>
  <c r="I354" i="28"/>
  <c r="K354" i="28"/>
  <c r="AC354" i="4"/>
  <c r="AE354" i="4"/>
  <c r="Y357" i="28"/>
  <c r="B356" i="28"/>
  <c r="F356" i="28" s="1"/>
  <c r="B356" i="4"/>
  <c r="AU357" i="4"/>
  <c r="E355" i="28"/>
  <c r="W355" i="28" s="1"/>
  <c r="M355" i="28"/>
  <c r="N355" i="28"/>
  <c r="P355" i="28"/>
  <c r="O355" i="28"/>
  <c r="AK355" i="4"/>
  <c r="AB355" i="4"/>
  <c r="H355" i="4"/>
  <c r="E355" i="4"/>
  <c r="V355" i="4" s="1"/>
  <c r="J355" i="4"/>
  <c r="AO355" i="4" s="1"/>
  <c r="AH355" i="4"/>
  <c r="G355" i="4"/>
  <c r="AI355" i="4"/>
  <c r="AG355" i="4"/>
  <c r="M355" i="4"/>
  <c r="Z355" i="4" s="1"/>
  <c r="L355" i="4"/>
  <c r="Y355" i="4" s="1"/>
  <c r="AJ355" i="4"/>
  <c r="K355" i="4"/>
  <c r="X355" i="4" s="1"/>
  <c r="AL355" i="4"/>
  <c r="I355" i="4"/>
  <c r="Q353" i="28"/>
  <c r="R353" i="28" s="1"/>
  <c r="T353" i="28" s="1"/>
  <c r="L353" i="28"/>
  <c r="U354" i="28"/>
  <c r="J354" i="28"/>
  <c r="AD354" i="4" l="1"/>
  <c r="W355" i="4"/>
  <c r="AP355" i="4" s="1"/>
  <c r="AF353" i="4"/>
  <c r="I355" i="28"/>
  <c r="K355" i="28"/>
  <c r="AE355" i="4"/>
  <c r="AC355" i="4"/>
  <c r="Y358" i="28"/>
  <c r="B357" i="28"/>
  <c r="F357" i="28" s="1"/>
  <c r="B357" i="4"/>
  <c r="AU358" i="4"/>
  <c r="Q354" i="28"/>
  <c r="R354" i="28" s="1"/>
  <c r="T354" i="28" s="1"/>
  <c r="L354" i="28"/>
  <c r="AK356" i="4"/>
  <c r="K356" i="4"/>
  <c r="X356" i="4" s="1"/>
  <c r="AH356" i="4"/>
  <c r="AI356" i="4"/>
  <c r="H356" i="4"/>
  <c r="L356" i="4"/>
  <c r="Y356" i="4" s="1"/>
  <c r="G356" i="4"/>
  <c r="AJ356" i="4"/>
  <c r="J356" i="4"/>
  <c r="AO356" i="4" s="1"/>
  <c r="M356" i="4"/>
  <c r="Z356" i="4" s="1"/>
  <c r="I356" i="4"/>
  <c r="E356" i="4"/>
  <c r="V356" i="4" s="1"/>
  <c r="AL356" i="4"/>
  <c r="AB356" i="4"/>
  <c r="AG356" i="4"/>
  <c r="U355" i="28"/>
  <c r="J355" i="28"/>
  <c r="O356" i="28"/>
  <c r="M356" i="28"/>
  <c r="P356" i="28"/>
  <c r="N356" i="28"/>
  <c r="E356" i="28"/>
  <c r="W356" i="28" s="1"/>
  <c r="V354" i="28"/>
  <c r="AD355" i="4" l="1"/>
  <c r="AF355" i="4" s="1"/>
  <c r="W356" i="4"/>
  <c r="AP356" i="4" s="1"/>
  <c r="I356" i="28"/>
  <c r="J356" i="28" s="1"/>
  <c r="K356" i="28"/>
  <c r="U356" i="28"/>
  <c r="AC356" i="4"/>
  <c r="Q355" i="28"/>
  <c r="R355" i="28" s="1"/>
  <c r="T355" i="28" s="1"/>
  <c r="L355" i="28"/>
  <c r="AE356" i="4"/>
  <c r="AF354" i="4"/>
  <c r="AM354" i="4"/>
  <c r="AN354" i="4" s="1"/>
  <c r="P357" i="28"/>
  <c r="O357" i="28"/>
  <c r="E357" i="28"/>
  <c r="W357" i="28" s="1"/>
  <c r="N357" i="28"/>
  <c r="M357" i="28"/>
  <c r="V355" i="28"/>
  <c r="B358" i="4"/>
  <c r="AU359" i="4"/>
  <c r="B358" i="28"/>
  <c r="F358" i="28" s="1"/>
  <c r="Y359" i="28"/>
  <c r="AK357" i="4"/>
  <c r="J357" i="4"/>
  <c r="AO357" i="4" s="1"/>
  <c r="L357" i="4"/>
  <c r="Y357" i="4" s="1"/>
  <c r="K357" i="4"/>
  <c r="X357" i="4" s="1"/>
  <c r="AL357" i="4"/>
  <c r="AJ357" i="4"/>
  <c r="E357" i="4"/>
  <c r="V357" i="4" s="1"/>
  <c r="G357" i="4"/>
  <c r="AI357" i="4"/>
  <c r="M357" i="4"/>
  <c r="Z357" i="4" s="1"/>
  <c r="H357" i="4"/>
  <c r="I357" i="4"/>
  <c r="AH357" i="4"/>
  <c r="AG357" i="4"/>
  <c r="AB357" i="4"/>
  <c r="W357" i="4" l="1"/>
  <c r="AP357" i="4" s="1"/>
  <c r="AD356" i="4"/>
  <c r="AF356" i="4" s="1"/>
  <c r="V356" i="28"/>
  <c r="AM355" i="4"/>
  <c r="AN355" i="4" s="1"/>
  <c r="I357" i="28"/>
  <c r="K357" i="28"/>
  <c r="B359" i="28"/>
  <c r="F359" i="28" s="1"/>
  <c r="Y360" i="28"/>
  <c r="M358" i="28"/>
  <c r="E358" i="28"/>
  <c r="W358" i="28" s="1"/>
  <c r="N358" i="28"/>
  <c r="O358" i="28"/>
  <c r="P358" i="28"/>
  <c r="AE357" i="4"/>
  <c r="AU360" i="4"/>
  <c r="B359" i="4"/>
  <c r="J357" i="28"/>
  <c r="U357" i="28"/>
  <c r="Q356" i="28"/>
  <c r="R356" i="28" s="1"/>
  <c r="T356" i="28" s="1"/>
  <c r="L356" i="28"/>
  <c r="AC357" i="4"/>
  <c r="AK358" i="4"/>
  <c r="AG358" i="4"/>
  <c r="AH358" i="4"/>
  <c r="I358" i="4"/>
  <c r="E358" i="4"/>
  <c r="V358" i="4" s="1"/>
  <c r="H358" i="4"/>
  <c r="M358" i="4"/>
  <c r="Z358" i="4" s="1"/>
  <c r="J358" i="4"/>
  <c r="AO358" i="4" s="1"/>
  <c r="K358" i="4"/>
  <c r="X358" i="4" s="1"/>
  <c r="AB358" i="4"/>
  <c r="L358" i="4"/>
  <c r="Y358" i="4" s="1"/>
  <c r="AJ358" i="4"/>
  <c r="AL358" i="4"/>
  <c r="G358" i="4"/>
  <c r="AM356" i="4" l="1"/>
  <c r="AN356" i="4" s="1"/>
  <c r="W358" i="4"/>
  <c r="AP358" i="4" s="1"/>
  <c r="AD357" i="4"/>
  <c r="K358" i="28"/>
  <c r="I358" i="28"/>
  <c r="AK359" i="4"/>
  <c r="AG359" i="4"/>
  <c r="G359" i="4"/>
  <c r="H359" i="4"/>
  <c r="AI359" i="4"/>
  <c r="L359" i="4"/>
  <c r="Y359" i="4" s="1"/>
  <c r="AJ359" i="4"/>
  <c r="AB359" i="4"/>
  <c r="M359" i="4"/>
  <c r="Z359" i="4" s="1"/>
  <c r="K359" i="4"/>
  <c r="X359" i="4" s="1"/>
  <c r="AH359" i="4"/>
  <c r="E359" i="4"/>
  <c r="V359" i="4" s="1"/>
  <c r="AL359" i="4"/>
  <c r="J359" i="4"/>
  <c r="AO359" i="4" s="1"/>
  <c r="I359" i="4"/>
  <c r="V357" i="28"/>
  <c r="AC358" i="4"/>
  <c r="AU361" i="4"/>
  <c r="B360" i="4"/>
  <c r="U358" i="28"/>
  <c r="J358" i="28"/>
  <c r="Y361" i="28"/>
  <c r="B360" i="28"/>
  <c r="F360" i="28" s="1"/>
  <c r="N359" i="28"/>
  <c r="O359" i="28"/>
  <c r="P359" i="28"/>
  <c r="M359" i="28"/>
  <c r="E359" i="28"/>
  <c r="W359" i="28" s="1"/>
  <c r="Q357" i="28"/>
  <c r="R357" i="28" s="1"/>
  <c r="T357" i="28" s="1"/>
  <c r="L357" i="28"/>
  <c r="V358" i="28" l="1"/>
  <c r="AD358" i="4"/>
  <c r="W359" i="4"/>
  <c r="AP359" i="4" s="1"/>
  <c r="I359" i="28"/>
  <c r="K359" i="28"/>
  <c r="AE359" i="4"/>
  <c r="U359" i="28"/>
  <c r="J359" i="28"/>
  <c r="M360" i="28"/>
  <c r="O360" i="28"/>
  <c r="N360" i="28"/>
  <c r="E360" i="28"/>
  <c r="W360" i="28" s="1"/>
  <c r="P360" i="28"/>
  <c r="AK360" i="4"/>
  <c r="AL360" i="4"/>
  <c r="K360" i="4"/>
  <c r="X360" i="4" s="1"/>
  <c r="AG360" i="4"/>
  <c r="AI360" i="4"/>
  <c r="M360" i="4"/>
  <c r="Z360" i="4" s="1"/>
  <c r="E360" i="4"/>
  <c r="V360" i="4" s="1"/>
  <c r="I360" i="4"/>
  <c r="L360" i="4"/>
  <c r="Y360" i="4" s="1"/>
  <c r="J360" i="4"/>
  <c r="AO360" i="4" s="1"/>
  <c r="AJ360" i="4"/>
  <c r="AB360" i="4"/>
  <c r="AH360" i="4"/>
  <c r="H360" i="4"/>
  <c r="G360" i="4"/>
  <c r="Y362" i="28"/>
  <c r="B361" i="28"/>
  <c r="F361" i="28" s="1"/>
  <c r="B361" i="4"/>
  <c r="AU362" i="4"/>
  <c r="AM357" i="4"/>
  <c r="AN357" i="4" s="1"/>
  <c r="AF357" i="4"/>
  <c r="Q358" i="28"/>
  <c r="R358" i="28" s="1"/>
  <c r="T358" i="28" s="1"/>
  <c r="L358" i="28"/>
  <c r="AC359" i="4"/>
  <c r="W360" i="4" l="1"/>
  <c r="AP360" i="4" s="1"/>
  <c r="K360" i="28"/>
  <c r="V359" i="28"/>
  <c r="AD359" i="4"/>
  <c r="I360" i="28"/>
  <c r="AE360" i="4"/>
  <c r="N361" i="28"/>
  <c r="O361" i="28"/>
  <c r="P361" i="28"/>
  <c r="M361" i="28"/>
  <c r="E361" i="28"/>
  <c r="W361" i="28" s="1"/>
  <c r="J360" i="28"/>
  <c r="U360" i="28"/>
  <c r="V360" i="28" s="1"/>
  <c r="Q359" i="28"/>
  <c r="R359" i="28" s="1"/>
  <c r="T359" i="28" s="1"/>
  <c r="L359" i="28"/>
  <c r="Y363" i="28"/>
  <c r="B362" i="28"/>
  <c r="F362" i="28" s="1"/>
  <c r="B362" i="4"/>
  <c r="AU363" i="4"/>
  <c r="AK361" i="4"/>
  <c r="AG361" i="4"/>
  <c r="H361" i="4"/>
  <c r="AB361" i="4"/>
  <c r="AI361" i="4"/>
  <c r="AH361" i="4"/>
  <c r="AL361" i="4"/>
  <c r="M361" i="4"/>
  <c r="Z361" i="4" s="1"/>
  <c r="G361" i="4"/>
  <c r="L361" i="4"/>
  <c r="Y361" i="4" s="1"/>
  <c r="I361" i="4"/>
  <c r="AJ361" i="4"/>
  <c r="K361" i="4"/>
  <c r="X361" i="4" s="1"/>
  <c r="J361" i="4"/>
  <c r="AO361" i="4" s="1"/>
  <c r="E361" i="4"/>
  <c r="V361" i="4" s="1"/>
  <c r="AC360" i="4"/>
  <c r="AD360" i="4" l="1"/>
  <c r="AF360" i="4" s="1"/>
  <c r="W361" i="4"/>
  <c r="AP361" i="4" s="1"/>
  <c r="I361" i="28"/>
  <c r="K361" i="28"/>
  <c r="AC361" i="4"/>
  <c r="AE361" i="4"/>
  <c r="AF359" i="4"/>
  <c r="AM359" i="4"/>
  <c r="AN359" i="4" s="1"/>
  <c r="Y364" i="28"/>
  <c r="B363" i="28"/>
  <c r="F363" i="28" s="1"/>
  <c r="L360" i="28"/>
  <c r="Q360" i="28"/>
  <c r="R360" i="28" s="1"/>
  <c r="T360" i="28" s="1"/>
  <c r="AU364" i="4"/>
  <c r="B363" i="4"/>
  <c r="AM360" i="4"/>
  <c r="AN360" i="4" s="1"/>
  <c r="AK362" i="4"/>
  <c r="AB362" i="4"/>
  <c r="H362" i="4"/>
  <c r="AH362" i="4"/>
  <c r="J362" i="4"/>
  <c r="AO362" i="4" s="1"/>
  <c r="M362" i="4"/>
  <c r="Z362" i="4" s="1"/>
  <c r="AJ362" i="4"/>
  <c r="L362" i="4"/>
  <c r="Y362" i="4" s="1"/>
  <c r="AG362" i="4"/>
  <c r="E362" i="4"/>
  <c r="V362" i="4" s="1"/>
  <c r="I362" i="4"/>
  <c r="AL362" i="4"/>
  <c r="G362" i="4"/>
  <c r="AI362" i="4"/>
  <c r="K362" i="4"/>
  <c r="X362" i="4" s="1"/>
  <c r="J361" i="28"/>
  <c r="U361" i="28"/>
  <c r="E362" i="28"/>
  <c r="W362" i="28" s="1"/>
  <c r="M362" i="28"/>
  <c r="O362" i="28"/>
  <c r="N362" i="28"/>
  <c r="P362" i="28"/>
  <c r="W362" i="4" l="1"/>
  <c r="AP362" i="4" s="1"/>
  <c r="AD361" i="4"/>
  <c r="AM361" i="4" s="1"/>
  <c r="AN361" i="4" s="1"/>
  <c r="I362" i="28"/>
  <c r="K362" i="28"/>
  <c r="AE362" i="4"/>
  <c r="AC362" i="4"/>
  <c r="L361" i="28"/>
  <c r="Q361" i="28"/>
  <c r="R361" i="28" s="1"/>
  <c r="T361" i="28" s="1"/>
  <c r="J362" i="28"/>
  <c r="U362" i="28"/>
  <c r="AK363" i="4"/>
  <c r="AI363" i="4"/>
  <c r="AJ363" i="4"/>
  <c r="J363" i="4"/>
  <c r="AO363" i="4" s="1"/>
  <c r="H363" i="4"/>
  <c r="G363" i="4"/>
  <c r="M363" i="4"/>
  <c r="Z363" i="4" s="1"/>
  <c r="L363" i="4"/>
  <c r="Y363" i="4" s="1"/>
  <c r="I363" i="4"/>
  <c r="AB363" i="4"/>
  <c r="K363" i="4"/>
  <c r="X363" i="4" s="1"/>
  <c r="E363" i="4"/>
  <c r="V363" i="4" s="1"/>
  <c r="AL363" i="4"/>
  <c r="AH363" i="4"/>
  <c r="AG363" i="4"/>
  <c r="AU365" i="4"/>
  <c r="B364" i="4"/>
  <c r="O363" i="28"/>
  <c r="M363" i="28"/>
  <c r="E363" i="28"/>
  <c r="W363" i="28" s="1"/>
  <c r="N363" i="28"/>
  <c r="P363" i="28"/>
  <c r="V361" i="28"/>
  <c r="Y365" i="28"/>
  <c r="B364" i="28"/>
  <c r="F364" i="28" s="1"/>
  <c r="AD362" i="4" l="1"/>
  <c r="AF362" i="4" s="1"/>
  <c r="W363" i="4"/>
  <c r="AP363" i="4" s="1"/>
  <c r="AF361" i="4"/>
  <c r="V362" i="28"/>
  <c r="I363" i="28"/>
  <c r="K363" i="28"/>
  <c r="AK364" i="4"/>
  <c r="J364" i="4"/>
  <c r="AO364" i="4" s="1"/>
  <c r="M364" i="4"/>
  <c r="Z364" i="4" s="1"/>
  <c r="G364" i="4"/>
  <c r="AI364" i="4"/>
  <c r="I364" i="4"/>
  <c r="AL364" i="4"/>
  <c r="AH364" i="4"/>
  <c r="E364" i="4"/>
  <c r="V364" i="4" s="1"/>
  <c r="AJ364" i="4"/>
  <c r="L364" i="4"/>
  <c r="Y364" i="4" s="1"/>
  <c r="AB364" i="4"/>
  <c r="K364" i="4"/>
  <c r="X364" i="4" s="1"/>
  <c r="AG364" i="4"/>
  <c r="H364" i="4"/>
  <c r="AE363" i="4"/>
  <c r="U363" i="28"/>
  <c r="J363" i="28"/>
  <c r="B365" i="4"/>
  <c r="AU366" i="4"/>
  <c r="AM362" i="4"/>
  <c r="AN362" i="4" s="1"/>
  <c r="M364" i="28"/>
  <c r="P364" i="28"/>
  <c r="N364" i="28"/>
  <c r="O364" i="28"/>
  <c r="E364" i="28"/>
  <c r="W364" i="28" s="1"/>
  <c r="AC363" i="4"/>
  <c r="Y366" i="28"/>
  <c r="B365" i="28"/>
  <c r="F365" i="28" s="1"/>
  <c r="Q362" i="28"/>
  <c r="R362" i="28" s="1"/>
  <c r="T362" i="28" s="1"/>
  <c r="L362" i="28"/>
  <c r="AD363" i="4" l="1"/>
  <c r="AM363" i="4" s="1"/>
  <c r="AN363" i="4" s="1"/>
  <c r="W364" i="4"/>
  <c r="AP364" i="4" s="1"/>
  <c r="I364" i="28"/>
  <c r="K364" i="28"/>
  <c r="V363" i="28"/>
  <c r="AC364" i="4"/>
  <c r="AK365" i="4"/>
  <c r="G365" i="4"/>
  <c r="E365" i="4"/>
  <c r="V365" i="4" s="1"/>
  <c r="AJ365" i="4"/>
  <c r="AI365" i="4"/>
  <c r="AG365" i="4"/>
  <c r="AH365" i="4"/>
  <c r="AL365" i="4"/>
  <c r="AB365" i="4"/>
  <c r="L365" i="4"/>
  <c r="Y365" i="4" s="1"/>
  <c r="I365" i="4"/>
  <c r="J365" i="4"/>
  <c r="AO365" i="4" s="1"/>
  <c r="K365" i="4"/>
  <c r="X365" i="4" s="1"/>
  <c r="H365" i="4"/>
  <c r="M365" i="4"/>
  <c r="Z365" i="4" s="1"/>
  <c r="AE364" i="4"/>
  <c r="J364" i="28"/>
  <c r="U364" i="28"/>
  <c r="P365" i="28"/>
  <c r="M365" i="28"/>
  <c r="N365" i="28"/>
  <c r="E365" i="28"/>
  <c r="W365" i="28" s="1"/>
  <c r="O365" i="28"/>
  <c r="AF363" i="4"/>
  <c r="L363" i="28"/>
  <c r="Q363" i="28"/>
  <c r="R363" i="28" s="1"/>
  <c r="T363" i="28" s="1"/>
  <c r="B366" i="28"/>
  <c r="F366" i="28" s="1"/>
  <c r="Y367" i="28"/>
  <c r="AU367" i="4"/>
  <c r="B366" i="4"/>
  <c r="AD364" i="4" l="1"/>
  <c r="AM364" i="4" s="1"/>
  <c r="AN364" i="4" s="1"/>
  <c r="W365" i="4"/>
  <c r="AP365" i="4" s="1"/>
  <c r="I365" i="28"/>
  <c r="K365" i="28"/>
  <c r="V364" i="28"/>
  <c r="AC365" i="4"/>
  <c r="AK366" i="4"/>
  <c r="AB366" i="4"/>
  <c r="G366" i="4"/>
  <c r="M366" i="4"/>
  <c r="Z366" i="4" s="1"/>
  <c r="AJ366" i="4"/>
  <c r="I366" i="4"/>
  <c r="AH366" i="4"/>
  <c r="L366" i="4"/>
  <c r="Y366" i="4" s="1"/>
  <c r="AI366" i="4"/>
  <c r="AL366" i="4"/>
  <c r="K366" i="4"/>
  <c r="X366" i="4" s="1"/>
  <c r="H366" i="4"/>
  <c r="AG366" i="4"/>
  <c r="J366" i="4"/>
  <c r="AO366" i="4" s="1"/>
  <c r="E366" i="4"/>
  <c r="V366" i="4" s="1"/>
  <c r="B367" i="4"/>
  <c r="AU368" i="4"/>
  <c r="B367" i="28"/>
  <c r="F367" i="28" s="1"/>
  <c r="Y368" i="28"/>
  <c r="AF364" i="4"/>
  <c r="O366" i="28"/>
  <c r="P366" i="28"/>
  <c r="N366" i="28"/>
  <c r="E366" i="28"/>
  <c r="W366" i="28" s="1"/>
  <c r="M366" i="28"/>
  <c r="L364" i="28"/>
  <c r="Q364" i="28"/>
  <c r="R364" i="28" s="1"/>
  <c r="T364" i="28" s="1"/>
  <c r="J365" i="28"/>
  <c r="U365" i="28"/>
  <c r="AE365" i="4"/>
  <c r="AD365" i="4" l="1"/>
  <c r="W366" i="4"/>
  <c r="AP366" i="4" s="1"/>
  <c r="I366" i="28"/>
  <c r="K366" i="28"/>
  <c r="V365" i="28"/>
  <c r="Y369" i="28"/>
  <c r="B368" i="28"/>
  <c r="F368" i="28" s="1"/>
  <c r="AU369" i="4"/>
  <c r="B368" i="4"/>
  <c r="M367" i="28"/>
  <c r="E367" i="28"/>
  <c r="W367" i="28" s="1"/>
  <c r="N367" i="28"/>
  <c r="P367" i="28"/>
  <c r="O367" i="28"/>
  <c r="AK367" i="4"/>
  <c r="H367" i="4"/>
  <c r="L367" i="4"/>
  <c r="Y367" i="4" s="1"/>
  <c r="AB367" i="4"/>
  <c r="AG367" i="4"/>
  <c r="I367" i="4"/>
  <c r="AJ367" i="4"/>
  <c r="G367" i="4"/>
  <c r="E367" i="4"/>
  <c r="V367" i="4" s="1"/>
  <c r="AI367" i="4"/>
  <c r="AH367" i="4"/>
  <c r="M367" i="4"/>
  <c r="Z367" i="4" s="1"/>
  <c r="J367" i="4"/>
  <c r="AO367" i="4" s="1"/>
  <c r="K367" i="4"/>
  <c r="X367" i="4" s="1"/>
  <c r="AL367" i="4"/>
  <c r="U366" i="28"/>
  <c r="J366" i="28"/>
  <c r="AC366" i="4"/>
  <c r="V366" i="28"/>
  <c r="AE366" i="4"/>
  <c r="L365" i="28"/>
  <c r="Q365" i="28"/>
  <c r="R365" i="28" s="1"/>
  <c r="T365" i="28" s="1"/>
  <c r="AD366" i="4" l="1"/>
  <c r="AM366" i="4" s="1"/>
  <c r="AN366" i="4" s="1"/>
  <c r="W367" i="4"/>
  <c r="AP367" i="4" s="1"/>
  <c r="AC367" i="4"/>
  <c r="I367" i="28"/>
  <c r="K367" i="28"/>
  <c r="AE367" i="4"/>
  <c r="Q366" i="28"/>
  <c r="R366" i="28" s="1"/>
  <c r="T366" i="28" s="1"/>
  <c r="L366" i="28"/>
  <c r="AK368" i="4"/>
  <c r="AI368" i="4"/>
  <c r="AG368" i="4"/>
  <c r="H368" i="4"/>
  <c r="AJ368" i="4"/>
  <c r="AH368" i="4"/>
  <c r="E368" i="4"/>
  <c r="V368" i="4" s="1"/>
  <c r="AB368" i="4"/>
  <c r="J368" i="4"/>
  <c r="AO368" i="4" s="1"/>
  <c r="K368" i="4"/>
  <c r="X368" i="4" s="1"/>
  <c r="AL368" i="4"/>
  <c r="G368" i="4"/>
  <c r="M368" i="4"/>
  <c r="Z368" i="4" s="1"/>
  <c r="L368" i="4"/>
  <c r="Y368" i="4" s="1"/>
  <c r="I368" i="4"/>
  <c r="AM365" i="4"/>
  <c r="AN365" i="4" s="1"/>
  <c r="AF365" i="4"/>
  <c r="AU370" i="4"/>
  <c r="B369" i="4"/>
  <c r="J367" i="28"/>
  <c r="U367" i="28"/>
  <c r="O368" i="28"/>
  <c r="E368" i="28"/>
  <c r="M368" i="28"/>
  <c r="N368" i="28"/>
  <c r="P368" i="28"/>
  <c r="B369" i="28"/>
  <c r="F369" i="28" s="1"/>
  <c r="Y370" i="28"/>
  <c r="I368" i="28" l="1"/>
  <c r="W368" i="28"/>
  <c r="AD367" i="4"/>
  <c r="W368" i="4"/>
  <c r="AP368" i="4" s="1"/>
  <c r="AF366" i="4"/>
  <c r="AE368" i="4"/>
  <c r="K368" i="28"/>
  <c r="M291" i="7" s="1"/>
  <c r="M293" i="7" s="1"/>
  <c r="M295" i="7" s="1"/>
  <c r="M297" i="7" s="1"/>
  <c r="B370" i="28"/>
  <c r="F370" i="28" s="1"/>
  <c r="Y371" i="28"/>
  <c r="M369" i="28"/>
  <c r="N369" i="28"/>
  <c r="E369" i="28"/>
  <c r="P369" i="28"/>
  <c r="O369" i="28"/>
  <c r="V367" i="28"/>
  <c r="U368" i="28"/>
  <c r="J368" i="28"/>
  <c r="L367" i="28"/>
  <c r="Q367" i="28"/>
  <c r="R367" i="28" s="1"/>
  <c r="T367" i="28" s="1"/>
  <c r="AK369" i="4"/>
  <c r="I369" i="4"/>
  <c r="AJ369" i="4"/>
  <c r="G369" i="4"/>
  <c r="H369" i="4"/>
  <c r="L369" i="4"/>
  <c r="Y369" i="4" s="1"/>
  <c r="AH369" i="4"/>
  <c r="AG369" i="4"/>
  <c r="AI369" i="4"/>
  <c r="AB369" i="4"/>
  <c r="AL369" i="4"/>
  <c r="E369" i="4"/>
  <c r="V369" i="4" s="1"/>
  <c r="K369" i="4"/>
  <c r="X369" i="4" s="1"/>
  <c r="J369" i="4"/>
  <c r="AO369" i="4" s="1"/>
  <c r="M369" i="4"/>
  <c r="Z369" i="4" s="1"/>
  <c r="AC368" i="4"/>
  <c r="B370" i="4"/>
  <c r="AU371" i="4"/>
  <c r="I369" i="28" l="1"/>
  <c r="W369" i="28"/>
  <c r="AD368" i="4"/>
  <c r="W369" i="4"/>
  <c r="AP369" i="4" s="1"/>
  <c r="H344" i="7"/>
  <c r="I344" i="7" s="1"/>
  <c r="H348" i="7"/>
  <c r="I348" i="7" s="1"/>
  <c r="H324" i="7"/>
  <c r="I324" i="7" s="1"/>
  <c r="H304" i="7"/>
  <c r="I304" i="7" s="1"/>
  <c r="H357" i="7"/>
  <c r="I357" i="7" s="1"/>
  <c r="H330" i="7"/>
  <c r="I330" i="7" s="1"/>
  <c r="H303" i="7"/>
  <c r="I303" i="7" s="1"/>
  <c r="K343" i="7"/>
  <c r="K323" i="7"/>
  <c r="K303" i="7"/>
  <c r="H345" i="7"/>
  <c r="I345" i="7" s="1"/>
  <c r="H318" i="7"/>
  <c r="I318" i="7" s="1"/>
  <c r="H291" i="7"/>
  <c r="I291" i="7" s="1"/>
  <c r="K334" i="7"/>
  <c r="K314" i="7"/>
  <c r="K294" i="7"/>
  <c r="H301" i="7"/>
  <c r="I301" i="7" s="1"/>
  <c r="K325" i="7"/>
  <c r="H342" i="7"/>
  <c r="I342" i="7" s="1"/>
  <c r="K308" i="7"/>
  <c r="H326" i="7"/>
  <c r="I326" i="7" s="1"/>
  <c r="K344" i="7"/>
  <c r="K296" i="7"/>
  <c r="K332" i="7"/>
  <c r="H338" i="7"/>
  <c r="I338" i="7" s="1"/>
  <c r="K345" i="7"/>
  <c r="K305" i="7"/>
  <c r="H340" i="7"/>
  <c r="I340" i="7" s="1"/>
  <c r="H320" i="7"/>
  <c r="I320" i="7" s="1"/>
  <c r="H296" i="7"/>
  <c r="I296" i="7" s="1"/>
  <c r="H351" i="7"/>
  <c r="I351" i="7" s="1"/>
  <c r="H325" i="7"/>
  <c r="I325" i="7" s="1"/>
  <c r="H293" i="7"/>
  <c r="I293" i="7" s="1"/>
  <c r="K339" i="7"/>
  <c r="K319" i="7"/>
  <c r="K295" i="7"/>
  <c r="H339" i="7"/>
  <c r="I339" i="7" s="1"/>
  <c r="H313" i="7"/>
  <c r="I313" i="7" s="1"/>
  <c r="K350" i="7"/>
  <c r="K330" i="7"/>
  <c r="K310" i="7"/>
  <c r="H343" i="7"/>
  <c r="I343" i="7" s="1"/>
  <c r="K359" i="7"/>
  <c r="K317" i="7"/>
  <c r="H299" i="7"/>
  <c r="I299" i="7" s="1"/>
  <c r="K292" i="7"/>
  <c r="H315" i="7"/>
  <c r="I315" i="7" s="1"/>
  <c r="K328" i="7"/>
  <c r="H353" i="7"/>
  <c r="I353" i="7" s="1"/>
  <c r="K316" i="7"/>
  <c r="H317" i="7"/>
  <c r="I317" i="7" s="1"/>
  <c r="K337" i="7"/>
  <c r="K297" i="7"/>
  <c r="H336" i="7"/>
  <c r="I336" i="7" s="1"/>
  <c r="H312" i="7"/>
  <c r="I312" i="7" s="1"/>
  <c r="H292" i="7"/>
  <c r="I292" i="7" s="1"/>
  <c r="H346" i="7"/>
  <c r="I346" i="7" s="1"/>
  <c r="H314" i="7"/>
  <c r="I314" i="7" s="1"/>
  <c r="K356" i="7"/>
  <c r="K335" i="7"/>
  <c r="K311" i="7"/>
  <c r="K291" i="7"/>
  <c r="H334" i="7"/>
  <c r="I334" i="7" s="1"/>
  <c r="H302" i="7"/>
  <c r="I302" i="7" s="1"/>
  <c r="K346" i="7"/>
  <c r="K326" i="7"/>
  <c r="K302" i="7"/>
  <c r="H333" i="7"/>
  <c r="I333" i="7" s="1"/>
  <c r="K349" i="7"/>
  <c r="K301" i="7"/>
  <c r="K358" i="7"/>
  <c r="H358" i="7"/>
  <c r="I358" i="7" s="1"/>
  <c r="H294" i="7"/>
  <c r="I294" i="7" s="1"/>
  <c r="K320" i="7"/>
  <c r="H331" i="7"/>
  <c r="I331" i="7" s="1"/>
  <c r="H359" i="7"/>
  <c r="I359" i="7" s="1"/>
  <c r="H306" i="7"/>
  <c r="I306" i="7" s="1"/>
  <c r="K329" i="7"/>
  <c r="H356" i="7"/>
  <c r="I356" i="7" s="1"/>
  <c r="H328" i="7"/>
  <c r="I328" i="7" s="1"/>
  <c r="H308" i="7"/>
  <c r="I308" i="7" s="1"/>
  <c r="K357" i="7"/>
  <c r="H335" i="7"/>
  <c r="I335" i="7" s="1"/>
  <c r="H309" i="7"/>
  <c r="I309" i="7" s="1"/>
  <c r="K351" i="7"/>
  <c r="K327" i="7"/>
  <c r="K307" i="7"/>
  <c r="H355" i="7"/>
  <c r="I355" i="7" s="1"/>
  <c r="H323" i="7"/>
  <c r="I323" i="7" s="1"/>
  <c r="H297" i="7"/>
  <c r="I297" i="7" s="1"/>
  <c r="K342" i="7"/>
  <c r="K318" i="7"/>
  <c r="K298" i="7"/>
  <c r="H322" i="7"/>
  <c r="I322" i="7" s="1"/>
  <c r="K333" i="7"/>
  <c r="K293" i="7"/>
  <c r="K340" i="7"/>
  <c r="H337" i="7"/>
  <c r="I337" i="7" s="1"/>
  <c r="K352" i="7"/>
  <c r="K312" i="7"/>
  <c r="K348" i="7"/>
  <c r="H349" i="7"/>
  <c r="I349" i="7" s="1"/>
  <c r="H295" i="7"/>
  <c r="I295" i="7" s="1"/>
  <c r="K313" i="7"/>
  <c r="K321" i="7"/>
  <c r="K354" i="7"/>
  <c r="H327" i="7"/>
  <c r="I327" i="7" s="1"/>
  <c r="K300" i="7"/>
  <c r="H310" i="7"/>
  <c r="I310" i="7" s="1"/>
  <c r="K304" i="7"/>
  <c r="K336" i="7"/>
  <c r="H305" i="7"/>
  <c r="I305" i="7" s="1"/>
  <c r="H347" i="7"/>
  <c r="I347" i="7" s="1"/>
  <c r="K324" i="7"/>
  <c r="H321" i="7"/>
  <c r="I321" i="7" s="1"/>
  <c r="K309" i="7"/>
  <c r="K341" i="7"/>
  <c r="H311" i="7"/>
  <c r="I311" i="7" s="1"/>
  <c r="H354" i="7"/>
  <c r="I354" i="7" s="1"/>
  <c r="K306" i="7"/>
  <c r="K322" i="7"/>
  <c r="K338" i="7"/>
  <c r="K355" i="7"/>
  <c r="H307" i="7"/>
  <c r="I307" i="7" s="1"/>
  <c r="H329" i="7"/>
  <c r="I329" i="7" s="1"/>
  <c r="H350" i="7"/>
  <c r="I350" i="7" s="1"/>
  <c r="K299" i="7"/>
  <c r="K315" i="7"/>
  <c r="K331" i="7"/>
  <c r="K347" i="7"/>
  <c r="H298" i="7"/>
  <c r="I298" i="7" s="1"/>
  <c r="H319" i="7"/>
  <c r="I319" i="7" s="1"/>
  <c r="H341" i="7"/>
  <c r="I341" i="7" s="1"/>
  <c r="K353" i="7"/>
  <c r="H300" i="7"/>
  <c r="I300" i="7" s="1"/>
  <c r="H316" i="7"/>
  <c r="I316" i="7" s="1"/>
  <c r="H332" i="7"/>
  <c r="I332" i="7" s="1"/>
  <c r="H352" i="7"/>
  <c r="I352" i="7" s="1"/>
  <c r="AM368" i="4"/>
  <c r="AN368" i="4" s="1"/>
  <c r="K369" i="28"/>
  <c r="V368" i="28"/>
  <c r="AE369" i="4"/>
  <c r="AU372" i="4"/>
  <c r="B371" i="4"/>
  <c r="U369" i="28"/>
  <c r="J369" i="28"/>
  <c r="B371" i="28"/>
  <c r="F371" i="28" s="1"/>
  <c r="Y372" i="28"/>
  <c r="AK370" i="4"/>
  <c r="L370" i="4"/>
  <c r="Y370" i="4" s="1"/>
  <c r="I370" i="4"/>
  <c r="H370" i="4"/>
  <c r="AI370" i="4"/>
  <c r="AG370" i="4"/>
  <c r="AH370" i="4"/>
  <c r="K370" i="4"/>
  <c r="X370" i="4" s="1"/>
  <c r="AL370" i="4"/>
  <c r="J370" i="4"/>
  <c r="AO370" i="4" s="1"/>
  <c r="AB370" i="4"/>
  <c r="AJ370" i="4"/>
  <c r="G370" i="4"/>
  <c r="M370" i="4"/>
  <c r="Z370" i="4" s="1"/>
  <c r="E370" i="4"/>
  <c r="V370" i="4" s="1"/>
  <c r="AC369" i="4"/>
  <c r="AM367" i="4"/>
  <c r="AN367" i="4" s="1"/>
  <c r="AF367" i="4"/>
  <c r="Q368" i="28"/>
  <c r="R368" i="28" s="1"/>
  <c r="T368" i="28" s="1"/>
  <c r="L368" i="28"/>
  <c r="N370" i="28"/>
  <c r="E370" i="28"/>
  <c r="O370" i="28"/>
  <c r="P370" i="28"/>
  <c r="M370" i="28"/>
  <c r="I370" i="28" l="1"/>
  <c r="W370" i="28"/>
  <c r="W370" i="4"/>
  <c r="AP370" i="4" s="1"/>
  <c r="AD369" i="4"/>
  <c r="AF369" i="4" s="1"/>
  <c r="AF368" i="4"/>
  <c r="K370" i="28"/>
  <c r="AE370" i="4"/>
  <c r="V369" i="28"/>
  <c r="M371" i="28"/>
  <c r="O371" i="28"/>
  <c r="P371" i="28"/>
  <c r="N371" i="28"/>
  <c r="E371" i="28"/>
  <c r="B372" i="4"/>
  <c r="AU373" i="4"/>
  <c r="Q369" i="28"/>
  <c r="R369" i="28" s="1"/>
  <c r="T369" i="28" s="1"/>
  <c r="L369" i="28"/>
  <c r="J370" i="28"/>
  <c r="U370" i="28"/>
  <c r="AC370" i="4"/>
  <c r="Y373" i="28"/>
  <c r="B372" i="28"/>
  <c r="F372" i="28" s="1"/>
  <c r="AK371" i="4"/>
  <c r="AI371" i="4"/>
  <c r="H371" i="4"/>
  <c r="J371" i="4"/>
  <c r="AO371" i="4" s="1"/>
  <c r="AG371" i="4"/>
  <c r="AH371" i="4"/>
  <c r="K371" i="4"/>
  <c r="X371" i="4" s="1"/>
  <c r="AJ371" i="4"/>
  <c r="AL371" i="4"/>
  <c r="L371" i="4"/>
  <c r="Y371" i="4" s="1"/>
  <c r="G371" i="4"/>
  <c r="AB371" i="4"/>
  <c r="E371" i="4"/>
  <c r="V371" i="4" s="1"/>
  <c r="M371" i="4"/>
  <c r="Z371" i="4" s="1"/>
  <c r="I371" i="4"/>
  <c r="I371" i="28" l="1"/>
  <c r="W371" i="28"/>
  <c r="W371" i="4"/>
  <c r="AP371" i="4" s="1"/>
  <c r="AD370" i="4"/>
  <c r="AM370" i="4" s="1"/>
  <c r="AN370" i="4" s="1"/>
  <c r="AM369" i="4"/>
  <c r="AN369" i="4" s="1"/>
  <c r="K371" i="28"/>
  <c r="AE371" i="4"/>
  <c r="V370" i="28"/>
  <c r="E372" i="28"/>
  <c r="O372" i="28"/>
  <c r="M372" i="28"/>
  <c r="N372" i="28"/>
  <c r="P372" i="28"/>
  <c r="L370" i="28"/>
  <c r="Q370" i="28"/>
  <c r="R370" i="28" s="1"/>
  <c r="T370" i="28" s="1"/>
  <c r="AU374" i="4"/>
  <c r="B373" i="4"/>
  <c r="AC371" i="4"/>
  <c r="Y374" i="28"/>
  <c r="B373" i="28"/>
  <c r="F373" i="28" s="1"/>
  <c r="AK372" i="4"/>
  <c r="AI372" i="4"/>
  <c r="AJ372" i="4"/>
  <c r="AH372" i="4"/>
  <c r="E372" i="4"/>
  <c r="V372" i="4" s="1"/>
  <c r="K372" i="4"/>
  <c r="X372" i="4" s="1"/>
  <c r="AL372" i="4"/>
  <c r="L372" i="4"/>
  <c r="Y372" i="4" s="1"/>
  <c r="M372" i="4"/>
  <c r="Z372" i="4" s="1"/>
  <c r="J372" i="4"/>
  <c r="AO372" i="4" s="1"/>
  <c r="I372" i="4"/>
  <c r="AB372" i="4"/>
  <c r="H372" i="4"/>
  <c r="AG372" i="4"/>
  <c r="G372" i="4"/>
  <c r="AF370" i="4"/>
  <c r="J371" i="28"/>
  <c r="U371" i="28"/>
  <c r="I372" i="28" l="1"/>
  <c r="W372" i="28"/>
  <c r="AD371" i="4"/>
  <c r="AM371" i="4" s="1"/>
  <c r="AN371" i="4" s="1"/>
  <c r="W372" i="4"/>
  <c r="AP372" i="4" s="1"/>
  <c r="K372" i="28"/>
  <c r="AE372" i="4"/>
  <c r="M373" i="28"/>
  <c r="P373" i="28"/>
  <c r="E373" i="28"/>
  <c r="N373" i="28"/>
  <c r="O373" i="28"/>
  <c r="V371" i="28"/>
  <c r="AC372" i="4"/>
  <c r="AU375" i="4"/>
  <c r="B374" i="4"/>
  <c r="U372" i="28"/>
  <c r="V372" i="28" s="1"/>
  <c r="J372" i="28"/>
  <c r="Y375" i="28"/>
  <c r="B374" i="28"/>
  <c r="F374" i="28" s="1"/>
  <c r="AK373" i="4"/>
  <c r="K373" i="4"/>
  <c r="X373" i="4" s="1"/>
  <c r="L373" i="4"/>
  <c r="Y373" i="4" s="1"/>
  <c r="AG373" i="4"/>
  <c r="AB373" i="4"/>
  <c r="I373" i="4"/>
  <c r="AJ373" i="4"/>
  <c r="AL373" i="4"/>
  <c r="AI373" i="4"/>
  <c r="J373" i="4"/>
  <c r="AO373" i="4" s="1"/>
  <c r="H373" i="4"/>
  <c r="AH373" i="4"/>
  <c r="E373" i="4"/>
  <c r="V373" i="4" s="1"/>
  <c r="G373" i="4"/>
  <c r="M373" i="4"/>
  <c r="Z373" i="4" s="1"/>
  <c r="L371" i="28"/>
  <c r="Q371" i="28"/>
  <c r="R371" i="28" s="1"/>
  <c r="T371" i="28" s="1"/>
  <c r="I373" i="28" l="1"/>
  <c r="W373" i="28"/>
  <c r="W373" i="4"/>
  <c r="AP373" i="4" s="1"/>
  <c r="AD372" i="4"/>
  <c r="AF372" i="4" s="1"/>
  <c r="AF371" i="4"/>
  <c r="K373" i="28"/>
  <c r="AC373" i="4"/>
  <c r="Q372" i="28"/>
  <c r="R372" i="28" s="1"/>
  <c r="T372" i="28" s="1"/>
  <c r="L372" i="28"/>
  <c r="U373" i="28"/>
  <c r="J373" i="28"/>
  <c r="AE373" i="4"/>
  <c r="N374" i="28"/>
  <c r="P374" i="28"/>
  <c r="E374" i="28"/>
  <c r="M374" i="28"/>
  <c r="O374" i="28"/>
  <c r="AK374" i="4"/>
  <c r="H374" i="4"/>
  <c r="AI374" i="4"/>
  <c r="G374" i="4"/>
  <c r="AB374" i="4"/>
  <c r="J374" i="4"/>
  <c r="AO374" i="4" s="1"/>
  <c r="I374" i="4"/>
  <c r="E374" i="4"/>
  <c r="V374" i="4" s="1"/>
  <c r="AJ374" i="4"/>
  <c r="M374" i="4"/>
  <c r="Z374" i="4" s="1"/>
  <c r="L374" i="4"/>
  <c r="Y374" i="4" s="1"/>
  <c r="AH374" i="4"/>
  <c r="K374" i="4"/>
  <c r="X374" i="4" s="1"/>
  <c r="AG374" i="4"/>
  <c r="AL374" i="4"/>
  <c r="V373" i="28"/>
  <c r="B375" i="28"/>
  <c r="F375" i="28" s="1"/>
  <c r="Y376" i="28"/>
  <c r="B375" i="4"/>
  <c r="AU376" i="4"/>
  <c r="I374" i="28" l="1"/>
  <c r="W374" i="28"/>
  <c r="AD373" i="4"/>
  <c r="AM373" i="4" s="1"/>
  <c r="AN373" i="4" s="1"/>
  <c r="AM372" i="4"/>
  <c r="AN372" i="4" s="1"/>
  <c r="W374" i="4"/>
  <c r="AP374" i="4" s="1"/>
  <c r="K374" i="28"/>
  <c r="AE374" i="4"/>
  <c r="L373" i="28"/>
  <c r="Q373" i="28"/>
  <c r="R373" i="28" s="1"/>
  <c r="T373" i="28" s="1"/>
  <c r="AU377" i="4"/>
  <c r="B376" i="4"/>
  <c r="AK375" i="4"/>
  <c r="H375" i="4"/>
  <c r="G375" i="4"/>
  <c r="E375" i="4"/>
  <c r="V375" i="4" s="1"/>
  <c r="J375" i="4"/>
  <c r="AO375" i="4" s="1"/>
  <c r="L375" i="4"/>
  <c r="Y375" i="4" s="1"/>
  <c r="M375" i="4"/>
  <c r="Z375" i="4" s="1"/>
  <c r="I375" i="4"/>
  <c r="AI375" i="4"/>
  <c r="AJ375" i="4"/>
  <c r="AG375" i="4"/>
  <c r="AH375" i="4"/>
  <c r="AB375" i="4"/>
  <c r="AL375" i="4"/>
  <c r="K375" i="4"/>
  <c r="X375" i="4" s="1"/>
  <c r="Y377" i="28"/>
  <c r="B376" i="28"/>
  <c r="F376" i="28" s="1"/>
  <c r="M375" i="28"/>
  <c r="P375" i="28"/>
  <c r="O375" i="28"/>
  <c r="N375" i="28"/>
  <c r="E375" i="28"/>
  <c r="AC374" i="4"/>
  <c r="J374" i="28"/>
  <c r="U374" i="28"/>
  <c r="AF373" i="4" l="1"/>
  <c r="I375" i="28"/>
  <c r="J375" i="28" s="1"/>
  <c r="W375" i="28"/>
  <c r="AD374" i="4"/>
  <c r="W375" i="4"/>
  <c r="AP375" i="4" s="1"/>
  <c r="K375" i="28"/>
  <c r="U375" i="28"/>
  <c r="AC375" i="4"/>
  <c r="B377" i="4"/>
  <c r="AU378" i="4"/>
  <c r="Q374" i="28"/>
  <c r="R374" i="28" s="1"/>
  <c r="T374" i="28" s="1"/>
  <c r="L374" i="28"/>
  <c r="AE375" i="4"/>
  <c r="O376" i="28"/>
  <c r="M376" i="28"/>
  <c r="E376" i="28"/>
  <c r="N376" i="28"/>
  <c r="P376" i="28"/>
  <c r="Y378" i="28"/>
  <c r="B377" i="28"/>
  <c r="F377" i="28" s="1"/>
  <c r="AK376" i="4"/>
  <c r="J376" i="4"/>
  <c r="AO376" i="4" s="1"/>
  <c r="L376" i="4"/>
  <c r="Y376" i="4" s="1"/>
  <c r="H376" i="4"/>
  <c r="AJ376" i="4"/>
  <c r="AB376" i="4"/>
  <c r="G376" i="4"/>
  <c r="E376" i="4"/>
  <c r="V376" i="4" s="1"/>
  <c r="AG376" i="4"/>
  <c r="K376" i="4"/>
  <c r="X376" i="4" s="1"/>
  <c r="AL376" i="4"/>
  <c r="I376" i="4"/>
  <c r="AH376" i="4"/>
  <c r="AI376" i="4"/>
  <c r="M376" i="4"/>
  <c r="Z376" i="4" s="1"/>
  <c r="V374" i="28"/>
  <c r="I376" i="28" l="1"/>
  <c r="W376" i="28"/>
  <c r="W376" i="4"/>
  <c r="AP376" i="4" s="1"/>
  <c r="K376" i="28"/>
  <c r="V375" i="28"/>
  <c r="AD375" i="4"/>
  <c r="AF375" i="4" s="1"/>
  <c r="M657" i="7"/>
  <c r="AF374" i="4"/>
  <c r="AM374" i="4"/>
  <c r="AN374" i="4" s="1"/>
  <c r="J376" i="28"/>
  <c r="U376" i="28"/>
  <c r="B378" i="4"/>
  <c r="AU379" i="4"/>
  <c r="AE376" i="4"/>
  <c r="M377" i="28"/>
  <c r="N377" i="28"/>
  <c r="E377" i="28"/>
  <c r="O377" i="28"/>
  <c r="P377" i="28"/>
  <c r="AC376" i="4"/>
  <c r="B378" i="28"/>
  <c r="F378" i="28" s="1"/>
  <c r="Y379" i="28"/>
  <c r="AK377" i="4"/>
  <c r="AL377" i="4"/>
  <c r="K377" i="4"/>
  <c r="X377" i="4" s="1"/>
  <c r="M377" i="4"/>
  <c r="Z377" i="4" s="1"/>
  <c r="AI377" i="4"/>
  <c r="AH377" i="4"/>
  <c r="AB377" i="4"/>
  <c r="AG377" i="4"/>
  <c r="E377" i="4"/>
  <c r="V377" i="4" s="1"/>
  <c r="J377" i="4"/>
  <c r="AO377" i="4" s="1"/>
  <c r="I377" i="4"/>
  <c r="H377" i="4"/>
  <c r="L377" i="4"/>
  <c r="Y377" i="4" s="1"/>
  <c r="G377" i="4"/>
  <c r="AJ377" i="4"/>
  <c r="Q375" i="28"/>
  <c r="R375" i="28" s="1"/>
  <c r="T375" i="28" s="1"/>
  <c r="L375" i="28"/>
  <c r="V376" i="28"/>
  <c r="AD376" i="4" l="1"/>
  <c r="I377" i="28"/>
  <c r="W377" i="28"/>
  <c r="W377" i="4"/>
  <c r="AP377" i="4" s="1"/>
  <c r="K377" i="28"/>
  <c r="AM375" i="4"/>
  <c r="AN375" i="4" s="1"/>
  <c r="AC377" i="4"/>
  <c r="M378" i="28"/>
  <c r="E378" i="28"/>
  <c r="P378" i="28"/>
  <c r="N378" i="28"/>
  <c r="O378" i="28"/>
  <c r="U377" i="28"/>
  <c r="J377" i="28"/>
  <c r="M658" i="7"/>
  <c r="M659" i="7" s="1"/>
  <c r="M647" i="7" s="1"/>
  <c r="AF376" i="4"/>
  <c r="AM376" i="4"/>
  <c r="AN376" i="4" s="1"/>
  <c r="AE377" i="4"/>
  <c r="L376" i="28"/>
  <c r="Q376" i="28"/>
  <c r="R376" i="28" s="1"/>
  <c r="T376" i="28" s="1"/>
  <c r="B379" i="4"/>
  <c r="AU380" i="4"/>
  <c r="B379" i="28"/>
  <c r="F379" i="28" s="1"/>
  <c r="Y380" i="28"/>
  <c r="AK378" i="4"/>
  <c r="AL378" i="4"/>
  <c r="E378" i="4"/>
  <c r="V378" i="4" s="1"/>
  <c r="L378" i="4"/>
  <c r="Y378" i="4" s="1"/>
  <c r="AI378" i="4"/>
  <c r="I378" i="4"/>
  <c r="AH378" i="4"/>
  <c r="AB378" i="4"/>
  <c r="K378" i="4"/>
  <c r="X378" i="4" s="1"/>
  <c r="G378" i="4"/>
  <c r="AJ378" i="4"/>
  <c r="M378" i="4"/>
  <c r="Z378" i="4" s="1"/>
  <c r="H378" i="4"/>
  <c r="AG378" i="4"/>
  <c r="J378" i="4"/>
  <c r="AO378" i="4" s="1"/>
  <c r="I378" i="28" l="1"/>
  <c r="W378" i="28"/>
  <c r="AD377" i="4"/>
  <c r="AF377" i="4" s="1"/>
  <c r="V377" i="28"/>
  <c r="W378" i="4"/>
  <c r="AP378" i="4" s="1"/>
  <c r="AC378" i="4"/>
  <c r="K378" i="28"/>
  <c r="N379" i="28"/>
  <c r="O379" i="28"/>
  <c r="M379" i="28"/>
  <c r="P379" i="28"/>
  <c r="E379" i="28"/>
  <c r="AE378" i="4"/>
  <c r="AU381" i="4"/>
  <c r="B380" i="4"/>
  <c r="Q377" i="28"/>
  <c r="R377" i="28" s="1"/>
  <c r="T377" i="28" s="1"/>
  <c r="L377" i="28"/>
  <c r="AK379" i="4"/>
  <c r="AL379" i="4"/>
  <c r="AJ379" i="4"/>
  <c r="E379" i="4"/>
  <c r="V379" i="4" s="1"/>
  <c r="L379" i="4"/>
  <c r="Y379" i="4" s="1"/>
  <c r="M379" i="4"/>
  <c r="Z379" i="4" s="1"/>
  <c r="AG379" i="4"/>
  <c r="I379" i="4"/>
  <c r="AI379" i="4"/>
  <c r="J379" i="4"/>
  <c r="AO379" i="4" s="1"/>
  <c r="G379" i="4"/>
  <c r="AH379" i="4"/>
  <c r="H379" i="4"/>
  <c r="K379" i="4"/>
  <c r="X379" i="4" s="1"/>
  <c r="AB379" i="4"/>
  <c r="B380" i="28"/>
  <c r="F380" i="28" s="1"/>
  <c r="Y381" i="28"/>
  <c r="J378" i="28"/>
  <c r="U378" i="28"/>
  <c r="AM377" i="4" l="1"/>
  <c r="AN377" i="4" s="1"/>
  <c r="I379" i="28"/>
  <c r="W379" i="28"/>
  <c r="W379" i="4"/>
  <c r="AP379" i="4" s="1"/>
  <c r="AD378" i="4"/>
  <c r="K379" i="28"/>
  <c r="V378" i="28"/>
  <c r="B381" i="28"/>
  <c r="F381" i="28" s="1"/>
  <c r="Y382" i="28"/>
  <c r="AC379" i="4"/>
  <c r="AE379" i="4"/>
  <c r="AK380" i="4"/>
  <c r="AI380" i="4"/>
  <c r="E380" i="4"/>
  <c r="V380" i="4" s="1"/>
  <c r="I380" i="4"/>
  <c r="AJ380" i="4"/>
  <c r="K380" i="4"/>
  <c r="X380" i="4" s="1"/>
  <c r="M380" i="4"/>
  <c r="Z380" i="4" s="1"/>
  <c r="J380" i="4"/>
  <c r="AO380" i="4" s="1"/>
  <c r="G380" i="4"/>
  <c r="AB380" i="4"/>
  <c r="L380" i="4"/>
  <c r="Y380" i="4" s="1"/>
  <c r="AH380" i="4"/>
  <c r="AG380" i="4"/>
  <c r="AL380" i="4"/>
  <c r="H380" i="4"/>
  <c r="U379" i="28"/>
  <c r="V379" i="28" s="1"/>
  <c r="J379" i="28"/>
  <c r="M380" i="28"/>
  <c r="E380" i="28"/>
  <c r="N380" i="28"/>
  <c r="O380" i="28"/>
  <c r="P380" i="28"/>
  <c r="K380" i="28" s="1"/>
  <c r="AU382" i="4"/>
  <c r="B381" i="4"/>
  <c r="L378" i="28"/>
  <c r="Q378" i="28"/>
  <c r="R378" i="28" s="1"/>
  <c r="T378" i="28" s="1"/>
  <c r="I380" i="28" l="1"/>
  <c r="W380" i="28"/>
  <c r="W380" i="4"/>
  <c r="AP380" i="4" s="1"/>
  <c r="AD379" i="4"/>
  <c r="L379" i="28"/>
  <c r="Q379" i="28"/>
  <c r="R379" i="28" s="1"/>
  <c r="T379" i="28" s="1"/>
  <c r="AF378" i="4"/>
  <c r="AM378" i="4"/>
  <c r="AN378" i="4" s="1"/>
  <c r="AK381" i="4"/>
  <c r="AJ381" i="4"/>
  <c r="AB381" i="4"/>
  <c r="AH381" i="4"/>
  <c r="AI381" i="4"/>
  <c r="G381" i="4"/>
  <c r="M381" i="4"/>
  <c r="Z381" i="4" s="1"/>
  <c r="K381" i="4"/>
  <c r="X381" i="4" s="1"/>
  <c r="AG381" i="4"/>
  <c r="E381" i="4"/>
  <c r="V381" i="4" s="1"/>
  <c r="I381" i="4"/>
  <c r="AL381" i="4"/>
  <c r="H381" i="4"/>
  <c r="J381" i="4"/>
  <c r="AO381" i="4" s="1"/>
  <c r="L381" i="4"/>
  <c r="Y381" i="4" s="1"/>
  <c r="J380" i="28"/>
  <c r="U380" i="28"/>
  <c r="V380" i="28" s="1"/>
  <c r="AE380" i="4"/>
  <c r="AC380" i="4"/>
  <c r="B382" i="28"/>
  <c r="F382" i="28" s="1"/>
  <c r="Y383" i="28"/>
  <c r="B382" i="4"/>
  <c r="AU383" i="4"/>
  <c r="E381" i="28"/>
  <c r="M381" i="28"/>
  <c r="O381" i="28"/>
  <c r="N381" i="28"/>
  <c r="P381" i="28"/>
  <c r="I381" i="28" l="1"/>
  <c r="W381" i="28"/>
  <c r="AD380" i="4"/>
  <c r="AF380" i="4" s="1"/>
  <c r="W381" i="4"/>
  <c r="AP381" i="4" s="1"/>
  <c r="K381" i="28"/>
  <c r="AE381" i="4"/>
  <c r="AC381" i="4"/>
  <c r="AK382" i="4"/>
  <c r="AH382" i="4"/>
  <c r="AB382" i="4"/>
  <c r="AL382" i="4"/>
  <c r="AJ382" i="4"/>
  <c r="J382" i="4"/>
  <c r="AO382" i="4" s="1"/>
  <c r="I382" i="4"/>
  <c r="H382" i="4"/>
  <c r="E382" i="4"/>
  <c r="V382" i="4" s="1"/>
  <c r="G382" i="4"/>
  <c r="M382" i="4"/>
  <c r="Z382" i="4" s="1"/>
  <c r="AI382" i="4"/>
  <c r="L382" i="4"/>
  <c r="Y382" i="4" s="1"/>
  <c r="AG382" i="4"/>
  <c r="K382" i="4"/>
  <c r="X382" i="4" s="1"/>
  <c r="J381" i="28"/>
  <c r="U381" i="28"/>
  <c r="B383" i="28"/>
  <c r="F383" i="28" s="1"/>
  <c r="Y384" i="28"/>
  <c r="AM380" i="4"/>
  <c r="AN380" i="4" s="1"/>
  <c r="AM379" i="4"/>
  <c r="AN379" i="4" s="1"/>
  <c r="AF379" i="4"/>
  <c r="E382" i="28"/>
  <c r="P382" i="28"/>
  <c r="M382" i="28"/>
  <c r="N382" i="28"/>
  <c r="O382" i="28"/>
  <c r="B383" i="4"/>
  <c r="AU384" i="4"/>
  <c r="Q380" i="28"/>
  <c r="R380" i="28" s="1"/>
  <c r="T380" i="28" s="1"/>
  <c r="L380" i="28"/>
  <c r="I382" i="28" l="1"/>
  <c r="W382" i="28"/>
  <c r="W382" i="4"/>
  <c r="AP382" i="4" s="1"/>
  <c r="AD381" i="4"/>
  <c r="K382" i="28"/>
  <c r="V381" i="28"/>
  <c r="AU385" i="4"/>
  <c r="B384" i="4"/>
  <c r="U382" i="28"/>
  <c r="J382" i="28"/>
  <c r="L381" i="28"/>
  <c r="Q381" i="28"/>
  <c r="R381" i="28" s="1"/>
  <c r="T381" i="28" s="1"/>
  <c r="AE382" i="4"/>
  <c r="AK383" i="4"/>
  <c r="M383" i="4"/>
  <c r="Z383" i="4" s="1"/>
  <c r="AG383" i="4"/>
  <c r="H383" i="4"/>
  <c r="E383" i="4"/>
  <c r="V383" i="4" s="1"/>
  <c r="K383" i="4"/>
  <c r="X383" i="4" s="1"/>
  <c r="I383" i="4"/>
  <c r="AH383" i="4"/>
  <c r="L383" i="4"/>
  <c r="Y383" i="4" s="1"/>
  <c r="AI383" i="4"/>
  <c r="G383" i="4"/>
  <c r="AB383" i="4"/>
  <c r="J383" i="4"/>
  <c r="AO383" i="4" s="1"/>
  <c r="AJ383" i="4"/>
  <c r="AL383" i="4"/>
  <c r="Y385" i="28"/>
  <c r="B384" i="28"/>
  <c r="F384" i="28" s="1"/>
  <c r="AC382" i="4"/>
  <c r="N383" i="28"/>
  <c r="M383" i="28"/>
  <c r="O383" i="28"/>
  <c r="E383" i="28"/>
  <c r="P383" i="28"/>
  <c r="I383" i="28" l="1"/>
  <c r="W383" i="28"/>
  <c r="V382" i="28"/>
  <c r="AD382" i="4"/>
  <c r="AM382" i="4" s="1"/>
  <c r="AN382" i="4" s="1"/>
  <c r="W383" i="4"/>
  <c r="AP383" i="4" s="1"/>
  <c r="K383" i="28"/>
  <c r="AF381" i="4"/>
  <c r="AM381" i="4"/>
  <c r="AN381" i="4" s="1"/>
  <c r="AE383" i="4"/>
  <c r="U383" i="28"/>
  <c r="J383" i="28"/>
  <c r="N384" i="28"/>
  <c r="E384" i="28"/>
  <c r="P384" i="28"/>
  <c r="O384" i="28"/>
  <c r="M384" i="28"/>
  <c r="AC383" i="4"/>
  <c r="AK384" i="4"/>
  <c r="AI384" i="4"/>
  <c r="AB384" i="4"/>
  <c r="J384" i="4"/>
  <c r="AO384" i="4" s="1"/>
  <c r="M384" i="4"/>
  <c r="Z384" i="4" s="1"/>
  <c r="AL384" i="4"/>
  <c r="AJ384" i="4"/>
  <c r="K384" i="4"/>
  <c r="X384" i="4" s="1"/>
  <c r="H384" i="4"/>
  <c r="L384" i="4"/>
  <c r="Y384" i="4" s="1"/>
  <c r="AG384" i="4"/>
  <c r="I384" i="4"/>
  <c r="E384" i="4"/>
  <c r="V384" i="4" s="1"/>
  <c r="G384" i="4"/>
  <c r="AH384" i="4"/>
  <c r="Y386" i="28"/>
  <c r="B385" i="28"/>
  <c r="F385" i="28" s="1"/>
  <c r="Q382" i="28"/>
  <c r="R382" i="28" s="1"/>
  <c r="T382" i="28" s="1"/>
  <c r="L382" i="28"/>
  <c r="B385" i="4"/>
  <c r="AU386" i="4"/>
  <c r="I384" i="28" l="1"/>
  <c r="W384" i="28"/>
  <c r="W384" i="4"/>
  <c r="AP384" i="4" s="1"/>
  <c r="AF382" i="4"/>
  <c r="AD383" i="4"/>
  <c r="AF383" i="4" s="1"/>
  <c r="K384" i="28"/>
  <c r="V383" i="28"/>
  <c r="AE384" i="4"/>
  <c r="J384" i="28"/>
  <c r="U384" i="28"/>
  <c r="B386" i="4"/>
  <c r="AU387" i="4"/>
  <c r="AK385" i="4"/>
  <c r="I385" i="4"/>
  <c r="G385" i="4"/>
  <c r="L385" i="4"/>
  <c r="Y385" i="4" s="1"/>
  <c r="M385" i="4"/>
  <c r="Z385" i="4" s="1"/>
  <c r="J385" i="4"/>
  <c r="AO385" i="4" s="1"/>
  <c r="AH385" i="4"/>
  <c r="AB385" i="4"/>
  <c r="AI385" i="4"/>
  <c r="E385" i="4"/>
  <c r="V385" i="4" s="1"/>
  <c r="K385" i="4"/>
  <c r="X385" i="4" s="1"/>
  <c r="AG385" i="4"/>
  <c r="H385" i="4"/>
  <c r="AJ385" i="4"/>
  <c r="AL385" i="4"/>
  <c r="P385" i="28"/>
  <c r="M385" i="28"/>
  <c r="N385" i="28"/>
  <c r="O385" i="28"/>
  <c r="E385" i="28"/>
  <c r="Y387" i="28"/>
  <c r="B386" i="28"/>
  <c r="F386" i="28" s="1"/>
  <c r="AC384" i="4"/>
  <c r="L383" i="28"/>
  <c r="Q383" i="28"/>
  <c r="R383" i="28" s="1"/>
  <c r="T383" i="28" s="1"/>
  <c r="I385" i="28" l="1"/>
  <c r="W385" i="28"/>
  <c r="AD384" i="4"/>
  <c r="AM383" i="4"/>
  <c r="AN383" i="4" s="1"/>
  <c r="W385" i="4"/>
  <c r="AP385" i="4" s="1"/>
  <c r="K385" i="28"/>
  <c r="V384" i="28"/>
  <c r="Y388" i="28"/>
  <c r="B387" i="28"/>
  <c r="F387" i="28" s="1"/>
  <c r="AE385" i="4"/>
  <c r="AC385" i="4"/>
  <c r="B387" i="4"/>
  <c r="AU388" i="4"/>
  <c r="Q384" i="28"/>
  <c r="R384" i="28" s="1"/>
  <c r="T384" i="28" s="1"/>
  <c r="L384" i="28"/>
  <c r="J385" i="28"/>
  <c r="U385" i="28"/>
  <c r="V385" i="28" s="1"/>
  <c r="AK386" i="4"/>
  <c r="H386" i="4"/>
  <c r="AH386" i="4"/>
  <c r="AL386" i="4"/>
  <c r="J386" i="4"/>
  <c r="AO386" i="4" s="1"/>
  <c r="K386" i="4"/>
  <c r="X386" i="4" s="1"/>
  <c r="AJ386" i="4"/>
  <c r="AB386" i="4"/>
  <c r="M386" i="4"/>
  <c r="Z386" i="4" s="1"/>
  <c r="AI386" i="4"/>
  <c r="E386" i="4"/>
  <c r="V386" i="4" s="1"/>
  <c r="L386" i="4"/>
  <c r="Y386" i="4" s="1"/>
  <c r="G386" i="4"/>
  <c r="AG386" i="4"/>
  <c r="I386" i="4"/>
  <c r="N386" i="28"/>
  <c r="O386" i="28"/>
  <c r="E386" i="28"/>
  <c r="P386" i="28"/>
  <c r="M386" i="28"/>
  <c r="AM384" i="4"/>
  <c r="AN384" i="4" s="1"/>
  <c r="AF384" i="4" l="1"/>
  <c r="I386" i="28"/>
  <c r="W386" i="28"/>
  <c r="W386" i="4"/>
  <c r="AP386" i="4" s="1"/>
  <c r="AD385" i="4"/>
  <c r="AF385" i="4" s="1"/>
  <c r="K386" i="28"/>
  <c r="AE386" i="4"/>
  <c r="B388" i="4"/>
  <c r="AU389" i="4"/>
  <c r="U386" i="28"/>
  <c r="J386" i="28"/>
  <c r="AC386" i="4"/>
  <c r="Q385" i="28"/>
  <c r="R385" i="28" s="1"/>
  <c r="T385" i="28" s="1"/>
  <c r="L385" i="28"/>
  <c r="AK387" i="4"/>
  <c r="AB387" i="4"/>
  <c r="G387" i="4"/>
  <c r="AL387" i="4"/>
  <c r="K387" i="4"/>
  <c r="X387" i="4" s="1"/>
  <c r="H387" i="4"/>
  <c r="AG387" i="4"/>
  <c r="M387" i="4"/>
  <c r="Z387" i="4" s="1"/>
  <c r="J387" i="4"/>
  <c r="AO387" i="4" s="1"/>
  <c r="E387" i="4"/>
  <c r="V387" i="4" s="1"/>
  <c r="L387" i="4"/>
  <c r="Y387" i="4" s="1"/>
  <c r="AH387" i="4"/>
  <c r="AJ387" i="4"/>
  <c r="I387" i="4"/>
  <c r="AI387" i="4"/>
  <c r="M387" i="28"/>
  <c r="P387" i="28"/>
  <c r="O387" i="28"/>
  <c r="E387" i="28"/>
  <c r="N387" i="28"/>
  <c r="Y389" i="28"/>
  <c r="B388" i="28"/>
  <c r="F388" i="28" s="1"/>
  <c r="I387" i="28" l="1"/>
  <c r="W387" i="28"/>
  <c r="AD386" i="4"/>
  <c r="W387" i="4"/>
  <c r="AP387" i="4" s="1"/>
  <c r="AM385" i="4"/>
  <c r="AN385" i="4" s="1"/>
  <c r="K387" i="28"/>
  <c r="AU390" i="4"/>
  <c r="B389" i="4"/>
  <c r="N388" i="28"/>
  <c r="O388" i="28"/>
  <c r="E388" i="28"/>
  <c r="M388" i="28"/>
  <c r="P388" i="28"/>
  <c r="U387" i="28"/>
  <c r="J387" i="28"/>
  <c r="AK388" i="4"/>
  <c r="J388" i="4"/>
  <c r="AO388" i="4" s="1"/>
  <c r="H388" i="4"/>
  <c r="AG388" i="4"/>
  <c r="K388" i="4"/>
  <c r="X388" i="4" s="1"/>
  <c r="AL388" i="4"/>
  <c r="AB388" i="4"/>
  <c r="E388" i="4"/>
  <c r="V388" i="4" s="1"/>
  <c r="I388" i="4"/>
  <c r="L388" i="4"/>
  <c r="Y388" i="4" s="1"/>
  <c r="M388" i="4"/>
  <c r="Z388" i="4" s="1"/>
  <c r="AH388" i="4"/>
  <c r="AI388" i="4"/>
  <c r="AJ388" i="4"/>
  <c r="G388" i="4"/>
  <c r="Y390" i="28"/>
  <c r="B389" i="28"/>
  <c r="F389" i="28" s="1"/>
  <c r="AC387" i="4"/>
  <c r="L386" i="28"/>
  <c r="Q386" i="28"/>
  <c r="R386" i="28" s="1"/>
  <c r="T386" i="28" s="1"/>
  <c r="AM386" i="4"/>
  <c r="AN386" i="4" s="1"/>
  <c r="AF386" i="4"/>
  <c r="AE387" i="4"/>
  <c r="V386" i="28"/>
  <c r="I388" i="28" l="1"/>
  <c r="W388" i="28"/>
  <c r="W388" i="4"/>
  <c r="AP388" i="4" s="1"/>
  <c r="K388" i="28"/>
  <c r="AD387" i="4"/>
  <c r="AM387" i="4" s="1"/>
  <c r="AN387" i="4" s="1"/>
  <c r="V387" i="28"/>
  <c r="AE388" i="4"/>
  <c r="AK389" i="4"/>
  <c r="AB389" i="4"/>
  <c r="AJ389" i="4"/>
  <c r="G389" i="4"/>
  <c r="I389" i="4"/>
  <c r="AI389" i="4"/>
  <c r="J389" i="4"/>
  <c r="AO389" i="4" s="1"/>
  <c r="H389" i="4"/>
  <c r="AL389" i="4"/>
  <c r="M389" i="4"/>
  <c r="Z389" i="4" s="1"/>
  <c r="E389" i="4"/>
  <c r="V389" i="4" s="1"/>
  <c r="AH389" i="4"/>
  <c r="L389" i="4"/>
  <c r="Y389" i="4" s="1"/>
  <c r="AG389" i="4"/>
  <c r="K389" i="4"/>
  <c r="X389" i="4" s="1"/>
  <c r="E389" i="28"/>
  <c r="M389" i="28"/>
  <c r="N389" i="28"/>
  <c r="O389" i="28"/>
  <c r="P389" i="28"/>
  <c r="AC388" i="4"/>
  <c r="J388" i="28"/>
  <c r="U388" i="28"/>
  <c r="B390" i="4"/>
  <c r="AU391" i="4"/>
  <c r="Y391" i="28"/>
  <c r="B390" i="28"/>
  <c r="F390" i="28" s="1"/>
  <c r="Q387" i="28"/>
  <c r="R387" i="28" s="1"/>
  <c r="T387" i="28" s="1"/>
  <c r="L387" i="28"/>
  <c r="I389" i="28" l="1"/>
  <c r="W389" i="28"/>
  <c r="AD388" i="4"/>
  <c r="AF387" i="4"/>
  <c r="W389" i="4"/>
  <c r="AP389" i="4" s="1"/>
  <c r="K389" i="28"/>
  <c r="V388" i="28"/>
  <c r="Y392" i="28"/>
  <c r="B391" i="28"/>
  <c r="F391" i="28" s="1"/>
  <c r="L388" i="28"/>
  <c r="Q388" i="28"/>
  <c r="R388" i="28" s="1"/>
  <c r="T388" i="28" s="1"/>
  <c r="B391" i="4"/>
  <c r="AU392" i="4"/>
  <c r="AC389" i="4"/>
  <c r="AE389" i="4"/>
  <c r="AK390" i="4"/>
  <c r="J390" i="4"/>
  <c r="AO390" i="4" s="1"/>
  <c r="AI390" i="4"/>
  <c r="G390" i="4"/>
  <c r="I390" i="4"/>
  <c r="K390" i="4"/>
  <c r="X390" i="4" s="1"/>
  <c r="AG390" i="4"/>
  <c r="M390" i="4"/>
  <c r="Z390" i="4" s="1"/>
  <c r="L390" i="4"/>
  <c r="Y390" i="4" s="1"/>
  <c r="AB390" i="4"/>
  <c r="AJ390" i="4"/>
  <c r="AL390" i="4"/>
  <c r="AH390" i="4"/>
  <c r="E390" i="4"/>
  <c r="V390" i="4" s="1"/>
  <c r="H390" i="4"/>
  <c r="N390" i="28"/>
  <c r="P390" i="28"/>
  <c r="O390" i="28"/>
  <c r="E390" i="28"/>
  <c r="M390" i="28"/>
  <c r="U389" i="28"/>
  <c r="J389" i="28"/>
  <c r="I390" i="28" l="1"/>
  <c r="W390" i="28"/>
  <c r="K390" i="28"/>
  <c r="W390" i="4"/>
  <c r="AP390" i="4" s="1"/>
  <c r="AD389" i="4"/>
  <c r="AM388" i="4"/>
  <c r="AN388" i="4" s="1"/>
  <c r="AF388" i="4"/>
  <c r="V389" i="28"/>
  <c r="L389" i="28"/>
  <c r="Q389" i="28"/>
  <c r="R389" i="28" s="1"/>
  <c r="T389" i="28" s="1"/>
  <c r="AC390" i="4"/>
  <c r="AU393" i="4"/>
  <c r="B392" i="4"/>
  <c r="O391" i="28"/>
  <c r="M391" i="28"/>
  <c r="N391" i="28"/>
  <c r="P391" i="28"/>
  <c r="E391" i="28"/>
  <c r="U390" i="28"/>
  <c r="V390" i="28" s="1"/>
  <c r="J390" i="28"/>
  <c r="AE390" i="4"/>
  <c r="AK391" i="4"/>
  <c r="E391" i="4"/>
  <c r="V391" i="4" s="1"/>
  <c r="H391" i="4"/>
  <c r="AG391" i="4"/>
  <c r="AB391" i="4"/>
  <c r="AI391" i="4"/>
  <c r="J391" i="4"/>
  <c r="AO391" i="4" s="1"/>
  <c r="AL391" i="4"/>
  <c r="K391" i="4"/>
  <c r="X391" i="4" s="1"/>
  <c r="AJ391" i="4"/>
  <c r="G391" i="4"/>
  <c r="M391" i="4"/>
  <c r="Z391" i="4" s="1"/>
  <c r="L391" i="4"/>
  <c r="Y391" i="4" s="1"/>
  <c r="AH391" i="4"/>
  <c r="I391" i="4"/>
  <c r="B392" i="28"/>
  <c r="F392" i="28" s="1"/>
  <c r="Y393" i="28"/>
  <c r="I391" i="28" l="1"/>
  <c r="W391" i="28"/>
  <c r="AD390" i="4"/>
  <c r="AF390" i="4" s="1"/>
  <c r="W391" i="4"/>
  <c r="AP391" i="4" s="1"/>
  <c r="K391" i="28"/>
  <c r="Q390" i="28"/>
  <c r="R390" i="28" s="1"/>
  <c r="T390" i="28" s="1"/>
  <c r="L390" i="28"/>
  <c r="AF389" i="4"/>
  <c r="AM389" i="4"/>
  <c r="AN389" i="4" s="1"/>
  <c r="AK392" i="4"/>
  <c r="AI392" i="4"/>
  <c r="I392" i="4"/>
  <c r="K392" i="4"/>
  <c r="X392" i="4" s="1"/>
  <c r="AB392" i="4"/>
  <c r="H392" i="4"/>
  <c r="J392" i="4"/>
  <c r="AO392" i="4" s="1"/>
  <c r="AH392" i="4"/>
  <c r="L392" i="4"/>
  <c r="Y392" i="4" s="1"/>
  <c r="AJ392" i="4"/>
  <c r="G392" i="4"/>
  <c r="E392" i="4"/>
  <c r="V392" i="4" s="1"/>
  <c r="M392" i="4"/>
  <c r="Z392" i="4" s="1"/>
  <c r="AL392" i="4"/>
  <c r="AG392" i="4"/>
  <c r="B393" i="28"/>
  <c r="F393" i="28" s="1"/>
  <c r="Y394" i="28"/>
  <c r="AC391" i="4"/>
  <c r="J391" i="28"/>
  <c r="U391" i="28"/>
  <c r="V391" i="28" s="1"/>
  <c r="B393" i="4"/>
  <c r="AU394" i="4"/>
  <c r="N392" i="28"/>
  <c r="P392" i="28"/>
  <c r="O392" i="28"/>
  <c r="E392" i="28"/>
  <c r="M392" i="28"/>
  <c r="AE391" i="4"/>
  <c r="I392" i="28" l="1"/>
  <c r="W392" i="28"/>
  <c r="W392" i="4"/>
  <c r="AP392" i="4" s="1"/>
  <c r="AD391" i="4"/>
  <c r="AM391" i="4" s="1"/>
  <c r="AN391" i="4" s="1"/>
  <c r="AM390" i="4"/>
  <c r="AN390" i="4" s="1"/>
  <c r="AE392" i="4"/>
  <c r="K392" i="28"/>
  <c r="AK393" i="4"/>
  <c r="I393" i="4"/>
  <c r="AB393" i="4"/>
  <c r="AH393" i="4"/>
  <c r="K393" i="4"/>
  <c r="X393" i="4" s="1"/>
  <c r="G393" i="4"/>
  <c r="AL393" i="4"/>
  <c r="J393" i="4"/>
  <c r="AO393" i="4" s="1"/>
  <c r="E393" i="4"/>
  <c r="V393" i="4" s="1"/>
  <c r="H393" i="4"/>
  <c r="AJ393" i="4"/>
  <c r="M393" i="4"/>
  <c r="Z393" i="4" s="1"/>
  <c r="AI393" i="4"/>
  <c r="L393" i="4"/>
  <c r="Y393" i="4" s="1"/>
  <c r="AG393" i="4"/>
  <c r="B394" i="28"/>
  <c r="F394" i="28" s="1"/>
  <c r="Y395" i="28"/>
  <c r="M393" i="28"/>
  <c r="P393" i="28"/>
  <c r="N393" i="28"/>
  <c r="O393" i="28"/>
  <c r="E393" i="28"/>
  <c r="AC392" i="4"/>
  <c r="U392" i="28"/>
  <c r="J392" i="28"/>
  <c r="Q391" i="28"/>
  <c r="R391" i="28" s="1"/>
  <c r="T391" i="28" s="1"/>
  <c r="L391" i="28"/>
  <c r="AU395" i="4"/>
  <c r="B394" i="4"/>
  <c r="I393" i="28" l="1"/>
  <c r="W393" i="28"/>
  <c r="AD392" i="4"/>
  <c r="AF392" i="4" s="1"/>
  <c r="K393" i="28"/>
  <c r="W393" i="4"/>
  <c r="AP393" i="4" s="1"/>
  <c r="AF391" i="4"/>
  <c r="J393" i="28"/>
  <c r="U393" i="28"/>
  <c r="M394" i="28"/>
  <c r="N394" i="28"/>
  <c r="P394" i="28"/>
  <c r="O394" i="28"/>
  <c r="E394" i="28"/>
  <c r="AE393" i="4"/>
  <c r="V392" i="28"/>
  <c r="AK394" i="4"/>
  <c r="E394" i="4"/>
  <c r="V394" i="4" s="1"/>
  <c r="AH394" i="4"/>
  <c r="M394" i="4"/>
  <c r="Z394" i="4" s="1"/>
  <c r="L394" i="4"/>
  <c r="Y394" i="4" s="1"/>
  <c r="AI394" i="4"/>
  <c r="G394" i="4"/>
  <c r="I394" i="4"/>
  <c r="AG394" i="4"/>
  <c r="J394" i="4"/>
  <c r="AO394" i="4" s="1"/>
  <c r="AJ394" i="4"/>
  <c r="H394" i="4"/>
  <c r="K394" i="4"/>
  <c r="X394" i="4" s="1"/>
  <c r="AL394" i="4"/>
  <c r="AB394" i="4"/>
  <c r="Q392" i="28"/>
  <c r="R392" i="28" s="1"/>
  <c r="T392" i="28" s="1"/>
  <c r="L392" i="28"/>
  <c r="B395" i="4"/>
  <c r="AU396" i="4"/>
  <c r="AM392" i="4"/>
  <c r="AN392" i="4" s="1"/>
  <c r="V393" i="28"/>
  <c r="Y396" i="28"/>
  <c r="B395" i="28"/>
  <c r="F395" i="28" s="1"/>
  <c r="AC393" i="4"/>
  <c r="I394" i="28" l="1"/>
  <c r="W394" i="28"/>
  <c r="AD393" i="4"/>
  <c r="W394" i="4"/>
  <c r="AP394" i="4" s="1"/>
  <c r="K394" i="28"/>
  <c r="B396" i="28"/>
  <c r="F396" i="28" s="1"/>
  <c r="Y397" i="28"/>
  <c r="AU397" i="4"/>
  <c r="B396" i="4"/>
  <c r="AK395" i="4"/>
  <c r="H395" i="4"/>
  <c r="AI395" i="4"/>
  <c r="E395" i="4"/>
  <c r="V395" i="4" s="1"/>
  <c r="M395" i="4"/>
  <c r="Z395" i="4" s="1"/>
  <c r="AG395" i="4"/>
  <c r="J395" i="4"/>
  <c r="AO395" i="4" s="1"/>
  <c r="AB395" i="4"/>
  <c r="AL395" i="4"/>
  <c r="L395" i="4"/>
  <c r="Y395" i="4" s="1"/>
  <c r="AJ395" i="4"/>
  <c r="K395" i="4"/>
  <c r="X395" i="4" s="1"/>
  <c r="AH395" i="4"/>
  <c r="G395" i="4"/>
  <c r="I395" i="4"/>
  <c r="AE394" i="4"/>
  <c r="O395" i="28"/>
  <c r="E395" i="28"/>
  <c r="M395" i="28"/>
  <c r="P395" i="28"/>
  <c r="N395" i="28"/>
  <c r="AC394" i="4"/>
  <c r="U394" i="28"/>
  <c r="J394" i="28"/>
  <c r="L393" i="28"/>
  <c r="Q393" i="28"/>
  <c r="R393" i="28" s="1"/>
  <c r="T393" i="28" s="1"/>
  <c r="I395" i="28" l="1"/>
  <c r="W395" i="28"/>
  <c r="W395" i="4"/>
  <c r="AP395" i="4" s="1"/>
  <c r="AD394" i="4"/>
  <c r="AF394" i="4" s="1"/>
  <c r="K395" i="28"/>
  <c r="V394" i="28"/>
  <c r="U395" i="28"/>
  <c r="J395" i="28"/>
  <c r="AC395" i="4"/>
  <c r="AK396" i="4"/>
  <c r="M396" i="4"/>
  <c r="Z396" i="4" s="1"/>
  <c r="I396" i="4"/>
  <c r="AB396" i="4"/>
  <c r="AH396" i="4"/>
  <c r="G396" i="4"/>
  <c r="AG396" i="4"/>
  <c r="L396" i="4"/>
  <c r="Y396" i="4" s="1"/>
  <c r="E396" i="4"/>
  <c r="V396" i="4" s="1"/>
  <c r="H396" i="4"/>
  <c r="AJ396" i="4"/>
  <c r="K396" i="4"/>
  <c r="AL396" i="4"/>
  <c r="J396" i="4"/>
  <c r="AO396" i="4" s="1"/>
  <c r="B397" i="4"/>
  <c r="AU398" i="4"/>
  <c r="Y398" i="28"/>
  <c r="B397" i="28"/>
  <c r="F397" i="28" s="1"/>
  <c r="AF393" i="4"/>
  <c r="AM393" i="4"/>
  <c r="AN393" i="4" s="1"/>
  <c r="L394" i="28"/>
  <c r="Q394" i="28"/>
  <c r="R394" i="28" s="1"/>
  <c r="T394" i="28" s="1"/>
  <c r="AE395" i="4"/>
  <c r="N396" i="28"/>
  <c r="O396" i="28"/>
  <c r="E396" i="28"/>
  <c r="M396" i="28"/>
  <c r="P396" i="28"/>
  <c r="I396" i="28" l="1"/>
  <c r="W396" i="28"/>
  <c r="AD395" i="4"/>
  <c r="AM394" i="4"/>
  <c r="AN394" i="4" s="1"/>
  <c r="X396" i="4"/>
  <c r="AC396" i="4" s="1"/>
  <c r="W396" i="4"/>
  <c r="AP396" i="4" s="1"/>
  <c r="AF395" i="4"/>
  <c r="K396" i="28"/>
  <c r="V395" i="28"/>
  <c r="AU399" i="4"/>
  <c r="B398" i="4"/>
  <c r="AK397" i="4"/>
  <c r="AB397" i="4"/>
  <c r="I397" i="4"/>
  <c r="L397" i="4"/>
  <c r="Y397" i="4" s="1"/>
  <c r="AH397" i="4"/>
  <c r="M397" i="4"/>
  <c r="Z397" i="4" s="1"/>
  <c r="G397" i="4"/>
  <c r="K397" i="4"/>
  <c r="X397" i="4" s="1"/>
  <c r="AI397" i="4"/>
  <c r="J397" i="4"/>
  <c r="AO397" i="4" s="1"/>
  <c r="AL397" i="4"/>
  <c r="AJ397" i="4"/>
  <c r="E397" i="4"/>
  <c r="V397" i="4" s="1"/>
  <c r="H397" i="4"/>
  <c r="AG397" i="4"/>
  <c r="Y399" i="28"/>
  <c r="B398" i="28"/>
  <c r="F398" i="28" s="1"/>
  <c r="J396" i="28"/>
  <c r="U396" i="28"/>
  <c r="P397" i="28"/>
  <c r="O397" i="28"/>
  <c r="M397" i="28"/>
  <c r="N397" i="28"/>
  <c r="E397" i="28"/>
  <c r="Q395" i="28"/>
  <c r="R395" i="28" s="1"/>
  <c r="T395" i="28" s="1"/>
  <c r="L395" i="28"/>
  <c r="I397" i="28" l="1"/>
  <c r="W397" i="28"/>
  <c r="V396" i="28"/>
  <c r="AD396" i="4"/>
  <c r="W397" i="4"/>
  <c r="AP397" i="4" s="1"/>
  <c r="AM395" i="4"/>
  <c r="AN395" i="4" s="1"/>
  <c r="K397" i="28"/>
  <c r="J397" i="28"/>
  <c r="U397" i="28"/>
  <c r="L396" i="28"/>
  <c r="Q396" i="28"/>
  <c r="R396" i="28" s="1"/>
  <c r="T396" i="28" s="1"/>
  <c r="AK398" i="4"/>
  <c r="AI398" i="4"/>
  <c r="G398" i="4"/>
  <c r="L398" i="4"/>
  <c r="Y398" i="4" s="1"/>
  <c r="J398" i="4"/>
  <c r="AO398" i="4" s="1"/>
  <c r="M398" i="4"/>
  <c r="Z398" i="4" s="1"/>
  <c r="AL398" i="4"/>
  <c r="H398" i="4"/>
  <c r="AH398" i="4"/>
  <c r="K398" i="4"/>
  <c r="X398" i="4" s="1"/>
  <c r="AG398" i="4"/>
  <c r="I398" i="4"/>
  <c r="AJ398" i="4"/>
  <c r="E398" i="4"/>
  <c r="V398" i="4" s="1"/>
  <c r="AB398" i="4"/>
  <c r="B399" i="4"/>
  <c r="AU400" i="4"/>
  <c r="M398" i="28"/>
  <c r="O398" i="28"/>
  <c r="N398" i="28"/>
  <c r="E398" i="28"/>
  <c r="P398" i="28"/>
  <c r="B399" i="28"/>
  <c r="F399" i="28" s="1"/>
  <c r="Y400" i="28"/>
  <c r="AC397" i="4"/>
  <c r="AE397" i="4"/>
  <c r="I398" i="28" l="1"/>
  <c r="W398" i="28"/>
  <c r="AD397" i="4"/>
  <c r="W398" i="4"/>
  <c r="AP398" i="4" s="1"/>
  <c r="K398" i="28"/>
  <c r="V397" i="28"/>
  <c r="Y401" i="28"/>
  <c r="B400" i="28"/>
  <c r="F400" i="28" s="1"/>
  <c r="AE398" i="4"/>
  <c r="O399" i="28"/>
  <c r="P399" i="28"/>
  <c r="M399" i="28"/>
  <c r="N399" i="28"/>
  <c r="E399" i="28"/>
  <c r="J398" i="28"/>
  <c r="U398" i="28"/>
  <c r="B400" i="4"/>
  <c r="AU401" i="4"/>
  <c r="AC398" i="4"/>
  <c r="L397" i="28"/>
  <c r="Q397" i="28"/>
  <c r="R397" i="28" s="1"/>
  <c r="T397" i="28" s="1"/>
  <c r="AK399" i="4"/>
  <c r="AH399" i="4"/>
  <c r="G399" i="4"/>
  <c r="K399" i="4"/>
  <c r="X399" i="4" s="1"/>
  <c r="AI399" i="4"/>
  <c r="AL399" i="4"/>
  <c r="AJ399" i="4"/>
  <c r="E399" i="4"/>
  <c r="V399" i="4" s="1"/>
  <c r="I399" i="4"/>
  <c r="J399" i="4"/>
  <c r="AO399" i="4" s="1"/>
  <c r="M399" i="4"/>
  <c r="Z399" i="4" s="1"/>
  <c r="AB399" i="4"/>
  <c r="H399" i="4"/>
  <c r="AG399" i="4"/>
  <c r="L399" i="4"/>
  <c r="Y399" i="4" s="1"/>
  <c r="I399" i="28" l="1"/>
  <c r="W399" i="28"/>
  <c r="AD398" i="4"/>
  <c r="AF398" i="4" s="1"/>
  <c r="W399" i="4"/>
  <c r="AP399" i="4" s="1"/>
  <c r="K399" i="28"/>
  <c r="V398" i="28"/>
  <c r="AM397" i="4"/>
  <c r="AN397" i="4" s="1"/>
  <c r="AF397" i="4"/>
  <c r="AC399" i="4"/>
  <c r="AU402" i="4"/>
  <c r="B401" i="4"/>
  <c r="J399" i="28"/>
  <c r="U399" i="28"/>
  <c r="AK400" i="4"/>
  <c r="K400" i="4"/>
  <c r="X400" i="4" s="1"/>
  <c r="J400" i="4"/>
  <c r="AO400" i="4" s="1"/>
  <c r="AB400" i="4"/>
  <c r="AG400" i="4"/>
  <c r="I400" i="4"/>
  <c r="H400" i="4"/>
  <c r="AH400" i="4"/>
  <c r="L400" i="4"/>
  <c r="Y400" i="4" s="1"/>
  <c r="AL400" i="4"/>
  <c r="AI400" i="4"/>
  <c r="E400" i="4"/>
  <c r="V400" i="4" s="1"/>
  <c r="M400" i="4"/>
  <c r="Z400" i="4" s="1"/>
  <c r="AJ400" i="4"/>
  <c r="G400" i="4"/>
  <c r="M400" i="28"/>
  <c r="N400" i="28"/>
  <c r="O400" i="28"/>
  <c r="E400" i="28"/>
  <c r="P400" i="28"/>
  <c r="AE399" i="4"/>
  <c r="B401" i="28"/>
  <c r="F401" i="28" s="1"/>
  <c r="Y402" i="28"/>
  <c r="AM398" i="4"/>
  <c r="AN398" i="4" s="1"/>
  <c r="L398" i="28"/>
  <c r="Q398" i="28"/>
  <c r="R398" i="28" s="1"/>
  <c r="T398" i="28" s="1"/>
  <c r="I400" i="28" l="1"/>
  <c r="W400" i="28"/>
  <c r="W400" i="4"/>
  <c r="AP400" i="4" s="1"/>
  <c r="AD399" i="4"/>
  <c r="K400" i="28"/>
  <c r="V399" i="28"/>
  <c r="AE400" i="4"/>
  <c r="AC400" i="4"/>
  <c r="B402" i="28"/>
  <c r="F402" i="28" s="1"/>
  <c r="Y403" i="28"/>
  <c r="Q399" i="28"/>
  <c r="R399" i="28" s="1"/>
  <c r="T399" i="28" s="1"/>
  <c r="L399" i="28"/>
  <c r="O401" i="28"/>
  <c r="M401" i="28"/>
  <c r="E401" i="28"/>
  <c r="N401" i="28"/>
  <c r="P401" i="28"/>
  <c r="J400" i="28"/>
  <c r="U400" i="28"/>
  <c r="AK401" i="4"/>
  <c r="AJ401" i="4"/>
  <c r="H401" i="4"/>
  <c r="J401" i="4"/>
  <c r="AO401" i="4" s="1"/>
  <c r="E401" i="4"/>
  <c r="V401" i="4" s="1"/>
  <c r="I401" i="4"/>
  <c r="M401" i="4"/>
  <c r="Z401" i="4" s="1"/>
  <c r="AB401" i="4"/>
  <c r="AH401" i="4"/>
  <c r="AI401" i="4"/>
  <c r="AL401" i="4"/>
  <c r="G401" i="4"/>
  <c r="K401" i="4"/>
  <c r="X401" i="4" s="1"/>
  <c r="AG401" i="4"/>
  <c r="L401" i="4"/>
  <c r="Y401" i="4" s="1"/>
  <c r="AU403" i="4"/>
  <c r="B402" i="4"/>
  <c r="I401" i="28" l="1"/>
  <c r="W401" i="28"/>
  <c r="AD400" i="4"/>
  <c r="AF400" i="4" s="1"/>
  <c r="W401" i="4"/>
  <c r="AP401" i="4" s="1"/>
  <c r="K401" i="28"/>
  <c r="AC401" i="4"/>
  <c r="V400" i="28"/>
  <c r="L400" i="28"/>
  <c r="Q400" i="28"/>
  <c r="R400" i="28" s="1"/>
  <c r="T400" i="28" s="1"/>
  <c r="Y404" i="28"/>
  <c r="B403" i="28"/>
  <c r="F403" i="28" s="1"/>
  <c r="AF399" i="4"/>
  <c r="AM399" i="4"/>
  <c r="AN399" i="4" s="1"/>
  <c r="N402" i="28"/>
  <c r="E402" i="28"/>
  <c r="P402" i="28"/>
  <c r="M402" i="28"/>
  <c r="O402" i="28"/>
  <c r="AK402" i="4"/>
  <c r="AG402" i="4"/>
  <c r="I402" i="4"/>
  <c r="M402" i="4"/>
  <c r="Z402" i="4" s="1"/>
  <c r="AJ402" i="4"/>
  <c r="G402" i="4"/>
  <c r="J402" i="4"/>
  <c r="AO402" i="4" s="1"/>
  <c r="K402" i="4"/>
  <c r="X402" i="4" s="1"/>
  <c r="AH402" i="4"/>
  <c r="H402" i="4"/>
  <c r="AB402" i="4"/>
  <c r="AL402" i="4"/>
  <c r="AI402" i="4"/>
  <c r="L402" i="4"/>
  <c r="Y402" i="4" s="1"/>
  <c r="E402" i="4"/>
  <c r="V402" i="4" s="1"/>
  <c r="B403" i="4"/>
  <c r="AU404" i="4"/>
  <c r="AM400" i="4"/>
  <c r="AN400" i="4" s="1"/>
  <c r="AE401" i="4"/>
  <c r="U401" i="28"/>
  <c r="J401" i="28"/>
  <c r="I402" i="28" l="1"/>
  <c r="W402" i="28"/>
  <c r="AD401" i="4"/>
  <c r="AM401" i="4" s="1"/>
  <c r="AN401" i="4" s="1"/>
  <c r="W402" i="4"/>
  <c r="AP402" i="4" s="1"/>
  <c r="K402" i="28"/>
  <c r="B404" i="4"/>
  <c r="AU405" i="4"/>
  <c r="E403" i="28"/>
  <c r="P403" i="28"/>
  <c r="M403" i="28"/>
  <c r="O403" i="28"/>
  <c r="N403" i="28"/>
  <c r="AK403" i="4"/>
  <c r="I403" i="4"/>
  <c r="AJ403" i="4"/>
  <c r="AB403" i="4"/>
  <c r="L403" i="4"/>
  <c r="Y403" i="4" s="1"/>
  <c r="E403" i="4"/>
  <c r="V403" i="4" s="1"/>
  <c r="J403" i="4"/>
  <c r="AO403" i="4" s="1"/>
  <c r="AH403" i="4"/>
  <c r="K403" i="4"/>
  <c r="X403" i="4" s="1"/>
  <c r="M403" i="4"/>
  <c r="Z403" i="4" s="1"/>
  <c r="AI403" i="4"/>
  <c r="H403" i="4"/>
  <c r="AL403" i="4"/>
  <c r="AG403" i="4"/>
  <c r="G403" i="4"/>
  <c r="AE402" i="4"/>
  <c r="AC402" i="4"/>
  <c r="Y405" i="28"/>
  <c r="B404" i="28"/>
  <c r="F404" i="28" s="1"/>
  <c r="J402" i="28"/>
  <c r="U402" i="28"/>
  <c r="V401" i="28"/>
  <c r="Q401" i="28"/>
  <c r="R401" i="28" s="1"/>
  <c r="T401" i="28" s="1"/>
  <c r="L401" i="28"/>
  <c r="I403" i="28" l="1"/>
  <c r="W403" i="28"/>
  <c r="AF401" i="4"/>
  <c r="W403" i="4"/>
  <c r="AP403" i="4" s="1"/>
  <c r="AD402" i="4"/>
  <c r="AC403" i="4"/>
  <c r="K403" i="28"/>
  <c r="V402" i="28"/>
  <c r="J403" i="28"/>
  <c r="U403" i="28"/>
  <c r="AE403" i="4"/>
  <c r="B405" i="4"/>
  <c r="AU406" i="4"/>
  <c r="B405" i="28"/>
  <c r="F405" i="28" s="1"/>
  <c r="Y406" i="28"/>
  <c r="Q402" i="28"/>
  <c r="R402" i="28" s="1"/>
  <c r="T402" i="28" s="1"/>
  <c r="L402" i="28"/>
  <c r="M404" i="28"/>
  <c r="O404" i="28"/>
  <c r="N404" i="28"/>
  <c r="P404" i="28"/>
  <c r="E404" i="28"/>
  <c r="V403" i="28"/>
  <c r="AK404" i="4"/>
  <c r="AH404" i="4"/>
  <c r="AI404" i="4"/>
  <c r="AL404" i="4"/>
  <c r="AJ404" i="4"/>
  <c r="J404" i="4"/>
  <c r="AO404" i="4" s="1"/>
  <c r="M404" i="4"/>
  <c r="Z404" i="4" s="1"/>
  <c r="AB404" i="4"/>
  <c r="H404" i="4"/>
  <c r="L404" i="4"/>
  <c r="Y404" i="4" s="1"/>
  <c r="AG404" i="4"/>
  <c r="K404" i="4"/>
  <c r="X404" i="4" s="1"/>
  <c r="E404" i="4"/>
  <c r="V404" i="4" s="1"/>
  <c r="I404" i="4"/>
  <c r="G404" i="4"/>
  <c r="I404" i="28" l="1"/>
  <c r="W404" i="28"/>
  <c r="AD403" i="4"/>
  <c r="AM403" i="4" s="1"/>
  <c r="AN403" i="4" s="1"/>
  <c r="W404" i="4"/>
  <c r="AP404" i="4" s="1"/>
  <c r="K404" i="28"/>
  <c r="AC404" i="4"/>
  <c r="Y407" i="28"/>
  <c r="B406" i="28"/>
  <c r="F406" i="28" s="1"/>
  <c r="AE404" i="4"/>
  <c r="AF402" i="4"/>
  <c r="AM402" i="4"/>
  <c r="AN402" i="4" s="1"/>
  <c r="N405" i="28"/>
  <c r="O405" i="28"/>
  <c r="P405" i="28"/>
  <c r="E405" i="28"/>
  <c r="M405" i="28"/>
  <c r="J404" i="28"/>
  <c r="U404" i="28"/>
  <c r="B406" i="4"/>
  <c r="AU407" i="4"/>
  <c r="AK405" i="4"/>
  <c r="G405" i="4"/>
  <c r="AL405" i="4"/>
  <c r="AG405" i="4"/>
  <c r="I405" i="4"/>
  <c r="AJ405" i="4"/>
  <c r="J405" i="4"/>
  <c r="AO405" i="4" s="1"/>
  <c r="K405" i="4"/>
  <c r="X405" i="4" s="1"/>
  <c r="L405" i="4"/>
  <c r="Y405" i="4" s="1"/>
  <c r="E405" i="4"/>
  <c r="V405" i="4" s="1"/>
  <c r="H405" i="4"/>
  <c r="AH405" i="4"/>
  <c r="AI405" i="4"/>
  <c r="AB405" i="4"/>
  <c r="M405" i="4"/>
  <c r="Z405" i="4" s="1"/>
  <c r="Q403" i="28"/>
  <c r="R403" i="28" s="1"/>
  <c r="T403" i="28" s="1"/>
  <c r="L403" i="28"/>
  <c r="AD404" i="4" l="1"/>
  <c r="I405" i="28"/>
  <c r="W405" i="28"/>
  <c r="AF403" i="4"/>
  <c r="AM404" i="4"/>
  <c r="AN404" i="4" s="1"/>
  <c r="W405" i="4"/>
  <c r="AP405" i="4" s="1"/>
  <c r="K405" i="28"/>
  <c r="V404" i="28"/>
  <c r="AC405" i="4"/>
  <c r="AE405" i="4"/>
  <c r="AU408" i="4"/>
  <c r="B407" i="4"/>
  <c r="E406" i="28"/>
  <c r="P406" i="28"/>
  <c r="O406" i="28"/>
  <c r="M406" i="28"/>
  <c r="N406" i="28"/>
  <c r="AK406" i="4"/>
  <c r="J406" i="4"/>
  <c r="AO406" i="4" s="1"/>
  <c r="AJ406" i="4"/>
  <c r="L406" i="4"/>
  <c r="Y406" i="4" s="1"/>
  <c r="E406" i="4"/>
  <c r="V406" i="4" s="1"/>
  <c r="K406" i="4"/>
  <c r="X406" i="4" s="1"/>
  <c r="AG406" i="4"/>
  <c r="AL406" i="4"/>
  <c r="AH406" i="4"/>
  <c r="G406" i="4"/>
  <c r="AI406" i="4"/>
  <c r="I406" i="4"/>
  <c r="H406" i="4"/>
  <c r="AB406" i="4"/>
  <c r="M406" i="4"/>
  <c r="Z406" i="4" s="1"/>
  <c r="U405" i="28"/>
  <c r="J405" i="28"/>
  <c r="Y408" i="28"/>
  <c r="B407" i="28"/>
  <c r="F407" i="28" s="1"/>
  <c r="Q404" i="28"/>
  <c r="R404" i="28" s="1"/>
  <c r="T404" i="28" s="1"/>
  <c r="L404" i="28"/>
  <c r="I406" i="28" l="1"/>
  <c r="W406" i="28"/>
  <c r="V405" i="28"/>
  <c r="AF404" i="4"/>
  <c r="W406" i="4"/>
  <c r="AP406" i="4" s="1"/>
  <c r="AD405" i="4"/>
  <c r="K406" i="28"/>
  <c r="AE406" i="4"/>
  <c r="J406" i="28"/>
  <c r="U406" i="28"/>
  <c r="M407" i="28"/>
  <c r="N407" i="28"/>
  <c r="P407" i="28"/>
  <c r="E407" i="28"/>
  <c r="O407" i="28"/>
  <c r="AK407" i="4"/>
  <c r="AB407" i="4"/>
  <c r="AI407" i="4"/>
  <c r="G407" i="4"/>
  <c r="AJ407" i="4"/>
  <c r="AG407" i="4"/>
  <c r="M407" i="4"/>
  <c r="Z407" i="4" s="1"/>
  <c r="I407" i="4"/>
  <c r="J407" i="4"/>
  <c r="AO407" i="4" s="1"/>
  <c r="H407" i="4"/>
  <c r="E407" i="4"/>
  <c r="V407" i="4" s="1"/>
  <c r="AH407" i="4"/>
  <c r="K407" i="4"/>
  <c r="X407" i="4" s="1"/>
  <c r="AL407" i="4"/>
  <c r="L407" i="4"/>
  <c r="Y407" i="4" s="1"/>
  <c r="L405" i="28"/>
  <c r="Q405" i="28"/>
  <c r="R405" i="28" s="1"/>
  <c r="T405" i="28" s="1"/>
  <c r="B408" i="28"/>
  <c r="F408" i="28" s="1"/>
  <c r="Y409" i="28"/>
  <c r="AC406" i="4"/>
  <c r="AU409" i="4"/>
  <c r="B408" i="4"/>
  <c r="V406" i="28" l="1"/>
  <c r="I407" i="28"/>
  <c r="W407" i="28"/>
  <c r="AD406" i="4"/>
  <c r="AF406" i="4" s="1"/>
  <c r="W407" i="4"/>
  <c r="AP407" i="4" s="1"/>
  <c r="K407" i="28"/>
  <c r="AC407" i="4"/>
  <c r="B409" i="4"/>
  <c r="AU410" i="4"/>
  <c r="AF405" i="4"/>
  <c r="AM405" i="4"/>
  <c r="AN405" i="4" s="1"/>
  <c r="Y410" i="28"/>
  <c r="B409" i="28"/>
  <c r="F409" i="28" s="1"/>
  <c r="Q406" i="28"/>
  <c r="R406" i="28" s="1"/>
  <c r="T406" i="28" s="1"/>
  <c r="L406" i="28"/>
  <c r="AK408" i="4"/>
  <c r="AB408" i="4"/>
  <c r="H408" i="4"/>
  <c r="G408" i="4"/>
  <c r="L408" i="4"/>
  <c r="Y408" i="4" s="1"/>
  <c r="E408" i="4"/>
  <c r="V408" i="4" s="1"/>
  <c r="J408" i="4"/>
  <c r="AO408" i="4" s="1"/>
  <c r="AJ408" i="4"/>
  <c r="AI408" i="4"/>
  <c r="AH408" i="4"/>
  <c r="AG408" i="4"/>
  <c r="AL408" i="4"/>
  <c r="K408" i="4"/>
  <c r="X408" i="4" s="1"/>
  <c r="M408" i="4"/>
  <c r="Z408" i="4" s="1"/>
  <c r="I408" i="4"/>
  <c r="E408" i="28"/>
  <c r="P408" i="28"/>
  <c r="N408" i="28"/>
  <c r="O408" i="28"/>
  <c r="M408" i="28"/>
  <c r="AE407" i="4"/>
  <c r="J407" i="28"/>
  <c r="U407" i="28"/>
  <c r="V407" i="28" s="1"/>
  <c r="I408" i="28" l="1"/>
  <c r="W408" i="28"/>
  <c r="AM406" i="4"/>
  <c r="AN406" i="4" s="1"/>
  <c r="AD407" i="4"/>
  <c r="AM407" i="4" s="1"/>
  <c r="AN407" i="4" s="1"/>
  <c r="W408" i="4"/>
  <c r="AP408" i="4" s="1"/>
  <c r="AC408" i="4"/>
  <c r="K408" i="28"/>
  <c r="L407" i="28"/>
  <c r="Q407" i="28"/>
  <c r="R407" i="28" s="1"/>
  <c r="T407" i="28" s="1"/>
  <c r="U408" i="28"/>
  <c r="J408" i="28"/>
  <c r="AE408" i="4"/>
  <c r="Y411" i="28"/>
  <c r="B410" i="28"/>
  <c r="F410" i="28" s="1"/>
  <c r="B410" i="4"/>
  <c r="AU411" i="4"/>
  <c r="P409" i="28"/>
  <c r="E409" i="28"/>
  <c r="M409" i="28"/>
  <c r="N409" i="28"/>
  <c r="O409" i="28"/>
  <c r="AK409" i="4"/>
  <c r="AG409" i="4"/>
  <c r="AL409" i="4"/>
  <c r="I409" i="4"/>
  <c r="AI409" i="4"/>
  <c r="AJ409" i="4"/>
  <c r="M409" i="4"/>
  <c r="Z409" i="4" s="1"/>
  <c r="AH409" i="4"/>
  <c r="J409" i="4"/>
  <c r="AO409" i="4" s="1"/>
  <c r="K409" i="4"/>
  <c r="X409" i="4" s="1"/>
  <c r="AB409" i="4"/>
  <c r="G409" i="4"/>
  <c r="L409" i="4"/>
  <c r="Y409" i="4" s="1"/>
  <c r="E409" i="4"/>
  <c r="V409" i="4" s="1"/>
  <c r="H409" i="4"/>
  <c r="I409" i="28" l="1"/>
  <c r="W409" i="28"/>
  <c r="AF407" i="4"/>
  <c r="AD408" i="4"/>
  <c r="W409" i="4"/>
  <c r="AP409" i="4" s="1"/>
  <c r="K409" i="28"/>
  <c r="V408" i="28"/>
  <c r="AE409" i="4"/>
  <c r="J409" i="28"/>
  <c r="U409" i="28"/>
  <c r="AK410" i="4"/>
  <c r="H410" i="4"/>
  <c r="AI410" i="4"/>
  <c r="AB410" i="4"/>
  <c r="J410" i="4"/>
  <c r="AO410" i="4" s="1"/>
  <c r="G410" i="4"/>
  <c r="I410" i="4"/>
  <c r="L410" i="4"/>
  <c r="Y410" i="4" s="1"/>
  <c r="AJ410" i="4"/>
  <c r="AL410" i="4"/>
  <c r="E410" i="4"/>
  <c r="V410" i="4" s="1"/>
  <c r="AG410" i="4"/>
  <c r="AH410" i="4"/>
  <c r="K410" i="4"/>
  <c r="X410" i="4" s="1"/>
  <c r="M410" i="4"/>
  <c r="Z410" i="4" s="1"/>
  <c r="E410" i="28"/>
  <c r="M410" i="28"/>
  <c r="P410" i="28"/>
  <c r="N410" i="28"/>
  <c r="O410" i="28"/>
  <c r="L408" i="28"/>
  <c r="Q408" i="28"/>
  <c r="R408" i="28" s="1"/>
  <c r="T408" i="28" s="1"/>
  <c r="AC409" i="4"/>
  <c r="V409" i="28"/>
  <c r="Y412" i="28"/>
  <c r="B411" i="28"/>
  <c r="F411" i="28" s="1"/>
  <c r="B411" i="4"/>
  <c r="AU412" i="4"/>
  <c r="I410" i="28" l="1"/>
  <c r="W410" i="28"/>
  <c r="AD409" i="4"/>
  <c r="W410" i="4"/>
  <c r="AP410" i="4" s="1"/>
  <c r="K410" i="28"/>
  <c r="AC410" i="4"/>
  <c r="AF408" i="4"/>
  <c r="AM408" i="4"/>
  <c r="AN408" i="4" s="1"/>
  <c r="U410" i="28"/>
  <c r="J410" i="28"/>
  <c r="B412" i="4"/>
  <c r="AU413" i="4"/>
  <c r="P411" i="28"/>
  <c r="M411" i="28"/>
  <c r="N411" i="28"/>
  <c r="E411" i="28"/>
  <c r="O411" i="28"/>
  <c r="AK411" i="4"/>
  <c r="AG411" i="4"/>
  <c r="AL411" i="4"/>
  <c r="AJ411" i="4"/>
  <c r="G411" i="4"/>
  <c r="J411" i="4"/>
  <c r="AO411" i="4" s="1"/>
  <c r="E411" i="4"/>
  <c r="V411" i="4" s="1"/>
  <c r="AH411" i="4"/>
  <c r="AB411" i="4"/>
  <c r="L411" i="4"/>
  <c r="Y411" i="4" s="1"/>
  <c r="I411" i="4"/>
  <c r="M411" i="4"/>
  <c r="Z411" i="4" s="1"/>
  <c r="AI411" i="4"/>
  <c r="K411" i="4"/>
  <c r="X411" i="4" s="1"/>
  <c r="H411" i="4"/>
  <c r="B412" i="28"/>
  <c r="F412" i="28" s="1"/>
  <c r="Y413" i="28"/>
  <c r="L409" i="28"/>
  <c r="Q409" i="28"/>
  <c r="R409" i="28" s="1"/>
  <c r="T409" i="28" s="1"/>
  <c r="V410" i="28"/>
  <c r="AE410" i="4"/>
  <c r="I411" i="28" l="1"/>
  <c r="W411" i="28"/>
  <c r="AD410" i="4"/>
  <c r="W411" i="4"/>
  <c r="AP411" i="4" s="1"/>
  <c r="K411" i="28"/>
  <c r="AC411" i="4"/>
  <c r="B413" i="28"/>
  <c r="F413" i="28" s="1"/>
  <c r="Y414" i="28"/>
  <c r="B413" i="4"/>
  <c r="AU414" i="4"/>
  <c r="AM409" i="4"/>
  <c r="AN409" i="4" s="1"/>
  <c r="AF409" i="4"/>
  <c r="AK412" i="4"/>
  <c r="AH412" i="4"/>
  <c r="J412" i="4"/>
  <c r="AO412" i="4" s="1"/>
  <c r="M412" i="4"/>
  <c r="Z412" i="4" s="1"/>
  <c r="L412" i="4"/>
  <c r="Y412" i="4" s="1"/>
  <c r="AL412" i="4"/>
  <c r="AJ412" i="4"/>
  <c r="E412" i="4"/>
  <c r="V412" i="4" s="1"/>
  <c r="K412" i="4"/>
  <c r="X412" i="4" s="1"/>
  <c r="I412" i="4"/>
  <c r="H412" i="4"/>
  <c r="AG412" i="4"/>
  <c r="G412" i="4"/>
  <c r="AB412" i="4"/>
  <c r="AI412" i="4"/>
  <c r="M412" i="28"/>
  <c r="E412" i="28"/>
  <c r="N412" i="28"/>
  <c r="P412" i="28"/>
  <c r="O412" i="28"/>
  <c r="AE411" i="4"/>
  <c r="U411" i="28"/>
  <c r="J411" i="28"/>
  <c r="Q410" i="28"/>
  <c r="R410" i="28" s="1"/>
  <c r="T410" i="28" s="1"/>
  <c r="L410" i="28"/>
  <c r="I412" i="28" l="1"/>
  <c r="W412" i="28"/>
  <c r="W412" i="4"/>
  <c r="AP412" i="4" s="1"/>
  <c r="AD411" i="4"/>
  <c r="AF411" i="4" s="1"/>
  <c r="K412" i="28"/>
  <c r="AC412" i="4"/>
  <c r="J412" i="28"/>
  <c r="U412" i="28"/>
  <c r="AE412" i="4"/>
  <c r="AU415" i="4"/>
  <c r="B414" i="4"/>
  <c r="M413" i="28"/>
  <c r="E413" i="28"/>
  <c r="P413" i="28"/>
  <c r="N413" i="28"/>
  <c r="O413" i="28"/>
  <c r="AK413" i="4"/>
  <c r="K413" i="4"/>
  <c r="X413" i="4" s="1"/>
  <c r="AL413" i="4"/>
  <c r="L413" i="4"/>
  <c r="Y413" i="4" s="1"/>
  <c r="J413" i="4"/>
  <c r="AO413" i="4" s="1"/>
  <c r="AI413" i="4"/>
  <c r="AH413" i="4"/>
  <c r="H413" i="4"/>
  <c r="M413" i="4"/>
  <c r="Z413" i="4" s="1"/>
  <c r="E413" i="4"/>
  <c r="V413" i="4" s="1"/>
  <c r="G413" i="4"/>
  <c r="AJ413" i="4"/>
  <c r="AG413" i="4"/>
  <c r="I413" i="4"/>
  <c r="AB413" i="4"/>
  <c r="V411" i="28"/>
  <c r="V412" i="28"/>
  <c r="L411" i="28"/>
  <c r="Q411" i="28"/>
  <c r="R411" i="28" s="1"/>
  <c r="T411" i="28" s="1"/>
  <c r="AM411" i="4"/>
  <c r="AN411" i="4" s="1"/>
  <c r="Y415" i="28"/>
  <c r="B414" i="28"/>
  <c r="F414" i="28" s="1"/>
  <c r="AF410" i="4"/>
  <c r="AM410" i="4"/>
  <c r="AN410" i="4" s="1"/>
  <c r="I413" i="28" l="1"/>
  <c r="W413" i="28"/>
  <c r="AD412" i="4"/>
  <c r="AM412" i="4" s="1"/>
  <c r="AN412" i="4" s="1"/>
  <c r="W413" i="4"/>
  <c r="AP413" i="4" s="1"/>
  <c r="K413" i="28"/>
  <c r="N414" i="28"/>
  <c r="P414" i="28"/>
  <c r="M414" i="28"/>
  <c r="O414" i="28"/>
  <c r="E414" i="28"/>
  <c r="B415" i="4"/>
  <c r="AU416" i="4"/>
  <c r="Y416" i="28"/>
  <c r="B415" i="28"/>
  <c r="F415" i="28" s="1"/>
  <c r="AE413" i="4"/>
  <c r="J413" i="28"/>
  <c r="U413" i="28"/>
  <c r="AC413" i="4"/>
  <c r="AK414" i="4"/>
  <c r="G414" i="4"/>
  <c r="L414" i="4"/>
  <c r="Y414" i="4" s="1"/>
  <c r="J414" i="4"/>
  <c r="AO414" i="4" s="1"/>
  <c r="AH414" i="4"/>
  <c r="I414" i="4"/>
  <c r="E414" i="4"/>
  <c r="V414" i="4" s="1"/>
  <c r="H414" i="4"/>
  <c r="AI414" i="4"/>
  <c r="AG414" i="4"/>
  <c r="AL414" i="4"/>
  <c r="M414" i="4"/>
  <c r="Z414" i="4" s="1"/>
  <c r="K414" i="4"/>
  <c r="X414" i="4" s="1"/>
  <c r="AB414" i="4"/>
  <c r="AJ414" i="4"/>
  <c r="L412" i="28"/>
  <c r="Q412" i="28"/>
  <c r="R412" i="28" s="1"/>
  <c r="T412" i="28" s="1"/>
  <c r="I414" i="28" l="1"/>
  <c r="W414" i="28"/>
  <c r="AD413" i="4"/>
  <c r="AM413" i="4" s="1"/>
  <c r="AN413" i="4" s="1"/>
  <c r="W414" i="4"/>
  <c r="AP414" i="4" s="1"/>
  <c r="AF412" i="4"/>
  <c r="M728" i="7"/>
  <c r="K414" i="28"/>
  <c r="V413" i="28"/>
  <c r="AC414" i="4"/>
  <c r="P415" i="28"/>
  <c r="M415" i="28"/>
  <c r="N415" i="28"/>
  <c r="E415" i="28"/>
  <c r="O415" i="28"/>
  <c r="AE414" i="4"/>
  <c r="B416" i="28"/>
  <c r="F416" i="28" s="1"/>
  <c r="Y417" i="28"/>
  <c r="U414" i="28"/>
  <c r="J414" i="28"/>
  <c r="Q413" i="28"/>
  <c r="R413" i="28" s="1"/>
  <c r="T413" i="28" s="1"/>
  <c r="L413" i="28"/>
  <c r="B416" i="4"/>
  <c r="AU417" i="4"/>
  <c r="AK415" i="4"/>
  <c r="E415" i="4"/>
  <c r="V415" i="4" s="1"/>
  <c r="G415" i="4"/>
  <c r="K415" i="4"/>
  <c r="X415" i="4" s="1"/>
  <c r="J415" i="4"/>
  <c r="AO415" i="4" s="1"/>
  <c r="AH415" i="4"/>
  <c r="L415" i="4"/>
  <c r="Y415" i="4" s="1"/>
  <c r="AI415" i="4"/>
  <c r="M415" i="4"/>
  <c r="Z415" i="4" s="1"/>
  <c r="AJ415" i="4"/>
  <c r="I415" i="4"/>
  <c r="H415" i="4"/>
  <c r="AL415" i="4"/>
  <c r="AG415" i="4"/>
  <c r="AB415" i="4"/>
  <c r="I415" i="28" l="1"/>
  <c r="W415" i="28"/>
  <c r="AD414" i="4"/>
  <c r="W415" i="4"/>
  <c r="AP415" i="4" s="1"/>
  <c r="AF413" i="4"/>
  <c r="K415" i="28"/>
  <c r="V414" i="28"/>
  <c r="AK416" i="4"/>
  <c r="H416" i="4"/>
  <c r="AG416" i="4"/>
  <c r="AI416" i="4"/>
  <c r="AJ416" i="4"/>
  <c r="L416" i="4"/>
  <c r="Y416" i="4" s="1"/>
  <c r="AL416" i="4"/>
  <c r="M416" i="4"/>
  <c r="Z416" i="4" s="1"/>
  <c r="AB416" i="4"/>
  <c r="AH416" i="4"/>
  <c r="E416" i="4"/>
  <c r="V416" i="4" s="1"/>
  <c r="K416" i="4"/>
  <c r="X416" i="4" s="1"/>
  <c r="G416" i="4"/>
  <c r="J416" i="4"/>
  <c r="AO416" i="4" s="1"/>
  <c r="I416" i="4"/>
  <c r="M416" i="28"/>
  <c r="P416" i="28"/>
  <c r="O416" i="28"/>
  <c r="N416" i="28"/>
  <c r="E416" i="28"/>
  <c r="L414" i="28"/>
  <c r="Q414" i="28"/>
  <c r="R414" i="28" s="1"/>
  <c r="T414" i="28" s="1"/>
  <c r="J415" i="28"/>
  <c r="U415" i="28"/>
  <c r="AE415" i="4"/>
  <c r="AC415" i="4"/>
  <c r="AU418" i="4"/>
  <c r="B417" i="4"/>
  <c r="Y418" i="28"/>
  <c r="B417" i="28"/>
  <c r="F417" i="28" s="1"/>
  <c r="I416" i="28" l="1"/>
  <c r="W416" i="28"/>
  <c r="V415" i="28"/>
  <c r="W416" i="4"/>
  <c r="AP416" i="4" s="1"/>
  <c r="AD415" i="4"/>
  <c r="AF415" i="4" s="1"/>
  <c r="K416" i="28"/>
  <c r="AE416" i="4"/>
  <c r="Y419" i="28"/>
  <c r="B418" i="28"/>
  <c r="F418" i="28" s="1"/>
  <c r="AK417" i="4"/>
  <c r="M417" i="4"/>
  <c r="Z417" i="4" s="1"/>
  <c r="G417" i="4"/>
  <c r="I417" i="4"/>
  <c r="K417" i="4"/>
  <c r="X417" i="4" s="1"/>
  <c r="AI417" i="4"/>
  <c r="AB417" i="4"/>
  <c r="E417" i="4"/>
  <c r="V417" i="4" s="1"/>
  <c r="J417" i="4"/>
  <c r="AO417" i="4" s="1"/>
  <c r="H417" i="4"/>
  <c r="L417" i="4"/>
  <c r="Y417" i="4" s="1"/>
  <c r="AH417" i="4"/>
  <c r="AJ417" i="4"/>
  <c r="AG417" i="4"/>
  <c r="AL417" i="4"/>
  <c r="M729" i="7"/>
  <c r="M730" i="7" s="1"/>
  <c r="M718" i="7" s="1"/>
  <c r="AF414" i="4"/>
  <c r="AM414" i="4"/>
  <c r="AN414" i="4" s="1"/>
  <c r="B418" i="4"/>
  <c r="AU419" i="4"/>
  <c r="O417" i="28"/>
  <c r="P417" i="28"/>
  <c r="N417" i="28"/>
  <c r="M417" i="28"/>
  <c r="E417" i="28"/>
  <c r="L415" i="28"/>
  <c r="Q415" i="28"/>
  <c r="R415" i="28" s="1"/>
  <c r="T415" i="28" s="1"/>
  <c r="U416" i="28"/>
  <c r="J416" i="28"/>
  <c r="AC416" i="4"/>
  <c r="I417" i="28" l="1"/>
  <c r="W417" i="28"/>
  <c r="AD416" i="4"/>
  <c r="AF416" i="4" s="1"/>
  <c r="W417" i="4"/>
  <c r="AP417" i="4" s="1"/>
  <c r="AM415" i="4"/>
  <c r="AN415" i="4" s="1"/>
  <c r="AC417" i="4"/>
  <c r="K417" i="28"/>
  <c r="Q416" i="28"/>
  <c r="R416" i="28" s="1"/>
  <c r="T416" i="28" s="1"/>
  <c r="L416" i="28"/>
  <c r="AU420" i="4"/>
  <c r="B419" i="4"/>
  <c r="O418" i="28"/>
  <c r="M418" i="28"/>
  <c r="P418" i="28"/>
  <c r="N418" i="28"/>
  <c r="E418" i="28"/>
  <c r="AK418" i="4"/>
  <c r="AB418" i="4"/>
  <c r="AI418" i="4"/>
  <c r="AL418" i="4"/>
  <c r="J418" i="4"/>
  <c r="AO418" i="4" s="1"/>
  <c r="I418" i="4"/>
  <c r="G418" i="4"/>
  <c r="L418" i="4"/>
  <c r="Y418" i="4" s="1"/>
  <c r="AH418" i="4"/>
  <c r="K418" i="4"/>
  <c r="X418" i="4" s="1"/>
  <c r="AJ418" i="4"/>
  <c r="AG418" i="4"/>
  <c r="H418" i="4"/>
  <c r="M418" i="4"/>
  <c r="Z418" i="4" s="1"/>
  <c r="E418" i="4"/>
  <c r="V418" i="4" s="1"/>
  <c r="AE417" i="4"/>
  <c r="B419" i="28"/>
  <c r="F419" i="28" s="1"/>
  <c r="Y420" i="28"/>
  <c r="J417" i="28"/>
  <c r="U417" i="28"/>
  <c r="V417" i="28" s="1"/>
  <c r="V416" i="28"/>
  <c r="I418" i="28" l="1"/>
  <c r="W418" i="28"/>
  <c r="W418" i="4"/>
  <c r="AP418" i="4" s="1"/>
  <c r="AD417" i="4"/>
  <c r="AM416" i="4"/>
  <c r="AN416" i="4" s="1"/>
  <c r="K418" i="28"/>
  <c r="J418" i="28"/>
  <c r="U418" i="28"/>
  <c r="AU421" i="4"/>
  <c r="B420" i="4"/>
  <c r="L417" i="28"/>
  <c r="Q417" i="28"/>
  <c r="R417" i="28" s="1"/>
  <c r="T417" i="28" s="1"/>
  <c r="Y421" i="28"/>
  <c r="B420" i="28"/>
  <c r="F420" i="28" s="1"/>
  <c r="E419" i="28"/>
  <c r="M419" i="28"/>
  <c r="O419" i="28"/>
  <c r="N419" i="28"/>
  <c r="P419" i="28"/>
  <c r="AC418" i="4"/>
  <c r="AE418" i="4"/>
  <c r="V418" i="28"/>
  <c r="AK419" i="4"/>
  <c r="E419" i="4"/>
  <c r="V419" i="4" s="1"/>
  <c r="AJ419" i="4"/>
  <c r="L419" i="4"/>
  <c r="Y419" i="4" s="1"/>
  <c r="M419" i="4"/>
  <c r="Z419" i="4" s="1"/>
  <c r="G419" i="4"/>
  <c r="AB419" i="4"/>
  <c r="AH419" i="4"/>
  <c r="AL419" i="4"/>
  <c r="AI419" i="4"/>
  <c r="I419" i="4"/>
  <c r="H419" i="4"/>
  <c r="AG419" i="4"/>
  <c r="J419" i="4"/>
  <c r="AO419" i="4" s="1"/>
  <c r="K419" i="4"/>
  <c r="X419" i="4" s="1"/>
  <c r="I419" i="28" l="1"/>
  <c r="W419" i="28"/>
  <c r="AD418" i="4"/>
  <c r="AM418" i="4" s="1"/>
  <c r="AN418" i="4" s="1"/>
  <c r="W419" i="4"/>
  <c r="AP419" i="4" s="1"/>
  <c r="K419" i="28"/>
  <c r="AC419" i="4"/>
  <c r="N420" i="28"/>
  <c r="E420" i="28"/>
  <c r="M420" i="28"/>
  <c r="P420" i="28"/>
  <c r="O420" i="28"/>
  <c r="AK420" i="4"/>
  <c r="H420" i="4"/>
  <c r="I420" i="4"/>
  <c r="AI420" i="4"/>
  <c r="L420" i="4"/>
  <c r="Y420" i="4" s="1"/>
  <c r="J420" i="4"/>
  <c r="AO420" i="4" s="1"/>
  <c r="AL420" i="4"/>
  <c r="AB420" i="4"/>
  <c r="G420" i="4"/>
  <c r="AJ420" i="4"/>
  <c r="K420" i="4"/>
  <c r="X420" i="4" s="1"/>
  <c r="AH420" i="4"/>
  <c r="M420" i="4"/>
  <c r="Z420" i="4" s="1"/>
  <c r="AG420" i="4"/>
  <c r="E420" i="4"/>
  <c r="V420" i="4" s="1"/>
  <c r="AF417" i="4"/>
  <c r="AM417" i="4"/>
  <c r="AN417" i="4" s="1"/>
  <c r="U419" i="28"/>
  <c r="J419" i="28"/>
  <c r="B421" i="28"/>
  <c r="F421" i="28" s="1"/>
  <c r="Y422" i="28"/>
  <c r="AU422" i="4"/>
  <c r="B421" i="4"/>
  <c r="AE419" i="4"/>
  <c r="Q418" i="28"/>
  <c r="R418" i="28" s="1"/>
  <c r="T418" i="28" s="1"/>
  <c r="L418" i="28"/>
  <c r="I420" i="28" l="1"/>
  <c r="W420" i="28"/>
  <c r="W420" i="4"/>
  <c r="AP420" i="4" s="1"/>
  <c r="AD419" i="4"/>
  <c r="AF418" i="4"/>
  <c r="K420" i="28"/>
  <c r="V419" i="28"/>
  <c r="AC420" i="4"/>
  <c r="B422" i="4"/>
  <c r="AU423" i="4"/>
  <c r="Y423" i="28"/>
  <c r="B422" i="28"/>
  <c r="F422" i="28" s="1"/>
  <c r="AE420" i="4"/>
  <c r="M421" i="28"/>
  <c r="N421" i="28"/>
  <c r="O421" i="28"/>
  <c r="P421" i="28"/>
  <c r="E421" i="28"/>
  <c r="AK421" i="4"/>
  <c r="AB421" i="4"/>
  <c r="AG421" i="4"/>
  <c r="E421" i="4"/>
  <c r="V421" i="4" s="1"/>
  <c r="AJ421" i="4"/>
  <c r="J421" i="4"/>
  <c r="AO421" i="4" s="1"/>
  <c r="AH421" i="4"/>
  <c r="K421" i="4"/>
  <c r="X421" i="4" s="1"/>
  <c r="I421" i="4"/>
  <c r="M421" i="4"/>
  <c r="Z421" i="4" s="1"/>
  <c r="G421" i="4"/>
  <c r="L421" i="4"/>
  <c r="Y421" i="4" s="1"/>
  <c r="H421" i="4"/>
  <c r="AL421" i="4"/>
  <c r="AI421" i="4"/>
  <c r="Q419" i="28"/>
  <c r="R419" i="28" s="1"/>
  <c r="T419" i="28" s="1"/>
  <c r="L419" i="28"/>
  <c r="U420" i="28"/>
  <c r="J420" i="28"/>
  <c r="I421" i="28" l="1"/>
  <c r="W421" i="28"/>
  <c r="AD420" i="4"/>
  <c r="W421" i="4"/>
  <c r="AP421" i="4" s="1"/>
  <c r="K421" i="28"/>
  <c r="AM419" i="4"/>
  <c r="AN419" i="4" s="1"/>
  <c r="AF419" i="4"/>
  <c r="AE421" i="4"/>
  <c r="E422" i="28"/>
  <c r="O422" i="28"/>
  <c r="M422" i="28"/>
  <c r="P422" i="28"/>
  <c r="N422" i="28"/>
  <c r="V420" i="28"/>
  <c r="Y424" i="28"/>
  <c r="B423" i="28"/>
  <c r="F423" i="28" s="1"/>
  <c r="L420" i="28"/>
  <c r="Q420" i="28"/>
  <c r="R420" i="28" s="1"/>
  <c r="T420" i="28" s="1"/>
  <c r="AC421" i="4"/>
  <c r="U421" i="28"/>
  <c r="J421" i="28"/>
  <c r="B423" i="4"/>
  <c r="AU424" i="4"/>
  <c r="V421" i="28"/>
  <c r="AK422" i="4"/>
  <c r="M422" i="4"/>
  <c r="Z422" i="4" s="1"/>
  <c r="L422" i="4"/>
  <c r="Y422" i="4" s="1"/>
  <c r="AG422" i="4"/>
  <c r="AJ422" i="4"/>
  <c r="AB422" i="4"/>
  <c r="I422" i="4"/>
  <c r="K422" i="4"/>
  <c r="X422" i="4" s="1"/>
  <c r="E422" i="4"/>
  <c r="AH422" i="4"/>
  <c r="G422" i="4"/>
  <c r="AI422" i="4"/>
  <c r="J422" i="4"/>
  <c r="AL422" i="4"/>
  <c r="H422" i="4"/>
  <c r="I422" i="28" l="1"/>
  <c r="W422" i="28"/>
  <c r="AD421" i="4"/>
  <c r="W422" i="4"/>
  <c r="K422" i="28"/>
  <c r="AO422" i="4"/>
  <c r="V422" i="4"/>
  <c r="AK423" i="4"/>
  <c r="AL423" i="4"/>
  <c r="K423" i="4"/>
  <c r="X423" i="4" s="1"/>
  <c r="AG423" i="4"/>
  <c r="E423" i="4"/>
  <c r="J423" i="4"/>
  <c r="L423" i="4"/>
  <c r="Y423" i="4" s="1"/>
  <c r="I423" i="4"/>
  <c r="AB423" i="4"/>
  <c r="H423" i="4"/>
  <c r="G423" i="4"/>
  <c r="AI423" i="4"/>
  <c r="AH423" i="4"/>
  <c r="M423" i="4"/>
  <c r="Z423" i="4" s="1"/>
  <c r="AJ423" i="4"/>
  <c r="Y425" i="28"/>
  <c r="B424" i="28"/>
  <c r="F424" i="28" s="1"/>
  <c r="AE422" i="4"/>
  <c r="AC422" i="4"/>
  <c r="AM420" i="4"/>
  <c r="AN420" i="4" s="1"/>
  <c r="AF420" i="4"/>
  <c r="L421" i="28"/>
  <c r="Q421" i="28"/>
  <c r="R421" i="28" s="1"/>
  <c r="T421" i="28" s="1"/>
  <c r="B424" i="4"/>
  <c r="AU425" i="4"/>
  <c r="AF421" i="4"/>
  <c r="AM421" i="4"/>
  <c r="AN421" i="4" s="1"/>
  <c r="N423" i="28"/>
  <c r="O423" i="28"/>
  <c r="E423" i="28"/>
  <c r="P423" i="28"/>
  <c r="M423" i="28"/>
  <c r="U422" i="28"/>
  <c r="J422" i="28"/>
  <c r="I423" i="28" l="1"/>
  <c r="W423" i="28"/>
  <c r="AP422" i="4"/>
  <c r="AD422" i="4"/>
  <c r="W423" i="4"/>
  <c r="K423" i="28"/>
  <c r="V422" i="28"/>
  <c r="U423" i="28"/>
  <c r="J423" i="28"/>
  <c r="B425" i="28"/>
  <c r="F425" i="28" s="1"/>
  <c r="Y426" i="28"/>
  <c r="AC423" i="4"/>
  <c r="AO423" i="4"/>
  <c r="AE423" i="4"/>
  <c r="AU426" i="4"/>
  <c r="B425" i="4"/>
  <c r="Q422" i="28"/>
  <c r="R422" i="28" s="1"/>
  <c r="T422" i="28" s="1"/>
  <c r="L422" i="28"/>
  <c r="AK424" i="4"/>
  <c r="L424" i="4"/>
  <c r="Y424" i="4" s="1"/>
  <c r="M424" i="4"/>
  <c r="Z424" i="4" s="1"/>
  <c r="E424" i="4"/>
  <c r="V424" i="4" s="1"/>
  <c r="H424" i="4"/>
  <c r="AI424" i="4"/>
  <c r="AB424" i="4"/>
  <c r="AJ424" i="4"/>
  <c r="K424" i="4"/>
  <c r="X424" i="4" s="1"/>
  <c r="J424" i="4"/>
  <c r="AO424" i="4" s="1"/>
  <c r="AH424" i="4"/>
  <c r="G424" i="4"/>
  <c r="AL424" i="4"/>
  <c r="I424" i="4"/>
  <c r="AG424" i="4"/>
  <c r="E424" i="28"/>
  <c r="P424" i="28"/>
  <c r="M424" i="28"/>
  <c r="N424" i="28"/>
  <c r="O424" i="28"/>
  <c r="V423" i="4"/>
  <c r="I424" i="28" l="1"/>
  <c r="W424" i="28"/>
  <c r="W424" i="4"/>
  <c r="AP424" i="4" s="1"/>
  <c r="AD423" i="4"/>
  <c r="AM423" i="4" s="1"/>
  <c r="AN423" i="4" s="1"/>
  <c r="AP423" i="4"/>
  <c r="AC424" i="4"/>
  <c r="V423" i="28"/>
  <c r="K424" i="28"/>
  <c r="AK425" i="4"/>
  <c r="M425" i="4"/>
  <c r="Z425" i="4" s="1"/>
  <c r="AI425" i="4"/>
  <c r="AG425" i="4"/>
  <c r="K425" i="4"/>
  <c r="X425" i="4" s="1"/>
  <c r="AL425" i="4"/>
  <c r="AH425" i="4"/>
  <c r="G425" i="4"/>
  <c r="H425" i="4"/>
  <c r="I425" i="4"/>
  <c r="J425" i="4"/>
  <c r="AO425" i="4" s="1"/>
  <c r="L425" i="4"/>
  <c r="Y425" i="4" s="1"/>
  <c r="AJ425" i="4"/>
  <c r="E425" i="4"/>
  <c r="V425" i="4" s="1"/>
  <c r="AB425" i="4"/>
  <c r="AF423" i="4"/>
  <c r="AE424" i="4"/>
  <c r="AU427" i="4"/>
  <c r="B426" i="4"/>
  <c r="L423" i="28"/>
  <c r="Q423" i="28"/>
  <c r="R423" i="28" s="1"/>
  <c r="T423" i="28" s="1"/>
  <c r="J424" i="28"/>
  <c r="U424" i="28"/>
  <c r="V424" i="28" s="1"/>
  <c r="Y427" i="28"/>
  <c r="B426" i="28"/>
  <c r="F426" i="28" s="1"/>
  <c r="AM422" i="4"/>
  <c r="AN422" i="4" s="1"/>
  <c r="AF422" i="4"/>
  <c r="M425" i="28"/>
  <c r="N425" i="28"/>
  <c r="P425" i="28"/>
  <c r="O425" i="28"/>
  <c r="E425" i="28"/>
  <c r="I425" i="28" l="1"/>
  <c r="J425" i="28" s="1"/>
  <c r="W425" i="28"/>
  <c r="AD424" i="4"/>
  <c r="W425" i="4"/>
  <c r="AP425" i="4" s="1"/>
  <c r="K425" i="28"/>
  <c r="U425" i="28"/>
  <c r="P426" i="28"/>
  <c r="E426" i="28"/>
  <c r="M426" i="28"/>
  <c r="O426" i="28"/>
  <c r="N426" i="28"/>
  <c r="Y428" i="28"/>
  <c r="B427" i="28"/>
  <c r="F427" i="28" s="1"/>
  <c r="AK426" i="4"/>
  <c r="E426" i="4"/>
  <c r="V426" i="4" s="1"/>
  <c r="AJ426" i="4"/>
  <c r="AH426" i="4"/>
  <c r="I426" i="4"/>
  <c r="AG426" i="4"/>
  <c r="H426" i="4"/>
  <c r="J426" i="4"/>
  <c r="AO426" i="4" s="1"/>
  <c r="AL426" i="4"/>
  <c r="K426" i="4"/>
  <c r="X426" i="4" s="1"/>
  <c r="L426" i="4"/>
  <c r="Y426" i="4" s="1"/>
  <c r="AI426" i="4"/>
  <c r="G426" i="4"/>
  <c r="M426" i="4"/>
  <c r="Z426" i="4" s="1"/>
  <c r="AB426" i="4"/>
  <c r="AE425" i="4"/>
  <c r="Q424" i="28"/>
  <c r="R424" i="28" s="1"/>
  <c r="T424" i="28" s="1"/>
  <c r="L424" i="28"/>
  <c r="AU428" i="4"/>
  <c r="B427" i="4"/>
  <c r="AC425" i="4"/>
  <c r="I426" i="28" l="1"/>
  <c r="W426" i="28"/>
  <c r="W426" i="4"/>
  <c r="AP426" i="4" s="1"/>
  <c r="AD425" i="4"/>
  <c r="AF425" i="4" s="1"/>
  <c r="K426" i="28"/>
  <c r="V425" i="28"/>
  <c r="AE426" i="4"/>
  <c r="AK427" i="4"/>
  <c r="J427" i="4"/>
  <c r="AO427" i="4" s="1"/>
  <c r="M427" i="4"/>
  <c r="Z427" i="4" s="1"/>
  <c r="G427" i="4"/>
  <c r="AJ427" i="4"/>
  <c r="I427" i="4"/>
  <c r="AG427" i="4"/>
  <c r="H427" i="4"/>
  <c r="K427" i="4"/>
  <c r="X427" i="4" s="1"/>
  <c r="E427" i="4"/>
  <c r="V427" i="4" s="1"/>
  <c r="AB427" i="4"/>
  <c r="AI427" i="4"/>
  <c r="AH427" i="4"/>
  <c r="L427" i="4"/>
  <c r="Y427" i="4" s="1"/>
  <c r="AL427" i="4"/>
  <c r="AU429" i="4"/>
  <c r="B428" i="4"/>
  <c r="P427" i="28"/>
  <c r="O427" i="28"/>
  <c r="M427" i="28"/>
  <c r="E427" i="28"/>
  <c r="N427" i="28"/>
  <c r="AF424" i="4"/>
  <c r="AM424" i="4"/>
  <c r="AN424" i="4" s="1"/>
  <c r="Q425" i="28"/>
  <c r="R425" i="28" s="1"/>
  <c r="T425" i="28" s="1"/>
  <c r="L425" i="28"/>
  <c r="AC426" i="4"/>
  <c r="Y429" i="28"/>
  <c r="B428" i="28"/>
  <c r="F428" i="28" s="1"/>
  <c r="U426" i="28"/>
  <c r="J426" i="28"/>
  <c r="I427" i="28" l="1"/>
  <c r="W427" i="28"/>
  <c r="AD426" i="4"/>
  <c r="AM426" i="4" s="1"/>
  <c r="AN426" i="4" s="1"/>
  <c r="AM425" i="4"/>
  <c r="AN425" i="4" s="1"/>
  <c r="W427" i="4"/>
  <c r="AP427" i="4" s="1"/>
  <c r="K427" i="28"/>
  <c r="AC427" i="4"/>
  <c r="AK428" i="4"/>
  <c r="AB428" i="4"/>
  <c r="E428" i="4"/>
  <c r="V428" i="4" s="1"/>
  <c r="AH428" i="4"/>
  <c r="AJ428" i="4"/>
  <c r="M428" i="4"/>
  <c r="Z428" i="4" s="1"/>
  <c r="AL428" i="4"/>
  <c r="H428" i="4"/>
  <c r="AI428" i="4"/>
  <c r="J428" i="4"/>
  <c r="AO428" i="4" s="1"/>
  <c r="L428" i="4"/>
  <c r="Y428" i="4" s="1"/>
  <c r="I428" i="4"/>
  <c r="AG428" i="4"/>
  <c r="K428" i="4"/>
  <c r="X428" i="4" s="1"/>
  <c r="G428" i="4"/>
  <c r="Y430" i="28"/>
  <c r="B429" i="28"/>
  <c r="F429" i="28" s="1"/>
  <c r="B429" i="4"/>
  <c r="AU430" i="4"/>
  <c r="J427" i="28"/>
  <c r="U427" i="28"/>
  <c r="AE427" i="4"/>
  <c r="Q426" i="28"/>
  <c r="R426" i="28" s="1"/>
  <c r="T426" i="28" s="1"/>
  <c r="L426" i="28"/>
  <c r="AF426" i="4"/>
  <c r="V426" i="28"/>
  <c r="N428" i="28"/>
  <c r="E428" i="28"/>
  <c r="O428" i="28"/>
  <c r="P428" i="28"/>
  <c r="M428" i="28"/>
  <c r="I428" i="28" l="1"/>
  <c r="W428" i="28"/>
  <c r="W428" i="4"/>
  <c r="AP428" i="4" s="1"/>
  <c r="AD427" i="4"/>
  <c r="AM427" i="4" s="1"/>
  <c r="AN427" i="4" s="1"/>
  <c r="K428" i="28"/>
  <c r="M429" i="28"/>
  <c r="E429" i="28"/>
  <c r="P429" i="28"/>
  <c r="N429" i="28"/>
  <c r="O429" i="28"/>
  <c r="L427" i="28"/>
  <c r="Q427" i="28"/>
  <c r="R427" i="28" s="1"/>
  <c r="T427" i="28" s="1"/>
  <c r="B430" i="28"/>
  <c r="F430" i="28" s="1"/>
  <c r="Y431" i="28"/>
  <c r="U428" i="28"/>
  <c r="J428" i="28"/>
  <c r="AU431" i="4"/>
  <c r="B430" i="4"/>
  <c r="AE428" i="4"/>
  <c r="V427" i="28"/>
  <c r="AK429" i="4"/>
  <c r="M429" i="4"/>
  <c r="Z429" i="4" s="1"/>
  <c r="E429" i="4"/>
  <c r="V429" i="4" s="1"/>
  <c r="AB429" i="4"/>
  <c r="AJ429" i="4"/>
  <c r="H429" i="4"/>
  <c r="AI429" i="4"/>
  <c r="AH429" i="4"/>
  <c r="AL429" i="4"/>
  <c r="I429" i="4"/>
  <c r="J429" i="4"/>
  <c r="AO429" i="4" s="1"/>
  <c r="K429" i="4"/>
  <c r="X429" i="4" s="1"/>
  <c r="G429" i="4"/>
  <c r="AG429" i="4"/>
  <c r="L429" i="4"/>
  <c r="Y429" i="4" s="1"/>
  <c r="AC428" i="4"/>
  <c r="I429" i="28" l="1"/>
  <c r="W429" i="28"/>
  <c r="AD428" i="4"/>
  <c r="AF428" i="4" s="1"/>
  <c r="AF427" i="4"/>
  <c r="W429" i="4"/>
  <c r="AP429" i="4" s="1"/>
  <c r="AE429" i="4"/>
  <c r="K429" i="28"/>
  <c r="V428" i="28"/>
  <c r="L428" i="28"/>
  <c r="Q428" i="28"/>
  <c r="R428" i="28" s="1"/>
  <c r="T428" i="28" s="1"/>
  <c r="J429" i="28"/>
  <c r="U429" i="28"/>
  <c r="V429" i="28" s="1"/>
  <c r="AK430" i="4"/>
  <c r="M430" i="4"/>
  <c r="Z430" i="4" s="1"/>
  <c r="AI430" i="4"/>
  <c r="I430" i="4"/>
  <c r="H430" i="4"/>
  <c r="E430" i="4"/>
  <c r="V430" i="4" s="1"/>
  <c r="J430" i="4"/>
  <c r="AO430" i="4" s="1"/>
  <c r="AL430" i="4"/>
  <c r="AJ430" i="4"/>
  <c r="AG430" i="4"/>
  <c r="G430" i="4"/>
  <c r="AB430" i="4"/>
  <c r="K430" i="4"/>
  <c r="X430" i="4" s="1"/>
  <c r="L430" i="4"/>
  <c r="Y430" i="4" s="1"/>
  <c r="AH430" i="4"/>
  <c r="B431" i="28"/>
  <c r="F431" i="28" s="1"/>
  <c r="Y432" i="28"/>
  <c r="AC429" i="4"/>
  <c r="AU432" i="4"/>
  <c r="B431" i="4"/>
  <c r="M430" i="28"/>
  <c r="P430" i="28"/>
  <c r="E430" i="28"/>
  <c r="N430" i="28"/>
  <c r="O430" i="28"/>
  <c r="I430" i="28" l="1"/>
  <c r="W430" i="28"/>
  <c r="AM428" i="4"/>
  <c r="AN428" i="4" s="1"/>
  <c r="W430" i="4"/>
  <c r="AP430" i="4" s="1"/>
  <c r="AD429" i="4"/>
  <c r="AF429" i="4" s="1"/>
  <c r="K430" i="28"/>
  <c r="J430" i="28"/>
  <c r="U430" i="28"/>
  <c r="AK431" i="4"/>
  <c r="I431" i="4"/>
  <c r="AH431" i="4"/>
  <c r="J431" i="4"/>
  <c r="AO431" i="4" s="1"/>
  <c r="E431" i="4"/>
  <c r="V431" i="4" s="1"/>
  <c r="H431" i="4"/>
  <c r="M431" i="4"/>
  <c r="Z431" i="4" s="1"/>
  <c r="AL431" i="4"/>
  <c r="G431" i="4"/>
  <c r="AJ431" i="4"/>
  <c r="L431" i="4"/>
  <c r="Y431" i="4" s="1"/>
  <c r="K431" i="4"/>
  <c r="X431" i="4" s="1"/>
  <c r="AG431" i="4"/>
  <c r="AI431" i="4"/>
  <c r="AB431" i="4"/>
  <c r="M431" i="28"/>
  <c r="P431" i="28"/>
  <c r="O431" i="28"/>
  <c r="E431" i="28"/>
  <c r="N431" i="28"/>
  <c r="AE430" i="4"/>
  <c r="AU433" i="4"/>
  <c r="B432" i="4"/>
  <c r="L429" i="28"/>
  <c r="Q429" i="28"/>
  <c r="R429" i="28" s="1"/>
  <c r="T429" i="28" s="1"/>
  <c r="Y433" i="28"/>
  <c r="B432" i="28"/>
  <c r="F432" i="28" s="1"/>
  <c r="AC430" i="4"/>
  <c r="AM429" i="4"/>
  <c r="AN429" i="4" s="1"/>
  <c r="I431" i="28" l="1"/>
  <c r="W431" i="28"/>
  <c r="AD430" i="4"/>
  <c r="AF430" i="4" s="1"/>
  <c r="W431" i="4"/>
  <c r="AP431" i="4" s="1"/>
  <c r="V430" i="28"/>
  <c r="K431" i="28"/>
  <c r="AC431" i="4"/>
  <c r="AE431" i="4"/>
  <c r="Y434" i="28"/>
  <c r="B433" i="28"/>
  <c r="F433" i="28" s="1"/>
  <c r="AK432" i="4"/>
  <c r="J432" i="4"/>
  <c r="AO432" i="4" s="1"/>
  <c r="I432" i="4"/>
  <c r="AB432" i="4"/>
  <c r="M432" i="4"/>
  <c r="Z432" i="4" s="1"/>
  <c r="AH432" i="4"/>
  <c r="G432" i="4"/>
  <c r="AG432" i="4"/>
  <c r="AI432" i="4"/>
  <c r="AL432" i="4"/>
  <c r="AJ432" i="4"/>
  <c r="H432" i="4"/>
  <c r="E432" i="4"/>
  <c r="V432" i="4" s="1"/>
  <c r="L432" i="4"/>
  <c r="Y432" i="4" s="1"/>
  <c r="K432" i="4"/>
  <c r="X432" i="4" s="1"/>
  <c r="AM430" i="4"/>
  <c r="AN430" i="4" s="1"/>
  <c r="B433" i="4"/>
  <c r="AU434" i="4"/>
  <c r="U431" i="28"/>
  <c r="J431" i="28"/>
  <c r="M432" i="28"/>
  <c r="E432" i="28"/>
  <c r="N432" i="28"/>
  <c r="P432" i="28"/>
  <c r="O432" i="28"/>
  <c r="L430" i="28"/>
  <c r="Q430" i="28"/>
  <c r="R430" i="28" s="1"/>
  <c r="T430" i="28" s="1"/>
  <c r="I432" i="28" l="1"/>
  <c r="W432" i="28"/>
  <c r="AD431" i="4"/>
  <c r="W432" i="4"/>
  <c r="AP432" i="4" s="1"/>
  <c r="K432" i="28"/>
  <c r="V431" i="28"/>
  <c r="AE432" i="4"/>
  <c r="J432" i="28"/>
  <c r="U432" i="28"/>
  <c r="AU447" i="4"/>
  <c r="B447" i="4" s="1"/>
  <c r="AU435" i="4"/>
  <c r="B434" i="4"/>
  <c r="AK433" i="4"/>
  <c r="H433" i="4"/>
  <c r="J433" i="4"/>
  <c r="AO433" i="4" s="1"/>
  <c r="K433" i="4"/>
  <c r="X433" i="4" s="1"/>
  <c r="L433" i="4"/>
  <c r="Y433" i="4" s="1"/>
  <c r="M433" i="4"/>
  <c r="Z433" i="4" s="1"/>
  <c r="I433" i="4"/>
  <c r="AL433" i="4"/>
  <c r="AG433" i="4"/>
  <c r="AJ433" i="4"/>
  <c r="E433" i="4"/>
  <c r="V433" i="4" s="1"/>
  <c r="AH433" i="4"/>
  <c r="AB433" i="4"/>
  <c r="AI433" i="4"/>
  <c r="G433" i="4"/>
  <c r="Q431" i="28"/>
  <c r="R431" i="28" s="1"/>
  <c r="T431" i="28" s="1"/>
  <c r="L431" i="28"/>
  <c r="M433" i="28"/>
  <c r="O433" i="28"/>
  <c r="N433" i="28"/>
  <c r="E433" i="28"/>
  <c r="P433" i="28"/>
  <c r="AC432" i="4"/>
  <c r="B434" i="28"/>
  <c r="F434" i="28" s="1"/>
  <c r="Y435" i="28"/>
  <c r="I433" i="28" l="1"/>
  <c r="W433" i="28"/>
  <c r="AD432" i="4"/>
  <c r="AM432" i="4" s="1"/>
  <c r="AN432" i="4" s="1"/>
  <c r="W433" i="4"/>
  <c r="AP433" i="4" s="1"/>
  <c r="K433" i="28"/>
  <c r="V432" i="28"/>
  <c r="AU436" i="4"/>
  <c r="AU448" i="4"/>
  <c r="B448" i="4" s="1"/>
  <c r="B435" i="4"/>
  <c r="AK447" i="4"/>
  <c r="I447" i="4"/>
  <c r="K447" i="4"/>
  <c r="X447" i="4" s="1"/>
  <c r="L447" i="4"/>
  <c r="Y447" i="4" s="1"/>
  <c r="J447" i="4"/>
  <c r="AO447" i="4" s="1"/>
  <c r="AH447" i="4"/>
  <c r="G447" i="4"/>
  <c r="E447" i="4"/>
  <c r="V447" i="4" s="1"/>
  <c r="AL447" i="4"/>
  <c r="AJ447" i="4"/>
  <c r="AG447" i="4"/>
  <c r="AB447" i="4"/>
  <c r="M447" i="4"/>
  <c r="Z447" i="4" s="1"/>
  <c r="H447" i="4"/>
  <c r="AI447" i="4"/>
  <c r="N434" i="28"/>
  <c r="P434" i="28"/>
  <c r="O434" i="28"/>
  <c r="M434" i="28"/>
  <c r="E434" i="28"/>
  <c r="AE433" i="4"/>
  <c r="AC433" i="4"/>
  <c r="AM431" i="4"/>
  <c r="AN431" i="4" s="1"/>
  <c r="AF431" i="4"/>
  <c r="Y436" i="28"/>
  <c r="B435" i="28"/>
  <c r="F435" i="28" s="1"/>
  <c r="U433" i="28"/>
  <c r="J433" i="28"/>
  <c r="AK434" i="4"/>
  <c r="I434" i="4"/>
  <c r="J434" i="4"/>
  <c r="M434" i="4"/>
  <c r="Z434" i="4" s="1"/>
  <c r="AG434" i="4"/>
  <c r="AJ434" i="4"/>
  <c r="AB434" i="4"/>
  <c r="G434" i="4"/>
  <c r="AH434" i="4"/>
  <c r="H434" i="4"/>
  <c r="L434" i="4"/>
  <c r="Y434" i="4" s="1"/>
  <c r="E434" i="4"/>
  <c r="AL434" i="4"/>
  <c r="K434" i="4"/>
  <c r="X434" i="4" s="1"/>
  <c r="L432" i="28"/>
  <c r="Q432" i="28"/>
  <c r="R432" i="28" s="1"/>
  <c r="T432" i="28" s="1"/>
  <c r="I434" i="28" l="1"/>
  <c r="W434" i="28"/>
  <c r="AF432" i="4"/>
  <c r="AD433" i="4"/>
  <c r="AF433" i="4" s="1"/>
  <c r="W434" i="4"/>
  <c r="W447" i="4"/>
  <c r="AP447" i="4" s="1"/>
  <c r="K434" i="28"/>
  <c r="V433" i="28"/>
  <c r="P435" i="28"/>
  <c r="O435" i="28"/>
  <c r="M435" i="28"/>
  <c r="E435" i="28"/>
  <c r="N435" i="28"/>
  <c r="AK435" i="4"/>
  <c r="AJ435" i="4"/>
  <c r="AB435" i="4"/>
  <c r="G435" i="4"/>
  <c r="E435" i="4"/>
  <c r="V435" i="4" s="1"/>
  <c r="L435" i="4"/>
  <c r="Y435" i="4" s="1"/>
  <c r="M435" i="4"/>
  <c r="Z435" i="4" s="1"/>
  <c r="AG435" i="4"/>
  <c r="H435" i="4"/>
  <c r="K435" i="4"/>
  <c r="X435" i="4" s="1"/>
  <c r="AL435" i="4"/>
  <c r="I435" i="4"/>
  <c r="AI435" i="4"/>
  <c r="AH435" i="4"/>
  <c r="J435" i="4"/>
  <c r="AO435" i="4" s="1"/>
  <c r="V434" i="4"/>
  <c r="AD434" i="4" s="1"/>
  <c r="AM433" i="4"/>
  <c r="AN433" i="4" s="1"/>
  <c r="Y437" i="28"/>
  <c r="B436" i="28"/>
  <c r="F436" i="28" s="1"/>
  <c r="AC447" i="4"/>
  <c r="AK448" i="4"/>
  <c r="L448" i="4"/>
  <c r="Y448" i="4" s="1"/>
  <c r="AH448" i="4"/>
  <c r="AB448" i="4"/>
  <c r="M448" i="4"/>
  <c r="Z448" i="4" s="1"/>
  <c r="AL448" i="4"/>
  <c r="E448" i="4"/>
  <c r="V448" i="4" s="1"/>
  <c r="G448" i="4"/>
  <c r="H448" i="4"/>
  <c r="J448" i="4"/>
  <c r="AO448" i="4" s="1"/>
  <c r="AG448" i="4"/>
  <c r="K448" i="4"/>
  <c r="X448" i="4" s="1"/>
  <c r="AI448" i="4"/>
  <c r="AJ448" i="4"/>
  <c r="I448" i="4"/>
  <c r="D34" i="61"/>
  <c r="AO434" i="4"/>
  <c r="AP434" i="4" s="1"/>
  <c r="L433" i="28"/>
  <c r="Q433" i="28"/>
  <c r="R433" i="28" s="1"/>
  <c r="T433" i="28" s="1"/>
  <c r="AU437" i="4"/>
  <c r="AU449" i="4"/>
  <c r="B449" i="4" s="1"/>
  <c r="B436" i="4"/>
  <c r="U434" i="28"/>
  <c r="V434" i="28" s="1"/>
  <c r="J434" i="28"/>
  <c r="AE447" i="4"/>
  <c r="F462" i="4"/>
  <c r="I435" i="28" l="1"/>
  <c r="W435" i="28"/>
  <c r="AD447" i="4"/>
  <c r="W448" i="4"/>
  <c r="AP448" i="4" s="1"/>
  <c r="W435" i="4"/>
  <c r="AP435" i="4" s="1"/>
  <c r="AC435" i="4"/>
  <c r="K435" i="28"/>
  <c r="AC434" i="4"/>
  <c r="AU438" i="4"/>
  <c r="B437" i="4"/>
  <c r="AU450" i="4"/>
  <c r="B450" i="4" s="1"/>
  <c r="AC448" i="4"/>
  <c r="AE435" i="4"/>
  <c r="L434" i="28"/>
  <c r="Q434" i="28"/>
  <c r="R434" i="28" s="1"/>
  <c r="T434" i="28" s="1"/>
  <c r="AE448" i="4"/>
  <c r="P436" i="28"/>
  <c r="N436" i="28"/>
  <c r="M436" i="28"/>
  <c r="O436" i="28"/>
  <c r="E436" i="28"/>
  <c r="U435" i="28"/>
  <c r="J435" i="28"/>
  <c r="AK436" i="4"/>
  <c r="J436" i="4"/>
  <c r="AO436" i="4" s="1"/>
  <c r="AJ436" i="4"/>
  <c r="I436" i="4"/>
  <c r="G436" i="4"/>
  <c r="AL436" i="4"/>
  <c r="H436" i="4"/>
  <c r="AI436" i="4"/>
  <c r="M436" i="4"/>
  <c r="Z436" i="4" s="1"/>
  <c r="AB436" i="4"/>
  <c r="E436" i="4"/>
  <c r="V436" i="4" s="1"/>
  <c r="AH436" i="4"/>
  <c r="L436" i="4"/>
  <c r="Y436" i="4" s="1"/>
  <c r="AG436" i="4"/>
  <c r="K436" i="4"/>
  <c r="X436" i="4" s="1"/>
  <c r="AK449" i="4"/>
  <c r="AJ449" i="4"/>
  <c r="L449" i="4"/>
  <c r="Y449" i="4" s="1"/>
  <c r="G449" i="4"/>
  <c r="K449" i="4"/>
  <c r="X449" i="4" s="1"/>
  <c r="AH449" i="4"/>
  <c r="H449" i="4"/>
  <c r="AL449" i="4"/>
  <c r="J449" i="4"/>
  <c r="AO449" i="4" s="1"/>
  <c r="AG449" i="4"/>
  <c r="I449" i="4"/>
  <c r="AI449" i="4"/>
  <c r="M449" i="4"/>
  <c r="Z449" i="4" s="1"/>
  <c r="AB449" i="4"/>
  <c r="E449" i="4"/>
  <c r="V449" i="4" s="1"/>
  <c r="Y438" i="28"/>
  <c r="B437" i="28"/>
  <c r="F437" i="28" s="1"/>
  <c r="I436" i="28" l="1"/>
  <c r="W436" i="28"/>
  <c r="AD448" i="4"/>
  <c r="W436" i="4"/>
  <c r="AP436" i="4" s="1"/>
  <c r="AD435" i="4"/>
  <c r="W449" i="4"/>
  <c r="AP449" i="4" s="1"/>
  <c r="K436" i="28"/>
  <c r="AC436" i="4"/>
  <c r="V435" i="28"/>
  <c r="Y439" i="28"/>
  <c r="B438" i="28"/>
  <c r="F438" i="28" s="1"/>
  <c r="U436" i="28"/>
  <c r="J436" i="28"/>
  <c r="AK437" i="4"/>
  <c r="J437" i="4"/>
  <c r="AO437" i="4" s="1"/>
  <c r="H437" i="4"/>
  <c r="AG437" i="4"/>
  <c r="L437" i="4"/>
  <c r="Y437" i="4" s="1"/>
  <c r="E437" i="4"/>
  <c r="V437" i="4" s="1"/>
  <c r="AJ437" i="4"/>
  <c r="M437" i="4"/>
  <c r="Z437" i="4" s="1"/>
  <c r="AI437" i="4"/>
  <c r="G437" i="4"/>
  <c r="AH437" i="4"/>
  <c r="I437" i="4"/>
  <c r="AL437" i="4"/>
  <c r="K437" i="4"/>
  <c r="X437" i="4" s="1"/>
  <c r="AB437" i="4"/>
  <c r="AC449" i="4"/>
  <c r="AU451" i="4"/>
  <c r="B451" i="4" s="1"/>
  <c r="AU439" i="4"/>
  <c r="B438" i="4"/>
  <c r="AE449" i="4"/>
  <c r="V436" i="28"/>
  <c r="AM447" i="4"/>
  <c r="AN447" i="4" s="1"/>
  <c r="AF447" i="4"/>
  <c r="N437" i="28"/>
  <c r="P437" i="28"/>
  <c r="O437" i="28"/>
  <c r="E437" i="28"/>
  <c r="M437" i="28"/>
  <c r="AE436" i="4"/>
  <c r="L435" i="28"/>
  <c r="Q435" i="28"/>
  <c r="R435" i="28" s="1"/>
  <c r="T435" i="28" s="1"/>
  <c r="AM448" i="4"/>
  <c r="AN448" i="4" s="1"/>
  <c r="AF448" i="4"/>
  <c r="AK450" i="4"/>
  <c r="AJ450" i="4"/>
  <c r="AH450" i="4"/>
  <c r="M450" i="4"/>
  <c r="Z450" i="4" s="1"/>
  <c r="AL450" i="4"/>
  <c r="H450" i="4"/>
  <c r="K450" i="4"/>
  <c r="X450" i="4" s="1"/>
  <c r="J450" i="4"/>
  <c r="AO450" i="4" s="1"/>
  <c r="I450" i="4"/>
  <c r="E450" i="4"/>
  <c r="V450" i="4" s="1"/>
  <c r="G450" i="4"/>
  <c r="L450" i="4"/>
  <c r="Y450" i="4" s="1"/>
  <c r="AI450" i="4"/>
  <c r="AG450" i="4"/>
  <c r="AB450" i="4"/>
  <c r="I437" i="28" l="1"/>
  <c r="W437" i="28"/>
  <c r="W437" i="4"/>
  <c r="AP437" i="4" s="1"/>
  <c r="W450" i="4"/>
  <c r="AP450" i="4" s="1"/>
  <c r="AD436" i="4"/>
  <c r="AM436" i="4" s="1"/>
  <c r="AN436" i="4" s="1"/>
  <c r="AD449" i="4"/>
  <c r="AF449" i="4" s="1"/>
  <c r="K437" i="28"/>
  <c r="AE437" i="4"/>
  <c r="AK438" i="4"/>
  <c r="K438" i="4"/>
  <c r="X438" i="4" s="1"/>
  <c r="AB438" i="4"/>
  <c r="AI438" i="4"/>
  <c r="L438" i="4"/>
  <c r="Y438" i="4" s="1"/>
  <c r="AH438" i="4"/>
  <c r="E438" i="4"/>
  <c r="V438" i="4" s="1"/>
  <c r="M438" i="4"/>
  <c r="Z438" i="4" s="1"/>
  <c r="AL438" i="4"/>
  <c r="J438" i="4"/>
  <c r="AO438" i="4" s="1"/>
  <c r="AG438" i="4"/>
  <c r="H438" i="4"/>
  <c r="G438" i="4"/>
  <c r="AJ438" i="4"/>
  <c r="I438" i="4"/>
  <c r="AC437" i="4"/>
  <c r="E438" i="28"/>
  <c r="M438" i="28"/>
  <c r="O438" i="28"/>
  <c r="N438" i="28"/>
  <c r="P438" i="28"/>
  <c r="AC450" i="4"/>
  <c r="U437" i="28"/>
  <c r="J437" i="28"/>
  <c r="B439" i="4"/>
  <c r="AU440" i="4"/>
  <c r="AU452" i="4"/>
  <c r="B452" i="4" s="1"/>
  <c r="Y440" i="28"/>
  <c r="B439" i="28"/>
  <c r="F439" i="28" s="1"/>
  <c r="AK451" i="4"/>
  <c r="G451" i="4"/>
  <c r="AG451" i="4"/>
  <c r="AL451" i="4"/>
  <c r="I451" i="4"/>
  <c r="E451" i="4"/>
  <c r="AJ451" i="4"/>
  <c r="AH451" i="4"/>
  <c r="M451" i="4"/>
  <c r="Z451" i="4" s="1"/>
  <c r="AB451" i="4"/>
  <c r="J451" i="4"/>
  <c r="K451" i="4"/>
  <c r="X451" i="4" s="1"/>
  <c r="AI451" i="4"/>
  <c r="L451" i="4"/>
  <c r="Y451" i="4" s="1"/>
  <c r="H451" i="4"/>
  <c r="Q436" i="28"/>
  <c r="R436" i="28" s="1"/>
  <c r="T436" i="28" s="1"/>
  <c r="L436" i="28"/>
  <c r="AE450" i="4"/>
  <c r="AM435" i="4"/>
  <c r="AN435" i="4" s="1"/>
  <c r="AF435" i="4"/>
  <c r="I438" i="28" l="1"/>
  <c r="W438" i="28"/>
  <c r="AF436" i="4"/>
  <c r="AD437" i="4"/>
  <c r="AM437" i="4" s="1"/>
  <c r="AN437" i="4" s="1"/>
  <c r="W438" i="4"/>
  <c r="AP438" i="4" s="1"/>
  <c r="AD450" i="4"/>
  <c r="M799" i="7" s="1"/>
  <c r="W451" i="4"/>
  <c r="AM449" i="4"/>
  <c r="AN449" i="4" s="1"/>
  <c r="K438" i="28"/>
  <c r="AE438" i="4"/>
  <c r="AC451" i="4"/>
  <c r="AE451" i="4"/>
  <c r="B440" i="28"/>
  <c r="F440" i="28" s="1"/>
  <c r="Y441" i="28"/>
  <c r="AF437" i="4"/>
  <c r="AO451" i="4"/>
  <c r="AK452" i="4"/>
  <c r="AB452" i="4"/>
  <c r="AI452" i="4"/>
  <c r="L452" i="4"/>
  <c r="Y452" i="4" s="1"/>
  <c r="E452" i="4"/>
  <c r="V452" i="4" s="1"/>
  <c r="AH452" i="4"/>
  <c r="I452" i="4"/>
  <c r="G452" i="4"/>
  <c r="H452" i="4"/>
  <c r="K452" i="4"/>
  <c r="X452" i="4" s="1"/>
  <c r="J452" i="4"/>
  <c r="AO452" i="4" s="1"/>
  <c r="AL452" i="4"/>
  <c r="AG452" i="4"/>
  <c r="AJ452" i="4"/>
  <c r="M452" i="4"/>
  <c r="Z452" i="4" s="1"/>
  <c r="AC438" i="4"/>
  <c r="V451" i="4"/>
  <c r="AD451" i="4" s="1"/>
  <c r="AM450" i="4"/>
  <c r="AN450" i="4" s="1"/>
  <c r="AF450" i="4"/>
  <c r="B440" i="4"/>
  <c r="AU441" i="4"/>
  <c r="AU453" i="4"/>
  <c r="B453" i="4" s="1"/>
  <c r="Q437" i="28"/>
  <c r="R437" i="28" s="1"/>
  <c r="T437" i="28" s="1"/>
  <c r="L437" i="28"/>
  <c r="P439" i="28"/>
  <c r="E439" i="28"/>
  <c r="M439" i="28"/>
  <c r="N439" i="28"/>
  <c r="O439" i="28"/>
  <c r="AK439" i="4"/>
  <c r="AJ439" i="4"/>
  <c r="AH439" i="4"/>
  <c r="AG439" i="4"/>
  <c r="K439" i="4"/>
  <c r="X439" i="4" s="1"/>
  <c r="G439" i="4"/>
  <c r="AL439" i="4"/>
  <c r="AB439" i="4"/>
  <c r="AI439" i="4"/>
  <c r="M439" i="4"/>
  <c r="Z439" i="4" s="1"/>
  <c r="I439" i="4"/>
  <c r="H439" i="4"/>
  <c r="E439" i="4"/>
  <c r="L439" i="4"/>
  <c r="Y439" i="4" s="1"/>
  <c r="J439" i="4"/>
  <c r="U438" i="28"/>
  <c r="J438" i="28"/>
  <c r="V437" i="28"/>
  <c r="AD438" i="4" l="1"/>
  <c r="I439" i="28"/>
  <c r="W439" i="28"/>
  <c r="AP451" i="4"/>
  <c r="W452" i="4"/>
  <c r="AP452" i="4" s="1"/>
  <c r="W439" i="4"/>
  <c r="K439" i="28"/>
  <c r="U439" i="28"/>
  <c r="J439" i="28"/>
  <c r="V438" i="28"/>
  <c r="AE452" i="4"/>
  <c r="M440" i="28"/>
  <c r="P440" i="28"/>
  <c r="N440" i="28"/>
  <c r="E440" i="28"/>
  <c r="O440" i="28"/>
  <c r="AO439" i="4"/>
  <c r="D61" i="61"/>
  <c r="AE439" i="4"/>
  <c r="AK453" i="4"/>
  <c r="L453" i="4"/>
  <c r="Y453" i="4" s="1"/>
  <c r="M453" i="4"/>
  <c r="Z453" i="4" s="1"/>
  <c r="H453" i="4"/>
  <c r="G453" i="4"/>
  <c r="K453" i="4"/>
  <c r="X453" i="4" s="1"/>
  <c r="AB453" i="4"/>
  <c r="AJ453" i="4"/>
  <c r="AI453" i="4"/>
  <c r="I453" i="4"/>
  <c r="E453" i="4"/>
  <c r="V453" i="4" s="1"/>
  <c r="J453" i="4"/>
  <c r="AO453" i="4" s="1"/>
  <c r="AL453" i="4"/>
  <c r="AH453" i="4"/>
  <c r="AG453" i="4"/>
  <c r="AC439" i="4"/>
  <c r="V439" i="28"/>
  <c r="AU454" i="4"/>
  <c r="B454" i="4" s="1"/>
  <c r="AU442" i="4"/>
  <c r="B441" i="4"/>
  <c r="AC452" i="4"/>
  <c r="Q438" i="28"/>
  <c r="R438" i="28" s="1"/>
  <c r="T438" i="28" s="1"/>
  <c r="L438" i="28"/>
  <c r="V439" i="4"/>
  <c r="AK440" i="4"/>
  <c r="M440" i="4"/>
  <c r="Z440" i="4" s="1"/>
  <c r="AG440" i="4"/>
  <c r="G440" i="4"/>
  <c r="AI440" i="4"/>
  <c r="H440" i="4"/>
  <c r="L440" i="4"/>
  <c r="Y440" i="4" s="1"/>
  <c r="AL440" i="4"/>
  <c r="K440" i="4"/>
  <c r="X440" i="4" s="1"/>
  <c r="E440" i="4"/>
  <c r="AH440" i="4"/>
  <c r="I440" i="4"/>
  <c r="AJ440" i="4"/>
  <c r="AB440" i="4"/>
  <c r="J440" i="4"/>
  <c r="AO440" i="4" s="1"/>
  <c r="Y442" i="28"/>
  <c r="B441" i="28"/>
  <c r="F441" i="28" s="1"/>
  <c r="AE453" i="4" l="1"/>
  <c r="I440" i="28"/>
  <c r="W440" i="28"/>
  <c r="AD439" i="4"/>
  <c r="AF439" i="4" s="1"/>
  <c r="AP439" i="4"/>
  <c r="AD452" i="4"/>
  <c r="AF452" i="4" s="1"/>
  <c r="W440" i="4"/>
  <c r="AP440" i="4" s="1"/>
  <c r="W453" i="4"/>
  <c r="AP453" i="4" s="1"/>
  <c r="K440" i="28"/>
  <c r="AC440" i="4"/>
  <c r="AM438" i="4"/>
  <c r="AN438" i="4" s="1"/>
  <c r="AF438" i="4"/>
  <c r="B442" i="4"/>
  <c r="AU443" i="4"/>
  <c r="AU455" i="4"/>
  <c r="B455" i="4" s="1"/>
  <c r="AC453" i="4"/>
  <c r="U440" i="28"/>
  <c r="J440" i="28"/>
  <c r="AE440" i="4"/>
  <c r="AK454" i="4"/>
  <c r="K454" i="4"/>
  <c r="X454" i="4" s="1"/>
  <c r="M454" i="4"/>
  <c r="Z454" i="4" s="1"/>
  <c r="H454" i="4"/>
  <c r="AI454" i="4"/>
  <c r="E454" i="4"/>
  <c r="V454" i="4" s="1"/>
  <c r="AL454" i="4"/>
  <c r="I454" i="4"/>
  <c r="AG454" i="4"/>
  <c r="AH454" i="4"/>
  <c r="AJ454" i="4"/>
  <c r="J454" i="4"/>
  <c r="AO454" i="4" s="1"/>
  <c r="L454" i="4"/>
  <c r="Y454" i="4" s="1"/>
  <c r="G454" i="4"/>
  <c r="AB454" i="4"/>
  <c r="AM451" i="4"/>
  <c r="AN451" i="4" s="1"/>
  <c r="AF451" i="4"/>
  <c r="L439" i="28"/>
  <c r="Q439" i="28"/>
  <c r="R439" i="28" s="1"/>
  <c r="T439" i="28" s="1"/>
  <c r="N441" i="28"/>
  <c r="P441" i="28"/>
  <c r="O441" i="28"/>
  <c r="E441" i="28"/>
  <c r="M441" i="28"/>
  <c r="Y443" i="28"/>
  <c r="B442" i="28"/>
  <c r="F442" i="28" s="1"/>
  <c r="V440" i="4"/>
  <c r="AK441" i="4"/>
  <c r="E441" i="4"/>
  <c r="V441" i="4" s="1"/>
  <c r="M441" i="4"/>
  <c r="Z441" i="4" s="1"/>
  <c r="I441" i="4"/>
  <c r="AJ441" i="4"/>
  <c r="H441" i="4"/>
  <c r="AG441" i="4"/>
  <c r="AB441" i="4"/>
  <c r="K441" i="4"/>
  <c r="X441" i="4" s="1"/>
  <c r="L441" i="4"/>
  <c r="Y441" i="4" s="1"/>
  <c r="G441" i="4"/>
  <c r="AL441" i="4"/>
  <c r="AI441" i="4"/>
  <c r="J441" i="4"/>
  <c r="AO441" i="4" s="1"/>
  <c r="AH441" i="4"/>
  <c r="V440" i="28"/>
  <c r="I441" i="28" l="1"/>
  <c r="W441" i="28"/>
  <c r="W454" i="4"/>
  <c r="AP454" i="4" s="1"/>
  <c r="AM452" i="4"/>
  <c r="AN452" i="4" s="1"/>
  <c r="M800" i="7"/>
  <c r="M801" i="7" s="1"/>
  <c r="M789" i="7" s="1"/>
  <c r="AD440" i="4"/>
  <c r="AM440" i="4" s="1"/>
  <c r="AN440" i="4" s="1"/>
  <c r="AD453" i="4"/>
  <c r="AF453" i="4" s="1"/>
  <c r="W441" i="4"/>
  <c r="AP441" i="4" s="1"/>
  <c r="AM439" i="4"/>
  <c r="AN439" i="4" s="1"/>
  <c r="K441" i="28"/>
  <c r="AC441" i="4"/>
  <c r="N442" i="28"/>
  <c r="E442" i="28"/>
  <c r="P442" i="28"/>
  <c r="M442" i="28"/>
  <c r="O442" i="28"/>
  <c r="U441" i="28"/>
  <c r="J441" i="28"/>
  <c r="AC454" i="4"/>
  <c r="L440" i="28"/>
  <c r="Q440" i="28"/>
  <c r="R440" i="28" s="1"/>
  <c r="T440" i="28" s="1"/>
  <c r="AK455" i="4"/>
  <c r="AI455" i="4"/>
  <c r="G455" i="4"/>
  <c r="J455" i="4"/>
  <c r="AJ455" i="4"/>
  <c r="M455" i="4"/>
  <c r="Z455" i="4" s="1"/>
  <c r="AL455" i="4"/>
  <c r="AH455" i="4"/>
  <c r="K455" i="4"/>
  <c r="X455" i="4" s="1"/>
  <c r="L455" i="4"/>
  <c r="Y455" i="4" s="1"/>
  <c r="H455" i="4"/>
  <c r="E455" i="4"/>
  <c r="AB455" i="4"/>
  <c r="AG455" i="4"/>
  <c r="I455" i="4"/>
  <c r="Y444" i="28"/>
  <c r="B443" i="28"/>
  <c r="F443" i="28" s="1"/>
  <c r="AU456" i="4"/>
  <c r="B456" i="4" s="1"/>
  <c r="AU444" i="4"/>
  <c r="B443" i="4"/>
  <c r="AE441" i="4"/>
  <c r="AK442" i="4"/>
  <c r="AB442" i="4"/>
  <c r="AG442" i="4"/>
  <c r="L442" i="4"/>
  <c r="Y442" i="4" s="1"/>
  <c r="M442" i="4"/>
  <c r="Z442" i="4" s="1"/>
  <c r="K442" i="4"/>
  <c r="X442" i="4" s="1"/>
  <c r="AJ442" i="4"/>
  <c r="G442" i="4"/>
  <c r="AH442" i="4"/>
  <c r="E442" i="4"/>
  <c r="I442" i="4"/>
  <c r="J442" i="4"/>
  <c r="AI442" i="4"/>
  <c r="AL442" i="4"/>
  <c r="H442" i="4"/>
  <c r="M362" i="7"/>
  <c r="M364" i="7" s="1"/>
  <c r="M366" i="7" s="1"/>
  <c r="M368" i="7" s="1"/>
  <c r="AE454" i="4"/>
  <c r="AF440" i="4" l="1"/>
  <c r="AD454" i="4"/>
  <c r="AM454" i="4" s="1"/>
  <c r="AN454" i="4" s="1"/>
  <c r="I442" i="28"/>
  <c r="W442" i="28"/>
  <c r="AM453" i="4"/>
  <c r="AN453" i="4" s="1"/>
  <c r="W455" i="4"/>
  <c r="AD441" i="4"/>
  <c r="W442" i="4"/>
  <c r="K442" i="28"/>
  <c r="B444" i="4"/>
  <c r="AU445" i="4"/>
  <c r="AU457" i="4"/>
  <c r="B457" i="4" s="1"/>
  <c r="M443" i="28"/>
  <c r="O443" i="28"/>
  <c r="N443" i="28"/>
  <c r="P443" i="28"/>
  <c r="E443" i="28"/>
  <c r="AE455" i="4"/>
  <c r="U442" i="28"/>
  <c r="V442" i="28" s="1"/>
  <c r="J442" i="28"/>
  <c r="D55" i="61"/>
  <c r="AO442" i="4"/>
  <c r="AK456" i="4"/>
  <c r="AJ456" i="4"/>
  <c r="AI456" i="4"/>
  <c r="H456" i="4"/>
  <c r="M456" i="4"/>
  <c r="Z456" i="4" s="1"/>
  <c r="E456" i="4"/>
  <c r="V456" i="4" s="1"/>
  <c r="L456" i="4"/>
  <c r="Y456" i="4" s="1"/>
  <c r="AG456" i="4"/>
  <c r="G456" i="4"/>
  <c r="AH456" i="4"/>
  <c r="I456" i="4"/>
  <c r="K456" i="4"/>
  <c r="X456" i="4" s="1"/>
  <c r="AL456" i="4"/>
  <c r="J456" i="4"/>
  <c r="AO456" i="4" s="1"/>
  <c r="AB456" i="4"/>
  <c r="Y445" i="28"/>
  <c r="B444" i="28"/>
  <c r="F444" i="28" s="1"/>
  <c r="AC455" i="4"/>
  <c r="Q441" i="28"/>
  <c r="R441" i="28" s="1"/>
  <c r="T441" i="28" s="1"/>
  <c r="L441" i="28"/>
  <c r="AE442" i="4"/>
  <c r="V442" i="4"/>
  <c r="AD442" i="4" s="1"/>
  <c r="AC442" i="4"/>
  <c r="AK443" i="4"/>
  <c r="I443" i="4"/>
  <c r="AJ443" i="4"/>
  <c r="AG443" i="4"/>
  <c r="AB443" i="4"/>
  <c r="M443" i="4"/>
  <c r="Z443" i="4" s="1"/>
  <c r="K443" i="4"/>
  <c r="X443" i="4" s="1"/>
  <c r="AL443" i="4"/>
  <c r="G443" i="4"/>
  <c r="J443" i="4"/>
  <c r="AH443" i="4"/>
  <c r="H443" i="4"/>
  <c r="AI443" i="4"/>
  <c r="L443" i="4"/>
  <c r="Y443" i="4" s="1"/>
  <c r="E443" i="4"/>
  <c r="V455" i="4"/>
  <c r="AO455" i="4"/>
  <c r="V441" i="28"/>
  <c r="H428" i="7"/>
  <c r="I428" i="7" s="1"/>
  <c r="H424" i="7"/>
  <c r="I424" i="7" s="1"/>
  <c r="H420" i="7"/>
  <c r="I420" i="7" s="1"/>
  <c r="H416" i="7"/>
  <c r="I416" i="7" s="1"/>
  <c r="H412" i="7"/>
  <c r="I412" i="7" s="1"/>
  <c r="H408" i="7"/>
  <c r="I408" i="7" s="1"/>
  <c r="H404" i="7"/>
  <c r="I404" i="7" s="1"/>
  <c r="H400" i="7"/>
  <c r="I400" i="7" s="1"/>
  <c r="H396" i="7"/>
  <c r="I396" i="7" s="1"/>
  <c r="H392" i="7"/>
  <c r="I392" i="7" s="1"/>
  <c r="H388" i="7"/>
  <c r="I388" i="7" s="1"/>
  <c r="H384" i="7"/>
  <c r="I384" i="7" s="1"/>
  <c r="H380" i="7"/>
  <c r="I380" i="7" s="1"/>
  <c r="H376" i="7"/>
  <c r="I376" i="7" s="1"/>
  <c r="H372" i="7"/>
  <c r="I372" i="7" s="1"/>
  <c r="H368" i="7"/>
  <c r="I368" i="7" s="1"/>
  <c r="H364" i="7"/>
  <c r="I364" i="7" s="1"/>
  <c r="K429" i="7"/>
  <c r="K425" i="7"/>
  <c r="K421" i="7"/>
  <c r="K417" i="7"/>
  <c r="K413" i="7"/>
  <c r="K409" i="7"/>
  <c r="K405" i="7"/>
  <c r="K401" i="7"/>
  <c r="K397" i="7"/>
  <c r="K393" i="7"/>
  <c r="K389" i="7"/>
  <c r="K385" i="7"/>
  <c r="K381" i="7"/>
  <c r="K377" i="7"/>
  <c r="K373" i="7"/>
  <c r="K369" i="7"/>
  <c r="K365" i="7"/>
  <c r="H426" i="7"/>
  <c r="I426" i="7" s="1"/>
  <c r="H421" i="7"/>
  <c r="I421" i="7" s="1"/>
  <c r="H415" i="7"/>
  <c r="I415" i="7" s="1"/>
  <c r="H410" i="7"/>
  <c r="I410" i="7" s="1"/>
  <c r="H405" i="7"/>
  <c r="I405" i="7" s="1"/>
  <c r="H399" i="7"/>
  <c r="I399" i="7" s="1"/>
  <c r="H394" i="7"/>
  <c r="I394" i="7" s="1"/>
  <c r="H389" i="7"/>
  <c r="I389" i="7" s="1"/>
  <c r="H383" i="7"/>
  <c r="I383" i="7" s="1"/>
  <c r="H378" i="7"/>
  <c r="I378" i="7" s="1"/>
  <c r="H373" i="7"/>
  <c r="I373" i="7" s="1"/>
  <c r="H367" i="7"/>
  <c r="I367" i="7" s="1"/>
  <c r="H362" i="7"/>
  <c r="I362" i="7" s="1"/>
  <c r="K426" i="7"/>
  <c r="K420" i="7"/>
  <c r="K415" i="7"/>
  <c r="K410" i="7"/>
  <c r="K404" i="7"/>
  <c r="K399" i="7"/>
  <c r="K394" i="7"/>
  <c r="K388" i="7"/>
  <c r="K383" i="7"/>
  <c r="K378" i="7"/>
  <c r="K372" i="7"/>
  <c r="K367" i="7"/>
  <c r="K362" i="7"/>
  <c r="H430" i="7"/>
  <c r="I430" i="7" s="1"/>
  <c r="H425" i="7"/>
  <c r="I425" i="7" s="1"/>
  <c r="H419" i="7"/>
  <c r="I419" i="7" s="1"/>
  <c r="H414" i="7"/>
  <c r="I414" i="7" s="1"/>
  <c r="H409" i="7"/>
  <c r="I409" i="7" s="1"/>
  <c r="H403" i="7"/>
  <c r="I403" i="7" s="1"/>
  <c r="H398" i="7"/>
  <c r="I398" i="7" s="1"/>
  <c r="H393" i="7"/>
  <c r="I393" i="7" s="1"/>
  <c r="H387" i="7"/>
  <c r="I387" i="7" s="1"/>
  <c r="H382" i="7"/>
  <c r="I382" i="7" s="1"/>
  <c r="H377" i="7"/>
  <c r="I377" i="7" s="1"/>
  <c r="H371" i="7"/>
  <c r="I371" i="7" s="1"/>
  <c r="H366" i="7"/>
  <c r="I366" i="7" s="1"/>
  <c r="K430" i="7"/>
  <c r="K424" i="7"/>
  <c r="K419" i="7"/>
  <c r="K414" i="7"/>
  <c r="K408" i="7"/>
  <c r="K403" i="7"/>
  <c r="K398" i="7"/>
  <c r="K392" i="7"/>
  <c r="K387" i="7"/>
  <c r="K382" i="7"/>
  <c r="K376" i="7"/>
  <c r="K371" i="7"/>
  <c r="K366" i="7"/>
  <c r="H422" i="7"/>
  <c r="I422" i="7" s="1"/>
  <c r="H411" i="7"/>
  <c r="I411" i="7" s="1"/>
  <c r="H401" i="7"/>
  <c r="I401" i="7" s="1"/>
  <c r="H390" i="7"/>
  <c r="I390" i="7" s="1"/>
  <c r="H379" i="7"/>
  <c r="I379" i="7" s="1"/>
  <c r="H369" i="7"/>
  <c r="I369" i="7" s="1"/>
  <c r="K427" i="7"/>
  <c r="K416" i="7"/>
  <c r="K406" i="7"/>
  <c r="K395" i="7"/>
  <c r="K384" i="7"/>
  <c r="K374" i="7"/>
  <c r="K363" i="7"/>
  <c r="H429" i="7"/>
  <c r="I429" i="7" s="1"/>
  <c r="H407" i="7"/>
  <c r="I407" i="7" s="1"/>
  <c r="H386" i="7"/>
  <c r="I386" i="7" s="1"/>
  <c r="H365" i="7"/>
  <c r="I365" i="7" s="1"/>
  <c r="K402" i="7"/>
  <c r="K380" i="7"/>
  <c r="H423" i="7"/>
  <c r="I423" i="7" s="1"/>
  <c r="H413" i="7"/>
  <c r="I413" i="7" s="1"/>
  <c r="H402" i="7"/>
  <c r="I402" i="7" s="1"/>
  <c r="H391" i="7"/>
  <c r="I391" i="7" s="1"/>
  <c r="H381" i="7"/>
  <c r="I381" i="7" s="1"/>
  <c r="H370" i="7"/>
  <c r="I370" i="7" s="1"/>
  <c r="K428" i="7"/>
  <c r="K418" i="7"/>
  <c r="K407" i="7"/>
  <c r="K396" i="7"/>
  <c r="K386" i="7"/>
  <c r="K375" i="7"/>
  <c r="K364" i="7"/>
  <c r="H418" i="7"/>
  <c r="I418" i="7" s="1"/>
  <c r="H397" i="7"/>
  <c r="I397" i="7" s="1"/>
  <c r="H375" i="7"/>
  <c r="I375" i="7" s="1"/>
  <c r="K423" i="7"/>
  <c r="K412" i="7"/>
  <c r="K391" i="7"/>
  <c r="K370" i="7"/>
  <c r="H427" i="7"/>
  <c r="I427" i="7" s="1"/>
  <c r="H417" i="7"/>
  <c r="I417" i="7" s="1"/>
  <c r="H406" i="7"/>
  <c r="I406" i="7" s="1"/>
  <c r="H395" i="7"/>
  <c r="I395" i="7" s="1"/>
  <c r="H385" i="7"/>
  <c r="I385" i="7" s="1"/>
  <c r="H374" i="7"/>
  <c r="I374" i="7" s="1"/>
  <c r="H363" i="7"/>
  <c r="I363" i="7" s="1"/>
  <c r="K422" i="7"/>
  <c r="K411" i="7"/>
  <c r="K400" i="7"/>
  <c r="K390" i="7"/>
  <c r="K379" i="7"/>
  <c r="K368" i="7"/>
  <c r="AF454" i="4" l="1"/>
  <c r="I443" i="28"/>
  <c r="W443" i="28"/>
  <c r="AD455" i="4"/>
  <c r="AF455" i="4" s="1"/>
  <c r="AF442" i="4"/>
  <c r="AF441" i="4"/>
  <c r="AP442" i="4"/>
  <c r="W443" i="4"/>
  <c r="AP455" i="4"/>
  <c r="W456" i="4"/>
  <c r="AP456" i="4" s="1"/>
  <c r="AM441" i="4"/>
  <c r="AN441" i="4" s="1"/>
  <c r="K443" i="28"/>
  <c r="AE456" i="4"/>
  <c r="AE443" i="4"/>
  <c r="L442" i="28"/>
  <c r="Q442" i="28"/>
  <c r="R442" i="28" s="1"/>
  <c r="T442" i="28" s="1"/>
  <c r="AK457" i="4"/>
  <c r="AI457" i="4"/>
  <c r="E457" i="4"/>
  <c r="G457" i="4"/>
  <c r="M457" i="4"/>
  <c r="Z457" i="4" s="1"/>
  <c r="K457" i="4"/>
  <c r="X457" i="4" s="1"/>
  <c r="AG457" i="4"/>
  <c r="AH457" i="4"/>
  <c r="AJ457" i="4"/>
  <c r="L457" i="4"/>
  <c r="Y457" i="4" s="1"/>
  <c r="I457" i="4"/>
  <c r="J457" i="4"/>
  <c r="AB457" i="4"/>
  <c r="AL457" i="4"/>
  <c r="H457" i="4"/>
  <c r="V443" i="4"/>
  <c r="M444" i="28"/>
  <c r="P444" i="28"/>
  <c r="O444" i="28"/>
  <c r="N444" i="28"/>
  <c r="E444" i="28"/>
  <c r="AU446" i="4"/>
  <c r="AU458" i="4"/>
  <c r="B458" i="4" s="1"/>
  <c r="B445" i="4"/>
  <c r="AO443" i="4"/>
  <c r="D48" i="61"/>
  <c r="Y446" i="28"/>
  <c r="B445" i="28"/>
  <c r="F445" i="28" s="1"/>
  <c r="AC456" i="4"/>
  <c r="J443" i="28"/>
  <c r="U443" i="28"/>
  <c r="AK444" i="4"/>
  <c r="I444" i="4"/>
  <c r="AL444" i="4"/>
  <c r="G444" i="4"/>
  <c r="AG444" i="4"/>
  <c r="AI444" i="4"/>
  <c r="J444" i="4"/>
  <c r="E444" i="4"/>
  <c r="K444" i="4"/>
  <c r="X444" i="4" s="1"/>
  <c r="L444" i="4"/>
  <c r="Y444" i="4" s="1"/>
  <c r="M444" i="4"/>
  <c r="Z444" i="4" s="1"/>
  <c r="AJ444" i="4"/>
  <c r="AH444" i="4"/>
  <c r="H444" i="4"/>
  <c r="AB444" i="4"/>
  <c r="D64" i="61"/>
  <c r="G64" i="61" s="1"/>
  <c r="D41" i="61"/>
  <c r="D65" i="61"/>
  <c r="G65" i="61" s="1"/>
  <c r="AM455" i="4" l="1"/>
  <c r="AN455" i="4" s="1"/>
  <c r="AD443" i="4"/>
  <c r="I444" i="28"/>
  <c r="W444" i="28"/>
  <c r="AM442" i="4"/>
  <c r="AN442" i="4" s="1"/>
  <c r="W444" i="4"/>
  <c r="AP443" i="4"/>
  <c r="AD456" i="4"/>
  <c r="W457" i="4"/>
  <c r="K444" i="28"/>
  <c r="J564" i="59"/>
  <c r="Y447" i="28"/>
  <c r="B446" i="28"/>
  <c r="F446" i="28" s="1"/>
  <c r="B446" i="4"/>
  <c r="AU459" i="4"/>
  <c r="B459" i="4" s="1"/>
  <c r="U444" i="28"/>
  <c r="J444" i="28"/>
  <c r="AO457" i="4"/>
  <c r="V443" i="28"/>
  <c r="V444" i="4"/>
  <c r="AK445" i="4"/>
  <c r="AH445" i="4"/>
  <c r="AI445" i="4"/>
  <c r="G445" i="4"/>
  <c r="I445" i="4"/>
  <c r="AL445" i="4"/>
  <c r="L445" i="4"/>
  <c r="Y445" i="4" s="1"/>
  <c r="K445" i="4"/>
  <c r="X445" i="4" s="1"/>
  <c r="AJ445" i="4"/>
  <c r="AG445" i="4"/>
  <c r="E445" i="4"/>
  <c r="J445" i="4"/>
  <c r="H445" i="4"/>
  <c r="M445" i="4"/>
  <c r="Z445" i="4" s="1"/>
  <c r="AB445" i="4"/>
  <c r="T56" i="61"/>
  <c r="U57" i="61"/>
  <c r="X56" i="61"/>
  <c r="V56" i="61"/>
  <c r="V57" i="61"/>
  <c r="R56" i="61"/>
  <c r="T57" i="61"/>
  <c r="R57" i="61"/>
  <c r="W56" i="61"/>
  <c r="U56" i="61"/>
  <c r="S57" i="61"/>
  <c r="S56" i="61"/>
  <c r="AC443" i="4"/>
  <c r="V457" i="4"/>
  <c r="AC444" i="4"/>
  <c r="AO444" i="4"/>
  <c r="AP444" i="4" s="1"/>
  <c r="AE444" i="4"/>
  <c r="Q443" i="28"/>
  <c r="R443" i="28" s="1"/>
  <c r="T443" i="28" s="1"/>
  <c r="L443" i="28"/>
  <c r="M445" i="28"/>
  <c r="E445" i="28"/>
  <c r="N445" i="28"/>
  <c r="P445" i="28"/>
  <c r="O445" i="28"/>
  <c r="AK458" i="4"/>
  <c r="H458" i="4"/>
  <c r="AH458" i="4"/>
  <c r="E458" i="4"/>
  <c r="AB458" i="4"/>
  <c r="AL458" i="4"/>
  <c r="AJ458" i="4"/>
  <c r="I458" i="4"/>
  <c r="AG458" i="4"/>
  <c r="K458" i="4"/>
  <c r="X458" i="4" s="1"/>
  <c r="M458" i="4"/>
  <c r="Z458" i="4" s="1"/>
  <c r="J458" i="4"/>
  <c r="AI458" i="4"/>
  <c r="L458" i="4"/>
  <c r="Y458" i="4" s="1"/>
  <c r="G458" i="4"/>
  <c r="AE457" i="4"/>
  <c r="AC457" i="4"/>
  <c r="Q41" i="58"/>
  <c r="G569" i="59" s="1"/>
  <c r="J569" i="59" s="1"/>
  <c r="Q40" i="58"/>
  <c r="G534" i="59" s="1"/>
  <c r="J534" i="59" s="1"/>
  <c r="G10" i="76" l="1"/>
  <c r="K10" i="76"/>
  <c r="H10" i="76"/>
  <c r="K11" i="76"/>
  <c r="H11" i="76"/>
  <c r="J11" i="76"/>
  <c r="G11" i="76"/>
  <c r="J10" i="76"/>
  <c r="J12" i="76"/>
  <c r="K12" i="76"/>
  <c r="G12" i="76"/>
  <c r="H12" i="76"/>
  <c r="G14" i="76"/>
  <c r="G6" i="76"/>
  <c r="J5" i="76"/>
  <c r="G8" i="76"/>
  <c r="J8" i="76"/>
  <c r="G4" i="76"/>
  <c r="G7" i="76"/>
  <c r="J4" i="76"/>
  <c r="J15" i="76"/>
  <c r="J14" i="76"/>
  <c r="J6" i="76"/>
  <c r="G15" i="76"/>
  <c r="J9" i="76"/>
  <c r="G9" i="76"/>
  <c r="G5" i="76"/>
  <c r="J7" i="76"/>
  <c r="K7" i="76"/>
  <c r="K14" i="76"/>
  <c r="K15" i="76"/>
  <c r="H15" i="76"/>
  <c r="H5" i="76"/>
  <c r="H8" i="76"/>
  <c r="H4" i="76"/>
  <c r="K8" i="76"/>
  <c r="K9" i="76"/>
  <c r="K5" i="76"/>
  <c r="H6" i="76"/>
  <c r="H14" i="76"/>
  <c r="K4" i="76"/>
  <c r="K6" i="76"/>
  <c r="H9" i="76"/>
  <c r="H7" i="76"/>
  <c r="I445" i="28"/>
  <c r="J445" i="28" s="1"/>
  <c r="W445" i="28"/>
  <c r="AD457" i="4"/>
  <c r="V444" i="28"/>
  <c r="AD444" i="4"/>
  <c r="W458" i="4"/>
  <c r="AP457" i="4"/>
  <c r="W445" i="4"/>
  <c r="K445" i="28"/>
  <c r="U445" i="28"/>
  <c r="V445" i="4"/>
  <c r="AM443" i="4"/>
  <c r="AN443" i="4" s="1"/>
  <c r="AF443" i="4"/>
  <c r="AK446" i="4"/>
  <c r="K446" i="4"/>
  <c r="X446" i="4" s="1"/>
  <c r="M446" i="4"/>
  <c r="Z446" i="4" s="1"/>
  <c r="L446" i="4"/>
  <c r="Y446" i="4" s="1"/>
  <c r="AL446" i="4"/>
  <c r="J446" i="4"/>
  <c r="AH446" i="4"/>
  <c r="H446" i="4"/>
  <c r="AG446" i="4"/>
  <c r="I446" i="4"/>
  <c r="AI446" i="4"/>
  <c r="G446" i="4"/>
  <c r="E446" i="4"/>
  <c r="AB446" i="4"/>
  <c r="AJ446" i="4"/>
  <c r="P446" i="28"/>
  <c r="M446" i="28"/>
  <c r="O446" i="28"/>
  <c r="N446" i="28"/>
  <c r="E446" i="28"/>
  <c r="AO458" i="4"/>
  <c r="V458" i="4"/>
  <c r="AE445" i="4"/>
  <c r="Q444" i="28"/>
  <c r="R444" i="28" s="1"/>
  <c r="T444" i="28" s="1"/>
  <c r="L444" i="28"/>
  <c r="Y448" i="28"/>
  <c r="B447" i="28"/>
  <c r="F447" i="28" s="1"/>
  <c r="AC458" i="4"/>
  <c r="AE458" i="4"/>
  <c r="AF457" i="4"/>
  <c r="AM457" i="4"/>
  <c r="AN457" i="4" s="1"/>
  <c r="AO445" i="4"/>
  <c r="D21" i="61"/>
  <c r="AF456" i="4"/>
  <c r="AM456" i="4"/>
  <c r="AN456" i="4" s="1"/>
  <c r="AK459" i="4"/>
  <c r="J459" i="4"/>
  <c r="L459" i="4"/>
  <c r="I459" i="4"/>
  <c r="E46" i="59" s="1"/>
  <c r="AI459" i="4"/>
  <c r="G459" i="4"/>
  <c r="E44" i="59" s="1"/>
  <c r="J44" i="59" s="1"/>
  <c r="H459" i="4"/>
  <c r="E45" i="59" s="1"/>
  <c r="E459" i="4"/>
  <c r="AJ459" i="4"/>
  <c r="K459" i="4"/>
  <c r="M459" i="4"/>
  <c r="AB459" i="4"/>
  <c r="AL459" i="4"/>
  <c r="AH459" i="4"/>
  <c r="AG459" i="4"/>
  <c r="AG468" i="4" l="1"/>
  <c r="AG469" i="4"/>
  <c r="AG470" i="4"/>
  <c r="AG473" i="4"/>
  <c r="AG475" i="4"/>
  <c r="AG471" i="4"/>
  <c r="AG478" i="4"/>
  <c r="AG479" i="4"/>
  <c r="AG480" i="4"/>
  <c r="AG466" i="4"/>
  <c r="AG467" i="4"/>
  <c r="AG472" i="4"/>
  <c r="AG474" i="4"/>
  <c r="AG476" i="4"/>
  <c r="AG477" i="4"/>
  <c r="D265" i="59"/>
  <c r="D489" i="59"/>
  <c r="D450" i="59"/>
  <c r="D376" i="59"/>
  <c r="D302" i="59"/>
  <c r="D264" i="59"/>
  <c r="D451" i="59"/>
  <c r="D375" i="59"/>
  <c r="D301" i="59"/>
  <c r="D490" i="59"/>
  <c r="AH468" i="4"/>
  <c r="AH469" i="4"/>
  <c r="AH470" i="4"/>
  <c r="AH473" i="4"/>
  <c r="AH475" i="4"/>
  <c r="AH471" i="4"/>
  <c r="AH478" i="4"/>
  <c r="AH479" i="4"/>
  <c r="AH480" i="4"/>
  <c r="AH466" i="4"/>
  <c r="AH467" i="4"/>
  <c r="AH472" i="4"/>
  <c r="AH474" i="4"/>
  <c r="AH476" i="4"/>
  <c r="AH477" i="4"/>
  <c r="D263" i="59"/>
  <c r="D374" i="59"/>
  <c r="D300" i="59"/>
  <c r="E112" i="59"/>
  <c r="E147" i="59"/>
  <c r="E184" i="59"/>
  <c r="E115" i="59"/>
  <c r="E523" i="59"/>
  <c r="E11" i="59"/>
  <c r="E262" i="59"/>
  <c r="E373" i="59"/>
  <c r="E221" i="59"/>
  <c r="E299" i="59"/>
  <c r="C22" i="73" s="1"/>
  <c r="E557" i="59"/>
  <c r="E488" i="59"/>
  <c r="E449" i="59"/>
  <c r="AI468" i="4"/>
  <c r="AI469" i="4"/>
  <c r="AI470" i="4"/>
  <c r="AI473" i="4"/>
  <c r="AI475" i="4"/>
  <c r="AI471" i="4"/>
  <c r="AI478" i="4"/>
  <c r="AI479" i="4"/>
  <c r="AI480" i="4"/>
  <c r="AI466" i="4"/>
  <c r="AI467" i="4"/>
  <c r="AI474" i="4"/>
  <c r="AI476" i="4"/>
  <c r="AI477" i="4"/>
  <c r="AK462" i="4"/>
  <c r="AK468" i="4"/>
  <c r="AK469" i="4"/>
  <c r="AK470" i="4"/>
  <c r="AK473" i="4"/>
  <c r="AK475" i="4"/>
  <c r="AK471" i="4"/>
  <c r="AK478" i="4"/>
  <c r="AK479" i="4"/>
  <c r="AK480" i="4"/>
  <c r="AK481" i="4"/>
  <c r="AK482" i="4"/>
  <c r="AK466" i="4"/>
  <c r="AK467" i="4"/>
  <c r="AK472" i="4"/>
  <c r="AK474" i="4"/>
  <c r="AK476" i="4"/>
  <c r="AK477" i="4"/>
  <c r="AL468" i="4"/>
  <c r="E11" i="73" s="1"/>
  <c r="AL469" i="4"/>
  <c r="AL470" i="4"/>
  <c r="AL473" i="4"/>
  <c r="E12" i="73" s="1"/>
  <c r="AL475" i="4"/>
  <c r="AL471" i="4"/>
  <c r="AL478" i="4"/>
  <c r="AL479" i="4"/>
  <c r="AL480" i="4"/>
  <c r="AL466" i="4"/>
  <c r="AL467" i="4"/>
  <c r="AL472" i="4"/>
  <c r="AL474" i="4"/>
  <c r="AL476" i="4"/>
  <c r="AL477" i="4"/>
  <c r="C111" i="59"/>
  <c r="B13" i="73" s="1"/>
  <c r="C146" i="59"/>
  <c r="C183" i="59"/>
  <c r="C114" i="59"/>
  <c r="C522" i="59"/>
  <c r="C10" i="59"/>
  <c r="C261" i="59"/>
  <c r="C487" i="59"/>
  <c r="C448" i="59"/>
  <c r="B29" i="73" s="1"/>
  <c r="C372" i="59"/>
  <c r="C220" i="59"/>
  <c r="C298" i="59"/>
  <c r="C556" i="59"/>
  <c r="C43" i="59"/>
  <c r="L299" i="59"/>
  <c r="D17" i="58"/>
  <c r="P17" i="58" s="1"/>
  <c r="D22" i="58"/>
  <c r="P22" i="58" s="1"/>
  <c r="G162" i="59" s="1"/>
  <c r="J162" i="59" s="1"/>
  <c r="D23" i="58"/>
  <c r="D18" i="58"/>
  <c r="D26" i="58"/>
  <c r="D30" i="58"/>
  <c r="P30" i="58" s="1"/>
  <c r="G313" i="59" s="1"/>
  <c r="L313" i="59" s="1"/>
  <c r="D29" i="58"/>
  <c r="D38" i="58"/>
  <c r="P38" i="58" s="1"/>
  <c r="G500" i="59" s="1"/>
  <c r="J500" i="59" s="1"/>
  <c r="D35" i="58"/>
  <c r="P35" i="58" s="1"/>
  <c r="D37" i="58"/>
  <c r="P37" i="58" s="1"/>
  <c r="G464" i="59" s="1"/>
  <c r="J464" i="59" s="1"/>
  <c r="D33" i="58"/>
  <c r="P33" i="58" s="1"/>
  <c r="G387" i="59" s="1"/>
  <c r="J387" i="59" s="1"/>
  <c r="E26" i="58"/>
  <c r="E17" i="58"/>
  <c r="E22" i="58"/>
  <c r="E23" i="58"/>
  <c r="Q23" i="58" s="1"/>
  <c r="G200" i="59" s="1"/>
  <c r="J200" i="59" s="1"/>
  <c r="E18" i="58"/>
  <c r="Q18" i="58" s="1"/>
  <c r="E30" i="58"/>
  <c r="Q30" i="58" s="1"/>
  <c r="E29" i="58"/>
  <c r="E38" i="58"/>
  <c r="Q38" i="58" s="1"/>
  <c r="G501" i="59" s="1"/>
  <c r="J501" i="59" s="1"/>
  <c r="E35" i="58"/>
  <c r="Q35" i="58" s="1"/>
  <c r="E37" i="58"/>
  <c r="Q37" i="58" s="1"/>
  <c r="E33" i="58"/>
  <c r="Q33" i="58" s="1"/>
  <c r="G388" i="59" s="1"/>
  <c r="J388" i="59" s="1"/>
  <c r="C26" i="58"/>
  <c r="I13" i="60" s="1"/>
  <c r="C17" i="58"/>
  <c r="C22" i="58"/>
  <c r="I11" i="60" s="1"/>
  <c r="C23" i="58"/>
  <c r="I12" i="60" s="1"/>
  <c r="C18" i="58"/>
  <c r="C30" i="58"/>
  <c r="C29" i="58"/>
  <c r="C38" i="58"/>
  <c r="C35" i="58"/>
  <c r="I20" i="60" s="1"/>
  <c r="C37" i="58"/>
  <c r="C33" i="58"/>
  <c r="I15" i="60" s="1"/>
  <c r="F26" i="58"/>
  <c r="R26" i="58" s="1"/>
  <c r="G241" i="59" s="1"/>
  <c r="J241" i="59" s="1"/>
  <c r="F17" i="58"/>
  <c r="F22" i="58"/>
  <c r="R22" i="58" s="1"/>
  <c r="G164" i="59" s="1"/>
  <c r="J164" i="59" s="1"/>
  <c r="F23" i="58"/>
  <c r="F18" i="58"/>
  <c r="R18" i="58" s="1"/>
  <c r="F30" i="58"/>
  <c r="R30" i="58" s="1"/>
  <c r="G315" i="59" s="1"/>
  <c r="L315" i="59" s="1"/>
  <c r="F38" i="58"/>
  <c r="R38" i="58" s="1"/>
  <c r="G502" i="59" s="1"/>
  <c r="J502" i="59" s="1"/>
  <c r="F35" i="58"/>
  <c r="R35" i="58" s="1"/>
  <c r="F37" i="58"/>
  <c r="R37" i="58" s="1"/>
  <c r="G466" i="59" s="1"/>
  <c r="J466" i="59" s="1"/>
  <c r="F33" i="58"/>
  <c r="R33" i="58" s="1"/>
  <c r="G389" i="59" s="1"/>
  <c r="J389" i="59" s="1"/>
  <c r="Q43" i="58"/>
  <c r="R6" i="76"/>
  <c r="U6" i="76"/>
  <c r="U5" i="76"/>
  <c r="R5" i="76"/>
  <c r="R14" i="76"/>
  <c r="U14" i="76"/>
  <c r="T14" i="76"/>
  <c r="M14" i="76"/>
  <c r="Q14" i="76"/>
  <c r="R12" i="76"/>
  <c r="U12" i="76"/>
  <c r="T11" i="76"/>
  <c r="M11" i="76"/>
  <c r="Q11" i="76"/>
  <c r="R10" i="76"/>
  <c r="U10" i="76"/>
  <c r="R4" i="76"/>
  <c r="U4" i="76"/>
  <c r="R9" i="76"/>
  <c r="U9" i="76"/>
  <c r="U7" i="76"/>
  <c r="R7" i="76"/>
  <c r="T9" i="76"/>
  <c r="M9" i="76"/>
  <c r="Q9" i="76"/>
  <c r="T15" i="76"/>
  <c r="M15" i="76"/>
  <c r="Q15" i="76"/>
  <c r="M8" i="76"/>
  <c r="Q8" i="76"/>
  <c r="T8" i="76"/>
  <c r="M12" i="76"/>
  <c r="Q12" i="76"/>
  <c r="T12" i="76"/>
  <c r="J13" i="76"/>
  <c r="K13" i="76"/>
  <c r="R8" i="76"/>
  <c r="U8" i="76"/>
  <c r="T7" i="76"/>
  <c r="M7" i="76"/>
  <c r="Q7" i="76"/>
  <c r="M4" i="76"/>
  <c r="T4" i="76"/>
  <c r="Q4" i="76"/>
  <c r="T10" i="76"/>
  <c r="M10" i="76"/>
  <c r="Q10" i="76"/>
  <c r="R11" i="76"/>
  <c r="U11" i="76"/>
  <c r="R15" i="76"/>
  <c r="U15" i="76"/>
  <c r="M6" i="76"/>
  <c r="T6" i="76"/>
  <c r="Q6" i="76"/>
  <c r="M5" i="76"/>
  <c r="T5" i="76"/>
  <c r="Q5" i="76"/>
  <c r="I446" i="28"/>
  <c r="W446" i="28"/>
  <c r="AD445" i="4"/>
  <c r="AD458" i="4"/>
  <c r="AJ462" i="4"/>
  <c r="W446" i="4"/>
  <c r="Y459" i="4"/>
  <c r="Y462" i="4" s="1"/>
  <c r="E17" i="61"/>
  <c r="E22" i="61"/>
  <c r="E29" i="61"/>
  <c r="E43" i="61"/>
  <c r="G43" i="61" s="1"/>
  <c r="E36" i="61"/>
  <c r="G36" i="61" s="1"/>
  <c r="E56" i="61"/>
  <c r="E50" i="61"/>
  <c r="G50" i="61" s="1"/>
  <c r="AP445" i="4"/>
  <c r="Z459" i="4"/>
  <c r="E18" i="61"/>
  <c r="G18" i="61" s="1"/>
  <c r="E23" i="61"/>
  <c r="G23" i="61" s="1"/>
  <c r="E30" i="61"/>
  <c r="G30" i="61" s="1"/>
  <c r="E44" i="61"/>
  <c r="G44" i="61" s="1"/>
  <c r="E37" i="61"/>
  <c r="G37" i="61" s="1"/>
  <c r="E62" i="61"/>
  <c r="G62" i="61" s="1"/>
  <c r="E57" i="61"/>
  <c r="G57" i="61" s="1"/>
  <c r="E51" i="61"/>
  <c r="G51" i="61" s="1"/>
  <c r="X459" i="4"/>
  <c r="X462" i="4" s="1"/>
  <c r="E28" i="61"/>
  <c r="E42" i="61"/>
  <c r="E35" i="61"/>
  <c r="E49" i="61"/>
  <c r="D10" i="61"/>
  <c r="D5" i="61"/>
  <c r="G5" i="61" s="1"/>
  <c r="D16" i="61"/>
  <c r="D11" i="61"/>
  <c r="G11" i="61" s="1"/>
  <c r="D6" i="61"/>
  <c r="AP458" i="4"/>
  <c r="W459" i="4"/>
  <c r="W462" i="4" s="1"/>
  <c r="AO459" i="4"/>
  <c r="V459" i="4"/>
  <c r="AH462" i="4"/>
  <c r="I44" i="74"/>
  <c r="I27" i="74"/>
  <c r="I10" i="74"/>
  <c r="I26" i="74"/>
  <c r="I9" i="74"/>
  <c r="I43" i="74"/>
  <c r="I42" i="74"/>
  <c r="K446" i="28"/>
  <c r="E336" i="59"/>
  <c r="J336" i="59" s="1"/>
  <c r="AC445" i="4"/>
  <c r="V445" i="28"/>
  <c r="K462" i="4"/>
  <c r="H462" i="4"/>
  <c r="E447" i="28"/>
  <c r="M447" i="28"/>
  <c r="O447" i="28"/>
  <c r="N447" i="28"/>
  <c r="P447" i="28"/>
  <c r="M462" i="4"/>
  <c r="G29" i="61"/>
  <c r="I462" i="4"/>
  <c r="Y449" i="28"/>
  <c r="B448" i="28"/>
  <c r="F448" i="28" s="1"/>
  <c r="Q26" i="58"/>
  <c r="G240" i="59" s="1"/>
  <c r="J240" i="59" s="1"/>
  <c r="AF444" i="4"/>
  <c r="AM444" i="4"/>
  <c r="AN444" i="4" s="1"/>
  <c r="L462" i="4"/>
  <c r="G462" i="4"/>
  <c r="E462" i="4"/>
  <c r="U446" i="28"/>
  <c r="J446" i="28"/>
  <c r="AB462" i="4"/>
  <c r="AO446" i="4"/>
  <c r="AP446" i="4" s="1"/>
  <c r="D27" i="61"/>
  <c r="J462" i="4"/>
  <c r="G22" i="61"/>
  <c r="AE459" i="4"/>
  <c r="AL462" i="4"/>
  <c r="AG462" i="4"/>
  <c r="V446" i="4"/>
  <c r="AD446" i="4" s="1"/>
  <c r="AE446" i="4"/>
  <c r="L445" i="28"/>
  <c r="Q445" i="28"/>
  <c r="R445" i="28" s="1"/>
  <c r="T445" i="28" s="1"/>
  <c r="G299" i="59"/>
  <c r="H38" i="58" l="1"/>
  <c r="H18" i="58"/>
  <c r="S18" i="58" s="1"/>
  <c r="C13" i="73"/>
  <c r="C31" i="58"/>
  <c r="I14" i="60" s="1"/>
  <c r="G465" i="59"/>
  <c r="J465" i="59" s="1"/>
  <c r="G314" i="59"/>
  <c r="L314" i="59" s="1"/>
  <c r="H27" i="73"/>
  <c r="E27" i="73"/>
  <c r="C29" i="73"/>
  <c r="D29" i="73" s="1"/>
  <c r="G449" i="59"/>
  <c r="J449" i="59"/>
  <c r="C31" i="73"/>
  <c r="J523" i="59"/>
  <c r="G523" i="59"/>
  <c r="G301" i="59"/>
  <c r="L301" i="59"/>
  <c r="L302" i="59"/>
  <c r="G302" i="59"/>
  <c r="L265" i="59"/>
  <c r="G265" i="59"/>
  <c r="D339" i="59"/>
  <c r="J339" i="59" s="1"/>
  <c r="I21" i="60"/>
  <c r="J488" i="59"/>
  <c r="G488" i="59"/>
  <c r="G373" i="59"/>
  <c r="J373" i="59"/>
  <c r="C25" i="73"/>
  <c r="L300" i="59"/>
  <c r="G300" i="59"/>
  <c r="G375" i="59"/>
  <c r="J375" i="59"/>
  <c r="J376" i="59"/>
  <c r="G376" i="59"/>
  <c r="C32" i="73"/>
  <c r="J557" i="59"/>
  <c r="G557" i="59"/>
  <c r="C21" i="73"/>
  <c r="L262" i="59"/>
  <c r="G262" i="59"/>
  <c r="G374" i="59"/>
  <c r="J374" i="59"/>
  <c r="AE468" i="4"/>
  <c r="AE469" i="4"/>
  <c r="AE470" i="4"/>
  <c r="AE473" i="4"/>
  <c r="AE475" i="4"/>
  <c r="AE471" i="4"/>
  <c r="AE478" i="4"/>
  <c r="AE466" i="4"/>
  <c r="AE467" i="4"/>
  <c r="AE474" i="4"/>
  <c r="AE476" i="4"/>
  <c r="AE477" i="4"/>
  <c r="G336" i="59"/>
  <c r="G38" i="58"/>
  <c r="L263" i="59"/>
  <c r="G263" i="59"/>
  <c r="D337" i="59"/>
  <c r="J337" i="59" s="1"/>
  <c r="G490" i="59"/>
  <c r="J490" i="59"/>
  <c r="L264" i="59"/>
  <c r="G264" i="59"/>
  <c r="D338" i="59"/>
  <c r="J338" i="59" s="1"/>
  <c r="G489" i="59"/>
  <c r="J489" i="59"/>
  <c r="C16" i="73"/>
  <c r="G33" i="58"/>
  <c r="E24" i="61"/>
  <c r="Q17" i="58"/>
  <c r="E19" i="58"/>
  <c r="G37" i="58"/>
  <c r="G30" i="58"/>
  <c r="C19" i="58"/>
  <c r="I10" i="60" s="1"/>
  <c r="G35" i="58"/>
  <c r="K35" i="58" s="1"/>
  <c r="O35" i="58" s="1"/>
  <c r="T35" i="58" s="1"/>
  <c r="AA35" i="58" s="1"/>
  <c r="P29" i="58"/>
  <c r="G276" i="59" s="1"/>
  <c r="L276" i="59" s="1"/>
  <c r="D31" i="58"/>
  <c r="P31" i="58" s="1"/>
  <c r="G350" i="59" s="1"/>
  <c r="J350" i="59" s="1"/>
  <c r="Q29" i="58"/>
  <c r="G277" i="59" s="1"/>
  <c r="L277" i="59" s="1"/>
  <c r="E31" i="58"/>
  <c r="Q31" i="58" s="1"/>
  <c r="G19" i="59"/>
  <c r="J19" i="59" s="1"/>
  <c r="H12" i="58"/>
  <c r="S12" i="58" s="1"/>
  <c r="S38" i="58"/>
  <c r="G207" i="65"/>
  <c r="I207" i="65" s="1"/>
  <c r="D24" i="58"/>
  <c r="P24" i="58" s="1"/>
  <c r="P23" i="58"/>
  <c r="G199" i="59" s="1"/>
  <c r="J199" i="59" s="1"/>
  <c r="F24" i="58"/>
  <c r="R24" i="58" s="1"/>
  <c r="R23" i="58"/>
  <c r="G201" i="59" s="1"/>
  <c r="J201" i="59" s="1"/>
  <c r="G22" i="58"/>
  <c r="Q22" i="58"/>
  <c r="G163" i="59" s="1"/>
  <c r="J163" i="59" s="1"/>
  <c r="G26" i="59"/>
  <c r="B32" i="73"/>
  <c r="D32" i="73" s="1"/>
  <c r="B31" i="73"/>
  <c r="B25" i="73"/>
  <c r="B22" i="73"/>
  <c r="R13" i="76"/>
  <c r="U13" i="76"/>
  <c r="U17" i="76" s="1"/>
  <c r="D24" i="76" s="1"/>
  <c r="K17" i="76"/>
  <c r="T13" i="76"/>
  <c r="T17" i="76" s="1"/>
  <c r="M13" i="76"/>
  <c r="Q13" i="76"/>
  <c r="Q17" i="76" s="1"/>
  <c r="F19" i="58"/>
  <c r="J17" i="76"/>
  <c r="R17" i="76"/>
  <c r="C24" i="76" s="1"/>
  <c r="B21" i="73"/>
  <c r="B15" i="73"/>
  <c r="E24" i="58"/>
  <c r="Q24" i="58" s="1"/>
  <c r="G24" i="61"/>
  <c r="AC459" i="4"/>
  <c r="I447" i="28"/>
  <c r="J447" i="28" s="1"/>
  <c r="W447" i="28"/>
  <c r="P18" i="58"/>
  <c r="AD459" i="4"/>
  <c r="G10" i="61"/>
  <c r="D12" i="61"/>
  <c r="G42" i="61"/>
  <c r="G45" i="61" s="1"/>
  <c r="E45" i="61"/>
  <c r="E58" i="61"/>
  <c r="G56" i="61"/>
  <c r="G58" i="61" s="1"/>
  <c r="C15" i="73"/>
  <c r="AP459" i="4"/>
  <c r="E52" i="61"/>
  <c r="G49" i="61"/>
  <c r="G52" i="61" s="1"/>
  <c r="G496" i="59"/>
  <c r="G503" i="59" s="1"/>
  <c r="J503" i="59" s="1"/>
  <c r="G17" i="61"/>
  <c r="G19" i="61" s="1"/>
  <c r="E19" i="61"/>
  <c r="G35" i="61"/>
  <c r="G38" i="61" s="1"/>
  <c r="E38" i="61"/>
  <c r="Z462" i="4"/>
  <c r="J42" i="74"/>
  <c r="D222" i="59" s="1"/>
  <c r="J9" i="74"/>
  <c r="D149" i="59" s="1"/>
  <c r="J10" i="74"/>
  <c r="D148" i="59" s="1"/>
  <c r="J26" i="74"/>
  <c r="J27" i="74"/>
  <c r="D185" i="59" s="1"/>
  <c r="J44" i="74"/>
  <c r="D224" i="59" s="1"/>
  <c r="J43" i="74"/>
  <c r="D223" i="59" s="1"/>
  <c r="K447" i="28"/>
  <c r="AC446" i="4"/>
  <c r="AC462" i="4" s="1"/>
  <c r="G6" i="61"/>
  <c r="D7" i="61"/>
  <c r="G28" i="61"/>
  <c r="G31" i="61" s="1"/>
  <c r="E31" i="61"/>
  <c r="U447" i="28"/>
  <c r="AF458" i="4"/>
  <c r="AM458" i="4"/>
  <c r="AN458" i="4" s="1"/>
  <c r="L446" i="28"/>
  <c r="Q446" i="28"/>
  <c r="R446" i="28" s="1"/>
  <c r="T446" i="28" s="1"/>
  <c r="J46" i="59"/>
  <c r="V462" i="4"/>
  <c r="P26" i="58"/>
  <c r="G239" i="59" s="1"/>
  <c r="J239" i="59" s="1"/>
  <c r="AM445" i="4"/>
  <c r="AN445" i="4" s="1"/>
  <c r="AF445" i="4"/>
  <c r="J184" i="59"/>
  <c r="G184" i="59"/>
  <c r="G195" i="59"/>
  <c r="G23" i="58"/>
  <c r="C24" i="58"/>
  <c r="M448" i="28"/>
  <c r="O448" i="28"/>
  <c r="N448" i="28"/>
  <c r="E448" i="28"/>
  <c r="P448" i="28"/>
  <c r="G45" i="59"/>
  <c r="B449" i="28"/>
  <c r="F449" i="28" s="1"/>
  <c r="Y450" i="28"/>
  <c r="V446" i="28"/>
  <c r="H17" i="58" l="1"/>
  <c r="H26" i="58"/>
  <c r="S26" i="58" s="1"/>
  <c r="H22" i="58"/>
  <c r="H23" i="58"/>
  <c r="S23" i="58" s="1"/>
  <c r="H13" i="58"/>
  <c r="H29" i="58"/>
  <c r="S29" i="58" s="1"/>
  <c r="H33" i="58"/>
  <c r="S33" i="58" s="1"/>
  <c r="H37" i="58"/>
  <c r="S37" i="58" s="1"/>
  <c r="D31" i="73"/>
  <c r="G339" i="59"/>
  <c r="G337" i="59"/>
  <c r="D25" i="73"/>
  <c r="G351" i="59"/>
  <c r="J351" i="59" s="1"/>
  <c r="C34" i="74"/>
  <c r="D186" i="59"/>
  <c r="AD468" i="4"/>
  <c r="AD470" i="4"/>
  <c r="AF470" i="4" s="1"/>
  <c r="G192" i="59" s="1"/>
  <c r="AD469" i="4"/>
  <c r="AF469" i="4" s="1"/>
  <c r="G155" i="59" s="1"/>
  <c r="AD479" i="4"/>
  <c r="AD481" i="4"/>
  <c r="AF481" i="4" s="1"/>
  <c r="G16" i="59" s="1"/>
  <c r="AD471" i="4"/>
  <c r="AF471" i="4" s="1"/>
  <c r="G231" i="59" s="1"/>
  <c r="AD473" i="4"/>
  <c r="AF473" i="4" s="1"/>
  <c r="AD472" i="4"/>
  <c r="AD475" i="4"/>
  <c r="AF475" i="4" s="1"/>
  <c r="AD476" i="4"/>
  <c r="AF476" i="4" s="1"/>
  <c r="G456" i="59" s="1"/>
  <c r="J456" i="59" s="1"/>
  <c r="AD478" i="4"/>
  <c r="AF478" i="4" s="1"/>
  <c r="G306" i="59" s="1"/>
  <c r="AD480" i="4"/>
  <c r="AF480" i="4" s="1"/>
  <c r="G561" i="59" s="1"/>
  <c r="AD467" i="4"/>
  <c r="AF467" i="4" s="1"/>
  <c r="AD474" i="4"/>
  <c r="AF474" i="4" s="1"/>
  <c r="G493" i="59" s="1"/>
  <c r="J493" i="59" s="1"/>
  <c r="AD477" i="4"/>
  <c r="AF477" i="4" s="1"/>
  <c r="G380" i="59" s="1"/>
  <c r="C20" i="60"/>
  <c r="J20" i="60" s="1"/>
  <c r="F27" i="73"/>
  <c r="D21" i="73"/>
  <c r="C23" i="73"/>
  <c r="G338" i="59"/>
  <c r="I27" i="73"/>
  <c r="J27" i="73" s="1"/>
  <c r="D20" i="60"/>
  <c r="E20" i="60" s="1"/>
  <c r="F20" i="60" s="1"/>
  <c r="AE483" i="4"/>
  <c r="D22" i="73"/>
  <c r="D15" i="73"/>
  <c r="F12" i="73"/>
  <c r="F11" i="73"/>
  <c r="B23" i="73"/>
  <c r="C17" i="73"/>
  <c r="B19" i="73"/>
  <c r="C19" i="73"/>
  <c r="D13" i="73"/>
  <c r="B16" i="73"/>
  <c r="B17" i="73" s="1"/>
  <c r="AD462" i="4"/>
  <c r="AD466" i="4"/>
  <c r="AF466" i="4" s="1"/>
  <c r="M35" i="58"/>
  <c r="Q19" i="58"/>
  <c r="Q45" i="58" s="1"/>
  <c r="Q53" i="58" s="1"/>
  <c r="Q59" i="58" s="1"/>
  <c r="G126" i="59"/>
  <c r="J126" i="59" s="1"/>
  <c r="C8" i="73"/>
  <c r="B7" i="73"/>
  <c r="C7" i="73"/>
  <c r="L261" i="59"/>
  <c r="L268" i="59" s="1"/>
  <c r="D41" i="58"/>
  <c r="F41" i="58"/>
  <c r="R41" i="58" s="1"/>
  <c r="G570" i="59" s="1"/>
  <c r="J570" i="59" s="1"/>
  <c r="L298" i="59"/>
  <c r="L305" i="59" s="1"/>
  <c r="R19" i="58"/>
  <c r="G127" i="59"/>
  <c r="S13" i="58"/>
  <c r="K13" i="58"/>
  <c r="O13" i="58" s="1"/>
  <c r="E46" i="61"/>
  <c r="H30" i="58"/>
  <c r="S30" i="58" s="1"/>
  <c r="S31" i="58" s="1"/>
  <c r="G46" i="61"/>
  <c r="G346" i="59" s="1"/>
  <c r="G353" i="59" s="1"/>
  <c r="J353" i="59" s="1"/>
  <c r="Y35" i="58"/>
  <c r="E45" i="58"/>
  <c r="H19" i="58"/>
  <c r="G121" i="59" s="1"/>
  <c r="S17" i="58"/>
  <c r="H24" i="58"/>
  <c r="S22" i="58"/>
  <c r="S24" i="58" s="1"/>
  <c r="G17" i="58"/>
  <c r="R17" i="58"/>
  <c r="J195" i="59"/>
  <c r="G202" i="59"/>
  <c r="J202" i="59" s="1"/>
  <c r="G183" i="59"/>
  <c r="J183" i="59"/>
  <c r="J556" i="59"/>
  <c r="J560" i="59" s="1"/>
  <c r="G556" i="59"/>
  <c r="G560" i="59" s="1"/>
  <c r="G487" i="59"/>
  <c r="G492" i="59" s="1"/>
  <c r="J487" i="59"/>
  <c r="G522" i="59"/>
  <c r="G525" i="59" s="1"/>
  <c r="J522" i="59"/>
  <c r="J525" i="59" s="1"/>
  <c r="J448" i="59"/>
  <c r="G448" i="59"/>
  <c r="G298" i="59"/>
  <c r="G305" i="59" s="1"/>
  <c r="G372" i="59"/>
  <c r="G379" i="59" s="1"/>
  <c r="J372" i="59"/>
  <c r="J379" i="59" s="1"/>
  <c r="D23" i="76"/>
  <c r="D25" i="76"/>
  <c r="C52" i="74"/>
  <c r="J146" i="59"/>
  <c r="G146" i="59"/>
  <c r="C53" i="74"/>
  <c r="G111" i="59"/>
  <c r="J111" i="59"/>
  <c r="AF459" i="4"/>
  <c r="G13" i="76"/>
  <c r="G17" i="76" s="1"/>
  <c r="H13" i="76"/>
  <c r="H17" i="76" s="1"/>
  <c r="E24" i="76" s="1"/>
  <c r="C23" i="76"/>
  <c r="C25" i="76"/>
  <c r="G261" i="59"/>
  <c r="C335" i="59"/>
  <c r="J335" i="59" s="1"/>
  <c r="J342" i="59" s="1"/>
  <c r="J114" i="59"/>
  <c r="G114" i="59"/>
  <c r="D19" i="58"/>
  <c r="G18" i="58"/>
  <c r="K18" i="58" s="1"/>
  <c r="O18" i="58" s="1"/>
  <c r="T18" i="58" s="1"/>
  <c r="I448" i="28"/>
  <c r="W448" i="28"/>
  <c r="K44" i="74"/>
  <c r="D228" i="59" s="1"/>
  <c r="C54" i="74"/>
  <c r="K38" i="58"/>
  <c r="O38" i="58" s="1"/>
  <c r="T38" i="58" s="1"/>
  <c r="G272" i="59"/>
  <c r="L272" i="59" s="1"/>
  <c r="J112" i="59"/>
  <c r="G112" i="59"/>
  <c r="G459" i="59"/>
  <c r="J496" i="59"/>
  <c r="J147" i="59"/>
  <c r="G147" i="59"/>
  <c r="G309" i="59"/>
  <c r="J115" i="59"/>
  <c r="G115" i="59"/>
  <c r="J24" i="58"/>
  <c r="G158" i="59"/>
  <c r="G383" i="59"/>
  <c r="G12" i="61"/>
  <c r="G11" i="59"/>
  <c r="J11" i="59"/>
  <c r="AM459" i="4"/>
  <c r="AN459" i="4" s="1"/>
  <c r="V447" i="28"/>
  <c r="J10" i="59"/>
  <c r="G10" i="59"/>
  <c r="AM446" i="4"/>
  <c r="AN446" i="4" s="1"/>
  <c r="AF446" i="4"/>
  <c r="K10" i="74"/>
  <c r="D151" i="59" s="1"/>
  <c r="C18" i="74"/>
  <c r="K9" i="74"/>
  <c r="D152" i="59" s="1"/>
  <c r="C17" i="74"/>
  <c r="K27" i="74"/>
  <c r="D188" i="59" s="1"/>
  <c r="C35" i="74"/>
  <c r="K26" i="74"/>
  <c r="D189" i="59" s="1"/>
  <c r="K43" i="74"/>
  <c r="D227" i="59" s="1"/>
  <c r="K42" i="74"/>
  <c r="D226" i="59" s="1"/>
  <c r="K448" i="28"/>
  <c r="G26" i="58"/>
  <c r="K26" i="58" s="1"/>
  <c r="O26" i="58" s="1"/>
  <c r="T26" i="58" s="1"/>
  <c r="J448" i="28"/>
  <c r="U448" i="28"/>
  <c r="G221" i="59"/>
  <c r="J221" i="59"/>
  <c r="P449" i="28"/>
  <c r="M449" i="28"/>
  <c r="E449" i="28"/>
  <c r="N449" i="28"/>
  <c r="O449" i="28"/>
  <c r="G44" i="59"/>
  <c r="G234" i="59"/>
  <c r="G46" i="59"/>
  <c r="G53" i="59"/>
  <c r="G60" i="59" s="1"/>
  <c r="J60" i="59" s="1"/>
  <c r="G7" i="61"/>
  <c r="K23" i="58"/>
  <c r="O23" i="58" s="1"/>
  <c r="T23" i="58" s="1"/>
  <c r="AA23" i="58" s="1"/>
  <c r="AB23" i="58" s="1"/>
  <c r="AE23" i="58" s="1"/>
  <c r="AN16" i="58" s="1"/>
  <c r="AT16" i="58" s="1"/>
  <c r="G24" i="58"/>
  <c r="Y451" i="28"/>
  <c r="B450" i="28"/>
  <c r="F450" i="28" s="1"/>
  <c r="G220" i="59"/>
  <c r="J220" i="59"/>
  <c r="L447" i="28"/>
  <c r="Q447" i="28"/>
  <c r="R447" i="28" s="1"/>
  <c r="T447" i="28" s="1"/>
  <c r="L306" i="59"/>
  <c r="D7" i="73" l="1"/>
  <c r="AA38" i="58"/>
  <c r="AB38" i="58" s="1"/>
  <c r="AE38" i="58" s="1"/>
  <c r="AN22" i="58" s="1"/>
  <c r="AT22" i="58" s="1"/>
  <c r="L507" i="59" s="1"/>
  <c r="C38" i="77"/>
  <c r="AA26" i="58"/>
  <c r="AB26" i="58" s="1"/>
  <c r="AE26" i="58" s="1"/>
  <c r="AN19" i="58" s="1"/>
  <c r="AT19" i="58" s="1"/>
  <c r="L247" i="59" s="1"/>
  <c r="C26" i="77"/>
  <c r="L206" i="59"/>
  <c r="D19" i="73"/>
  <c r="AJ16" i="58"/>
  <c r="D23" i="73"/>
  <c r="H12" i="73"/>
  <c r="I12" i="73" s="1"/>
  <c r="J12" i="73" s="1"/>
  <c r="AD483" i="4"/>
  <c r="AF483" i="4" s="1"/>
  <c r="G118" i="59" s="1"/>
  <c r="J118" i="59" s="1"/>
  <c r="AF468" i="4"/>
  <c r="G494" i="59"/>
  <c r="G498" i="59" s="1"/>
  <c r="AD484" i="4"/>
  <c r="AE479" i="4"/>
  <c r="AF479" i="4" s="1"/>
  <c r="G526" i="59" s="1"/>
  <c r="H11" i="73"/>
  <c r="I11" i="73" s="1"/>
  <c r="J11" i="73" s="1"/>
  <c r="D17" i="73"/>
  <c r="D16" i="73"/>
  <c r="L307" i="59"/>
  <c r="B8" i="73"/>
  <c r="D8" i="73" s="1"/>
  <c r="D43" i="58"/>
  <c r="D40" i="58"/>
  <c r="F43" i="58"/>
  <c r="F40" i="58"/>
  <c r="T13" i="58"/>
  <c r="AA13" i="58" s="1"/>
  <c r="AB13" i="58" s="1"/>
  <c r="H31" i="58"/>
  <c r="H45" i="58" s="1"/>
  <c r="H53" i="58" s="1"/>
  <c r="H59" i="58" s="1"/>
  <c r="K112" i="59"/>
  <c r="K115" i="59"/>
  <c r="J346" i="59"/>
  <c r="G117" i="59"/>
  <c r="G119" i="59" s="1"/>
  <c r="G123" i="59" s="1"/>
  <c r="J127" i="59"/>
  <c r="P19" i="58"/>
  <c r="G125" i="59"/>
  <c r="J125" i="59" s="1"/>
  <c r="G316" i="59"/>
  <c r="L316" i="59" s="1"/>
  <c r="L309" i="59"/>
  <c r="V448" i="28"/>
  <c r="G450" i="59"/>
  <c r="J459" i="59"/>
  <c r="G467" i="59"/>
  <c r="J467" i="59" s="1"/>
  <c r="L38" i="58"/>
  <c r="M38" i="58" s="1"/>
  <c r="J383" i="59"/>
  <c r="G390" i="59"/>
  <c r="J390" i="59" s="1"/>
  <c r="G279" i="59"/>
  <c r="L279" i="59" s="1"/>
  <c r="J234" i="59"/>
  <c r="G242" i="59"/>
  <c r="J242" i="59" s="1"/>
  <c r="J158" i="59"/>
  <c r="G165" i="59"/>
  <c r="J165" i="59" s="1"/>
  <c r="J121" i="59"/>
  <c r="G128" i="59"/>
  <c r="J128" i="59" s="1"/>
  <c r="G19" i="58"/>
  <c r="J117" i="59"/>
  <c r="E23" i="76"/>
  <c r="E25" i="76"/>
  <c r="B24" i="76"/>
  <c r="D54" i="74"/>
  <c r="E54" i="74" s="1"/>
  <c r="G268" i="59"/>
  <c r="G335" i="59"/>
  <c r="G342" i="59" s="1"/>
  <c r="D17" i="74"/>
  <c r="D52" i="74"/>
  <c r="E52" i="74" s="1"/>
  <c r="P41" i="58"/>
  <c r="G568" i="59" s="1"/>
  <c r="J568" i="59" s="1"/>
  <c r="D53" i="74"/>
  <c r="E53" i="74" s="1"/>
  <c r="D18" i="74"/>
  <c r="E18" i="74" s="1"/>
  <c r="C27" i="76"/>
  <c r="C28" i="76" s="1"/>
  <c r="D27" i="76"/>
  <c r="D28" i="76" s="1"/>
  <c r="I449" i="28"/>
  <c r="W449" i="28"/>
  <c r="G15" i="59"/>
  <c r="K17" i="58"/>
  <c r="O17" i="58" s="1"/>
  <c r="T17" i="58" s="1"/>
  <c r="S19" i="58"/>
  <c r="S45" i="58" s="1"/>
  <c r="J19" i="58"/>
  <c r="K37" i="58"/>
  <c r="O37" i="58" s="1"/>
  <c r="T37" i="58" s="1"/>
  <c r="K33" i="58"/>
  <c r="O33" i="58" s="1"/>
  <c r="T33" i="58" s="1"/>
  <c r="C33" i="77" s="1"/>
  <c r="K22" i="58"/>
  <c r="K30" i="58"/>
  <c r="O30" i="58" s="1"/>
  <c r="T30" i="58" s="1"/>
  <c r="J31" i="58"/>
  <c r="J15" i="59"/>
  <c r="E17" i="74"/>
  <c r="D34" i="74"/>
  <c r="D35" i="74"/>
  <c r="E35" i="74" s="1"/>
  <c r="J450" i="59"/>
  <c r="K449" i="28"/>
  <c r="J53" i="59"/>
  <c r="Y452" i="28"/>
  <c r="B451" i="28"/>
  <c r="F451" i="28" s="1"/>
  <c r="U449" i="28"/>
  <c r="J449" i="28"/>
  <c r="L448" i="28"/>
  <c r="Q448" i="28"/>
  <c r="R448" i="28" s="1"/>
  <c r="T448" i="28" s="1"/>
  <c r="J43" i="59"/>
  <c r="G43" i="59"/>
  <c r="P450" i="28"/>
  <c r="M450" i="28"/>
  <c r="O450" i="28"/>
  <c r="N450" i="28"/>
  <c r="E450" i="28"/>
  <c r="G12" i="58"/>
  <c r="E53" i="58"/>
  <c r="E59" i="58" s="1"/>
  <c r="J26" i="59"/>
  <c r="V449" i="28"/>
  <c r="G307" i="59"/>
  <c r="G311" i="59" s="1"/>
  <c r="J155" i="59"/>
  <c r="AF38" i="58" l="1"/>
  <c r="AJ22" i="58"/>
  <c r="AJ19" i="58"/>
  <c r="AF26" i="58"/>
  <c r="AA37" i="58"/>
  <c r="AB37" i="58" s="1"/>
  <c r="AE37" i="58" s="1"/>
  <c r="AN21" i="58" s="1"/>
  <c r="AT21" i="58" s="1"/>
  <c r="L471" i="59" s="1"/>
  <c r="C37" i="77"/>
  <c r="L19" i="58"/>
  <c r="G318" i="59"/>
  <c r="G505" i="59"/>
  <c r="AE13" i="58"/>
  <c r="AN14" i="58" s="1"/>
  <c r="AT14" i="58" s="1"/>
  <c r="AJ14" i="58"/>
  <c r="AA33" i="58"/>
  <c r="AB33" i="58" s="1"/>
  <c r="AE33" i="58" s="1"/>
  <c r="AN20" i="58" s="1"/>
  <c r="AT20" i="58" s="1"/>
  <c r="AJ21" i="58"/>
  <c r="J119" i="59"/>
  <c r="J123" i="59" s="1"/>
  <c r="J130" i="59" s="1"/>
  <c r="AF35" i="58"/>
  <c r="B25" i="76"/>
  <c r="K891" i="28"/>
  <c r="L311" i="59"/>
  <c r="L318" i="59" s="1"/>
  <c r="E22" i="73"/>
  <c r="B23" i="76"/>
  <c r="C43" i="58"/>
  <c r="I19" i="60" s="1"/>
  <c r="V18" i="58"/>
  <c r="E18" i="77" s="1"/>
  <c r="F18" i="77" s="1"/>
  <c r="V17" i="58"/>
  <c r="E17" i="77" s="1"/>
  <c r="G130" i="59"/>
  <c r="E55" i="74"/>
  <c r="E19" i="74"/>
  <c r="J189" i="59"/>
  <c r="G189" i="59"/>
  <c r="J188" i="59"/>
  <c r="G188" i="59"/>
  <c r="J45" i="58"/>
  <c r="K24" i="58"/>
  <c r="O24" i="58" s="1"/>
  <c r="O22" i="58"/>
  <c r="T22" i="58" s="1"/>
  <c r="AA22" i="58" s="1"/>
  <c r="AB22" i="58" s="1"/>
  <c r="AE22" i="58" s="1"/>
  <c r="AN17" i="58" s="1"/>
  <c r="AT17" i="58" s="1"/>
  <c r="R40" i="58"/>
  <c r="G535" i="59" s="1"/>
  <c r="J535" i="59" s="1"/>
  <c r="B27" i="76"/>
  <c r="B28" i="76" s="1"/>
  <c r="E27" i="76"/>
  <c r="E28" i="76" s="1"/>
  <c r="P40" i="58"/>
  <c r="G533" i="59" s="1"/>
  <c r="J533" i="59" s="1"/>
  <c r="I450" i="28"/>
  <c r="W450" i="28"/>
  <c r="K19" i="58"/>
  <c r="O19" i="58" s="1"/>
  <c r="G185" i="59"/>
  <c r="J185" i="59"/>
  <c r="G148" i="59"/>
  <c r="J148" i="59"/>
  <c r="J224" i="59"/>
  <c r="G224" i="59"/>
  <c r="G186" i="59"/>
  <c r="J186" i="59"/>
  <c r="J223" i="59"/>
  <c r="G223" i="59"/>
  <c r="J149" i="59"/>
  <c r="G149" i="59"/>
  <c r="J222" i="59"/>
  <c r="G222" i="59"/>
  <c r="E34" i="74"/>
  <c r="E36" i="74" s="1"/>
  <c r="K450" i="28"/>
  <c r="G49" i="59"/>
  <c r="J49" i="59"/>
  <c r="Q449" i="28"/>
  <c r="R449" i="28" s="1"/>
  <c r="T449" i="28" s="1"/>
  <c r="L449" i="28"/>
  <c r="J450" i="28"/>
  <c r="U450" i="28"/>
  <c r="K12" i="58"/>
  <c r="O12" i="58" s="1"/>
  <c r="T12" i="58" s="1"/>
  <c r="AA12" i="58" s="1"/>
  <c r="AB12" i="58" s="1"/>
  <c r="O451" i="28"/>
  <c r="P451" i="28"/>
  <c r="M451" i="28"/>
  <c r="N451" i="28"/>
  <c r="E451" i="28"/>
  <c r="Y453" i="28"/>
  <c r="B452" i="28"/>
  <c r="F452" i="28" s="1"/>
  <c r="L30" i="58"/>
  <c r="M30" i="58" s="1"/>
  <c r="AF37" i="58" l="1"/>
  <c r="AE12" i="58"/>
  <c r="AN13" i="58" s="1"/>
  <c r="AT13" i="58" s="1"/>
  <c r="C40" i="58"/>
  <c r="I17" i="60" s="1"/>
  <c r="F17" i="77"/>
  <c r="AF33" i="58"/>
  <c r="AF13" i="58"/>
  <c r="L64" i="59"/>
  <c r="L169" i="59"/>
  <c r="L394" i="59"/>
  <c r="AJ20" i="58"/>
  <c r="AJ13" i="58"/>
  <c r="H22" i="73"/>
  <c r="I22" i="73" s="1"/>
  <c r="H13" i="73"/>
  <c r="E13" i="73"/>
  <c r="C10" i="60" s="1"/>
  <c r="J10" i="60" s="1"/>
  <c r="F22" i="73"/>
  <c r="L320" i="59"/>
  <c r="J228" i="59"/>
  <c r="G228" i="59"/>
  <c r="J152" i="59"/>
  <c r="G152" i="59"/>
  <c r="J226" i="59"/>
  <c r="G226" i="59"/>
  <c r="J227" i="59"/>
  <c r="G227" i="59"/>
  <c r="J151" i="59"/>
  <c r="G151" i="59"/>
  <c r="T24" i="58"/>
  <c r="AF24" i="58" s="1"/>
  <c r="M19" i="58"/>
  <c r="G40" i="58"/>
  <c r="K40" i="58" s="1"/>
  <c r="O40" i="58" s="1"/>
  <c r="T40" i="58" s="1"/>
  <c r="C40" i="77" s="1"/>
  <c r="I451" i="28"/>
  <c r="W451" i="28"/>
  <c r="J132" i="59"/>
  <c r="K133" i="59" s="1"/>
  <c r="T19" i="58"/>
  <c r="AA19" i="58" s="1"/>
  <c r="AB19" i="58" s="1"/>
  <c r="AE19" i="58" s="1"/>
  <c r="AN15" i="58" s="1"/>
  <c r="AT15" i="58" s="1"/>
  <c r="V450" i="28"/>
  <c r="G191" i="59"/>
  <c r="G193" i="59" s="1"/>
  <c r="G197" i="59" s="1"/>
  <c r="K451" i="28"/>
  <c r="U451" i="28"/>
  <c r="J451" i="28"/>
  <c r="E452" i="28"/>
  <c r="M452" i="28"/>
  <c r="P452" i="28"/>
  <c r="N452" i="28"/>
  <c r="O452" i="28"/>
  <c r="J231" i="59"/>
  <c r="B453" i="28"/>
  <c r="F453" i="28" s="1"/>
  <c r="Y454" i="28"/>
  <c r="J192" i="59"/>
  <c r="L450" i="28"/>
  <c r="Q450" i="28"/>
  <c r="R450" i="28" s="1"/>
  <c r="T450" i="28" s="1"/>
  <c r="L30" i="59" l="1"/>
  <c r="V19" i="58"/>
  <c r="E19" i="77" s="1"/>
  <c r="G204" i="59"/>
  <c r="E16" i="73" s="1"/>
  <c r="C12" i="60" s="1"/>
  <c r="L132" i="59"/>
  <c r="L133" i="59" s="1"/>
  <c r="L112" i="59" s="1"/>
  <c r="J154" i="59"/>
  <c r="J156" i="59" s="1"/>
  <c r="J160" i="59" s="1"/>
  <c r="AA40" i="58"/>
  <c r="AB40" i="58" s="1"/>
  <c r="AE40" i="58" s="1"/>
  <c r="AN24" i="58" s="1"/>
  <c r="AT24" i="58" s="1"/>
  <c r="AJ15" i="58"/>
  <c r="J22" i="73"/>
  <c r="K22" i="73" s="1"/>
  <c r="I13" i="73"/>
  <c r="D10" i="60"/>
  <c r="E10" i="60" s="1"/>
  <c r="F10" i="60" s="1"/>
  <c r="F13" i="73"/>
  <c r="G230" i="59"/>
  <c r="G232" i="59" s="1"/>
  <c r="G237" i="59" s="1"/>
  <c r="V30" i="58"/>
  <c r="E30" i="77" s="1"/>
  <c r="F30" i="77" s="1"/>
  <c r="L321" i="59"/>
  <c r="J230" i="59"/>
  <c r="J232" i="59" s="1"/>
  <c r="G154" i="59"/>
  <c r="G156" i="59" s="1"/>
  <c r="G160" i="59" s="1"/>
  <c r="I452" i="28"/>
  <c r="W452" i="28"/>
  <c r="J133" i="59"/>
  <c r="V451" i="28"/>
  <c r="K452" i="28"/>
  <c r="J191" i="59"/>
  <c r="J193" i="59" s="1"/>
  <c r="J197" i="59" s="1"/>
  <c r="Y455" i="28"/>
  <c r="B454" i="28"/>
  <c r="F454" i="28" s="1"/>
  <c r="J452" i="28"/>
  <c r="U452" i="28"/>
  <c r="P453" i="28"/>
  <c r="O453" i="28"/>
  <c r="E453" i="28"/>
  <c r="M453" i="28"/>
  <c r="N453" i="28"/>
  <c r="Q451" i="28"/>
  <c r="R451" i="28" s="1"/>
  <c r="T451" i="28" s="1"/>
  <c r="L451" i="28"/>
  <c r="V452" i="28"/>
  <c r="L23" i="58"/>
  <c r="AX15" i="58" l="1"/>
  <c r="AY15" i="58" s="1"/>
  <c r="G13" i="73"/>
  <c r="F19" i="77"/>
  <c r="G167" i="59"/>
  <c r="G244" i="59"/>
  <c r="E19" i="73" s="1"/>
  <c r="L540" i="59"/>
  <c r="AF12" i="58"/>
  <c r="AJ24" i="58"/>
  <c r="AJ17" i="58"/>
  <c r="AF19" i="58"/>
  <c r="AN31" i="58"/>
  <c r="J13" i="73"/>
  <c r="K13" i="73" s="1"/>
  <c r="W30" i="58"/>
  <c r="G22" i="73"/>
  <c r="F16" i="73"/>
  <c r="J12" i="60"/>
  <c r="E15" i="73"/>
  <c r="L26" i="58"/>
  <c r="M26" i="58" s="1"/>
  <c r="L22" i="58"/>
  <c r="M22" i="58" s="1"/>
  <c r="J237" i="59"/>
  <c r="J244" i="59" s="1"/>
  <c r="J204" i="59"/>
  <c r="J167" i="59"/>
  <c r="I453" i="28"/>
  <c r="W453" i="28"/>
  <c r="W17" i="58"/>
  <c r="K453" i="28"/>
  <c r="M23" i="58"/>
  <c r="L452" i="28"/>
  <c r="Q452" i="28"/>
  <c r="R452" i="28" s="1"/>
  <c r="T452" i="28" s="1"/>
  <c r="Y456" i="28"/>
  <c r="B455" i="28"/>
  <c r="F455" i="28" s="1"/>
  <c r="M454" i="28"/>
  <c r="O454" i="28"/>
  <c r="N454" i="28"/>
  <c r="E454" i="28"/>
  <c r="P454" i="28"/>
  <c r="U453" i="28"/>
  <c r="J453" i="28"/>
  <c r="AF40" i="58" l="1"/>
  <c r="L24" i="58"/>
  <c r="M24" i="58" s="1"/>
  <c r="C13" i="60"/>
  <c r="J13" i="60" s="1"/>
  <c r="C11" i="60"/>
  <c r="J11" i="60" s="1"/>
  <c r="H15" i="73"/>
  <c r="H16" i="73"/>
  <c r="F15" i="73"/>
  <c r="E17" i="73"/>
  <c r="H19" i="73"/>
  <c r="F19" i="73"/>
  <c r="J247" i="59"/>
  <c r="J206" i="59"/>
  <c r="J169" i="59"/>
  <c r="K170" i="59" s="1"/>
  <c r="I454" i="28"/>
  <c r="J454" i="28" s="1"/>
  <c r="W454" i="28"/>
  <c r="K454" i="28"/>
  <c r="U454" i="28"/>
  <c r="B456" i="28"/>
  <c r="F456" i="28" s="1"/>
  <c r="Y457" i="28"/>
  <c r="L453" i="28"/>
  <c r="Q453" i="28"/>
  <c r="R453" i="28" s="1"/>
  <c r="T453" i="28" s="1"/>
  <c r="N455" i="28"/>
  <c r="P455" i="28"/>
  <c r="O455" i="28"/>
  <c r="M455" i="28"/>
  <c r="E455" i="28"/>
  <c r="V453" i="28"/>
  <c r="K248" i="59" l="1"/>
  <c r="L248" i="59"/>
  <c r="L221" i="59" s="1"/>
  <c r="L222" i="59" s="1"/>
  <c r="V22" i="58"/>
  <c r="E22" i="77" s="1"/>
  <c r="V23" i="58"/>
  <c r="E23" i="77" s="1"/>
  <c r="V26" i="58"/>
  <c r="V454" i="28"/>
  <c r="D13" i="60"/>
  <c r="E13" i="60" s="1"/>
  <c r="F13" i="60" s="1"/>
  <c r="D11" i="60"/>
  <c r="E11" i="60" s="1"/>
  <c r="F11" i="60" s="1"/>
  <c r="I16" i="73"/>
  <c r="J16" i="73" s="1"/>
  <c r="K16" i="73" s="1"/>
  <c r="D12" i="60"/>
  <c r="E12" i="60" s="1"/>
  <c r="F12" i="60" s="1"/>
  <c r="F17" i="73"/>
  <c r="I15" i="73"/>
  <c r="J15" i="73" s="1"/>
  <c r="K15" i="73" s="1"/>
  <c r="H17" i="73"/>
  <c r="I17" i="73" s="1"/>
  <c r="I19" i="73"/>
  <c r="W18" i="58"/>
  <c r="J170" i="59"/>
  <c r="J207" i="59"/>
  <c r="J248" i="59"/>
  <c r="I455" i="28"/>
  <c r="W455" i="28"/>
  <c r="K455" i="28"/>
  <c r="B457" i="28"/>
  <c r="F457" i="28" s="1"/>
  <c r="Y458" i="28"/>
  <c r="N456" i="28"/>
  <c r="P456" i="28"/>
  <c r="M456" i="28"/>
  <c r="O456" i="28"/>
  <c r="E456" i="28"/>
  <c r="J455" i="28"/>
  <c r="U455" i="28"/>
  <c r="L454" i="28"/>
  <c r="Q454" i="28"/>
  <c r="R454" i="28" s="1"/>
  <c r="T454" i="28" s="1"/>
  <c r="G15" i="73" l="1"/>
  <c r="G16" i="73"/>
  <c r="AX17" i="58"/>
  <c r="AY17" i="58" s="1"/>
  <c r="AX19" i="58"/>
  <c r="AY19" i="58" s="1"/>
  <c r="E26" i="77"/>
  <c r="F26" i="77" s="1"/>
  <c r="G19" i="73"/>
  <c r="W23" i="58"/>
  <c r="W26" i="58"/>
  <c r="AX16" i="58"/>
  <c r="AY16" i="58" s="1"/>
  <c r="F23" i="77"/>
  <c r="F22" i="77"/>
  <c r="J17" i="73"/>
  <c r="K17" i="73" s="1"/>
  <c r="J19" i="73"/>
  <c r="K19" i="73" s="1"/>
  <c r="Y19" i="58"/>
  <c r="W19" i="58"/>
  <c r="V24" i="58"/>
  <c r="E24" i="77" s="1"/>
  <c r="W22" i="58"/>
  <c r="I456" i="28"/>
  <c r="J456" i="28" s="1"/>
  <c r="W456" i="28"/>
  <c r="K456" i="28"/>
  <c r="V455" i="28"/>
  <c r="L455" i="28"/>
  <c r="Q455" i="28"/>
  <c r="R455" i="28" s="1"/>
  <c r="T455" i="28" s="1"/>
  <c r="U456" i="28"/>
  <c r="Y459" i="28"/>
  <c r="B458" i="28"/>
  <c r="F458" i="28" s="1"/>
  <c r="E457" i="28"/>
  <c r="O457" i="28"/>
  <c r="N457" i="28"/>
  <c r="P457" i="28"/>
  <c r="M457" i="28"/>
  <c r="F24" i="77" l="1"/>
  <c r="Y24" i="58"/>
  <c r="G17" i="73"/>
  <c r="W24" i="58"/>
  <c r="I457" i="28"/>
  <c r="W457" i="28"/>
  <c r="V456" i="28"/>
  <c r="K457" i="28"/>
  <c r="Q456" i="28"/>
  <c r="R456" i="28" s="1"/>
  <c r="T456" i="28" s="1"/>
  <c r="L456" i="28"/>
  <c r="M458" i="28"/>
  <c r="O458" i="28"/>
  <c r="N458" i="28"/>
  <c r="P458" i="28"/>
  <c r="E458" i="28"/>
  <c r="B459" i="28"/>
  <c r="F459" i="28" s="1"/>
  <c r="Y460" i="28"/>
  <c r="U457" i="28"/>
  <c r="J457" i="28"/>
  <c r="I458" i="28" l="1"/>
  <c r="W458" i="28"/>
  <c r="K458" i="28"/>
  <c r="V457" i="28"/>
  <c r="M459" i="28"/>
  <c r="P459" i="28"/>
  <c r="O459" i="28"/>
  <c r="N459" i="28"/>
  <c r="E459" i="28"/>
  <c r="Y461" i="28"/>
  <c r="B460" i="28"/>
  <c r="F460" i="28" s="1"/>
  <c r="L457" i="28"/>
  <c r="Q457" i="28"/>
  <c r="R457" i="28" s="1"/>
  <c r="T457" i="28" s="1"/>
  <c r="U458" i="28"/>
  <c r="J458" i="28"/>
  <c r="I459" i="28" l="1"/>
  <c r="W459" i="28"/>
  <c r="K459" i="28"/>
  <c r="V458" i="28"/>
  <c r="J459" i="28"/>
  <c r="U459" i="28"/>
  <c r="Q458" i="28"/>
  <c r="R458" i="28" s="1"/>
  <c r="T458" i="28" s="1"/>
  <c r="L458" i="28"/>
  <c r="P460" i="28"/>
  <c r="M460" i="28"/>
  <c r="O460" i="28"/>
  <c r="N460" i="28"/>
  <c r="E460" i="28"/>
  <c r="B461" i="28"/>
  <c r="F461" i="28" s="1"/>
  <c r="Y462" i="28"/>
  <c r="I460" i="28" l="1"/>
  <c r="W460" i="28"/>
  <c r="K460" i="28"/>
  <c r="V459" i="28"/>
  <c r="B462" i="28"/>
  <c r="F462" i="28" s="1"/>
  <c r="Y463" i="28"/>
  <c r="U460" i="28"/>
  <c r="J460" i="28"/>
  <c r="L459" i="28"/>
  <c r="Q459" i="28"/>
  <c r="R459" i="28" s="1"/>
  <c r="T459" i="28" s="1"/>
  <c r="N461" i="28"/>
  <c r="P461" i="28"/>
  <c r="O461" i="28"/>
  <c r="E461" i="28"/>
  <c r="M461" i="28"/>
  <c r="I461" i="28" l="1"/>
  <c r="W461" i="28"/>
  <c r="K461" i="28"/>
  <c r="V460" i="28"/>
  <c r="U461" i="28"/>
  <c r="J461" i="28"/>
  <c r="Y464" i="28"/>
  <c r="B463" i="28"/>
  <c r="F463" i="28" s="1"/>
  <c r="N462" i="28"/>
  <c r="P462" i="28"/>
  <c r="M462" i="28"/>
  <c r="O462" i="28"/>
  <c r="E462" i="28"/>
  <c r="V461" i="28"/>
  <c r="Q460" i="28"/>
  <c r="R460" i="28" s="1"/>
  <c r="T460" i="28" s="1"/>
  <c r="L460" i="28"/>
  <c r="I462" i="28" l="1"/>
  <c r="W462" i="28"/>
  <c r="K462" i="28"/>
  <c r="N463" i="28"/>
  <c r="P463" i="28"/>
  <c r="E463" i="28"/>
  <c r="M463" i="28"/>
  <c r="O463" i="28"/>
  <c r="U462" i="28"/>
  <c r="V462" i="28" s="1"/>
  <c r="J462" i="28"/>
  <c r="Y465" i="28"/>
  <c r="B464" i="28"/>
  <c r="F464" i="28" s="1"/>
  <c r="L461" i="28"/>
  <c r="Q461" i="28"/>
  <c r="R461" i="28" s="1"/>
  <c r="T461" i="28" s="1"/>
  <c r="I463" i="28" l="1"/>
  <c r="W463" i="28"/>
  <c r="K463" i="28"/>
  <c r="Y466" i="28"/>
  <c r="B465" i="28"/>
  <c r="F465" i="28" s="1"/>
  <c r="N464" i="28"/>
  <c r="E464" i="28"/>
  <c r="P464" i="28"/>
  <c r="M464" i="28"/>
  <c r="O464" i="28"/>
  <c r="U463" i="28"/>
  <c r="J463" i="28"/>
  <c r="V463" i="28"/>
  <c r="Q462" i="28"/>
  <c r="R462" i="28" s="1"/>
  <c r="T462" i="28" s="1"/>
  <c r="L462" i="28"/>
  <c r="I464" i="28" l="1"/>
  <c r="J464" i="28" s="1"/>
  <c r="W464" i="28"/>
  <c r="K464" i="28"/>
  <c r="U464" i="28"/>
  <c r="L463" i="28"/>
  <c r="Q463" i="28"/>
  <c r="R463" i="28" s="1"/>
  <c r="T463" i="28" s="1"/>
  <c r="N465" i="28"/>
  <c r="E465" i="28"/>
  <c r="M465" i="28"/>
  <c r="P465" i="28"/>
  <c r="O465" i="28"/>
  <c r="B466" i="28"/>
  <c r="F466" i="28" s="1"/>
  <c r="Y467" i="28"/>
  <c r="I465" i="28" l="1"/>
  <c r="W465" i="28"/>
  <c r="K465" i="28"/>
  <c r="V464" i="28"/>
  <c r="M466" i="28"/>
  <c r="E466" i="28"/>
  <c r="N466" i="28"/>
  <c r="P466" i="28"/>
  <c r="O466" i="28"/>
  <c r="Y468" i="28"/>
  <c r="B467" i="28"/>
  <c r="F467" i="28" s="1"/>
  <c r="U465" i="28"/>
  <c r="V465" i="28" s="1"/>
  <c r="J465" i="28"/>
  <c r="Q464" i="28"/>
  <c r="R464" i="28" s="1"/>
  <c r="T464" i="28" s="1"/>
  <c r="L464" i="28"/>
  <c r="I466" i="28" l="1"/>
  <c r="W466" i="28"/>
  <c r="K466" i="28"/>
  <c r="U466" i="28"/>
  <c r="J466" i="28"/>
  <c r="L465" i="28"/>
  <c r="Q465" i="28"/>
  <c r="R465" i="28" s="1"/>
  <c r="T465" i="28" s="1"/>
  <c r="N467" i="28"/>
  <c r="E467" i="28"/>
  <c r="P467" i="28"/>
  <c r="O467" i="28"/>
  <c r="M467" i="28"/>
  <c r="Y469" i="28"/>
  <c r="B468" i="28"/>
  <c r="F468" i="28" s="1"/>
  <c r="V466" i="28"/>
  <c r="I467" i="28" l="1"/>
  <c r="W467" i="28"/>
  <c r="K467" i="28"/>
  <c r="E468" i="28"/>
  <c r="M468" i="28"/>
  <c r="P468" i="28"/>
  <c r="N468" i="28"/>
  <c r="O468" i="28"/>
  <c r="Y470" i="28"/>
  <c r="B469" i="28"/>
  <c r="F469" i="28" s="1"/>
  <c r="U467" i="28"/>
  <c r="J467" i="28"/>
  <c r="L466" i="28"/>
  <c r="Q466" i="28"/>
  <c r="R466" i="28" s="1"/>
  <c r="T466" i="28" s="1"/>
  <c r="I468" i="28" l="1"/>
  <c r="W468" i="28"/>
  <c r="K468" i="28"/>
  <c r="V467" i="28"/>
  <c r="P469" i="28"/>
  <c r="M469" i="28"/>
  <c r="E469" i="28"/>
  <c r="N469" i="28"/>
  <c r="O469" i="28"/>
  <c r="L467" i="28"/>
  <c r="Q467" i="28"/>
  <c r="R467" i="28" s="1"/>
  <c r="T467" i="28" s="1"/>
  <c r="Y471" i="28"/>
  <c r="B470" i="28"/>
  <c r="F470" i="28" s="1"/>
  <c r="U468" i="28"/>
  <c r="J468" i="28"/>
  <c r="I469" i="28" l="1"/>
  <c r="W469" i="28"/>
  <c r="K469" i="28"/>
  <c r="V468" i="28"/>
  <c r="M470" i="28"/>
  <c r="P470" i="28"/>
  <c r="N470" i="28"/>
  <c r="E470" i="28"/>
  <c r="O470" i="28"/>
  <c r="Q468" i="28"/>
  <c r="R468" i="28" s="1"/>
  <c r="T468" i="28" s="1"/>
  <c r="L468" i="28"/>
  <c r="Y472" i="28"/>
  <c r="B471" i="28"/>
  <c r="F471" i="28" s="1"/>
  <c r="J469" i="28"/>
  <c r="U469" i="28"/>
  <c r="I470" i="28" l="1"/>
  <c r="W470" i="28"/>
  <c r="K470" i="28"/>
  <c r="B472" i="28"/>
  <c r="F472" i="28" s="1"/>
  <c r="Y473" i="28"/>
  <c r="L469" i="28"/>
  <c r="Q469" i="28"/>
  <c r="R469" i="28" s="1"/>
  <c r="T469" i="28" s="1"/>
  <c r="N471" i="28"/>
  <c r="P471" i="28"/>
  <c r="O471" i="28"/>
  <c r="E471" i="28"/>
  <c r="M471" i="28"/>
  <c r="U470" i="28"/>
  <c r="J470" i="28"/>
  <c r="V469" i="28"/>
  <c r="I471" i="28" l="1"/>
  <c r="W471" i="28"/>
  <c r="K471" i="28"/>
  <c r="V470" i="28"/>
  <c r="B473" i="28"/>
  <c r="F473" i="28" s="1"/>
  <c r="Y474" i="28"/>
  <c r="Q470" i="28"/>
  <c r="R470" i="28" s="1"/>
  <c r="T470" i="28" s="1"/>
  <c r="L470" i="28"/>
  <c r="J471" i="28"/>
  <c r="U471" i="28"/>
  <c r="E472" i="28"/>
  <c r="M472" i="28"/>
  <c r="N472" i="28"/>
  <c r="P472" i="28"/>
  <c r="O472" i="28"/>
  <c r="I472" i="28" l="1"/>
  <c r="W472" i="28"/>
  <c r="K472" i="28"/>
  <c r="V471" i="28"/>
  <c r="J472" i="28"/>
  <c r="U472" i="28"/>
  <c r="B474" i="28"/>
  <c r="F474" i="28" s="1"/>
  <c r="Y475" i="28"/>
  <c r="Q471" i="28"/>
  <c r="R471" i="28" s="1"/>
  <c r="T471" i="28" s="1"/>
  <c r="L471" i="28"/>
  <c r="N473" i="28"/>
  <c r="E473" i="28"/>
  <c r="O473" i="28"/>
  <c r="M473" i="28"/>
  <c r="P473" i="28"/>
  <c r="I473" i="28" l="1"/>
  <c r="W473" i="28"/>
  <c r="V472" i="28"/>
  <c r="K473" i="28"/>
  <c r="M474" i="28"/>
  <c r="O474" i="28"/>
  <c r="N474" i="28"/>
  <c r="E474" i="28"/>
  <c r="P474" i="28"/>
  <c r="J473" i="28"/>
  <c r="U473" i="28"/>
  <c r="V473" i="28" s="1"/>
  <c r="Y476" i="28"/>
  <c r="B475" i="28"/>
  <c r="F475" i="28" s="1"/>
  <c r="L472" i="28"/>
  <c r="Q472" i="28"/>
  <c r="R472" i="28" s="1"/>
  <c r="T472" i="28" s="1"/>
  <c r="I474" i="28" l="1"/>
  <c r="W474" i="28"/>
  <c r="K474" i="28"/>
  <c r="N475" i="28"/>
  <c r="O475" i="28"/>
  <c r="P475" i="28"/>
  <c r="E475" i="28"/>
  <c r="M475" i="28"/>
  <c r="B476" i="28"/>
  <c r="F476" i="28" s="1"/>
  <c r="Y477" i="28"/>
  <c r="U474" i="28"/>
  <c r="V474" i="28" s="1"/>
  <c r="J474" i="28"/>
  <c r="Q473" i="28"/>
  <c r="R473" i="28" s="1"/>
  <c r="T473" i="28" s="1"/>
  <c r="L473" i="28"/>
  <c r="I475" i="28" l="1"/>
  <c r="W475" i="28"/>
  <c r="K475" i="28"/>
  <c r="U475" i="28"/>
  <c r="V475" i="28" s="1"/>
  <c r="J475" i="28"/>
  <c r="Q474" i="28"/>
  <c r="R474" i="28" s="1"/>
  <c r="T474" i="28" s="1"/>
  <c r="L474" i="28"/>
  <c r="B477" i="28"/>
  <c r="F477" i="28" s="1"/>
  <c r="Y478" i="28"/>
  <c r="N476" i="28"/>
  <c r="P476" i="28"/>
  <c r="E476" i="28"/>
  <c r="O476" i="28"/>
  <c r="M476" i="28"/>
  <c r="I476" i="28" l="1"/>
  <c r="J476" i="28" s="1"/>
  <c r="W476" i="28"/>
  <c r="K476" i="28"/>
  <c r="Y479" i="28"/>
  <c r="B478" i="28"/>
  <c r="F478" i="28" s="1"/>
  <c r="Q475" i="28"/>
  <c r="R475" i="28" s="1"/>
  <c r="T475" i="28" s="1"/>
  <c r="L475" i="28"/>
  <c r="U476" i="28"/>
  <c r="N477" i="28"/>
  <c r="P477" i="28"/>
  <c r="E477" i="28"/>
  <c r="O477" i="28"/>
  <c r="M477" i="28"/>
  <c r="I477" i="28" l="1"/>
  <c r="W477" i="28"/>
  <c r="K477" i="28"/>
  <c r="V476" i="28"/>
  <c r="J477" i="28"/>
  <c r="U477" i="28"/>
  <c r="N478" i="28"/>
  <c r="P478" i="28"/>
  <c r="O478" i="28"/>
  <c r="E478" i="28"/>
  <c r="M478" i="28"/>
  <c r="V477" i="28"/>
  <c r="Q476" i="28"/>
  <c r="R476" i="28" s="1"/>
  <c r="T476" i="28" s="1"/>
  <c r="L476" i="28"/>
  <c r="Y480" i="28"/>
  <c r="B479" i="28"/>
  <c r="F479" i="28" s="1"/>
  <c r="I478" i="28" l="1"/>
  <c r="W478" i="28"/>
  <c r="K478" i="28"/>
  <c r="M479" i="28"/>
  <c r="N479" i="28"/>
  <c r="O479" i="28"/>
  <c r="E479" i="28"/>
  <c r="P479" i="28"/>
  <c r="B480" i="28"/>
  <c r="F480" i="28" s="1"/>
  <c r="Y481" i="28"/>
  <c r="J478" i="28"/>
  <c r="U478" i="28"/>
  <c r="L477" i="28"/>
  <c r="Q477" i="28"/>
  <c r="R477" i="28" s="1"/>
  <c r="T477" i="28" s="1"/>
  <c r="I479" i="28" l="1"/>
  <c r="W479" i="28"/>
  <c r="K479" i="28"/>
  <c r="V478" i="28"/>
  <c r="Q478" i="28"/>
  <c r="R478" i="28" s="1"/>
  <c r="T478" i="28" s="1"/>
  <c r="L478" i="28"/>
  <c r="U479" i="28"/>
  <c r="J479" i="28"/>
  <c r="B481" i="28"/>
  <c r="F481" i="28" s="1"/>
  <c r="Y482" i="28"/>
  <c r="P480" i="28"/>
  <c r="M480" i="28"/>
  <c r="O480" i="28"/>
  <c r="N480" i="28"/>
  <c r="E480" i="28"/>
  <c r="I480" i="28" l="1"/>
  <c r="W480" i="28"/>
  <c r="V479" i="28"/>
  <c r="K480" i="28"/>
  <c r="Q479" i="28"/>
  <c r="R479" i="28" s="1"/>
  <c r="T479" i="28" s="1"/>
  <c r="L479" i="28"/>
  <c r="B482" i="28"/>
  <c r="F482" i="28" s="1"/>
  <c r="Y483" i="28"/>
  <c r="U480" i="28"/>
  <c r="J480" i="28"/>
  <c r="P481" i="28"/>
  <c r="M481" i="28"/>
  <c r="E481" i="28"/>
  <c r="N481" i="28"/>
  <c r="O481" i="28"/>
  <c r="I481" i="28" l="1"/>
  <c r="W481" i="28"/>
  <c r="K481" i="28"/>
  <c r="V480" i="28"/>
  <c r="N482" i="28"/>
  <c r="E482" i="28"/>
  <c r="O482" i="28"/>
  <c r="M482" i="28"/>
  <c r="P482" i="28"/>
  <c r="L480" i="28"/>
  <c r="Q480" i="28"/>
  <c r="R480" i="28" s="1"/>
  <c r="T480" i="28" s="1"/>
  <c r="Y484" i="28"/>
  <c r="B483" i="28"/>
  <c r="F483" i="28" s="1"/>
  <c r="J481" i="28"/>
  <c r="U481" i="28"/>
  <c r="I482" i="28" l="1"/>
  <c r="W482" i="28"/>
  <c r="K482" i="28"/>
  <c r="Y485" i="28"/>
  <c r="B484" i="28"/>
  <c r="F484" i="28" s="1"/>
  <c r="L481" i="28"/>
  <c r="Q481" i="28"/>
  <c r="R481" i="28" s="1"/>
  <c r="T481" i="28" s="1"/>
  <c r="M483" i="28"/>
  <c r="P483" i="28"/>
  <c r="N483" i="28"/>
  <c r="E483" i="28"/>
  <c r="O483" i="28"/>
  <c r="U482" i="28"/>
  <c r="J482" i="28"/>
  <c r="V481" i="28"/>
  <c r="I483" i="28" l="1"/>
  <c r="W483" i="28"/>
  <c r="K483" i="28"/>
  <c r="V482" i="28"/>
  <c r="L482" i="28"/>
  <c r="Q482" i="28"/>
  <c r="R482" i="28" s="1"/>
  <c r="T482" i="28" s="1"/>
  <c r="U483" i="28"/>
  <c r="V483" i="28" s="1"/>
  <c r="J483" i="28"/>
  <c r="O484" i="28"/>
  <c r="P484" i="28"/>
  <c r="M484" i="28"/>
  <c r="N484" i="28"/>
  <c r="E484" i="28"/>
  <c r="B485" i="28"/>
  <c r="F485" i="28" s="1"/>
  <c r="Y486" i="28"/>
  <c r="I484" i="28" l="1"/>
  <c r="W484" i="28"/>
  <c r="K484" i="28"/>
  <c r="B486" i="28"/>
  <c r="F486" i="28" s="1"/>
  <c r="Y487" i="28"/>
  <c r="M485" i="28"/>
  <c r="E485" i="28"/>
  <c r="P485" i="28"/>
  <c r="N485" i="28"/>
  <c r="O485" i="28"/>
  <c r="U484" i="28"/>
  <c r="J484" i="28"/>
  <c r="V484" i="28"/>
  <c r="L483" i="28"/>
  <c r="Q483" i="28"/>
  <c r="R483" i="28" s="1"/>
  <c r="T483" i="28" s="1"/>
  <c r="I485" i="28" l="1"/>
  <c r="J485" i="28" s="1"/>
  <c r="W485" i="28"/>
  <c r="K485" i="28"/>
  <c r="U485" i="28"/>
  <c r="Q484" i="28"/>
  <c r="R484" i="28" s="1"/>
  <c r="T484" i="28" s="1"/>
  <c r="L484" i="28"/>
  <c r="Y488" i="28"/>
  <c r="B487" i="28"/>
  <c r="F487" i="28" s="1"/>
  <c r="N486" i="28"/>
  <c r="O486" i="28"/>
  <c r="M486" i="28"/>
  <c r="P486" i="28"/>
  <c r="E486" i="28"/>
  <c r="I486" i="28" l="1"/>
  <c r="W486" i="28"/>
  <c r="V485" i="28"/>
  <c r="K486" i="28"/>
  <c r="M487" i="28"/>
  <c r="O487" i="28"/>
  <c r="N487" i="28"/>
  <c r="P487" i="28"/>
  <c r="E487" i="28"/>
  <c r="J486" i="28"/>
  <c r="U486" i="28"/>
  <c r="V486" i="28" s="1"/>
  <c r="Y489" i="28"/>
  <c r="B488" i="28"/>
  <c r="F488" i="28" s="1"/>
  <c r="Q485" i="28"/>
  <c r="R485" i="28" s="1"/>
  <c r="T485" i="28" s="1"/>
  <c r="L485" i="28"/>
  <c r="I487" i="28" l="1"/>
  <c r="W487" i="28"/>
  <c r="K487" i="28"/>
  <c r="U487" i="28"/>
  <c r="J487" i="28"/>
  <c r="M488" i="28"/>
  <c r="P488" i="28"/>
  <c r="N488" i="28"/>
  <c r="E488" i="28"/>
  <c r="O488" i="28"/>
  <c r="B489" i="28"/>
  <c r="F489" i="28" s="1"/>
  <c r="Y490" i="28"/>
  <c r="Q486" i="28"/>
  <c r="R486" i="28" s="1"/>
  <c r="T486" i="28" s="1"/>
  <c r="L486" i="28"/>
  <c r="I488" i="28" l="1"/>
  <c r="W488" i="28"/>
  <c r="K488" i="28"/>
  <c r="V487" i="28"/>
  <c r="Y491" i="28"/>
  <c r="B490" i="28"/>
  <c r="F490" i="28" s="1"/>
  <c r="O489" i="28"/>
  <c r="E489" i="28"/>
  <c r="M489" i="28"/>
  <c r="P489" i="28"/>
  <c r="N489" i="28"/>
  <c r="Q487" i="28"/>
  <c r="R487" i="28" s="1"/>
  <c r="T487" i="28" s="1"/>
  <c r="L487" i="28"/>
  <c r="J488" i="28"/>
  <c r="U488" i="28"/>
  <c r="V488" i="28" s="1"/>
  <c r="I489" i="28" l="1"/>
  <c r="W489" i="28"/>
  <c r="K489" i="28"/>
  <c r="N490" i="28"/>
  <c r="E490" i="28"/>
  <c r="P490" i="28"/>
  <c r="O490" i="28"/>
  <c r="M490" i="28"/>
  <c r="L488" i="28"/>
  <c r="Q488" i="28"/>
  <c r="R488" i="28" s="1"/>
  <c r="T488" i="28" s="1"/>
  <c r="U489" i="28"/>
  <c r="V489" i="28" s="1"/>
  <c r="J489" i="28"/>
  <c r="Y492" i="28"/>
  <c r="B491" i="28"/>
  <c r="F491" i="28" s="1"/>
  <c r="I490" i="28" l="1"/>
  <c r="J490" i="28" s="1"/>
  <c r="W490" i="28"/>
  <c r="K490" i="28"/>
  <c r="U490" i="28"/>
  <c r="Q489" i="28"/>
  <c r="R489" i="28" s="1"/>
  <c r="T489" i="28" s="1"/>
  <c r="L489" i="28"/>
  <c r="N491" i="28"/>
  <c r="M491" i="28"/>
  <c r="O491" i="28"/>
  <c r="P491" i="28"/>
  <c r="E491" i="28"/>
  <c r="Y493" i="28"/>
  <c r="B492" i="28"/>
  <c r="F492" i="28" s="1"/>
  <c r="V490" i="28"/>
  <c r="I491" i="28" l="1"/>
  <c r="W491" i="28"/>
  <c r="K491" i="28"/>
  <c r="N492" i="28"/>
  <c r="P492" i="28"/>
  <c r="O492" i="28"/>
  <c r="M492" i="28"/>
  <c r="E492" i="28"/>
  <c r="B493" i="28"/>
  <c r="F493" i="28" s="1"/>
  <c r="Y494" i="28"/>
  <c r="U491" i="28"/>
  <c r="V491" i="28" s="1"/>
  <c r="J491" i="28"/>
  <c r="L490" i="28"/>
  <c r="Q490" i="28"/>
  <c r="R490" i="28" s="1"/>
  <c r="T490" i="28" s="1"/>
  <c r="I492" i="28" l="1"/>
  <c r="W492" i="28"/>
  <c r="K492" i="28"/>
  <c r="U492" i="28"/>
  <c r="J492" i="28"/>
  <c r="L491" i="28"/>
  <c r="Q491" i="28"/>
  <c r="R491" i="28" s="1"/>
  <c r="T491" i="28" s="1"/>
  <c r="Y495" i="28"/>
  <c r="B494" i="28"/>
  <c r="F494" i="28" s="1"/>
  <c r="M493" i="28"/>
  <c r="O493" i="28"/>
  <c r="N493" i="28"/>
  <c r="P493" i="28"/>
  <c r="E493" i="28"/>
  <c r="I493" i="28" l="1"/>
  <c r="W493" i="28"/>
  <c r="V492" i="28"/>
  <c r="K493" i="28"/>
  <c r="N494" i="28"/>
  <c r="E494" i="28"/>
  <c r="O494" i="28"/>
  <c r="P494" i="28"/>
  <c r="M494" i="28"/>
  <c r="U493" i="28"/>
  <c r="J493" i="28"/>
  <c r="Y496" i="28"/>
  <c r="B495" i="28"/>
  <c r="F495" i="28" s="1"/>
  <c r="Q492" i="28"/>
  <c r="R492" i="28" s="1"/>
  <c r="T492" i="28" s="1"/>
  <c r="L492" i="28"/>
  <c r="I494" i="28" l="1"/>
  <c r="W494" i="28"/>
  <c r="K494" i="28"/>
  <c r="V493" i="28"/>
  <c r="J494" i="28"/>
  <c r="U494" i="28"/>
  <c r="E495" i="28"/>
  <c r="N495" i="28"/>
  <c r="M495" i="28"/>
  <c r="O495" i="28"/>
  <c r="P495" i="28"/>
  <c r="B496" i="28"/>
  <c r="F496" i="28" s="1"/>
  <c r="Y497" i="28"/>
  <c r="Q493" i="28"/>
  <c r="R493" i="28" s="1"/>
  <c r="T493" i="28" s="1"/>
  <c r="L493" i="28"/>
  <c r="V494" i="28"/>
  <c r="I495" i="28" l="1"/>
  <c r="W495" i="28"/>
  <c r="K495" i="28"/>
  <c r="B497" i="28"/>
  <c r="F497" i="28" s="1"/>
  <c r="Y498" i="28"/>
  <c r="J495" i="28"/>
  <c r="U495" i="28"/>
  <c r="N496" i="28"/>
  <c r="O496" i="28"/>
  <c r="E496" i="28"/>
  <c r="M496" i="28"/>
  <c r="P496" i="28"/>
  <c r="Q494" i="28"/>
  <c r="R494" i="28" s="1"/>
  <c r="T494" i="28" s="1"/>
  <c r="L494" i="28"/>
  <c r="V495" i="28" l="1"/>
  <c r="I496" i="28"/>
  <c r="J496" i="28" s="1"/>
  <c r="W496" i="28"/>
  <c r="K496" i="28"/>
  <c r="L495" i="28"/>
  <c r="Q495" i="28"/>
  <c r="R495" i="28" s="1"/>
  <c r="T495" i="28" s="1"/>
  <c r="Y499" i="28"/>
  <c r="B498" i="28"/>
  <c r="F498" i="28" s="1"/>
  <c r="U496" i="28"/>
  <c r="N497" i="28"/>
  <c r="O497" i="28"/>
  <c r="E497" i="28"/>
  <c r="P497" i="28"/>
  <c r="M497" i="28"/>
  <c r="I497" i="28" l="1"/>
  <c r="W497" i="28"/>
  <c r="K497" i="28"/>
  <c r="V496" i="28"/>
  <c r="Y500" i="28"/>
  <c r="B499" i="28"/>
  <c r="F499" i="28" s="1"/>
  <c r="P498" i="28"/>
  <c r="O498" i="28"/>
  <c r="M498" i="28"/>
  <c r="E498" i="28"/>
  <c r="N498" i="28"/>
  <c r="U497" i="28"/>
  <c r="J497" i="28"/>
  <c r="L496" i="28"/>
  <c r="Q496" i="28"/>
  <c r="R496" i="28" s="1"/>
  <c r="T496" i="28" s="1"/>
  <c r="I498" i="28" l="1"/>
  <c r="W498" i="28"/>
  <c r="K498" i="28"/>
  <c r="V497" i="28"/>
  <c r="U498" i="28"/>
  <c r="J498" i="28"/>
  <c r="M499" i="28"/>
  <c r="E499" i="28"/>
  <c r="N499" i="28"/>
  <c r="O499" i="28"/>
  <c r="P499" i="28"/>
  <c r="L497" i="28"/>
  <c r="Q497" i="28"/>
  <c r="R497" i="28" s="1"/>
  <c r="T497" i="28" s="1"/>
  <c r="Y501" i="28"/>
  <c r="B500" i="28"/>
  <c r="F500" i="28" s="1"/>
  <c r="I499" i="28" l="1"/>
  <c r="W499" i="28"/>
  <c r="V498" i="28"/>
  <c r="K499" i="28"/>
  <c r="B501" i="28"/>
  <c r="F501" i="28" s="1"/>
  <c r="Y502" i="28"/>
  <c r="P500" i="28"/>
  <c r="M500" i="28"/>
  <c r="O500" i="28"/>
  <c r="N500" i="28"/>
  <c r="E500" i="28"/>
  <c r="U499" i="28"/>
  <c r="J499" i="28"/>
  <c r="Q498" i="28"/>
  <c r="R498" i="28" s="1"/>
  <c r="T498" i="28" s="1"/>
  <c r="L498" i="28"/>
  <c r="I500" i="28" l="1"/>
  <c r="W500" i="28"/>
  <c r="K500" i="28"/>
  <c r="V499" i="28"/>
  <c r="B502" i="28"/>
  <c r="F502" i="28" s="1"/>
  <c r="Y503" i="28"/>
  <c r="L499" i="28"/>
  <c r="Q499" i="28"/>
  <c r="R499" i="28" s="1"/>
  <c r="T499" i="28" s="1"/>
  <c r="J500" i="28"/>
  <c r="U500" i="28"/>
  <c r="M501" i="28"/>
  <c r="N501" i="28"/>
  <c r="E501" i="28"/>
  <c r="P501" i="28"/>
  <c r="O501" i="28"/>
  <c r="I501" i="28" l="1"/>
  <c r="W501" i="28"/>
  <c r="K501" i="28"/>
  <c r="V500" i="28"/>
  <c r="U501" i="28"/>
  <c r="J501" i="28"/>
  <c r="B503" i="28"/>
  <c r="F503" i="28" s="1"/>
  <c r="Y504" i="28"/>
  <c r="L500" i="28"/>
  <c r="Q500" i="28"/>
  <c r="R500" i="28" s="1"/>
  <c r="T500" i="28" s="1"/>
  <c r="P502" i="28"/>
  <c r="E502" i="28"/>
  <c r="M502" i="28"/>
  <c r="N502" i="28"/>
  <c r="O502" i="28"/>
  <c r="I502" i="28" l="1"/>
  <c r="W502" i="28"/>
  <c r="K502" i="28"/>
  <c r="V501" i="28"/>
  <c r="P503" i="28"/>
  <c r="M503" i="28"/>
  <c r="N503" i="28"/>
  <c r="E503" i="28"/>
  <c r="O503" i="28"/>
  <c r="L501" i="28"/>
  <c r="Q501" i="28"/>
  <c r="R501" i="28" s="1"/>
  <c r="T501" i="28" s="1"/>
  <c r="J502" i="28"/>
  <c r="U502" i="28"/>
  <c r="B504" i="28"/>
  <c r="F504" i="28" s="1"/>
  <c r="Y505" i="28"/>
  <c r="I503" i="28" l="1"/>
  <c r="W503" i="28"/>
  <c r="K503" i="28"/>
  <c r="V502" i="28"/>
  <c r="B505" i="28"/>
  <c r="F505" i="28" s="1"/>
  <c r="Y506" i="28"/>
  <c r="L502" i="28"/>
  <c r="Q502" i="28"/>
  <c r="R502" i="28" s="1"/>
  <c r="T502" i="28" s="1"/>
  <c r="O504" i="28"/>
  <c r="E504" i="28"/>
  <c r="M504" i="28"/>
  <c r="N504" i="28"/>
  <c r="P504" i="28"/>
  <c r="J503" i="28"/>
  <c r="U503" i="28"/>
  <c r="V503" i="28" s="1"/>
  <c r="I504" i="28" l="1"/>
  <c r="W504" i="28"/>
  <c r="K504" i="28"/>
  <c r="L503" i="28"/>
  <c r="Q503" i="28"/>
  <c r="R503" i="28" s="1"/>
  <c r="T503" i="28" s="1"/>
  <c r="J504" i="28"/>
  <c r="U504" i="28"/>
  <c r="V504" i="28" s="1"/>
  <c r="Y507" i="28"/>
  <c r="B506" i="28"/>
  <c r="F506" i="28" s="1"/>
  <c r="M505" i="28"/>
  <c r="P505" i="28"/>
  <c r="O505" i="28"/>
  <c r="N505" i="28"/>
  <c r="E505" i="28"/>
  <c r="I505" i="28" l="1"/>
  <c r="W505" i="28"/>
  <c r="K505" i="28"/>
  <c r="Q504" i="28"/>
  <c r="R504" i="28" s="1"/>
  <c r="T504" i="28" s="1"/>
  <c r="L504" i="28"/>
  <c r="P506" i="28"/>
  <c r="O506" i="28"/>
  <c r="M506" i="28"/>
  <c r="E506" i="28"/>
  <c r="N506" i="28"/>
  <c r="B507" i="28"/>
  <c r="F507" i="28" s="1"/>
  <c r="Y508" i="28"/>
  <c r="J505" i="28"/>
  <c r="U505" i="28"/>
  <c r="I506" i="28" l="1"/>
  <c r="W506" i="28"/>
  <c r="K506" i="28"/>
  <c r="V505" i="28"/>
  <c r="J506" i="28"/>
  <c r="U506" i="28"/>
  <c r="N507" i="28"/>
  <c r="P507" i="28"/>
  <c r="E507" i="28"/>
  <c r="M507" i="28"/>
  <c r="O507" i="28"/>
  <c r="Q505" i="28"/>
  <c r="R505" i="28" s="1"/>
  <c r="T505" i="28" s="1"/>
  <c r="L505" i="28"/>
  <c r="Y509" i="28"/>
  <c r="B508" i="28"/>
  <c r="F508" i="28" s="1"/>
  <c r="I507" i="28" l="1"/>
  <c r="W507" i="28"/>
  <c r="V506" i="28"/>
  <c r="K507" i="28"/>
  <c r="M508" i="28"/>
  <c r="O508" i="28"/>
  <c r="N508" i="28"/>
  <c r="E508" i="28"/>
  <c r="P508" i="28"/>
  <c r="B509" i="28"/>
  <c r="F509" i="28" s="1"/>
  <c r="Y510" i="28"/>
  <c r="J507" i="28"/>
  <c r="U507" i="28"/>
  <c r="L506" i="28"/>
  <c r="Q506" i="28"/>
  <c r="R506" i="28" s="1"/>
  <c r="T506" i="28" s="1"/>
  <c r="I508" i="28" l="1"/>
  <c r="W508" i="28"/>
  <c r="K508" i="28"/>
  <c r="V507" i="28"/>
  <c r="N509" i="28"/>
  <c r="O509" i="28"/>
  <c r="E509" i="28"/>
  <c r="M509" i="28"/>
  <c r="P509" i="28"/>
  <c r="U508" i="28"/>
  <c r="V508" i="28" s="1"/>
  <c r="J508" i="28"/>
  <c r="Y511" i="28"/>
  <c r="B510" i="28"/>
  <c r="F510" i="28" s="1"/>
  <c r="Q507" i="28"/>
  <c r="R507" i="28" s="1"/>
  <c r="T507" i="28" s="1"/>
  <c r="L507" i="28"/>
  <c r="I509" i="28" l="1"/>
  <c r="J509" i="28" s="1"/>
  <c r="W509" i="28"/>
  <c r="K509" i="28"/>
  <c r="U509" i="28"/>
  <c r="E510" i="28"/>
  <c r="P510" i="28"/>
  <c r="M510" i="28"/>
  <c r="N510" i="28"/>
  <c r="O510" i="28"/>
  <c r="Y512" i="28"/>
  <c r="B511" i="28"/>
  <c r="F511" i="28" s="1"/>
  <c r="L508" i="28"/>
  <c r="Q508" i="28"/>
  <c r="R508" i="28" s="1"/>
  <c r="T508" i="28" s="1"/>
  <c r="I510" i="28" l="1"/>
  <c r="W510" i="28"/>
  <c r="V509" i="28"/>
  <c r="K510" i="28"/>
  <c r="J510" i="28"/>
  <c r="U510" i="28"/>
  <c r="M511" i="28"/>
  <c r="N511" i="28"/>
  <c r="P511" i="28"/>
  <c r="E511" i="28"/>
  <c r="O511" i="28"/>
  <c r="B512" i="28"/>
  <c r="F512" i="28" s="1"/>
  <c r="Y513" i="28"/>
  <c r="L509" i="28"/>
  <c r="Q509" i="28"/>
  <c r="R509" i="28" s="1"/>
  <c r="T509" i="28" s="1"/>
  <c r="V510" i="28" l="1"/>
  <c r="I511" i="28"/>
  <c r="J511" i="28" s="1"/>
  <c r="W511" i="28"/>
  <c r="K511" i="28"/>
  <c r="U511" i="28"/>
  <c r="B513" i="28"/>
  <c r="F513" i="28" s="1"/>
  <c r="Y514" i="28"/>
  <c r="M512" i="28"/>
  <c r="P512" i="28"/>
  <c r="N512" i="28"/>
  <c r="E512" i="28"/>
  <c r="O512" i="28"/>
  <c r="V511" i="28"/>
  <c r="Q510" i="28"/>
  <c r="R510" i="28" s="1"/>
  <c r="T510" i="28" s="1"/>
  <c r="L510" i="28"/>
  <c r="I512" i="28" l="1"/>
  <c r="W512" i="28"/>
  <c r="K512" i="28"/>
  <c r="Y515" i="28"/>
  <c r="B514" i="28"/>
  <c r="F514" i="28" s="1"/>
  <c r="E513" i="28"/>
  <c r="P513" i="28"/>
  <c r="M513" i="28"/>
  <c r="O513" i="28"/>
  <c r="N513" i="28"/>
  <c r="U512" i="28"/>
  <c r="J512" i="28"/>
  <c r="Q511" i="28"/>
  <c r="R511" i="28" s="1"/>
  <c r="T511" i="28" s="1"/>
  <c r="L511" i="28"/>
  <c r="I513" i="28" l="1"/>
  <c r="W513" i="28"/>
  <c r="K513" i="28"/>
  <c r="V512" i="28"/>
  <c r="J513" i="28"/>
  <c r="U513" i="28"/>
  <c r="L512" i="28"/>
  <c r="Q512" i="28"/>
  <c r="R512" i="28" s="1"/>
  <c r="T512" i="28" s="1"/>
  <c r="M514" i="28"/>
  <c r="E514" i="28"/>
  <c r="N514" i="28"/>
  <c r="O514" i="28"/>
  <c r="P514" i="28"/>
  <c r="Y516" i="28"/>
  <c r="B515" i="28"/>
  <c r="F515" i="28" s="1"/>
  <c r="V513" i="28" l="1"/>
  <c r="I514" i="28"/>
  <c r="W514" i="28"/>
  <c r="K514" i="28"/>
  <c r="M433" i="7" s="1"/>
  <c r="M435" i="7" s="1"/>
  <c r="M437" i="7" s="1"/>
  <c r="M439" i="7" s="1"/>
  <c r="Y517" i="28"/>
  <c r="B516" i="28"/>
  <c r="F516" i="28" s="1"/>
  <c r="P515" i="28"/>
  <c r="M515" i="28"/>
  <c r="N515" i="28"/>
  <c r="O515" i="28"/>
  <c r="E515" i="28"/>
  <c r="J514" i="28"/>
  <c r="U514" i="28"/>
  <c r="V514" i="28" s="1"/>
  <c r="L513" i="28"/>
  <c r="Q513" i="28"/>
  <c r="R513" i="28" s="1"/>
  <c r="T513" i="28" s="1"/>
  <c r="I515" i="28" l="1"/>
  <c r="W515" i="28"/>
  <c r="H492" i="7"/>
  <c r="I492" i="7" s="1"/>
  <c r="H467" i="7"/>
  <c r="I467" i="7" s="1"/>
  <c r="K499" i="7"/>
  <c r="H490" i="7"/>
  <c r="I490" i="7" s="1"/>
  <c r="H463" i="7"/>
  <c r="I463" i="7" s="1"/>
  <c r="K500" i="7"/>
  <c r="K474" i="7"/>
  <c r="K447" i="7"/>
  <c r="H459" i="7"/>
  <c r="I459" i="7" s="1"/>
  <c r="K478" i="7"/>
  <c r="K443" i="7"/>
  <c r="H455" i="7"/>
  <c r="I455" i="7" s="1"/>
  <c r="K476" i="7"/>
  <c r="K440" i="7"/>
  <c r="K480" i="7"/>
  <c r="H443" i="7"/>
  <c r="I443" i="7" s="1"/>
  <c r="H475" i="7"/>
  <c r="I475" i="7" s="1"/>
  <c r="K439" i="7"/>
  <c r="H461" i="7"/>
  <c r="I461" i="7" s="1"/>
  <c r="H451" i="7"/>
  <c r="I451" i="7" s="1"/>
  <c r="K494" i="7"/>
  <c r="H485" i="7"/>
  <c r="I485" i="7" s="1"/>
  <c r="H453" i="7"/>
  <c r="I453" i="7" s="1"/>
  <c r="K495" i="7"/>
  <c r="K468" i="7"/>
  <c r="K436" i="7"/>
  <c r="H449" i="7"/>
  <c r="I449" i="7" s="1"/>
  <c r="K471" i="7"/>
  <c r="H498" i="7"/>
  <c r="I498" i="7" s="1"/>
  <c r="H445" i="7"/>
  <c r="I445" i="7" s="1"/>
  <c r="K470" i="7"/>
  <c r="H493" i="7"/>
  <c r="I493" i="7" s="1"/>
  <c r="K466" i="7"/>
  <c r="K460" i="7"/>
  <c r="H433" i="7"/>
  <c r="I433" i="7" s="1"/>
  <c r="H465" i="7"/>
  <c r="I465" i="7" s="1"/>
  <c r="K487" i="7"/>
  <c r="H496" i="7"/>
  <c r="I496" i="7" s="1"/>
  <c r="H446" i="7"/>
  <c r="I446" i="7" s="1"/>
  <c r="K488" i="7"/>
  <c r="H474" i="7"/>
  <c r="I474" i="7" s="1"/>
  <c r="H447" i="7"/>
  <c r="I447" i="7" s="1"/>
  <c r="K490" i="7"/>
  <c r="K458" i="7"/>
  <c r="H491" i="7"/>
  <c r="I491" i="7" s="1"/>
  <c r="H438" i="7"/>
  <c r="I438" i="7" s="1"/>
  <c r="K456" i="7"/>
  <c r="H487" i="7"/>
  <c r="I487" i="7" s="1"/>
  <c r="H434" i="7"/>
  <c r="I434" i="7" s="1"/>
  <c r="K455" i="7"/>
  <c r="H471" i="7"/>
  <c r="I471" i="7" s="1"/>
  <c r="K451" i="7"/>
  <c r="H439" i="7"/>
  <c r="I439" i="7" s="1"/>
  <c r="K482" i="7"/>
  <c r="K491" i="7"/>
  <c r="K459" i="7"/>
  <c r="H473" i="7"/>
  <c r="I473" i="7" s="1"/>
  <c r="H441" i="7"/>
  <c r="I441" i="7" s="1"/>
  <c r="H495" i="7"/>
  <c r="I495" i="7" s="1"/>
  <c r="H469" i="7"/>
  <c r="I469" i="7" s="1"/>
  <c r="H442" i="7"/>
  <c r="I442" i="7" s="1"/>
  <c r="K479" i="7"/>
  <c r="K452" i="7"/>
  <c r="H481" i="7"/>
  <c r="I481" i="7" s="1"/>
  <c r="K486" i="7"/>
  <c r="K450" i="7"/>
  <c r="H477" i="7"/>
  <c r="I477" i="7" s="1"/>
  <c r="K483" i="7"/>
  <c r="K448" i="7"/>
  <c r="H450" i="7"/>
  <c r="I450" i="7" s="1"/>
  <c r="H486" i="7"/>
  <c r="I486" i="7" s="1"/>
  <c r="H497" i="7"/>
  <c r="I497" i="7" s="1"/>
  <c r="K467" i="7"/>
  <c r="K446" i="7"/>
  <c r="K444" i="7"/>
  <c r="K472" i="7"/>
  <c r="K475" i="7"/>
  <c r="K454" i="7"/>
  <c r="H454" i="7"/>
  <c r="I454" i="7" s="1"/>
  <c r="H482" i="7"/>
  <c r="I482" i="7" s="1"/>
  <c r="K438" i="7"/>
  <c r="K498" i="7"/>
  <c r="K434" i="7"/>
  <c r="K462" i="7"/>
  <c r="K492" i="7"/>
  <c r="H466" i="7"/>
  <c r="I466" i="7" s="1"/>
  <c r="K435" i="7"/>
  <c r="K464" i="7"/>
  <c r="K496" i="7"/>
  <c r="H470" i="7"/>
  <c r="I470" i="7" s="1"/>
  <c r="K442" i="7"/>
  <c r="K463" i="7"/>
  <c r="K484" i="7"/>
  <c r="H437" i="7"/>
  <c r="I437" i="7" s="1"/>
  <c r="H458" i="7"/>
  <c r="I458" i="7" s="1"/>
  <c r="H479" i="7"/>
  <c r="I479" i="7" s="1"/>
  <c r="H501" i="7"/>
  <c r="I501" i="7" s="1"/>
  <c r="H435" i="7"/>
  <c r="I435" i="7" s="1"/>
  <c r="H457" i="7"/>
  <c r="I457" i="7" s="1"/>
  <c r="H489" i="7"/>
  <c r="I489" i="7" s="1"/>
  <c r="H494" i="7"/>
  <c r="I494" i="7" s="1"/>
  <c r="H478" i="7"/>
  <c r="I478" i="7" s="1"/>
  <c r="H462" i="7"/>
  <c r="I462" i="7" s="1"/>
  <c r="H483" i="7"/>
  <c r="I483" i="7" s="1"/>
  <c r="K433" i="7"/>
  <c r="K453" i="7"/>
  <c r="H499" i="7"/>
  <c r="I499" i="7" s="1"/>
  <c r="K477" i="7"/>
  <c r="K441" i="7"/>
  <c r="K445" i="7"/>
  <c r="K501" i="7"/>
  <c r="K437" i="7"/>
  <c r="K473" i="7"/>
  <c r="K461" i="7"/>
  <c r="K493" i="7"/>
  <c r="K457" i="7"/>
  <c r="K485" i="7"/>
  <c r="K469" i="7"/>
  <c r="K489" i="7"/>
  <c r="H480" i="7"/>
  <c r="I480" i="7" s="1"/>
  <c r="K449" i="7"/>
  <c r="K465" i="7"/>
  <c r="K481" i="7"/>
  <c r="K497" i="7"/>
  <c r="H440" i="7"/>
  <c r="I440" i="7" s="1"/>
  <c r="H436" i="7"/>
  <c r="I436" i="7" s="1"/>
  <c r="H452" i="7"/>
  <c r="I452" i="7" s="1"/>
  <c r="H448" i="7"/>
  <c r="I448" i="7" s="1"/>
  <c r="H468" i="7"/>
  <c r="I468" i="7" s="1"/>
  <c r="H456" i="7"/>
  <c r="I456" i="7" s="1"/>
  <c r="H464" i="7"/>
  <c r="I464" i="7" s="1"/>
  <c r="H484" i="7"/>
  <c r="I484" i="7" s="1"/>
  <c r="H472" i="7"/>
  <c r="I472" i="7" s="1"/>
  <c r="K515" i="28"/>
  <c r="H488" i="7"/>
  <c r="I488" i="7" s="1"/>
  <c r="H500" i="7"/>
  <c r="I500" i="7" s="1"/>
  <c r="H444" i="7"/>
  <c r="I444" i="7" s="1"/>
  <c r="H460" i="7"/>
  <c r="I460" i="7" s="1"/>
  <c r="H476" i="7"/>
  <c r="I476" i="7" s="1"/>
  <c r="Q514" i="28"/>
  <c r="R514" i="28" s="1"/>
  <c r="T514" i="28" s="1"/>
  <c r="L514" i="28"/>
  <c r="J515" i="28"/>
  <c r="U515" i="28"/>
  <c r="M516" i="28"/>
  <c r="N516" i="28"/>
  <c r="P516" i="28"/>
  <c r="O516" i="28"/>
  <c r="E516" i="28"/>
  <c r="Y518" i="28"/>
  <c r="B517" i="28"/>
  <c r="F517" i="28" s="1"/>
  <c r="I516" i="28" l="1"/>
  <c r="W516" i="28"/>
  <c r="K516" i="28"/>
  <c r="V515" i="28"/>
  <c r="U516" i="28"/>
  <c r="J516" i="28"/>
  <c r="Q515" i="28"/>
  <c r="R515" i="28" s="1"/>
  <c r="T515" i="28" s="1"/>
  <c r="L515" i="28"/>
  <c r="P517" i="28"/>
  <c r="O517" i="28"/>
  <c r="N517" i="28"/>
  <c r="M517" i="28"/>
  <c r="E517" i="28"/>
  <c r="Y519" i="28"/>
  <c r="B518" i="28"/>
  <c r="F518" i="28" s="1"/>
  <c r="I517" i="28" l="1"/>
  <c r="W517" i="28"/>
  <c r="V516" i="28"/>
  <c r="K517" i="28"/>
  <c r="M518" i="28"/>
  <c r="N518" i="28"/>
  <c r="E518" i="28"/>
  <c r="O518" i="28"/>
  <c r="P518" i="28"/>
  <c r="Y520" i="28"/>
  <c r="B519" i="28"/>
  <c r="F519" i="28" s="1"/>
  <c r="U517" i="28"/>
  <c r="J517" i="28"/>
  <c r="L516" i="28"/>
  <c r="Q516" i="28"/>
  <c r="R516" i="28" s="1"/>
  <c r="T516" i="28" s="1"/>
  <c r="I518" i="28" l="1"/>
  <c r="J518" i="28" s="1"/>
  <c r="W518" i="28"/>
  <c r="K518" i="28"/>
  <c r="V517" i="28"/>
  <c r="Y521" i="28"/>
  <c r="B520" i="28"/>
  <c r="F520" i="28" s="1"/>
  <c r="U518" i="28"/>
  <c r="V518" i="28" s="1"/>
  <c r="M519" i="28"/>
  <c r="P519" i="28"/>
  <c r="O519" i="28"/>
  <c r="N519" i="28"/>
  <c r="E519" i="28"/>
  <c r="Q517" i="28"/>
  <c r="R517" i="28" s="1"/>
  <c r="T517" i="28" s="1"/>
  <c r="L517" i="28"/>
  <c r="I519" i="28" l="1"/>
  <c r="J519" i="28" s="1"/>
  <c r="W519" i="28"/>
  <c r="K519" i="28"/>
  <c r="U519" i="28"/>
  <c r="M520" i="28"/>
  <c r="N520" i="28"/>
  <c r="E520" i="28"/>
  <c r="O520" i="28"/>
  <c r="P520" i="28"/>
  <c r="B521" i="28"/>
  <c r="F521" i="28" s="1"/>
  <c r="Y522" i="28"/>
  <c r="L518" i="28"/>
  <c r="Q518" i="28"/>
  <c r="R518" i="28" s="1"/>
  <c r="T518" i="28" s="1"/>
  <c r="I520" i="28" l="1"/>
  <c r="W520" i="28"/>
  <c r="V519" i="28"/>
  <c r="K520" i="28"/>
  <c r="N521" i="28"/>
  <c r="O521" i="28"/>
  <c r="E521" i="28"/>
  <c r="P521" i="28"/>
  <c r="M521" i="28"/>
  <c r="Y523" i="28"/>
  <c r="B522" i="28"/>
  <c r="F522" i="28" s="1"/>
  <c r="U520" i="28"/>
  <c r="V520" i="28" s="1"/>
  <c r="J520" i="28"/>
  <c r="Q519" i="28"/>
  <c r="R519" i="28" s="1"/>
  <c r="T519" i="28" s="1"/>
  <c r="L519" i="28"/>
  <c r="I521" i="28" l="1"/>
  <c r="J521" i="28" s="1"/>
  <c r="W521" i="28"/>
  <c r="K521" i="28"/>
  <c r="U521" i="28"/>
  <c r="Q520" i="28"/>
  <c r="R520" i="28" s="1"/>
  <c r="T520" i="28" s="1"/>
  <c r="L520" i="28"/>
  <c r="N522" i="28"/>
  <c r="O522" i="28"/>
  <c r="P522" i="28"/>
  <c r="E522" i="28"/>
  <c r="M522" i="28"/>
  <c r="Y524" i="28"/>
  <c r="B523" i="28"/>
  <c r="F523" i="28" s="1"/>
  <c r="V521" i="28"/>
  <c r="I522" i="28" l="1"/>
  <c r="W522" i="28"/>
  <c r="K522" i="28"/>
  <c r="B524" i="28"/>
  <c r="F524" i="28" s="1"/>
  <c r="Y525" i="28"/>
  <c r="U522" i="28"/>
  <c r="J522" i="28"/>
  <c r="M523" i="28"/>
  <c r="N523" i="28"/>
  <c r="P523" i="28"/>
  <c r="O523" i="28"/>
  <c r="E523" i="28"/>
  <c r="L521" i="28"/>
  <c r="Q521" i="28"/>
  <c r="R521" i="28" s="1"/>
  <c r="T521" i="28" s="1"/>
  <c r="I523" i="28" l="1"/>
  <c r="W523" i="28"/>
  <c r="V522" i="28"/>
  <c r="K523" i="28"/>
  <c r="U523" i="28"/>
  <c r="J523" i="28"/>
  <c r="Q522" i="28"/>
  <c r="R522" i="28" s="1"/>
  <c r="T522" i="28" s="1"/>
  <c r="L522" i="28"/>
  <c r="B525" i="28"/>
  <c r="F525" i="28" s="1"/>
  <c r="Y526" i="28"/>
  <c r="P524" i="28"/>
  <c r="M524" i="28"/>
  <c r="O524" i="28"/>
  <c r="N524" i="28"/>
  <c r="E524" i="28"/>
  <c r="I524" i="28" l="1"/>
  <c r="W524" i="28"/>
  <c r="K524" i="28"/>
  <c r="V523" i="28"/>
  <c r="Y527" i="28"/>
  <c r="B526" i="28"/>
  <c r="F526" i="28" s="1"/>
  <c r="Q523" i="28"/>
  <c r="R523" i="28" s="1"/>
  <c r="T523" i="28" s="1"/>
  <c r="L523" i="28"/>
  <c r="U524" i="28"/>
  <c r="J524" i="28"/>
  <c r="M525" i="28"/>
  <c r="P525" i="28"/>
  <c r="N525" i="28"/>
  <c r="O525" i="28"/>
  <c r="E525" i="28"/>
  <c r="V524" i="28" l="1"/>
  <c r="I525" i="28"/>
  <c r="W525" i="28"/>
  <c r="K525" i="28"/>
  <c r="Q524" i="28"/>
  <c r="R524" i="28" s="1"/>
  <c r="T524" i="28" s="1"/>
  <c r="L524" i="28"/>
  <c r="M526" i="28"/>
  <c r="N526" i="28"/>
  <c r="E526" i="28"/>
  <c r="P526" i="28"/>
  <c r="O526" i="28"/>
  <c r="U525" i="28"/>
  <c r="J525" i="28"/>
  <c r="Y528" i="28"/>
  <c r="B527" i="28"/>
  <c r="F527" i="28" s="1"/>
  <c r="I526" i="28" l="1"/>
  <c r="W526" i="28"/>
  <c r="K526" i="28"/>
  <c r="V525" i="28"/>
  <c r="U526" i="28"/>
  <c r="J526" i="28"/>
  <c r="L525" i="28"/>
  <c r="Q525" i="28"/>
  <c r="R525" i="28" s="1"/>
  <c r="T525" i="28" s="1"/>
  <c r="M527" i="28"/>
  <c r="N527" i="28"/>
  <c r="O527" i="28"/>
  <c r="E527" i="28"/>
  <c r="P527" i="28"/>
  <c r="Y529" i="28"/>
  <c r="B528" i="28"/>
  <c r="F528" i="28" s="1"/>
  <c r="I527" i="28" l="1"/>
  <c r="W527" i="28"/>
  <c r="V526" i="28"/>
  <c r="K527" i="28"/>
  <c r="U527" i="28"/>
  <c r="J527" i="28"/>
  <c r="L526" i="28"/>
  <c r="Q526" i="28"/>
  <c r="R526" i="28" s="1"/>
  <c r="T526" i="28" s="1"/>
  <c r="N528" i="28"/>
  <c r="P528" i="28"/>
  <c r="E528" i="28"/>
  <c r="O528" i="28"/>
  <c r="M528" i="28"/>
  <c r="B529" i="28"/>
  <c r="F529" i="28" s="1"/>
  <c r="Y530" i="28"/>
  <c r="I528" i="28" l="1"/>
  <c r="W528" i="28"/>
  <c r="K528" i="28"/>
  <c r="V527" i="28"/>
  <c r="Q527" i="28"/>
  <c r="R527" i="28" s="1"/>
  <c r="T527" i="28" s="1"/>
  <c r="L527" i="28"/>
  <c r="J528" i="28"/>
  <c r="U528" i="28"/>
  <c r="Y531" i="28"/>
  <c r="B530" i="28"/>
  <c r="F530" i="28" s="1"/>
  <c r="O529" i="28"/>
  <c r="E529" i="28"/>
  <c r="M529" i="28"/>
  <c r="N529" i="28"/>
  <c r="P529" i="28"/>
  <c r="V528" i="28" l="1"/>
  <c r="I529" i="28"/>
  <c r="W529" i="28"/>
  <c r="K529" i="28"/>
  <c r="U529" i="28"/>
  <c r="J529" i="28"/>
  <c r="L528" i="28"/>
  <c r="Q528" i="28"/>
  <c r="R528" i="28" s="1"/>
  <c r="T528" i="28" s="1"/>
  <c r="N530" i="28"/>
  <c r="P530" i="28"/>
  <c r="O530" i="28"/>
  <c r="M530" i="28"/>
  <c r="E530" i="28"/>
  <c r="Y532" i="28"/>
  <c r="B531" i="28"/>
  <c r="F531" i="28" s="1"/>
  <c r="I530" i="28" l="1"/>
  <c r="W530" i="28"/>
  <c r="K530" i="28"/>
  <c r="V529" i="28"/>
  <c r="U530" i="28"/>
  <c r="J530" i="28"/>
  <c r="Q529" i="28"/>
  <c r="R529" i="28" s="1"/>
  <c r="T529" i="28" s="1"/>
  <c r="L529" i="28"/>
  <c r="N531" i="28"/>
  <c r="P531" i="28"/>
  <c r="M531" i="28"/>
  <c r="O531" i="28"/>
  <c r="E531" i="28"/>
  <c r="Y533" i="28"/>
  <c r="B532" i="28"/>
  <c r="F532" i="28" s="1"/>
  <c r="I531" i="28" l="1"/>
  <c r="W531" i="28"/>
  <c r="V530" i="28"/>
  <c r="K531" i="28"/>
  <c r="U531" i="28"/>
  <c r="J531" i="28"/>
  <c r="Q530" i="28"/>
  <c r="R530" i="28" s="1"/>
  <c r="T530" i="28" s="1"/>
  <c r="L530" i="28"/>
  <c r="N532" i="28"/>
  <c r="O532" i="28"/>
  <c r="P532" i="28"/>
  <c r="M532" i="28"/>
  <c r="E532" i="28"/>
  <c r="B533" i="28"/>
  <c r="F533" i="28" s="1"/>
  <c r="Y534" i="28"/>
  <c r="I532" i="28" l="1"/>
  <c r="W532" i="28"/>
  <c r="K532" i="28"/>
  <c r="V531" i="28"/>
  <c r="J532" i="28"/>
  <c r="U532" i="28"/>
  <c r="V532" i="28" s="1"/>
  <c r="Q531" i="28"/>
  <c r="R531" i="28" s="1"/>
  <c r="T531" i="28" s="1"/>
  <c r="L531" i="28"/>
  <c r="Y535" i="28"/>
  <c r="B534" i="28"/>
  <c r="F534" i="28" s="1"/>
  <c r="P533" i="28"/>
  <c r="M533" i="28"/>
  <c r="N533" i="28"/>
  <c r="E533" i="28"/>
  <c r="O533" i="28"/>
  <c r="I533" i="28" l="1"/>
  <c r="W533" i="28"/>
  <c r="K533" i="28"/>
  <c r="P534" i="28"/>
  <c r="O534" i="28"/>
  <c r="E534" i="28"/>
  <c r="M534" i="28"/>
  <c r="N534" i="28"/>
  <c r="J533" i="28"/>
  <c r="U533" i="28"/>
  <c r="Y536" i="28"/>
  <c r="B535" i="28"/>
  <c r="F535" i="28" s="1"/>
  <c r="L532" i="28"/>
  <c r="Q532" i="28"/>
  <c r="R532" i="28" s="1"/>
  <c r="T532" i="28" s="1"/>
  <c r="I534" i="28" l="1"/>
  <c r="W534" i="28"/>
  <c r="K534" i="28"/>
  <c r="P535" i="28"/>
  <c r="E535" i="28"/>
  <c r="N535" i="28"/>
  <c r="O535" i="28"/>
  <c r="M535" i="28"/>
  <c r="U534" i="28"/>
  <c r="J534" i="28"/>
  <c r="V534" i="28"/>
  <c r="B536" i="28"/>
  <c r="F536" i="28" s="1"/>
  <c r="Y537" i="28"/>
  <c r="Q533" i="28"/>
  <c r="R533" i="28" s="1"/>
  <c r="T533" i="28" s="1"/>
  <c r="L533" i="28"/>
  <c r="V533" i="28"/>
  <c r="I535" i="28" l="1"/>
  <c r="W535" i="28"/>
  <c r="K535" i="28"/>
  <c r="L534" i="28"/>
  <c r="Q534" i="28"/>
  <c r="R534" i="28" s="1"/>
  <c r="T534" i="28" s="1"/>
  <c r="Y538" i="28"/>
  <c r="B537" i="28"/>
  <c r="F537" i="28" s="1"/>
  <c r="N536" i="28"/>
  <c r="O536" i="28"/>
  <c r="E536" i="28"/>
  <c r="M536" i="28"/>
  <c r="P536" i="28"/>
  <c r="J535" i="28"/>
  <c r="U535" i="28"/>
  <c r="V535" i="28" s="1"/>
  <c r="I536" i="28" l="1"/>
  <c r="J536" i="28" s="1"/>
  <c r="W536" i="28"/>
  <c r="K536" i="28"/>
  <c r="U536" i="28"/>
  <c r="L535" i="28"/>
  <c r="Q535" i="28"/>
  <c r="R535" i="28" s="1"/>
  <c r="T535" i="28" s="1"/>
  <c r="M537" i="28"/>
  <c r="O537" i="28"/>
  <c r="N537" i="28"/>
  <c r="P537" i="28"/>
  <c r="E537" i="28"/>
  <c r="B538" i="28"/>
  <c r="F538" i="28" s="1"/>
  <c r="Y539" i="28"/>
  <c r="I537" i="28" l="1"/>
  <c r="W537" i="28"/>
  <c r="V536" i="28"/>
  <c r="K537" i="28"/>
  <c r="U537" i="28"/>
  <c r="J537" i="28"/>
  <c r="Q536" i="28"/>
  <c r="R536" i="28" s="1"/>
  <c r="T536" i="28" s="1"/>
  <c r="L536" i="28"/>
  <c r="B539" i="28"/>
  <c r="F539" i="28" s="1"/>
  <c r="Y540" i="28"/>
  <c r="P538" i="28"/>
  <c r="M538" i="28"/>
  <c r="E538" i="28"/>
  <c r="N538" i="28"/>
  <c r="O538" i="28"/>
  <c r="I538" i="28" l="1"/>
  <c r="W538" i="28"/>
  <c r="K538" i="28"/>
  <c r="V537" i="28"/>
  <c r="U538" i="28"/>
  <c r="J538" i="28"/>
  <c r="B540" i="28"/>
  <c r="F540" i="28" s="1"/>
  <c r="Y541" i="28"/>
  <c r="L537" i="28"/>
  <c r="Q537" i="28"/>
  <c r="R537" i="28" s="1"/>
  <c r="T537" i="28" s="1"/>
  <c r="E539" i="28"/>
  <c r="M539" i="28"/>
  <c r="N539" i="28"/>
  <c r="O539" i="28"/>
  <c r="P539" i="28"/>
  <c r="I539" i="28" l="1"/>
  <c r="W539" i="28"/>
  <c r="V538" i="28"/>
  <c r="K539" i="28"/>
  <c r="U539" i="28"/>
  <c r="J539" i="28"/>
  <c r="O540" i="28"/>
  <c r="M540" i="28"/>
  <c r="E540" i="28"/>
  <c r="N540" i="28"/>
  <c r="P540" i="28"/>
  <c r="V539" i="28"/>
  <c r="Q538" i="28"/>
  <c r="R538" i="28" s="1"/>
  <c r="T538" i="28" s="1"/>
  <c r="L538" i="28"/>
  <c r="B541" i="28"/>
  <c r="F541" i="28" s="1"/>
  <c r="Y542" i="28"/>
  <c r="I540" i="28" l="1"/>
  <c r="W540" i="28"/>
  <c r="K540" i="28"/>
  <c r="Q539" i="28"/>
  <c r="R539" i="28" s="1"/>
  <c r="T539" i="28" s="1"/>
  <c r="L539" i="28"/>
  <c r="Y543" i="28"/>
  <c r="B542" i="28"/>
  <c r="F542" i="28" s="1"/>
  <c r="N541" i="28"/>
  <c r="O541" i="28"/>
  <c r="E541" i="28"/>
  <c r="P541" i="28"/>
  <c r="M541" i="28"/>
  <c r="J540" i="28"/>
  <c r="U540" i="28"/>
  <c r="I541" i="28" l="1"/>
  <c r="W541" i="28"/>
  <c r="V540" i="28"/>
  <c r="K541" i="28"/>
  <c r="J541" i="28"/>
  <c r="U541" i="28"/>
  <c r="Y544" i="28"/>
  <c r="B543" i="28"/>
  <c r="F543" i="28" s="1"/>
  <c r="Q540" i="28"/>
  <c r="R540" i="28" s="1"/>
  <c r="T540" i="28" s="1"/>
  <c r="L540" i="28"/>
  <c r="N542" i="28"/>
  <c r="O542" i="28"/>
  <c r="E542" i="28"/>
  <c r="M542" i="28"/>
  <c r="P542" i="28"/>
  <c r="V541" i="28" l="1"/>
  <c r="I542" i="28"/>
  <c r="J542" i="28" s="1"/>
  <c r="W542" i="28"/>
  <c r="K542" i="28"/>
  <c r="U542" i="28"/>
  <c r="N543" i="28"/>
  <c r="P543" i="28"/>
  <c r="E543" i="28"/>
  <c r="M543" i="28"/>
  <c r="O543" i="28"/>
  <c r="B544" i="28"/>
  <c r="F544" i="28" s="1"/>
  <c r="Y545" i="28"/>
  <c r="Q541" i="28"/>
  <c r="R541" i="28" s="1"/>
  <c r="T541" i="28" s="1"/>
  <c r="L541" i="28"/>
  <c r="I543" i="28" l="1"/>
  <c r="W543" i="28"/>
  <c r="K543" i="28"/>
  <c r="V542" i="28"/>
  <c r="Y546" i="28"/>
  <c r="B545" i="28"/>
  <c r="F545" i="28" s="1"/>
  <c r="O544" i="28"/>
  <c r="M544" i="28"/>
  <c r="P544" i="28"/>
  <c r="N544" i="28"/>
  <c r="E544" i="28"/>
  <c r="U543" i="28"/>
  <c r="V543" i="28" s="1"/>
  <c r="J543" i="28"/>
  <c r="L542" i="28"/>
  <c r="Q542" i="28"/>
  <c r="R542" i="28" s="1"/>
  <c r="T542" i="28" s="1"/>
  <c r="I544" i="28" l="1"/>
  <c r="J544" i="28" s="1"/>
  <c r="W544" i="28"/>
  <c r="K544" i="28"/>
  <c r="U544" i="28"/>
  <c r="L543" i="28"/>
  <c r="Q543" i="28"/>
  <c r="R543" i="28" s="1"/>
  <c r="T543" i="28" s="1"/>
  <c r="E545" i="28"/>
  <c r="O545" i="28"/>
  <c r="M545" i="28"/>
  <c r="P545" i="28"/>
  <c r="N545" i="28"/>
  <c r="Y547" i="28"/>
  <c r="B546" i="28"/>
  <c r="F546" i="28" s="1"/>
  <c r="I545" i="28" l="1"/>
  <c r="W545" i="28"/>
  <c r="K545" i="28"/>
  <c r="V544" i="28"/>
  <c r="U545" i="28"/>
  <c r="J545" i="28"/>
  <c r="L544" i="28"/>
  <c r="Q544" i="28"/>
  <c r="R544" i="28" s="1"/>
  <c r="T544" i="28" s="1"/>
  <c r="N546" i="28"/>
  <c r="P546" i="28"/>
  <c r="E546" i="28"/>
  <c r="M546" i="28"/>
  <c r="O546" i="28"/>
  <c r="Y548" i="28"/>
  <c r="B547" i="28"/>
  <c r="F547" i="28" s="1"/>
  <c r="I546" i="28" l="1"/>
  <c r="W546" i="28"/>
  <c r="K546" i="28"/>
  <c r="V545" i="28"/>
  <c r="U546" i="28"/>
  <c r="J546" i="28"/>
  <c r="Q545" i="28"/>
  <c r="R545" i="28" s="1"/>
  <c r="T545" i="28" s="1"/>
  <c r="L545" i="28"/>
  <c r="P547" i="28"/>
  <c r="E547" i="28"/>
  <c r="O547" i="28"/>
  <c r="M547" i="28"/>
  <c r="N547" i="28"/>
  <c r="B548" i="28"/>
  <c r="F548" i="28" s="1"/>
  <c r="Y549" i="28"/>
  <c r="I547" i="28" l="1"/>
  <c r="W547" i="28"/>
  <c r="V546" i="28"/>
  <c r="K547" i="28"/>
  <c r="J547" i="28"/>
  <c r="U547" i="28"/>
  <c r="Y550" i="28"/>
  <c r="B549" i="28"/>
  <c r="F549" i="28" s="1"/>
  <c r="L546" i="28"/>
  <c r="Q546" i="28"/>
  <c r="R546" i="28" s="1"/>
  <c r="T546" i="28" s="1"/>
  <c r="E548" i="28"/>
  <c r="M548" i="28"/>
  <c r="O548" i="28"/>
  <c r="N548" i="28"/>
  <c r="P548" i="28"/>
  <c r="I548" i="28" l="1"/>
  <c r="W548" i="28"/>
  <c r="V547" i="28"/>
  <c r="K548" i="28"/>
  <c r="U548" i="28"/>
  <c r="J548" i="28"/>
  <c r="M549" i="28"/>
  <c r="P549" i="28"/>
  <c r="O549" i="28"/>
  <c r="N549" i="28"/>
  <c r="E549" i="28"/>
  <c r="Y551" i="28"/>
  <c r="B550" i="28"/>
  <c r="F550" i="28" s="1"/>
  <c r="V548" i="28"/>
  <c r="L547" i="28"/>
  <c r="Q547" i="28"/>
  <c r="R547" i="28" s="1"/>
  <c r="T547" i="28" s="1"/>
  <c r="I549" i="28" l="1"/>
  <c r="W549" i="28"/>
  <c r="K549" i="28"/>
  <c r="O550" i="28"/>
  <c r="P550" i="28"/>
  <c r="M550" i="28"/>
  <c r="E550" i="28"/>
  <c r="N550" i="28"/>
  <c r="Y552" i="28"/>
  <c r="B551" i="28"/>
  <c r="F551" i="28" s="1"/>
  <c r="Q548" i="28"/>
  <c r="R548" i="28" s="1"/>
  <c r="T548" i="28" s="1"/>
  <c r="L548" i="28"/>
  <c r="J549" i="28"/>
  <c r="U549" i="28"/>
  <c r="I550" i="28" l="1"/>
  <c r="W550" i="28"/>
  <c r="K550" i="28"/>
  <c r="V549" i="28"/>
  <c r="M551" i="28"/>
  <c r="O551" i="28"/>
  <c r="P551" i="28"/>
  <c r="N551" i="28"/>
  <c r="E551" i="28"/>
  <c r="Q549" i="28"/>
  <c r="R549" i="28" s="1"/>
  <c r="T549" i="28" s="1"/>
  <c r="L549" i="28"/>
  <c r="B552" i="28"/>
  <c r="F552" i="28" s="1"/>
  <c r="Y553" i="28"/>
  <c r="U550" i="28"/>
  <c r="J550" i="28"/>
  <c r="I551" i="28" l="1"/>
  <c r="W551" i="28"/>
  <c r="K551" i="28"/>
  <c r="V550" i="28"/>
  <c r="J551" i="28"/>
  <c r="U551" i="28"/>
  <c r="B553" i="28"/>
  <c r="F553" i="28" s="1"/>
  <c r="Y554" i="28"/>
  <c r="L550" i="28"/>
  <c r="Q550" i="28"/>
  <c r="R550" i="28" s="1"/>
  <c r="T550" i="28" s="1"/>
  <c r="E552" i="28"/>
  <c r="M552" i="28"/>
  <c r="O552" i="28"/>
  <c r="N552" i="28"/>
  <c r="P552" i="28"/>
  <c r="I552" i="28" l="1"/>
  <c r="W552" i="28"/>
  <c r="V551" i="28"/>
  <c r="K552" i="28"/>
  <c r="U552" i="28"/>
  <c r="J552" i="28"/>
  <c r="N553" i="28"/>
  <c r="E553" i="28"/>
  <c r="O553" i="28"/>
  <c r="P553" i="28"/>
  <c r="M553" i="28"/>
  <c r="Y555" i="28"/>
  <c r="B554" i="28"/>
  <c r="F554" i="28" s="1"/>
  <c r="V552" i="28"/>
  <c r="Q551" i="28"/>
  <c r="R551" i="28" s="1"/>
  <c r="T551" i="28" s="1"/>
  <c r="L551" i="28"/>
  <c r="I553" i="28" l="1"/>
  <c r="W553" i="28"/>
  <c r="K553" i="28"/>
  <c r="U553" i="28"/>
  <c r="J553" i="28"/>
  <c r="M554" i="28"/>
  <c r="N554" i="28"/>
  <c r="E554" i="28"/>
  <c r="O554" i="28"/>
  <c r="P554" i="28"/>
  <c r="Y556" i="28"/>
  <c r="B555" i="28"/>
  <c r="F555" i="28" s="1"/>
  <c r="V553" i="28"/>
  <c r="Q552" i="28"/>
  <c r="R552" i="28" s="1"/>
  <c r="T552" i="28" s="1"/>
  <c r="L552" i="28"/>
  <c r="I554" i="28" l="1"/>
  <c r="W554" i="28"/>
  <c r="K554" i="28"/>
  <c r="E555" i="28"/>
  <c r="P555" i="28"/>
  <c r="M555" i="28"/>
  <c r="N555" i="28"/>
  <c r="O555" i="28"/>
  <c r="B556" i="28"/>
  <c r="F556" i="28" s="1"/>
  <c r="Y557" i="28"/>
  <c r="J554" i="28"/>
  <c r="U554" i="28"/>
  <c r="L553" i="28"/>
  <c r="Q553" i="28"/>
  <c r="R553" i="28" s="1"/>
  <c r="T553" i="28" s="1"/>
  <c r="I555" i="28" l="1"/>
  <c r="W555" i="28"/>
  <c r="V554" i="28"/>
  <c r="K555" i="28"/>
  <c r="J555" i="28"/>
  <c r="U555" i="28"/>
  <c r="Q554" i="28"/>
  <c r="R554" i="28" s="1"/>
  <c r="T554" i="28" s="1"/>
  <c r="L554" i="28"/>
  <c r="Y558" i="28"/>
  <c r="B557" i="28"/>
  <c r="F557" i="28" s="1"/>
  <c r="M556" i="28"/>
  <c r="E556" i="28"/>
  <c r="N556" i="28"/>
  <c r="O556" i="28"/>
  <c r="P556" i="28"/>
  <c r="I556" i="28" l="1"/>
  <c r="W556" i="28"/>
  <c r="K556" i="28"/>
  <c r="V555" i="28"/>
  <c r="U556" i="28"/>
  <c r="J556" i="28"/>
  <c r="E557" i="28"/>
  <c r="M557" i="28"/>
  <c r="N557" i="28"/>
  <c r="P557" i="28"/>
  <c r="O557" i="28"/>
  <c r="V556" i="28"/>
  <c r="Y559" i="28"/>
  <c r="B558" i="28"/>
  <c r="F558" i="28" s="1"/>
  <c r="Q555" i="28"/>
  <c r="R555" i="28" s="1"/>
  <c r="T555" i="28" s="1"/>
  <c r="L555" i="28"/>
  <c r="I557" i="28" l="1"/>
  <c r="W557" i="28"/>
  <c r="K557" i="28"/>
  <c r="N558" i="28"/>
  <c r="E558" i="28"/>
  <c r="O558" i="28"/>
  <c r="M558" i="28"/>
  <c r="P558" i="28"/>
  <c r="Y560" i="28"/>
  <c r="B559" i="28"/>
  <c r="F559" i="28" s="1"/>
  <c r="J557" i="28"/>
  <c r="U557" i="28"/>
  <c r="V557" i="28" s="1"/>
  <c r="Q556" i="28"/>
  <c r="R556" i="28" s="1"/>
  <c r="T556" i="28" s="1"/>
  <c r="L556" i="28"/>
  <c r="I558" i="28" l="1"/>
  <c r="W558" i="28"/>
  <c r="K558" i="28"/>
  <c r="U558" i="28"/>
  <c r="J558" i="28"/>
  <c r="L557" i="28"/>
  <c r="Q557" i="28"/>
  <c r="R557" i="28" s="1"/>
  <c r="T557" i="28" s="1"/>
  <c r="M559" i="28"/>
  <c r="P559" i="28"/>
  <c r="N559" i="28"/>
  <c r="O559" i="28"/>
  <c r="E559" i="28"/>
  <c r="B560" i="28"/>
  <c r="F560" i="28" s="1"/>
  <c r="Y561" i="28"/>
  <c r="I559" i="28" l="1"/>
  <c r="W559" i="28"/>
  <c r="K559" i="28"/>
  <c r="V558" i="28"/>
  <c r="J559" i="28"/>
  <c r="U559" i="28"/>
  <c r="L558" i="28"/>
  <c r="Q558" i="28"/>
  <c r="R558" i="28" s="1"/>
  <c r="T558" i="28" s="1"/>
  <c r="B561" i="28"/>
  <c r="F561" i="28" s="1"/>
  <c r="Y562" i="28"/>
  <c r="O560" i="28"/>
  <c r="M560" i="28"/>
  <c r="P560" i="28"/>
  <c r="N560" i="28"/>
  <c r="E560" i="28"/>
  <c r="I560" i="28" l="1"/>
  <c r="W560" i="28"/>
  <c r="K560" i="28"/>
  <c r="V559" i="28"/>
  <c r="Y563" i="28"/>
  <c r="B562" i="28"/>
  <c r="F562" i="28" s="1"/>
  <c r="U560" i="28"/>
  <c r="J560" i="28"/>
  <c r="M561" i="28"/>
  <c r="N561" i="28"/>
  <c r="O561" i="28"/>
  <c r="E561" i="28"/>
  <c r="P561" i="28"/>
  <c r="L559" i="28"/>
  <c r="Q559" i="28"/>
  <c r="R559" i="28" s="1"/>
  <c r="T559" i="28" s="1"/>
  <c r="I561" i="28" l="1"/>
  <c r="W561" i="28"/>
  <c r="V560" i="28"/>
  <c r="K561" i="28"/>
  <c r="N562" i="28"/>
  <c r="O562" i="28"/>
  <c r="E562" i="28"/>
  <c r="P562" i="28"/>
  <c r="M562" i="28"/>
  <c r="J561" i="28"/>
  <c r="U561" i="28"/>
  <c r="Y564" i="28"/>
  <c r="B563" i="28"/>
  <c r="F563" i="28" s="1"/>
  <c r="L560" i="28"/>
  <c r="Q560" i="28"/>
  <c r="R560" i="28" s="1"/>
  <c r="T560" i="28" s="1"/>
  <c r="I562" i="28" l="1"/>
  <c r="W562" i="28"/>
  <c r="K562" i="28"/>
  <c r="V561" i="28"/>
  <c r="P563" i="28"/>
  <c r="M563" i="28"/>
  <c r="O563" i="28"/>
  <c r="N563" i="28"/>
  <c r="E563" i="28"/>
  <c r="U562" i="28"/>
  <c r="J562" i="28"/>
  <c r="B564" i="28"/>
  <c r="F564" i="28" s="1"/>
  <c r="Y565" i="28"/>
  <c r="L561" i="28"/>
  <c r="Q561" i="28"/>
  <c r="R561" i="28" s="1"/>
  <c r="T561" i="28" s="1"/>
  <c r="I563" i="28" l="1"/>
  <c r="W563" i="28"/>
  <c r="V562" i="28"/>
  <c r="K563" i="28"/>
  <c r="L562" i="28"/>
  <c r="Q562" i="28"/>
  <c r="R562" i="28" s="1"/>
  <c r="T562" i="28" s="1"/>
  <c r="B565" i="28"/>
  <c r="F565" i="28" s="1"/>
  <c r="Y566" i="28"/>
  <c r="M564" i="28"/>
  <c r="P564" i="28"/>
  <c r="N564" i="28"/>
  <c r="O564" i="28"/>
  <c r="E564" i="28"/>
  <c r="U563" i="28"/>
  <c r="J563" i="28"/>
  <c r="I564" i="28" l="1"/>
  <c r="W564" i="28"/>
  <c r="K564" i="28"/>
  <c r="V563" i="28"/>
  <c r="O565" i="28"/>
  <c r="E565" i="28"/>
  <c r="N565" i="28"/>
  <c r="P565" i="28"/>
  <c r="M565" i="28"/>
  <c r="J564" i="28"/>
  <c r="U564" i="28"/>
  <c r="Q563" i="28"/>
  <c r="R563" i="28" s="1"/>
  <c r="T563" i="28" s="1"/>
  <c r="L563" i="28"/>
  <c r="B566" i="28"/>
  <c r="F566" i="28" s="1"/>
  <c r="Y567" i="28"/>
  <c r="I565" i="28" l="1"/>
  <c r="W565" i="28"/>
  <c r="K565" i="28"/>
  <c r="V564" i="28"/>
  <c r="P566" i="28"/>
  <c r="O566" i="28"/>
  <c r="M566" i="28"/>
  <c r="E566" i="28"/>
  <c r="N566" i="28"/>
  <c r="Q564" i="28"/>
  <c r="R564" i="28" s="1"/>
  <c r="T564" i="28" s="1"/>
  <c r="L564" i="28"/>
  <c r="B567" i="28"/>
  <c r="F567" i="28" s="1"/>
  <c r="Y568" i="28"/>
  <c r="U565" i="28"/>
  <c r="V565" i="28" s="1"/>
  <c r="J565" i="28"/>
  <c r="I566" i="28" l="1"/>
  <c r="W566" i="28"/>
  <c r="K566" i="28"/>
  <c r="B568" i="28"/>
  <c r="F568" i="28" s="1"/>
  <c r="Y569" i="28"/>
  <c r="E567" i="28"/>
  <c r="P567" i="28"/>
  <c r="N567" i="28"/>
  <c r="O567" i="28"/>
  <c r="M567" i="28"/>
  <c r="L565" i="28"/>
  <c r="Q565" i="28"/>
  <c r="R565" i="28" s="1"/>
  <c r="T565" i="28" s="1"/>
  <c r="J566" i="28"/>
  <c r="U566" i="28"/>
  <c r="I567" i="28" l="1"/>
  <c r="J567" i="28" s="1"/>
  <c r="W567" i="28"/>
  <c r="K567" i="28"/>
  <c r="V566" i="28"/>
  <c r="Q566" i="28"/>
  <c r="R566" i="28" s="1"/>
  <c r="T566" i="28" s="1"/>
  <c r="L566" i="28"/>
  <c r="U567" i="28"/>
  <c r="Y570" i="28"/>
  <c r="B569" i="28"/>
  <c r="F569" i="28" s="1"/>
  <c r="V567" i="28"/>
  <c r="E568" i="28"/>
  <c r="N568" i="28"/>
  <c r="O568" i="28"/>
  <c r="M568" i="28"/>
  <c r="P568" i="28"/>
  <c r="I568" i="28" l="1"/>
  <c r="W568" i="28"/>
  <c r="K568" i="28"/>
  <c r="L567" i="28"/>
  <c r="Q567" i="28"/>
  <c r="R567" i="28" s="1"/>
  <c r="T567" i="28" s="1"/>
  <c r="N569" i="28"/>
  <c r="E569" i="28"/>
  <c r="O569" i="28"/>
  <c r="P569" i="28"/>
  <c r="M569" i="28"/>
  <c r="J568" i="28"/>
  <c r="U568" i="28"/>
  <c r="B570" i="28"/>
  <c r="F570" i="28" s="1"/>
  <c r="Y571" i="28"/>
  <c r="I569" i="28" l="1"/>
  <c r="W569" i="28"/>
  <c r="K569" i="28"/>
  <c r="M570" i="28"/>
  <c r="N570" i="28"/>
  <c r="O570" i="28"/>
  <c r="P570" i="28"/>
  <c r="E570" i="28"/>
  <c r="L568" i="28"/>
  <c r="Q568" i="28"/>
  <c r="R568" i="28" s="1"/>
  <c r="T568" i="28" s="1"/>
  <c r="V568" i="28"/>
  <c r="Y572" i="28"/>
  <c r="B571" i="28"/>
  <c r="F571" i="28" s="1"/>
  <c r="J569" i="28"/>
  <c r="U569" i="28"/>
  <c r="I570" i="28" l="1"/>
  <c r="W570" i="28"/>
  <c r="K570" i="28"/>
  <c r="M571" i="28"/>
  <c r="N571" i="28"/>
  <c r="E571" i="28"/>
  <c r="P571" i="28"/>
  <c r="O571" i="28"/>
  <c r="B572" i="28"/>
  <c r="F572" i="28" s="1"/>
  <c r="Y573" i="28"/>
  <c r="J570" i="28"/>
  <c r="U570" i="28"/>
  <c r="L569" i="28"/>
  <c r="Q569" i="28"/>
  <c r="R569" i="28" s="1"/>
  <c r="T569" i="28" s="1"/>
  <c r="V569" i="28"/>
  <c r="I571" i="28" l="1"/>
  <c r="W571" i="28"/>
  <c r="K571" i="28"/>
  <c r="V570" i="28"/>
  <c r="M572" i="28"/>
  <c r="O572" i="28"/>
  <c r="N572" i="28"/>
  <c r="E572" i="28"/>
  <c r="P572" i="28"/>
  <c r="J571" i="28"/>
  <c r="U571" i="28"/>
  <c r="V571" i="28" s="1"/>
  <c r="B573" i="28"/>
  <c r="F573" i="28" s="1"/>
  <c r="Y574" i="28"/>
  <c r="Q570" i="28"/>
  <c r="R570" i="28" s="1"/>
  <c r="T570" i="28" s="1"/>
  <c r="L570" i="28"/>
  <c r="I572" i="28" l="1"/>
  <c r="W572" i="28"/>
  <c r="K572" i="28"/>
  <c r="B574" i="28"/>
  <c r="F574" i="28" s="1"/>
  <c r="Y575" i="28"/>
  <c r="P573" i="28"/>
  <c r="M573" i="28"/>
  <c r="E573" i="28"/>
  <c r="N573" i="28"/>
  <c r="O573" i="28"/>
  <c r="J572" i="28"/>
  <c r="U572" i="28"/>
  <c r="Q571" i="28"/>
  <c r="R571" i="28" s="1"/>
  <c r="T571" i="28" s="1"/>
  <c r="L571" i="28"/>
  <c r="I573" i="28" l="1"/>
  <c r="W573" i="28"/>
  <c r="V572" i="28"/>
  <c r="K573" i="28"/>
  <c r="Q572" i="28"/>
  <c r="R572" i="28" s="1"/>
  <c r="T572" i="28" s="1"/>
  <c r="L572" i="28"/>
  <c r="Y576" i="28"/>
  <c r="B575" i="28"/>
  <c r="F575" i="28" s="1"/>
  <c r="J573" i="28"/>
  <c r="U573" i="28"/>
  <c r="E574" i="28"/>
  <c r="P574" i="28"/>
  <c r="M574" i="28"/>
  <c r="N574" i="28"/>
  <c r="O574" i="28"/>
  <c r="I574" i="28" l="1"/>
  <c r="W574" i="28"/>
  <c r="K574" i="28"/>
  <c r="V573" i="28"/>
  <c r="B576" i="28"/>
  <c r="F576" i="28" s="1"/>
  <c r="Y577" i="28"/>
  <c r="J574" i="28"/>
  <c r="U574" i="28"/>
  <c r="N575" i="28"/>
  <c r="E575" i="28"/>
  <c r="O575" i="28"/>
  <c r="M575" i="28"/>
  <c r="P575" i="28"/>
  <c r="L573" i="28"/>
  <c r="Q573" i="28"/>
  <c r="R573" i="28" s="1"/>
  <c r="T573" i="28" s="1"/>
  <c r="I575" i="28" l="1"/>
  <c r="W575" i="28"/>
  <c r="V574" i="28"/>
  <c r="K575" i="28"/>
  <c r="J575" i="28"/>
  <c r="U575" i="28"/>
  <c r="L574" i="28"/>
  <c r="Q574" i="28"/>
  <c r="R574" i="28" s="1"/>
  <c r="T574" i="28" s="1"/>
  <c r="B577" i="28"/>
  <c r="F577" i="28" s="1"/>
  <c r="Y578" i="28"/>
  <c r="P576" i="28"/>
  <c r="E576" i="28"/>
  <c r="M576" i="28"/>
  <c r="N576" i="28"/>
  <c r="O576" i="28"/>
  <c r="I576" i="28" l="1"/>
  <c r="W576" i="28"/>
  <c r="K576" i="28"/>
  <c r="V575" i="28"/>
  <c r="Y579" i="28"/>
  <c r="B578" i="28"/>
  <c r="F578" i="28" s="1"/>
  <c r="M577" i="28"/>
  <c r="E577" i="28"/>
  <c r="O577" i="28"/>
  <c r="P577" i="28"/>
  <c r="N577" i="28"/>
  <c r="L575" i="28"/>
  <c r="Q575" i="28"/>
  <c r="R575" i="28" s="1"/>
  <c r="T575" i="28" s="1"/>
  <c r="J576" i="28"/>
  <c r="U576" i="28"/>
  <c r="I577" i="28" l="1"/>
  <c r="W577" i="28"/>
  <c r="K577" i="28"/>
  <c r="V576" i="28"/>
  <c r="U577" i="28"/>
  <c r="J577" i="28"/>
  <c r="M578" i="28"/>
  <c r="N578" i="28"/>
  <c r="O578" i="28"/>
  <c r="E578" i="28"/>
  <c r="P578" i="28"/>
  <c r="Q576" i="28"/>
  <c r="R576" i="28" s="1"/>
  <c r="T576" i="28" s="1"/>
  <c r="L576" i="28"/>
  <c r="B579" i="28"/>
  <c r="F579" i="28" s="1"/>
  <c r="Y580" i="28"/>
  <c r="I578" i="28" l="1"/>
  <c r="W578" i="28"/>
  <c r="V577" i="28"/>
  <c r="K578" i="28"/>
  <c r="U578" i="28"/>
  <c r="J578" i="28"/>
  <c r="Q577" i="28"/>
  <c r="R577" i="28" s="1"/>
  <c r="T577" i="28" s="1"/>
  <c r="L577" i="28"/>
  <c r="B580" i="28"/>
  <c r="F580" i="28" s="1"/>
  <c r="Y581" i="28"/>
  <c r="M579" i="28"/>
  <c r="E579" i="28"/>
  <c r="N579" i="28"/>
  <c r="O579" i="28"/>
  <c r="P579" i="28"/>
  <c r="I579" i="28" l="1"/>
  <c r="W579" i="28"/>
  <c r="V578" i="28"/>
  <c r="K579" i="28"/>
  <c r="B581" i="28"/>
  <c r="F581" i="28" s="1"/>
  <c r="Y582" i="28"/>
  <c r="N580" i="28"/>
  <c r="O580" i="28"/>
  <c r="P580" i="28"/>
  <c r="M580" i="28"/>
  <c r="E580" i="28"/>
  <c r="L578" i="28"/>
  <c r="Q578" i="28"/>
  <c r="R578" i="28" s="1"/>
  <c r="T578" i="28" s="1"/>
  <c r="U579" i="28"/>
  <c r="J579" i="28"/>
  <c r="I580" i="28" l="1"/>
  <c r="W580" i="28"/>
  <c r="K580" i="28"/>
  <c r="V579" i="28"/>
  <c r="Q579" i="28"/>
  <c r="R579" i="28" s="1"/>
  <c r="T579" i="28" s="1"/>
  <c r="L579" i="28"/>
  <c r="B582" i="28"/>
  <c r="F582" i="28" s="1"/>
  <c r="Y583" i="28"/>
  <c r="U580" i="28"/>
  <c r="J580" i="28"/>
  <c r="M581" i="28"/>
  <c r="N581" i="28"/>
  <c r="P581" i="28"/>
  <c r="O581" i="28"/>
  <c r="E581" i="28"/>
  <c r="I581" i="28" l="1"/>
  <c r="W581" i="28"/>
  <c r="K581" i="28"/>
  <c r="V580" i="28"/>
  <c r="E582" i="28"/>
  <c r="P582" i="28"/>
  <c r="N582" i="28"/>
  <c r="O582" i="28"/>
  <c r="M582" i="28"/>
  <c r="B583" i="28"/>
  <c r="F583" i="28" s="1"/>
  <c r="Y584" i="28"/>
  <c r="L580" i="28"/>
  <c r="Q580" i="28"/>
  <c r="R580" i="28" s="1"/>
  <c r="T580" i="28" s="1"/>
  <c r="J581" i="28"/>
  <c r="U581" i="28"/>
  <c r="I582" i="28" l="1"/>
  <c r="W582" i="28"/>
  <c r="K582" i="28"/>
  <c r="V581" i="28"/>
  <c r="Q581" i="28"/>
  <c r="R581" i="28" s="1"/>
  <c r="T581" i="28" s="1"/>
  <c r="L581" i="28"/>
  <c r="B584" i="28"/>
  <c r="F584" i="28" s="1"/>
  <c r="Y585" i="28"/>
  <c r="M583" i="28"/>
  <c r="N583" i="28"/>
  <c r="O583" i="28"/>
  <c r="E583" i="28"/>
  <c r="P583" i="28"/>
  <c r="U582" i="28"/>
  <c r="J582" i="28"/>
  <c r="I583" i="28" l="1"/>
  <c r="W583" i="28"/>
  <c r="K583" i="28"/>
  <c r="V582" i="28"/>
  <c r="Y586" i="28"/>
  <c r="B585" i="28"/>
  <c r="F585" i="28" s="1"/>
  <c r="M584" i="28"/>
  <c r="E584" i="28"/>
  <c r="N584" i="28"/>
  <c r="O584" i="28"/>
  <c r="P584" i="28"/>
  <c r="U583" i="28"/>
  <c r="J583" i="28"/>
  <c r="L582" i="28"/>
  <c r="Q582" i="28"/>
  <c r="R582" i="28" s="1"/>
  <c r="T582" i="28" s="1"/>
  <c r="I584" i="28" l="1"/>
  <c r="W584" i="28"/>
  <c r="K584" i="28"/>
  <c r="V583" i="28"/>
  <c r="Q583" i="28"/>
  <c r="R583" i="28" s="1"/>
  <c r="T583" i="28" s="1"/>
  <c r="L583" i="28"/>
  <c r="N585" i="28"/>
  <c r="O585" i="28"/>
  <c r="P585" i="28"/>
  <c r="E585" i="28"/>
  <c r="M585" i="28"/>
  <c r="Y587" i="28"/>
  <c r="B586" i="28"/>
  <c r="F586" i="28" s="1"/>
  <c r="J584" i="28"/>
  <c r="U584" i="28"/>
  <c r="V584" i="28" s="1"/>
  <c r="I585" i="28" l="1"/>
  <c r="J585" i="28" s="1"/>
  <c r="W585" i="28"/>
  <c r="K585" i="28"/>
  <c r="U585" i="28"/>
  <c r="Q584" i="28"/>
  <c r="R584" i="28" s="1"/>
  <c r="T584" i="28" s="1"/>
  <c r="L584" i="28"/>
  <c r="N586" i="28"/>
  <c r="E586" i="28"/>
  <c r="O586" i="28"/>
  <c r="P586" i="28"/>
  <c r="M586" i="28"/>
  <c r="Y588" i="28"/>
  <c r="B587" i="28"/>
  <c r="F587" i="28" s="1"/>
  <c r="V585" i="28"/>
  <c r="I586" i="28" l="1"/>
  <c r="W586" i="28"/>
  <c r="K586" i="28"/>
  <c r="M587" i="28"/>
  <c r="E587" i="28"/>
  <c r="N587" i="28"/>
  <c r="P587" i="28"/>
  <c r="O587" i="28"/>
  <c r="B588" i="28"/>
  <c r="F588" i="28" s="1"/>
  <c r="Y589" i="28"/>
  <c r="J586" i="28"/>
  <c r="U586" i="28"/>
  <c r="V586" i="28" s="1"/>
  <c r="Q585" i="28"/>
  <c r="R585" i="28" s="1"/>
  <c r="T585" i="28" s="1"/>
  <c r="L585" i="28"/>
  <c r="I587" i="28" l="1"/>
  <c r="W587" i="28"/>
  <c r="K587" i="28"/>
  <c r="M504" i="7" s="1"/>
  <c r="M506" i="7" s="1"/>
  <c r="M508" i="7" s="1"/>
  <c r="M510" i="7" s="1"/>
  <c r="J587" i="28"/>
  <c r="U587" i="28"/>
  <c r="Q586" i="28"/>
  <c r="R586" i="28" s="1"/>
  <c r="T586" i="28" s="1"/>
  <c r="L586" i="28"/>
  <c r="Y590" i="28"/>
  <c r="B589" i="28"/>
  <c r="F589" i="28" s="1"/>
  <c r="O588" i="28"/>
  <c r="N588" i="28"/>
  <c r="E588" i="28"/>
  <c r="M588" i="28"/>
  <c r="P588" i="28"/>
  <c r="I588" i="28" l="1"/>
  <c r="W588" i="28"/>
  <c r="K588" i="28"/>
  <c r="H565" i="7"/>
  <c r="I565" i="7" s="1"/>
  <c r="H531" i="7"/>
  <c r="I531" i="7" s="1"/>
  <c r="H515" i="7"/>
  <c r="I515" i="7" s="1"/>
  <c r="K568" i="7"/>
  <c r="K552" i="7"/>
  <c r="K536" i="7"/>
  <c r="K520" i="7"/>
  <c r="K504" i="7"/>
  <c r="H544" i="7"/>
  <c r="I544" i="7" s="1"/>
  <c r="H522" i="7"/>
  <c r="I522" i="7" s="1"/>
  <c r="K570" i="7"/>
  <c r="K549" i="7"/>
  <c r="K527" i="7"/>
  <c r="K506" i="7"/>
  <c r="H540" i="7"/>
  <c r="I540" i="7" s="1"/>
  <c r="H518" i="7"/>
  <c r="I518" i="7" s="1"/>
  <c r="K566" i="7"/>
  <c r="K545" i="7"/>
  <c r="K523" i="7"/>
  <c r="H564" i="7"/>
  <c r="I564" i="7" s="1"/>
  <c r="H514" i="7"/>
  <c r="I514" i="7" s="1"/>
  <c r="K541" i="7"/>
  <c r="H558" i="7"/>
  <c r="I558" i="7" s="1"/>
  <c r="H510" i="7"/>
  <c r="I510" i="7" s="1"/>
  <c r="K537" i="7"/>
  <c r="H549" i="7"/>
  <c r="I549" i="7" s="1"/>
  <c r="K531" i="7"/>
  <c r="H537" i="7"/>
  <c r="I537" i="7" s="1"/>
  <c r="H554" i="7"/>
  <c r="I554" i="7" s="1"/>
  <c r="K535" i="7"/>
  <c r="K546" i="7"/>
  <c r="H569" i="7"/>
  <c r="I569" i="7" s="1"/>
  <c r="H527" i="7"/>
  <c r="I527" i="7" s="1"/>
  <c r="H511" i="7"/>
  <c r="I511" i="7" s="1"/>
  <c r="K564" i="7"/>
  <c r="K548" i="7"/>
  <c r="K532" i="7"/>
  <c r="K516" i="7"/>
  <c r="H570" i="7"/>
  <c r="I570" i="7" s="1"/>
  <c r="H538" i="7"/>
  <c r="I538" i="7" s="1"/>
  <c r="H517" i="7"/>
  <c r="I517" i="7" s="1"/>
  <c r="K565" i="7"/>
  <c r="K543" i="7"/>
  <c r="K522" i="7"/>
  <c r="H563" i="7"/>
  <c r="I563" i="7" s="1"/>
  <c r="H534" i="7"/>
  <c r="I534" i="7" s="1"/>
  <c r="H513" i="7"/>
  <c r="I513" i="7" s="1"/>
  <c r="K561" i="7"/>
  <c r="K539" i="7"/>
  <c r="K518" i="7"/>
  <c r="H546" i="7"/>
  <c r="I546" i="7" s="1"/>
  <c r="H504" i="7"/>
  <c r="I504" i="7" s="1"/>
  <c r="K530" i="7"/>
  <c r="H542" i="7"/>
  <c r="I542" i="7" s="1"/>
  <c r="K569" i="7"/>
  <c r="K526" i="7"/>
  <c r="H526" i="7"/>
  <c r="I526" i="7" s="1"/>
  <c r="K510" i="7"/>
  <c r="H516" i="7"/>
  <c r="I516" i="7" s="1"/>
  <c r="H530" i="7"/>
  <c r="I530" i="7" s="1"/>
  <c r="K514" i="7"/>
  <c r="K525" i="7"/>
  <c r="H556" i="7"/>
  <c r="I556" i="7" s="1"/>
  <c r="H523" i="7"/>
  <c r="I523" i="7" s="1"/>
  <c r="H507" i="7"/>
  <c r="I507" i="7" s="1"/>
  <c r="K560" i="7"/>
  <c r="K544" i="7"/>
  <c r="K528" i="7"/>
  <c r="K512" i="7"/>
  <c r="H559" i="7"/>
  <c r="I559" i="7" s="1"/>
  <c r="H533" i="7"/>
  <c r="I533" i="7" s="1"/>
  <c r="H512" i="7"/>
  <c r="I512" i="7" s="1"/>
  <c r="K559" i="7"/>
  <c r="K538" i="7"/>
  <c r="K517" i="7"/>
  <c r="H553" i="7"/>
  <c r="I553" i="7" s="1"/>
  <c r="H529" i="7"/>
  <c r="I529" i="7" s="1"/>
  <c r="H508" i="7"/>
  <c r="I508" i="7" s="1"/>
  <c r="K555" i="7"/>
  <c r="K534" i="7"/>
  <c r="K513" i="7"/>
  <c r="H536" i="7"/>
  <c r="I536" i="7" s="1"/>
  <c r="K562" i="7"/>
  <c r="K519" i="7"/>
  <c r="H532" i="7"/>
  <c r="I532" i="7" s="1"/>
  <c r="K558" i="7"/>
  <c r="K515" i="7"/>
  <c r="H505" i="7"/>
  <c r="I505" i="7" s="1"/>
  <c r="H520" i="7"/>
  <c r="I520" i="7" s="1"/>
  <c r="K542" i="7"/>
  <c r="H509" i="7"/>
  <c r="I509" i="7" s="1"/>
  <c r="H541" i="7"/>
  <c r="I541" i="7" s="1"/>
  <c r="K563" i="7"/>
  <c r="H539" i="7"/>
  <c r="I539" i="7" s="1"/>
  <c r="H519" i="7"/>
  <c r="I519" i="7" s="1"/>
  <c r="K572" i="7"/>
  <c r="K556" i="7"/>
  <c r="K540" i="7"/>
  <c r="K524" i="7"/>
  <c r="K508" i="7"/>
  <c r="H550" i="7"/>
  <c r="I550" i="7" s="1"/>
  <c r="H528" i="7"/>
  <c r="I528" i="7" s="1"/>
  <c r="H506" i="7"/>
  <c r="I506" i="7" s="1"/>
  <c r="K554" i="7"/>
  <c r="K533" i="7"/>
  <c r="K511" i="7"/>
  <c r="H545" i="7"/>
  <c r="I545" i="7" s="1"/>
  <c r="H524" i="7"/>
  <c r="I524" i="7" s="1"/>
  <c r="K571" i="7"/>
  <c r="K550" i="7"/>
  <c r="K529" i="7"/>
  <c r="K507" i="7"/>
  <c r="H525" i="7"/>
  <c r="I525" i="7" s="1"/>
  <c r="K551" i="7"/>
  <c r="K509" i="7"/>
  <c r="H521" i="7"/>
  <c r="I521" i="7" s="1"/>
  <c r="K547" i="7"/>
  <c r="K505" i="7"/>
  <c r="K553" i="7"/>
  <c r="H568" i="7"/>
  <c r="I568" i="7" s="1"/>
  <c r="K521" i="7"/>
  <c r="K557" i="7"/>
  <c r="K567" i="7"/>
  <c r="H535" i="7"/>
  <c r="I535" i="7" s="1"/>
  <c r="H547" i="7"/>
  <c r="I547" i="7" s="1"/>
  <c r="H543" i="7"/>
  <c r="I543" i="7" s="1"/>
  <c r="H560" i="7"/>
  <c r="I560" i="7" s="1"/>
  <c r="H551" i="7"/>
  <c r="I551" i="7" s="1"/>
  <c r="H562" i="7"/>
  <c r="I562" i="7" s="1"/>
  <c r="H566" i="7"/>
  <c r="I566" i="7" s="1"/>
  <c r="H571" i="7"/>
  <c r="I571" i="7" s="1"/>
  <c r="H572" i="7"/>
  <c r="I572" i="7" s="1"/>
  <c r="H552" i="7"/>
  <c r="I552" i="7" s="1"/>
  <c r="H557" i="7"/>
  <c r="I557" i="7" s="1"/>
  <c r="H561" i="7"/>
  <c r="I561" i="7" s="1"/>
  <c r="H555" i="7"/>
  <c r="I555" i="7" s="1"/>
  <c r="H548" i="7"/>
  <c r="I548" i="7" s="1"/>
  <c r="H567" i="7"/>
  <c r="I567" i="7" s="1"/>
  <c r="V587" i="28"/>
  <c r="U588" i="28"/>
  <c r="J588" i="28"/>
  <c r="O589" i="28"/>
  <c r="E589" i="28"/>
  <c r="P589" i="28"/>
  <c r="M589" i="28"/>
  <c r="N589" i="28"/>
  <c r="V588" i="28"/>
  <c r="Y591" i="28"/>
  <c r="B590" i="28"/>
  <c r="F590" i="28" s="1"/>
  <c r="Q587" i="28"/>
  <c r="R587" i="28" s="1"/>
  <c r="T587" i="28" s="1"/>
  <c r="L587" i="28"/>
  <c r="I589" i="28" l="1"/>
  <c r="W589" i="28"/>
  <c r="K589" i="28"/>
  <c r="N590" i="28"/>
  <c r="P590" i="28"/>
  <c r="E590" i="28"/>
  <c r="M590" i="28"/>
  <c r="O590" i="28"/>
  <c r="J589" i="28"/>
  <c r="U589" i="28"/>
  <c r="V589" i="28" s="1"/>
  <c r="B591" i="28"/>
  <c r="F591" i="28" s="1"/>
  <c r="Y592" i="28"/>
  <c r="Q588" i="28"/>
  <c r="R588" i="28" s="1"/>
  <c r="T588" i="28" s="1"/>
  <c r="L588" i="28"/>
  <c r="I590" i="28" l="1"/>
  <c r="W590" i="28"/>
  <c r="K590" i="28"/>
  <c r="Q589" i="28"/>
  <c r="R589" i="28" s="1"/>
  <c r="T589" i="28" s="1"/>
  <c r="L589" i="28"/>
  <c r="J590" i="28"/>
  <c r="U590" i="28"/>
  <c r="Y593" i="28"/>
  <c r="B592" i="28"/>
  <c r="F592" i="28" s="1"/>
  <c r="V590" i="28"/>
  <c r="E591" i="28"/>
  <c r="N591" i="28"/>
  <c r="P591" i="28"/>
  <c r="M591" i="28"/>
  <c r="O591" i="28"/>
  <c r="I591" i="28" l="1"/>
  <c r="J591" i="28" s="1"/>
  <c r="W591" i="28"/>
  <c r="K591" i="28"/>
  <c r="U591" i="28"/>
  <c r="Q590" i="28"/>
  <c r="R590" i="28" s="1"/>
  <c r="T590" i="28" s="1"/>
  <c r="L590" i="28"/>
  <c r="N592" i="28"/>
  <c r="E592" i="28"/>
  <c r="P592" i="28"/>
  <c r="M592" i="28"/>
  <c r="O592" i="28"/>
  <c r="Y594" i="28"/>
  <c r="B593" i="28"/>
  <c r="F593" i="28" s="1"/>
  <c r="I592" i="28" l="1"/>
  <c r="W592" i="28"/>
  <c r="V591" i="28"/>
  <c r="K592" i="28"/>
  <c r="P593" i="28"/>
  <c r="M593" i="28"/>
  <c r="E593" i="28"/>
  <c r="N593" i="28"/>
  <c r="O593" i="28"/>
  <c r="Y595" i="28"/>
  <c r="B594" i="28"/>
  <c r="F594" i="28" s="1"/>
  <c r="J592" i="28"/>
  <c r="U592" i="28"/>
  <c r="Q591" i="28"/>
  <c r="R591" i="28" s="1"/>
  <c r="T591" i="28" s="1"/>
  <c r="L591" i="28"/>
  <c r="I593" i="28" l="1"/>
  <c r="W593" i="28"/>
  <c r="K593" i="28"/>
  <c r="V592" i="28"/>
  <c r="J593" i="28"/>
  <c r="U593" i="28"/>
  <c r="Q592" i="28"/>
  <c r="R592" i="28" s="1"/>
  <c r="T592" i="28" s="1"/>
  <c r="L592" i="28"/>
  <c r="P594" i="28"/>
  <c r="M594" i="28"/>
  <c r="N594" i="28"/>
  <c r="E594" i="28"/>
  <c r="O594" i="28"/>
  <c r="V593" i="28"/>
  <c r="Y596" i="28"/>
  <c r="B595" i="28"/>
  <c r="F595" i="28" s="1"/>
  <c r="I594" i="28" l="1"/>
  <c r="W594" i="28"/>
  <c r="K594" i="28"/>
  <c r="N595" i="28"/>
  <c r="O595" i="28"/>
  <c r="M595" i="28"/>
  <c r="P595" i="28"/>
  <c r="E595" i="28"/>
  <c r="B596" i="28"/>
  <c r="F596" i="28" s="1"/>
  <c r="Y597" i="28"/>
  <c r="J594" i="28"/>
  <c r="U594" i="28"/>
  <c r="L593" i="28"/>
  <c r="Q593" i="28"/>
  <c r="R593" i="28" s="1"/>
  <c r="T593" i="28" s="1"/>
  <c r="I595" i="28" l="1"/>
  <c r="W595" i="28"/>
  <c r="K595" i="28"/>
  <c r="V594" i="28"/>
  <c r="O596" i="28"/>
  <c r="M596" i="28"/>
  <c r="P596" i="28"/>
  <c r="N596" i="28"/>
  <c r="E596" i="28"/>
  <c r="J595" i="28"/>
  <c r="U595" i="28"/>
  <c r="V595" i="28" s="1"/>
  <c r="Q594" i="28"/>
  <c r="R594" i="28" s="1"/>
  <c r="T594" i="28" s="1"/>
  <c r="L594" i="28"/>
  <c r="B597" i="28"/>
  <c r="F597" i="28" s="1"/>
  <c r="Y598" i="28"/>
  <c r="I596" i="28" l="1"/>
  <c r="J596" i="28" s="1"/>
  <c r="W596" i="28"/>
  <c r="K596" i="28"/>
  <c r="U596" i="28"/>
  <c r="B598" i="28"/>
  <c r="F598" i="28" s="1"/>
  <c r="Y599" i="28"/>
  <c r="E597" i="28"/>
  <c r="M597" i="28"/>
  <c r="N597" i="28"/>
  <c r="P597" i="28"/>
  <c r="O597" i="28"/>
  <c r="L595" i="28"/>
  <c r="Q595" i="28"/>
  <c r="R595" i="28" s="1"/>
  <c r="T595" i="28" s="1"/>
  <c r="I597" i="28" l="1"/>
  <c r="W597" i="28"/>
  <c r="K597" i="28"/>
  <c r="V596" i="28"/>
  <c r="O598" i="28"/>
  <c r="M598" i="28"/>
  <c r="E598" i="28"/>
  <c r="N598" i="28"/>
  <c r="P598" i="28"/>
  <c r="U597" i="28"/>
  <c r="J597" i="28"/>
  <c r="Q596" i="28"/>
  <c r="R596" i="28" s="1"/>
  <c r="T596" i="28" s="1"/>
  <c r="L596" i="28"/>
  <c r="Y600" i="28"/>
  <c r="B599" i="28"/>
  <c r="F599" i="28" s="1"/>
  <c r="I598" i="28" l="1"/>
  <c r="W598" i="28"/>
  <c r="K598" i="28"/>
  <c r="V597" i="28"/>
  <c r="B600" i="28"/>
  <c r="F600" i="28" s="1"/>
  <c r="Y601" i="28"/>
  <c r="N599" i="28"/>
  <c r="O599" i="28"/>
  <c r="E599" i="28"/>
  <c r="M599" i="28"/>
  <c r="P599" i="28"/>
  <c r="L597" i="28"/>
  <c r="Q597" i="28"/>
  <c r="R597" i="28" s="1"/>
  <c r="T597" i="28" s="1"/>
  <c r="J598" i="28"/>
  <c r="U598" i="28"/>
  <c r="V598" i="28" s="1"/>
  <c r="I599" i="28" l="1"/>
  <c r="J599" i="28" s="1"/>
  <c r="W599" i="28"/>
  <c r="K599" i="28"/>
  <c r="U599" i="28"/>
  <c r="M600" i="28"/>
  <c r="N600" i="28"/>
  <c r="O600" i="28"/>
  <c r="E600" i="28"/>
  <c r="P600" i="28"/>
  <c r="B601" i="28"/>
  <c r="F601" i="28" s="1"/>
  <c r="Y602" i="28"/>
  <c r="Q598" i="28"/>
  <c r="R598" i="28" s="1"/>
  <c r="T598" i="28" s="1"/>
  <c r="L598" i="28"/>
  <c r="I600" i="28" l="1"/>
  <c r="W600" i="28"/>
  <c r="K600" i="28"/>
  <c r="V599" i="28"/>
  <c r="O601" i="28"/>
  <c r="M601" i="28"/>
  <c r="N601" i="28"/>
  <c r="E601" i="28"/>
  <c r="P601" i="28"/>
  <c r="Q599" i="28"/>
  <c r="R599" i="28" s="1"/>
  <c r="T599" i="28" s="1"/>
  <c r="L599" i="28"/>
  <c r="Y603" i="28"/>
  <c r="B602" i="28"/>
  <c r="F602" i="28" s="1"/>
  <c r="J600" i="28"/>
  <c r="U600" i="28"/>
  <c r="I601" i="28" l="1"/>
  <c r="W601" i="28"/>
  <c r="K601" i="28"/>
  <c r="V600" i="28"/>
  <c r="B603" i="28"/>
  <c r="F603" i="28" s="1"/>
  <c r="Y604" i="28"/>
  <c r="N602" i="28"/>
  <c r="E602" i="28"/>
  <c r="O602" i="28"/>
  <c r="M602" i="28"/>
  <c r="P602" i="28"/>
  <c r="J601" i="28"/>
  <c r="U601" i="28"/>
  <c r="V601" i="28" s="1"/>
  <c r="Q600" i="28"/>
  <c r="R600" i="28" s="1"/>
  <c r="T600" i="28" s="1"/>
  <c r="L600" i="28"/>
  <c r="I602" i="28" l="1"/>
  <c r="W602" i="28"/>
  <c r="K602" i="28"/>
  <c r="N603" i="28"/>
  <c r="O603" i="28"/>
  <c r="P603" i="28"/>
  <c r="M603" i="28"/>
  <c r="E603" i="28"/>
  <c r="Q601" i="28"/>
  <c r="R601" i="28" s="1"/>
  <c r="T601" i="28" s="1"/>
  <c r="L601" i="28"/>
  <c r="Y605" i="28"/>
  <c r="B604" i="28"/>
  <c r="F604" i="28" s="1"/>
  <c r="U602" i="28"/>
  <c r="J602" i="28"/>
  <c r="I603" i="28" l="1"/>
  <c r="W603" i="28"/>
  <c r="K603" i="28"/>
  <c r="V602" i="28"/>
  <c r="M604" i="28"/>
  <c r="N604" i="28"/>
  <c r="O604" i="28"/>
  <c r="P604" i="28"/>
  <c r="E604" i="28"/>
  <c r="U603" i="28"/>
  <c r="J603" i="28"/>
  <c r="Q602" i="28"/>
  <c r="R602" i="28" s="1"/>
  <c r="T602" i="28" s="1"/>
  <c r="L602" i="28"/>
  <c r="B605" i="28"/>
  <c r="F605" i="28" s="1"/>
  <c r="Y606" i="28"/>
  <c r="I604" i="28" l="1"/>
  <c r="W604" i="28"/>
  <c r="K604" i="28"/>
  <c r="V603" i="28"/>
  <c r="J604" i="28"/>
  <c r="U604" i="28"/>
  <c r="B606" i="28"/>
  <c r="F606" i="28" s="1"/>
  <c r="Y607" i="28"/>
  <c r="Q603" i="28"/>
  <c r="R603" i="28" s="1"/>
  <c r="T603" i="28" s="1"/>
  <c r="L603" i="28"/>
  <c r="O605" i="28"/>
  <c r="E605" i="28"/>
  <c r="N605" i="28"/>
  <c r="M605" i="28"/>
  <c r="P605" i="28"/>
  <c r="I605" i="28" l="1"/>
  <c r="W605" i="28"/>
  <c r="V604" i="28"/>
  <c r="K605" i="28"/>
  <c r="E606" i="28"/>
  <c r="P606" i="28"/>
  <c r="M606" i="28"/>
  <c r="N606" i="28"/>
  <c r="O606" i="28"/>
  <c r="J605" i="28"/>
  <c r="U605" i="28"/>
  <c r="B607" i="28"/>
  <c r="F607" i="28" s="1"/>
  <c r="Y608" i="28"/>
  <c r="L604" i="28"/>
  <c r="Q604" i="28"/>
  <c r="R604" i="28" s="1"/>
  <c r="T604" i="28" s="1"/>
  <c r="I606" i="28" l="1"/>
  <c r="W606" i="28"/>
  <c r="K606" i="28"/>
  <c r="V605" i="28"/>
  <c r="L605" i="28"/>
  <c r="Q605" i="28"/>
  <c r="R605" i="28" s="1"/>
  <c r="T605" i="28" s="1"/>
  <c r="Y609" i="28"/>
  <c r="B608" i="28"/>
  <c r="F608" i="28" s="1"/>
  <c r="O607" i="28"/>
  <c r="M607" i="28"/>
  <c r="N607" i="28"/>
  <c r="P607" i="28"/>
  <c r="E607" i="28"/>
  <c r="U606" i="28"/>
  <c r="J606" i="28"/>
  <c r="I607" i="28" l="1"/>
  <c r="W607" i="28"/>
  <c r="K607" i="28"/>
  <c r="Q606" i="28"/>
  <c r="R606" i="28" s="1"/>
  <c r="T606" i="28" s="1"/>
  <c r="L606" i="28"/>
  <c r="U607" i="28"/>
  <c r="J607" i="28"/>
  <c r="B609" i="28"/>
  <c r="F609" i="28" s="1"/>
  <c r="Y610" i="28"/>
  <c r="M608" i="28"/>
  <c r="N608" i="28"/>
  <c r="O608" i="28"/>
  <c r="P608" i="28"/>
  <c r="E608" i="28"/>
  <c r="V606" i="28"/>
  <c r="I608" i="28" l="1"/>
  <c r="W608" i="28"/>
  <c r="K608" i="28"/>
  <c r="V607" i="28"/>
  <c r="U608" i="28"/>
  <c r="J608" i="28"/>
  <c r="Y611" i="28"/>
  <c r="B610" i="28"/>
  <c r="F610" i="28" s="1"/>
  <c r="E609" i="28"/>
  <c r="P609" i="28"/>
  <c r="M609" i="28"/>
  <c r="N609" i="28"/>
  <c r="O609" i="28"/>
  <c r="Q607" i="28"/>
  <c r="R607" i="28" s="1"/>
  <c r="T607" i="28" s="1"/>
  <c r="L607" i="28"/>
  <c r="I609" i="28" l="1"/>
  <c r="W609" i="28"/>
  <c r="K609" i="28"/>
  <c r="V608" i="28"/>
  <c r="Q608" i="28"/>
  <c r="R608" i="28" s="1"/>
  <c r="T608" i="28" s="1"/>
  <c r="L608" i="28"/>
  <c r="J609" i="28"/>
  <c r="U609" i="28"/>
  <c r="Y612" i="28"/>
  <c r="B611" i="28"/>
  <c r="F611" i="28" s="1"/>
  <c r="O610" i="28"/>
  <c r="P610" i="28"/>
  <c r="M610" i="28"/>
  <c r="N610" i="28"/>
  <c r="E610" i="28"/>
  <c r="I610" i="28" l="1"/>
  <c r="W610" i="28"/>
  <c r="K610" i="28"/>
  <c r="V609" i="28"/>
  <c r="L609" i="28"/>
  <c r="Q609" i="28"/>
  <c r="R609" i="28" s="1"/>
  <c r="T609" i="28" s="1"/>
  <c r="O611" i="28"/>
  <c r="E611" i="28"/>
  <c r="M611" i="28"/>
  <c r="P611" i="28"/>
  <c r="N611" i="28"/>
  <c r="J610" i="28"/>
  <c r="U610" i="28"/>
  <c r="B612" i="28"/>
  <c r="F612" i="28" s="1"/>
  <c r="Y613" i="28"/>
  <c r="I611" i="28" l="1"/>
  <c r="W611" i="28"/>
  <c r="K611" i="28"/>
  <c r="V610" i="28"/>
  <c r="Q610" i="28"/>
  <c r="R610" i="28" s="1"/>
  <c r="T610" i="28" s="1"/>
  <c r="L610" i="28"/>
  <c r="M612" i="28"/>
  <c r="O612" i="28"/>
  <c r="P612" i="28"/>
  <c r="N612" i="28"/>
  <c r="E612" i="28"/>
  <c r="Y614" i="28"/>
  <c r="B613" i="28"/>
  <c r="F613" i="28" s="1"/>
  <c r="U611" i="28"/>
  <c r="J611" i="28"/>
  <c r="I612" i="28" l="1"/>
  <c r="W612" i="28"/>
  <c r="K612" i="28"/>
  <c r="N613" i="28"/>
  <c r="E613" i="28"/>
  <c r="O613" i="28"/>
  <c r="M613" i="28"/>
  <c r="P613" i="28"/>
  <c r="Y615" i="28"/>
  <c r="B614" i="28"/>
  <c r="F614" i="28" s="1"/>
  <c r="L611" i="28"/>
  <c r="Q611" i="28"/>
  <c r="R611" i="28" s="1"/>
  <c r="T611" i="28" s="1"/>
  <c r="U612" i="28"/>
  <c r="V612" i="28" s="1"/>
  <c r="J612" i="28"/>
  <c r="V611" i="28"/>
  <c r="I613" i="28" l="1"/>
  <c r="J613" i="28" s="1"/>
  <c r="W613" i="28"/>
  <c r="K613" i="28"/>
  <c r="U613" i="28"/>
  <c r="Y616" i="28"/>
  <c r="B615" i="28"/>
  <c r="F615" i="28" s="1"/>
  <c r="Q612" i="28"/>
  <c r="R612" i="28" s="1"/>
  <c r="T612" i="28" s="1"/>
  <c r="L612" i="28"/>
  <c r="E614" i="28"/>
  <c r="M614" i="28"/>
  <c r="N614" i="28"/>
  <c r="O614" i="28"/>
  <c r="P614" i="28"/>
  <c r="I614" i="28" l="1"/>
  <c r="W614" i="28"/>
  <c r="K614" i="28"/>
  <c r="V613" i="28"/>
  <c r="U614" i="28"/>
  <c r="J614" i="28"/>
  <c r="Y617" i="28"/>
  <c r="B616" i="28"/>
  <c r="F616" i="28" s="1"/>
  <c r="L613" i="28"/>
  <c r="Q613" i="28"/>
  <c r="R613" i="28" s="1"/>
  <c r="T613" i="28" s="1"/>
  <c r="M615" i="28"/>
  <c r="E615" i="28"/>
  <c r="N615" i="28"/>
  <c r="P615" i="28"/>
  <c r="O615" i="28"/>
  <c r="I615" i="28" l="1"/>
  <c r="W615" i="28"/>
  <c r="V614" i="28"/>
  <c r="K615" i="28"/>
  <c r="E616" i="28"/>
  <c r="M616" i="28"/>
  <c r="P616" i="28"/>
  <c r="O616" i="28"/>
  <c r="N616" i="28"/>
  <c r="U615" i="28"/>
  <c r="J615" i="28"/>
  <c r="B617" i="28"/>
  <c r="F617" i="28" s="1"/>
  <c r="Y618" i="28"/>
  <c r="Q614" i="28"/>
  <c r="R614" i="28" s="1"/>
  <c r="T614" i="28" s="1"/>
  <c r="L614" i="28"/>
  <c r="V615" i="28" l="1"/>
  <c r="I616" i="28"/>
  <c r="W616" i="28"/>
  <c r="K616" i="28"/>
  <c r="M617" i="28"/>
  <c r="E617" i="28"/>
  <c r="N617" i="28"/>
  <c r="O617" i="28"/>
  <c r="P617" i="28"/>
  <c r="B618" i="28"/>
  <c r="F618" i="28" s="1"/>
  <c r="Y619" i="28"/>
  <c r="Q615" i="28"/>
  <c r="R615" i="28" s="1"/>
  <c r="T615" i="28" s="1"/>
  <c r="L615" i="28"/>
  <c r="J616" i="28"/>
  <c r="U616" i="28"/>
  <c r="I617" i="28" l="1"/>
  <c r="W617" i="28"/>
  <c r="K617" i="28"/>
  <c r="V616" i="28"/>
  <c r="B619" i="28"/>
  <c r="F619" i="28" s="1"/>
  <c r="Y620" i="28"/>
  <c r="J617" i="28"/>
  <c r="U617" i="28"/>
  <c r="L616" i="28"/>
  <c r="Q616" i="28"/>
  <c r="R616" i="28" s="1"/>
  <c r="T616" i="28" s="1"/>
  <c r="N618" i="28"/>
  <c r="O618" i="28"/>
  <c r="M618" i="28"/>
  <c r="P618" i="28"/>
  <c r="E618" i="28"/>
  <c r="I618" i="28" l="1"/>
  <c r="W618" i="28"/>
  <c r="V617" i="28"/>
  <c r="K618" i="28"/>
  <c r="Y621" i="28"/>
  <c r="B620" i="28"/>
  <c r="F620" i="28" s="1"/>
  <c r="Q617" i="28"/>
  <c r="R617" i="28" s="1"/>
  <c r="T617" i="28" s="1"/>
  <c r="L617" i="28"/>
  <c r="J618" i="28"/>
  <c r="U618" i="28"/>
  <c r="P619" i="28"/>
  <c r="E619" i="28"/>
  <c r="M619" i="28"/>
  <c r="N619" i="28"/>
  <c r="O619" i="28"/>
  <c r="I619" i="28" l="1"/>
  <c r="W619" i="28"/>
  <c r="K619" i="28"/>
  <c r="V618" i="28"/>
  <c r="M620" i="28"/>
  <c r="O620" i="28"/>
  <c r="N620" i="28"/>
  <c r="E620" i="28"/>
  <c r="P620" i="28"/>
  <c r="J619" i="28"/>
  <c r="U619" i="28"/>
  <c r="Q618" i="28"/>
  <c r="R618" i="28" s="1"/>
  <c r="T618" i="28" s="1"/>
  <c r="L618" i="28"/>
  <c r="B621" i="28"/>
  <c r="F621" i="28" s="1"/>
  <c r="Y622" i="28"/>
  <c r="I620" i="28" l="1"/>
  <c r="W620" i="28"/>
  <c r="K620" i="28"/>
  <c r="Y623" i="28"/>
  <c r="B622" i="28"/>
  <c r="F622" i="28" s="1"/>
  <c r="J620" i="28"/>
  <c r="U620" i="28"/>
  <c r="E621" i="28"/>
  <c r="M621" i="28"/>
  <c r="N621" i="28"/>
  <c r="P621" i="28"/>
  <c r="O621" i="28"/>
  <c r="L619" i="28"/>
  <c r="Q619" i="28"/>
  <c r="R619" i="28" s="1"/>
  <c r="T619" i="28" s="1"/>
  <c r="V619" i="28"/>
  <c r="I621" i="28" l="1"/>
  <c r="W621" i="28"/>
  <c r="K621" i="28"/>
  <c r="E622" i="28"/>
  <c r="P622" i="28"/>
  <c r="M622" i="28"/>
  <c r="O622" i="28"/>
  <c r="N622" i="28"/>
  <c r="L620" i="28"/>
  <c r="Q620" i="28"/>
  <c r="R620" i="28" s="1"/>
  <c r="T620" i="28" s="1"/>
  <c r="J621" i="28"/>
  <c r="U621" i="28"/>
  <c r="V621" i="28" s="1"/>
  <c r="Y624" i="28"/>
  <c r="B623" i="28"/>
  <c r="F623" i="28" s="1"/>
  <c r="V620" i="28"/>
  <c r="I622" i="28" l="1"/>
  <c r="W622" i="28"/>
  <c r="K622" i="28"/>
  <c r="B624" i="28"/>
  <c r="F624" i="28" s="1"/>
  <c r="Y625" i="28"/>
  <c r="L621" i="28"/>
  <c r="Q621" i="28"/>
  <c r="R621" i="28" s="1"/>
  <c r="T621" i="28" s="1"/>
  <c r="P623" i="28"/>
  <c r="E623" i="28"/>
  <c r="M623" i="28"/>
  <c r="O623" i="28"/>
  <c r="N623" i="28"/>
  <c r="J622" i="28"/>
  <c r="U622" i="28"/>
  <c r="I623" i="28" l="1"/>
  <c r="J623" i="28" s="1"/>
  <c r="W623" i="28"/>
  <c r="K623" i="28"/>
  <c r="U623" i="28"/>
  <c r="L622" i="28"/>
  <c r="Q622" i="28"/>
  <c r="R622" i="28" s="1"/>
  <c r="T622" i="28" s="1"/>
  <c r="B625" i="28"/>
  <c r="F625" i="28" s="1"/>
  <c r="Y626" i="28"/>
  <c r="V622" i="28"/>
  <c r="M624" i="28"/>
  <c r="O624" i="28"/>
  <c r="N624" i="28"/>
  <c r="E624" i="28"/>
  <c r="P624" i="28"/>
  <c r="I624" i="28" l="1"/>
  <c r="W624" i="28"/>
  <c r="V623" i="28"/>
  <c r="K624" i="28"/>
  <c r="U624" i="28"/>
  <c r="J624" i="28"/>
  <c r="B626" i="28"/>
  <c r="F626" i="28" s="1"/>
  <c r="Y627" i="28"/>
  <c r="N625" i="28"/>
  <c r="P625" i="28"/>
  <c r="M625" i="28"/>
  <c r="O625" i="28"/>
  <c r="E625" i="28"/>
  <c r="Q623" i="28"/>
  <c r="R623" i="28" s="1"/>
  <c r="T623" i="28" s="1"/>
  <c r="L623" i="28"/>
  <c r="I625" i="28" l="1"/>
  <c r="J625" i="28" s="1"/>
  <c r="W625" i="28"/>
  <c r="V624" i="28"/>
  <c r="K625" i="28"/>
  <c r="Y628" i="28"/>
  <c r="B627" i="28"/>
  <c r="F627" i="28" s="1"/>
  <c r="U625" i="28"/>
  <c r="P626" i="28"/>
  <c r="N626" i="28"/>
  <c r="E626" i="28"/>
  <c r="M626" i="28"/>
  <c r="O626" i="28"/>
  <c r="L624" i="28"/>
  <c r="Q624" i="28"/>
  <c r="R624" i="28" s="1"/>
  <c r="T624" i="28" s="1"/>
  <c r="I626" i="28" l="1"/>
  <c r="W626" i="28"/>
  <c r="K626" i="28"/>
  <c r="U626" i="28"/>
  <c r="J626" i="28"/>
  <c r="Q625" i="28"/>
  <c r="R625" i="28" s="1"/>
  <c r="T625" i="28" s="1"/>
  <c r="L625" i="28"/>
  <c r="M627" i="28"/>
  <c r="P627" i="28"/>
  <c r="N627" i="28"/>
  <c r="O627" i="28"/>
  <c r="E627" i="28"/>
  <c r="V626" i="28"/>
  <c r="B628" i="28"/>
  <c r="F628" i="28" s="1"/>
  <c r="Y629" i="28"/>
  <c r="V625" i="28"/>
  <c r="I627" i="28" l="1"/>
  <c r="W627" i="28"/>
  <c r="K627" i="28"/>
  <c r="U627" i="28"/>
  <c r="J627" i="28"/>
  <c r="B629" i="28"/>
  <c r="F629" i="28" s="1"/>
  <c r="Y630" i="28"/>
  <c r="Q626" i="28"/>
  <c r="R626" i="28" s="1"/>
  <c r="T626" i="28" s="1"/>
  <c r="L626" i="28"/>
  <c r="E628" i="28"/>
  <c r="P628" i="28"/>
  <c r="M628" i="28"/>
  <c r="N628" i="28"/>
  <c r="O628" i="28"/>
  <c r="I628" i="28" l="1"/>
  <c r="W628" i="28"/>
  <c r="V627" i="28"/>
  <c r="K628" i="28"/>
  <c r="O629" i="28"/>
  <c r="M629" i="28"/>
  <c r="E629" i="28"/>
  <c r="N629" i="28"/>
  <c r="P629" i="28"/>
  <c r="Q627" i="28"/>
  <c r="R627" i="28" s="1"/>
  <c r="T627" i="28" s="1"/>
  <c r="L627" i="28"/>
  <c r="U628" i="28"/>
  <c r="J628" i="28"/>
  <c r="B630" i="28"/>
  <c r="F630" i="28" s="1"/>
  <c r="Y631" i="28"/>
  <c r="I629" i="28" l="1"/>
  <c r="W629" i="28"/>
  <c r="K629" i="28"/>
  <c r="V628" i="28"/>
  <c r="Y632" i="28"/>
  <c r="B631" i="28"/>
  <c r="F631" i="28" s="1"/>
  <c r="M630" i="28"/>
  <c r="N630" i="28"/>
  <c r="P630" i="28"/>
  <c r="O630" i="28"/>
  <c r="E630" i="28"/>
  <c r="L628" i="28"/>
  <c r="Q628" i="28"/>
  <c r="R628" i="28" s="1"/>
  <c r="T628" i="28" s="1"/>
  <c r="J629" i="28"/>
  <c r="U629" i="28"/>
  <c r="V629" i="28" s="1"/>
  <c r="I630" i="28" l="1"/>
  <c r="W630" i="28"/>
  <c r="K630" i="28"/>
  <c r="L629" i="28"/>
  <c r="Q629" i="28"/>
  <c r="R629" i="28" s="1"/>
  <c r="T629" i="28" s="1"/>
  <c r="P631" i="28"/>
  <c r="E631" i="28"/>
  <c r="M631" i="28"/>
  <c r="N631" i="28"/>
  <c r="O631" i="28"/>
  <c r="J630" i="28"/>
  <c r="U630" i="28"/>
  <c r="B632" i="28"/>
  <c r="F632" i="28" s="1"/>
  <c r="Y633" i="28"/>
  <c r="I631" i="28" l="1"/>
  <c r="W631" i="28"/>
  <c r="K631" i="28"/>
  <c r="V630" i="28"/>
  <c r="B633" i="28"/>
  <c r="F633" i="28" s="1"/>
  <c r="Y634" i="28"/>
  <c r="N632" i="28"/>
  <c r="P632" i="28"/>
  <c r="O632" i="28"/>
  <c r="M632" i="28"/>
  <c r="E632" i="28"/>
  <c r="Q630" i="28"/>
  <c r="R630" i="28" s="1"/>
  <c r="T630" i="28" s="1"/>
  <c r="L630" i="28"/>
  <c r="U631" i="28"/>
  <c r="J631" i="28"/>
  <c r="I632" i="28" l="1"/>
  <c r="W632" i="28"/>
  <c r="K632" i="28"/>
  <c r="V631" i="28"/>
  <c r="Y635" i="28"/>
  <c r="B634" i="28"/>
  <c r="F634" i="28" s="1"/>
  <c r="L631" i="28"/>
  <c r="Q631" i="28"/>
  <c r="R631" i="28" s="1"/>
  <c r="T631" i="28" s="1"/>
  <c r="J632" i="28"/>
  <c r="U632" i="28"/>
  <c r="M633" i="28"/>
  <c r="E633" i="28"/>
  <c r="N633" i="28"/>
  <c r="P633" i="28"/>
  <c r="O633" i="28"/>
  <c r="I633" i="28" l="1"/>
  <c r="W633" i="28"/>
  <c r="K633" i="28"/>
  <c r="V632" i="28"/>
  <c r="U633" i="28"/>
  <c r="J633" i="28"/>
  <c r="M634" i="28"/>
  <c r="E634" i="28"/>
  <c r="N634" i="28"/>
  <c r="P634" i="28"/>
  <c r="O634" i="28"/>
  <c r="Q632" i="28"/>
  <c r="R632" i="28" s="1"/>
  <c r="T632" i="28" s="1"/>
  <c r="L632" i="28"/>
  <c r="B635" i="28"/>
  <c r="F635" i="28" s="1"/>
  <c r="Y636" i="28"/>
  <c r="I634" i="28" l="1"/>
  <c r="W634" i="28"/>
  <c r="V633" i="28"/>
  <c r="K634" i="28"/>
  <c r="Q633" i="28"/>
  <c r="R633" i="28" s="1"/>
  <c r="T633" i="28" s="1"/>
  <c r="L633" i="28"/>
  <c r="B636" i="28"/>
  <c r="F636" i="28" s="1"/>
  <c r="Y637" i="28"/>
  <c r="E635" i="28"/>
  <c r="P635" i="28"/>
  <c r="M635" i="28"/>
  <c r="N635" i="28"/>
  <c r="O635" i="28"/>
  <c r="J634" i="28"/>
  <c r="U634" i="28"/>
  <c r="I635" i="28" l="1"/>
  <c r="W635" i="28"/>
  <c r="K635" i="28"/>
  <c r="V634" i="28"/>
  <c r="B637" i="28"/>
  <c r="F637" i="28" s="1"/>
  <c r="Y638" i="28"/>
  <c r="M636" i="28"/>
  <c r="E636" i="28"/>
  <c r="N636" i="28"/>
  <c r="P636" i="28"/>
  <c r="O636" i="28"/>
  <c r="Q634" i="28"/>
  <c r="R634" i="28" s="1"/>
  <c r="T634" i="28" s="1"/>
  <c r="L634" i="28"/>
  <c r="J635" i="28"/>
  <c r="U635" i="28"/>
  <c r="I636" i="28" l="1"/>
  <c r="W636" i="28"/>
  <c r="K636" i="28"/>
  <c r="V635" i="28"/>
  <c r="B638" i="28"/>
  <c r="F638" i="28" s="1"/>
  <c r="Y639" i="28"/>
  <c r="L635" i="28"/>
  <c r="Q635" i="28"/>
  <c r="R635" i="28" s="1"/>
  <c r="T635" i="28" s="1"/>
  <c r="U636" i="28"/>
  <c r="J636" i="28"/>
  <c r="P637" i="28"/>
  <c r="M637" i="28"/>
  <c r="E637" i="28"/>
  <c r="N637" i="28"/>
  <c r="O637" i="28"/>
  <c r="I637" i="28" l="1"/>
  <c r="W637" i="28"/>
  <c r="K637" i="28"/>
  <c r="V636" i="28"/>
  <c r="L636" i="28"/>
  <c r="Q636" i="28"/>
  <c r="R636" i="28" s="1"/>
  <c r="T636" i="28" s="1"/>
  <c r="Y640" i="28"/>
  <c r="B639" i="28"/>
  <c r="F639" i="28" s="1"/>
  <c r="U637" i="28"/>
  <c r="V637" i="28" s="1"/>
  <c r="J637" i="28"/>
  <c r="M638" i="28"/>
  <c r="O638" i="28"/>
  <c r="E638" i="28"/>
  <c r="N638" i="28"/>
  <c r="P638" i="28"/>
  <c r="I638" i="28" l="1"/>
  <c r="W638" i="28"/>
  <c r="K638" i="28"/>
  <c r="M639" i="28"/>
  <c r="N639" i="28"/>
  <c r="P639" i="28"/>
  <c r="E639" i="28"/>
  <c r="O639" i="28"/>
  <c r="B640" i="28"/>
  <c r="F640" i="28" s="1"/>
  <c r="Y641" i="28"/>
  <c r="J638" i="28"/>
  <c r="U638" i="28"/>
  <c r="L637" i="28"/>
  <c r="Q637" i="28"/>
  <c r="R637" i="28" s="1"/>
  <c r="T637" i="28" s="1"/>
  <c r="I639" i="28" l="1"/>
  <c r="W639" i="28"/>
  <c r="K639" i="28"/>
  <c r="V638" i="28"/>
  <c r="L638" i="28"/>
  <c r="Q638" i="28"/>
  <c r="R638" i="28" s="1"/>
  <c r="T638" i="28" s="1"/>
  <c r="B641" i="28"/>
  <c r="F641" i="28" s="1"/>
  <c r="Y642" i="28"/>
  <c r="M640" i="28"/>
  <c r="E640" i="28"/>
  <c r="O640" i="28"/>
  <c r="P640" i="28"/>
  <c r="N640" i="28"/>
  <c r="U639" i="28"/>
  <c r="J639" i="28"/>
  <c r="I640" i="28" l="1"/>
  <c r="W640" i="28"/>
  <c r="K640" i="28"/>
  <c r="V639" i="28"/>
  <c r="U640" i="28"/>
  <c r="J640" i="28"/>
  <c r="E641" i="28"/>
  <c r="N641" i="28"/>
  <c r="P641" i="28"/>
  <c r="M641" i="28"/>
  <c r="O641" i="28"/>
  <c r="L639" i="28"/>
  <c r="Q639" i="28"/>
  <c r="R639" i="28" s="1"/>
  <c r="T639" i="28" s="1"/>
  <c r="Y643" i="28"/>
  <c r="B642" i="28"/>
  <c r="F642" i="28" s="1"/>
  <c r="I641" i="28" l="1"/>
  <c r="W641" i="28"/>
  <c r="K641" i="28"/>
  <c r="V640" i="28"/>
  <c r="Y644" i="28"/>
  <c r="B643" i="28"/>
  <c r="F643" i="28" s="1"/>
  <c r="L640" i="28"/>
  <c r="Q640" i="28"/>
  <c r="R640" i="28" s="1"/>
  <c r="T640" i="28" s="1"/>
  <c r="N642" i="28"/>
  <c r="E642" i="28"/>
  <c r="O642" i="28"/>
  <c r="M642" i="28"/>
  <c r="P642" i="28"/>
  <c r="U641" i="28"/>
  <c r="J641" i="28"/>
  <c r="I642" i="28" l="1"/>
  <c r="W642" i="28"/>
  <c r="K642" i="28"/>
  <c r="Q641" i="28"/>
  <c r="R641" i="28" s="1"/>
  <c r="T641" i="28" s="1"/>
  <c r="L641" i="28"/>
  <c r="J642" i="28"/>
  <c r="U642" i="28"/>
  <c r="M643" i="28"/>
  <c r="P643" i="28"/>
  <c r="N643" i="28"/>
  <c r="E643" i="28"/>
  <c r="O643" i="28"/>
  <c r="B644" i="28"/>
  <c r="F644" i="28" s="1"/>
  <c r="Y645" i="28"/>
  <c r="V641" i="28"/>
  <c r="I643" i="28" l="1"/>
  <c r="W643" i="28"/>
  <c r="K643" i="28"/>
  <c r="V642" i="28"/>
  <c r="Q642" i="28"/>
  <c r="R642" i="28" s="1"/>
  <c r="T642" i="28" s="1"/>
  <c r="L642" i="28"/>
  <c r="Y646" i="28"/>
  <c r="B645" i="28"/>
  <c r="F645" i="28" s="1"/>
  <c r="N644" i="28"/>
  <c r="P644" i="28"/>
  <c r="E644" i="28"/>
  <c r="M644" i="28"/>
  <c r="O644" i="28"/>
  <c r="J643" i="28"/>
  <c r="U643" i="28"/>
  <c r="I644" i="28" l="1"/>
  <c r="W644" i="28"/>
  <c r="K644" i="28"/>
  <c r="Q643" i="28"/>
  <c r="R643" i="28" s="1"/>
  <c r="T643" i="28" s="1"/>
  <c r="L643" i="28"/>
  <c r="J644" i="28"/>
  <c r="U644" i="28"/>
  <c r="P645" i="28"/>
  <c r="M645" i="28"/>
  <c r="O645" i="28"/>
  <c r="E645" i="28"/>
  <c r="N645" i="28"/>
  <c r="V644" i="28"/>
  <c r="Y647" i="28"/>
  <c r="B646" i="28"/>
  <c r="F646" i="28" s="1"/>
  <c r="V643" i="28"/>
  <c r="I645" i="28" l="1"/>
  <c r="W645" i="28"/>
  <c r="K645" i="28"/>
  <c r="Q644" i="28"/>
  <c r="R644" i="28" s="1"/>
  <c r="T644" i="28" s="1"/>
  <c r="L644" i="28"/>
  <c r="O646" i="28"/>
  <c r="E646" i="28"/>
  <c r="M646" i="28"/>
  <c r="P646" i="28"/>
  <c r="N646" i="28"/>
  <c r="Y648" i="28"/>
  <c r="B647" i="28"/>
  <c r="F647" i="28" s="1"/>
  <c r="U645" i="28"/>
  <c r="J645" i="28"/>
  <c r="I646" i="28" l="1"/>
  <c r="W646" i="28"/>
  <c r="K646" i="28"/>
  <c r="V645" i="28"/>
  <c r="B648" i="28"/>
  <c r="F648" i="28" s="1"/>
  <c r="Y649" i="28"/>
  <c r="M647" i="28"/>
  <c r="N647" i="28"/>
  <c r="E647" i="28"/>
  <c r="O647" i="28"/>
  <c r="P647" i="28"/>
  <c r="L645" i="28"/>
  <c r="Q645" i="28"/>
  <c r="R645" i="28" s="1"/>
  <c r="T645" i="28" s="1"/>
  <c r="U646" i="28"/>
  <c r="J646" i="28"/>
  <c r="I647" i="28" l="1"/>
  <c r="W647" i="28"/>
  <c r="V646" i="28"/>
  <c r="K647" i="28"/>
  <c r="L646" i="28"/>
  <c r="Q646" i="28"/>
  <c r="R646" i="28" s="1"/>
  <c r="T646" i="28" s="1"/>
  <c r="J647" i="28"/>
  <c r="U647" i="28"/>
  <c r="V647" i="28" s="1"/>
  <c r="Y650" i="28"/>
  <c r="B649" i="28"/>
  <c r="F649" i="28" s="1"/>
  <c r="N648" i="28"/>
  <c r="E648" i="28"/>
  <c r="P648" i="28"/>
  <c r="O648" i="28"/>
  <c r="M648" i="28"/>
  <c r="I648" i="28" l="1"/>
  <c r="W648" i="28"/>
  <c r="K648" i="28"/>
  <c r="L647" i="28"/>
  <c r="Q647" i="28"/>
  <c r="R647" i="28" s="1"/>
  <c r="T647" i="28" s="1"/>
  <c r="E649" i="28"/>
  <c r="M649" i="28"/>
  <c r="O649" i="28"/>
  <c r="N649" i="28"/>
  <c r="P649" i="28"/>
  <c r="B650" i="28"/>
  <c r="F650" i="28" s="1"/>
  <c r="Y651" i="28"/>
  <c r="J648" i="28"/>
  <c r="U648" i="28"/>
  <c r="I649" i="28" l="1"/>
  <c r="W649" i="28"/>
  <c r="K649" i="28"/>
  <c r="V648" i="28"/>
  <c r="L648" i="28"/>
  <c r="Q648" i="28"/>
  <c r="R648" i="28" s="1"/>
  <c r="T648" i="28" s="1"/>
  <c r="Y652" i="28"/>
  <c r="B651" i="28"/>
  <c r="F651" i="28" s="1"/>
  <c r="J649" i="28"/>
  <c r="U649" i="28"/>
  <c r="N650" i="28"/>
  <c r="P650" i="28"/>
  <c r="O650" i="28"/>
  <c r="M650" i="28"/>
  <c r="E650" i="28"/>
  <c r="V649" i="28"/>
  <c r="I650" i="28" l="1"/>
  <c r="W650" i="28"/>
  <c r="K650" i="28"/>
  <c r="P651" i="28"/>
  <c r="M651" i="28"/>
  <c r="N651" i="28"/>
  <c r="O651" i="28"/>
  <c r="E651" i="28"/>
  <c r="B652" i="28"/>
  <c r="F652" i="28" s="1"/>
  <c r="Y653" i="28"/>
  <c r="U650" i="28"/>
  <c r="J650" i="28"/>
  <c r="L649" i="28"/>
  <c r="Q649" i="28"/>
  <c r="R649" i="28" s="1"/>
  <c r="T649" i="28" s="1"/>
  <c r="I651" i="28" l="1"/>
  <c r="W651" i="28"/>
  <c r="K651" i="28"/>
  <c r="L650" i="28"/>
  <c r="Q650" i="28"/>
  <c r="R650" i="28" s="1"/>
  <c r="T650" i="28" s="1"/>
  <c r="U651" i="28"/>
  <c r="J651" i="28"/>
  <c r="B653" i="28"/>
  <c r="F653" i="28" s="1"/>
  <c r="Y654" i="28"/>
  <c r="N652" i="28"/>
  <c r="P652" i="28"/>
  <c r="E652" i="28"/>
  <c r="O652" i="28"/>
  <c r="M652" i="28"/>
  <c r="V650" i="28"/>
  <c r="I652" i="28" l="1"/>
  <c r="W652" i="28"/>
  <c r="V651" i="28"/>
  <c r="K652" i="28"/>
  <c r="Q651" i="28"/>
  <c r="R651" i="28" s="1"/>
  <c r="T651" i="28" s="1"/>
  <c r="L651" i="28"/>
  <c r="U652" i="28"/>
  <c r="J652" i="28"/>
  <c r="Y655" i="28"/>
  <c r="B654" i="28"/>
  <c r="F654" i="28" s="1"/>
  <c r="N653" i="28"/>
  <c r="O653" i="28"/>
  <c r="E653" i="28"/>
  <c r="P653" i="28"/>
  <c r="M653" i="28"/>
  <c r="I653" i="28" l="1"/>
  <c r="W653" i="28"/>
  <c r="V652" i="28"/>
  <c r="K653" i="28"/>
  <c r="Q652" i="28"/>
  <c r="R652" i="28" s="1"/>
  <c r="T652" i="28" s="1"/>
  <c r="L652" i="28"/>
  <c r="U653" i="28"/>
  <c r="J653" i="28"/>
  <c r="E654" i="28"/>
  <c r="M654" i="28"/>
  <c r="O654" i="28"/>
  <c r="N654" i="28"/>
  <c r="P654" i="28"/>
  <c r="Y656" i="28"/>
  <c r="B655" i="28"/>
  <c r="F655" i="28" s="1"/>
  <c r="I654" i="28" l="1"/>
  <c r="W654" i="28"/>
  <c r="K654" i="28"/>
  <c r="V653" i="28"/>
  <c r="U654" i="28"/>
  <c r="J654" i="28"/>
  <c r="N655" i="28"/>
  <c r="P655" i="28"/>
  <c r="O655" i="28"/>
  <c r="E655" i="28"/>
  <c r="M655" i="28"/>
  <c r="B656" i="28"/>
  <c r="F656" i="28" s="1"/>
  <c r="Y657" i="28"/>
  <c r="Q653" i="28"/>
  <c r="R653" i="28" s="1"/>
  <c r="T653" i="28" s="1"/>
  <c r="L653" i="28"/>
  <c r="I655" i="28" l="1"/>
  <c r="W655" i="28"/>
  <c r="V654" i="28"/>
  <c r="K655" i="28"/>
  <c r="Y658" i="28"/>
  <c r="B657" i="28"/>
  <c r="F657" i="28" s="1"/>
  <c r="N656" i="28"/>
  <c r="O656" i="28"/>
  <c r="E656" i="28"/>
  <c r="M656" i="28"/>
  <c r="P656" i="28"/>
  <c r="Q654" i="28"/>
  <c r="R654" i="28" s="1"/>
  <c r="T654" i="28" s="1"/>
  <c r="L654" i="28"/>
  <c r="J655" i="28"/>
  <c r="U655" i="28"/>
  <c r="I656" i="28" l="1"/>
  <c r="W656" i="28"/>
  <c r="K656" i="28"/>
  <c r="V655" i="28"/>
  <c r="Q655" i="28"/>
  <c r="R655" i="28" s="1"/>
  <c r="T655" i="28" s="1"/>
  <c r="L655" i="28"/>
  <c r="J656" i="28"/>
  <c r="U656" i="28"/>
  <c r="O657" i="28"/>
  <c r="E657" i="28"/>
  <c r="N657" i="28"/>
  <c r="P657" i="28"/>
  <c r="M657" i="28"/>
  <c r="B658" i="28"/>
  <c r="F658" i="28" s="1"/>
  <c r="Y659" i="28"/>
  <c r="I657" i="28" l="1"/>
  <c r="J657" i="28" s="1"/>
  <c r="W657" i="28"/>
  <c r="K657" i="28"/>
  <c r="V656" i="28"/>
  <c r="Q656" i="28"/>
  <c r="R656" i="28" s="1"/>
  <c r="T656" i="28" s="1"/>
  <c r="L656" i="28"/>
  <c r="U657" i="28"/>
  <c r="Y660" i="28"/>
  <c r="B659" i="28"/>
  <c r="F659" i="28" s="1"/>
  <c r="P658" i="28"/>
  <c r="M658" i="28"/>
  <c r="O658" i="28"/>
  <c r="N658" i="28"/>
  <c r="E658" i="28"/>
  <c r="V657" i="28"/>
  <c r="I658" i="28" l="1"/>
  <c r="W658" i="28"/>
  <c r="K658" i="28"/>
  <c r="L657" i="28"/>
  <c r="Q657" i="28"/>
  <c r="R657" i="28" s="1"/>
  <c r="T657" i="28" s="1"/>
  <c r="E659" i="28"/>
  <c r="M659" i="28"/>
  <c r="O659" i="28"/>
  <c r="N659" i="28"/>
  <c r="P659" i="28"/>
  <c r="U658" i="28"/>
  <c r="J658" i="28"/>
  <c r="Y661" i="28"/>
  <c r="B660" i="28"/>
  <c r="F660" i="28" s="1"/>
  <c r="I659" i="28" l="1"/>
  <c r="W659" i="28"/>
  <c r="K659" i="28"/>
  <c r="V658" i="28"/>
  <c r="B661" i="28"/>
  <c r="F661" i="28" s="1"/>
  <c r="Y662" i="28"/>
  <c r="J659" i="28"/>
  <c r="U659" i="28"/>
  <c r="Q658" i="28"/>
  <c r="R658" i="28" s="1"/>
  <c r="T658" i="28" s="1"/>
  <c r="L658" i="28"/>
  <c r="N660" i="28"/>
  <c r="E660" i="28"/>
  <c r="P660" i="28"/>
  <c r="M660" i="28"/>
  <c r="O660" i="28"/>
  <c r="I660" i="28" l="1"/>
  <c r="W660" i="28"/>
  <c r="K660" i="28"/>
  <c r="V659" i="28"/>
  <c r="L659" i="28"/>
  <c r="Q659" i="28"/>
  <c r="R659" i="28" s="1"/>
  <c r="T659" i="28" s="1"/>
  <c r="Y663" i="28"/>
  <c r="B662" i="28"/>
  <c r="F662" i="28" s="1"/>
  <c r="J660" i="28"/>
  <c r="U660" i="28"/>
  <c r="N661" i="28"/>
  <c r="P661" i="28"/>
  <c r="O661" i="28"/>
  <c r="E661" i="28"/>
  <c r="M661" i="28"/>
  <c r="I661" i="28" l="1"/>
  <c r="W661" i="28"/>
  <c r="K661" i="28"/>
  <c r="B663" i="28"/>
  <c r="F663" i="28" s="1"/>
  <c r="Y664" i="28"/>
  <c r="J661" i="28"/>
  <c r="U661" i="28"/>
  <c r="M575" i="7"/>
  <c r="M577" i="7" s="1"/>
  <c r="M579" i="7" s="1"/>
  <c r="M581" i="7" s="1"/>
  <c r="H640" i="7" s="1"/>
  <c r="I640" i="7" s="1"/>
  <c r="V660" i="28"/>
  <c r="Q660" i="28"/>
  <c r="R660" i="28" s="1"/>
  <c r="T660" i="28" s="1"/>
  <c r="L660" i="28"/>
  <c r="V661" i="28"/>
  <c r="M662" i="28"/>
  <c r="P662" i="28"/>
  <c r="N662" i="28"/>
  <c r="E662" i="28"/>
  <c r="O662" i="28"/>
  <c r="I662" i="28" l="1"/>
  <c r="W662" i="28"/>
  <c r="H609" i="7"/>
  <c r="I609" i="7" s="1"/>
  <c r="H579" i="7"/>
  <c r="I579" i="7" s="1"/>
  <c r="K628" i="7"/>
  <c r="K582" i="7"/>
  <c r="K606" i="7"/>
  <c r="K619" i="7"/>
  <c r="K587" i="7"/>
  <c r="H611" i="7"/>
  <c r="I611" i="7" s="1"/>
  <c r="H630" i="7"/>
  <c r="I630" i="7" s="1"/>
  <c r="K598" i="7"/>
  <c r="H601" i="7"/>
  <c r="I601" i="7" s="1"/>
  <c r="H643" i="7"/>
  <c r="I643" i="7" s="1"/>
  <c r="K623" i="7"/>
  <c r="H585" i="7"/>
  <c r="I585" i="7" s="1"/>
  <c r="K596" i="7"/>
  <c r="K602" i="7"/>
  <c r="K579" i="7"/>
  <c r="H590" i="7"/>
  <c r="I590" i="7" s="1"/>
  <c r="K632" i="7"/>
  <c r="H595" i="7"/>
  <c r="I595" i="7" s="1"/>
  <c r="H581" i="7"/>
  <c r="I581" i="7" s="1"/>
  <c r="K576" i="7"/>
  <c r="H617" i="7"/>
  <c r="I617" i="7" s="1"/>
  <c r="H586" i="7"/>
  <c r="I586" i="7" s="1"/>
  <c r="K595" i="7"/>
  <c r="H582" i="7"/>
  <c r="I582" i="7" s="1"/>
  <c r="H639" i="7"/>
  <c r="I639" i="7" s="1"/>
  <c r="K624" i="7"/>
  <c r="K594" i="7"/>
  <c r="K635" i="7"/>
  <c r="H635" i="7"/>
  <c r="I635" i="7" s="1"/>
  <c r="K634" i="7"/>
  <c r="K643" i="7"/>
  <c r="K612" i="7"/>
  <c r="K578" i="7"/>
  <c r="K630" i="7"/>
  <c r="H618" i="7"/>
  <c r="I618" i="7" s="1"/>
  <c r="K603" i="7"/>
  <c r="H613" i="7"/>
  <c r="I613" i="7" s="1"/>
  <c r="K577" i="7"/>
  <c r="H641" i="7"/>
  <c r="I641" i="7" s="1"/>
  <c r="H591" i="7"/>
  <c r="I591" i="7" s="1"/>
  <c r="K610" i="7"/>
  <c r="H619" i="7"/>
  <c r="I619" i="7" s="1"/>
  <c r="K631" i="7"/>
  <c r="K615" i="7"/>
  <c r="H605" i="7"/>
  <c r="I605" i="7" s="1"/>
  <c r="H626" i="7"/>
  <c r="I626" i="7" s="1"/>
  <c r="H583" i="7"/>
  <c r="I583" i="7" s="1"/>
  <c r="K636" i="7"/>
  <c r="H589" i="7"/>
  <c r="I589" i="7" s="1"/>
  <c r="H610" i="7"/>
  <c r="I610" i="7" s="1"/>
  <c r="H631" i="7"/>
  <c r="I631" i="7" s="1"/>
  <c r="K585" i="7"/>
  <c r="K607" i="7"/>
  <c r="K591" i="7"/>
  <c r="K622" i="7"/>
  <c r="K580" i="7"/>
  <c r="H622" i="7"/>
  <c r="I622" i="7" s="1"/>
  <c r="K614" i="7"/>
  <c r="H602" i="7"/>
  <c r="I602" i="7" s="1"/>
  <c r="K586" i="7"/>
  <c r="K640" i="7"/>
  <c r="H629" i="7"/>
  <c r="I629" i="7" s="1"/>
  <c r="K588" i="7"/>
  <c r="K616" i="7"/>
  <c r="H575" i="7"/>
  <c r="I575" i="7" s="1"/>
  <c r="H603" i="7"/>
  <c r="I603" i="7" s="1"/>
  <c r="H633" i="7"/>
  <c r="I633" i="7" s="1"/>
  <c r="K590" i="7"/>
  <c r="K618" i="7"/>
  <c r="H577" i="7"/>
  <c r="I577" i="7" s="1"/>
  <c r="H606" i="7"/>
  <c r="I606" i="7" s="1"/>
  <c r="H634" i="7"/>
  <c r="I634" i="7" s="1"/>
  <c r="K604" i="7"/>
  <c r="K626" i="7"/>
  <c r="H578" i="7"/>
  <c r="I578" i="7" s="1"/>
  <c r="H599" i="7"/>
  <c r="I599" i="7" s="1"/>
  <c r="H621" i="7"/>
  <c r="I621" i="7" s="1"/>
  <c r="H642" i="7"/>
  <c r="I642" i="7" s="1"/>
  <c r="K625" i="7"/>
  <c r="H623" i="7"/>
  <c r="I623" i="7" s="1"/>
  <c r="H607" i="7"/>
  <c r="I607" i="7" s="1"/>
  <c r="K592" i="7"/>
  <c r="H638" i="7"/>
  <c r="I638" i="7" s="1"/>
  <c r="H593" i="7"/>
  <c r="I593" i="7" s="1"/>
  <c r="K600" i="7"/>
  <c r="H587" i="7"/>
  <c r="I587" i="7" s="1"/>
  <c r="K575" i="7"/>
  <c r="K627" i="7"/>
  <c r="H614" i="7"/>
  <c r="I614" i="7" s="1"/>
  <c r="K583" i="7"/>
  <c r="K608" i="7"/>
  <c r="K638" i="7"/>
  <c r="H597" i="7"/>
  <c r="I597" i="7" s="1"/>
  <c r="H625" i="7"/>
  <c r="I625" i="7" s="1"/>
  <c r="K584" i="7"/>
  <c r="K611" i="7"/>
  <c r="K639" i="7"/>
  <c r="H598" i="7"/>
  <c r="I598" i="7" s="1"/>
  <c r="H627" i="7"/>
  <c r="I627" i="7" s="1"/>
  <c r="K599" i="7"/>
  <c r="K620" i="7"/>
  <c r="K642" i="7"/>
  <c r="H594" i="7"/>
  <c r="I594" i="7" s="1"/>
  <c r="H615" i="7"/>
  <c r="I615" i="7" s="1"/>
  <c r="H637" i="7"/>
  <c r="I637" i="7" s="1"/>
  <c r="K601" i="7"/>
  <c r="K597" i="7"/>
  <c r="K581" i="7"/>
  <c r="K617" i="7"/>
  <c r="K593" i="7"/>
  <c r="K613" i="7"/>
  <c r="H600" i="7"/>
  <c r="I600" i="7" s="1"/>
  <c r="K589" i="7"/>
  <c r="K609" i="7"/>
  <c r="K633" i="7"/>
  <c r="K641" i="7"/>
  <c r="H580" i="7"/>
  <c r="I580" i="7" s="1"/>
  <c r="K629" i="7"/>
  <c r="H576" i="7"/>
  <c r="I576" i="7" s="1"/>
  <c r="K605" i="7"/>
  <c r="K621" i="7"/>
  <c r="K637" i="7"/>
  <c r="H584" i="7"/>
  <c r="I584" i="7" s="1"/>
  <c r="H588" i="7"/>
  <c r="I588" i="7" s="1"/>
  <c r="H596" i="7"/>
  <c r="I596" i="7" s="1"/>
  <c r="H592" i="7"/>
  <c r="I592" i="7" s="1"/>
  <c r="H612" i="7"/>
  <c r="I612" i="7" s="1"/>
  <c r="H604" i="7"/>
  <c r="I604" i="7" s="1"/>
  <c r="H636" i="7"/>
  <c r="I636" i="7" s="1"/>
  <c r="H616" i="7"/>
  <c r="I616" i="7" s="1"/>
  <c r="H628" i="7"/>
  <c r="I628" i="7" s="1"/>
  <c r="H632" i="7"/>
  <c r="I632" i="7" s="1"/>
  <c r="K662" i="28"/>
  <c r="H620" i="7"/>
  <c r="I620" i="7" s="1"/>
  <c r="H608" i="7"/>
  <c r="I608" i="7" s="1"/>
  <c r="H624" i="7"/>
  <c r="I624" i="7" s="1"/>
  <c r="U662" i="28"/>
  <c r="J662" i="28"/>
  <c r="Q661" i="28"/>
  <c r="R661" i="28" s="1"/>
  <c r="T661" i="28" s="1"/>
  <c r="L661" i="28"/>
  <c r="Y665" i="28"/>
  <c r="B664" i="28"/>
  <c r="F664" i="28" s="1"/>
  <c r="M663" i="28"/>
  <c r="E663" i="28"/>
  <c r="N663" i="28"/>
  <c r="O663" i="28"/>
  <c r="P663" i="28"/>
  <c r="I663" i="28" l="1"/>
  <c r="W663" i="28"/>
  <c r="V662" i="28"/>
  <c r="K663" i="28"/>
  <c r="Y666" i="28"/>
  <c r="B665" i="28"/>
  <c r="F665" i="28" s="1"/>
  <c r="L662" i="28"/>
  <c r="Q662" i="28"/>
  <c r="R662" i="28" s="1"/>
  <c r="T662" i="28" s="1"/>
  <c r="M664" i="28"/>
  <c r="P664" i="28"/>
  <c r="N664" i="28"/>
  <c r="E664" i="28"/>
  <c r="O664" i="28"/>
  <c r="J663" i="28"/>
  <c r="U663" i="28"/>
  <c r="I664" i="28" l="1"/>
  <c r="W664" i="28"/>
  <c r="K664" i="28"/>
  <c r="V663" i="28"/>
  <c r="M665" i="28"/>
  <c r="O665" i="28"/>
  <c r="N665" i="28"/>
  <c r="P665" i="28"/>
  <c r="E665" i="28"/>
  <c r="U664" i="28"/>
  <c r="J664" i="28"/>
  <c r="B666" i="28"/>
  <c r="F666" i="28" s="1"/>
  <c r="Y667" i="28"/>
  <c r="Q663" i="28"/>
  <c r="R663" i="28" s="1"/>
  <c r="T663" i="28" s="1"/>
  <c r="L663" i="28"/>
  <c r="I665" i="28" l="1"/>
  <c r="W665" i="28"/>
  <c r="K665" i="28"/>
  <c r="B667" i="28"/>
  <c r="F667" i="28" s="1"/>
  <c r="Y668" i="28"/>
  <c r="J665" i="28"/>
  <c r="U665" i="28"/>
  <c r="V665" i="28" s="1"/>
  <c r="N666" i="28"/>
  <c r="O666" i="28"/>
  <c r="E666" i="28"/>
  <c r="P666" i="28"/>
  <c r="M666" i="28"/>
  <c r="Q664" i="28"/>
  <c r="R664" i="28" s="1"/>
  <c r="T664" i="28" s="1"/>
  <c r="L664" i="28"/>
  <c r="V664" i="28"/>
  <c r="I666" i="28" l="1"/>
  <c r="W666" i="28"/>
  <c r="K666" i="28"/>
  <c r="L665" i="28"/>
  <c r="Q665" i="28"/>
  <c r="R665" i="28" s="1"/>
  <c r="T665" i="28" s="1"/>
  <c r="B668" i="28"/>
  <c r="F668" i="28" s="1"/>
  <c r="Y669" i="28"/>
  <c r="E667" i="28"/>
  <c r="M667" i="28"/>
  <c r="O667" i="28"/>
  <c r="N667" i="28"/>
  <c r="P667" i="28"/>
  <c r="J666" i="28"/>
  <c r="U666" i="28"/>
  <c r="I667" i="28" l="1"/>
  <c r="W667" i="28"/>
  <c r="K667" i="28"/>
  <c r="V666" i="28"/>
  <c r="Y670" i="28"/>
  <c r="B669" i="28"/>
  <c r="F669" i="28" s="1"/>
  <c r="N668" i="28"/>
  <c r="O668" i="28"/>
  <c r="E668" i="28"/>
  <c r="M668" i="28"/>
  <c r="P668" i="28"/>
  <c r="J667" i="28"/>
  <c r="U667" i="28"/>
  <c r="Q666" i="28"/>
  <c r="R666" i="28" s="1"/>
  <c r="T666" i="28" s="1"/>
  <c r="L666" i="28"/>
  <c r="I668" i="28" l="1"/>
  <c r="W668" i="28"/>
  <c r="K668" i="28"/>
  <c r="V667" i="28"/>
  <c r="U668" i="28"/>
  <c r="J668" i="28"/>
  <c r="Q667" i="28"/>
  <c r="R667" i="28" s="1"/>
  <c r="T667" i="28" s="1"/>
  <c r="L667" i="28"/>
  <c r="P669" i="28"/>
  <c r="M669" i="28"/>
  <c r="N669" i="28"/>
  <c r="O669" i="28"/>
  <c r="E669" i="28"/>
  <c r="V668" i="28"/>
  <c r="Y671" i="28"/>
  <c r="B670" i="28"/>
  <c r="F670" i="28" s="1"/>
  <c r="I669" i="28" l="1"/>
  <c r="W669" i="28"/>
  <c r="K669" i="28"/>
  <c r="M670" i="28"/>
  <c r="O670" i="28"/>
  <c r="N670" i="28"/>
  <c r="P670" i="28"/>
  <c r="E670" i="28"/>
  <c r="Y672" i="28"/>
  <c r="B671" i="28"/>
  <c r="F671" i="28" s="1"/>
  <c r="J669" i="28"/>
  <c r="U669" i="28"/>
  <c r="Q668" i="28"/>
  <c r="R668" i="28" s="1"/>
  <c r="T668" i="28" s="1"/>
  <c r="L668" i="28"/>
  <c r="I670" i="28" l="1"/>
  <c r="W670" i="28"/>
  <c r="K670" i="28"/>
  <c r="V669" i="28"/>
  <c r="B672" i="28"/>
  <c r="F672" i="28" s="1"/>
  <c r="Y673" i="28"/>
  <c r="J670" i="28"/>
  <c r="U670" i="28"/>
  <c r="L669" i="28"/>
  <c r="Q669" i="28"/>
  <c r="R669" i="28" s="1"/>
  <c r="T669" i="28" s="1"/>
  <c r="N671" i="28"/>
  <c r="P671" i="28"/>
  <c r="O671" i="28"/>
  <c r="M671" i="28"/>
  <c r="E671" i="28"/>
  <c r="I671" i="28" l="1"/>
  <c r="W671" i="28"/>
  <c r="K671" i="28"/>
  <c r="V670" i="28"/>
  <c r="Q670" i="28"/>
  <c r="R670" i="28" s="1"/>
  <c r="T670" i="28" s="1"/>
  <c r="L670" i="28"/>
  <c r="Y674" i="28"/>
  <c r="B673" i="28"/>
  <c r="F673" i="28" s="1"/>
  <c r="J671" i="28"/>
  <c r="U671" i="28"/>
  <c r="M672" i="28"/>
  <c r="P672" i="28"/>
  <c r="O672" i="28"/>
  <c r="E672" i="28"/>
  <c r="N672" i="28"/>
  <c r="V671" i="28"/>
  <c r="I672" i="28" l="1"/>
  <c r="W672" i="28"/>
  <c r="K672" i="28"/>
  <c r="M673" i="28"/>
  <c r="O673" i="28"/>
  <c r="N673" i="28"/>
  <c r="E673" i="28"/>
  <c r="P673" i="28"/>
  <c r="B674" i="28"/>
  <c r="F674" i="28" s="1"/>
  <c r="Y675" i="28"/>
  <c r="U672" i="28"/>
  <c r="J672" i="28"/>
  <c r="Q671" i="28"/>
  <c r="R671" i="28" s="1"/>
  <c r="T671" i="28" s="1"/>
  <c r="L671" i="28"/>
  <c r="I673" i="28" l="1"/>
  <c r="W673" i="28"/>
  <c r="K673" i="28"/>
  <c r="O674" i="28"/>
  <c r="M674" i="28"/>
  <c r="N674" i="28"/>
  <c r="P674" i="28"/>
  <c r="E674" i="28"/>
  <c r="Q672" i="28"/>
  <c r="R672" i="28" s="1"/>
  <c r="T672" i="28" s="1"/>
  <c r="L672" i="28"/>
  <c r="Y676" i="28"/>
  <c r="B675" i="28"/>
  <c r="F675" i="28" s="1"/>
  <c r="J673" i="28"/>
  <c r="U673" i="28"/>
  <c r="V673" i="28" s="1"/>
  <c r="V672" i="28"/>
  <c r="I674" i="28" l="1"/>
  <c r="W674" i="28"/>
  <c r="K674" i="28"/>
  <c r="U674" i="28"/>
  <c r="J674" i="28"/>
  <c r="E675" i="28"/>
  <c r="M675" i="28"/>
  <c r="O675" i="28"/>
  <c r="N675" i="28"/>
  <c r="P675" i="28"/>
  <c r="B676" i="28"/>
  <c r="F676" i="28" s="1"/>
  <c r="Y677" i="28"/>
  <c r="Q673" i="28"/>
  <c r="R673" i="28" s="1"/>
  <c r="T673" i="28" s="1"/>
  <c r="L673" i="28"/>
  <c r="I675" i="28" l="1"/>
  <c r="W675" i="28"/>
  <c r="K675" i="28"/>
  <c r="V674" i="28"/>
  <c r="U675" i="28"/>
  <c r="J675" i="28"/>
  <c r="B677" i="28"/>
  <c r="F677" i="28" s="1"/>
  <c r="Y678" i="28"/>
  <c r="O676" i="28"/>
  <c r="P676" i="28"/>
  <c r="E676" i="28"/>
  <c r="M676" i="28"/>
  <c r="N676" i="28"/>
  <c r="L674" i="28"/>
  <c r="Q674" i="28"/>
  <c r="R674" i="28" s="1"/>
  <c r="T674" i="28" s="1"/>
  <c r="I676" i="28" l="1"/>
  <c r="J676" i="28" s="1"/>
  <c r="W676" i="28"/>
  <c r="K676" i="28"/>
  <c r="V675" i="28"/>
  <c r="U676" i="28"/>
  <c r="O677" i="28"/>
  <c r="M677" i="28"/>
  <c r="E677" i="28"/>
  <c r="N677" i="28"/>
  <c r="P677" i="28"/>
  <c r="L675" i="28"/>
  <c r="Q675" i="28"/>
  <c r="R675" i="28" s="1"/>
  <c r="T675" i="28" s="1"/>
  <c r="B678" i="28"/>
  <c r="F678" i="28" s="1"/>
  <c r="Y679" i="28"/>
  <c r="V676" i="28" l="1"/>
  <c r="I677" i="28"/>
  <c r="W677" i="28"/>
  <c r="K677" i="28"/>
  <c r="Y680" i="28"/>
  <c r="B679" i="28"/>
  <c r="F679" i="28" s="1"/>
  <c r="N678" i="28"/>
  <c r="P678" i="28"/>
  <c r="O678" i="28"/>
  <c r="M678" i="28"/>
  <c r="E678" i="28"/>
  <c r="L676" i="28"/>
  <c r="Q676" i="28"/>
  <c r="R676" i="28" s="1"/>
  <c r="T676" i="28" s="1"/>
  <c r="U677" i="28"/>
  <c r="V677" i="28" s="1"/>
  <c r="J677" i="28"/>
  <c r="I678" i="28" l="1"/>
  <c r="W678" i="28"/>
  <c r="K678" i="28"/>
  <c r="L677" i="28"/>
  <c r="Q677" i="28"/>
  <c r="R677" i="28" s="1"/>
  <c r="T677" i="28" s="1"/>
  <c r="E679" i="28"/>
  <c r="M679" i="28"/>
  <c r="O679" i="28"/>
  <c r="P679" i="28"/>
  <c r="N679" i="28"/>
  <c r="J678" i="28"/>
  <c r="U678" i="28"/>
  <c r="V678" i="28" s="1"/>
  <c r="Y681" i="28"/>
  <c r="B680" i="28"/>
  <c r="F680" i="28" s="1"/>
  <c r="I679" i="28" l="1"/>
  <c r="W679" i="28"/>
  <c r="K679" i="28"/>
  <c r="U679" i="28"/>
  <c r="J679" i="28"/>
  <c r="Y682" i="28"/>
  <c r="B681" i="28"/>
  <c r="F681" i="28" s="1"/>
  <c r="M680" i="28"/>
  <c r="E680" i="28"/>
  <c r="N680" i="28"/>
  <c r="P680" i="28"/>
  <c r="O680" i="28"/>
  <c r="L678" i="28"/>
  <c r="Q678" i="28"/>
  <c r="R678" i="28" s="1"/>
  <c r="T678" i="28" s="1"/>
  <c r="I680" i="28" l="1"/>
  <c r="W680" i="28"/>
  <c r="V679" i="28"/>
  <c r="K680" i="28"/>
  <c r="J680" i="28"/>
  <c r="U680" i="28"/>
  <c r="Y683" i="28"/>
  <c r="B682" i="28"/>
  <c r="F682" i="28" s="1"/>
  <c r="L679" i="28"/>
  <c r="Q679" i="28"/>
  <c r="R679" i="28" s="1"/>
  <c r="T679" i="28" s="1"/>
  <c r="M681" i="28"/>
  <c r="N681" i="28"/>
  <c r="P681" i="28"/>
  <c r="O681" i="28"/>
  <c r="E681" i="28"/>
  <c r="I681" i="28" l="1"/>
  <c r="W681" i="28"/>
  <c r="V680" i="28"/>
  <c r="K681" i="28"/>
  <c r="M682" i="28"/>
  <c r="O682" i="28"/>
  <c r="P682" i="28"/>
  <c r="N682" i="28"/>
  <c r="E682" i="28"/>
  <c r="B683" i="28"/>
  <c r="F683" i="28" s="1"/>
  <c r="Y684" i="28"/>
  <c r="U681" i="28"/>
  <c r="V681" i="28" s="1"/>
  <c r="J681" i="28"/>
  <c r="Q680" i="28"/>
  <c r="R680" i="28" s="1"/>
  <c r="T680" i="28" s="1"/>
  <c r="L680" i="28"/>
  <c r="I682" i="28" l="1"/>
  <c r="W682" i="28"/>
  <c r="K682" i="28"/>
  <c r="Q681" i="28"/>
  <c r="R681" i="28" s="1"/>
  <c r="T681" i="28" s="1"/>
  <c r="L681" i="28"/>
  <c r="J682" i="28"/>
  <c r="U682" i="28"/>
  <c r="Y685" i="28"/>
  <c r="B684" i="28"/>
  <c r="F684" i="28" s="1"/>
  <c r="N683" i="28"/>
  <c r="P683" i="28"/>
  <c r="O683" i="28"/>
  <c r="M683" i="28"/>
  <c r="E683" i="28"/>
  <c r="I683" i="28" l="1"/>
  <c r="W683" i="28"/>
  <c r="K683" i="28"/>
  <c r="V682" i="28"/>
  <c r="L682" i="28"/>
  <c r="Q682" i="28"/>
  <c r="R682" i="28" s="1"/>
  <c r="T682" i="28" s="1"/>
  <c r="N684" i="28"/>
  <c r="O684" i="28"/>
  <c r="P684" i="28"/>
  <c r="M684" i="28"/>
  <c r="E684" i="28"/>
  <c r="Y686" i="28"/>
  <c r="B685" i="28"/>
  <c r="F685" i="28" s="1"/>
  <c r="J683" i="28"/>
  <c r="U683" i="28"/>
  <c r="I684" i="28" l="1"/>
  <c r="W684" i="28"/>
  <c r="K684" i="28"/>
  <c r="V683" i="28"/>
  <c r="B686" i="28"/>
  <c r="F686" i="28" s="1"/>
  <c r="Y687" i="28"/>
  <c r="Q683" i="28"/>
  <c r="R683" i="28" s="1"/>
  <c r="T683" i="28" s="1"/>
  <c r="L683" i="28"/>
  <c r="M685" i="28"/>
  <c r="P685" i="28"/>
  <c r="N685" i="28"/>
  <c r="O685" i="28"/>
  <c r="E685" i="28"/>
  <c r="J684" i="28"/>
  <c r="U684" i="28"/>
  <c r="V684" i="28" s="1"/>
  <c r="I685" i="28" l="1"/>
  <c r="W685" i="28"/>
  <c r="K685" i="28"/>
  <c r="Y688" i="28"/>
  <c r="B687" i="28"/>
  <c r="F687" i="28" s="1"/>
  <c r="U685" i="28"/>
  <c r="J685" i="28"/>
  <c r="O686" i="28"/>
  <c r="M686" i="28"/>
  <c r="P686" i="28"/>
  <c r="E686" i="28"/>
  <c r="N686" i="28"/>
  <c r="Q684" i="28"/>
  <c r="R684" i="28" s="1"/>
  <c r="T684" i="28" s="1"/>
  <c r="L684" i="28"/>
  <c r="I686" i="28" l="1"/>
  <c r="W686" i="28"/>
  <c r="K686" i="28"/>
  <c r="V685" i="28"/>
  <c r="Q685" i="28"/>
  <c r="R685" i="28" s="1"/>
  <c r="T685" i="28" s="1"/>
  <c r="L685" i="28"/>
  <c r="J686" i="28"/>
  <c r="U686" i="28"/>
  <c r="P687" i="28"/>
  <c r="E687" i="28"/>
  <c r="M687" i="28"/>
  <c r="O687" i="28"/>
  <c r="N687" i="28"/>
  <c r="V686" i="28"/>
  <c r="Y689" i="28"/>
  <c r="B688" i="28"/>
  <c r="F688" i="28" s="1"/>
  <c r="I687" i="28" l="1"/>
  <c r="W687" i="28"/>
  <c r="K687" i="28"/>
  <c r="O688" i="28"/>
  <c r="N688" i="28"/>
  <c r="P688" i="28"/>
  <c r="E688" i="28"/>
  <c r="M688" i="28"/>
  <c r="B689" i="28"/>
  <c r="F689" i="28" s="1"/>
  <c r="Y690" i="28"/>
  <c r="Q686" i="28"/>
  <c r="R686" i="28" s="1"/>
  <c r="T686" i="28" s="1"/>
  <c r="L686" i="28"/>
  <c r="J687" i="28"/>
  <c r="U687" i="28"/>
  <c r="V687" i="28" s="1"/>
  <c r="I688" i="28" l="1"/>
  <c r="W688" i="28"/>
  <c r="K688" i="28"/>
  <c r="Y691" i="28"/>
  <c r="B690" i="28"/>
  <c r="F690" i="28" s="1"/>
  <c r="Q687" i="28"/>
  <c r="R687" i="28" s="1"/>
  <c r="T687" i="28" s="1"/>
  <c r="L687" i="28"/>
  <c r="N689" i="28"/>
  <c r="E689" i="28"/>
  <c r="O689" i="28"/>
  <c r="P689" i="28"/>
  <c r="M689" i="28"/>
  <c r="U688" i="28"/>
  <c r="J688" i="28"/>
  <c r="I689" i="28" l="1"/>
  <c r="W689" i="28"/>
  <c r="K689" i="28"/>
  <c r="V688" i="28"/>
  <c r="L688" i="28"/>
  <c r="Q688" i="28"/>
  <c r="R688" i="28" s="1"/>
  <c r="T688" i="28" s="1"/>
  <c r="J689" i="28"/>
  <c r="U689" i="28"/>
  <c r="E690" i="28"/>
  <c r="O690" i="28"/>
  <c r="M690" i="28"/>
  <c r="P690" i="28"/>
  <c r="N690" i="28"/>
  <c r="Y692" i="28"/>
  <c r="B691" i="28"/>
  <c r="F691" i="28" s="1"/>
  <c r="I690" i="28" l="1"/>
  <c r="W690" i="28"/>
  <c r="K690" i="28"/>
  <c r="V689" i="28"/>
  <c r="L689" i="28"/>
  <c r="Q689" i="28"/>
  <c r="R689" i="28" s="1"/>
  <c r="T689" i="28" s="1"/>
  <c r="U690" i="28"/>
  <c r="V690" i="28" s="1"/>
  <c r="J690" i="28"/>
  <c r="E691" i="28"/>
  <c r="M691" i="28"/>
  <c r="N691" i="28"/>
  <c r="O691" i="28"/>
  <c r="P691" i="28"/>
  <c r="B692" i="28"/>
  <c r="F692" i="28" s="1"/>
  <c r="Y693" i="28"/>
  <c r="I691" i="28" l="1"/>
  <c r="J691" i="28" s="1"/>
  <c r="W691" i="28"/>
  <c r="K691" i="28"/>
  <c r="U691" i="28"/>
  <c r="B693" i="28"/>
  <c r="F693" i="28" s="1"/>
  <c r="Y694" i="28"/>
  <c r="M692" i="28"/>
  <c r="N692" i="28"/>
  <c r="P692" i="28"/>
  <c r="E692" i="28"/>
  <c r="O692" i="28"/>
  <c r="Q690" i="28"/>
  <c r="R690" i="28" s="1"/>
  <c r="T690" i="28" s="1"/>
  <c r="L690" i="28"/>
  <c r="I692" i="28" l="1"/>
  <c r="W692" i="28"/>
  <c r="V691" i="28"/>
  <c r="K692" i="28"/>
  <c r="Y695" i="28"/>
  <c r="B694" i="28"/>
  <c r="F694" i="28" s="1"/>
  <c r="M693" i="28"/>
  <c r="N693" i="28"/>
  <c r="P693" i="28"/>
  <c r="E693" i="28"/>
  <c r="O693" i="28"/>
  <c r="J692" i="28"/>
  <c r="U692" i="28"/>
  <c r="V692" i="28" s="1"/>
  <c r="L691" i="28"/>
  <c r="Q691" i="28"/>
  <c r="R691" i="28" s="1"/>
  <c r="T691" i="28" s="1"/>
  <c r="I693" i="28" l="1"/>
  <c r="J693" i="28" s="1"/>
  <c r="W693" i="28"/>
  <c r="K693" i="28"/>
  <c r="U693" i="28"/>
  <c r="Q692" i="28"/>
  <c r="R692" i="28" s="1"/>
  <c r="T692" i="28" s="1"/>
  <c r="L692" i="28"/>
  <c r="E694" i="28"/>
  <c r="M694" i="28"/>
  <c r="N694" i="28"/>
  <c r="O694" i="28"/>
  <c r="P694" i="28"/>
  <c r="B695" i="28"/>
  <c r="F695" i="28" s="1"/>
  <c r="Y696" i="28"/>
  <c r="I694" i="28" l="1"/>
  <c r="J694" i="28" s="1"/>
  <c r="W694" i="28"/>
  <c r="V693" i="28"/>
  <c r="K694" i="28"/>
  <c r="B696" i="28"/>
  <c r="F696" i="28" s="1"/>
  <c r="Y697" i="28"/>
  <c r="U694" i="28"/>
  <c r="O695" i="28"/>
  <c r="E695" i="28"/>
  <c r="M695" i="28"/>
  <c r="N695" i="28"/>
  <c r="P695" i="28"/>
  <c r="Q693" i="28"/>
  <c r="R693" i="28" s="1"/>
  <c r="T693" i="28" s="1"/>
  <c r="L693" i="28"/>
  <c r="I695" i="28" l="1"/>
  <c r="J695" i="28" s="1"/>
  <c r="W695" i="28"/>
  <c r="K695" i="28"/>
  <c r="U695" i="28"/>
  <c r="Q694" i="28"/>
  <c r="R694" i="28" s="1"/>
  <c r="T694" i="28" s="1"/>
  <c r="L694" i="28"/>
  <c r="Y698" i="28"/>
  <c r="B697" i="28"/>
  <c r="F697" i="28" s="1"/>
  <c r="O696" i="28"/>
  <c r="M696" i="28"/>
  <c r="E696" i="28"/>
  <c r="P696" i="28"/>
  <c r="N696" i="28"/>
  <c r="V694" i="28"/>
  <c r="I696" i="28" l="1"/>
  <c r="W696" i="28"/>
  <c r="V695" i="28"/>
  <c r="K696" i="28"/>
  <c r="E697" i="28"/>
  <c r="P697" i="28"/>
  <c r="N697" i="28"/>
  <c r="O697" i="28"/>
  <c r="M697" i="28"/>
  <c r="U696" i="28"/>
  <c r="J696" i="28"/>
  <c r="B698" i="28"/>
  <c r="F698" i="28" s="1"/>
  <c r="Y699" i="28"/>
  <c r="Q695" i="28"/>
  <c r="R695" i="28" s="1"/>
  <c r="T695" i="28" s="1"/>
  <c r="L695" i="28"/>
  <c r="I697" i="28" l="1"/>
  <c r="W697" i="28"/>
  <c r="K697" i="28"/>
  <c r="Y700" i="28"/>
  <c r="B699" i="28"/>
  <c r="F699" i="28" s="1"/>
  <c r="L696" i="28"/>
  <c r="Q696" i="28"/>
  <c r="R696" i="28" s="1"/>
  <c r="T696" i="28" s="1"/>
  <c r="M698" i="28"/>
  <c r="E698" i="28"/>
  <c r="N698" i="28"/>
  <c r="P698" i="28"/>
  <c r="O698" i="28"/>
  <c r="J697" i="28"/>
  <c r="U697" i="28"/>
  <c r="V696" i="28"/>
  <c r="I698" i="28" l="1"/>
  <c r="W698" i="28"/>
  <c r="K698" i="28"/>
  <c r="V697" i="28"/>
  <c r="U698" i="28"/>
  <c r="J698" i="28"/>
  <c r="N699" i="28"/>
  <c r="O699" i="28"/>
  <c r="M699" i="28"/>
  <c r="P699" i="28"/>
  <c r="E699" i="28"/>
  <c r="L697" i="28"/>
  <c r="Q697" i="28"/>
  <c r="R697" i="28" s="1"/>
  <c r="T697" i="28" s="1"/>
  <c r="B700" i="28"/>
  <c r="F700" i="28" s="1"/>
  <c r="Y701" i="28"/>
  <c r="I699" i="28" l="1"/>
  <c r="W699" i="28"/>
  <c r="K699" i="28"/>
  <c r="V698" i="28"/>
  <c r="B701" i="28"/>
  <c r="F701" i="28" s="1"/>
  <c r="Y702" i="28"/>
  <c r="M700" i="28"/>
  <c r="P700" i="28"/>
  <c r="N700" i="28"/>
  <c r="O700" i="28"/>
  <c r="E700" i="28"/>
  <c r="L698" i="28"/>
  <c r="Q698" i="28"/>
  <c r="R698" i="28" s="1"/>
  <c r="T698" i="28" s="1"/>
  <c r="U699" i="28"/>
  <c r="V699" i="28" s="1"/>
  <c r="J699" i="28"/>
  <c r="I700" i="28" l="1"/>
  <c r="W700" i="28"/>
  <c r="K700" i="28"/>
  <c r="L699" i="28"/>
  <c r="Q699" i="28"/>
  <c r="R699" i="28" s="1"/>
  <c r="T699" i="28" s="1"/>
  <c r="Y703" i="28"/>
  <c r="B702" i="28"/>
  <c r="F702" i="28" s="1"/>
  <c r="N701" i="28"/>
  <c r="P701" i="28"/>
  <c r="E701" i="28"/>
  <c r="O701" i="28"/>
  <c r="M701" i="28"/>
  <c r="U700" i="28"/>
  <c r="V700" i="28" s="1"/>
  <c r="J700" i="28"/>
  <c r="I701" i="28" l="1"/>
  <c r="W701" i="28"/>
  <c r="K701" i="28"/>
  <c r="N702" i="28"/>
  <c r="E702" i="28"/>
  <c r="O702" i="28"/>
  <c r="M702" i="28"/>
  <c r="P702" i="28"/>
  <c r="J701" i="28"/>
  <c r="U701" i="28"/>
  <c r="Y704" i="28"/>
  <c r="B703" i="28"/>
  <c r="F703" i="28" s="1"/>
  <c r="Q700" i="28"/>
  <c r="R700" i="28" s="1"/>
  <c r="T700" i="28" s="1"/>
  <c r="L700" i="28"/>
  <c r="I702" i="28" l="1"/>
  <c r="W702" i="28"/>
  <c r="K702" i="28"/>
  <c r="V701" i="28"/>
  <c r="Q701" i="28"/>
  <c r="R701" i="28" s="1"/>
  <c r="T701" i="28" s="1"/>
  <c r="L701" i="28"/>
  <c r="U702" i="28"/>
  <c r="V702" i="28" s="1"/>
  <c r="J702" i="28"/>
  <c r="N703" i="28"/>
  <c r="E703" i="28"/>
  <c r="O703" i="28"/>
  <c r="M703" i="28"/>
  <c r="P703" i="28"/>
  <c r="B704" i="28"/>
  <c r="F704" i="28" s="1"/>
  <c r="Y705" i="28"/>
  <c r="I703" i="28" l="1"/>
  <c r="W703" i="28"/>
  <c r="K703" i="28"/>
  <c r="U703" i="28"/>
  <c r="J703" i="28"/>
  <c r="B705" i="28"/>
  <c r="F705" i="28" s="1"/>
  <c r="Y706" i="28"/>
  <c r="P704" i="28"/>
  <c r="E704" i="28"/>
  <c r="M704" i="28"/>
  <c r="N704" i="28"/>
  <c r="O704" i="28"/>
  <c r="Q702" i="28"/>
  <c r="R702" i="28" s="1"/>
  <c r="T702" i="28" s="1"/>
  <c r="L702" i="28"/>
  <c r="I704" i="28" l="1"/>
  <c r="W704" i="28"/>
  <c r="V703" i="28"/>
  <c r="K704" i="28"/>
  <c r="J704" i="28"/>
  <c r="U704" i="28"/>
  <c r="N705" i="28"/>
  <c r="E705" i="28"/>
  <c r="P705" i="28"/>
  <c r="O705" i="28"/>
  <c r="M705" i="28"/>
  <c r="Q703" i="28"/>
  <c r="R703" i="28" s="1"/>
  <c r="T703" i="28" s="1"/>
  <c r="L703" i="28"/>
  <c r="V704" i="28"/>
  <c r="B706" i="28"/>
  <c r="F706" i="28" s="1"/>
  <c r="Y707" i="28"/>
  <c r="I705" i="28" l="1"/>
  <c r="W705" i="28"/>
  <c r="K705" i="28"/>
  <c r="U705" i="28"/>
  <c r="J705" i="28"/>
  <c r="Y708" i="28"/>
  <c r="B707" i="28"/>
  <c r="F707" i="28" s="1"/>
  <c r="E706" i="28"/>
  <c r="N706" i="28"/>
  <c r="O706" i="28"/>
  <c r="M706" i="28"/>
  <c r="P706" i="28"/>
  <c r="V705" i="28"/>
  <c r="Q704" i="28"/>
  <c r="R704" i="28" s="1"/>
  <c r="T704" i="28" s="1"/>
  <c r="L704" i="28"/>
  <c r="I706" i="28" l="1"/>
  <c r="W706" i="28"/>
  <c r="K706" i="28"/>
  <c r="N707" i="28"/>
  <c r="E707" i="28"/>
  <c r="P707" i="28"/>
  <c r="O707" i="28"/>
  <c r="M707" i="28"/>
  <c r="Y709" i="28"/>
  <c r="B708" i="28"/>
  <c r="F708" i="28" s="1"/>
  <c r="L705" i="28"/>
  <c r="Q705" i="28"/>
  <c r="R705" i="28" s="1"/>
  <c r="T705" i="28" s="1"/>
  <c r="U706" i="28"/>
  <c r="J706" i="28"/>
  <c r="I707" i="28" l="1"/>
  <c r="W707" i="28"/>
  <c r="K707" i="28"/>
  <c r="V706" i="28"/>
  <c r="J707" i="28"/>
  <c r="U707" i="28"/>
  <c r="L706" i="28"/>
  <c r="Q706" i="28"/>
  <c r="R706" i="28" s="1"/>
  <c r="T706" i="28" s="1"/>
  <c r="M708" i="28"/>
  <c r="N708" i="28"/>
  <c r="P708" i="28"/>
  <c r="O708" i="28"/>
  <c r="E708" i="28"/>
  <c r="B709" i="28"/>
  <c r="F709" i="28" s="1"/>
  <c r="Y710" i="28"/>
  <c r="I708" i="28" l="1"/>
  <c r="W708" i="28"/>
  <c r="V707" i="28"/>
  <c r="K708" i="28"/>
  <c r="M709" i="28"/>
  <c r="O709" i="28"/>
  <c r="N709" i="28"/>
  <c r="E709" i="28"/>
  <c r="P709" i="28"/>
  <c r="J708" i="28"/>
  <c r="U708" i="28"/>
  <c r="V708" i="28" s="1"/>
  <c r="Y711" i="28"/>
  <c r="B710" i="28"/>
  <c r="F710" i="28" s="1"/>
  <c r="Q707" i="28"/>
  <c r="R707" i="28" s="1"/>
  <c r="T707" i="28" s="1"/>
  <c r="L707" i="28"/>
  <c r="I709" i="28" l="1"/>
  <c r="W709" i="28"/>
  <c r="K709" i="28"/>
  <c r="E710" i="28"/>
  <c r="O710" i="28"/>
  <c r="M710" i="28"/>
  <c r="N710" i="28"/>
  <c r="P710" i="28"/>
  <c r="Y712" i="28"/>
  <c r="B711" i="28"/>
  <c r="F711" i="28" s="1"/>
  <c r="J709" i="28"/>
  <c r="U709" i="28"/>
  <c r="V709" i="28" s="1"/>
  <c r="Q708" i="28"/>
  <c r="R708" i="28" s="1"/>
  <c r="T708" i="28" s="1"/>
  <c r="L708" i="28"/>
  <c r="I710" i="28" l="1"/>
  <c r="W710" i="28"/>
  <c r="K710" i="28"/>
  <c r="J710" i="28"/>
  <c r="U710" i="28"/>
  <c r="Q709" i="28"/>
  <c r="R709" i="28" s="1"/>
  <c r="T709" i="28" s="1"/>
  <c r="L709" i="28"/>
  <c r="M711" i="28"/>
  <c r="E711" i="28"/>
  <c r="N711" i="28"/>
  <c r="O711" i="28"/>
  <c r="P711" i="28"/>
  <c r="Y713" i="28"/>
  <c r="B712" i="28"/>
  <c r="F712" i="28" s="1"/>
  <c r="I711" i="28" l="1"/>
  <c r="W711" i="28"/>
  <c r="K711" i="28"/>
  <c r="V710" i="28"/>
  <c r="J711" i="28"/>
  <c r="U711" i="28"/>
  <c r="Q710" i="28"/>
  <c r="R710" i="28" s="1"/>
  <c r="T710" i="28" s="1"/>
  <c r="L710" i="28"/>
  <c r="M712" i="28"/>
  <c r="N712" i="28"/>
  <c r="P712" i="28"/>
  <c r="O712" i="28"/>
  <c r="E712" i="28"/>
  <c r="B713" i="28"/>
  <c r="F713" i="28" s="1"/>
  <c r="Y714" i="28"/>
  <c r="I712" i="28" l="1"/>
  <c r="W712" i="28"/>
  <c r="K712" i="28"/>
  <c r="V711" i="28"/>
  <c r="J712" i="28"/>
  <c r="U712" i="28"/>
  <c r="Q711" i="28"/>
  <c r="R711" i="28" s="1"/>
  <c r="T711" i="28" s="1"/>
  <c r="L711" i="28"/>
  <c r="Y715" i="28"/>
  <c r="B714" i="28"/>
  <c r="F714" i="28" s="1"/>
  <c r="M713" i="28"/>
  <c r="P713" i="28"/>
  <c r="N713" i="28"/>
  <c r="E713" i="28"/>
  <c r="O713" i="28"/>
  <c r="V712" i="28"/>
  <c r="I713" i="28" l="1"/>
  <c r="W713" i="28"/>
  <c r="K713" i="28"/>
  <c r="U713" i="28"/>
  <c r="J713" i="28"/>
  <c r="N714" i="28"/>
  <c r="P714" i="28"/>
  <c r="E714" i="28"/>
  <c r="O714" i="28"/>
  <c r="M714" i="28"/>
  <c r="Y716" i="28"/>
  <c r="B715" i="28"/>
  <c r="F715" i="28" s="1"/>
  <c r="L712" i="28"/>
  <c r="Q712" i="28"/>
  <c r="R712" i="28" s="1"/>
  <c r="T712" i="28" s="1"/>
  <c r="I714" i="28" l="1"/>
  <c r="W714" i="28"/>
  <c r="V713" i="28"/>
  <c r="K714" i="28"/>
  <c r="M715" i="28"/>
  <c r="E715" i="28"/>
  <c r="N715" i="28"/>
  <c r="P715" i="28"/>
  <c r="O715" i="28"/>
  <c r="B716" i="28"/>
  <c r="F716" i="28" s="1"/>
  <c r="Y717" i="28"/>
  <c r="J714" i="28"/>
  <c r="U714" i="28"/>
  <c r="L713" i="28"/>
  <c r="Q713" i="28"/>
  <c r="R713" i="28" s="1"/>
  <c r="T713" i="28" s="1"/>
  <c r="I715" i="28" l="1"/>
  <c r="W715" i="28"/>
  <c r="K715" i="28"/>
  <c r="V714" i="28"/>
  <c r="Q714" i="28"/>
  <c r="R714" i="28" s="1"/>
  <c r="T714" i="28" s="1"/>
  <c r="L714" i="28"/>
  <c r="J715" i="28"/>
  <c r="U715" i="28"/>
  <c r="B717" i="28"/>
  <c r="F717" i="28" s="1"/>
  <c r="Y718" i="28"/>
  <c r="N716" i="28"/>
  <c r="O716" i="28"/>
  <c r="P716" i="28"/>
  <c r="M716" i="28"/>
  <c r="E716" i="28"/>
  <c r="I716" i="28" l="1"/>
  <c r="W716" i="28"/>
  <c r="K716" i="28"/>
  <c r="V715" i="28"/>
  <c r="Q715" i="28"/>
  <c r="R715" i="28" s="1"/>
  <c r="T715" i="28" s="1"/>
  <c r="L715" i="28"/>
  <c r="Y719" i="28"/>
  <c r="B718" i="28"/>
  <c r="F718" i="28" s="1"/>
  <c r="U716" i="28"/>
  <c r="V716" i="28" s="1"/>
  <c r="J716" i="28"/>
  <c r="E717" i="28"/>
  <c r="O717" i="28"/>
  <c r="M717" i="28"/>
  <c r="P717" i="28"/>
  <c r="N717" i="28"/>
  <c r="I717" i="28" l="1"/>
  <c r="J717" i="28" s="1"/>
  <c r="W717" i="28"/>
  <c r="K717" i="28"/>
  <c r="Y720" i="28"/>
  <c r="B719" i="28"/>
  <c r="F719" i="28" s="1"/>
  <c r="L716" i="28"/>
  <c r="Q716" i="28"/>
  <c r="R716" i="28" s="1"/>
  <c r="T716" i="28" s="1"/>
  <c r="U717" i="28"/>
  <c r="M718" i="28"/>
  <c r="O718" i="28"/>
  <c r="N718" i="28"/>
  <c r="E718" i="28"/>
  <c r="P718" i="28"/>
  <c r="I718" i="28" l="1"/>
  <c r="W718" i="28"/>
  <c r="K718" i="28"/>
  <c r="V717" i="28"/>
  <c r="U718" i="28"/>
  <c r="J718" i="28"/>
  <c r="O719" i="28"/>
  <c r="M719" i="28"/>
  <c r="N719" i="28"/>
  <c r="E719" i="28"/>
  <c r="P719" i="28"/>
  <c r="V718" i="28"/>
  <c r="Q717" i="28"/>
  <c r="R717" i="28" s="1"/>
  <c r="T717" i="28" s="1"/>
  <c r="L717" i="28"/>
  <c r="B720" i="28"/>
  <c r="F720" i="28" s="1"/>
  <c r="Y721" i="28"/>
  <c r="I719" i="28" l="1"/>
  <c r="W719" i="28"/>
  <c r="K719" i="28"/>
  <c r="B721" i="28"/>
  <c r="F721" i="28" s="1"/>
  <c r="Y722" i="28"/>
  <c r="E720" i="28"/>
  <c r="O720" i="28"/>
  <c r="M720" i="28"/>
  <c r="N720" i="28"/>
  <c r="P720" i="28"/>
  <c r="U719" i="28"/>
  <c r="V719" i="28" s="1"/>
  <c r="J719" i="28"/>
  <c r="Q718" i="28"/>
  <c r="R718" i="28" s="1"/>
  <c r="T718" i="28" s="1"/>
  <c r="L718" i="28"/>
  <c r="I720" i="28" l="1"/>
  <c r="W720" i="28"/>
  <c r="K720" i="28"/>
  <c r="Q719" i="28"/>
  <c r="R719" i="28" s="1"/>
  <c r="T719" i="28" s="1"/>
  <c r="L719" i="28"/>
  <c r="Y723" i="28"/>
  <c r="B722" i="28"/>
  <c r="F722" i="28" s="1"/>
  <c r="N721" i="28"/>
  <c r="O721" i="28"/>
  <c r="E721" i="28"/>
  <c r="M721" i="28"/>
  <c r="P721" i="28"/>
  <c r="J720" i="28"/>
  <c r="U720" i="28"/>
  <c r="I721" i="28" l="1"/>
  <c r="W721" i="28"/>
  <c r="K721" i="28"/>
  <c r="V720" i="28"/>
  <c r="Y724" i="28"/>
  <c r="B723" i="28"/>
  <c r="F723" i="28" s="1"/>
  <c r="U721" i="28"/>
  <c r="J721" i="28"/>
  <c r="Q720" i="28"/>
  <c r="R720" i="28" s="1"/>
  <c r="T720" i="28" s="1"/>
  <c r="L720" i="28"/>
  <c r="M722" i="28"/>
  <c r="E722" i="28"/>
  <c r="N722" i="28"/>
  <c r="P722" i="28"/>
  <c r="O722" i="28"/>
  <c r="I722" i="28" l="1"/>
  <c r="W722" i="28"/>
  <c r="K722" i="28"/>
  <c r="V721" i="28"/>
  <c r="N723" i="28"/>
  <c r="E723" i="28"/>
  <c r="P723" i="28"/>
  <c r="O723" i="28"/>
  <c r="M723" i="28"/>
  <c r="J722" i="28"/>
  <c r="U722" i="28"/>
  <c r="V722" i="28" s="1"/>
  <c r="Y725" i="28"/>
  <c r="B724" i="28"/>
  <c r="F724" i="28" s="1"/>
  <c r="L721" i="28"/>
  <c r="Q721" i="28"/>
  <c r="R721" i="28" s="1"/>
  <c r="T721" i="28" s="1"/>
  <c r="I723" i="28" l="1"/>
  <c r="W723" i="28"/>
  <c r="K723" i="28"/>
  <c r="B725" i="28"/>
  <c r="F725" i="28" s="1"/>
  <c r="Y726" i="28"/>
  <c r="L722" i="28"/>
  <c r="Q722" i="28"/>
  <c r="R722" i="28" s="1"/>
  <c r="T722" i="28" s="1"/>
  <c r="P724" i="28"/>
  <c r="M724" i="28"/>
  <c r="O724" i="28"/>
  <c r="N724" i="28"/>
  <c r="E724" i="28"/>
  <c r="J723" i="28"/>
  <c r="U723" i="28"/>
  <c r="I724" i="28" l="1"/>
  <c r="W724" i="28"/>
  <c r="K724" i="28"/>
  <c r="V723" i="28"/>
  <c r="J724" i="28"/>
  <c r="U724" i="28"/>
  <c r="L723" i="28"/>
  <c r="Q723" i="28"/>
  <c r="R723" i="28" s="1"/>
  <c r="T723" i="28" s="1"/>
  <c r="Y727" i="28"/>
  <c r="B726" i="28"/>
  <c r="F726" i="28" s="1"/>
  <c r="E725" i="28"/>
  <c r="P725" i="28"/>
  <c r="M725" i="28"/>
  <c r="N725" i="28"/>
  <c r="O725" i="28"/>
  <c r="I725" i="28" l="1"/>
  <c r="W725" i="28"/>
  <c r="V724" i="28"/>
  <c r="K725" i="28"/>
  <c r="Y728" i="28"/>
  <c r="B727" i="28"/>
  <c r="F727" i="28" s="1"/>
  <c r="U725" i="28"/>
  <c r="J725" i="28"/>
  <c r="O726" i="28"/>
  <c r="P726" i="28"/>
  <c r="N726" i="28"/>
  <c r="E726" i="28"/>
  <c r="M726" i="28"/>
  <c r="Q724" i="28"/>
  <c r="R724" i="28" s="1"/>
  <c r="T724" i="28" s="1"/>
  <c r="L724" i="28"/>
  <c r="I726" i="28" l="1"/>
  <c r="W726" i="28"/>
  <c r="K726" i="28"/>
  <c r="V725" i="28"/>
  <c r="J726" i="28"/>
  <c r="U726" i="28"/>
  <c r="N727" i="28"/>
  <c r="E727" i="28"/>
  <c r="M727" i="28"/>
  <c r="O727" i="28"/>
  <c r="P727" i="28"/>
  <c r="L725" i="28"/>
  <c r="Q725" i="28"/>
  <c r="R725" i="28" s="1"/>
  <c r="T725" i="28" s="1"/>
  <c r="B728" i="28"/>
  <c r="F728" i="28" s="1"/>
  <c r="Y729" i="28"/>
  <c r="I727" i="28" l="1"/>
  <c r="W727" i="28"/>
  <c r="K727" i="28"/>
  <c r="V726" i="28"/>
  <c r="Y730" i="28"/>
  <c r="B729" i="28"/>
  <c r="F729" i="28" s="1"/>
  <c r="J727" i="28"/>
  <c r="U727" i="28"/>
  <c r="L726" i="28"/>
  <c r="Q726" i="28"/>
  <c r="R726" i="28" s="1"/>
  <c r="T726" i="28" s="1"/>
  <c r="M728" i="28"/>
  <c r="N728" i="28"/>
  <c r="E728" i="28"/>
  <c r="O728" i="28"/>
  <c r="P728" i="28"/>
  <c r="I728" i="28" l="1"/>
  <c r="W728" i="28"/>
  <c r="K728" i="28"/>
  <c r="V727" i="28"/>
  <c r="L727" i="28"/>
  <c r="Q727" i="28"/>
  <c r="R727" i="28" s="1"/>
  <c r="T727" i="28" s="1"/>
  <c r="J728" i="28"/>
  <c r="U728" i="28"/>
  <c r="O729" i="28"/>
  <c r="P729" i="28"/>
  <c r="E729" i="28"/>
  <c r="N729" i="28"/>
  <c r="M729" i="28"/>
  <c r="Y731" i="28"/>
  <c r="B730" i="28"/>
  <c r="F730" i="28" s="1"/>
  <c r="I729" i="28" l="1"/>
  <c r="W729" i="28"/>
  <c r="K729" i="28"/>
  <c r="V728" i="28"/>
  <c r="U729" i="28"/>
  <c r="J729" i="28"/>
  <c r="L728" i="28"/>
  <c r="Q728" i="28"/>
  <c r="R728" i="28" s="1"/>
  <c r="T728" i="28" s="1"/>
  <c r="P730" i="28"/>
  <c r="E730" i="28"/>
  <c r="N730" i="28"/>
  <c r="O730" i="28"/>
  <c r="M730" i="28"/>
  <c r="B731" i="28"/>
  <c r="F731" i="28" s="1"/>
  <c r="Y732" i="28"/>
  <c r="V729" i="28" l="1"/>
  <c r="I730" i="28"/>
  <c r="W730" i="28"/>
  <c r="K730" i="28"/>
  <c r="U730" i="28"/>
  <c r="J730" i="28"/>
  <c r="B732" i="28"/>
  <c r="F732" i="28" s="1"/>
  <c r="Y733" i="28"/>
  <c r="Q729" i="28"/>
  <c r="R729" i="28" s="1"/>
  <c r="T729" i="28" s="1"/>
  <c r="L729" i="28"/>
  <c r="N731" i="28"/>
  <c r="E731" i="28"/>
  <c r="P731" i="28"/>
  <c r="O731" i="28"/>
  <c r="M731" i="28"/>
  <c r="I731" i="28" l="1"/>
  <c r="W731" i="28"/>
  <c r="V730" i="28"/>
  <c r="K731" i="28"/>
  <c r="M732" i="28"/>
  <c r="N732" i="28"/>
  <c r="P732" i="28"/>
  <c r="E732" i="28"/>
  <c r="O732" i="28"/>
  <c r="J731" i="28"/>
  <c r="U731" i="28"/>
  <c r="Q730" i="28"/>
  <c r="R730" i="28" s="1"/>
  <c r="T730" i="28" s="1"/>
  <c r="L730" i="28"/>
  <c r="Y734" i="28"/>
  <c r="B733" i="28"/>
  <c r="F733" i="28" s="1"/>
  <c r="I732" i="28" l="1"/>
  <c r="W732" i="28"/>
  <c r="K732" i="28"/>
  <c r="V731" i="28"/>
  <c r="B734" i="28"/>
  <c r="F734" i="28" s="1"/>
  <c r="Y735" i="28"/>
  <c r="Q731" i="28"/>
  <c r="R731" i="28" s="1"/>
  <c r="T731" i="28" s="1"/>
  <c r="L731" i="28"/>
  <c r="M733" i="28"/>
  <c r="E733" i="28"/>
  <c r="N733" i="28"/>
  <c r="P733" i="28"/>
  <c r="O733" i="28"/>
  <c r="J732" i="28"/>
  <c r="U732" i="28"/>
  <c r="I733" i="28" l="1"/>
  <c r="W733" i="28"/>
  <c r="K733" i="28"/>
  <c r="V732" i="28"/>
  <c r="M734" i="28"/>
  <c r="N734" i="28"/>
  <c r="O734" i="28"/>
  <c r="E734" i="28"/>
  <c r="P734" i="28"/>
  <c r="J733" i="28"/>
  <c r="U733" i="28"/>
  <c r="Y736" i="28"/>
  <c r="B735" i="28"/>
  <c r="F735" i="28" s="1"/>
  <c r="L732" i="28"/>
  <c r="Q732" i="28"/>
  <c r="R732" i="28" s="1"/>
  <c r="T732" i="28" s="1"/>
  <c r="I734" i="28" l="1"/>
  <c r="W734" i="28"/>
  <c r="K734" i="28"/>
  <c r="V733" i="28"/>
  <c r="M646" i="7"/>
  <c r="M648" i="7" s="1"/>
  <c r="M650" i="7" s="1"/>
  <c r="M652" i="7" s="1"/>
  <c r="H708" i="7" s="1"/>
  <c r="I708" i="7" s="1"/>
  <c r="Y737" i="28"/>
  <c r="B736" i="28"/>
  <c r="F736" i="28" s="1"/>
  <c r="Q733" i="28"/>
  <c r="R733" i="28" s="1"/>
  <c r="T733" i="28" s="1"/>
  <c r="L733" i="28"/>
  <c r="E735" i="28"/>
  <c r="P735" i="28"/>
  <c r="N735" i="28"/>
  <c r="O735" i="28"/>
  <c r="M735" i="28"/>
  <c r="U734" i="28"/>
  <c r="V734" i="28" s="1"/>
  <c r="J734" i="28"/>
  <c r="I735" i="28" l="1"/>
  <c r="W735" i="28"/>
  <c r="H669" i="7"/>
  <c r="I669" i="7" s="1"/>
  <c r="H701" i="7"/>
  <c r="I701" i="7" s="1"/>
  <c r="K653" i="7"/>
  <c r="K690" i="7"/>
  <c r="H684" i="7"/>
  <c r="I684" i="7" s="1"/>
  <c r="K647" i="7"/>
  <c r="K655" i="7"/>
  <c r="K651" i="7"/>
  <c r="H658" i="7"/>
  <c r="I658" i="7" s="1"/>
  <c r="H675" i="7"/>
  <c r="I675" i="7" s="1"/>
  <c r="H706" i="7"/>
  <c r="I706" i="7" s="1"/>
  <c r="K694" i="7"/>
  <c r="H654" i="7"/>
  <c r="I654" i="7" s="1"/>
  <c r="K678" i="7"/>
  <c r="H673" i="7"/>
  <c r="I673" i="7" s="1"/>
  <c r="K660" i="7"/>
  <c r="H677" i="7"/>
  <c r="I677" i="7" s="1"/>
  <c r="K691" i="7"/>
  <c r="H661" i="7"/>
  <c r="I661" i="7" s="1"/>
  <c r="K659" i="7"/>
  <c r="H655" i="7"/>
  <c r="I655" i="7" s="1"/>
  <c r="H664" i="7"/>
  <c r="I664" i="7" s="1"/>
  <c r="K687" i="7"/>
  <c r="K680" i="7"/>
  <c r="H699" i="7"/>
  <c r="I699" i="7" s="1"/>
  <c r="K704" i="7"/>
  <c r="K709" i="7"/>
  <c r="K735" i="28"/>
  <c r="V735" i="28" s="1"/>
  <c r="K689" i="7"/>
  <c r="H646" i="7"/>
  <c r="I646" i="7" s="1"/>
  <c r="K667" i="7"/>
  <c r="H689" i="7"/>
  <c r="I689" i="7" s="1"/>
  <c r="K646" i="7"/>
  <c r="H686" i="7"/>
  <c r="I686" i="7" s="1"/>
  <c r="K706" i="7"/>
  <c r="K657" i="7"/>
  <c r="K707" i="7"/>
  <c r="H693" i="7"/>
  <c r="I693" i="7" s="1"/>
  <c r="K666" i="7"/>
  <c r="H653" i="7"/>
  <c r="I653" i="7" s="1"/>
  <c r="H705" i="7"/>
  <c r="I705" i="7" s="1"/>
  <c r="K670" i="7"/>
  <c r="K711" i="7"/>
  <c r="H682" i="7"/>
  <c r="I682" i="7" s="1"/>
  <c r="K648" i="7"/>
  <c r="K672" i="7"/>
  <c r="K692" i="7"/>
  <c r="K712" i="7"/>
  <c r="H667" i="7"/>
  <c r="I667" i="7" s="1"/>
  <c r="H687" i="7"/>
  <c r="I687" i="7" s="1"/>
  <c r="H707" i="7"/>
  <c r="I707" i="7" s="1"/>
  <c r="K701" i="7"/>
  <c r="H652" i="7"/>
  <c r="I652" i="7" s="1"/>
  <c r="H672" i="7"/>
  <c r="I672" i="7" s="1"/>
  <c r="H696" i="7"/>
  <c r="I696" i="7" s="1"/>
  <c r="K674" i="7"/>
  <c r="H709" i="7"/>
  <c r="I709" i="7" s="1"/>
  <c r="H657" i="7"/>
  <c r="I657" i="7" s="1"/>
  <c r="K671" i="7"/>
  <c r="H649" i="7"/>
  <c r="I649" i="7" s="1"/>
  <c r="H702" i="7"/>
  <c r="I702" i="7" s="1"/>
  <c r="K679" i="7"/>
  <c r="H662" i="7"/>
  <c r="I662" i="7" s="1"/>
  <c r="K649" i="7"/>
  <c r="K681" i="7"/>
  <c r="H650" i="7"/>
  <c r="I650" i="7" s="1"/>
  <c r="H690" i="7"/>
  <c r="I690" i="7" s="1"/>
  <c r="K656" i="7"/>
  <c r="K676" i="7"/>
  <c r="K696" i="7"/>
  <c r="H651" i="7"/>
  <c r="I651" i="7" s="1"/>
  <c r="H671" i="7"/>
  <c r="I671" i="7" s="1"/>
  <c r="H691" i="7"/>
  <c r="I691" i="7" s="1"/>
  <c r="K685" i="7"/>
  <c r="K705" i="7"/>
  <c r="H656" i="7"/>
  <c r="I656" i="7" s="1"/>
  <c r="H680" i="7"/>
  <c r="I680" i="7" s="1"/>
  <c r="H704" i="7"/>
  <c r="I704" i="7" s="1"/>
  <c r="H712" i="7"/>
  <c r="I712" i="7" s="1"/>
  <c r="H710" i="7"/>
  <c r="I710" i="7" s="1"/>
  <c r="H697" i="7"/>
  <c r="I697" i="7" s="1"/>
  <c r="K714" i="7"/>
  <c r="K683" i="7"/>
  <c r="K650" i="7"/>
  <c r="K686" i="7"/>
  <c r="H681" i="7"/>
  <c r="I681" i="7" s="1"/>
  <c r="K658" i="7"/>
  <c r="K699" i="7"/>
  <c r="H694" i="7"/>
  <c r="I694" i="7" s="1"/>
  <c r="K665" i="7"/>
  <c r="K695" i="7"/>
  <c r="H674" i="7"/>
  <c r="I674" i="7" s="1"/>
  <c r="H714" i="7"/>
  <c r="I714" i="7" s="1"/>
  <c r="K664" i="7"/>
  <c r="K688" i="7"/>
  <c r="K708" i="7"/>
  <c r="H659" i="7"/>
  <c r="I659" i="7" s="1"/>
  <c r="H683" i="7"/>
  <c r="I683" i="7" s="1"/>
  <c r="H703" i="7"/>
  <c r="I703" i="7" s="1"/>
  <c r="K693" i="7"/>
  <c r="H648" i="7"/>
  <c r="I648" i="7" s="1"/>
  <c r="H668" i="7"/>
  <c r="I668" i="7" s="1"/>
  <c r="H688" i="7"/>
  <c r="I688" i="7" s="1"/>
  <c r="H700" i="7"/>
  <c r="I700" i="7" s="1"/>
  <c r="Q734" i="28"/>
  <c r="R734" i="28" s="1"/>
  <c r="T734" i="28" s="1"/>
  <c r="L734" i="28"/>
  <c r="U735" i="28"/>
  <c r="J735" i="28"/>
  <c r="B737" i="28"/>
  <c r="F737" i="28" s="1"/>
  <c r="Y738" i="28"/>
  <c r="K662" i="7"/>
  <c r="K702" i="7"/>
  <c r="K677" i="7"/>
  <c r="K682" i="7"/>
  <c r="K661" i="7"/>
  <c r="H665" i="7"/>
  <c r="I665" i="7" s="1"/>
  <c r="K669" i="7"/>
  <c r="H678" i="7"/>
  <c r="I678" i="7" s="1"/>
  <c r="K663" i="7"/>
  <c r="K698" i="7"/>
  <c r="H670" i="7"/>
  <c r="I670" i="7" s="1"/>
  <c r="H713" i="7"/>
  <c r="I713" i="7" s="1"/>
  <c r="K673" i="7"/>
  <c r="K710" i="7"/>
  <c r="H685" i="7"/>
  <c r="I685" i="7" s="1"/>
  <c r="K654" i="7"/>
  <c r="K675" i="7"/>
  <c r="K703" i="7"/>
  <c r="H666" i="7"/>
  <c r="I666" i="7" s="1"/>
  <c r="H698" i="7"/>
  <c r="I698" i="7" s="1"/>
  <c r="K652" i="7"/>
  <c r="K668" i="7"/>
  <c r="K684" i="7"/>
  <c r="K700" i="7"/>
  <c r="H647" i="7"/>
  <c r="I647" i="7" s="1"/>
  <c r="H663" i="7"/>
  <c r="I663" i="7" s="1"/>
  <c r="H679" i="7"/>
  <c r="I679" i="7" s="1"/>
  <c r="H695" i="7"/>
  <c r="I695" i="7" s="1"/>
  <c r="H711" i="7"/>
  <c r="I711" i="7" s="1"/>
  <c r="K697" i="7"/>
  <c r="K713" i="7"/>
  <c r="H660" i="7"/>
  <c r="I660" i="7" s="1"/>
  <c r="H676" i="7"/>
  <c r="I676" i="7" s="1"/>
  <c r="H692" i="7"/>
  <c r="I692" i="7" s="1"/>
  <c r="M736" i="28"/>
  <c r="N736" i="28"/>
  <c r="E736" i="28"/>
  <c r="P736" i="28"/>
  <c r="O736" i="28"/>
  <c r="I736" i="28" l="1"/>
  <c r="W736" i="28"/>
  <c r="K736" i="28"/>
  <c r="Q735" i="28"/>
  <c r="R735" i="28" s="1"/>
  <c r="T735" i="28" s="1"/>
  <c r="L735" i="28"/>
  <c r="U736" i="28"/>
  <c r="J736" i="28"/>
  <c r="Y739" i="28"/>
  <c r="B738" i="28"/>
  <c r="F738" i="28" s="1"/>
  <c r="M737" i="28"/>
  <c r="N737" i="28"/>
  <c r="E737" i="28"/>
  <c r="P737" i="28"/>
  <c r="O737" i="28"/>
  <c r="I737" i="28" l="1"/>
  <c r="W737" i="28"/>
  <c r="V736" i="28"/>
  <c r="K737" i="28"/>
  <c r="J737" i="28"/>
  <c r="U737" i="28"/>
  <c r="E738" i="28"/>
  <c r="O738" i="28"/>
  <c r="M738" i="28"/>
  <c r="N738" i="28"/>
  <c r="P738" i="28"/>
  <c r="B739" i="28"/>
  <c r="F739" i="28" s="1"/>
  <c r="Y740" i="28"/>
  <c r="Q736" i="28"/>
  <c r="R736" i="28" s="1"/>
  <c r="T736" i="28" s="1"/>
  <c r="L736" i="28"/>
  <c r="I738" i="28" l="1"/>
  <c r="W738" i="28"/>
  <c r="K738" i="28"/>
  <c r="V737" i="28"/>
  <c r="P739" i="28"/>
  <c r="N739" i="28"/>
  <c r="O739" i="28"/>
  <c r="M739" i="28"/>
  <c r="E739" i="28"/>
  <c r="Q737" i="28"/>
  <c r="R737" i="28" s="1"/>
  <c r="T737" i="28" s="1"/>
  <c r="L737" i="28"/>
  <c r="B740" i="28"/>
  <c r="F740" i="28" s="1"/>
  <c r="Y741" i="28"/>
  <c r="J738" i="28"/>
  <c r="U738" i="28"/>
  <c r="I739" i="28" l="1"/>
  <c r="W739" i="28"/>
  <c r="K739" i="28"/>
  <c r="V738" i="28"/>
  <c r="Y742" i="28"/>
  <c r="B741" i="28"/>
  <c r="F741" i="28" s="1"/>
  <c r="J739" i="28"/>
  <c r="U739" i="28"/>
  <c r="M740" i="28"/>
  <c r="N740" i="28"/>
  <c r="P740" i="28"/>
  <c r="E740" i="28"/>
  <c r="O740" i="28"/>
  <c r="V739" i="28"/>
  <c r="Q738" i="28"/>
  <c r="R738" i="28" s="1"/>
  <c r="T738" i="28" s="1"/>
  <c r="L738" i="28"/>
  <c r="I740" i="28" l="1"/>
  <c r="J740" i="28" s="1"/>
  <c r="W740" i="28"/>
  <c r="K740" i="28"/>
  <c r="Q739" i="28"/>
  <c r="R739" i="28" s="1"/>
  <c r="T739" i="28" s="1"/>
  <c r="L739" i="28"/>
  <c r="U740" i="28"/>
  <c r="M741" i="28"/>
  <c r="O741" i="28"/>
  <c r="N741" i="28"/>
  <c r="P741" i="28"/>
  <c r="E741" i="28"/>
  <c r="Y743" i="28"/>
  <c r="B742" i="28"/>
  <c r="F742" i="28" s="1"/>
  <c r="I741" i="28" l="1"/>
  <c r="W741" i="28"/>
  <c r="K741" i="28"/>
  <c r="V740" i="28"/>
  <c r="U741" i="28"/>
  <c r="J741" i="28"/>
  <c r="N742" i="28"/>
  <c r="E742" i="28"/>
  <c r="P742" i="28"/>
  <c r="M742" i="28"/>
  <c r="O742" i="28"/>
  <c r="Y744" i="28"/>
  <c r="B743" i="28"/>
  <c r="F743" i="28" s="1"/>
  <c r="L740" i="28"/>
  <c r="Q740" i="28"/>
  <c r="R740" i="28" s="1"/>
  <c r="T740" i="28" s="1"/>
  <c r="I742" i="28" l="1"/>
  <c r="W742" i="28"/>
  <c r="K742" i="28"/>
  <c r="V741" i="28"/>
  <c r="P743" i="28"/>
  <c r="E743" i="28"/>
  <c r="N743" i="28"/>
  <c r="M743" i="28"/>
  <c r="O743" i="28"/>
  <c r="B744" i="28"/>
  <c r="F744" i="28" s="1"/>
  <c r="Y745" i="28"/>
  <c r="L741" i="28"/>
  <c r="Q741" i="28"/>
  <c r="R741" i="28" s="1"/>
  <c r="T741" i="28" s="1"/>
  <c r="J742" i="28"/>
  <c r="U742" i="28"/>
  <c r="I743" i="28" l="1"/>
  <c r="W743" i="28"/>
  <c r="K743" i="28"/>
  <c r="V742" i="28"/>
  <c r="N744" i="28"/>
  <c r="O744" i="28"/>
  <c r="P744" i="28"/>
  <c r="M744" i="28"/>
  <c r="E744" i="28"/>
  <c r="J743" i="28"/>
  <c r="U743" i="28"/>
  <c r="V743" i="28" s="1"/>
  <c r="L742" i="28"/>
  <c r="Q742" i="28"/>
  <c r="R742" i="28" s="1"/>
  <c r="T742" i="28" s="1"/>
  <c r="B745" i="28"/>
  <c r="F745" i="28" s="1"/>
  <c r="Y746" i="28"/>
  <c r="I744" i="28" l="1"/>
  <c r="W744" i="28"/>
  <c r="K744" i="28"/>
  <c r="N745" i="28"/>
  <c r="E745" i="28"/>
  <c r="P745" i="28"/>
  <c r="O745" i="28"/>
  <c r="M745" i="28"/>
  <c r="L743" i="28"/>
  <c r="Q743" i="28"/>
  <c r="R743" i="28" s="1"/>
  <c r="T743" i="28" s="1"/>
  <c r="Y747" i="28"/>
  <c r="B746" i="28"/>
  <c r="F746" i="28" s="1"/>
  <c r="J744" i="28"/>
  <c r="U744" i="28"/>
  <c r="V744" i="28" s="1"/>
  <c r="I745" i="28" l="1"/>
  <c r="W745" i="28"/>
  <c r="K745" i="28"/>
  <c r="U745" i="28"/>
  <c r="J745" i="28"/>
  <c r="M746" i="28"/>
  <c r="O746" i="28"/>
  <c r="E746" i="28"/>
  <c r="N746" i="28"/>
  <c r="P746" i="28"/>
  <c r="Y748" i="28"/>
  <c r="B747" i="28"/>
  <c r="F747" i="28" s="1"/>
  <c r="Q744" i="28"/>
  <c r="R744" i="28" s="1"/>
  <c r="T744" i="28" s="1"/>
  <c r="L744" i="28"/>
  <c r="V745" i="28"/>
  <c r="I746" i="28" l="1"/>
  <c r="W746" i="28"/>
  <c r="K746" i="28"/>
  <c r="O747" i="28"/>
  <c r="M747" i="28"/>
  <c r="P747" i="28"/>
  <c r="N747" i="28"/>
  <c r="E747" i="28"/>
  <c r="B748" i="28"/>
  <c r="F748" i="28" s="1"/>
  <c r="Y749" i="28"/>
  <c r="Q745" i="28"/>
  <c r="R745" i="28" s="1"/>
  <c r="T745" i="28" s="1"/>
  <c r="L745" i="28"/>
  <c r="U746" i="28"/>
  <c r="V746" i="28" s="1"/>
  <c r="J746" i="28"/>
  <c r="I747" i="28" l="1"/>
  <c r="W747" i="28"/>
  <c r="K747" i="28"/>
  <c r="U747" i="28"/>
  <c r="J747" i="28"/>
  <c r="Q746" i="28"/>
  <c r="R746" i="28" s="1"/>
  <c r="T746" i="28" s="1"/>
  <c r="L746" i="28"/>
  <c r="Y750" i="28"/>
  <c r="B749" i="28"/>
  <c r="F749" i="28" s="1"/>
  <c r="O748" i="28"/>
  <c r="E748" i="28"/>
  <c r="M748" i="28"/>
  <c r="N748" i="28"/>
  <c r="P748" i="28"/>
  <c r="I748" i="28" l="1"/>
  <c r="W748" i="28"/>
  <c r="V747" i="28"/>
  <c r="K748" i="28"/>
  <c r="P749" i="28"/>
  <c r="M749" i="28"/>
  <c r="O749" i="28"/>
  <c r="N749" i="28"/>
  <c r="E749" i="28"/>
  <c r="J748" i="28"/>
  <c r="U748" i="28"/>
  <c r="B750" i="28"/>
  <c r="F750" i="28" s="1"/>
  <c r="Y751" i="28"/>
  <c r="Q747" i="28"/>
  <c r="R747" i="28" s="1"/>
  <c r="T747" i="28" s="1"/>
  <c r="L747" i="28"/>
  <c r="I749" i="28" l="1"/>
  <c r="W749" i="28"/>
  <c r="K749" i="28"/>
  <c r="V748" i="28"/>
  <c r="Y752" i="28"/>
  <c r="B751" i="28"/>
  <c r="F751" i="28" s="1"/>
  <c r="E750" i="28"/>
  <c r="N750" i="28"/>
  <c r="O750" i="28"/>
  <c r="M750" i="28"/>
  <c r="P750" i="28"/>
  <c r="U749" i="28"/>
  <c r="J749" i="28"/>
  <c r="L748" i="28"/>
  <c r="Q748" i="28"/>
  <c r="R748" i="28" s="1"/>
  <c r="T748" i="28" s="1"/>
  <c r="V749" i="28"/>
  <c r="I750" i="28" l="1"/>
  <c r="W750" i="28"/>
  <c r="K750" i="28"/>
  <c r="L749" i="28"/>
  <c r="Q749" i="28"/>
  <c r="R749" i="28" s="1"/>
  <c r="T749" i="28" s="1"/>
  <c r="J750" i="28"/>
  <c r="U750" i="28"/>
  <c r="V750" i="28" s="1"/>
  <c r="M751" i="28"/>
  <c r="P751" i="28"/>
  <c r="N751" i="28"/>
  <c r="O751" i="28"/>
  <c r="E751" i="28"/>
  <c r="Y753" i="28"/>
  <c r="B752" i="28"/>
  <c r="F752" i="28" s="1"/>
  <c r="I751" i="28" l="1"/>
  <c r="W751" i="28"/>
  <c r="K751" i="28"/>
  <c r="L750" i="28"/>
  <c r="Q750" i="28"/>
  <c r="R750" i="28" s="1"/>
  <c r="T750" i="28" s="1"/>
  <c r="U751" i="28"/>
  <c r="J751" i="28"/>
  <c r="E752" i="28"/>
  <c r="M752" i="28"/>
  <c r="N752" i="28"/>
  <c r="P752" i="28"/>
  <c r="O752" i="28"/>
  <c r="B753" i="28"/>
  <c r="F753" i="28" s="1"/>
  <c r="Y754" i="28"/>
  <c r="I752" i="28" l="1"/>
  <c r="J752" i="28" s="1"/>
  <c r="W752" i="28"/>
  <c r="V751" i="28"/>
  <c r="K752" i="28"/>
  <c r="Q751" i="28"/>
  <c r="R751" i="28" s="1"/>
  <c r="T751" i="28" s="1"/>
  <c r="L751" i="28"/>
  <c r="U752" i="28"/>
  <c r="B754" i="28"/>
  <c r="F754" i="28" s="1"/>
  <c r="Y755" i="28"/>
  <c r="P753" i="28"/>
  <c r="M753" i="28"/>
  <c r="N753" i="28"/>
  <c r="E753" i="28"/>
  <c r="O753" i="28"/>
  <c r="I753" i="28" l="1"/>
  <c r="W753" i="28"/>
  <c r="V752" i="28"/>
  <c r="K753" i="28"/>
  <c r="Q752" i="28"/>
  <c r="R752" i="28" s="1"/>
  <c r="T752" i="28" s="1"/>
  <c r="L752" i="28"/>
  <c r="Y756" i="28"/>
  <c r="B755" i="28"/>
  <c r="F755" i="28" s="1"/>
  <c r="N754" i="28"/>
  <c r="O754" i="28"/>
  <c r="E754" i="28"/>
  <c r="P754" i="28"/>
  <c r="M754" i="28"/>
  <c r="U753" i="28"/>
  <c r="J753" i="28"/>
  <c r="I754" i="28" l="1"/>
  <c r="W754" i="28"/>
  <c r="K754" i="28"/>
  <c r="E755" i="28"/>
  <c r="P755" i="28"/>
  <c r="M755" i="28"/>
  <c r="O755" i="28"/>
  <c r="N755" i="28"/>
  <c r="U754" i="28"/>
  <c r="V754" i="28" s="1"/>
  <c r="J754" i="28"/>
  <c r="B756" i="28"/>
  <c r="F756" i="28" s="1"/>
  <c r="Y757" i="28"/>
  <c r="L753" i="28"/>
  <c r="Q753" i="28"/>
  <c r="R753" i="28" s="1"/>
  <c r="T753" i="28" s="1"/>
  <c r="V753" i="28"/>
  <c r="I755" i="28" l="1"/>
  <c r="W755" i="28"/>
  <c r="K755" i="28"/>
  <c r="B757" i="28"/>
  <c r="F757" i="28" s="1"/>
  <c r="Y758" i="28"/>
  <c r="U755" i="28"/>
  <c r="J755" i="28"/>
  <c r="N756" i="28"/>
  <c r="E756" i="28"/>
  <c r="O756" i="28"/>
  <c r="M756" i="28"/>
  <c r="P756" i="28"/>
  <c r="Q754" i="28"/>
  <c r="R754" i="28" s="1"/>
  <c r="T754" i="28" s="1"/>
  <c r="L754" i="28"/>
  <c r="I756" i="28" l="1"/>
  <c r="W756" i="28"/>
  <c r="K756" i="28"/>
  <c r="V755" i="28"/>
  <c r="U756" i="28"/>
  <c r="J756" i="28"/>
  <c r="B758" i="28"/>
  <c r="F758" i="28" s="1"/>
  <c r="Y759" i="28"/>
  <c r="M757" i="28"/>
  <c r="N757" i="28"/>
  <c r="O757" i="28"/>
  <c r="P757" i="28"/>
  <c r="E757" i="28"/>
  <c r="Q755" i="28"/>
  <c r="R755" i="28" s="1"/>
  <c r="T755" i="28" s="1"/>
  <c r="L755" i="28"/>
  <c r="I757" i="28" l="1"/>
  <c r="W757" i="28"/>
  <c r="K757" i="28"/>
  <c r="V756" i="28"/>
  <c r="J757" i="28"/>
  <c r="U757" i="28"/>
  <c r="N758" i="28"/>
  <c r="P758" i="28"/>
  <c r="E758" i="28"/>
  <c r="O758" i="28"/>
  <c r="M758" i="28"/>
  <c r="Y760" i="28"/>
  <c r="B759" i="28"/>
  <c r="F759" i="28" s="1"/>
  <c r="L756" i="28"/>
  <c r="Q756" i="28"/>
  <c r="R756" i="28" s="1"/>
  <c r="T756" i="28" s="1"/>
  <c r="V757" i="28"/>
  <c r="I758" i="28" l="1"/>
  <c r="W758" i="28"/>
  <c r="K758" i="28"/>
  <c r="E759" i="28"/>
  <c r="N759" i="28"/>
  <c r="P759" i="28"/>
  <c r="O759" i="28"/>
  <c r="M759" i="28"/>
  <c r="J758" i="28"/>
  <c r="U758" i="28"/>
  <c r="B760" i="28"/>
  <c r="F760" i="28" s="1"/>
  <c r="Y761" i="28"/>
  <c r="L757" i="28"/>
  <c r="Q757" i="28"/>
  <c r="R757" i="28" s="1"/>
  <c r="T757" i="28" s="1"/>
  <c r="I759" i="28" l="1"/>
  <c r="W759" i="28"/>
  <c r="K759" i="28"/>
  <c r="V758" i="28"/>
  <c r="Q758" i="28"/>
  <c r="R758" i="28" s="1"/>
  <c r="T758" i="28" s="1"/>
  <c r="L758" i="28"/>
  <c r="B761" i="28"/>
  <c r="F761" i="28" s="1"/>
  <c r="Y762" i="28"/>
  <c r="M760" i="28"/>
  <c r="O760" i="28"/>
  <c r="P760" i="28"/>
  <c r="N760" i="28"/>
  <c r="E760" i="28"/>
  <c r="U759" i="28"/>
  <c r="J759" i="28"/>
  <c r="I760" i="28" l="1"/>
  <c r="W760" i="28"/>
  <c r="K760" i="28"/>
  <c r="V759" i="28"/>
  <c r="U760" i="28"/>
  <c r="J760" i="28"/>
  <c r="P761" i="28"/>
  <c r="M761" i="28"/>
  <c r="O761" i="28"/>
  <c r="N761" i="28"/>
  <c r="E761" i="28"/>
  <c r="Q759" i="28"/>
  <c r="R759" i="28" s="1"/>
  <c r="T759" i="28" s="1"/>
  <c r="L759" i="28"/>
  <c r="V760" i="28"/>
  <c r="Y763" i="28"/>
  <c r="B762" i="28"/>
  <c r="F762" i="28" s="1"/>
  <c r="I761" i="28" l="1"/>
  <c r="W761" i="28"/>
  <c r="K761" i="28"/>
  <c r="B763" i="28"/>
  <c r="F763" i="28" s="1"/>
  <c r="Y764" i="28"/>
  <c r="U761" i="28"/>
  <c r="J761" i="28"/>
  <c r="M762" i="28"/>
  <c r="N762" i="28"/>
  <c r="P762" i="28"/>
  <c r="E762" i="28"/>
  <c r="O762" i="28"/>
  <c r="L760" i="28"/>
  <c r="Q760" i="28"/>
  <c r="R760" i="28" s="1"/>
  <c r="T760" i="28" s="1"/>
  <c r="I762" i="28" l="1"/>
  <c r="W762" i="28"/>
  <c r="K762" i="28"/>
  <c r="V761" i="28"/>
  <c r="Q761" i="28"/>
  <c r="R761" i="28" s="1"/>
  <c r="T761" i="28" s="1"/>
  <c r="L761" i="28"/>
  <c r="U762" i="28"/>
  <c r="J762" i="28"/>
  <c r="B764" i="28"/>
  <c r="F764" i="28" s="1"/>
  <c r="Y765" i="28"/>
  <c r="M763" i="28"/>
  <c r="O763" i="28"/>
  <c r="N763" i="28"/>
  <c r="P763" i="28"/>
  <c r="E763" i="28"/>
  <c r="I763" i="28" l="1"/>
  <c r="W763" i="28"/>
  <c r="K763" i="28"/>
  <c r="V762" i="28"/>
  <c r="Q762" i="28"/>
  <c r="R762" i="28" s="1"/>
  <c r="T762" i="28" s="1"/>
  <c r="L762" i="28"/>
  <c r="B765" i="28"/>
  <c r="F765" i="28" s="1"/>
  <c r="Y766" i="28"/>
  <c r="P764" i="28"/>
  <c r="M764" i="28"/>
  <c r="E764" i="28"/>
  <c r="N764" i="28"/>
  <c r="O764" i="28"/>
  <c r="J763" i="28"/>
  <c r="U763" i="28"/>
  <c r="I764" i="28" l="1"/>
  <c r="W764" i="28"/>
  <c r="K764" i="28"/>
  <c r="Y767" i="28"/>
  <c r="B766" i="28"/>
  <c r="F766" i="28" s="1"/>
  <c r="U764" i="28"/>
  <c r="J764" i="28"/>
  <c r="N765" i="28"/>
  <c r="O765" i="28"/>
  <c r="P765" i="28"/>
  <c r="M765" i="28"/>
  <c r="E765" i="28"/>
  <c r="V764" i="28"/>
  <c r="L763" i="28"/>
  <c r="Q763" i="28"/>
  <c r="R763" i="28" s="1"/>
  <c r="T763" i="28" s="1"/>
  <c r="V763" i="28"/>
  <c r="I765" i="28" l="1"/>
  <c r="W765" i="28"/>
  <c r="K765" i="28"/>
  <c r="L764" i="28"/>
  <c r="Q764" i="28"/>
  <c r="R764" i="28" s="1"/>
  <c r="T764" i="28" s="1"/>
  <c r="U765" i="28"/>
  <c r="J765" i="28"/>
  <c r="M766" i="28"/>
  <c r="N766" i="28"/>
  <c r="O766" i="28"/>
  <c r="P766" i="28"/>
  <c r="E766" i="28"/>
  <c r="B767" i="28"/>
  <c r="F767" i="28" s="1"/>
  <c r="Y768" i="28"/>
  <c r="I766" i="28" l="1"/>
  <c r="W766" i="28"/>
  <c r="K766" i="28"/>
  <c r="V765" i="28"/>
  <c r="J766" i="28"/>
  <c r="U766" i="28"/>
  <c r="B768" i="28"/>
  <c r="F768" i="28" s="1"/>
  <c r="Y769" i="28"/>
  <c r="P767" i="28"/>
  <c r="M767" i="28"/>
  <c r="O767" i="28"/>
  <c r="N767" i="28"/>
  <c r="E767" i="28"/>
  <c r="L765" i="28"/>
  <c r="Q765" i="28"/>
  <c r="R765" i="28" s="1"/>
  <c r="T765" i="28" s="1"/>
  <c r="I767" i="28" l="1"/>
  <c r="W767" i="28"/>
  <c r="V766" i="28"/>
  <c r="K767" i="28"/>
  <c r="E768" i="28"/>
  <c r="M768" i="28"/>
  <c r="P768" i="28"/>
  <c r="N768" i="28"/>
  <c r="O768" i="28"/>
  <c r="U767" i="28"/>
  <c r="J767" i="28"/>
  <c r="Q766" i="28"/>
  <c r="R766" i="28" s="1"/>
  <c r="T766" i="28" s="1"/>
  <c r="L766" i="28"/>
  <c r="B769" i="28"/>
  <c r="F769" i="28" s="1"/>
  <c r="Y770" i="28"/>
  <c r="I768" i="28" l="1"/>
  <c r="W768" i="28"/>
  <c r="K768" i="28"/>
  <c r="V767" i="28"/>
  <c r="J768" i="28"/>
  <c r="U768" i="28"/>
  <c r="B770" i="28"/>
  <c r="F770" i="28" s="1"/>
  <c r="Y771" i="28"/>
  <c r="Q767" i="28"/>
  <c r="R767" i="28" s="1"/>
  <c r="T767" i="28" s="1"/>
  <c r="L767" i="28"/>
  <c r="N769" i="28"/>
  <c r="P769" i="28"/>
  <c r="M769" i="28"/>
  <c r="O769" i="28"/>
  <c r="E769" i="28"/>
  <c r="I769" i="28" l="1"/>
  <c r="W769" i="28"/>
  <c r="K769" i="28"/>
  <c r="V768" i="28"/>
  <c r="E770" i="28"/>
  <c r="M770" i="28"/>
  <c r="O770" i="28"/>
  <c r="N770" i="28"/>
  <c r="P770" i="28"/>
  <c r="Y772" i="28"/>
  <c r="B771" i="28"/>
  <c r="F771" i="28" s="1"/>
  <c r="J769" i="28"/>
  <c r="U769" i="28"/>
  <c r="V769" i="28" s="1"/>
  <c r="Q768" i="28"/>
  <c r="R768" i="28" s="1"/>
  <c r="T768" i="28" s="1"/>
  <c r="L768" i="28"/>
  <c r="I770" i="28" l="1"/>
  <c r="W770" i="28"/>
  <c r="K770" i="28"/>
  <c r="U770" i="28"/>
  <c r="J770" i="28"/>
  <c r="Q769" i="28"/>
  <c r="R769" i="28" s="1"/>
  <c r="T769" i="28" s="1"/>
  <c r="L769" i="28"/>
  <c r="N771" i="28"/>
  <c r="O771" i="28"/>
  <c r="E771" i="28"/>
  <c r="M771" i="28"/>
  <c r="P771" i="28"/>
  <c r="B772" i="28"/>
  <c r="F772" i="28" s="1"/>
  <c r="Y773" i="28"/>
  <c r="I771" i="28" l="1"/>
  <c r="W771" i="28"/>
  <c r="K771" i="28"/>
  <c r="V770" i="28"/>
  <c r="Q770" i="28"/>
  <c r="R770" i="28" s="1"/>
  <c r="T770" i="28" s="1"/>
  <c r="L770" i="28"/>
  <c r="B773" i="28"/>
  <c r="F773" i="28" s="1"/>
  <c r="Y774" i="28"/>
  <c r="J771" i="28"/>
  <c r="U771" i="28"/>
  <c r="M772" i="28"/>
  <c r="N772" i="28"/>
  <c r="O772" i="28"/>
  <c r="P772" i="28"/>
  <c r="E772" i="28"/>
  <c r="I772" i="28" l="1"/>
  <c r="W772" i="28"/>
  <c r="K772" i="28"/>
  <c r="V771" i="28"/>
  <c r="P773" i="28"/>
  <c r="M773" i="28"/>
  <c r="N773" i="28"/>
  <c r="E773" i="28"/>
  <c r="O773" i="28"/>
  <c r="Q771" i="28"/>
  <c r="R771" i="28" s="1"/>
  <c r="T771" i="28" s="1"/>
  <c r="L771" i="28"/>
  <c r="U772" i="28"/>
  <c r="J772" i="28"/>
  <c r="B774" i="28"/>
  <c r="F774" i="28" s="1"/>
  <c r="Y775" i="28"/>
  <c r="I773" i="28" l="1"/>
  <c r="W773" i="28"/>
  <c r="V772" i="28"/>
  <c r="K773" i="28"/>
  <c r="J773" i="28"/>
  <c r="U773" i="28"/>
  <c r="Q772" i="28"/>
  <c r="R772" i="28" s="1"/>
  <c r="T772" i="28" s="1"/>
  <c r="L772" i="28"/>
  <c r="B775" i="28"/>
  <c r="F775" i="28" s="1"/>
  <c r="Y776" i="28"/>
  <c r="M774" i="28"/>
  <c r="P774" i="28"/>
  <c r="N774" i="28"/>
  <c r="E774" i="28"/>
  <c r="O774" i="28"/>
  <c r="I774" i="28" l="1"/>
  <c r="W774" i="28"/>
  <c r="V773" i="28"/>
  <c r="K774" i="28"/>
  <c r="B776" i="28"/>
  <c r="F776" i="28" s="1"/>
  <c r="Y777" i="28"/>
  <c r="N775" i="28"/>
  <c r="E775" i="28"/>
  <c r="P775" i="28"/>
  <c r="O775" i="28"/>
  <c r="M775" i="28"/>
  <c r="J774" i="28"/>
  <c r="U774" i="28"/>
  <c r="V774" i="28" s="1"/>
  <c r="L773" i="28"/>
  <c r="Q773" i="28"/>
  <c r="R773" i="28" s="1"/>
  <c r="T773" i="28" s="1"/>
  <c r="I775" i="28" l="1"/>
  <c r="W775" i="28"/>
  <c r="K775" i="28"/>
  <c r="L774" i="28"/>
  <c r="Q774" i="28"/>
  <c r="R774" i="28" s="1"/>
  <c r="T774" i="28" s="1"/>
  <c r="B777" i="28"/>
  <c r="F777" i="28" s="1"/>
  <c r="Y778" i="28"/>
  <c r="U775" i="28"/>
  <c r="J775" i="28"/>
  <c r="P776" i="28"/>
  <c r="M776" i="28"/>
  <c r="O776" i="28"/>
  <c r="N776" i="28"/>
  <c r="E776" i="28"/>
  <c r="I776" i="28" l="1"/>
  <c r="W776" i="28"/>
  <c r="V775" i="28"/>
  <c r="K776" i="28"/>
  <c r="O777" i="28"/>
  <c r="E777" i="28"/>
  <c r="N777" i="28"/>
  <c r="M777" i="28"/>
  <c r="P777" i="28"/>
  <c r="L775" i="28"/>
  <c r="Q775" i="28"/>
  <c r="R775" i="28" s="1"/>
  <c r="T775" i="28" s="1"/>
  <c r="J776" i="28"/>
  <c r="U776" i="28"/>
  <c r="Y779" i="28"/>
  <c r="B778" i="28"/>
  <c r="F778" i="28" s="1"/>
  <c r="I777" i="28" l="1"/>
  <c r="W777" i="28"/>
  <c r="K777" i="28"/>
  <c r="U777" i="28"/>
  <c r="J777" i="28"/>
  <c r="B779" i="28"/>
  <c r="F779" i="28" s="1"/>
  <c r="Y780" i="28"/>
  <c r="L776" i="28"/>
  <c r="Q776" i="28"/>
  <c r="R776" i="28" s="1"/>
  <c r="T776" i="28" s="1"/>
  <c r="M778" i="28"/>
  <c r="N778" i="28"/>
  <c r="P778" i="28"/>
  <c r="E778" i="28"/>
  <c r="O778" i="28"/>
  <c r="V776" i="28"/>
  <c r="I778" i="28" l="1"/>
  <c r="W778" i="28"/>
  <c r="K778" i="28"/>
  <c r="V777" i="28"/>
  <c r="M779" i="28"/>
  <c r="O779" i="28"/>
  <c r="N779" i="28"/>
  <c r="P779" i="28"/>
  <c r="E779" i="28"/>
  <c r="Q777" i="28"/>
  <c r="R777" i="28" s="1"/>
  <c r="T777" i="28" s="1"/>
  <c r="L777" i="28"/>
  <c r="U778" i="28"/>
  <c r="J778" i="28"/>
  <c r="B780" i="28"/>
  <c r="F780" i="28" s="1"/>
  <c r="Y781" i="28"/>
  <c r="I779" i="28" l="1"/>
  <c r="W779" i="28"/>
  <c r="K779" i="28"/>
  <c r="V778" i="28"/>
  <c r="N780" i="28"/>
  <c r="E780" i="28"/>
  <c r="O780" i="28"/>
  <c r="P780" i="28"/>
  <c r="M780" i="28"/>
  <c r="Q778" i="28"/>
  <c r="R778" i="28" s="1"/>
  <c r="T778" i="28" s="1"/>
  <c r="L778" i="28"/>
  <c r="B781" i="28"/>
  <c r="F781" i="28" s="1"/>
  <c r="Y782" i="28"/>
  <c r="U779" i="28"/>
  <c r="V779" i="28" s="1"/>
  <c r="J779" i="28"/>
  <c r="I780" i="28" l="1"/>
  <c r="J780" i="28" s="1"/>
  <c r="W780" i="28"/>
  <c r="K780" i="28"/>
  <c r="U780" i="28"/>
  <c r="Y783" i="28"/>
  <c r="B782" i="28"/>
  <c r="F782" i="28" s="1"/>
  <c r="M781" i="28"/>
  <c r="E781" i="28"/>
  <c r="N781" i="28"/>
  <c r="P781" i="28"/>
  <c r="O781" i="28"/>
  <c r="Q779" i="28"/>
  <c r="R779" i="28" s="1"/>
  <c r="T779" i="28" s="1"/>
  <c r="L779" i="28"/>
  <c r="I781" i="28" l="1"/>
  <c r="J781" i="28" s="1"/>
  <c r="W781" i="28"/>
  <c r="V780" i="28"/>
  <c r="K781" i="28"/>
  <c r="Y784" i="28"/>
  <c r="B783" i="28"/>
  <c r="F783" i="28" s="1"/>
  <c r="U781" i="28"/>
  <c r="Q780" i="28"/>
  <c r="R780" i="28" s="1"/>
  <c r="T780" i="28" s="1"/>
  <c r="L780" i="28"/>
  <c r="N782" i="28"/>
  <c r="P782" i="28"/>
  <c r="O782" i="28"/>
  <c r="M782" i="28"/>
  <c r="E782" i="28"/>
  <c r="I782" i="28" l="1"/>
  <c r="W782" i="28"/>
  <c r="K782" i="28"/>
  <c r="V781" i="28"/>
  <c r="L781" i="28"/>
  <c r="Q781" i="28"/>
  <c r="R781" i="28" s="1"/>
  <c r="T781" i="28" s="1"/>
  <c r="U782" i="28"/>
  <c r="J782" i="28"/>
  <c r="P783" i="28"/>
  <c r="M783" i="28"/>
  <c r="O783" i="28"/>
  <c r="N783" i="28"/>
  <c r="E783" i="28"/>
  <c r="V782" i="28"/>
  <c r="Y785" i="28"/>
  <c r="B784" i="28"/>
  <c r="F784" i="28" s="1"/>
  <c r="I783" i="28" l="1"/>
  <c r="W783" i="28"/>
  <c r="K783" i="28"/>
  <c r="Q782" i="28"/>
  <c r="R782" i="28" s="1"/>
  <c r="T782" i="28" s="1"/>
  <c r="L782" i="28"/>
  <c r="U783" i="28"/>
  <c r="V783" i="28" s="1"/>
  <c r="J783" i="28"/>
  <c r="P784" i="28"/>
  <c r="O784" i="28"/>
  <c r="M784" i="28"/>
  <c r="N784" i="28"/>
  <c r="E784" i="28"/>
  <c r="B785" i="28"/>
  <c r="F785" i="28" s="1"/>
  <c r="Y786" i="28"/>
  <c r="I784" i="28" l="1"/>
  <c r="W784" i="28"/>
  <c r="K784" i="28"/>
  <c r="B786" i="28"/>
  <c r="F786" i="28" s="1"/>
  <c r="Y787" i="28"/>
  <c r="E785" i="28"/>
  <c r="M785" i="28"/>
  <c r="N785" i="28"/>
  <c r="P785" i="28"/>
  <c r="O785" i="28"/>
  <c r="U784" i="28"/>
  <c r="J784" i="28"/>
  <c r="L783" i="28"/>
  <c r="Q783" i="28"/>
  <c r="R783" i="28" s="1"/>
  <c r="T783" i="28" s="1"/>
  <c r="V784" i="28"/>
  <c r="I785" i="28" l="1"/>
  <c r="J785" i="28" s="1"/>
  <c r="W785" i="28"/>
  <c r="K785" i="28"/>
  <c r="Q784" i="28"/>
  <c r="R784" i="28" s="1"/>
  <c r="T784" i="28" s="1"/>
  <c r="L784" i="28"/>
  <c r="U785" i="28"/>
  <c r="Y788" i="28"/>
  <c r="B787" i="28"/>
  <c r="F787" i="28" s="1"/>
  <c r="N786" i="28"/>
  <c r="E786" i="28"/>
  <c r="O786" i="28"/>
  <c r="M786" i="28"/>
  <c r="P786" i="28"/>
  <c r="I786" i="28" l="1"/>
  <c r="W786" i="28"/>
  <c r="K786" i="28"/>
  <c r="V785" i="28"/>
  <c r="Q785" i="28"/>
  <c r="R785" i="28" s="1"/>
  <c r="T785" i="28" s="1"/>
  <c r="L785" i="28"/>
  <c r="M787" i="28"/>
  <c r="N787" i="28"/>
  <c r="E787" i="28"/>
  <c r="O787" i="28"/>
  <c r="P787" i="28"/>
  <c r="U786" i="28"/>
  <c r="J786" i="28"/>
  <c r="B788" i="28"/>
  <c r="F788" i="28" s="1"/>
  <c r="Y789" i="28"/>
  <c r="I787" i="28" l="1"/>
  <c r="W787" i="28"/>
  <c r="K787" i="28"/>
  <c r="V786" i="28"/>
  <c r="B789" i="28"/>
  <c r="F789" i="28" s="1"/>
  <c r="Y790" i="28"/>
  <c r="O788" i="28"/>
  <c r="E788" i="28"/>
  <c r="M788" i="28"/>
  <c r="P788" i="28"/>
  <c r="N788" i="28"/>
  <c r="Q786" i="28"/>
  <c r="R786" i="28" s="1"/>
  <c r="T786" i="28" s="1"/>
  <c r="L786" i="28"/>
  <c r="U787" i="28"/>
  <c r="V787" i="28" s="1"/>
  <c r="J787" i="28"/>
  <c r="I788" i="28" l="1"/>
  <c r="W788" i="28"/>
  <c r="K788" i="28"/>
  <c r="Q787" i="28"/>
  <c r="R787" i="28" s="1"/>
  <c r="T787" i="28" s="1"/>
  <c r="L787" i="28"/>
  <c r="Y791" i="28"/>
  <c r="B790" i="28"/>
  <c r="F790" i="28" s="1"/>
  <c r="M789" i="28"/>
  <c r="N789" i="28"/>
  <c r="E789" i="28"/>
  <c r="O789" i="28"/>
  <c r="P789" i="28"/>
  <c r="J788" i="28"/>
  <c r="U788" i="28"/>
  <c r="I789" i="28" l="1"/>
  <c r="W789" i="28"/>
  <c r="K789" i="28"/>
  <c r="V788" i="28"/>
  <c r="B791" i="28"/>
  <c r="F791" i="28" s="1"/>
  <c r="Y792" i="28"/>
  <c r="U789" i="28"/>
  <c r="J789" i="28"/>
  <c r="L788" i="28"/>
  <c r="Q788" i="28"/>
  <c r="R788" i="28" s="1"/>
  <c r="T788" i="28" s="1"/>
  <c r="E790" i="28"/>
  <c r="M790" i="28"/>
  <c r="O790" i="28"/>
  <c r="N790" i="28"/>
  <c r="P790" i="28"/>
  <c r="I790" i="28" l="1"/>
  <c r="W790" i="28"/>
  <c r="K790" i="28"/>
  <c r="V789" i="28"/>
  <c r="B792" i="28"/>
  <c r="F792" i="28" s="1"/>
  <c r="Y793" i="28"/>
  <c r="P791" i="28"/>
  <c r="M791" i="28"/>
  <c r="N791" i="28"/>
  <c r="O791" i="28"/>
  <c r="E791" i="28"/>
  <c r="U790" i="28"/>
  <c r="V790" i="28" s="1"/>
  <c r="J790" i="28"/>
  <c r="L789" i="28"/>
  <c r="Q789" i="28"/>
  <c r="R789" i="28" s="1"/>
  <c r="T789" i="28" s="1"/>
  <c r="I791" i="28" l="1"/>
  <c r="W791" i="28"/>
  <c r="K791" i="28"/>
  <c r="Q790" i="28"/>
  <c r="R790" i="28" s="1"/>
  <c r="T790" i="28" s="1"/>
  <c r="L790" i="28"/>
  <c r="B793" i="28"/>
  <c r="F793" i="28" s="1"/>
  <c r="Y794" i="28"/>
  <c r="J791" i="28"/>
  <c r="U791" i="28"/>
  <c r="P792" i="28"/>
  <c r="E792" i="28"/>
  <c r="M792" i="28"/>
  <c r="N792" i="28"/>
  <c r="O792" i="28"/>
  <c r="I792" i="28" l="1"/>
  <c r="W792" i="28"/>
  <c r="K792" i="28"/>
  <c r="V791" i="28"/>
  <c r="N793" i="28"/>
  <c r="O793" i="28"/>
  <c r="P793" i="28"/>
  <c r="E793" i="28"/>
  <c r="M793" i="28"/>
  <c r="Y795" i="28"/>
  <c r="B794" i="28"/>
  <c r="F794" i="28" s="1"/>
  <c r="J792" i="28"/>
  <c r="U792" i="28"/>
  <c r="Q791" i="28"/>
  <c r="R791" i="28" s="1"/>
  <c r="T791" i="28" s="1"/>
  <c r="L791" i="28"/>
  <c r="I793" i="28" l="1"/>
  <c r="W793" i="28"/>
  <c r="K793" i="28"/>
  <c r="V792" i="28"/>
  <c r="Q792" i="28"/>
  <c r="R792" i="28" s="1"/>
  <c r="T792" i="28" s="1"/>
  <c r="L792" i="28"/>
  <c r="E794" i="28"/>
  <c r="P794" i="28"/>
  <c r="M794" i="28"/>
  <c r="O794" i="28"/>
  <c r="N794" i="28"/>
  <c r="Y796" i="28"/>
  <c r="B795" i="28"/>
  <c r="F795" i="28" s="1"/>
  <c r="U793" i="28"/>
  <c r="J793" i="28"/>
  <c r="I794" i="28" l="1"/>
  <c r="W794" i="28"/>
  <c r="K794" i="28"/>
  <c r="U794" i="28"/>
  <c r="J794" i="28"/>
  <c r="O795" i="28"/>
  <c r="M795" i="28"/>
  <c r="E795" i="28"/>
  <c r="N795" i="28"/>
  <c r="P795" i="28"/>
  <c r="B796" i="28"/>
  <c r="F796" i="28" s="1"/>
  <c r="Y797" i="28"/>
  <c r="Q793" i="28"/>
  <c r="R793" i="28" s="1"/>
  <c r="T793" i="28" s="1"/>
  <c r="L793" i="28"/>
  <c r="V793" i="28"/>
  <c r="V794" i="28" l="1"/>
  <c r="I795" i="28"/>
  <c r="W795" i="28"/>
  <c r="K795" i="28"/>
  <c r="Y798" i="28"/>
  <c r="B797" i="28"/>
  <c r="F797" i="28" s="1"/>
  <c r="M796" i="28"/>
  <c r="P796" i="28"/>
  <c r="N796" i="28"/>
  <c r="E796" i="28"/>
  <c r="O796" i="28"/>
  <c r="Q794" i="28"/>
  <c r="R794" i="28" s="1"/>
  <c r="T794" i="28" s="1"/>
  <c r="L794" i="28"/>
  <c r="U795" i="28"/>
  <c r="J795" i="28"/>
  <c r="I796" i="28" l="1"/>
  <c r="W796" i="28"/>
  <c r="K796" i="28"/>
  <c r="V795" i="28"/>
  <c r="Q795" i="28"/>
  <c r="R795" i="28" s="1"/>
  <c r="T795" i="28" s="1"/>
  <c r="L795" i="28"/>
  <c r="O797" i="28"/>
  <c r="N797" i="28"/>
  <c r="P797" i="28"/>
  <c r="M797" i="28"/>
  <c r="E797" i="28"/>
  <c r="Y799" i="28"/>
  <c r="B798" i="28"/>
  <c r="F798" i="28" s="1"/>
  <c r="J796" i="28"/>
  <c r="U796" i="28"/>
  <c r="I797" i="28" l="1"/>
  <c r="W797" i="28"/>
  <c r="K797" i="28"/>
  <c r="V796" i="28"/>
  <c r="L796" i="28"/>
  <c r="Q796" i="28"/>
  <c r="R796" i="28" s="1"/>
  <c r="T796" i="28" s="1"/>
  <c r="M798" i="28"/>
  <c r="N798" i="28"/>
  <c r="E798" i="28"/>
  <c r="O798" i="28"/>
  <c r="P798" i="28"/>
  <c r="B799" i="28"/>
  <c r="F799" i="28" s="1"/>
  <c r="Y800" i="28"/>
  <c r="U797" i="28"/>
  <c r="J797" i="28"/>
  <c r="I798" i="28" l="1"/>
  <c r="W798" i="28"/>
  <c r="K798" i="28"/>
  <c r="V797" i="28"/>
  <c r="B800" i="28"/>
  <c r="F800" i="28" s="1"/>
  <c r="Y801" i="28"/>
  <c r="L797" i="28"/>
  <c r="Q797" i="28"/>
  <c r="R797" i="28" s="1"/>
  <c r="T797" i="28" s="1"/>
  <c r="O799" i="28"/>
  <c r="M799" i="28"/>
  <c r="N799" i="28"/>
  <c r="E799" i="28"/>
  <c r="P799" i="28"/>
  <c r="U798" i="28"/>
  <c r="J798" i="28"/>
  <c r="I799" i="28" l="1"/>
  <c r="W799" i="28"/>
  <c r="K799" i="28"/>
  <c r="L798" i="28"/>
  <c r="Q798" i="28"/>
  <c r="R798" i="28" s="1"/>
  <c r="T798" i="28" s="1"/>
  <c r="B801" i="28"/>
  <c r="F801" i="28" s="1"/>
  <c r="Y802" i="28"/>
  <c r="U799" i="28"/>
  <c r="J799" i="28"/>
  <c r="P800" i="28"/>
  <c r="E800" i="28"/>
  <c r="N800" i="28"/>
  <c r="O800" i="28"/>
  <c r="M800" i="28"/>
  <c r="V798" i="28"/>
  <c r="I800" i="28" l="1"/>
  <c r="W800" i="28"/>
  <c r="V799" i="28"/>
  <c r="K800" i="28"/>
  <c r="M801" i="28"/>
  <c r="O801" i="28"/>
  <c r="E801" i="28"/>
  <c r="N801" i="28"/>
  <c r="P801" i="28"/>
  <c r="U800" i="28"/>
  <c r="J800" i="28"/>
  <c r="Y803" i="28"/>
  <c r="B802" i="28"/>
  <c r="F802" i="28" s="1"/>
  <c r="L799" i="28"/>
  <c r="Q799" i="28"/>
  <c r="R799" i="28" s="1"/>
  <c r="T799" i="28" s="1"/>
  <c r="I801" i="28" l="1"/>
  <c r="W801" i="28"/>
  <c r="K801" i="28"/>
  <c r="M802" i="28"/>
  <c r="N802" i="28"/>
  <c r="O802" i="28"/>
  <c r="P802" i="28"/>
  <c r="E802" i="28"/>
  <c r="B803" i="28"/>
  <c r="F803" i="28" s="1"/>
  <c r="Y804" i="28"/>
  <c r="L800" i="28"/>
  <c r="Q800" i="28"/>
  <c r="R800" i="28" s="1"/>
  <c r="T800" i="28" s="1"/>
  <c r="U801" i="28"/>
  <c r="J801" i="28"/>
  <c r="V800" i="28"/>
  <c r="I802" i="28" l="1"/>
  <c r="J802" i="28" s="1"/>
  <c r="W802" i="28"/>
  <c r="K802" i="28"/>
  <c r="U802" i="28"/>
  <c r="Q801" i="28"/>
  <c r="R801" i="28" s="1"/>
  <c r="T801" i="28" s="1"/>
  <c r="L801" i="28"/>
  <c r="B804" i="28"/>
  <c r="F804" i="28" s="1"/>
  <c r="Y805" i="28"/>
  <c r="N803" i="28"/>
  <c r="O803" i="28"/>
  <c r="E803" i="28"/>
  <c r="P803" i="28"/>
  <c r="M803" i="28"/>
  <c r="V801" i="28"/>
  <c r="I803" i="28" l="1"/>
  <c r="W803" i="28"/>
  <c r="V802" i="28"/>
  <c r="K803" i="28"/>
  <c r="U803" i="28"/>
  <c r="J803" i="28"/>
  <c r="Y806" i="28"/>
  <c r="B805" i="28"/>
  <c r="F805" i="28" s="1"/>
  <c r="E804" i="28"/>
  <c r="M804" i="28"/>
  <c r="N804" i="28"/>
  <c r="P804" i="28"/>
  <c r="O804" i="28"/>
  <c r="Q802" i="28"/>
  <c r="R802" i="28" s="1"/>
  <c r="T802" i="28" s="1"/>
  <c r="L802" i="28"/>
  <c r="I804" i="28" l="1"/>
  <c r="W804" i="28"/>
  <c r="K804" i="28"/>
  <c r="M805" i="28"/>
  <c r="P805" i="28"/>
  <c r="N805" i="28"/>
  <c r="O805" i="28"/>
  <c r="E805" i="28"/>
  <c r="Y807" i="28"/>
  <c r="B806" i="28"/>
  <c r="F806" i="28" s="1"/>
  <c r="L803" i="28"/>
  <c r="Q803" i="28"/>
  <c r="R803" i="28" s="1"/>
  <c r="T803" i="28" s="1"/>
  <c r="U804" i="28"/>
  <c r="J804" i="28"/>
  <c r="V803" i="28"/>
  <c r="I805" i="28" l="1"/>
  <c r="W805" i="28"/>
  <c r="K805" i="28"/>
  <c r="V804" i="28"/>
  <c r="Y808" i="28"/>
  <c r="B807" i="28"/>
  <c r="F807" i="28" s="1"/>
  <c r="N806" i="28"/>
  <c r="P806" i="28"/>
  <c r="E806" i="28"/>
  <c r="M806" i="28"/>
  <c r="O806" i="28"/>
  <c r="U805" i="28"/>
  <c r="J805" i="28"/>
  <c r="L804" i="28"/>
  <c r="Q804" i="28"/>
  <c r="R804" i="28" s="1"/>
  <c r="T804" i="28" s="1"/>
  <c r="V805" i="28"/>
  <c r="I806" i="28" l="1"/>
  <c r="W806" i="28"/>
  <c r="K806" i="28"/>
  <c r="Q805" i="28"/>
  <c r="R805" i="28" s="1"/>
  <c r="T805" i="28" s="1"/>
  <c r="L805" i="28"/>
  <c r="J806" i="28"/>
  <c r="U806" i="28"/>
  <c r="M807" i="28"/>
  <c r="E807" i="28"/>
  <c r="N807" i="28"/>
  <c r="O807" i="28"/>
  <c r="P807" i="28"/>
  <c r="B808" i="28"/>
  <c r="F808" i="28" s="1"/>
  <c r="Y809" i="28"/>
  <c r="I807" i="28" l="1"/>
  <c r="W807" i="28"/>
  <c r="K807" i="28"/>
  <c r="N808" i="28"/>
  <c r="E808" i="28"/>
  <c r="M808" i="28"/>
  <c r="P808" i="28"/>
  <c r="O808" i="28"/>
  <c r="U807" i="28"/>
  <c r="J807" i="28"/>
  <c r="Q806" i="28"/>
  <c r="R806" i="28" s="1"/>
  <c r="T806" i="28" s="1"/>
  <c r="L806" i="28"/>
  <c r="Y810" i="28"/>
  <c r="B809" i="28"/>
  <c r="F809" i="28" s="1"/>
  <c r="M717" i="7"/>
  <c r="M719" i="7" s="1"/>
  <c r="M721" i="7" s="1"/>
  <c r="M723" i="7" s="1"/>
  <c r="V806" i="28"/>
  <c r="I808" i="28" l="1"/>
  <c r="W808" i="28"/>
  <c r="K808" i="28"/>
  <c r="V807" i="28"/>
  <c r="U808" i="28"/>
  <c r="J808" i="28"/>
  <c r="H772" i="7"/>
  <c r="I772" i="7" s="1"/>
  <c r="H756" i="7"/>
  <c r="I756" i="7" s="1"/>
  <c r="H740" i="7"/>
  <c r="I740" i="7" s="1"/>
  <c r="H724" i="7"/>
  <c r="I724" i="7" s="1"/>
  <c r="H769" i="7"/>
  <c r="I769" i="7" s="1"/>
  <c r="H747" i="7"/>
  <c r="I747" i="7" s="1"/>
  <c r="H726" i="7"/>
  <c r="I726" i="7" s="1"/>
  <c r="K778" i="7"/>
  <c r="K762" i="7"/>
  <c r="K746" i="7"/>
  <c r="H773" i="7"/>
  <c r="I773" i="7" s="1"/>
  <c r="H751" i="7"/>
  <c r="I751" i="7" s="1"/>
  <c r="H730" i="7"/>
  <c r="I730" i="7" s="1"/>
  <c r="K781" i="7"/>
  <c r="K765" i="7"/>
  <c r="K749" i="7"/>
  <c r="K733" i="7"/>
  <c r="K717" i="7"/>
  <c r="H750" i="7"/>
  <c r="I750" i="7" s="1"/>
  <c r="K780" i="7"/>
  <c r="K748" i="7"/>
  <c r="K724" i="7"/>
  <c r="H759" i="7"/>
  <c r="I759" i="7" s="1"/>
  <c r="H718" i="7"/>
  <c r="I718" i="7" s="1"/>
  <c r="K755" i="7"/>
  <c r="K728" i="7"/>
  <c r="H745" i="7"/>
  <c r="I745" i="7" s="1"/>
  <c r="K744" i="7"/>
  <c r="H743" i="7"/>
  <c r="I743" i="7" s="1"/>
  <c r="K727" i="7"/>
  <c r="K759" i="7"/>
  <c r="K752" i="7"/>
  <c r="K731" i="7"/>
  <c r="K751" i="7"/>
  <c r="H776" i="7"/>
  <c r="I776" i="7" s="1"/>
  <c r="H760" i="7"/>
  <c r="I760" i="7" s="1"/>
  <c r="H744" i="7"/>
  <c r="I744" i="7" s="1"/>
  <c r="H774" i="7"/>
  <c r="I774" i="7" s="1"/>
  <c r="H731" i="7"/>
  <c r="I731" i="7" s="1"/>
  <c r="K782" i="7"/>
  <c r="K750" i="7"/>
  <c r="H757" i="7"/>
  <c r="I757" i="7" s="1"/>
  <c r="K785" i="7"/>
  <c r="K769" i="7"/>
  <c r="K737" i="7"/>
  <c r="H761" i="7"/>
  <c r="I761" i="7" s="1"/>
  <c r="K756" i="7"/>
  <c r="H784" i="7"/>
  <c r="I784" i="7" s="1"/>
  <c r="H768" i="7"/>
  <c r="I768" i="7" s="1"/>
  <c r="H752" i="7"/>
  <c r="I752" i="7" s="1"/>
  <c r="H736" i="7"/>
  <c r="I736" i="7" s="1"/>
  <c r="H785" i="7"/>
  <c r="I785" i="7" s="1"/>
  <c r="H763" i="7"/>
  <c r="I763" i="7" s="1"/>
  <c r="H742" i="7"/>
  <c r="I742" i="7" s="1"/>
  <c r="H721" i="7"/>
  <c r="I721" i="7" s="1"/>
  <c r="K774" i="7"/>
  <c r="K758" i="7"/>
  <c r="K742" i="7"/>
  <c r="H767" i="7"/>
  <c r="I767" i="7" s="1"/>
  <c r="H746" i="7"/>
  <c r="I746" i="7" s="1"/>
  <c r="H725" i="7"/>
  <c r="I725" i="7" s="1"/>
  <c r="K777" i="7"/>
  <c r="K761" i="7"/>
  <c r="K745" i="7"/>
  <c r="K729" i="7"/>
  <c r="H782" i="7"/>
  <c r="I782" i="7" s="1"/>
  <c r="H739" i="7"/>
  <c r="I739" i="7" s="1"/>
  <c r="K772" i="7"/>
  <c r="K740" i="7"/>
  <c r="K719" i="7"/>
  <c r="H749" i="7"/>
  <c r="I749" i="7" s="1"/>
  <c r="K779" i="7"/>
  <c r="K747" i="7"/>
  <c r="K723" i="7"/>
  <c r="H723" i="7"/>
  <c r="I723" i="7" s="1"/>
  <c r="K732" i="7"/>
  <c r="K784" i="7"/>
  <c r="H765" i="7"/>
  <c r="I765" i="7" s="1"/>
  <c r="K738" i="7"/>
  <c r="K720" i="7"/>
  <c r="H722" i="7"/>
  <c r="I722" i="7" s="1"/>
  <c r="H777" i="7"/>
  <c r="I777" i="7" s="1"/>
  <c r="H780" i="7"/>
  <c r="I780" i="7" s="1"/>
  <c r="H764" i="7"/>
  <c r="I764" i="7" s="1"/>
  <c r="H748" i="7"/>
  <c r="I748" i="7" s="1"/>
  <c r="H732" i="7"/>
  <c r="I732" i="7" s="1"/>
  <c r="H779" i="7"/>
  <c r="I779" i="7" s="1"/>
  <c r="H758" i="7"/>
  <c r="I758" i="7" s="1"/>
  <c r="H737" i="7"/>
  <c r="I737" i="7" s="1"/>
  <c r="H717" i="7"/>
  <c r="I717" i="7" s="1"/>
  <c r="K770" i="7"/>
  <c r="K754" i="7"/>
  <c r="H783" i="7"/>
  <c r="I783" i="7" s="1"/>
  <c r="H762" i="7"/>
  <c r="I762" i="7" s="1"/>
  <c r="H741" i="7"/>
  <c r="I741" i="7" s="1"/>
  <c r="H720" i="7"/>
  <c r="I720" i="7" s="1"/>
  <c r="K773" i="7"/>
  <c r="K757" i="7"/>
  <c r="K741" i="7"/>
  <c r="K725" i="7"/>
  <c r="H771" i="7"/>
  <c r="I771" i="7" s="1"/>
  <c r="H729" i="7"/>
  <c r="I729" i="7" s="1"/>
  <c r="K764" i="7"/>
  <c r="K735" i="7"/>
  <c r="H781" i="7"/>
  <c r="I781" i="7" s="1"/>
  <c r="H738" i="7"/>
  <c r="I738" i="7" s="1"/>
  <c r="K771" i="7"/>
  <c r="K739" i="7"/>
  <c r="K718" i="7"/>
  <c r="K776" i="7"/>
  <c r="K722" i="7"/>
  <c r="K767" i="7"/>
  <c r="H734" i="7"/>
  <c r="I734" i="7" s="1"/>
  <c r="K726" i="7"/>
  <c r="H754" i="7"/>
  <c r="I754" i="7" s="1"/>
  <c r="K775" i="7"/>
  <c r="K736" i="7"/>
  <c r="H728" i="7"/>
  <c r="I728" i="7" s="1"/>
  <c r="H753" i="7"/>
  <c r="I753" i="7" s="1"/>
  <c r="K766" i="7"/>
  <c r="H778" i="7"/>
  <c r="I778" i="7" s="1"/>
  <c r="H735" i="7"/>
  <c r="I735" i="7" s="1"/>
  <c r="K753" i="7"/>
  <c r="K721" i="7"/>
  <c r="H719" i="7"/>
  <c r="I719" i="7" s="1"/>
  <c r="H727" i="7"/>
  <c r="I727" i="7" s="1"/>
  <c r="K760" i="7"/>
  <c r="H733" i="7"/>
  <c r="I733" i="7" s="1"/>
  <c r="H766" i="7"/>
  <c r="I766" i="7" s="1"/>
  <c r="K763" i="7"/>
  <c r="H775" i="7"/>
  <c r="I775" i="7" s="1"/>
  <c r="K768" i="7"/>
  <c r="H770" i="7"/>
  <c r="I770" i="7" s="1"/>
  <c r="K730" i="7"/>
  <c r="K734" i="7"/>
  <c r="K743" i="7"/>
  <c r="H755" i="7"/>
  <c r="I755" i="7" s="1"/>
  <c r="K783" i="7"/>
  <c r="E809" i="28"/>
  <c r="M809" i="28"/>
  <c r="P809" i="28"/>
  <c r="N809" i="28"/>
  <c r="O809" i="28"/>
  <c r="L807" i="28"/>
  <c r="Q807" i="28"/>
  <c r="R807" i="28" s="1"/>
  <c r="T807" i="28" s="1"/>
  <c r="Y811" i="28"/>
  <c r="B810" i="28"/>
  <c r="F810" i="28" s="1"/>
  <c r="V808" i="28" l="1"/>
  <c r="I809" i="28"/>
  <c r="W809" i="28"/>
  <c r="K809" i="28"/>
  <c r="M810" i="28"/>
  <c r="N810" i="28"/>
  <c r="E810" i="28"/>
  <c r="O810" i="28"/>
  <c r="P810" i="28"/>
  <c r="J809" i="28"/>
  <c r="U809" i="28"/>
  <c r="V809" i="28" s="1"/>
  <c r="Q808" i="28"/>
  <c r="R808" i="28" s="1"/>
  <c r="T808" i="28" s="1"/>
  <c r="L808" i="28"/>
  <c r="Y812" i="28"/>
  <c r="B811" i="28"/>
  <c r="F811" i="28" s="1"/>
  <c r="I810" i="28" l="1"/>
  <c r="W810" i="28"/>
  <c r="K810" i="28"/>
  <c r="M811" i="28"/>
  <c r="E811" i="28"/>
  <c r="N811" i="28"/>
  <c r="O811" i="28"/>
  <c r="P811" i="28"/>
  <c r="Y813" i="28"/>
  <c r="B812" i="28"/>
  <c r="F812" i="28" s="1"/>
  <c r="L809" i="28"/>
  <c r="Q809" i="28"/>
  <c r="R809" i="28" s="1"/>
  <c r="T809" i="28" s="1"/>
  <c r="U810" i="28"/>
  <c r="J810" i="28"/>
  <c r="I811" i="28" l="1"/>
  <c r="W811" i="28"/>
  <c r="K811" i="28"/>
  <c r="V810" i="28"/>
  <c r="B813" i="28"/>
  <c r="F813" i="28" s="1"/>
  <c r="Y814" i="28"/>
  <c r="J811" i="28"/>
  <c r="U811" i="28"/>
  <c r="L810" i="28"/>
  <c r="Q810" i="28"/>
  <c r="R810" i="28" s="1"/>
  <c r="T810" i="28" s="1"/>
  <c r="P812" i="28"/>
  <c r="E812" i="28"/>
  <c r="M812" i="28"/>
  <c r="O812" i="28"/>
  <c r="N812" i="28"/>
  <c r="I812" i="28" l="1"/>
  <c r="W812" i="28"/>
  <c r="V811" i="28"/>
  <c r="K812" i="28"/>
  <c r="L811" i="28"/>
  <c r="Q811" i="28"/>
  <c r="R811" i="28" s="1"/>
  <c r="T811" i="28" s="1"/>
  <c r="B814" i="28"/>
  <c r="F814" i="28" s="1"/>
  <c r="Y815" i="28"/>
  <c r="J812" i="28"/>
  <c r="U812" i="28"/>
  <c r="N813" i="28"/>
  <c r="P813" i="28"/>
  <c r="E813" i="28"/>
  <c r="O813" i="28"/>
  <c r="M813" i="28"/>
  <c r="V812" i="28"/>
  <c r="I813" i="28" l="1"/>
  <c r="W813" i="28"/>
  <c r="K813" i="28"/>
  <c r="Y816" i="28"/>
  <c r="B815" i="28"/>
  <c r="F815" i="28" s="1"/>
  <c r="N814" i="28"/>
  <c r="E814" i="28"/>
  <c r="P814" i="28"/>
  <c r="O814" i="28"/>
  <c r="M814" i="28"/>
  <c r="U813" i="28"/>
  <c r="J813" i="28"/>
  <c r="V813" i="28"/>
  <c r="L812" i="28"/>
  <c r="Q812" i="28"/>
  <c r="R812" i="28" s="1"/>
  <c r="T812" i="28" s="1"/>
  <c r="I814" i="28" l="1"/>
  <c r="J814" i="28" s="1"/>
  <c r="W814" i="28"/>
  <c r="K814" i="28"/>
  <c r="U814" i="28"/>
  <c r="Q813" i="28"/>
  <c r="R813" i="28" s="1"/>
  <c r="T813" i="28" s="1"/>
  <c r="L813" i="28"/>
  <c r="N815" i="28"/>
  <c r="E815" i="28"/>
  <c r="P815" i="28"/>
  <c r="O815" i="28"/>
  <c r="M815" i="28"/>
  <c r="B816" i="28"/>
  <c r="F816" i="28" s="1"/>
  <c r="Y817" i="28"/>
  <c r="I815" i="28" l="1"/>
  <c r="W815" i="28"/>
  <c r="V814" i="28"/>
  <c r="K815" i="28"/>
  <c r="Y818" i="28"/>
  <c r="B817" i="28"/>
  <c r="F817" i="28" s="1"/>
  <c r="E816" i="28"/>
  <c r="O816" i="28"/>
  <c r="M816" i="28"/>
  <c r="P816" i="28"/>
  <c r="N816" i="28"/>
  <c r="U815" i="28"/>
  <c r="J815" i="28"/>
  <c r="Q814" i="28"/>
  <c r="R814" i="28" s="1"/>
  <c r="T814" i="28" s="1"/>
  <c r="L814" i="28"/>
  <c r="I816" i="28" l="1"/>
  <c r="J816" i="28" s="1"/>
  <c r="W816" i="28"/>
  <c r="K816" i="28"/>
  <c r="V815" i="28"/>
  <c r="L815" i="28"/>
  <c r="Q815" i="28"/>
  <c r="R815" i="28" s="1"/>
  <c r="T815" i="28" s="1"/>
  <c r="U816" i="28"/>
  <c r="V816" i="28" s="1"/>
  <c r="E817" i="28"/>
  <c r="O817" i="28"/>
  <c r="M817" i="28"/>
  <c r="N817" i="28"/>
  <c r="P817" i="28"/>
  <c r="B818" i="28"/>
  <c r="F818" i="28" s="1"/>
  <c r="Y819" i="28"/>
  <c r="I817" i="28" l="1"/>
  <c r="W817" i="28"/>
  <c r="K817" i="28"/>
  <c r="U817" i="28"/>
  <c r="J817" i="28"/>
  <c r="Y820" i="28"/>
  <c r="B819" i="28"/>
  <c r="F819" i="28" s="1"/>
  <c r="O818" i="28"/>
  <c r="E818" i="28"/>
  <c r="M818" i="28"/>
  <c r="N818" i="28"/>
  <c r="P818" i="28"/>
  <c r="L816" i="28"/>
  <c r="Q816" i="28"/>
  <c r="R816" i="28" s="1"/>
  <c r="T816" i="28" s="1"/>
  <c r="I818" i="28" l="1"/>
  <c r="W818" i="28"/>
  <c r="K818" i="28"/>
  <c r="V817" i="28"/>
  <c r="B820" i="28"/>
  <c r="F820" i="28" s="1"/>
  <c r="Y821" i="28"/>
  <c r="J818" i="28"/>
  <c r="U818" i="28"/>
  <c r="L817" i="28"/>
  <c r="Q817" i="28"/>
  <c r="R817" i="28" s="1"/>
  <c r="T817" i="28" s="1"/>
  <c r="O819" i="28"/>
  <c r="M819" i="28"/>
  <c r="N819" i="28"/>
  <c r="E819" i="28"/>
  <c r="P819" i="28"/>
  <c r="I819" i="28" l="1"/>
  <c r="W819" i="28"/>
  <c r="K819" i="28"/>
  <c r="V818" i="28"/>
  <c r="Q818" i="28"/>
  <c r="R818" i="28" s="1"/>
  <c r="T818" i="28" s="1"/>
  <c r="L818" i="28"/>
  <c r="B821" i="28"/>
  <c r="F821" i="28" s="1"/>
  <c r="Y822" i="28"/>
  <c r="N820" i="28"/>
  <c r="P820" i="28"/>
  <c r="O820" i="28"/>
  <c r="E820" i="28"/>
  <c r="M820" i="28"/>
  <c r="J819" i="28"/>
  <c r="U819" i="28"/>
  <c r="V819" i="28" s="1"/>
  <c r="I820" i="28" l="1"/>
  <c r="W820" i="28"/>
  <c r="K820" i="28"/>
  <c r="E821" i="28"/>
  <c r="M821" i="28"/>
  <c r="P821" i="28"/>
  <c r="N821" i="28"/>
  <c r="O821" i="28"/>
  <c r="Q819" i="28"/>
  <c r="R819" i="28" s="1"/>
  <c r="T819" i="28" s="1"/>
  <c r="L819" i="28"/>
  <c r="J820" i="28"/>
  <c r="U820" i="28"/>
  <c r="B822" i="28"/>
  <c r="F822" i="28" s="1"/>
  <c r="Y823" i="28"/>
  <c r="I821" i="28" l="1"/>
  <c r="W821" i="28"/>
  <c r="K821" i="28"/>
  <c r="V820" i="28"/>
  <c r="L820" i="28"/>
  <c r="Q820" i="28"/>
  <c r="R820" i="28" s="1"/>
  <c r="T820" i="28" s="1"/>
  <c r="Y824" i="28"/>
  <c r="B823" i="28"/>
  <c r="F823" i="28" s="1"/>
  <c r="O822" i="28"/>
  <c r="M822" i="28"/>
  <c r="E822" i="28"/>
  <c r="N822" i="28"/>
  <c r="P822" i="28"/>
  <c r="U821" i="28"/>
  <c r="J821" i="28"/>
  <c r="I822" i="28" l="1"/>
  <c r="W822" i="28"/>
  <c r="K822" i="28"/>
  <c r="B824" i="28"/>
  <c r="F824" i="28" s="1"/>
  <c r="Y825" i="28"/>
  <c r="L821" i="28"/>
  <c r="Q821" i="28"/>
  <c r="R821" i="28" s="1"/>
  <c r="T821" i="28" s="1"/>
  <c r="J822" i="28"/>
  <c r="U822" i="28"/>
  <c r="N823" i="28"/>
  <c r="O823" i="28"/>
  <c r="P823" i="28"/>
  <c r="M823" i="28"/>
  <c r="E823" i="28"/>
  <c r="V821" i="28"/>
  <c r="I823" i="28" l="1"/>
  <c r="W823" i="28"/>
  <c r="K823" i="28"/>
  <c r="V822" i="28"/>
  <c r="Y826" i="28"/>
  <c r="B825" i="28"/>
  <c r="F825" i="28" s="1"/>
  <c r="U823" i="28"/>
  <c r="J823" i="28"/>
  <c r="L822" i="28"/>
  <c r="Q822" i="28"/>
  <c r="R822" i="28" s="1"/>
  <c r="T822" i="28" s="1"/>
  <c r="M824" i="28"/>
  <c r="E824" i="28"/>
  <c r="O824" i="28"/>
  <c r="N824" i="28"/>
  <c r="P824" i="28"/>
  <c r="I824" i="28" l="1"/>
  <c r="W824" i="28"/>
  <c r="K824" i="28"/>
  <c r="V823" i="28"/>
  <c r="E825" i="28"/>
  <c r="O825" i="28"/>
  <c r="M825" i="28"/>
  <c r="N825" i="28"/>
  <c r="P825" i="28"/>
  <c r="U824" i="28"/>
  <c r="J824" i="28"/>
  <c r="Y827" i="28"/>
  <c r="B826" i="28"/>
  <c r="F826" i="28" s="1"/>
  <c r="Q823" i="28"/>
  <c r="R823" i="28" s="1"/>
  <c r="T823" i="28" s="1"/>
  <c r="L823" i="28"/>
  <c r="I825" i="28" l="1"/>
  <c r="W825" i="28"/>
  <c r="K825" i="28"/>
  <c r="V824" i="28"/>
  <c r="N826" i="28"/>
  <c r="P826" i="28"/>
  <c r="O826" i="28"/>
  <c r="E826" i="28"/>
  <c r="M826" i="28"/>
  <c r="Y828" i="28"/>
  <c r="B827" i="28"/>
  <c r="F827" i="28" s="1"/>
  <c r="Q824" i="28"/>
  <c r="R824" i="28" s="1"/>
  <c r="T824" i="28" s="1"/>
  <c r="L824" i="28"/>
  <c r="U825" i="28"/>
  <c r="V825" i="28" s="1"/>
  <c r="J825" i="28"/>
  <c r="I826" i="28" l="1"/>
  <c r="W826" i="28"/>
  <c r="K826" i="28"/>
  <c r="L825" i="28"/>
  <c r="Q825" i="28"/>
  <c r="R825" i="28" s="1"/>
  <c r="T825" i="28" s="1"/>
  <c r="N827" i="28"/>
  <c r="O827" i="28"/>
  <c r="E827" i="28"/>
  <c r="P827" i="28"/>
  <c r="M827" i="28"/>
  <c r="J826" i="28"/>
  <c r="U826" i="28"/>
  <c r="B828" i="28"/>
  <c r="F828" i="28" s="1"/>
  <c r="Y829" i="28"/>
  <c r="I827" i="28" l="1"/>
  <c r="W827" i="28"/>
  <c r="K827" i="28"/>
  <c r="M828" i="28"/>
  <c r="N828" i="28"/>
  <c r="P828" i="28"/>
  <c r="E828" i="28"/>
  <c r="O828" i="28"/>
  <c r="V826" i="28"/>
  <c r="B829" i="28"/>
  <c r="F829" i="28" s="1"/>
  <c r="Y830" i="28"/>
  <c r="V827" i="28"/>
  <c r="L826" i="28"/>
  <c r="Q826" i="28"/>
  <c r="R826" i="28" s="1"/>
  <c r="T826" i="28" s="1"/>
  <c r="U827" i="28"/>
  <c r="J827" i="28"/>
  <c r="I828" i="28" l="1"/>
  <c r="W828" i="28"/>
  <c r="K828" i="28"/>
  <c r="L827" i="28"/>
  <c r="Q827" i="28"/>
  <c r="R827" i="28" s="1"/>
  <c r="T827" i="28" s="1"/>
  <c r="J828" i="28"/>
  <c r="U828" i="28"/>
  <c r="B830" i="28"/>
  <c r="F830" i="28" s="1"/>
  <c r="Y831" i="28"/>
  <c r="P829" i="28"/>
  <c r="O829" i="28"/>
  <c r="M829" i="28"/>
  <c r="E829" i="28"/>
  <c r="N829" i="28"/>
  <c r="I829" i="28" l="1"/>
  <c r="W829" i="28"/>
  <c r="K829" i="28"/>
  <c r="V828" i="28"/>
  <c r="J829" i="28"/>
  <c r="U829" i="28"/>
  <c r="V829" i="28" s="1"/>
  <c r="Q828" i="28"/>
  <c r="R828" i="28" s="1"/>
  <c r="T828" i="28" s="1"/>
  <c r="L828" i="28"/>
  <c r="Y832" i="28"/>
  <c r="B831" i="28"/>
  <c r="F831" i="28" s="1"/>
  <c r="O830" i="28"/>
  <c r="E830" i="28"/>
  <c r="M830" i="28"/>
  <c r="P830" i="28"/>
  <c r="N830" i="28"/>
  <c r="I830" i="28" l="1"/>
  <c r="W830" i="28"/>
  <c r="K830" i="28"/>
  <c r="E831" i="28"/>
  <c r="M831" i="28"/>
  <c r="O831" i="28"/>
  <c r="N831" i="28"/>
  <c r="P831" i="28"/>
  <c r="U830" i="28"/>
  <c r="J830" i="28"/>
  <c r="B832" i="28"/>
  <c r="F832" i="28" s="1"/>
  <c r="Y833" i="28"/>
  <c r="L829" i="28"/>
  <c r="Q829" i="28"/>
  <c r="R829" i="28" s="1"/>
  <c r="T829" i="28" s="1"/>
  <c r="I831" i="28" l="1"/>
  <c r="W831" i="28"/>
  <c r="K831" i="28"/>
  <c r="Y834" i="28"/>
  <c r="B833" i="28"/>
  <c r="F833" i="28" s="1"/>
  <c r="N832" i="28"/>
  <c r="O832" i="28"/>
  <c r="P832" i="28"/>
  <c r="M832" i="28"/>
  <c r="E832" i="28"/>
  <c r="Q830" i="28"/>
  <c r="R830" i="28" s="1"/>
  <c r="T830" i="28" s="1"/>
  <c r="L830" i="28"/>
  <c r="U831" i="28"/>
  <c r="J831" i="28"/>
  <c r="V830" i="28"/>
  <c r="I832" i="28" l="1"/>
  <c r="W832" i="28"/>
  <c r="K832" i="28"/>
  <c r="M833" i="28"/>
  <c r="O833" i="28"/>
  <c r="N833" i="28"/>
  <c r="P833" i="28"/>
  <c r="E833" i="28"/>
  <c r="Q831" i="28"/>
  <c r="R831" i="28" s="1"/>
  <c r="T831" i="28" s="1"/>
  <c r="L831" i="28"/>
  <c r="J832" i="28"/>
  <c r="U832" i="28"/>
  <c r="B834" i="28"/>
  <c r="F834" i="28" s="1"/>
  <c r="Y835" i="28"/>
  <c r="V831" i="28"/>
  <c r="I833" i="28" l="1"/>
  <c r="J833" i="28" s="1"/>
  <c r="W833" i="28"/>
  <c r="K833" i="28"/>
  <c r="U833" i="28"/>
  <c r="Y836" i="28"/>
  <c r="B835" i="28"/>
  <c r="F835" i="28" s="1"/>
  <c r="E834" i="28"/>
  <c r="O834" i="28"/>
  <c r="M834" i="28"/>
  <c r="N834" i="28"/>
  <c r="P834" i="28"/>
  <c r="Q832" i="28"/>
  <c r="R832" i="28" s="1"/>
  <c r="T832" i="28" s="1"/>
  <c r="L832" i="28"/>
  <c r="V833" i="28"/>
  <c r="V832" i="28"/>
  <c r="I834" i="28" l="1"/>
  <c r="W834" i="28"/>
  <c r="K834" i="28"/>
  <c r="P835" i="28"/>
  <c r="O835" i="28"/>
  <c r="E835" i="28"/>
  <c r="M835" i="28"/>
  <c r="N835" i="28"/>
  <c r="Y837" i="28"/>
  <c r="B836" i="28"/>
  <c r="F836" i="28" s="1"/>
  <c r="J834" i="28"/>
  <c r="U834" i="28"/>
  <c r="Q833" i="28"/>
  <c r="R833" i="28" s="1"/>
  <c r="T833" i="28" s="1"/>
  <c r="L833" i="28"/>
  <c r="I835" i="28" l="1"/>
  <c r="W835" i="28"/>
  <c r="K835" i="28"/>
  <c r="V834" i="28"/>
  <c r="U835" i="28"/>
  <c r="J835" i="28"/>
  <c r="Y838" i="28"/>
  <c r="B837" i="28"/>
  <c r="F837" i="28" s="1"/>
  <c r="L834" i="28"/>
  <c r="Q834" i="28"/>
  <c r="R834" i="28" s="1"/>
  <c r="T834" i="28" s="1"/>
  <c r="O836" i="28"/>
  <c r="M836" i="28"/>
  <c r="N836" i="28"/>
  <c r="P836" i="28"/>
  <c r="E836" i="28"/>
  <c r="V835" i="28"/>
  <c r="I836" i="28" l="1"/>
  <c r="W836" i="28"/>
  <c r="K836" i="28"/>
  <c r="E837" i="28"/>
  <c r="O837" i="28"/>
  <c r="N837" i="28"/>
  <c r="M837" i="28"/>
  <c r="P837" i="28"/>
  <c r="Y839" i="28"/>
  <c r="B838" i="28"/>
  <c r="F838" i="28" s="1"/>
  <c r="L835" i="28"/>
  <c r="Q835" i="28"/>
  <c r="R835" i="28" s="1"/>
  <c r="T835" i="28" s="1"/>
  <c r="U836" i="28"/>
  <c r="V836" i="28" s="1"/>
  <c r="J836" i="28"/>
  <c r="I837" i="28" l="1"/>
  <c r="J837" i="28" s="1"/>
  <c r="W837" i="28"/>
  <c r="K837" i="28"/>
  <c r="U837" i="28"/>
  <c r="Q836" i="28"/>
  <c r="R836" i="28" s="1"/>
  <c r="T836" i="28" s="1"/>
  <c r="L836" i="28"/>
  <c r="P838" i="28"/>
  <c r="E838" i="28"/>
  <c r="O838" i="28"/>
  <c r="M838" i="28"/>
  <c r="N838" i="28"/>
  <c r="B839" i="28"/>
  <c r="F839" i="28" s="1"/>
  <c r="Y840" i="28"/>
  <c r="I838" i="28" l="1"/>
  <c r="W838" i="28"/>
  <c r="K838" i="28"/>
  <c r="V837" i="28"/>
  <c r="Q837" i="28"/>
  <c r="R837" i="28" s="1"/>
  <c r="T837" i="28" s="1"/>
  <c r="L837" i="28"/>
  <c r="B840" i="28"/>
  <c r="F840" i="28" s="1"/>
  <c r="Y841" i="28"/>
  <c r="O839" i="28"/>
  <c r="E839" i="28"/>
  <c r="M839" i="28"/>
  <c r="N839" i="28"/>
  <c r="P839" i="28"/>
  <c r="U838" i="28"/>
  <c r="J838" i="28"/>
  <c r="I839" i="28" l="1"/>
  <c r="J839" i="28" s="1"/>
  <c r="W839" i="28"/>
  <c r="K839" i="28"/>
  <c r="U839" i="28"/>
  <c r="M840" i="28"/>
  <c r="E840" i="28"/>
  <c r="N840" i="28"/>
  <c r="P840" i="28"/>
  <c r="O840" i="28"/>
  <c r="Q838" i="28"/>
  <c r="R838" i="28" s="1"/>
  <c r="T838" i="28" s="1"/>
  <c r="L838" i="28"/>
  <c r="Y842" i="28"/>
  <c r="B841" i="28"/>
  <c r="F841" i="28" s="1"/>
  <c r="V838" i="28"/>
  <c r="I840" i="28" l="1"/>
  <c r="W840" i="28"/>
  <c r="V839" i="28"/>
  <c r="K840" i="28"/>
  <c r="B842" i="28"/>
  <c r="F842" i="28" s="1"/>
  <c r="Y843" i="28"/>
  <c r="E841" i="28"/>
  <c r="P841" i="28"/>
  <c r="O841" i="28"/>
  <c r="M841" i="28"/>
  <c r="N841" i="28"/>
  <c r="U840" i="28"/>
  <c r="V840" i="28" s="1"/>
  <c r="J840" i="28"/>
  <c r="L839" i="28"/>
  <c r="Q839" i="28"/>
  <c r="R839" i="28" s="1"/>
  <c r="T839" i="28" s="1"/>
  <c r="I841" i="28" l="1"/>
  <c r="W841" i="28"/>
  <c r="K841" i="28"/>
  <c r="L840" i="28"/>
  <c r="Q840" i="28"/>
  <c r="R840" i="28" s="1"/>
  <c r="T840" i="28" s="1"/>
  <c r="Y856" i="28"/>
  <c r="Y844" i="28"/>
  <c r="B843" i="28"/>
  <c r="F843" i="28" s="1"/>
  <c r="M842" i="28"/>
  <c r="P842" i="28"/>
  <c r="N842" i="28"/>
  <c r="E842" i="28"/>
  <c r="O842" i="28"/>
  <c r="U841" i="28"/>
  <c r="J841" i="28"/>
  <c r="I842" i="28" l="1"/>
  <c r="W842" i="28"/>
  <c r="K842" i="28"/>
  <c r="V841" i="28"/>
  <c r="J842" i="28"/>
  <c r="U842" i="28"/>
  <c r="Y857" i="28"/>
  <c r="B857" i="28" s="1"/>
  <c r="F857" i="28" s="1"/>
  <c r="B856" i="28"/>
  <c r="F856" i="28" s="1"/>
  <c r="L841" i="28"/>
  <c r="Q841" i="28"/>
  <c r="R841" i="28" s="1"/>
  <c r="T841" i="28" s="1"/>
  <c r="N843" i="28"/>
  <c r="O843" i="28"/>
  <c r="P843" i="28"/>
  <c r="M843" i="28"/>
  <c r="E843" i="28"/>
  <c r="B844" i="28"/>
  <c r="F844" i="28" s="1"/>
  <c r="Y845" i="28"/>
  <c r="I843" i="28" l="1"/>
  <c r="W843" i="28"/>
  <c r="V842" i="28"/>
  <c r="K843" i="28"/>
  <c r="N857" i="28"/>
  <c r="P857" i="28"/>
  <c r="M857" i="28"/>
  <c r="O857" i="28"/>
  <c r="E857" i="28"/>
  <c r="Y858" i="28"/>
  <c r="Y846" i="28"/>
  <c r="B845" i="28"/>
  <c r="F845" i="28" s="1"/>
  <c r="M844" i="28"/>
  <c r="P844" i="28"/>
  <c r="O844" i="28"/>
  <c r="E844" i="28"/>
  <c r="N844" i="28"/>
  <c r="J843" i="28"/>
  <c r="U843" i="28"/>
  <c r="O856" i="28"/>
  <c r="M856" i="28"/>
  <c r="N856" i="28"/>
  <c r="E856" i="28"/>
  <c r="P856" i="28"/>
  <c r="L842" i="28"/>
  <c r="Q842" i="28"/>
  <c r="R842" i="28" s="1"/>
  <c r="T842" i="28" s="1"/>
  <c r="I844" i="28" l="1"/>
  <c r="W844" i="28"/>
  <c r="I856" i="28"/>
  <c r="W856" i="28"/>
  <c r="I857" i="28"/>
  <c r="W857" i="28"/>
  <c r="K857" i="28"/>
  <c r="K856" i="28"/>
  <c r="K844" i="28"/>
  <c r="V843" i="28"/>
  <c r="J856" i="28"/>
  <c r="U856" i="28"/>
  <c r="J857" i="28"/>
  <c r="U857" i="28"/>
  <c r="Q843" i="28"/>
  <c r="R843" i="28" s="1"/>
  <c r="T843" i="28" s="1"/>
  <c r="L843" i="28"/>
  <c r="P845" i="28"/>
  <c r="M845" i="28"/>
  <c r="N845" i="28"/>
  <c r="O845" i="28"/>
  <c r="E845" i="28"/>
  <c r="Y847" i="28"/>
  <c r="B846" i="28"/>
  <c r="F846" i="28" s="1"/>
  <c r="U844" i="28"/>
  <c r="J844" i="28"/>
  <c r="B858" i="28"/>
  <c r="F858" i="28" s="1"/>
  <c r="Y859" i="28"/>
  <c r="V857" i="28"/>
  <c r="I845" i="28" l="1"/>
  <c r="W845" i="28"/>
  <c r="K845" i="28"/>
  <c r="V856" i="28"/>
  <c r="V844" i="28"/>
  <c r="N858" i="28"/>
  <c r="O858" i="28"/>
  <c r="M858" i="28"/>
  <c r="P858" i="28"/>
  <c r="E858" i="28"/>
  <c r="Y848" i="28"/>
  <c r="B847" i="28"/>
  <c r="F847" i="28" s="1"/>
  <c r="Q844" i="28"/>
  <c r="R844" i="28" s="1"/>
  <c r="T844" i="28" s="1"/>
  <c r="L844" i="28"/>
  <c r="J845" i="28"/>
  <c r="U845" i="28"/>
  <c r="Q857" i="28"/>
  <c r="R857" i="28" s="1"/>
  <c r="T857" i="28" s="1"/>
  <c r="L857" i="28"/>
  <c r="B859" i="28"/>
  <c r="F859" i="28" s="1"/>
  <c r="Y860" i="28"/>
  <c r="M846" i="28"/>
  <c r="P846" i="28"/>
  <c r="O846" i="28"/>
  <c r="E846" i="28"/>
  <c r="N846" i="28"/>
  <c r="L856" i="28"/>
  <c r="Q856" i="28"/>
  <c r="R856" i="28" s="1"/>
  <c r="T856" i="28" s="1"/>
  <c r="I846" i="28" l="1"/>
  <c r="W846" i="28"/>
  <c r="I858" i="28"/>
  <c r="W858" i="28"/>
  <c r="K846" i="28"/>
  <c r="K858" i="28"/>
  <c r="V845" i="28"/>
  <c r="J846" i="28"/>
  <c r="U846" i="28"/>
  <c r="V846" i="28" s="1"/>
  <c r="J858" i="28"/>
  <c r="U858" i="28"/>
  <c r="B860" i="28"/>
  <c r="F860" i="28" s="1"/>
  <c r="Y861" i="28"/>
  <c r="P847" i="28"/>
  <c r="N847" i="28"/>
  <c r="O847" i="28"/>
  <c r="M847" i="28"/>
  <c r="E847" i="28"/>
  <c r="M859" i="28"/>
  <c r="O859" i="28"/>
  <c r="E859" i="28"/>
  <c r="N859" i="28"/>
  <c r="P859" i="28"/>
  <c r="Q845" i="28"/>
  <c r="R845" i="28" s="1"/>
  <c r="T845" i="28" s="1"/>
  <c r="L845" i="28"/>
  <c r="B848" i="28"/>
  <c r="F848" i="28" s="1"/>
  <c r="Y849" i="28"/>
  <c r="I847" i="28" l="1"/>
  <c r="W847" i="28"/>
  <c r="I859" i="28"/>
  <c r="W859" i="28"/>
  <c r="V858" i="28"/>
  <c r="K847" i="28"/>
  <c r="K859" i="28"/>
  <c r="B861" i="28"/>
  <c r="F861" i="28" s="1"/>
  <c r="Y862" i="28"/>
  <c r="B862" i="28" s="1"/>
  <c r="F862" i="28" s="1"/>
  <c r="L858" i="28"/>
  <c r="Q858" i="28"/>
  <c r="R858" i="28" s="1"/>
  <c r="T858" i="28" s="1"/>
  <c r="M860" i="28"/>
  <c r="P860" i="28"/>
  <c r="E860" i="28"/>
  <c r="N860" i="28"/>
  <c r="O860" i="28"/>
  <c r="Y850" i="28"/>
  <c r="B849" i="28"/>
  <c r="F849" i="28" s="1"/>
  <c r="U859" i="28"/>
  <c r="V859" i="28" s="1"/>
  <c r="J859" i="28"/>
  <c r="U847" i="28"/>
  <c r="V847" i="28" s="1"/>
  <c r="J847" i="28"/>
  <c r="N848" i="28"/>
  <c r="O848" i="28"/>
  <c r="P848" i="28"/>
  <c r="M848" i="28"/>
  <c r="E848" i="28"/>
  <c r="Q846" i="28"/>
  <c r="R846" i="28" s="1"/>
  <c r="T846" i="28" s="1"/>
  <c r="L846" i="28"/>
  <c r="I848" i="28" l="1"/>
  <c r="W848" i="28"/>
  <c r="I860" i="28"/>
  <c r="W860" i="28"/>
  <c r="K848" i="28"/>
  <c r="K860" i="28"/>
  <c r="O862" i="28"/>
  <c r="N862" i="28"/>
  <c r="M862" i="28"/>
  <c r="P862" i="28"/>
  <c r="E862" i="28"/>
  <c r="Q847" i="28"/>
  <c r="R847" i="28" s="1"/>
  <c r="T847" i="28" s="1"/>
  <c r="L847" i="28"/>
  <c r="M849" i="28"/>
  <c r="N849" i="28"/>
  <c r="P849" i="28"/>
  <c r="E849" i="28"/>
  <c r="O849" i="28"/>
  <c r="U860" i="28"/>
  <c r="J860" i="28"/>
  <c r="O861" i="28"/>
  <c r="M861" i="28"/>
  <c r="N861" i="28"/>
  <c r="E861" i="28"/>
  <c r="P861" i="28"/>
  <c r="J848" i="28"/>
  <c r="U848" i="28"/>
  <c r="Y863" i="28"/>
  <c r="B850" i="28"/>
  <c r="F850" i="28" s="1"/>
  <c r="Y851" i="28"/>
  <c r="V860" i="28"/>
  <c r="L859" i="28"/>
  <c r="Q859" i="28"/>
  <c r="R859" i="28" s="1"/>
  <c r="T859" i="28" s="1"/>
  <c r="I861" i="28" l="1"/>
  <c r="W861" i="28"/>
  <c r="I862" i="28"/>
  <c r="W862" i="28"/>
  <c r="I849" i="28"/>
  <c r="W849" i="28"/>
  <c r="K861" i="28"/>
  <c r="K849" i="28"/>
  <c r="K862" i="28"/>
  <c r="V848" i="28"/>
  <c r="J861" i="28"/>
  <c r="U861" i="28"/>
  <c r="Q860" i="28"/>
  <c r="R860" i="28" s="1"/>
  <c r="T860" i="28" s="1"/>
  <c r="L860" i="28"/>
  <c r="B851" i="28"/>
  <c r="F851" i="28" s="1"/>
  <c r="Y852" i="28"/>
  <c r="L848" i="28"/>
  <c r="Q848" i="28"/>
  <c r="R848" i="28" s="1"/>
  <c r="T848" i="28" s="1"/>
  <c r="N850" i="28"/>
  <c r="E850" i="28"/>
  <c r="P850" i="28"/>
  <c r="O850" i="28"/>
  <c r="M850" i="28"/>
  <c r="J849" i="28"/>
  <c r="U849" i="28"/>
  <c r="V849" i="28" s="1"/>
  <c r="Y864" i="28"/>
  <c r="B863" i="28"/>
  <c r="F863" i="28" s="1"/>
  <c r="J862" i="28"/>
  <c r="U862" i="28"/>
  <c r="V862" i="28" s="1"/>
  <c r="I850" i="28" l="1"/>
  <c r="W850" i="28"/>
  <c r="V861" i="28"/>
  <c r="K850" i="28"/>
  <c r="Y853" i="28"/>
  <c r="B852" i="28"/>
  <c r="F852" i="28" s="1"/>
  <c r="L862" i="28"/>
  <c r="Q862" i="28"/>
  <c r="R862" i="28" s="1"/>
  <c r="T862" i="28" s="1"/>
  <c r="B864" i="28"/>
  <c r="F864" i="28" s="1"/>
  <c r="Y865" i="28"/>
  <c r="E851" i="28"/>
  <c r="M851" i="28"/>
  <c r="P851" i="28"/>
  <c r="N851" i="28"/>
  <c r="O851" i="28"/>
  <c r="L861" i="28"/>
  <c r="Q861" i="28"/>
  <c r="R861" i="28" s="1"/>
  <c r="T861" i="28" s="1"/>
  <c r="L849" i="28"/>
  <c r="Q849" i="28"/>
  <c r="R849" i="28" s="1"/>
  <c r="T849" i="28" s="1"/>
  <c r="N863" i="28"/>
  <c r="M863" i="28"/>
  <c r="E863" i="28"/>
  <c r="O863" i="28"/>
  <c r="P863" i="28"/>
  <c r="U850" i="28"/>
  <c r="J850" i="28"/>
  <c r="I851" i="28" l="1"/>
  <c r="W851" i="28"/>
  <c r="I863" i="28"/>
  <c r="J863" i="28" s="1"/>
  <c r="W863" i="28"/>
  <c r="K863" i="28"/>
  <c r="K851" i="28"/>
  <c r="J851" i="28"/>
  <c r="U851" i="28"/>
  <c r="U863" i="28"/>
  <c r="V863" i="28" s="1"/>
  <c r="V850" i="28"/>
  <c r="B865" i="28"/>
  <c r="F865" i="28" s="1"/>
  <c r="Y866" i="28"/>
  <c r="M852" i="28"/>
  <c r="P852" i="28"/>
  <c r="O852" i="28"/>
  <c r="N852" i="28"/>
  <c r="E852" i="28"/>
  <c r="L850" i="28"/>
  <c r="Q850" i="28"/>
  <c r="R850" i="28" s="1"/>
  <c r="T850" i="28" s="1"/>
  <c r="O864" i="28"/>
  <c r="M864" i="28"/>
  <c r="P864" i="28"/>
  <c r="E864" i="28"/>
  <c r="N864" i="28"/>
  <c r="B853" i="28"/>
  <c r="F853" i="28" s="1"/>
  <c r="Y854" i="28"/>
  <c r="I864" i="28" l="1"/>
  <c r="W864" i="28"/>
  <c r="I852" i="28"/>
  <c r="W852" i="28"/>
  <c r="V851" i="28"/>
  <c r="K864" i="28"/>
  <c r="K852" i="28"/>
  <c r="U864" i="28"/>
  <c r="J864" i="28"/>
  <c r="U852" i="28"/>
  <c r="J852" i="28"/>
  <c r="M865" i="28"/>
  <c r="O865" i="28"/>
  <c r="E865" i="28"/>
  <c r="N865" i="28"/>
  <c r="P865" i="28"/>
  <c r="Q863" i="28"/>
  <c r="R863" i="28" s="1"/>
  <c r="T863" i="28" s="1"/>
  <c r="L863" i="28"/>
  <c r="V864" i="28"/>
  <c r="Q851" i="28"/>
  <c r="R851" i="28" s="1"/>
  <c r="T851" i="28" s="1"/>
  <c r="L851" i="28"/>
  <c r="Y855" i="28"/>
  <c r="B854" i="28"/>
  <c r="F854" i="28" s="1"/>
  <c r="P853" i="28"/>
  <c r="E853" i="28"/>
  <c r="O853" i="28"/>
  <c r="M853" i="28"/>
  <c r="N853" i="28"/>
  <c r="B866" i="28"/>
  <c r="F866" i="28" s="1"/>
  <c r="Y867" i="28"/>
  <c r="B867" i="28" s="1"/>
  <c r="F867" i="28" s="1"/>
  <c r="I865" i="28" l="1"/>
  <c r="W865" i="28"/>
  <c r="I853" i="28"/>
  <c r="W853" i="28"/>
  <c r="K865" i="28"/>
  <c r="K853" i="28"/>
  <c r="V852" i="28"/>
  <c r="Q852" i="28"/>
  <c r="R852" i="28" s="1"/>
  <c r="T852" i="28" s="1"/>
  <c r="L852" i="28"/>
  <c r="M867" i="28"/>
  <c r="E867" i="28"/>
  <c r="N867" i="28"/>
  <c r="P867" i="28"/>
  <c r="O867" i="28"/>
  <c r="E866" i="28"/>
  <c r="N866" i="28"/>
  <c r="O866" i="28"/>
  <c r="M866" i="28"/>
  <c r="P866" i="28"/>
  <c r="U853" i="28"/>
  <c r="J853" i="28"/>
  <c r="N854" i="28"/>
  <c r="M854" i="28"/>
  <c r="P854" i="28"/>
  <c r="O854" i="28"/>
  <c r="E854" i="28"/>
  <c r="B855" i="28"/>
  <c r="F855" i="28" s="1"/>
  <c r="Y868" i="28"/>
  <c r="Q864" i="28"/>
  <c r="R864" i="28" s="1"/>
  <c r="T864" i="28" s="1"/>
  <c r="L864" i="28"/>
  <c r="U865" i="28"/>
  <c r="V865" i="28" s="1"/>
  <c r="J865" i="28"/>
  <c r="I866" i="28" l="1"/>
  <c r="W866" i="28"/>
  <c r="I867" i="28"/>
  <c r="W867" i="28"/>
  <c r="I854" i="28"/>
  <c r="W854" i="28"/>
  <c r="K867" i="28"/>
  <c r="K854" i="28"/>
  <c r="K866" i="28"/>
  <c r="M855" i="28"/>
  <c r="P855" i="28"/>
  <c r="N855" i="28"/>
  <c r="E855" i="28"/>
  <c r="O855" i="28"/>
  <c r="L865" i="28"/>
  <c r="Q865" i="28"/>
  <c r="R865" i="28" s="1"/>
  <c r="T865" i="28" s="1"/>
  <c r="B868" i="28"/>
  <c r="F868" i="28" s="1"/>
  <c r="Y869" i="28"/>
  <c r="J866" i="28"/>
  <c r="U866" i="28"/>
  <c r="V866" i="28" s="1"/>
  <c r="L853" i="28"/>
  <c r="Q853" i="28"/>
  <c r="R853" i="28" s="1"/>
  <c r="T853" i="28" s="1"/>
  <c r="J854" i="28"/>
  <c r="U854" i="28"/>
  <c r="U867" i="28"/>
  <c r="V867" i="28" s="1"/>
  <c r="J867" i="28"/>
  <c r="V853" i="28"/>
  <c r="I855" i="28" l="1"/>
  <c r="W855" i="28"/>
  <c r="K855" i="28"/>
  <c r="V854" i="28"/>
  <c r="M868" i="28"/>
  <c r="E868" i="28"/>
  <c r="N868" i="28"/>
  <c r="P868" i="28"/>
  <c r="O868" i="28"/>
  <c r="Y870" i="28"/>
  <c r="B869" i="28"/>
  <c r="F869" i="28" s="1"/>
  <c r="U855" i="28"/>
  <c r="J855" i="28"/>
  <c r="L854" i="28"/>
  <c r="Q854" i="28"/>
  <c r="R854" i="28" s="1"/>
  <c r="T854" i="28" s="1"/>
  <c r="L867" i="28"/>
  <c r="Q867" i="28"/>
  <c r="R867" i="28" s="1"/>
  <c r="T867" i="28" s="1"/>
  <c r="Q866" i="28"/>
  <c r="R866" i="28" s="1"/>
  <c r="T866" i="28" s="1"/>
  <c r="L866" i="28"/>
  <c r="I868" i="28" l="1"/>
  <c r="W868" i="28"/>
  <c r="K868" i="28"/>
  <c r="V855" i="28"/>
  <c r="B870" i="28"/>
  <c r="F870" i="28" s="1"/>
  <c r="Y871" i="28"/>
  <c r="M869" i="28"/>
  <c r="O869" i="28"/>
  <c r="E869" i="28"/>
  <c r="N869" i="28"/>
  <c r="P869" i="28"/>
  <c r="L855" i="28"/>
  <c r="Q855" i="28"/>
  <c r="R855" i="28" s="1"/>
  <c r="T855" i="28" s="1"/>
  <c r="U868" i="28"/>
  <c r="J868" i="28"/>
  <c r="I869" i="28" l="1"/>
  <c r="J869" i="28" s="1"/>
  <c r="W869" i="28"/>
  <c r="K869" i="28"/>
  <c r="U869" i="28"/>
  <c r="V868" i="28"/>
  <c r="L868" i="28"/>
  <c r="Q868" i="28"/>
  <c r="R868" i="28" s="1"/>
  <c r="T868" i="28" s="1"/>
  <c r="Y872" i="28"/>
  <c r="B871" i="28"/>
  <c r="F871" i="28" s="1"/>
  <c r="M870" i="28"/>
  <c r="N870" i="28"/>
  <c r="O870" i="28"/>
  <c r="E870" i="28"/>
  <c r="P870" i="28"/>
  <c r="I870" i="28" l="1"/>
  <c r="W870" i="28"/>
  <c r="V869" i="28"/>
  <c r="K870" i="28"/>
  <c r="P871" i="28"/>
  <c r="N871" i="28"/>
  <c r="E871" i="28"/>
  <c r="O871" i="28"/>
  <c r="M871" i="28"/>
  <c r="B872" i="28"/>
  <c r="F872" i="28" s="1"/>
  <c r="Y873" i="28"/>
  <c r="U870" i="28"/>
  <c r="V870" i="28" s="1"/>
  <c r="J870" i="28"/>
  <c r="Q869" i="28"/>
  <c r="R869" i="28" s="1"/>
  <c r="T869" i="28" s="1"/>
  <c r="L869" i="28"/>
  <c r="I871" i="28" l="1"/>
  <c r="W871" i="28"/>
  <c r="K871" i="28"/>
  <c r="Q870" i="28"/>
  <c r="R870" i="28" s="1"/>
  <c r="T870" i="28" s="1"/>
  <c r="L870" i="28"/>
  <c r="Y874" i="28"/>
  <c r="B873" i="28"/>
  <c r="F873" i="28" s="1"/>
  <c r="O872" i="28"/>
  <c r="P872" i="28"/>
  <c r="E872" i="28"/>
  <c r="N872" i="28"/>
  <c r="M872" i="28"/>
  <c r="J871" i="28"/>
  <c r="U871" i="28"/>
  <c r="I872" i="28" l="1"/>
  <c r="W872" i="28"/>
  <c r="K872" i="28"/>
  <c r="V871" i="28"/>
  <c r="Y875" i="28"/>
  <c r="B874" i="28"/>
  <c r="F874" i="28" s="1"/>
  <c r="J872" i="28"/>
  <c r="U872" i="28"/>
  <c r="Q871" i="28"/>
  <c r="R871" i="28" s="1"/>
  <c r="T871" i="28" s="1"/>
  <c r="L871" i="28"/>
  <c r="E873" i="28"/>
  <c r="O873" i="28"/>
  <c r="N873" i="28"/>
  <c r="M873" i="28"/>
  <c r="P873" i="28"/>
  <c r="I873" i="28" l="1"/>
  <c r="W873" i="28"/>
  <c r="V872" i="28"/>
  <c r="K873" i="28"/>
  <c r="J873" i="28"/>
  <c r="U873" i="28"/>
  <c r="L872" i="28"/>
  <c r="Q872" i="28"/>
  <c r="R872" i="28" s="1"/>
  <c r="T872" i="28" s="1"/>
  <c r="E874" i="28"/>
  <c r="M874" i="28"/>
  <c r="N874" i="28"/>
  <c r="O874" i="28"/>
  <c r="P874" i="28"/>
  <c r="B875" i="28"/>
  <c r="F875" i="28" s="1"/>
  <c r="Y876" i="28"/>
  <c r="I874" i="28" l="1"/>
  <c r="W874" i="28"/>
  <c r="V873" i="28"/>
  <c r="K874" i="28"/>
  <c r="N875" i="28"/>
  <c r="P875" i="28"/>
  <c r="O875" i="28"/>
  <c r="M875" i="28"/>
  <c r="E875" i="28"/>
  <c r="B876" i="28"/>
  <c r="F876" i="28" s="1"/>
  <c r="Y877" i="28"/>
  <c r="U874" i="28"/>
  <c r="J874" i="28"/>
  <c r="L873" i="28"/>
  <c r="Q873" i="28"/>
  <c r="R873" i="28" s="1"/>
  <c r="T873" i="28" s="1"/>
  <c r="I875" i="28" l="1"/>
  <c r="W875" i="28"/>
  <c r="K875" i="28"/>
  <c r="V874" i="28"/>
  <c r="Q874" i="28"/>
  <c r="R874" i="28" s="1"/>
  <c r="T874" i="28" s="1"/>
  <c r="L874" i="28"/>
  <c r="M876" i="28"/>
  <c r="E876" i="28"/>
  <c r="N876" i="28"/>
  <c r="P876" i="28"/>
  <c r="O876" i="28"/>
  <c r="J875" i="28"/>
  <c r="U875" i="28"/>
  <c r="V875" i="28" s="1"/>
  <c r="Y878" i="28"/>
  <c r="B877" i="28"/>
  <c r="F877" i="28" s="1"/>
  <c r="I876" i="28" l="1"/>
  <c r="W876" i="28"/>
  <c r="K876" i="28"/>
  <c r="U876" i="28"/>
  <c r="J876" i="28"/>
  <c r="N877" i="28"/>
  <c r="E877" i="28"/>
  <c r="O877" i="28"/>
  <c r="M877" i="28"/>
  <c r="P877" i="28"/>
  <c r="K877" i="28" s="1"/>
  <c r="L875" i="28"/>
  <c r="Q875" i="28"/>
  <c r="R875" i="28" s="1"/>
  <c r="T875" i="28" s="1"/>
  <c r="B878" i="28"/>
  <c r="F878" i="28" s="1"/>
  <c r="Y879" i="28"/>
  <c r="B879" i="28" s="1"/>
  <c r="S883" i="28"/>
  <c r="S888" i="28"/>
  <c r="S891" i="28" s="1"/>
  <c r="S886" i="28"/>
  <c r="E883" i="28"/>
  <c r="N883" i="28"/>
  <c r="N885" i="28" s="1"/>
  <c r="F883" i="28"/>
  <c r="M883" i="28"/>
  <c r="M885" i="28" s="1"/>
  <c r="P883" i="28"/>
  <c r="P885" i="28" s="1"/>
  <c r="O883" i="28"/>
  <c r="O885" i="28" s="1"/>
  <c r="F879" i="28" l="1"/>
  <c r="F7" i="76"/>
  <c r="F15" i="76"/>
  <c r="F6" i="76"/>
  <c r="F14" i="76"/>
  <c r="F11" i="76"/>
  <c r="F8" i="76"/>
  <c r="F5" i="76"/>
  <c r="F12" i="76"/>
  <c r="F4" i="76"/>
  <c r="F13" i="76"/>
  <c r="F10" i="76"/>
  <c r="I877" i="28"/>
  <c r="W877" i="28"/>
  <c r="D75" i="61"/>
  <c r="D74" i="61"/>
  <c r="D71" i="61"/>
  <c r="D72" i="61"/>
  <c r="D73" i="61"/>
  <c r="D67" i="61"/>
  <c r="D68" i="61"/>
  <c r="D69" i="61"/>
  <c r="D70" i="61"/>
  <c r="D76" i="61"/>
  <c r="D77" i="61"/>
  <c r="D78" i="61"/>
  <c r="D79" i="61"/>
  <c r="D80" i="61"/>
  <c r="D81" i="61"/>
  <c r="D82" i="61"/>
  <c r="D83" i="61"/>
  <c r="D84" i="61"/>
  <c r="D85" i="61"/>
  <c r="D86" i="61"/>
  <c r="D87" i="61"/>
  <c r="D88" i="61"/>
  <c r="D89" i="61"/>
  <c r="D90" i="61"/>
  <c r="D91" i="61"/>
  <c r="D92" i="61"/>
  <c r="D93" i="61"/>
  <c r="D94" i="61"/>
  <c r="D95" i="61"/>
  <c r="D96" i="61"/>
  <c r="D97" i="61"/>
  <c r="D99" i="61"/>
  <c r="D100" i="61"/>
  <c r="D101"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V876" i="28"/>
  <c r="Q876" i="28"/>
  <c r="R876" i="28" s="1"/>
  <c r="T876" i="28" s="1"/>
  <c r="L876" i="28"/>
  <c r="N879" i="28"/>
  <c r="O879" i="28"/>
  <c r="M879" i="28"/>
  <c r="E879" i="28"/>
  <c r="P879" i="28"/>
  <c r="F890" i="28"/>
  <c r="O878" i="28"/>
  <c r="P878" i="28"/>
  <c r="N878" i="28"/>
  <c r="E878" i="28"/>
  <c r="M878" i="28"/>
  <c r="J877" i="28"/>
  <c r="U877" i="28"/>
  <c r="V877" i="28" s="1"/>
  <c r="F885" i="28"/>
  <c r="I883" i="28"/>
  <c r="I885" i="28" s="1"/>
  <c r="K883" i="28"/>
  <c r="K885" i="28" s="1"/>
  <c r="E885" i="28"/>
  <c r="E107" i="65" l="1"/>
  <c r="E181" i="65"/>
  <c r="E110" i="65"/>
  <c r="E103" i="65"/>
  <c r="E104" i="65"/>
  <c r="E48" i="65"/>
  <c r="E38" i="65"/>
  <c r="E182" i="65"/>
  <c r="E105" i="65"/>
  <c r="E108" i="65"/>
  <c r="E100" i="65"/>
  <c r="E133" i="65"/>
  <c r="E134" i="65"/>
  <c r="E137" i="65"/>
  <c r="E132" i="65"/>
  <c r="E136" i="65"/>
  <c r="E138" i="65"/>
  <c r="E141" i="65"/>
  <c r="E140" i="65"/>
  <c r="E146" i="65"/>
  <c r="E147" i="65"/>
  <c r="E149" i="65"/>
  <c r="E150" i="65"/>
  <c r="E177" i="65"/>
  <c r="E178" i="65"/>
  <c r="E176" i="65"/>
  <c r="E179" i="65"/>
  <c r="E186" i="65"/>
  <c r="E185" i="65"/>
  <c r="E49" i="65"/>
  <c r="E34" i="65"/>
  <c r="E35" i="65"/>
  <c r="E39" i="65"/>
  <c r="E143" i="65"/>
  <c r="E144" i="65"/>
  <c r="E67" i="65"/>
  <c r="E69" i="65"/>
  <c r="E71" i="65"/>
  <c r="E53" i="65"/>
  <c r="E54" i="65"/>
  <c r="E55" i="65"/>
  <c r="E162" i="65"/>
  <c r="E42" i="65"/>
  <c r="E163" i="65"/>
  <c r="E43" i="65"/>
  <c r="E164" i="65"/>
  <c r="E45" i="65"/>
  <c r="E165" i="65"/>
  <c r="E46" i="65"/>
  <c r="E66" i="65"/>
  <c r="E68" i="65"/>
  <c r="E70" i="65"/>
  <c r="E10" i="65"/>
  <c r="E11" i="65"/>
  <c r="E12" i="65"/>
  <c r="E14" i="65"/>
  <c r="E15" i="65"/>
  <c r="E17" i="65"/>
  <c r="E101" i="65"/>
  <c r="E20" i="65"/>
  <c r="E113" i="65"/>
  <c r="E21" i="65"/>
  <c r="E114" i="65"/>
  <c r="E115" i="65"/>
  <c r="E22" i="65"/>
  <c r="E116" i="65"/>
  <c r="E74" i="65"/>
  <c r="E75" i="65"/>
  <c r="E76" i="65"/>
  <c r="E77" i="65"/>
  <c r="E78" i="65"/>
  <c r="E79" i="65"/>
  <c r="I878" i="28"/>
  <c r="W878" i="28"/>
  <c r="W879" i="28"/>
  <c r="K879" i="28"/>
  <c r="I879" i="28"/>
  <c r="C67" i="61"/>
  <c r="G67" i="61" s="1"/>
  <c r="C68" i="61"/>
  <c r="G68" i="61" s="1"/>
  <c r="C69" i="61"/>
  <c r="G69" i="61" s="1"/>
  <c r="C70" i="61"/>
  <c r="G70" i="61" s="1"/>
  <c r="C71" i="61"/>
  <c r="G71" i="61" s="1"/>
  <c r="C72" i="61"/>
  <c r="G72" i="61" s="1"/>
  <c r="C73" i="61"/>
  <c r="G73" i="61" s="1"/>
  <c r="C74" i="61"/>
  <c r="G74" i="61" s="1"/>
  <c r="C75" i="61"/>
  <c r="G75" i="61" s="1"/>
  <c r="C76" i="61"/>
  <c r="G76" i="61" s="1"/>
  <c r="C77" i="61"/>
  <c r="G77" i="61" s="1"/>
  <c r="C78" i="61"/>
  <c r="G78" i="61" s="1"/>
  <c r="C79" i="61"/>
  <c r="G79" i="61" s="1"/>
  <c r="C80" i="61"/>
  <c r="G80" i="61" s="1"/>
  <c r="C81" i="61"/>
  <c r="G81" i="61" s="1"/>
  <c r="C82" i="61"/>
  <c r="G82" i="61" s="1"/>
  <c r="C83" i="61"/>
  <c r="G83" i="61" s="1"/>
  <c r="C84" i="61"/>
  <c r="G84" i="61" s="1"/>
  <c r="C85" i="61"/>
  <c r="G85" i="61" s="1"/>
  <c r="C86" i="61"/>
  <c r="G86" i="61" s="1"/>
  <c r="C87" i="61"/>
  <c r="G87" i="61" s="1"/>
  <c r="C88" i="61"/>
  <c r="G88" i="61" s="1"/>
  <c r="C89" i="61"/>
  <c r="G89" i="61" s="1"/>
  <c r="C90" i="61"/>
  <c r="G90" i="61" s="1"/>
  <c r="C91" i="61"/>
  <c r="G91" i="61" s="1"/>
  <c r="C92" i="61"/>
  <c r="G92" i="61" s="1"/>
  <c r="C93" i="61"/>
  <c r="G93" i="61" s="1"/>
  <c r="C94" i="61"/>
  <c r="G94" i="61" s="1"/>
  <c r="C95" i="61"/>
  <c r="G95" i="61" s="1"/>
  <c r="C96" i="61"/>
  <c r="G96" i="61" s="1"/>
  <c r="C97" i="61"/>
  <c r="G97" i="61" s="1"/>
  <c r="C99" i="61"/>
  <c r="G99" i="61" s="1"/>
  <c r="C100" i="61"/>
  <c r="G100" i="61" s="1"/>
  <c r="C101" i="61"/>
  <c r="G101" i="61" s="1"/>
  <c r="C103" i="61"/>
  <c r="G103" i="61" s="1"/>
  <c r="C104" i="61"/>
  <c r="G104" i="61" s="1"/>
  <c r="C105" i="61"/>
  <c r="G105" i="61" s="1"/>
  <c r="C106" i="61"/>
  <c r="G106" i="61" s="1"/>
  <c r="C107" i="61"/>
  <c r="G107" i="61" s="1"/>
  <c r="C108" i="61"/>
  <c r="G108" i="61" s="1"/>
  <c r="C109" i="61"/>
  <c r="G109" i="61" s="1"/>
  <c r="C110" i="61"/>
  <c r="G110" i="61" s="1"/>
  <c r="C111" i="61"/>
  <c r="G111" i="61" s="1"/>
  <c r="C112" i="61"/>
  <c r="G112" i="61" s="1"/>
  <c r="C113" i="61"/>
  <c r="G113" i="61" s="1"/>
  <c r="C114" i="61"/>
  <c r="G114" i="61" s="1"/>
  <c r="C115" i="61"/>
  <c r="G115" i="61" s="1"/>
  <c r="C116" i="61"/>
  <c r="G116" i="61" s="1"/>
  <c r="C117" i="61"/>
  <c r="G117" i="61" s="1"/>
  <c r="C118" i="61"/>
  <c r="G118" i="61" s="1"/>
  <c r="C119" i="61"/>
  <c r="G119" i="61" s="1"/>
  <c r="C120" i="61"/>
  <c r="G120" i="61" s="1"/>
  <c r="C121" i="61"/>
  <c r="G121" i="61" s="1"/>
  <c r="C122" i="61"/>
  <c r="G122" i="61" s="1"/>
  <c r="C123" i="61"/>
  <c r="G123" i="61" s="1"/>
  <c r="C124" i="61"/>
  <c r="G124" i="61" s="1"/>
  <c r="C125" i="61"/>
  <c r="G125" i="61" s="1"/>
  <c r="C126" i="61"/>
  <c r="G126" i="61" s="1"/>
  <c r="C127" i="61"/>
  <c r="G127" i="61" s="1"/>
  <c r="C128" i="61"/>
  <c r="G128" i="61" s="1"/>
  <c r="C129" i="61"/>
  <c r="G129" i="61" s="1"/>
  <c r="C130" i="61"/>
  <c r="G130" i="61" s="1"/>
  <c r="C131" i="61"/>
  <c r="G131" i="61" s="1"/>
  <c r="C132" i="61"/>
  <c r="G132" i="61" s="1"/>
  <c r="C133" i="61"/>
  <c r="G133" i="61" s="1"/>
  <c r="C134" i="61"/>
  <c r="G134" i="61" s="1"/>
  <c r="C135" i="61"/>
  <c r="G135" i="61" s="1"/>
  <c r="C136" i="61"/>
  <c r="G136" i="61" s="1"/>
  <c r="C137" i="61"/>
  <c r="G137" i="61" s="1"/>
  <c r="C138" i="61"/>
  <c r="G138" i="61" s="1"/>
  <c r="C139" i="61"/>
  <c r="G139" i="61" s="1"/>
  <c r="C140" i="61"/>
  <c r="G140" i="61" s="1"/>
  <c r="K878" i="28"/>
  <c r="E886" i="28"/>
  <c r="U878" i="28"/>
  <c r="O886" i="28"/>
  <c r="O888" i="28" s="1"/>
  <c r="Q877" i="28"/>
  <c r="R877" i="28" s="1"/>
  <c r="T877" i="28" s="1"/>
  <c r="L877" i="28"/>
  <c r="N886" i="28"/>
  <c r="N888" i="28" s="1"/>
  <c r="M890" i="28"/>
  <c r="F886" i="28"/>
  <c r="P886" i="28"/>
  <c r="P888" i="28" s="1"/>
  <c r="P890" i="28"/>
  <c r="O890" i="28"/>
  <c r="M886" i="28"/>
  <c r="M888" i="28" s="1"/>
  <c r="E890" i="28"/>
  <c r="U879" i="28"/>
  <c r="N890" i="28"/>
  <c r="J883" i="28"/>
  <c r="G15" i="65" l="1"/>
  <c r="G101" i="65"/>
  <c r="G176" i="65"/>
  <c r="P891" i="28"/>
  <c r="M891" i="28"/>
  <c r="F888" i="28"/>
  <c r="F891" i="28" s="1"/>
  <c r="F892" i="28"/>
  <c r="C34" i="73" s="1"/>
  <c r="D34" i="73" s="1"/>
  <c r="E888" i="28"/>
  <c r="E891" i="28" s="1"/>
  <c r="E892" i="28"/>
  <c r="B34" i="73" s="1"/>
  <c r="V878" i="28"/>
  <c r="K886" i="28"/>
  <c r="N891" i="28"/>
  <c r="J878" i="28"/>
  <c r="F9" i="76" s="1"/>
  <c r="F17" i="76" s="1"/>
  <c r="I886" i="28"/>
  <c r="K890" i="28"/>
  <c r="M788" i="7"/>
  <c r="M790" i="7" s="1"/>
  <c r="M792" i="7" s="1"/>
  <c r="M794" i="7" s="1"/>
  <c r="H855" i="7" s="1"/>
  <c r="I855" i="7" s="1"/>
  <c r="V879" i="28"/>
  <c r="I890" i="28"/>
  <c r="J879" i="28"/>
  <c r="O891" i="28"/>
  <c r="G142" i="61"/>
  <c r="J885" i="28"/>
  <c r="Q883" i="28"/>
  <c r="D45" i="58" l="1"/>
  <c r="I136" i="65"/>
  <c r="G136" i="65"/>
  <c r="G163" i="65"/>
  <c r="I163" i="65"/>
  <c r="I20" i="65"/>
  <c r="G20" i="65"/>
  <c r="I137" i="65"/>
  <c r="G137" i="65"/>
  <c r="I149" i="65"/>
  <c r="G149" i="65"/>
  <c r="I48" i="65"/>
  <c r="G48" i="65"/>
  <c r="G71" i="65"/>
  <c r="I71" i="65"/>
  <c r="I70" i="65"/>
  <c r="G70" i="65"/>
  <c r="I14" i="65"/>
  <c r="G14" i="65"/>
  <c r="I21" i="65"/>
  <c r="G21" i="65"/>
  <c r="I116" i="65"/>
  <c r="G116" i="65"/>
  <c r="G165" i="65"/>
  <c r="I165" i="65"/>
  <c r="G104" i="65"/>
  <c r="I104" i="65"/>
  <c r="I107" i="65"/>
  <c r="G107" i="65"/>
  <c r="G138" i="65"/>
  <c r="I138" i="65"/>
  <c r="I144" i="65"/>
  <c r="G144" i="65"/>
  <c r="G42" i="65"/>
  <c r="I42" i="65"/>
  <c r="G12" i="65"/>
  <c r="I12" i="65"/>
  <c r="G113" i="65"/>
  <c r="I113" i="65"/>
  <c r="G78" i="65"/>
  <c r="I78" i="65"/>
  <c r="G181" i="65"/>
  <c r="I181" i="65"/>
  <c r="G143" i="65"/>
  <c r="I143" i="65"/>
  <c r="G66" i="65"/>
  <c r="I66" i="65"/>
  <c r="G115" i="65"/>
  <c r="I115" i="65"/>
  <c r="I68" i="65"/>
  <c r="G68" i="65"/>
  <c r="I67" i="65"/>
  <c r="G67" i="65"/>
  <c r="G132" i="65"/>
  <c r="I132" i="65"/>
  <c r="G179" i="65"/>
  <c r="I179" i="65"/>
  <c r="G49" i="65"/>
  <c r="I49" i="65"/>
  <c r="I43" i="65"/>
  <c r="G43" i="65"/>
  <c r="I22" i="65"/>
  <c r="G22" i="65"/>
  <c r="G43" i="58"/>
  <c r="G108" i="65"/>
  <c r="I108" i="65"/>
  <c r="G146" i="65"/>
  <c r="I146" i="65"/>
  <c r="I177" i="65"/>
  <c r="G177" i="65"/>
  <c r="I186" i="65"/>
  <c r="G186" i="65"/>
  <c r="I34" i="65"/>
  <c r="G34" i="65"/>
  <c r="I54" i="65"/>
  <c r="G54" i="65"/>
  <c r="G11" i="65"/>
  <c r="I11" i="65"/>
  <c r="I75" i="65"/>
  <c r="G75" i="65"/>
  <c r="I17" i="65"/>
  <c r="G17" i="65"/>
  <c r="G110" i="65"/>
  <c r="I110" i="65"/>
  <c r="E99" i="65"/>
  <c r="G100" i="65"/>
  <c r="G99" i="65" s="1"/>
  <c r="I140" i="65"/>
  <c r="G140" i="65"/>
  <c r="G150" i="65"/>
  <c r="I150" i="65"/>
  <c r="I39" i="65"/>
  <c r="G39" i="65"/>
  <c r="G69" i="65"/>
  <c r="I69" i="65"/>
  <c r="G55" i="65"/>
  <c r="I55" i="65"/>
  <c r="G46" i="65"/>
  <c r="I46" i="65"/>
  <c r="I15" i="65"/>
  <c r="I76" i="65"/>
  <c r="G76" i="65"/>
  <c r="G103" i="65"/>
  <c r="I103" i="65"/>
  <c r="G182" i="65"/>
  <c r="I182" i="65"/>
  <c r="G141" i="65"/>
  <c r="I141" i="65"/>
  <c r="I176" i="65"/>
  <c r="I38" i="65"/>
  <c r="G38" i="65"/>
  <c r="G162" i="65"/>
  <c r="I162" i="65"/>
  <c r="I164" i="65"/>
  <c r="G164" i="65"/>
  <c r="G77" i="65"/>
  <c r="I77" i="65"/>
  <c r="G10" i="65"/>
  <c r="I10" i="65"/>
  <c r="G114" i="65"/>
  <c r="I114" i="65"/>
  <c r="I105" i="65"/>
  <c r="G105" i="65"/>
  <c r="I134" i="65"/>
  <c r="G134" i="65"/>
  <c r="G147" i="65"/>
  <c r="I147" i="65"/>
  <c r="I178" i="65"/>
  <c r="G178" i="65"/>
  <c r="I185" i="65"/>
  <c r="G185" i="65"/>
  <c r="G35" i="65"/>
  <c r="I35" i="65"/>
  <c r="I53" i="65"/>
  <c r="G53" i="65"/>
  <c r="I45" i="65"/>
  <c r="G45" i="65"/>
  <c r="G74" i="65"/>
  <c r="I74" i="65"/>
  <c r="I133" i="65"/>
  <c r="G133" i="65"/>
  <c r="K795" i="7"/>
  <c r="K851" i="7"/>
  <c r="K840" i="7"/>
  <c r="H844" i="7"/>
  <c r="I844" i="7" s="1"/>
  <c r="K814" i="7"/>
  <c r="H818" i="7"/>
  <c r="I818" i="7" s="1"/>
  <c r="H842" i="7"/>
  <c r="I842" i="7" s="1"/>
  <c r="K798" i="7"/>
  <c r="H816" i="7"/>
  <c r="I816" i="7" s="1"/>
  <c r="H812" i="7"/>
  <c r="I812" i="7" s="1"/>
  <c r="H792" i="7"/>
  <c r="I792" i="7" s="1"/>
  <c r="K820" i="7"/>
  <c r="H835" i="7"/>
  <c r="I835" i="7" s="1"/>
  <c r="K827" i="7"/>
  <c r="K846" i="7"/>
  <c r="H836" i="7"/>
  <c r="I836" i="7" s="1"/>
  <c r="K802" i="7"/>
  <c r="H845" i="7"/>
  <c r="I845" i="7" s="1"/>
  <c r="H795" i="7"/>
  <c r="I795" i="7" s="1"/>
  <c r="K815" i="7"/>
  <c r="K831" i="7"/>
  <c r="K854" i="7"/>
  <c r="K829" i="7"/>
  <c r="K800" i="7"/>
  <c r="H815" i="7"/>
  <c r="I815" i="7" s="1"/>
  <c r="K826" i="7"/>
  <c r="K847" i="7"/>
  <c r="K825" i="7"/>
  <c r="K794" i="7"/>
  <c r="H832" i="7"/>
  <c r="I832" i="7" s="1"/>
  <c r="K841" i="7"/>
  <c r="H825" i="7"/>
  <c r="I825" i="7" s="1"/>
  <c r="K810" i="7"/>
  <c r="H805" i="7"/>
  <c r="I805" i="7" s="1"/>
  <c r="K790" i="7"/>
  <c r="K817" i="7"/>
  <c r="K849" i="7"/>
  <c r="H806" i="7"/>
  <c r="I806" i="7" s="1"/>
  <c r="H833" i="7"/>
  <c r="I833" i="7" s="1"/>
  <c r="K797" i="7"/>
  <c r="K823" i="7"/>
  <c r="K850" i="7"/>
  <c r="H813" i="7"/>
  <c r="I813" i="7" s="1"/>
  <c r="H840" i="7"/>
  <c r="I840" i="7" s="1"/>
  <c r="K792" i="7"/>
  <c r="K816" i="7"/>
  <c r="K836" i="7"/>
  <c r="K856" i="7"/>
  <c r="H811" i="7"/>
  <c r="I811" i="7" s="1"/>
  <c r="H831" i="7"/>
  <c r="I831" i="7" s="1"/>
  <c r="H851" i="7"/>
  <c r="I851" i="7" s="1"/>
  <c r="H809" i="7"/>
  <c r="I809" i="7" s="1"/>
  <c r="H798" i="7"/>
  <c r="I798" i="7" s="1"/>
  <c r="H789" i="7"/>
  <c r="I789" i="7" s="1"/>
  <c r="K809" i="7"/>
  <c r="K789" i="7"/>
  <c r="H826" i="7"/>
  <c r="I826" i="7" s="1"/>
  <c r="K806" i="7"/>
  <c r="H790" i="7"/>
  <c r="I790" i="7" s="1"/>
  <c r="H822" i="7"/>
  <c r="I822" i="7" s="1"/>
  <c r="H849" i="7"/>
  <c r="I849" i="7" s="1"/>
  <c r="K807" i="7"/>
  <c r="K839" i="7"/>
  <c r="H797" i="7"/>
  <c r="I797" i="7" s="1"/>
  <c r="H824" i="7"/>
  <c r="I824" i="7" s="1"/>
  <c r="H856" i="7"/>
  <c r="I856" i="7" s="1"/>
  <c r="K804" i="7"/>
  <c r="K824" i="7"/>
  <c r="K848" i="7"/>
  <c r="H799" i="7"/>
  <c r="I799" i="7" s="1"/>
  <c r="H819" i="7"/>
  <c r="I819" i="7" s="1"/>
  <c r="H843" i="7"/>
  <c r="I843" i="7" s="1"/>
  <c r="K835" i="7"/>
  <c r="H788" i="7"/>
  <c r="I788" i="7" s="1"/>
  <c r="H793" i="7"/>
  <c r="I793" i="7" s="1"/>
  <c r="K842" i="7"/>
  <c r="K833" i="7"/>
  <c r="H852" i="7"/>
  <c r="I852" i="7" s="1"/>
  <c r="K805" i="7"/>
  <c r="H830" i="7"/>
  <c r="I830" i="7" s="1"/>
  <c r="H841" i="7"/>
  <c r="I841" i="7" s="1"/>
  <c r="H810" i="7"/>
  <c r="I810" i="7" s="1"/>
  <c r="K819" i="7"/>
  <c r="H814" i="7"/>
  <c r="I814" i="7" s="1"/>
  <c r="K799" i="7"/>
  <c r="K853" i="7"/>
  <c r="H848" i="7"/>
  <c r="I848" i="7" s="1"/>
  <c r="K811" i="7"/>
  <c r="K838" i="7"/>
  <c r="H801" i="7"/>
  <c r="I801" i="7" s="1"/>
  <c r="H828" i="7"/>
  <c r="I828" i="7" s="1"/>
  <c r="H854" i="7"/>
  <c r="I854" i="7" s="1"/>
  <c r="K818" i="7"/>
  <c r="K845" i="7"/>
  <c r="H802" i="7"/>
  <c r="I802" i="7" s="1"/>
  <c r="H834" i="7"/>
  <c r="I834" i="7" s="1"/>
  <c r="K788" i="7"/>
  <c r="K808" i="7"/>
  <c r="K832" i="7"/>
  <c r="K852" i="7"/>
  <c r="H803" i="7"/>
  <c r="I803" i="7" s="1"/>
  <c r="H827" i="7"/>
  <c r="I827" i="7" s="1"/>
  <c r="H847" i="7"/>
  <c r="I847" i="7" s="1"/>
  <c r="I202" i="65"/>
  <c r="L878" i="28"/>
  <c r="Q878" i="28"/>
  <c r="J886" i="28"/>
  <c r="H800" i="7"/>
  <c r="I800" i="7" s="1"/>
  <c r="K793" i="7"/>
  <c r="H821" i="7"/>
  <c r="I821" i="7" s="1"/>
  <c r="K803" i="7"/>
  <c r="H820" i="7"/>
  <c r="I820" i="7" s="1"/>
  <c r="K837" i="7"/>
  <c r="H853" i="7"/>
  <c r="I853" i="7" s="1"/>
  <c r="K830" i="7"/>
  <c r="H804" i="7"/>
  <c r="I804" i="7" s="1"/>
  <c r="H846" i="7"/>
  <c r="I846" i="7" s="1"/>
  <c r="K821" i="7"/>
  <c r="H794" i="7"/>
  <c r="I794" i="7" s="1"/>
  <c r="H837" i="7"/>
  <c r="I837" i="7" s="1"/>
  <c r="K801" i="7"/>
  <c r="K822" i="7"/>
  <c r="K843" i="7"/>
  <c r="H796" i="7"/>
  <c r="I796" i="7" s="1"/>
  <c r="H817" i="7"/>
  <c r="I817" i="7" s="1"/>
  <c r="H838" i="7"/>
  <c r="I838" i="7" s="1"/>
  <c r="K791" i="7"/>
  <c r="K813" i="7"/>
  <c r="K834" i="7"/>
  <c r="K855" i="7"/>
  <c r="H808" i="7"/>
  <c r="I808" i="7" s="1"/>
  <c r="H829" i="7"/>
  <c r="I829" i="7" s="1"/>
  <c r="H850" i="7"/>
  <c r="I850" i="7" s="1"/>
  <c r="K796" i="7"/>
  <c r="K812" i="7"/>
  <c r="K828" i="7"/>
  <c r="K844" i="7"/>
  <c r="H791" i="7"/>
  <c r="I791" i="7" s="1"/>
  <c r="H807" i="7"/>
  <c r="I807" i="7" s="1"/>
  <c r="H823" i="7"/>
  <c r="I823" i="7" s="1"/>
  <c r="H839" i="7"/>
  <c r="I839" i="7" s="1"/>
  <c r="Q879" i="28"/>
  <c r="R879" i="28" s="1"/>
  <c r="T879" i="28" s="1"/>
  <c r="J890" i="28"/>
  <c r="L879" i="28"/>
  <c r="I79" i="65"/>
  <c r="G79" i="65"/>
  <c r="K888" i="28"/>
  <c r="K892" i="28"/>
  <c r="S53" i="58"/>
  <c r="S59" i="58" s="1"/>
  <c r="J53" i="58"/>
  <c r="J59" i="58" s="1"/>
  <c r="I888" i="28"/>
  <c r="I891" i="28" s="1"/>
  <c r="I892" i="28"/>
  <c r="R883" i="28"/>
  <c r="R43" i="58" l="1"/>
  <c r="D53" i="58"/>
  <c r="D59" i="58" s="1"/>
  <c r="P43" i="58"/>
  <c r="G195" i="65"/>
  <c r="G198" i="65" s="1"/>
  <c r="H99" i="65"/>
  <c r="I99" i="65" s="1"/>
  <c r="I195" i="65" s="1"/>
  <c r="J888" i="28"/>
  <c r="J891" i="28" s="1"/>
  <c r="L891" i="28" s="1"/>
  <c r="G199" i="65" s="1"/>
  <c r="J892" i="28"/>
  <c r="R878" i="28"/>
  <c r="Q886" i="28"/>
  <c r="Q888" i="28"/>
  <c r="Q891" i="28" s="1"/>
  <c r="K43" i="58"/>
  <c r="T883" i="28"/>
  <c r="G208" i="65" l="1"/>
  <c r="I208" i="65" s="1"/>
  <c r="O43" i="58"/>
  <c r="G206" i="65"/>
  <c r="I206" i="65" s="1"/>
  <c r="P45" i="58"/>
  <c r="P53" i="58" s="1"/>
  <c r="P59" i="58" s="1"/>
  <c r="J195" i="65"/>
  <c r="I198" i="65"/>
  <c r="T878" i="28"/>
  <c r="T886" i="28" s="1"/>
  <c r="R886" i="28"/>
  <c r="R888" i="28"/>
  <c r="R891" i="28" s="1"/>
  <c r="AE463" i="4"/>
  <c r="T43" i="58" l="1"/>
  <c r="AA43" i="58" s="1"/>
  <c r="AB43" i="58" s="1"/>
  <c r="AE43" i="58" s="1"/>
  <c r="AN23" i="58" s="1"/>
  <c r="AT23" i="58" s="1"/>
  <c r="N213" i="65" l="1"/>
  <c r="AG53" i="58"/>
  <c r="AJ23" i="58"/>
  <c r="AF43" i="58"/>
  <c r="I199" i="65"/>
  <c r="I200" i="65" s="1"/>
  <c r="I204" i="65" s="1"/>
  <c r="I19" i="34"/>
  <c r="I486" i="34"/>
  <c r="S486" i="34" s="1"/>
  <c r="I252" i="34"/>
  <c r="S252" i="34" s="1"/>
  <c r="I720" i="34"/>
  <c r="S720" i="34" s="1"/>
  <c r="I135" i="34"/>
  <c r="S135" i="34" s="1"/>
  <c r="I369" i="34"/>
  <c r="S369" i="34" s="1"/>
  <c r="I1305" i="34"/>
  <c r="S1305" i="34" s="1"/>
  <c r="I603" i="34"/>
  <c r="S603" i="34" s="1"/>
  <c r="I1071" i="34"/>
  <c r="S1071" i="34" s="1"/>
  <c r="I1188" i="34"/>
  <c r="S1188" i="34" s="1"/>
  <c r="I954" i="34"/>
  <c r="S954" i="34" s="1"/>
  <c r="I837" i="34"/>
  <c r="S837" i="34" s="1"/>
  <c r="G200" i="65" l="1"/>
  <c r="G204" i="65" s="1"/>
  <c r="I211" i="65"/>
  <c r="J526" i="59"/>
  <c r="J527" i="59" s="1"/>
  <c r="J531" i="59" s="1"/>
  <c r="J538" i="59" s="1"/>
  <c r="H31" i="73" s="1"/>
  <c r="G527" i="59"/>
  <c r="G531" i="59" s="1"/>
  <c r="J561" i="59"/>
  <c r="J562" i="59" s="1"/>
  <c r="J566" i="59" s="1"/>
  <c r="J573" i="59" s="1"/>
  <c r="H32" i="73" s="1"/>
  <c r="G562" i="59"/>
  <c r="G566" i="59" s="1"/>
  <c r="I1408" i="34"/>
  <c r="S19" i="34"/>
  <c r="N720" i="34"/>
  <c r="U720" i="34" s="1"/>
  <c r="AI244" i="4" s="1"/>
  <c r="N954" i="34"/>
  <c r="U954" i="34" s="1"/>
  <c r="AI320" i="4" s="1"/>
  <c r="N1188" i="34"/>
  <c r="U1188" i="34" s="1"/>
  <c r="AI396" i="4" s="1"/>
  <c r="N1305" i="34"/>
  <c r="U1305" i="34" s="1"/>
  <c r="AI434" i="4" s="1"/>
  <c r="AM434" i="4" s="1"/>
  <c r="AN434" i="4" s="1"/>
  <c r="N1071" i="34"/>
  <c r="U1071" i="34" s="1"/>
  <c r="AI358" i="4" s="1"/>
  <c r="AE358" i="4" s="1"/>
  <c r="N135" i="34"/>
  <c r="U135" i="34" s="1"/>
  <c r="AI54" i="4" s="1"/>
  <c r="N19" i="34"/>
  <c r="N603" i="34"/>
  <c r="U603" i="34" s="1"/>
  <c r="AI206" i="4" s="1"/>
  <c r="N252" i="34"/>
  <c r="U252" i="34" s="1"/>
  <c r="AI92" i="4" s="1"/>
  <c r="AE92" i="4" s="1"/>
  <c r="N837" i="34"/>
  <c r="U837" i="34" s="1"/>
  <c r="AI282" i="4" s="1"/>
  <c r="AM282" i="4" s="1"/>
  <c r="AN282" i="4" s="1"/>
  <c r="N369" i="34"/>
  <c r="W369" i="34" s="1"/>
  <c r="X369" i="34" s="1"/>
  <c r="N486" i="34"/>
  <c r="U486" i="34" s="1"/>
  <c r="AI168" i="4" s="1"/>
  <c r="AM168" i="4" s="1"/>
  <c r="AN168" i="4" s="1"/>
  <c r="G211" i="65" l="1"/>
  <c r="E34" i="73" s="1"/>
  <c r="I32" i="73"/>
  <c r="D18" i="60"/>
  <c r="I31" i="73"/>
  <c r="D17" i="60"/>
  <c r="H34" i="73"/>
  <c r="I34" i="73" s="1"/>
  <c r="M34" i="73" s="1"/>
  <c r="N34" i="73" s="1"/>
  <c r="O34" i="73" s="1"/>
  <c r="P34" i="73" s="1"/>
  <c r="L43" i="58"/>
  <c r="M43" i="58" s="1"/>
  <c r="G573" i="59"/>
  <c r="L41" i="58"/>
  <c r="G538" i="59"/>
  <c r="L40" i="58"/>
  <c r="M40" i="58" s="1"/>
  <c r="I213" i="65"/>
  <c r="N1408" i="34"/>
  <c r="U19" i="34"/>
  <c r="AI16" i="4" s="1"/>
  <c r="U369" i="34"/>
  <c r="AI130" i="4" s="1"/>
  <c r="AE130" i="4" s="1"/>
  <c r="AE434" i="4"/>
  <c r="AM358" i="4"/>
  <c r="AN358" i="4" s="1"/>
  <c r="AE282" i="4"/>
  <c r="AM206" i="4"/>
  <c r="AN206" i="4" s="1"/>
  <c r="AE206" i="4"/>
  <c r="AE244" i="4"/>
  <c r="AM244" i="4"/>
  <c r="AN244" i="4" s="1"/>
  <c r="AE396" i="4"/>
  <c r="AM396" i="4"/>
  <c r="AN396" i="4" s="1"/>
  <c r="AE320" i="4"/>
  <c r="AM320" i="4"/>
  <c r="AN320" i="4" s="1"/>
  <c r="AM54" i="4"/>
  <c r="AN54" i="4" s="1"/>
  <c r="AE54" i="4"/>
  <c r="AF358" i="4"/>
  <c r="AE168" i="4"/>
  <c r="AM92" i="4"/>
  <c r="AN92" i="4" s="1"/>
  <c r="AF92" i="4"/>
  <c r="J214" i="65" l="1"/>
  <c r="J212" i="65"/>
  <c r="V43" i="58"/>
  <c r="E43" i="77" s="1"/>
  <c r="C41" i="58"/>
  <c r="G41" i="58" s="1"/>
  <c r="K41" i="58" s="1"/>
  <c r="O41" i="58" s="1"/>
  <c r="T41" i="58" s="1"/>
  <c r="C41" i="77" s="1"/>
  <c r="AI472" i="4"/>
  <c r="AX23" i="58"/>
  <c r="AY23" i="58" s="1"/>
  <c r="C19" i="60"/>
  <c r="J19" i="60" s="1"/>
  <c r="F34" i="73"/>
  <c r="J34" i="73" s="1"/>
  <c r="K34" i="73" s="1"/>
  <c r="I18" i="60"/>
  <c r="I22" i="60" s="1"/>
  <c r="D19" i="60"/>
  <c r="J540" i="59"/>
  <c r="K541" i="59" s="1"/>
  <c r="E31" i="73"/>
  <c r="E32" i="73"/>
  <c r="F32" i="73" s="1"/>
  <c r="F29" i="58"/>
  <c r="J575" i="59"/>
  <c r="K576" i="59" s="1"/>
  <c r="AM16" i="4"/>
  <c r="AN16" i="4" s="1"/>
  <c r="I214" i="65"/>
  <c r="AE16" i="4"/>
  <c r="AE472" i="4" s="1"/>
  <c r="AF434" i="4"/>
  <c r="AM130" i="4"/>
  <c r="AN130" i="4" s="1"/>
  <c r="AI462" i="4"/>
  <c r="AF282" i="4"/>
  <c r="AF244" i="4"/>
  <c r="AF130" i="4"/>
  <c r="AF206" i="4"/>
  <c r="AF54" i="4"/>
  <c r="AF168" i="4"/>
  <c r="AF320" i="4"/>
  <c r="AF396" i="4"/>
  <c r="G34" i="73" l="1"/>
  <c r="C45" i="58"/>
  <c r="C53" i="58" s="1"/>
  <c r="C59" i="58" s="1"/>
  <c r="F43" i="77"/>
  <c r="J576" i="59"/>
  <c r="J541" i="59"/>
  <c r="AF48" i="58"/>
  <c r="AA41" i="58"/>
  <c r="AB41" i="58" s="1"/>
  <c r="AE41" i="58" s="1"/>
  <c r="AN25" i="58" s="1"/>
  <c r="AT25" i="58" s="1"/>
  <c r="E19" i="60"/>
  <c r="F19" i="60" s="1"/>
  <c r="AE484" i="4"/>
  <c r="AF484" i="4" s="1"/>
  <c r="G343" i="59" s="1"/>
  <c r="AF472" i="4"/>
  <c r="G269" i="59" s="1"/>
  <c r="M41" i="58"/>
  <c r="J32" i="73"/>
  <c r="K32" i="73" s="1"/>
  <c r="C18" i="60"/>
  <c r="F31" i="73"/>
  <c r="J31" i="73" s="1"/>
  <c r="K31" i="73" s="1"/>
  <c r="C17" i="60"/>
  <c r="V40" i="58"/>
  <c r="E40" i="77" s="1"/>
  <c r="AN462" i="4"/>
  <c r="V41" i="58"/>
  <c r="E41" i="77" s="1"/>
  <c r="AE462" i="4"/>
  <c r="AF16" i="4"/>
  <c r="AM462" i="4"/>
  <c r="W43" i="58"/>
  <c r="F40" i="77" l="1"/>
  <c r="L575" i="59"/>
  <c r="G32" i="73"/>
  <c r="AX25" i="58"/>
  <c r="AY25" i="58" s="1"/>
  <c r="G31" i="73"/>
  <c r="AX24" i="58"/>
  <c r="AY24" i="58" s="1"/>
  <c r="AJ25" i="58"/>
  <c r="E17" i="60"/>
  <c r="F17" i="60" s="1"/>
  <c r="J17" i="60"/>
  <c r="E18" i="60"/>
  <c r="F18" i="60" s="1"/>
  <c r="J18" i="60"/>
  <c r="AE464" i="4"/>
  <c r="W41" i="58"/>
  <c r="G29" i="58"/>
  <c r="G31" i="58" s="1"/>
  <c r="R29" i="58"/>
  <c r="G278" i="59" s="1"/>
  <c r="L278" i="59" s="1"/>
  <c r="F31" i="58"/>
  <c r="F45" i="58" s="1"/>
  <c r="L269" i="59"/>
  <c r="AF41" i="58" l="1"/>
  <c r="L270" i="59"/>
  <c r="L274" i="59" s="1"/>
  <c r="L281" i="59" s="1"/>
  <c r="K29" i="58"/>
  <c r="O29" i="58" s="1"/>
  <c r="T29" i="58" s="1"/>
  <c r="T31" i="58" s="1"/>
  <c r="AA31" i="58" s="1"/>
  <c r="G45" i="58"/>
  <c r="G53" i="58" s="1"/>
  <c r="G59" i="58" s="1"/>
  <c r="F53" i="58"/>
  <c r="F59" i="58" s="1"/>
  <c r="R31" i="58"/>
  <c r="G270" i="59"/>
  <c r="G274" i="59" s="1"/>
  <c r="G281" i="59" l="1"/>
  <c r="AB31" i="58"/>
  <c r="AA45" i="58"/>
  <c r="AA53" i="58" s="1"/>
  <c r="T45" i="58"/>
  <c r="H21" i="73"/>
  <c r="I21" i="73" s="1"/>
  <c r="E21" i="73"/>
  <c r="F21" i="73" s="1"/>
  <c r="K31" i="58"/>
  <c r="K45" i="58" s="1"/>
  <c r="K53" i="58" s="1"/>
  <c r="K59" i="58" s="1"/>
  <c r="L283" i="59"/>
  <c r="J343" i="59"/>
  <c r="J344" i="59" s="1"/>
  <c r="J348" i="59" s="1"/>
  <c r="G344" i="59"/>
  <c r="G348" i="59" s="1"/>
  <c r="G352" i="59"/>
  <c r="J352" i="59" s="1"/>
  <c r="R45" i="58"/>
  <c r="R53" i="58" s="1"/>
  <c r="R59" i="58" s="1"/>
  <c r="L29" i="58"/>
  <c r="X61" i="58" l="1"/>
  <c r="X33" i="58" s="1"/>
  <c r="C45" i="77"/>
  <c r="F41" i="77"/>
  <c r="AB45" i="58"/>
  <c r="AB53" i="58" s="1"/>
  <c r="AE31" i="58"/>
  <c r="AN18" i="58" s="1"/>
  <c r="AT18" i="58" s="1"/>
  <c r="AT12" i="58" s="1"/>
  <c r="T53" i="58"/>
  <c r="W55" i="58"/>
  <c r="AJ18" i="58"/>
  <c r="AJ27" i="58" s="1"/>
  <c r="J21" i="73"/>
  <c r="O31" i="58"/>
  <c r="O45" i="58" s="1"/>
  <c r="O53" i="58" s="1"/>
  <c r="O59" i="58" s="1"/>
  <c r="H23" i="73"/>
  <c r="E23" i="73"/>
  <c r="L284" i="59"/>
  <c r="V29" i="58"/>
  <c r="E29" i="77" s="1"/>
  <c r="F29" i="77" s="1"/>
  <c r="J355" i="59"/>
  <c r="G355" i="59"/>
  <c r="L31" i="58"/>
  <c r="M29" i="58"/>
  <c r="T59" i="58" l="1"/>
  <c r="C53" i="77"/>
  <c r="AN27" i="58"/>
  <c r="AN30" i="58"/>
  <c r="AN12" i="58"/>
  <c r="X30" i="58"/>
  <c r="Y30" i="58" s="1"/>
  <c r="X12" i="58"/>
  <c r="AF31" i="58"/>
  <c r="AE45" i="58"/>
  <c r="AE53" i="58" s="1"/>
  <c r="AF53" i="58" s="1"/>
  <c r="X41" i="58"/>
  <c r="Y41" i="58" s="1"/>
  <c r="X26" i="58"/>
  <c r="Y26" i="58" s="1"/>
  <c r="X43" i="58"/>
  <c r="N214" i="65" s="1"/>
  <c r="X37" i="58"/>
  <c r="X23" i="58"/>
  <c r="L207" i="59" s="1"/>
  <c r="L184" i="59" s="1"/>
  <c r="L185" i="59" s="1"/>
  <c r="X29" i="58"/>
  <c r="Y29" i="58" s="1"/>
  <c r="X13" i="58"/>
  <c r="X18" i="58"/>
  <c r="Y18" i="58" s="1"/>
  <c r="X40" i="58"/>
  <c r="L541" i="59" s="1"/>
  <c r="L523" i="59" s="1"/>
  <c r="L524" i="59" s="1"/>
  <c r="X38" i="58"/>
  <c r="X17" i="58"/>
  <c r="Y17" i="58" s="1"/>
  <c r="X22" i="58"/>
  <c r="Y22" i="58" s="1"/>
  <c r="K21" i="73"/>
  <c r="W29" i="58"/>
  <c r="G21" i="73"/>
  <c r="F23" i="73"/>
  <c r="C14" i="60"/>
  <c r="J14" i="60" s="1"/>
  <c r="J358" i="59"/>
  <c r="K359" i="59" s="1"/>
  <c r="M31" i="58"/>
  <c r="L358" i="59" l="1"/>
  <c r="L359" i="59" s="1"/>
  <c r="L336" i="59" s="1"/>
  <c r="L337" i="59" s="1"/>
  <c r="L576" i="59"/>
  <c r="L557" i="59" s="1"/>
  <c r="L558" i="59" s="1"/>
  <c r="L170" i="59"/>
  <c r="L147" i="59" s="1"/>
  <c r="Y40" i="58"/>
  <c r="Y23" i="58"/>
  <c r="X45" i="58"/>
  <c r="X53" i="58" s="1"/>
  <c r="Y43" i="58"/>
  <c r="I23" i="73"/>
  <c r="J23" i="73" s="1"/>
  <c r="K23" i="73" s="1"/>
  <c r="D14" i="60"/>
  <c r="E14" i="60" s="1"/>
  <c r="F14" i="60" s="1"/>
  <c r="V31" i="58"/>
  <c r="J359" i="59"/>
  <c r="AX18" i="58" l="1"/>
  <c r="AY18" i="58" s="1"/>
  <c r="E31" i="77"/>
  <c r="F31" i="77" s="1"/>
  <c r="Y31" i="58"/>
  <c r="G23" i="73"/>
  <c r="W31" i="58"/>
  <c r="A14" i="3"/>
  <c r="A15" i="3" s="1"/>
  <c r="B14" i="3" l="1"/>
  <c r="G451" i="59"/>
  <c r="B15" i="3"/>
  <c r="A16" i="3"/>
  <c r="B16" i="3" s="1"/>
  <c r="J451" i="59"/>
  <c r="J460" i="59" s="1"/>
  <c r="A18" i="3" l="1"/>
  <c r="B18" i="3" s="1"/>
  <c r="J492" i="59"/>
  <c r="J494" i="59" s="1"/>
  <c r="J498" i="59" s="1"/>
  <c r="J505" i="59" s="1"/>
  <c r="G455" i="59"/>
  <c r="G457" i="59" s="1"/>
  <c r="G462" i="59" l="1"/>
  <c r="J455" i="59"/>
  <c r="J457" i="59" s="1"/>
  <c r="G469" i="59" l="1"/>
  <c r="E29" i="73" s="1"/>
  <c r="C21" i="60" s="1"/>
  <c r="J21" i="60" s="1"/>
  <c r="L37" i="58"/>
  <c r="J462" i="59"/>
  <c r="J469" i="59" s="1"/>
  <c r="H29" i="73" s="1"/>
  <c r="W40" i="58"/>
  <c r="J507" i="59"/>
  <c r="K508" i="59" s="1"/>
  <c r="F29" i="73" l="1"/>
  <c r="I29" i="73"/>
  <c r="D21" i="60"/>
  <c r="E21" i="60" s="1"/>
  <c r="F21" i="60" s="1"/>
  <c r="L508" i="59"/>
  <c r="L488" i="59" s="1"/>
  <c r="L489" i="59" s="1"/>
  <c r="V38" i="58"/>
  <c r="E38" i="77" s="1"/>
  <c r="F38" i="77" s="1"/>
  <c r="M37" i="58"/>
  <c r="J471" i="59"/>
  <c r="K472" i="59" s="1"/>
  <c r="G381" i="59"/>
  <c r="G385" i="59" s="1"/>
  <c r="J380" i="59"/>
  <c r="J381" i="59" s="1"/>
  <c r="J385" i="59" s="1"/>
  <c r="J392" i="59" s="1"/>
  <c r="J508" i="59"/>
  <c r="J29" i="73" l="1"/>
  <c r="K29" i="73" s="1"/>
  <c r="G392" i="59"/>
  <c r="W38" i="58"/>
  <c r="AX22" i="58"/>
  <c r="AY22" i="58" s="1"/>
  <c r="E25" i="73"/>
  <c r="H25" i="73"/>
  <c r="L472" i="59"/>
  <c r="L449" i="59" s="1"/>
  <c r="L450" i="59" s="1"/>
  <c r="V37" i="58"/>
  <c r="Y38" i="58"/>
  <c r="L33" i="58"/>
  <c r="J472" i="59"/>
  <c r="J394" i="59"/>
  <c r="K395" i="59" s="1"/>
  <c r="AX21" i="58" l="1"/>
  <c r="AY21" i="58" s="1"/>
  <c r="E37" i="77"/>
  <c r="F37" i="77" s="1"/>
  <c r="V33" i="58"/>
  <c r="W33" i="58" s="1"/>
  <c r="Y37" i="58"/>
  <c r="G29" i="73"/>
  <c r="F25" i="73"/>
  <c r="C15" i="60"/>
  <c r="J15" i="60" s="1"/>
  <c r="I25" i="73"/>
  <c r="D15" i="60"/>
  <c r="L395" i="59"/>
  <c r="L373" i="59" s="1"/>
  <c r="L374" i="59" s="1"/>
  <c r="W37" i="58"/>
  <c r="M33" i="58"/>
  <c r="J395" i="59"/>
  <c r="AX20" i="58" l="1"/>
  <c r="AY20" i="58" s="1"/>
  <c r="E33" i="77"/>
  <c r="F33" i="77"/>
  <c r="G25" i="73"/>
  <c r="Y33" i="58"/>
  <c r="J25" i="73"/>
  <c r="K25" i="73" s="1"/>
  <c r="E15" i="60"/>
  <c r="F15" i="60" s="1"/>
  <c r="G51" i="59"/>
  <c r="G55" i="59" s="1"/>
  <c r="J50" i="59"/>
  <c r="J51" i="59" s="1"/>
  <c r="J55" i="59" s="1"/>
  <c r="J62" i="59" s="1"/>
  <c r="G17" i="59"/>
  <c r="G21" i="59" s="1"/>
  <c r="J16" i="59"/>
  <c r="J17" i="59" s="1"/>
  <c r="J21" i="59" s="1"/>
  <c r="J28" i="59" s="1"/>
  <c r="H8" i="73" l="1"/>
  <c r="I8" i="73" s="1"/>
  <c r="H7" i="73"/>
  <c r="I7" i="73" s="1"/>
  <c r="M7" i="73" s="1"/>
  <c r="N7" i="73" s="1"/>
  <c r="L12" i="58"/>
  <c r="M12" i="58" s="1"/>
  <c r="G28" i="59"/>
  <c r="G62" i="59"/>
  <c r="L13" i="58"/>
  <c r="D9" i="60" l="1"/>
  <c r="D8" i="60"/>
  <c r="E7" i="73"/>
  <c r="F7" i="73" s="1"/>
  <c r="O7" i="73" s="1"/>
  <c r="P7" i="73" s="1"/>
  <c r="M13" i="58"/>
  <c r="M45" i="58" s="1"/>
  <c r="L45" i="58"/>
  <c r="E8" i="73"/>
  <c r="J30" i="59"/>
  <c r="K31" i="59" s="1"/>
  <c r="J64" i="59"/>
  <c r="K65" i="59" s="1"/>
  <c r="D22" i="60" l="1"/>
  <c r="D28" i="60" s="1"/>
  <c r="F8" i="73"/>
  <c r="C9" i="60"/>
  <c r="J9" i="60" s="1"/>
  <c r="J7" i="73"/>
  <c r="K7" i="73" s="1"/>
  <c r="C8" i="60"/>
  <c r="J65" i="59"/>
  <c r="L65" i="59"/>
  <c r="L44" i="59" s="1"/>
  <c r="V13" i="58"/>
  <c r="E13" i="77" s="1"/>
  <c r="F13" i="77" s="1"/>
  <c r="J31" i="59"/>
  <c r="L31" i="59"/>
  <c r="V12" i="58"/>
  <c r="AX13" i="58" l="1"/>
  <c r="AY13" i="58" s="1"/>
  <c r="E12" i="77"/>
  <c r="F12" i="77" s="1"/>
  <c r="G8" i="73"/>
  <c r="AX14" i="58"/>
  <c r="G7" i="73"/>
  <c r="E9" i="60"/>
  <c r="F9" i="60" s="1"/>
  <c r="C22" i="60"/>
  <c r="C28" i="60" s="1"/>
  <c r="I23" i="60"/>
  <c r="J23" i="60" s="1"/>
  <c r="J8" i="60"/>
  <c r="J22" i="60" s="1"/>
  <c r="E8" i="60"/>
  <c r="F8" i="60" s="1"/>
  <c r="J8" i="73"/>
  <c r="K8" i="73" s="1"/>
  <c r="X4" i="58"/>
  <c r="V61" i="58"/>
  <c r="W12" i="58"/>
  <c r="Y12" i="58"/>
  <c r="W13" i="58"/>
  <c r="V45" i="58"/>
  <c r="E45" i="77" s="1"/>
  <c r="F45" i="77" s="1"/>
  <c r="Y13" i="58"/>
  <c r="AX12" i="58" l="1"/>
  <c r="AY12" i="58" s="1"/>
  <c r="AY14" i="58"/>
  <c r="E22" i="60"/>
  <c r="E28" i="60" s="1"/>
  <c r="F28" i="60" s="1"/>
  <c r="W45" i="58"/>
  <c r="Y45" i="58"/>
  <c r="V53" i="58"/>
  <c r="Y53" i="58" l="1"/>
  <c r="E53" i="77"/>
  <c r="F53" i="77" s="1"/>
  <c r="F22" i="60"/>
  <c r="V59" i="58"/>
  <c r="W53" i="58"/>
  <c r="V57" i="58"/>
  <c r="W57" i="58" s="1"/>
</calcChain>
</file>

<file path=xl/comments1.xml><?xml version="1.0" encoding="utf-8"?>
<comments xmlns="http://schemas.openxmlformats.org/spreadsheetml/2006/main">
  <authors>
    <author>Author</author>
  </authors>
  <commentList>
    <comment ref="I7" authorId="0" shapeId="0">
      <text>
        <r>
          <rPr>
            <b/>
            <sz val="9"/>
            <color indexed="81"/>
            <rFont val="Tahoma"/>
            <family val="2"/>
          </rPr>
          <t>Author:</t>
        </r>
        <r>
          <rPr>
            <sz val="9"/>
            <color indexed="81"/>
            <rFont val="Tahoma"/>
            <family val="2"/>
          </rPr>
          <t xml:space="preserve">
Includes power factor adjustment</t>
        </r>
      </text>
    </comment>
    <comment ref="I24" authorId="0" shapeId="0">
      <text>
        <r>
          <rPr>
            <b/>
            <sz val="9"/>
            <color indexed="81"/>
            <rFont val="Tahoma"/>
            <family val="2"/>
          </rPr>
          <t>Author:</t>
        </r>
        <r>
          <rPr>
            <sz val="9"/>
            <color indexed="81"/>
            <rFont val="Tahoma"/>
            <family val="2"/>
          </rPr>
          <t xml:space="preserve">
Includes power factor adjustment</t>
        </r>
      </text>
    </comment>
    <comment ref="I40" authorId="0" shapeId="0">
      <text>
        <r>
          <rPr>
            <b/>
            <sz val="9"/>
            <color indexed="81"/>
            <rFont val="Tahoma"/>
            <family val="2"/>
          </rPr>
          <t>Author:</t>
        </r>
        <r>
          <rPr>
            <sz val="9"/>
            <color indexed="81"/>
            <rFont val="Tahoma"/>
            <family val="2"/>
          </rPr>
          <t xml:space="preserve">
Includes power factor adjustment</t>
        </r>
      </text>
    </comment>
  </commentList>
</comments>
</file>

<file path=xl/sharedStrings.xml><?xml version="1.0" encoding="utf-8"?>
<sst xmlns="http://schemas.openxmlformats.org/spreadsheetml/2006/main" count="19034" uniqueCount="1639">
  <si>
    <t>Revenue Period</t>
  </si>
  <si>
    <t xml:space="preserve"> # Billed  Contracts</t>
  </si>
  <si>
    <t xml:space="preserve"> Total  KWH</t>
  </si>
  <si>
    <t>Company Code Group</t>
  </si>
  <si>
    <t>Rate Category</t>
  </si>
  <si>
    <t>KWH</t>
  </si>
  <si>
    <t>$</t>
  </si>
  <si>
    <t>Result</t>
  </si>
  <si>
    <t>Date Block</t>
  </si>
  <si>
    <t>Tariff</t>
  </si>
  <si>
    <t>Lookup Code</t>
  </si>
  <si>
    <t>Energy Rate-ECR Only</t>
  </si>
  <si>
    <t>Energy Rate-FAC Only</t>
  </si>
  <si>
    <t>RS</t>
  </si>
  <si>
    <t>GS3</t>
  </si>
  <si>
    <t>RTS</t>
  </si>
  <si>
    <t>IST</t>
  </si>
  <si>
    <t>LE</t>
  </si>
  <si>
    <t>TE</t>
  </si>
  <si>
    <t>Peak</t>
  </si>
  <si>
    <t>PSS</t>
  </si>
  <si>
    <t>PSP</t>
  </si>
  <si>
    <t>FLSP</t>
  </si>
  <si>
    <t>FLST</t>
  </si>
  <si>
    <t>Customer Charge/Per Light Unit Charge</t>
  </si>
  <si>
    <t>End</t>
  </si>
  <si>
    <t>E</t>
  </si>
  <si>
    <t>G</t>
  </si>
  <si>
    <t>H</t>
  </si>
  <si>
    <t>Date Ranges for Rate Changes and Block Definitions</t>
  </si>
  <si>
    <t>Beginning</t>
  </si>
  <si>
    <t>Ending</t>
  </si>
  <si>
    <t>PK</t>
  </si>
  <si>
    <t xml:space="preserve"> RateClass </t>
  </si>
  <si>
    <t xml:space="preserve"> Energy </t>
  </si>
  <si>
    <t xml:space="preserve"> CustChrg </t>
  </si>
  <si>
    <t xml:space="preserve"> Basic Demand </t>
  </si>
  <si>
    <t xml:space="preserve"> Winter Peak or Intermediate Demand </t>
  </si>
  <si>
    <t xml:space="preserve"> Summer Peak or Peak Period Demand </t>
  </si>
  <si>
    <t xml:space="preserve"> CustRevenue </t>
  </si>
  <si>
    <t xml:space="preserve"> Basic Demand Rev </t>
  </si>
  <si>
    <t xml:space="preserve"> Intermediate Demand Revenue </t>
  </si>
  <si>
    <t xml:space="preserve"> Peak Demand Revenue </t>
  </si>
  <si>
    <t xml:space="preserve"> Total Calculated Demand Revenue </t>
  </si>
  <si>
    <t xml:space="preserve"> Calculated Base Revenue (including power factor adjustment) </t>
  </si>
  <si>
    <t xml:space="preserve"> Actual Base Revenue </t>
  </si>
  <si>
    <t xml:space="preserve"> Correction Factor </t>
  </si>
  <si>
    <t xml:space="preserve"> FACRev </t>
  </si>
  <si>
    <t xml:space="preserve"> DSMRev </t>
  </si>
  <si>
    <t xml:space="preserve"> ECRRev </t>
  </si>
  <si>
    <t xml:space="preserve"> MSCRev </t>
  </si>
  <si>
    <t xml:space="preserve"> Curtailable Serv Rider </t>
  </si>
  <si>
    <t>RateCategory</t>
  </si>
  <si>
    <t xml:space="preserve"> ContractCnt </t>
  </si>
  <si>
    <t>Retail Transmission Service</t>
  </si>
  <si>
    <t>Traffic Energy Service</t>
  </si>
  <si>
    <t>Total</t>
  </si>
  <si>
    <t>FAC</t>
  </si>
  <si>
    <t>ECR</t>
  </si>
  <si>
    <t>General Service Three Phase</t>
  </si>
  <si>
    <t># Lights at start of Period</t>
  </si>
  <si>
    <t>Difference</t>
  </si>
  <si>
    <t>Revenue Month</t>
  </si>
  <si>
    <t>CSR</t>
  </si>
  <si>
    <t xml:space="preserve"> Power Factor Demand Revenue Adjustment</t>
  </si>
  <si>
    <t>Test Year Date Range:</t>
  </si>
  <si>
    <t>Begin</t>
  </si>
  <si>
    <t>Secondary</t>
  </si>
  <si>
    <t>Primary</t>
  </si>
  <si>
    <t>Retail Transmisison Service</t>
  </si>
  <si>
    <t>Traffic Energy</t>
  </si>
  <si>
    <t>Lighting Service</t>
  </si>
  <si>
    <t>Lighting Energy</t>
  </si>
  <si>
    <t>Ranges for Date Lookups</t>
  </si>
  <si>
    <t>Rate Class</t>
  </si>
  <si>
    <t>Customers</t>
  </si>
  <si>
    <t>kWh</t>
  </si>
  <si>
    <t>Base Revenue</t>
  </si>
  <si>
    <t>AE</t>
  </si>
  <si>
    <t>AH</t>
  </si>
  <si>
    <t>Lights</t>
  </si>
  <si>
    <t>Residential Rate</t>
  </si>
  <si>
    <t>Total Residential Service</t>
  </si>
  <si>
    <t>Residential Service</t>
  </si>
  <si>
    <t>General Service Rate</t>
  </si>
  <si>
    <t>General Service</t>
  </si>
  <si>
    <t>Power Service Rate</t>
  </si>
  <si>
    <t>Total Power Service</t>
  </si>
  <si>
    <t>Fluctuating Load Service</t>
  </si>
  <si>
    <t>DSM Billings</t>
  </si>
  <si>
    <t>Bill Frequency Poles and Bases Report by Month -- provides a count of billed poles and bases by rate category</t>
  </si>
  <si>
    <t>Bill Frequency Lighting Report including billing factor revenues -- provides count, energy, and revenue by installed light using rate category</t>
  </si>
  <si>
    <t>Bill Frequency Summary by Month -- provides following billed data:  customer count, energy, demand by period, customer revenues, energy revenues, demand revenues and total revenues</t>
  </si>
  <si>
    <t>Rates</t>
  </si>
  <si>
    <t>provides, by rate category and rate component, as billed tariff rates in total and in ECR &amp; FAC components, for each rate change applicable in the test year</t>
  </si>
  <si>
    <t>MiscData</t>
  </si>
  <si>
    <t>Contains relevant keys to the Indirect Functions in the 12MonResults tab.</t>
  </si>
  <si>
    <t>Counts the number of rows for each month for each source tab described above, and determines the beginning and ending row for each month's data.</t>
  </si>
  <si>
    <t>This information is used to establish the ranges used in the SUMIF function to bring the monthly statistics and revenue amounts into the 12MonResults tab to reconstruct the billings</t>
  </si>
  <si>
    <t>Also contains the specification of the test year period so date ranges do not have to be updated in multiple locations</t>
  </si>
  <si>
    <t>Contains a list of exhibits produced by the Billing determinants spreadsheet along with sponsoring witness to facilitate updating and printing final exhibits.</t>
  </si>
  <si>
    <t xml:space="preserve">Contains the date of each rate change and the start and end dates for rates in effect in the test year.  This table establishes the lookup keys that allow the correct rate to be retreived from </t>
  </si>
  <si>
    <t>the Rates tab and inserted into the 12MonResults tab automatically.</t>
  </si>
  <si>
    <t>Contains a 'color' key to identify the source tabs for the data in the 12MonResults tab</t>
  </si>
  <si>
    <t xml:space="preserve">Unit </t>
  </si>
  <si>
    <t>Calculated</t>
  </si>
  <si>
    <t>Demand</t>
  </si>
  <si>
    <t>kWh's</t>
  </si>
  <si>
    <t>Charges</t>
  </si>
  <si>
    <t>Revenue</t>
  </si>
  <si>
    <t/>
  </si>
  <si>
    <t>TOTAL</t>
  </si>
  <si>
    <t xml:space="preserve"> Energy / Lighting Revenue </t>
  </si>
  <si>
    <t>Demand Revenue</t>
  </si>
  <si>
    <t>Adjustment to Contract Accts to reflect CCS multiple bills</t>
  </si>
  <si>
    <t>KW/KVA Base Qty</t>
  </si>
  <si>
    <t>KW/KVA Int Qty</t>
  </si>
  <si>
    <t>KW/KVA Peak Qty</t>
  </si>
  <si>
    <t>General Service Single Phase</t>
  </si>
  <si>
    <t>High Pressure Sodium</t>
  </si>
  <si>
    <t>Mercury Vapor</t>
  </si>
  <si>
    <t>Price</t>
  </si>
  <si>
    <t>Number of Bases</t>
  </si>
  <si>
    <t>Base Price Amount</t>
  </si>
  <si>
    <t>Number  of Poles</t>
  </si>
  <si>
    <t>Rate</t>
  </si>
  <si>
    <t>LE_900POLE</t>
  </si>
  <si>
    <t>LE_901POLE</t>
  </si>
  <si>
    <t>LE_902POLE</t>
  </si>
  <si>
    <t>LE_950BASE</t>
  </si>
  <si>
    <t>LE_951BASE</t>
  </si>
  <si>
    <t>LE_952BASE</t>
  </si>
  <si>
    <t>LE_953BASE</t>
  </si>
  <si>
    <t>LE_955BASE</t>
  </si>
  <si>
    <t>LE_956BASE</t>
  </si>
  <si>
    <t>LE_957BASE</t>
  </si>
  <si>
    <t>LE_958POLE</t>
  </si>
  <si>
    <t>LGUM_001</t>
  </si>
  <si>
    <t>LGUM_002</t>
  </si>
  <si>
    <t>LGUM_003</t>
  </si>
  <si>
    <t>LGUM_004</t>
  </si>
  <si>
    <t>LGUM_005</t>
  </si>
  <si>
    <t>LGUM_007</t>
  </si>
  <si>
    <t>LGUM_008</t>
  </si>
  <si>
    <t>LGUM_010</t>
  </si>
  <si>
    <t>LGUM_011</t>
  </si>
  <si>
    <t>LGUM_012</t>
  </si>
  <si>
    <t>LGUM_013</t>
  </si>
  <si>
    <t>LGUM_022</t>
  </si>
  <si>
    <t>LGUM_023</t>
  </si>
  <si>
    <t>LGUM_024</t>
  </si>
  <si>
    <t>LGUM_052</t>
  </si>
  <si>
    <t>LGUM_053</t>
  </si>
  <si>
    <t>LGUM_054</t>
  </si>
  <si>
    <t>LGUM_055</t>
  </si>
  <si>
    <t>LGUM_057</t>
  </si>
  <si>
    <t>LGUM_058</t>
  </si>
  <si>
    <t>LGUM_061</t>
  </si>
  <si>
    <t>LGUM_062</t>
  </si>
  <si>
    <t>LGUM_063</t>
  </si>
  <si>
    <t>LGUM_066</t>
  </si>
  <si>
    <t>LGUM_067</t>
  </si>
  <si>
    <t>LGUM_072</t>
  </si>
  <si>
    <t>LGUM_073</t>
  </si>
  <si>
    <t>LGUM_074</t>
  </si>
  <si>
    <t>LGUM_075</t>
  </si>
  <si>
    <t>LGUM_076</t>
  </si>
  <si>
    <t>LGUM_077</t>
  </si>
  <si>
    <t>LGUM_082</t>
  </si>
  <si>
    <t>LGUM_101</t>
  </si>
  <si>
    <t>LGUM_102</t>
  </si>
  <si>
    <t>LGUM_103</t>
  </si>
  <si>
    <t>LGUM_104</t>
  </si>
  <si>
    <t>LGUM_105</t>
  </si>
  <si>
    <t>LGUM_106</t>
  </si>
  <si>
    <t>LGUM_107</t>
  </si>
  <si>
    <t>LGUM_108</t>
  </si>
  <si>
    <t>LGUM_109</t>
  </si>
  <si>
    <t>LGUM_110</t>
  </si>
  <si>
    <t>LGUM_111</t>
  </si>
  <si>
    <t>LGUM_112</t>
  </si>
  <si>
    <t>LGUM_113</t>
  </si>
  <si>
    <t>LGUM_116</t>
  </si>
  <si>
    <t>LGUM_117</t>
  </si>
  <si>
    <t>LGUM_122</t>
  </si>
  <si>
    <t>LGUM_123</t>
  </si>
  <si>
    <t>LGUM_124</t>
  </si>
  <si>
    <t>LGUM_152</t>
  </si>
  <si>
    <t>LGUM_153</t>
  </si>
  <si>
    <t>LGUM_154</t>
  </si>
  <si>
    <t>LGUM_155</t>
  </si>
  <si>
    <t>LGUM_157</t>
  </si>
  <si>
    <t>LGUM_158</t>
  </si>
  <si>
    <t>LGUM_159</t>
  </si>
  <si>
    <t>LGUM_160</t>
  </si>
  <si>
    <t>LGUM_161</t>
  </si>
  <si>
    <t>LGUM_162</t>
  </si>
  <si>
    <t>LGUM_163</t>
  </si>
  <si>
    <t>LGUM_166</t>
  </si>
  <si>
    <t>LGUM_167</t>
  </si>
  <si>
    <t>LGUM_172</t>
  </si>
  <si>
    <t>LGUM_173</t>
  </si>
  <si>
    <t>LGUM_174</t>
  </si>
  <si>
    <t>LGUM_175</t>
  </si>
  <si>
    <t>LGUM_176</t>
  </si>
  <si>
    <t>LGUM_177</t>
  </si>
  <si>
    <t>LGUM_178</t>
  </si>
  <si>
    <t>LGUM_179</t>
  </si>
  <si>
    <t>LGUM_180</t>
  </si>
  <si>
    <t>LGUM_181</t>
  </si>
  <si>
    <t>LGUM_182</t>
  </si>
  <si>
    <t>LGUM_183</t>
  </si>
  <si>
    <t>LGUM_202</t>
  </si>
  <si>
    <t>LGUM_203</t>
  </si>
  <si>
    <t>LGUM_204</t>
  </si>
  <si>
    <t>LGUM_206</t>
  </si>
  <si>
    <t>LGUM_207</t>
  </si>
  <si>
    <t>LGUM_208</t>
  </si>
  <si>
    <t>LGUM_210</t>
  </si>
  <si>
    <t>LGUM_211</t>
  </si>
  <si>
    <t>LGUM_212</t>
  </si>
  <si>
    <t>LGUM_222</t>
  </si>
  <si>
    <t>LGUM_224</t>
  </si>
  <si>
    <t>LGUM_252</t>
  </si>
  <si>
    <t>LGUM_253</t>
  </si>
  <si>
    <t>LGUM_255</t>
  </si>
  <si>
    <t>LGUM_258</t>
  </si>
  <si>
    <t>LGUM_259</t>
  </si>
  <si>
    <t>LGUM_261</t>
  </si>
  <si>
    <t>LGUM_262</t>
  </si>
  <si>
    <t>LGUM_263</t>
  </si>
  <si>
    <t>LGUM_266</t>
  </si>
  <si>
    <t>LGUM_267</t>
  </si>
  <si>
    <t>LGUM_272</t>
  </si>
  <si>
    <t>LGUM_274</t>
  </si>
  <si>
    <t>LGUM_276</t>
  </si>
  <si>
    <t>LGUM_277</t>
  </si>
  <si>
    <t>LGUM_301</t>
  </si>
  <si>
    <t>LGUM_302</t>
  </si>
  <si>
    <t>LGUM_303</t>
  </si>
  <si>
    <t>LGUM_304</t>
  </si>
  <si>
    <t>LGUM_305</t>
  </si>
  <si>
    <t>LGUM_306</t>
  </si>
  <si>
    <t>LGUM_307</t>
  </si>
  <si>
    <t>LGUM_308</t>
  </si>
  <si>
    <t>LGUM_309</t>
  </si>
  <si>
    <t>LGUM_310</t>
  </si>
  <si>
    <t>LGUM_311</t>
  </si>
  <si>
    <t>LGUM_312</t>
  </si>
  <si>
    <t>LGUM_313</t>
  </si>
  <si>
    <t>LGUM_314</t>
  </si>
  <si>
    <t>LGUM_315</t>
  </si>
  <si>
    <t>LGUM_316</t>
  </si>
  <si>
    <t>LGUM_317</t>
  </si>
  <si>
    <t>LGUM_318</t>
  </si>
  <si>
    <t>LGUM_321</t>
  </si>
  <si>
    <t>LGUM_322</t>
  </si>
  <si>
    <t>LGUM_323</t>
  </si>
  <si>
    <t>LGUM_324</t>
  </si>
  <si>
    <t>LGUM_325</t>
  </si>
  <si>
    <t>LGUM_348</t>
  </si>
  <si>
    <t>300W 6000 Lumen Incandescent</t>
  </si>
  <si>
    <t>LGUM_349</t>
  </si>
  <si>
    <t>100W 1500 Lumen Incandescent</t>
  </si>
  <si>
    <t>LGUM_352</t>
  </si>
  <si>
    <t>LGUM_353</t>
  </si>
  <si>
    <t>LGUM_354</t>
  </si>
  <si>
    <t>LGUM_355</t>
  </si>
  <si>
    <t>LGUM_357</t>
  </si>
  <si>
    <t>LGUM_358</t>
  </si>
  <si>
    <t>LGUM_360</t>
  </si>
  <si>
    <t>LGUM_361</t>
  </si>
  <si>
    <t>LGUM_362</t>
  </si>
  <si>
    <t>LGUM_363</t>
  </si>
  <si>
    <t>LGUM_364</t>
  </si>
  <si>
    <t>LGUM_365</t>
  </si>
  <si>
    <t>LGUM_366</t>
  </si>
  <si>
    <t>LGUM_367</t>
  </si>
  <si>
    <t>LGUM_370</t>
  </si>
  <si>
    <t>LGUM_371</t>
  </si>
  <si>
    <t>LGUM_372</t>
  </si>
  <si>
    <t>LGUM_373</t>
  </si>
  <si>
    <t>LGUM_374</t>
  </si>
  <si>
    <t>LGUM_375</t>
  </si>
  <si>
    <t>LGUM_376</t>
  </si>
  <si>
    <t>LGUM_377</t>
  </si>
  <si>
    <t>LGUM_378</t>
  </si>
  <si>
    <t>LGUM_379</t>
  </si>
  <si>
    <t>LGUM_380</t>
  </si>
  <si>
    <t>LGUM_381</t>
  </si>
  <si>
    <t>LGUM_382</t>
  </si>
  <si>
    <t>LGUM_383</t>
  </si>
  <si>
    <t>LGUM_412</t>
  </si>
  <si>
    <t>LGUM_413</t>
  </si>
  <si>
    <t>LGUM_414</t>
  </si>
  <si>
    <t>LGUM_415</t>
  </si>
  <si>
    <t>LGUM_416</t>
  </si>
  <si>
    <t>LGUM_417</t>
  </si>
  <si>
    <t>LGUM_418</t>
  </si>
  <si>
    <t>LGUM_419</t>
  </si>
  <si>
    <t>LGUM_420</t>
  </si>
  <si>
    <t>LGUM_421</t>
  </si>
  <si>
    <t>LGUM_422</t>
  </si>
  <si>
    <t>LGUM_423</t>
  </si>
  <si>
    <t>LGUM_424</t>
  </si>
  <si>
    <t>LGUM_425</t>
  </si>
  <si>
    <t>LGUM_426</t>
  </si>
  <si>
    <t>LGUM_427</t>
  </si>
  <si>
    <t>LGUM_428</t>
  </si>
  <si>
    <t>LGUM_429</t>
  </si>
  <si>
    <t>LGUM_430</t>
  </si>
  <si>
    <t>LGUM_431</t>
  </si>
  <si>
    <t>LGUM_433</t>
  </si>
  <si>
    <t>LGUM_434</t>
  </si>
  <si>
    <t>LGUM_435</t>
  </si>
  <si>
    <t>LGUM_437</t>
  </si>
  <si>
    <t>LGUM_438</t>
  </si>
  <si>
    <t>LGUM_452</t>
  </si>
  <si>
    <t>LGUM_453</t>
  </si>
  <si>
    <t>LGUM_454</t>
  </si>
  <si>
    <t>LGUM_455</t>
  </si>
  <si>
    <t>LGUM_456</t>
  </si>
  <si>
    <t>LGUM_457</t>
  </si>
  <si>
    <t>LGUM_458</t>
  </si>
  <si>
    <t>LGUM_459</t>
  </si>
  <si>
    <t>LGUM_460</t>
  </si>
  <si>
    <t>LGUM_461</t>
  </si>
  <si>
    <t>LGUM_462</t>
  </si>
  <si>
    <t>LGUM_470</t>
  </si>
  <si>
    <t>LGUM_471</t>
  </si>
  <si>
    <t>LGUM_473</t>
  </si>
  <si>
    <t>LGUM_474</t>
  </si>
  <si>
    <t>LGUM_475</t>
  </si>
  <si>
    <t>LGUM_476</t>
  </si>
  <si>
    <t>LGUM_477</t>
  </si>
  <si>
    <t>LGUM_482</t>
  </si>
  <si>
    <t>LGUM_483</t>
  </si>
  <si>
    <t>LGUM_484</t>
  </si>
  <si>
    <t>LGUM_081</t>
  </si>
  <si>
    <t>LGUM_432</t>
  </si>
  <si>
    <t>LGUM_400</t>
  </si>
  <si>
    <t>LGUM_441</t>
  </si>
  <si>
    <t>LGUM_201</t>
  </si>
  <si>
    <t>LGUM_205</t>
  </si>
  <si>
    <t>LGUM_209</t>
  </si>
  <si>
    <t>LGUM_213</t>
  </si>
  <si>
    <t>LGUM_216</t>
  </si>
  <si>
    <t>LGUM_217</t>
  </si>
  <si>
    <t>LGUM_223</t>
  </si>
  <si>
    <t>LGUM_254</t>
  </si>
  <si>
    <t>LGUM_257</t>
  </si>
  <si>
    <t>LGUM_260</t>
  </si>
  <si>
    <t>LGUM_273</t>
  </si>
  <si>
    <t>LGUM_275</t>
  </si>
  <si>
    <t>LGUM_278</t>
  </si>
  <si>
    <t>LGUM_279</t>
  </si>
  <si>
    <t>LGUM_281</t>
  </si>
  <si>
    <t>LGUM_282</t>
  </si>
  <si>
    <t>LGUM_283</t>
  </si>
  <si>
    <t>LGUM_280</t>
  </si>
  <si>
    <t>LGUM_481</t>
  </si>
  <si>
    <t>LGUM_059</t>
  </si>
  <si>
    <t>LGUM_000</t>
  </si>
  <si>
    <t>Temporary Suspension - Unmetered Lights</t>
  </si>
  <si>
    <t xml:space="preserve"> KWH   P1</t>
  </si>
  <si>
    <t xml:space="preserve"> KWH   P2</t>
  </si>
  <si>
    <t xml:space="preserve"> KWH   P3</t>
  </si>
  <si>
    <t>0100</t>
  </si>
  <si>
    <t>LGCME451</t>
  </si>
  <si>
    <t>LGCME550</t>
  </si>
  <si>
    <t>LGCME551</t>
  </si>
  <si>
    <t>LGCME551UM</t>
  </si>
  <si>
    <t>LGCME552</t>
  </si>
  <si>
    <t>LGCME555</t>
  </si>
  <si>
    <t>LGCME557</t>
  </si>
  <si>
    <t>LGCME561</t>
  </si>
  <si>
    <t>LGCME563</t>
  </si>
  <si>
    <t>LGCME567</t>
  </si>
  <si>
    <t>LGCME591</t>
  </si>
  <si>
    <t>LGCME593</t>
  </si>
  <si>
    <t>LGCME650</t>
  </si>
  <si>
    <t>LGCME651</t>
  </si>
  <si>
    <t>LGCME652</t>
  </si>
  <si>
    <t>LGCME656</t>
  </si>
  <si>
    <t>LGCME657</t>
  </si>
  <si>
    <t>LGCME671</t>
  </si>
  <si>
    <t>LGCSR780</t>
  </si>
  <si>
    <t>LGINE599</t>
  </si>
  <si>
    <t>LGINE643</t>
  </si>
  <si>
    <t>LGINE661</t>
  </si>
  <si>
    <t>LGINE663</t>
  </si>
  <si>
    <t>LGINE691</t>
  </si>
  <si>
    <t>LGINE693</t>
  </si>
  <si>
    <t>LGINE694</t>
  </si>
  <si>
    <t>LGMLE570</t>
  </si>
  <si>
    <t>LGMLE571</t>
  </si>
  <si>
    <t>LGMLE572</t>
  </si>
  <si>
    <t>LGMLE573</t>
  </si>
  <si>
    <t>LGMLE574</t>
  </si>
  <si>
    <t>LGRSE411</t>
  </si>
  <si>
    <t>LGRSE511</t>
  </si>
  <si>
    <t>LGRSE519</t>
  </si>
  <si>
    <t>LGRSE540</t>
  </si>
  <si>
    <t>LGRSE541</t>
  </si>
  <si>
    <t>Power Service Primary - Commercial</t>
  </si>
  <si>
    <t>CSR30 Option A - Transmission</t>
  </si>
  <si>
    <t>Power Service Secondary - Commercial</t>
  </si>
  <si>
    <t>Power Service Secondary NMS - Commercial</t>
  </si>
  <si>
    <t>Commercial Time-of-Day Primary</t>
  </si>
  <si>
    <t>CTODP</t>
  </si>
  <si>
    <t>CTODS</t>
  </si>
  <si>
    <t>Fort Knox - Special Contract</t>
  </si>
  <si>
    <t>FK</t>
  </si>
  <si>
    <t>General Service Three Phase - Net Meter</t>
  </si>
  <si>
    <t>GSS</t>
  </si>
  <si>
    <t>General Service Single Phase - Net Meter</t>
  </si>
  <si>
    <t>GSSH</t>
  </si>
  <si>
    <t>GSWH</t>
  </si>
  <si>
    <t>Power Service Primary - Industrial</t>
  </si>
  <si>
    <t>Power Service Secondary - Industrial</t>
  </si>
  <si>
    <t>Industrial Time-of-Day Primary</t>
  </si>
  <si>
    <t>ITODP</t>
  </si>
  <si>
    <t>ITODS</t>
  </si>
  <si>
    <t>Lighting Energy Service</t>
  </si>
  <si>
    <t>Louisville Water Co - Special Contract</t>
  </si>
  <si>
    <t>LWC</t>
  </si>
  <si>
    <t>RRP</t>
  </si>
  <si>
    <t>Residential Electric Service</t>
  </si>
  <si>
    <t>Residential Electric Net Metering</t>
  </si>
  <si>
    <t>Volunteer Fire Department Service</t>
  </si>
  <si>
    <t>Residential Electric, Water Heating</t>
  </si>
  <si>
    <t>Total Energy Charge or Period 1</t>
  </si>
  <si>
    <t>Period 2</t>
  </si>
  <si>
    <t>Period 3</t>
  </si>
  <si>
    <t>Period 4</t>
  </si>
  <si>
    <t>Total or Period 1Energy Rate-Bundled Balance</t>
  </si>
  <si>
    <t>Period 2 Energy Rate-Bundled Balance</t>
  </si>
  <si>
    <t>Period 3 Energy Rate-Bundled Balance</t>
  </si>
  <si>
    <t>Period 4 Energy Rate-Bundled Balance</t>
  </si>
  <si>
    <t>Basic Demand</t>
  </si>
  <si>
    <t>Winter Peak / Intermediate Demand</t>
  </si>
  <si>
    <t>Summer Peak / Peak Period Demand</t>
  </si>
  <si>
    <t>Basic Demand-Fluctuating Load</t>
  </si>
  <si>
    <t>Winter Peak Demand-Fluctuating Load</t>
  </si>
  <si>
    <t>Summer Peak Demand-Fluctuating Load</t>
  </si>
  <si>
    <t>Basic Demand-ECR Only</t>
  </si>
  <si>
    <t>Winter Peak Demand-ECR Only</t>
  </si>
  <si>
    <t>Summer Peak Demand-ECR Only</t>
  </si>
  <si>
    <t>Basic Demand-Bundled Balance</t>
  </si>
  <si>
    <t>Winter Peak Demand-Bundled Balance</t>
  </si>
  <si>
    <t>Summer Peak Demand-Bundled Balance</t>
  </si>
  <si>
    <t>Fluctuating Load Basic Demand-ECR Only</t>
  </si>
  <si>
    <t>Fluctuating Load Winter Peak Demand-ECR Only</t>
  </si>
  <si>
    <t>Fluctuating Load Summer Peak Demand-ECR Only</t>
  </si>
  <si>
    <t>Fluctuating Load Basic Demand-Bundled Balance</t>
  </si>
  <si>
    <t>Fluctuating Load Winter Peak Demand-Bundled Balance</t>
  </si>
  <si>
    <t>Fluctuating Load Summer Peak Demand-Bundled Balance</t>
  </si>
  <si>
    <t>ISS</t>
  </si>
  <si>
    <t>ISP</t>
  </si>
  <si>
    <t>RLS</t>
  </si>
  <si>
    <t xml:space="preserve"> 100 W MERCURY OUTDOOR LIGHT </t>
  </si>
  <si>
    <t xml:space="preserve"> 175 W MERCURY OUTDOOR LIGHT </t>
  </si>
  <si>
    <t xml:space="preserve"> 250 W MERCURY OUTDOOR LIGHT </t>
  </si>
  <si>
    <t xml:space="preserve"> 400 W MERCURY OUTDOOR LIGHT </t>
  </si>
  <si>
    <t xml:space="preserve"> 100 W HP SODIUM OUTDOOR LIGHT </t>
  </si>
  <si>
    <t>LGUM_006</t>
  </si>
  <si>
    <t xml:space="preserve"> 100 W MERCURY LIGHT TOP MOUNT </t>
  </si>
  <si>
    <t xml:space="preserve"> 400 W MERCURY FLOOD LIGHT </t>
  </si>
  <si>
    <t xml:space="preserve"> 175 W MERCURY LIGHT TOP MOUNT </t>
  </si>
  <si>
    <t>LGUM_009</t>
  </si>
  <si>
    <t xml:space="preserve"> 1000 W MERCURY OUTDOOR LIGHT </t>
  </si>
  <si>
    <t xml:space="preserve"> 1000 W MERCURY FLOOD LIGHT </t>
  </si>
  <si>
    <t xml:space="preserve"> 250 W HP SODIUM OUTDOOR LIGHT </t>
  </si>
  <si>
    <t xml:space="preserve"> 400 W HP SODIUM OUTDOOR LIGHT </t>
  </si>
  <si>
    <t xml:space="preserve"> 400 W HP SODIUM FLOOD LIGHT </t>
  </si>
  <si>
    <t>LGUM_016</t>
  </si>
  <si>
    <t xml:space="preserve"> 250 W UG HP SODIUM OUTDOOR LIGHT </t>
  </si>
  <si>
    <t>LGUM_017</t>
  </si>
  <si>
    <t xml:space="preserve"> 400 W UG HP SODIUM OUTDOOR LIGHT </t>
  </si>
  <si>
    <t xml:space="preserve"> 150 W HP SODIUM OUTDOOR LIGHT </t>
  </si>
  <si>
    <t xml:space="preserve"> 150 W HP SODIUM FLOOD LIGHT </t>
  </si>
  <si>
    <t xml:space="preserve"> 100 W HP SODIUM LIGHT TOP MOUNT </t>
  </si>
  <si>
    <t>LGUM_025</t>
  </si>
  <si>
    <t>LGUM_125</t>
  </si>
  <si>
    <t>LGUM_225</t>
  </si>
  <si>
    <t>LGUM_026</t>
  </si>
  <si>
    <t xml:space="preserve"> 70 W HP SODIUM LIGHT TOP MOUNT </t>
  </si>
  <si>
    <t>LGUM_126</t>
  </si>
  <si>
    <t>LGUM_226</t>
  </si>
  <si>
    <t>LGUM_251</t>
  </si>
  <si>
    <t xml:space="preserve"> 100 W MERCURY OUTDOOR LIGHT AFTER JAN 1, 1991 </t>
  </si>
  <si>
    <t xml:space="preserve"> 175 W MERCURY OUTDOOR LIGHT AFTER JAN 1, 1991 </t>
  </si>
  <si>
    <t xml:space="preserve"> 250 W MERCURY OUTDOOR LIGHT AFTER JAN 1, 1991 </t>
  </si>
  <si>
    <t xml:space="preserve"> 400 W MERCURY OUTDOOR LIGHT AFTER JAN 1, 1991 </t>
  </si>
  <si>
    <t xml:space="preserve"> 100 W HP SODIUM OUTDOOR LIGHT AFTER JAN 1, 1991 </t>
  </si>
  <si>
    <t>LGUM_056</t>
  </si>
  <si>
    <t xml:space="preserve"> 100 W MERCURY LIGHT TOP MOUNT AFTER JAN 1, 1991 </t>
  </si>
  <si>
    <t>LGUM_156</t>
  </si>
  <si>
    <t>LGUM_256</t>
  </si>
  <si>
    <t xml:space="preserve"> 400 W MERCURY FLOOD LIGHT AFTER JAN 1, 1991 </t>
  </si>
  <si>
    <t xml:space="preserve"> 175 W MERCURY LIGHT TOP MOUNT AFTER JAN 1, 1991 </t>
  </si>
  <si>
    <t xml:space="preserve"> 1000 W MERCURY OUTDOOR LIGHT AFTER JAN 1, 1991 </t>
  </si>
  <si>
    <t>LGUM_060</t>
  </si>
  <si>
    <t xml:space="preserve"> 1000 W MERCURY FLOOD LIGHT AFTER JAN 1, 1991 </t>
  </si>
  <si>
    <t xml:space="preserve"> 250 W HP SODIUM OUTDOOR LIGHT AFTER JAN 1, 1991 </t>
  </si>
  <si>
    <t xml:space="preserve"> 400 W HP SODIUM OUTDOOR LIGHT AFTER JAN 1, 1991 </t>
  </si>
  <si>
    <t xml:space="preserve"> 400 W HP SODIUM FLOOD LIGHT AFTER JAN 1, 1991 </t>
  </si>
  <si>
    <t xml:space="preserve"> 250 W UG HP SODIUM OUTDOOR LIGHT AFTER JAN 1, 1991 </t>
  </si>
  <si>
    <t xml:space="preserve"> 400 W UG HP SODIUM OUTDOOR LIGHT AFTER JAN 1, 1991 </t>
  </si>
  <si>
    <t xml:space="preserve"> 150 W HP SODIUM OUTDOOR LIGHT AFTER JAN 1, 1991 </t>
  </si>
  <si>
    <t xml:space="preserve"> 150 W HP SODIUM FLOOD LIGHT AFTER JAN 1, 1991 </t>
  </si>
  <si>
    <t xml:space="preserve"> 100 W HP SODIUM LIGHT TOP MOUNT AFTER JAN 1, 1991 </t>
  </si>
  <si>
    <t xml:space="preserve"> 70 W HP SODIUM LIGHT TOP MOUNT AFTER JAN 1, 1991 </t>
  </si>
  <si>
    <t xml:space="preserve"> 150 W HP SODIUM LIGHT TOP MOUNT AFTER JAN 1, 1991 </t>
  </si>
  <si>
    <t>LGUM_078</t>
  </si>
  <si>
    <t xml:space="preserve"> 1000 W UG HP SODIUM OUTDOOR LIGHT AFTER JAN 1, 1991 </t>
  </si>
  <si>
    <t>LGUM_079</t>
  </si>
  <si>
    <t xml:space="preserve"> 1000 W HP SODIUM OUTDOOR LIGHT AFTER JAN 1, 1991 </t>
  </si>
  <si>
    <t>LGUM_080</t>
  </si>
  <si>
    <t xml:space="preserve"> 70 W HP SODIUM ACORN/DECO BASKET </t>
  </si>
  <si>
    <t xml:space="preserve"> 100 W HP SODIUM ACORN/DECO BASKET </t>
  </si>
  <si>
    <t xml:space="preserve"> 70 W HP SODIUM 80SIDED COACH </t>
  </si>
  <si>
    <t>LGUM_083</t>
  </si>
  <si>
    <t xml:space="preserve"> 100 W HP SODIUM 80SIDED COACH </t>
  </si>
  <si>
    <t xml:space="preserve"> 100W MERCURY LIGHT TOP MOUNT (UG) </t>
  </si>
  <si>
    <t xml:space="preserve"> 400 W MERCURY OUTDOOR LIGHT Metal Pole </t>
  </si>
  <si>
    <t xml:space="preserve"> 175W MERCURY LIGHT TOP MOUNT (UG) </t>
  </si>
  <si>
    <t xml:space="preserve"> 250W UG MERCURY OUTDOOR LIGHT </t>
  </si>
  <si>
    <t xml:space="preserve"> 400W UG MERCURY OUTDOOR LIGHT </t>
  </si>
  <si>
    <t xml:space="preserve"> 250W UG HP SODIUM OUTDOOR LIGHT </t>
  </si>
  <si>
    <t xml:space="preserve"> 400W UG HP SODIUM OUTDOOR LIGHT </t>
  </si>
  <si>
    <t xml:space="preserve"> 175W UG MERCURY LIGHT METAL POLE </t>
  </si>
  <si>
    <t>LGUM_319</t>
  </si>
  <si>
    <t xml:space="preserve"> 400W UG MERCURY LIGHT METAL POLE </t>
  </si>
  <si>
    <t>LGUM_320</t>
  </si>
  <si>
    <t xml:space="preserve"> 250W UG HP SODIUM LIGHT METAL POLE </t>
  </si>
  <si>
    <t xml:space="preserve"> 400W HP SODIUM LIGHT METAL POLE </t>
  </si>
  <si>
    <t xml:space="preserve"> 100W HP SODIUM LIGHT TOP MOUNT </t>
  </si>
  <si>
    <t>LGUM_345</t>
  </si>
  <si>
    <t xml:space="preserve"> 400W Mercury Vapor UP </t>
  </si>
  <si>
    <t>LGUM_346</t>
  </si>
  <si>
    <t xml:space="preserve"> 250W UG HP Sodium State of Ky Pole </t>
  </si>
  <si>
    <t>LGUM_347</t>
  </si>
  <si>
    <t xml:space="preserve"> 400W UG MV State of Ky Pole </t>
  </si>
  <si>
    <t xml:space="preserve"> 300W 6000 Lumen Incandescent </t>
  </si>
  <si>
    <t xml:space="preserve"> 100W 1500 Lumen Incandescent </t>
  </si>
  <si>
    <t>LGUM_356</t>
  </si>
  <si>
    <t xml:space="preserve"> 100W MERCURY LIGHT TOP MOUNT AFTER JAN 1, 1991 </t>
  </si>
  <si>
    <t xml:space="preserve"> 175W MERCURY LIGHT TOP MOUNT AFTER JAN 1, 1991 </t>
  </si>
  <si>
    <t xml:space="preserve"> 250W UG MERCURY OUTDOOR LIGHT AFTER JAN 1, 1991 </t>
  </si>
  <si>
    <t xml:space="preserve"> 400W UG MERCURY OUTDOOR LIGHT AFTER JAN 1, 1991 </t>
  </si>
  <si>
    <t xml:space="preserve"> 250W UG HP SODIUM OUTDOOR LIGHT AFTER JAN 1, 1991 </t>
  </si>
  <si>
    <t xml:space="preserve"> 400W UG HP SODIIUM OUTDOOR LIGHT AFTER JAN 1, 1991 </t>
  </si>
  <si>
    <t>LGUM_368</t>
  </si>
  <si>
    <t>LGUM_369</t>
  </si>
  <si>
    <t xml:space="preserve"> 400W UG MERCURY LIGHT METAL POLE AFTER JAN 1, 1991 </t>
  </si>
  <si>
    <t xml:space="preserve"> 250W HP SODIUM LIGHT METAL POLE AFTER JAN 1, 1991 </t>
  </si>
  <si>
    <t xml:space="preserve"> 400W HP SODIUM LIGHT METAL POLE AFTER JAN 1, 1991 </t>
  </si>
  <si>
    <t xml:space="preserve"> 100W HP SODIUM LIGHT TOP MOUNT AFTER JAN 1, 1991 </t>
  </si>
  <si>
    <t xml:space="preserve"> 150W UG HP SODIUM OURDOOR LIGHT AFTER JAN 1, 1991 </t>
  </si>
  <si>
    <t xml:space="preserve"> 70W HP SODIUM LIGHT TOP MOUNT AFTER JAN 1, 1991 </t>
  </si>
  <si>
    <t xml:space="preserve"> 150W UG HP SODIUM LIGHT TOP MOUNT AFTER JAN 1, 1991 </t>
  </si>
  <si>
    <t xml:space="preserve"> 1000W UG HP SODIUM OUTDOOR LIGHT AFTER JAN 1, 1991 </t>
  </si>
  <si>
    <t xml:space="preserve"> 70W HP SODIUM ACORN/DECO BASKET </t>
  </si>
  <si>
    <t xml:space="preserve"> 100W HP SODIUM ACORN/DECO BASKET </t>
  </si>
  <si>
    <t xml:space="preserve"> 70W HP SODIUM 80SIDED COACH </t>
  </si>
  <si>
    <t xml:space="preserve"> 100W HP SODIUM 80SIDED COACH </t>
  </si>
  <si>
    <t>LS</t>
  </si>
  <si>
    <t xml:space="preserve"> 4 SIDED COLONIAL 6300L </t>
  </si>
  <si>
    <t xml:space="preserve"> 4 SIDED COLONIAL 9500L </t>
  </si>
  <si>
    <t xml:space="preserve"> 4 SIDED COLONIAL 16000L </t>
  </si>
  <si>
    <t xml:space="preserve"> ACORN 6300L </t>
  </si>
  <si>
    <t xml:space="preserve"> ACORN 9500L </t>
  </si>
  <si>
    <t xml:space="preserve"> ACORN 9500L BRONZE POLE </t>
  </si>
  <si>
    <t xml:space="preserve"> ACORN 16000L </t>
  </si>
  <si>
    <t xml:space="preserve"> ACORN 16000L BRONZE POLE </t>
  </si>
  <si>
    <t xml:space="preserve"> CONTEMPORARY 16000L </t>
  </si>
  <si>
    <t xml:space="preserve"> CONTEMPORARY 28500L </t>
  </si>
  <si>
    <t xml:space="preserve"> CONTEMPORARY 50000L </t>
  </si>
  <si>
    <t xml:space="preserve"> COBRA HEAD 16000L UGHPS </t>
  </si>
  <si>
    <t xml:space="preserve"> COBRA HEAD 28500L UGHPS </t>
  </si>
  <si>
    <t xml:space="preserve"> COBRA HEAD 50000L UGHPS </t>
  </si>
  <si>
    <t xml:space="preserve"> LONDON (10' SMOOTH POLE) 6300L </t>
  </si>
  <si>
    <t xml:space="preserve"> LONDON (10' FLUTED POLE) 6300L </t>
  </si>
  <si>
    <t xml:space="preserve"> LONDON (10' SMOOTH POLE) 9500L </t>
  </si>
  <si>
    <t xml:space="preserve"> LONDON (10' FLUTED POLE) 9500L </t>
  </si>
  <si>
    <t xml:space="preserve"> VICTORIAN (10' SMOOTH POLE) 6300L </t>
  </si>
  <si>
    <t xml:space="preserve"> VICTORIAN (10' FLUTED POLE) 6300L </t>
  </si>
  <si>
    <t xml:space="preserve"> VICTORIAN (10' SMOOTH POLE) 9500L </t>
  </si>
  <si>
    <t xml:space="preserve"> VICTORIAN (10' FLUTED POLE) 9500L </t>
  </si>
  <si>
    <t xml:space="preserve"> 4 SIDED COLONIAL 4000L UGMV </t>
  </si>
  <si>
    <t xml:space="preserve"> 4 SIDED COLONIAL 8000L UGMV </t>
  </si>
  <si>
    <t>LGUM_436</t>
  </si>
  <si>
    <t xml:space="preserve"> COBRA HEAD 8000L UGMV </t>
  </si>
  <si>
    <t xml:space="preserve"> COBRA HEAD 13000L UGMV </t>
  </si>
  <si>
    <t xml:space="preserve"> COBRA HEAD 25000L UGMV </t>
  </si>
  <si>
    <t xml:space="preserve"> COBRA HEAD 16000L OHHP </t>
  </si>
  <si>
    <t xml:space="preserve"> COBRA HEAD 28500L OHHP </t>
  </si>
  <si>
    <t xml:space="preserve"> COBRA HEAD 50000L OHHP </t>
  </si>
  <si>
    <t xml:space="preserve"> DIRECTIONAL FLOOD 16000L OHHP </t>
  </si>
  <si>
    <t xml:space="preserve"> DIRECTIONAL FLOOD 50000L OHHP </t>
  </si>
  <si>
    <t xml:space="preserve"> OPEN BOTTOM 9500L OHHP </t>
  </si>
  <si>
    <t xml:space="preserve"> COBRA HEAD 8000L MV </t>
  </si>
  <si>
    <t xml:space="preserve"> COBRA HEAD 13000L MV </t>
  </si>
  <si>
    <t xml:space="preserve"> COBRA HEAD 25000L MV </t>
  </si>
  <si>
    <t xml:space="preserve"> DIRECTIONAL FLOOD 25000L MV </t>
  </si>
  <si>
    <t xml:space="preserve"> OPEN BOTTOM 8000L MV </t>
  </si>
  <si>
    <t xml:space="preserve"> Directional Fixture Only, 12,000 </t>
  </si>
  <si>
    <t xml:space="preserve"> Directional Fixture with Wood Pole, 12,000 </t>
  </si>
  <si>
    <t>LGUM_472</t>
  </si>
  <si>
    <t xml:space="preserve"> Directional Fixture with Direct Buried Metal Pole, 12,000 </t>
  </si>
  <si>
    <t xml:space="preserve"> Directional Fixture Only, 32,000 </t>
  </si>
  <si>
    <t xml:space="preserve"> Directional Fixture with Wood Pole, 32,000 </t>
  </si>
  <si>
    <t xml:space="preserve"> Directional Fixture with Direct Buried Metal Pole, 32,000 </t>
  </si>
  <si>
    <t xml:space="preserve"> Directional Fixture Only, 107,800 </t>
  </si>
  <si>
    <t xml:space="preserve"> Directional Fixture with Wood Pole, 107,800 </t>
  </si>
  <si>
    <t>LGUM_478</t>
  </si>
  <si>
    <t xml:space="preserve"> Directional Fixture with Direct Buried Metal Pole, 107,800 </t>
  </si>
  <si>
    <t>LGUM_479</t>
  </si>
  <si>
    <t xml:space="preserve"> Contemporary Fixture Only, 12,000 </t>
  </si>
  <si>
    <t>LGUM_480</t>
  </si>
  <si>
    <t xml:space="preserve"> Contemporary Fixture with Direct Buried Metal Pole, 12,000 </t>
  </si>
  <si>
    <t xml:space="preserve"> Contemporary Fixture Only, 32,000 </t>
  </si>
  <si>
    <t xml:space="preserve"> Contemporary Fixture with Direct Buried Metal Pole, 32,000 </t>
  </si>
  <si>
    <t xml:space="preserve"> Contemporary Fixture Only, 107,800 </t>
  </si>
  <si>
    <t xml:space="preserve"> Contemporary Fixture with Direct Buried Metal Pole, 107,800 </t>
  </si>
  <si>
    <t>LE_900Pole</t>
  </si>
  <si>
    <t>LE_901Pole</t>
  </si>
  <si>
    <t>LE_902Pole</t>
  </si>
  <si>
    <t>LE_910Pole</t>
  </si>
  <si>
    <t>LE_911Pole</t>
  </si>
  <si>
    <t>LE_912Pole</t>
  </si>
  <si>
    <t>LE_950Base</t>
  </si>
  <si>
    <t>LE_951Base</t>
  </si>
  <si>
    <t>LE_952Base</t>
  </si>
  <si>
    <t>LE_953Base</t>
  </si>
  <si>
    <t>LE_954Base</t>
  </si>
  <si>
    <t>LE_955Base</t>
  </si>
  <si>
    <t>LE_956Base</t>
  </si>
  <si>
    <t>LE_957Base</t>
  </si>
  <si>
    <t>LE_958Pole</t>
  </si>
  <si>
    <t>LEV</t>
  </si>
  <si>
    <t xml:space="preserve"> 175 W MERCURY LIGHT TOP MOUNT (UG) </t>
  </si>
  <si>
    <t xml:space="preserve"> 250 W UG MERCURY OUTDOOR LIGHT </t>
  </si>
  <si>
    <t xml:space="preserve"> 400 W UG MERCURY OUTDOOR LIGHT </t>
  </si>
  <si>
    <t xml:space="preserve"> 175 W UG MERCURY LIGHT METAL POLE </t>
  </si>
  <si>
    <t xml:space="preserve"> 400 W UG MERCURY LIGHT METAL POLE </t>
  </si>
  <si>
    <t xml:space="preserve"> 250 W UG HP SODIUM LIGHT METAL POLE </t>
  </si>
  <si>
    <t xml:space="preserve"> 400 W HP SODIUM LIGHT METAL POLE </t>
  </si>
  <si>
    <t xml:space="preserve"> 400 W Mercury Vapor UP </t>
  </si>
  <si>
    <t xml:space="preserve"> 250 W UG HP Sodium State of Ky Pole </t>
  </si>
  <si>
    <t xml:space="preserve"> 250 W UG MERCURY OUTDOOR LIGHT AFTER JAN 1, 1991 </t>
  </si>
  <si>
    <t xml:space="preserve"> 400 W UG MERCURY OUTDOOR LIGHT AFTER JAN 1, 1991 </t>
  </si>
  <si>
    <t xml:space="preserve"> 400 W UG HP SODIIUM OUTDOOR LIGHT AFTER JAN 1, 1991 </t>
  </si>
  <si>
    <t xml:space="preserve"> 400 W UG MERCURY LIGHT METAL POLE AFTER JAN 1, 1991 </t>
  </si>
  <si>
    <t xml:space="preserve"> 250 W HP SODIUM LIGHT METAL POLE AFTER JAN 1, 1991 </t>
  </si>
  <si>
    <t xml:space="preserve"> 400 W HP SODIUM LIGHT METAL POLE AFTER JAN 1, 1991 </t>
  </si>
  <si>
    <t xml:space="preserve"> 150 W UG HP SODIUM OURDOOR LIGHT AFTER JAN 1, 1991 </t>
  </si>
  <si>
    <t xml:space="preserve"> 150 W UG HP SODIUM LIGHT TOP MOUNT AFTER JAN 1, 1991 </t>
  </si>
  <si>
    <t xml:space="preserve"> 4 SIDED COLONIAL 5800L </t>
  </si>
  <si>
    <t xml:space="preserve"> ACORN 5800L </t>
  </si>
  <si>
    <t xml:space="preserve"> CONTEMPORARY 16000L -- Fixture only</t>
  </si>
  <si>
    <t xml:space="preserve"> CONTEMPORARY 28500L -- Fixture only</t>
  </si>
  <si>
    <t xml:space="preserve"> LONDON (10' SMOOTH POLE) 5800L </t>
  </si>
  <si>
    <t xml:space="preserve"> LONDON (10' FLUTED POLE) 5800L </t>
  </si>
  <si>
    <t xml:space="preserve"> VICTORIAN (10' SMOOTH POLE) 5800L </t>
  </si>
  <si>
    <t xml:space="preserve"> VICTORIAN (10' FLUTED POLE) 5800L </t>
  </si>
  <si>
    <t>Energy-P1</t>
  </si>
  <si>
    <t>Energy-P2</t>
  </si>
  <si>
    <t>Energy-P3</t>
  </si>
  <si>
    <t xml:space="preserve"> Energy Rate / Period 1 Energy Rate</t>
  </si>
  <si>
    <t>Period 2 Energy Rate</t>
  </si>
  <si>
    <t>Period 3 Energy Rate</t>
  </si>
  <si>
    <t xml:space="preserve"> Total Billed Revenue, Sales By Rates or CCS</t>
  </si>
  <si>
    <t xml:space="preserve"> Total Billed Revenue, Calculated </t>
  </si>
  <si>
    <t xml:space="preserve"> Difference </t>
  </si>
  <si>
    <t>G3RP</t>
  </si>
  <si>
    <t>Commercial Primary</t>
  </si>
  <si>
    <t>Industrial Primary</t>
  </si>
  <si>
    <t>Transmission</t>
  </si>
  <si>
    <t>DO NOT DELETE OR MOVE THESE COLUMNS!!!</t>
  </si>
  <si>
    <t>RevMon</t>
  </si>
  <si>
    <t>TariffRateCategory</t>
  </si>
  <si>
    <t>TariffRateClass</t>
  </si>
  <si>
    <t>DSK</t>
  </si>
  <si>
    <t>HPS Dark Sky Friendly 4000 Lumen</t>
  </si>
  <si>
    <t>TRAFFIC ENERGY SERVICE RATE TE</t>
  </si>
  <si>
    <t>LGUM_439</t>
  </si>
  <si>
    <t>LGUM_440</t>
  </si>
  <si>
    <t>Poles</t>
  </si>
  <si>
    <t xml:space="preserve"> 150 W UG HP SODIUM OUTDOOR LIGHT </t>
  </si>
  <si>
    <t xml:space="preserve"> 150 W UG HP SODIUM OUTDOOR LIGHT AFTER JAN 1, 1991 </t>
  </si>
  <si>
    <t>LGUM_401</t>
  </si>
  <si>
    <t>HPS Dark Sky Friendly 9500 Lumen</t>
  </si>
  <si>
    <t xml:space="preserve"> CONTEMPORARY 16000L  additional fixture only</t>
  </si>
  <si>
    <t xml:space="preserve"> CONTEMPORARY 50000L additional fixture only</t>
  </si>
  <si>
    <t xml:space="preserve"> CONTEMPORARY 28500L additional fixture only</t>
  </si>
  <si>
    <t xml:space="preserve"> CONTEMPORARY 50000L  -- fixture only</t>
  </si>
  <si>
    <t>Rate Period</t>
  </si>
  <si>
    <t>Row Number</t>
  </si>
  <si>
    <t>VFD</t>
  </si>
  <si>
    <t>Per Light Charge</t>
  </si>
  <si>
    <t>LightingRevenue</t>
  </si>
  <si>
    <t>Total RLS</t>
  </si>
  <si>
    <t>Total LS</t>
  </si>
  <si>
    <t xml:space="preserve">Revenue </t>
  </si>
  <si>
    <t>LGRSE543</t>
  </si>
  <si>
    <t>LE_962Base</t>
  </si>
  <si>
    <t>LE_960Base</t>
  </si>
  <si>
    <t>LE_961Base</t>
  </si>
  <si>
    <t>LE_963Base</t>
  </si>
  <si>
    <t>Total combined poles &amp; lights</t>
  </si>
  <si>
    <t>Curtailable Serv. Rider</t>
  </si>
  <si>
    <t>Code</t>
  </si>
  <si>
    <t>12-Month Lighting Installations</t>
  </si>
  <si>
    <t>GS3P</t>
  </si>
  <si>
    <t>Louisville Water Company Special Contract</t>
  </si>
  <si>
    <t>Traffic Lighting Service</t>
  </si>
  <si>
    <t>100W MERCURY OUTDOOR LIGHT</t>
  </si>
  <si>
    <t>175W MERCURY OUTDOOR LIGHT</t>
  </si>
  <si>
    <t>250W MERCURY OUTDOOR LIGHT</t>
  </si>
  <si>
    <t>400W MERCURY OUTDOOR LIGHT</t>
  </si>
  <si>
    <t>100W MERCURY LIGHT TOP MOUNT</t>
  </si>
  <si>
    <t>400W MERCURY FLOOD LIGHT</t>
  </si>
  <si>
    <t>175W MERCURY LIGHT TOP MOUNT</t>
  </si>
  <si>
    <t>1000W MERCURY OUTDOOR LIGHT</t>
  </si>
  <si>
    <t>1000W MERCURY FLOOD LIGHT</t>
  </si>
  <si>
    <t>250W UG HP SODIUM OUTDOOR LIGHT</t>
  </si>
  <si>
    <t>400W UG HP SODIUM OUTDOOR LIGHT</t>
  </si>
  <si>
    <t>150W HP SODIUM OUTDOOR LIGHT</t>
  </si>
  <si>
    <t>100W HP SODIUM LIGHT TOP MOUNT</t>
  </si>
  <si>
    <t>70W HP SODIUM LIGHT TOP MOUNT</t>
  </si>
  <si>
    <t>150W UG HP SODIUM LIGHT TOP MOUNT</t>
  </si>
  <si>
    <t>1000W UG HP SODIUM OUTDOOR LIGHT</t>
  </si>
  <si>
    <t>1000W HP SODIUM OUTDOOR LIGHT</t>
  </si>
  <si>
    <t>70W HP SODIUM ACORN/DECO BASKET</t>
  </si>
  <si>
    <t>100W HP SODIUM ACORN/DECO BASKET</t>
  </si>
  <si>
    <t>70W HP SODIUM 8-SIDED COACH</t>
  </si>
  <si>
    <t>100W HP SODIUM 8-SIDED COACH</t>
  </si>
  <si>
    <t>250W UG MERCURY OUTDOOR LIGHT</t>
  </si>
  <si>
    <t>400W UG MERCURY OUTDOOR LIGHT</t>
  </si>
  <si>
    <t>175W UG MERCURY LIGHT METAL POLE</t>
  </si>
  <si>
    <t>400W UG MV State of Ky Pole</t>
  </si>
  <si>
    <t>4 SIDED COLONIAL 6300L</t>
  </si>
  <si>
    <t>4 SIDED COLONIAL 9500L</t>
  </si>
  <si>
    <t>4 SIDED COLONIAL 16000L</t>
  </si>
  <si>
    <t>ACORN 6300L</t>
  </si>
  <si>
    <t>ACORN 9500L</t>
  </si>
  <si>
    <t>ACORN 9500L BRONZE POLE</t>
  </si>
  <si>
    <t>ACORN 16000L</t>
  </si>
  <si>
    <t>ACORN 16000L BRONZE POLE</t>
  </si>
  <si>
    <t>CONTEMPORARY 16000L</t>
  </si>
  <si>
    <t>CONTEMPORARY 28500L</t>
  </si>
  <si>
    <t>CONTEMPORARY 50000L</t>
  </si>
  <si>
    <t>COBRA HEAD 16000L UGHPS</t>
  </si>
  <si>
    <t>COBRA HEAD 28500L UGHPS</t>
  </si>
  <si>
    <t>COBRA HEAD 50000L UGHPS</t>
  </si>
  <si>
    <t>LONDON (10' SMOOTH POLE) 6300L</t>
  </si>
  <si>
    <t>LONDON (10' FLUTED POLE) 6300L</t>
  </si>
  <si>
    <t>LONDON (10' SMOOTH POLE) 9500L</t>
  </si>
  <si>
    <t>LONDON (10' FLUTED POLE) 9500L</t>
  </si>
  <si>
    <t>VICTORIAN (10' SMOOTH POLE) 6300L</t>
  </si>
  <si>
    <t>VICTORIAN (10' FLUTED POLE) 6300L</t>
  </si>
  <si>
    <t>VICTORIAN (10' SMOOTH POLE) 9500L</t>
  </si>
  <si>
    <t>VICTORIAN (10' FLUTED POLE) 9500L</t>
  </si>
  <si>
    <t>COBRA HEAD 16000L OHHP</t>
  </si>
  <si>
    <t>COBRA HEAD 28500L OHHP</t>
  </si>
  <si>
    <t>COBRA HEAD 50000L OHHP</t>
  </si>
  <si>
    <t>DIRECTIONAL FLOOD 16000L OHHP</t>
  </si>
  <si>
    <t>DIRECTIONAL FLOOD 50000L OHHP</t>
  </si>
  <si>
    <t>OPEN BOTTOM 9500L OHHP</t>
  </si>
  <si>
    <t>COBRA HEAD 8000L MV</t>
  </si>
  <si>
    <t>Directional Fixture Only, 12,000</t>
  </si>
  <si>
    <t>Directional Fixture with Wood Pole, 12,000</t>
  </si>
  <si>
    <t>Directional Fixture Only, 32,000</t>
  </si>
  <si>
    <t>Directional Fixture with Wood Pole, 32,000</t>
  </si>
  <si>
    <t>Directional Fixture with Direct Buried Metal Pole, 32,000</t>
  </si>
  <si>
    <t>Directional Fixture Only, 107,800</t>
  </si>
  <si>
    <t>Directional Fixture with Wood Pole, 107,800</t>
  </si>
  <si>
    <t>Contemporary Fixture Only, 12,000</t>
  </si>
  <si>
    <t>Contemporary Fixture with Direct Buried Metal Pole, 12,000</t>
  </si>
  <si>
    <t>Contemporary Fixture Only, 32,000</t>
  </si>
  <si>
    <t>Contemporary Fixture with Direct Buried Metal Pole, 32,000</t>
  </si>
  <si>
    <t>Contemporary Fixture Only, 107,800</t>
  </si>
  <si>
    <t>Contemporary Fixture with Direct Buried Metal Pole, 107,800</t>
  </si>
  <si>
    <t>Fort Knox</t>
  </si>
  <si>
    <t>277</t>
  </si>
  <si>
    <t>Pole Price Amount</t>
  </si>
  <si>
    <t>DSM</t>
  </si>
  <si>
    <t>MSR</t>
  </si>
  <si>
    <t>Revenue Amount</t>
  </si>
  <si>
    <t>Rate Category Description</t>
  </si>
  <si>
    <t>Tariffs</t>
  </si>
  <si>
    <t>ODL</t>
  </si>
  <si>
    <t xml:space="preserve"> Total Billed Revenue, Sales By Rates</t>
  </si>
  <si>
    <t>difference</t>
  </si>
  <si>
    <t>Pole revenue</t>
  </si>
  <si>
    <t>LEUM_826</t>
  </si>
  <si>
    <t>Electric Excess Facilities CIAC</t>
  </si>
  <si>
    <t>Base Fuel</t>
  </si>
  <si>
    <t>Customer  Charge</t>
  </si>
  <si>
    <t>LGCME000</t>
  </si>
  <si>
    <t>Temporary Suspension - Commerical</t>
  </si>
  <si>
    <t>LGINE000</t>
  </si>
  <si>
    <t>Temporary Suspension - Industrial</t>
  </si>
  <si>
    <t>LGRSE000</t>
  </si>
  <si>
    <t>Temporary Suspension</t>
  </si>
  <si>
    <t>GS3SH</t>
  </si>
  <si>
    <t>GS3NM</t>
  </si>
  <si>
    <t>Rate Categories</t>
  </si>
  <si>
    <t>Light Categories</t>
  </si>
  <si>
    <t>FAC Rate</t>
  </si>
  <si>
    <t>FAC Base</t>
  </si>
  <si>
    <t>Revised FAC</t>
  </si>
  <si>
    <t>PSPNM</t>
  </si>
  <si>
    <t>LGCME569</t>
  </si>
  <si>
    <t>LGINE682</t>
  </si>
  <si>
    <t>LGINE683</t>
  </si>
  <si>
    <t>LGMLE575</t>
  </si>
  <si>
    <t>LGMLE577</t>
  </si>
  <si>
    <t>LGUM_384</t>
  </si>
  <si>
    <t xml:space="preserve"> 400 W UG MERCURY LIGHT KY POLE AFTER JAN 1, 1991 </t>
  </si>
  <si>
    <t>LGUM_385</t>
  </si>
  <si>
    <t>Total KWH</t>
  </si>
  <si>
    <t>Total Demand</t>
  </si>
  <si>
    <t>Billed Revenue</t>
  </si>
  <si>
    <t>GSNM</t>
  </si>
  <si>
    <t>Redundant Capacity Rider Included in Demand Revenue</t>
  </si>
  <si>
    <t>GSRP</t>
  </si>
  <si>
    <t>Total ECR</t>
  </si>
  <si>
    <t>EF</t>
  </si>
  <si>
    <t>Total Revenue</t>
  </si>
  <si>
    <t>GSUM</t>
  </si>
  <si>
    <t>GSP</t>
  </si>
  <si>
    <t>Power Service Rate PS - Primary</t>
  </si>
  <si>
    <t>12 Mon Lights</t>
  </si>
  <si>
    <t>Adjustment</t>
  </si>
  <si>
    <t>Test Year</t>
  </si>
  <si>
    <t>to Reflect</t>
  </si>
  <si>
    <t>to Remove</t>
  </si>
  <si>
    <t>Base Revenues,</t>
  </si>
  <si>
    <t>Removal of</t>
  </si>
  <si>
    <t>Adjusted</t>
  </si>
  <si>
    <t xml:space="preserve">Adjusted </t>
  </si>
  <si>
    <t>Adjusted to</t>
  </si>
  <si>
    <t>Fuel Adjustment</t>
  </si>
  <si>
    <t>As Billed</t>
  </si>
  <si>
    <t>Base Rate</t>
  </si>
  <si>
    <t>Billings Net</t>
  </si>
  <si>
    <t xml:space="preserve">Check </t>
  </si>
  <si>
    <t>Add Base ECR</t>
  </si>
  <si>
    <t>Billings Including</t>
  </si>
  <si>
    <t>Target</t>
  </si>
  <si>
    <t>as Billed Basis</t>
  </si>
  <si>
    <t>Clause</t>
  </si>
  <si>
    <t>of ECR at</t>
  </si>
  <si>
    <t>Total From</t>
  </si>
  <si>
    <t>to</t>
  </si>
  <si>
    <t>Revenues</t>
  </si>
  <si>
    <t>All ECR Revenue</t>
  </si>
  <si>
    <t>Percentage</t>
  </si>
  <si>
    <t>Billings</t>
  </si>
  <si>
    <t>Current Rates</t>
  </si>
  <si>
    <t>Detail Tab</t>
  </si>
  <si>
    <t>Correct</t>
  </si>
  <si>
    <t>at Current Rates</t>
  </si>
  <si>
    <t>Increase</t>
  </si>
  <si>
    <t>Do Not Print</t>
  </si>
  <si>
    <t xml:space="preserve">Power Service Rate PS - Secondary </t>
  </si>
  <si>
    <t>Time of Day Secondary Service TODS</t>
  </si>
  <si>
    <t>Time of Day Primary Service TODP</t>
  </si>
  <si>
    <t>Retail Transmission Service -- RTS</t>
  </si>
  <si>
    <t>Lighting Energy -- LE</t>
  </si>
  <si>
    <t>Traffice Lighting Energy -- TE</t>
  </si>
  <si>
    <t>TOTAL ULTIMATE CONSUMERS</t>
  </si>
  <si>
    <t>TOTAL JURISDICTIONAL</t>
  </si>
  <si>
    <t xml:space="preserve">Calculated </t>
  </si>
  <si>
    <t>Present</t>
  </si>
  <si>
    <t xml:space="preserve">Revenue at </t>
  </si>
  <si>
    <t xml:space="preserve">Proposed </t>
  </si>
  <si>
    <t>Present Rates</t>
  </si>
  <si>
    <t>Proposed Rates</t>
  </si>
  <si>
    <t>All Energy</t>
  </si>
  <si>
    <t>Total Calculated at Base Rates</t>
  </si>
  <si>
    <t>Correction Factor</t>
  </si>
  <si>
    <t>Total After Application of Correction Factor</t>
  </si>
  <si>
    <t>Adjustment to Reflect Removal of Base ECR Revenues</t>
  </si>
  <si>
    <t>Total Net Base Revenues</t>
  </si>
  <si>
    <t>ECR Base Revenues</t>
  </si>
  <si>
    <t>Total Base Revenues Inclusive of ECR</t>
  </si>
  <si>
    <t>Proposed Increase</t>
  </si>
  <si>
    <t>Percentage Increase</t>
  </si>
  <si>
    <t>Single Phase Customer Charge</t>
  </si>
  <si>
    <t>Three Phase Customer Charge</t>
  </si>
  <si>
    <t>POWER SERVICE RATE PS-Primary</t>
  </si>
  <si>
    <t>Summer Demand</t>
  </si>
  <si>
    <t>Winter Demand</t>
  </si>
  <si>
    <t>Total Base Revenues Net of ECR</t>
  </si>
  <si>
    <t>POWER SERVICE RATE PS-Secondary</t>
  </si>
  <si>
    <t>Total Base Revenues Inclusive of Base ECR</t>
  </si>
  <si>
    <t>RETAIL TRANSMISSION SERVICE RATE RTS</t>
  </si>
  <si>
    <t>LIGHTING ENERGY SERVICE RATE LE</t>
  </si>
  <si>
    <t>GS</t>
  </si>
  <si>
    <t>FLS</t>
  </si>
  <si>
    <t>Special Contracts</t>
  </si>
  <si>
    <t>ECR Component of Current Base Rates</t>
  </si>
  <si>
    <t>Energy</t>
  </si>
  <si>
    <t>Demands</t>
  </si>
  <si>
    <t>ECR Revenue in Base Rates</t>
  </si>
  <si>
    <t>Low Emission Vehicle</t>
  </si>
  <si>
    <t>Total General Service, including former GRP customers</t>
  </si>
  <si>
    <t>Base</t>
  </si>
  <si>
    <t>Intermediate</t>
  </si>
  <si>
    <t>Total Retail Transmission Service</t>
  </si>
  <si>
    <t>Total Fort Knox Special Contract</t>
  </si>
  <si>
    <t>Commercial time of day primary</t>
  </si>
  <si>
    <t>Industrial time of day primary</t>
  </si>
  <si>
    <t>SPECIAL CONTRACTS</t>
  </si>
  <si>
    <t>Customer Number 1</t>
  </si>
  <si>
    <t>Customer Number 2</t>
  </si>
  <si>
    <t>add total revenues from cost of service here:</t>
  </si>
  <si>
    <t>Existing</t>
  </si>
  <si>
    <t>Proposed</t>
  </si>
  <si>
    <t>Bill Code</t>
  </si>
  <si>
    <t>Metal Halide</t>
  </si>
  <si>
    <t>Acorn, 5800 Lumen, Smooth Pole</t>
  </si>
  <si>
    <t>Acorn, 9500 Lumen, Smooth Pole</t>
  </si>
  <si>
    <t>Victorian, 5800 Lumen, Fluted Pole</t>
  </si>
  <si>
    <t>Victorian, 9500 Lumen, Fluted Pole</t>
  </si>
  <si>
    <t>Cobra Head, 16000 Lumen, Fixture Only</t>
  </si>
  <si>
    <t>Cobra Head, 28500 Lumen, Fixture Only</t>
  </si>
  <si>
    <t>Directional, 16000 Lumen, Fixture Only</t>
  </si>
  <si>
    <t>Directional, 50000 Lumen, Fixture Only</t>
  </si>
  <si>
    <t>Open Bottom, 9500 Lumen, Fixture Only</t>
  </si>
  <si>
    <t>Directional, 12000 Lumen, Fixture Only</t>
  </si>
  <si>
    <t>Directional, 32000 Lumen, Fixture Only</t>
  </si>
  <si>
    <t>Directional, 107800 Lumen, Fixture Only</t>
  </si>
  <si>
    <t>Colonial, 4-Sided, 5800 Lumen, Smooth Pole</t>
  </si>
  <si>
    <t>Colonial, 4-Sided, 9500 Lumen, Smooth Pole</t>
  </si>
  <si>
    <t>Cobra Head, 16000 Lumen, Smooth Pole</t>
  </si>
  <si>
    <t>Cobra Head, 28500 Lumen, Smooth Pole</t>
  </si>
  <si>
    <t>Cobra Head, 50000 Lumen, Smooth Pole</t>
  </si>
  <si>
    <t>Contemporary Fixture only, 16000 Lumen</t>
  </si>
  <si>
    <t>Contemporary Fixture with Pole, 16000 Lumen</t>
  </si>
  <si>
    <t>Contemporary Fixture only, 28500 Lumen</t>
  </si>
  <si>
    <t>Contemporary Fixture with Pole, 28500 Lumen</t>
  </si>
  <si>
    <t>Contemporary Fixture only, 50000 Lumen</t>
  </si>
  <si>
    <t>Contemporary Fixture with Pole, 50000 Lumen</t>
  </si>
  <si>
    <t>Dark Sky, 4000 Lumen, Smooth Pole</t>
  </si>
  <si>
    <t>Cobra/Open Bottom, 8000 Lumen, Fixture Only</t>
  </si>
  <si>
    <t>Cobra Head, 8000 Lumen, Fixture Only</t>
  </si>
  <si>
    <t>Cobra Head, 13000 Lumen, Fixture Only</t>
  </si>
  <si>
    <t>Cobra Head, 25000 Lumen, Fixture Only</t>
  </si>
  <si>
    <t>Cobra Head, 60000 Lumen, Fixture Only</t>
  </si>
  <si>
    <t>Directional, 25000 Lumen, Fixture Only</t>
  </si>
  <si>
    <t>Directional, 60000 Lumen, Fixture Only</t>
  </si>
  <si>
    <t>Open Bottom, 4000 Lumen, Fixture Only</t>
  </si>
  <si>
    <t>Directional, 107800 Lumen, Fixture and Wood Pole</t>
  </si>
  <si>
    <t>Directional, 12000 Lumen, Fixture and Wood Pole</t>
  </si>
  <si>
    <t>Directional, 32000 Lumen, Fixture and Wood Pole</t>
  </si>
  <si>
    <t>Directional, 32000 Lumen, Fixture and Metal Pole</t>
  </si>
  <si>
    <t>Incandescent</t>
  </si>
  <si>
    <t>Wood Pole</t>
  </si>
  <si>
    <t>Wood Pole Installed Before July 1, 2004</t>
  </si>
  <si>
    <t>Wood Pole Installed After June 30, 2004</t>
  </si>
  <si>
    <t>Cobra/Contemporary, 16000 Lumen, Fixture Only</t>
  </si>
  <si>
    <t>Cobra/Contemporary, 28500 Lumen, Fixture Only</t>
  </si>
  <si>
    <t>Coach Acorn, 5800 Lumen, Fixture Only</t>
  </si>
  <si>
    <t>Coach Acorn, 9500 Lumen, Fixture Only</t>
  </si>
  <si>
    <t>Cobra/Contemporary, 50000 Lumen, Fixture Only</t>
  </si>
  <si>
    <t>Coach Acorn, 16000 Lumen, Fixture Only</t>
  </si>
  <si>
    <t>Acorn, 9500 Lumen, Bronze Decorative Pole</t>
  </si>
  <si>
    <t>Acorn, 16000 Lumen, Bronze Decorative Pole</t>
  </si>
  <si>
    <t>London, 5800 Lumen, Fixture Only</t>
  </si>
  <si>
    <t>London, 9500 Lumen, Fixture Only</t>
  </si>
  <si>
    <t>Victorian, 5800 Lumen, Fixture Only</t>
  </si>
  <si>
    <t>Victorian, 9500 Lumen, Fixture Only</t>
  </si>
  <si>
    <t>London, 5800 Lumen, Fixture and Pole</t>
  </si>
  <si>
    <t>London, 9500 Lumen, Fixture and Pole</t>
  </si>
  <si>
    <t>Victorian, 5800 Lumen, Fixture and Pole</t>
  </si>
  <si>
    <t>Victorian, 9500 Lumen, Fixture and Pole</t>
  </si>
  <si>
    <t>Fluted 10' Pole</t>
  </si>
  <si>
    <t>Smooth 10' Pole</t>
  </si>
  <si>
    <t>Cobra Head, 8000 Lumen, Fixture with Pole</t>
  </si>
  <si>
    <t>Cobra Head, 13000 Lumen, Fixture with Pole</t>
  </si>
  <si>
    <t>Cobra Head, 25000 Lumen, Fixture with Pole</t>
  </si>
  <si>
    <t>Coach, 4000 Lumen, Fixture with Pole</t>
  </si>
  <si>
    <t>Coach, 8000 Lumen, Fixture with Pole</t>
  </si>
  <si>
    <t>London 5800 Lumen, Fluted Pole</t>
  </si>
  <si>
    <t>London, 9500 Lumen, Fluted Pole</t>
  </si>
  <si>
    <t>Contemporary Fixture only, 12000 Lumen</t>
  </si>
  <si>
    <t>Contemporary Fixture with Pole, 12000 Lumen</t>
  </si>
  <si>
    <t>Contemporary Fixture only, 32000 Lumen</t>
  </si>
  <si>
    <t>Contemporary Fixture with Pole, 32000 Lumen</t>
  </si>
  <si>
    <t>Contemporary Fixture only, 107800 Lumen</t>
  </si>
  <si>
    <t>Contemporary Fixture with Pole, 107800 Lumen</t>
  </si>
  <si>
    <t>CTOD-P</t>
  </si>
  <si>
    <t>ITOD-P</t>
  </si>
  <si>
    <t>Basic Service Charges</t>
  </si>
  <si>
    <t>Cobra Head, 25000 Lumen, State of Ky Pole</t>
  </si>
  <si>
    <t xml:space="preserve"> 150W UG HP SODIUM OUTDOOR LIGHT </t>
  </si>
  <si>
    <t>Single Phase</t>
  </si>
  <si>
    <t>Three Phase</t>
  </si>
  <si>
    <t>Current</t>
  </si>
  <si>
    <t>BSC</t>
  </si>
  <si>
    <t>Inter/Summer</t>
  </si>
  <si>
    <t>TODS</t>
  </si>
  <si>
    <t>FLUCTUATING LOAD SERVICE  RATE FLS</t>
  </si>
  <si>
    <t>Primary Delivery</t>
  </si>
  <si>
    <t>Transmission Delivery</t>
  </si>
  <si>
    <t>Dark Sky, 9500 Lumen, Smooth Pole</t>
  </si>
  <si>
    <t>Contemporary, 120000 Lumen, Fixture Only</t>
  </si>
  <si>
    <t>Contemporary, 120000 Lumen, Fixture and Pole</t>
  </si>
  <si>
    <t>Curtailable Service Riders - CSR10</t>
  </si>
  <si>
    <t>TIME OF DAY SECONDARY SERVICE RATE TODS</t>
  </si>
  <si>
    <t>Louisville Gas and Electric Company - Electric</t>
  </si>
  <si>
    <t>Current and Proposed Rate Summary</t>
  </si>
  <si>
    <t>TODP</t>
  </si>
  <si>
    <t>PS</t>
  </si>
  <si>
    <t>Target Increase</t>
  </si>
  <si>
    <t>Less</t>
  </si>
  <si>
    <t>Actual Increase</t>
  </si>
  <si>
    <t>Special Contract -- Customer #1</t>
  </si>
  <si>
    <t>Special Contract -- Customer #2</t>
  </si>
  <si>
    <t>Base Energy  Non-Fuel</t>
  </si>
  <si>
    <t>Base Energy FAC</t>
  </si>
  <si>
    <t xml:space="preserve"> Base Energy   ECR</t>
  </si>
  <si>
    <t>Demand ECR</t>
  </si>
  <si>
    <t>Demand  Charge</t>
  </si>
  <si>
    <t>Non-Fuel ECR</t>
  </si>
  <si>
    <t>LEUM_825</t>
  </si>
  <si>
    <t>Electric Excess Facilities</t>
  </si>
  <si>
    <t>Excess Facilities ODL</t>
  </si>
  <si>
    <t>Time-of-Day Secondary, Commercial</t>
  </si>
  <si>
    <t>Time-of-Day Secondary, Industrial</t>
  </si>
  <si>
    <t>RLS 201: OH MV Open Bottom 4000L Fixture</t>
  </si>
  <si>
    <t>RLS 203: OH MV Cobra Head 13000L Fixture</t>
  </si>
  <si>
    <t>RLS 204: OH MV Cobra Head 25000L Fixture</t>
  </si>
  <si>
    <t>RLS 206: UG MV Coach 4000L Decorative</t>
  </si>
  <si>
    <t>RLS 207: OH MV Directional 25000L Fix</t>
  </si>
  <si>
    <t>RLS 208: UG MV Coach 8000L Decorative</t>
  </si>
  <si>
    <t>RLS 209: OH MV Cobra Head 60000L Fixture</t>
  </si>
  <si>
    <t>RLS 210: OH MV Directional 60000L Fix</t>
  </si>
  <si>
    <t>RLS 252: OH MV Cobra/Open Bottom 8000L</t>
  </si>
  <si>
    <t>RLS 266: UG HPS Cobra/Contemp 28500L</t>
  </si>
  <si>
    <t>RLS 267: UG HPS Cobra/Contemp 50000L</t>
  </si>
  <si>
    <t>RLS 274: UG HPS Coach/Acorn 9500L Deco</t>
  </si>
  <si>
    <t>RLS 275: UG HPS Cobra/Contemp 16000L</t>
  </si>
  <si>
    <t>RLS 276: UG HPS Coach/Acorn 5800L Deco</t>
  </si>
  <si>
    <t>RLS 277: UG HPS Coach/Acorn 16000L Deco</t>
  </si>
  <si>
    <t>RLS 278: UG HPS Contemporary 120000L Dec</t>
  </si>
  <si>
    <t>RLS 279: UG HPS Contemporary 120000L Fix</t>
  </si>
  <si>
    <t>RLS 280: UG HPS Victorian 5800L Fixture</t>
  </si>
  <si>
    <t>RLS 281: UG HPS Victorian 9500L Fixture</t>
  </si>
  <si>
    <t>RLS 282: UG HPS London 5800L Fixture</t>
  </si>
  <si>
    <t>RLS 283: UG HPS London 9500L Fixture</t>
  </si>
  <si>
    <t>RLS 314: UG MV Cobra Head 13000L Deco</t>
  </si>
  <si>
    <t>RLS 315: UG MV Cobra Head 25000L Deco</t>
  </si>
  <si>
    <t>RLS 318: UG MV Cobra Head 8000L Deco</t>
  </si>
  <si>
    <t>RLS 348: UG Inc Continental Jr 6000L Dec</t>
  </si>
  <si>
    <t>RLS 349: UG Inc Continental Jr 1500L Dec</t>
  </si>
  <si>
    <t>LS 400: Dark Sky 4000L Decorative Smooth</t>
  </si>
  <si>
    <t>LS 401: Dark Sky 9500L Decorative Smooth</t>
  </si>
  <si>
    <t>LS 412: UG HPS Colonial 4-Sided 5800L</t>
  </si>
  <si>
    <t>LS 413: UG HPS Colonial 4-Sided 9500L</t>
  </si>
  <si>
    <t>LS 415: UG HPS Acorn 5800L Decorative</t>
  </si>
  <si>
    <t>LS 416: UG HPS Acorn  9500L Decorative</t>
  </si>
  <si>
    <t>RLS 417: UG HPS Acorn Bronze 9500L Deco</t>
  </si>
  <si>
    <t>RLS 419: UG HPS Acorn Bronze 16000L Deco</t>
  </si>
  <si>
    <t>LS 420: UG HPS Contemporary 16000L Deco</t>
  </si>
  <si>
    <t>LS 421: UG HPS Contemporary 28500L Deco</t>
  </si>
  <si>
    <t>LS 422: UG HPS Contemporary 50000L Deco</t>
  </si>
  <si>
    <t>LS 423: UG HPS Cobra Head 16000L Deco</t>
  </si>
  <si>
    <t>LS 424: UG HPS Cobra Head 28500L Deco</t>
  </si>
  <si>
    <t>LS 425: UG HPS Cobra Head 50000L Deco</t>
  </si>
  <si>
    <t>RLS 426: UG HPS London 5800L Decorative</t>
  </si>
  <si>
    <t>LS 427: UG HPS London 5800L Historic</t>
  </si>
  <si>
    <t>RLS 428: UG HPS London 9500L Decorative</t>
  </si>
  <si>
    <t>LS 429: UG HPS London 9500L Historic</t>
  </si>
  <si>
    <t>RLS 430: UG HPS Victorian 5800L Deco</t>
  </si>
  <si>
    <t>LS 431: UG HPS Victorian 5800L Historic</t>
  </si>
  <si>
    <t>RLS 432: UG HPS Victorian 9500L Deco</t>
  </si>
  <si>
    <t>LS 433: UG HPS Victorian 9500L Historic</t>
  </si>
  <si>
    <t>LS 440: UG HPS Contemporary 28500L Fix</t>
  </si>
  <si>
    <t>LS 441: UG HPS Contemporary 50000L Fix</t>
  </si>
  <si>
    <t>LS 452: OH HPS Cobra Head 16000L Fixture</t>
  </si>
  <si>
    <t>LS 453: OH HPS Cobra Head 28500L Fixture</t>
  </si>
  <si>
    <t>LS 454: OH HPS Cobra Head 50000L Fixture</t>
  </si>
  <si>
    <t>LS 455: OH HPS Directional 16000L Fix</t>
  </si>
  <si>
    <t>LS 456: OH HPS Directional 50000L Fix</t>
  </si>
  <si>
    <t>LS 457: OH HPS Open Bottom 9500L Fixture</t>
  </si>
  <si>
    <t>RLS 458: OH MV Cobra 8000L Fixture Only</t>
  </si>
  <si>
    <t>LS 470: OH MH Directional 12000L Fixture</t>
  </si>
  <si>
    <t>RLS 471: OH MH Directional 12000L Wood</t>
  </si>
  <si>
    <t>LS 473: OH MH Directional 32000L Fixture</t>
  </si>
  <si>
    <t>RLS 474: OH MH Directional 32000L Wood</t>
  </si>
  <si>
    <t>RLS 475: OH MH Directional 32000L Metal</t>
  </si>
  <si>
    <t>LS 476: OH MH Directional 107800L Fix</t>
  </si>
  <si>
    <t>RLS 477: OH MH Directional 107800L Wood</t>
  </si>
  <si>
    <t>LS 480: UG MH Contemporary 12000L Deco</t>
  </si>
  <si>
    <t>LS 481: UG MH Contemporary 32000L Fix</t>
  </si>
  <si>
    <t>LS 482: UG MH Contemporary 32000L Deco</t>
  </si>
  <si>
    <t>LS 483: UG MH Contemporary 107800L Fix</t>
  </si>
  <si>
    <t>LS 484: UG MH Contemporary 107800L Deco</t>
  </si>
  <si>
    <t>Total Energy</t>
  </si>
  <si>
    <t>Poles &amp; Bases</t>
  </si>
  <si>
    <t>Non-Fuel Energy</t>
  </si>
  <si>
    <t>Non-Fuel Revenue</t>
  </si>
  <si>
    <t xml:space="preserve"> kVA Demand-Base Measured</t>
  </si>
  <si>
    <t xml:space="preserve"> kVA Demand-Intermediate Measured (Winter Peak for PS)</t>
  </si>
  <si>
    <t xml:space="preserve"> kVA Demand-Peak Measured (Summer Peak for PS)</t>
  </si>
  <si>
    <t>LEUM_829</t>
  </si>
  <si>
    <t>Total Cnt</t>
  </si>
  <si>
    <t>Test Period $</t>
  </si>
  <si>
    <t>Totals $</t>
  </si>
  <si>
    <t>Current Rate</t>
  </si>
  <si>
    <t>KW/KVA On Peak</t>
  </si>
  <si>
    <t>KW/KVA On Peak Adj</t>
  </si>
  <si>
    <t>PF Qty</t>
  </si>
  <si>
    <t>KW/KVA Base Measured</t>
  </si>
  <si>
    <t>KW/KVA Intermed Measured</t>
  </si>
  <si>
    <t>KW/KVA Peak Measured</t>
  </si>
  <si>
    <t>KW/KVA On Peak Measured</t>
  </si>
  <si>
    <t>Previous</t>
  </si>
  <si>
    <t>ECR rollin</t>
  </si>
  <si>
    <t>High Pressure Sodium, OH, Cobra Head, 16000</t>
  </si>
  <si>
    <t>High Pressure Sodium, OH, Cobra Head, 28500</t>
  </si>
  <si>
    <t>High Pressure Sodium, OH, Cobra Head, 50000</t>
  </si>
  <si>
    <t>High Pressure Sodium, OH, Directional, 16000</t>
  </si>
  <si>
    <t>High Pressure Sodium, OH, Directional, 50000</t>
  </si>
  <si>
    <t>Metal Halide, OH, Directional, 12000</t>
  </si>
  <si>
    <t>High Pressure Sodium, OH, Open Bottom, 9500</t>
  </si>
  <si>
    <t>Metal Halide, OH, Directional, 32000</t>
  </si>
  <si>
    <t>Metal Halide, OH, Directional, 107800</t>
  </si>
  <si>
    <t>High Pressure Sodium, UG, Colonial, 4-sided, 5800</t>
  </si>
  <si>
    <t>High Pressure Sodium, UG, Colonial, 4-sided, 9500</t>
  </si>
  <si>
    <t>High Pressure Sodium, UG, Acorn, 5800</t>
  </si>
  <si>
    <t>High Pressure Sodium, UG, Acorn, 9500</t>
  </si>
  <si>
    <t>High Pressure Sodium, UG, London, 5800</t>
  </si>
  <si>
    <t>High Pressure Sodium, UG, London, 9500</t>
  </si>
  <si>
    <t>High Pressure Sodium, UG, Victorian, 5800</t>
  </si>
  <si>
    <t>High Pressure Sodium, UG, Victorian, 9500</t>
  </si>
  <si>
    <t>High Pressure Sodium, UG, Cobra Head, 16000</t>
  </si>
  <si>
    <t>High Pressure Sodium, UG, Cobra Head, 28500</t>
  </si>
  <si>
    <t>High Pressure Sodium, UG, Cobra Head, 50000</t>
  </si>
  <si>
    <t>High Pressure Sodium, UG, Contemporary, 16000, Fixture Only</t>
  </si>
  <si>
    <t>High Pressure Sodium, UG, Contemporary, 28500, Fixture Only</t>
  </si>
  <si>
    <t>High Pressure Sodium, UG, Contemporary, 50000, Fixture Only</t>
  </si>
  <si>
    <t>High Pressure Sodium, UG, Contemporary, 16000, Fixture with Decorative Smooth Pole</t>
  </si>
  <si>
    <t>High Pressure Sodium, UG, Contemporary, 28500, Fixture with Decorative Smooth Pole</t>
  </si>
  <si>
    <t>High Pressure Sodium, UG, Contemporary, 50000, Fixture with Decorative Smooth Pole</t>
  </si>
  <si>
    <t>High Pressure Sodium, UG, Dark Sky, 4000</t>
  </si>
  <si>
    <t>High Pressure Sodium, UG, Dark Sky, 9500</t>
  </si>
  <si>
    <t>Metal Halide, UG, Contemporary, 12000, Fixture Only</t>
  </si>
  <si>
    <t>Metal Halide, UG, Contemporary, 12000, Fixture with Decorative Smooth Pole</t>
  </si>
  <si>
    <t>Metal Halide, UG, Contemporary, 107800, Fixture Only</t>
  </si>
  <si>
    <t>Metal Halide, UG, Contemporary, 107800, Fixture with Decorative Smooth Pole</t>
  </si>
  <si>
    <t>Metal Halide, UG, Contemporary, 32000, Fixture with Decorative Smooth Pole</t>
  </si>
  <si>
    <t>Metal Halide, UG, Contemporary, 32000, Fixture Only</t>
  </si>
  <si>
    <t>Mercury Vapor, OH, Cobra/Open Bottom, 8000</t>
  </si>
  <si>
    <t>Mercury Vapor, OH, Cobra Head, 8000</t>
  </si>
  <si>
    <t>Mercury Vapor, OH, Cobra Head, 13000</t>
  </si>
  <si>
    <t>Mercury Vapor, OH, Cobra Head, 25000</t>
  </si>
  <si>
    <t>Mercury Vapor, OH, Cobra Head, 60000</t>
  </si>
  <si>
    <t>Mercury Vapor, OH, Directional, 25000</t>
  </si>
  <si>
    <t>Mercury Vapor, OH, Directional, 60000</t>
  </si>
  <si>
    <t>Mercury Vapor, OH, Open Bottom, 4000</t>
  </si>
  <si>
    <t>Metal Halide, OH, Directional, 32000, Fixture with Ornamental Pole</t>
  </si>
  <si>
    <t>Metal Halide, OH, Directional, 32000, Fixture with Wood Pole</t>
  </si>
  <si>
    <t>Metal Halide, OH, Directional, 12000, Fixture with Wood Pole</t>
  </si>
  <si>
    <t>Metal Halide, OH, Directional, 107800, Fixture with Wood Pole</t>
  </si>
  <si>
    <t>High Pressure Sodium, UG, Cobra/Contemporary, 28500, Decorative Smooth Pole</t>
  </si>
  <si>
    <t>High Pressure Sodium, UG, Cobra/Contemporary, 50000, Decorative Smooth Pole</t>
  </si>
  <si>
    <t>High Pressure Sodium, UG, Cobra/Contemporary, 16000, Decorative Smooth Pole</t>
  </si>
  <si>
    <t>High Pressure Sodium, UG, Coach/Acorn, 5800, Decorative Smooth Pole</t>
  </si>
  <si>
    <t>High Pressure Sodium, UG, Coach/Acorn, 9500, Decorative Smooth Pole</t>
  </si>
  <si>
    <t>High Pressure Sodium, UG, Coach/Acorn, 16000, Decorative Smooth Pole</t>
  </si>
  <si>
    <t>High Pressure Sodium, UG, Contemporary, 120000, Fixture Only</t>
  </si>
  <si>
    <t>High Pressure Sodium, UG, Contemporary, 120000, Fixture with Decorative Smooth Pole</t>
  </si>
  <si>
    <t>High Pressure Sodium, UG, Acorn, Bronze, 9500, Decorative Smooth Pole</t>
  </si>
  <si>
    <t>High Pressure Sodium, UG, Acorn, Bronze, 16000, Decorative Smooth Pole</t>
  </si>
  <si>
    <t>High Pressure Sodium, UG, Victorian, 5800, Fixture Only</t>
  </si>
  <si>
    <t>High Pressure Sodium, UG, Victorian, 9500, Fixture Only</t>
  </si>
  <si>
    <t>High Pressure Sodium, UG, London, 5800, Fixture Only</t>
  </si>
  <si>
    <t>High Pressure Sodium, UG, London, 9500, Fixture Only</t>
  </si>
  <si>
    <t>High Pressure Sodium, UG, London, 5800, Fixture with Decorative Smooth Pole</t>
  </si>
  <si>
    <t>High Pressure Sodium, UG, London, 9500, Fixture with Decorative Smooth Pole</t>
  </si>
  <si>
    <t>High Pressure Sodium, UG, Victorian, 5800, Fixture with Decorative Smooth Pole</t>
  </si>
  <si>
    <t>High Pressure Sodium, UG, Victorian, 9500, Fixture with Decorative Smooth Pole</t>
  </si>
  <si>
    <t>Mercury Vapor, UG, Cobra Head, 8000, Fixture with Decorative Smooth Pole</t>
  </si>
  <si>
    <t>Mercury Vapor, UG, Cobra Head, 13000, Fixture with Decorative Smooth Pole</t>
  </si>
  <si>
    <t>Mercury Vapor, UG, Cobra Head, 25000, Fixture with Decorative Smooth Pole</t>
  </si>
  <si>
    <t>Mercury Vapor, UG, Cobra (State of KY Pole), 25000, Fixture only</t>
  </si>
  <si>
    <t>Mercury Vapor, UG, Coach, 4000, Decorative Smooth Pole</t>
  </si>
  <si>
    <t>Mercury Vapor, UG, Coach, 8000, Decorative Smooth Pole</t>
  </si>
  <si>
    <t>Incandescent, UG, Continental Jr, 1500, Decorative Smooth Pole</t>
  </si>
  <si>
    <t>Incandescent, UG, Continental Jr, 6000, Decorative Smooth Pole</t>
  </si>
  <si>
    <t xml:space="preserve">LS </t>
  </si>
  <si>
    <t>Total Lights only</t>
  </si>
  <si>
    <t>Excess Facilities ODL CIAC</t>
  </si>
  <si>
    <t>General Service Water Heating</t>
  </si>
  <si>
    <t>General Service Single Phase Unmetered</t>
  </si>
  <si>
    <t>General Service Space Heating</t>
  </si>
  <si>
    <t>General Service Three Phase Water Heat</t>
  </si>
  <si>
    <t>LEV: Low Emission Vehicle Service</t>
  </si>
  <si>
    <t>TS</t>
  </si>
  <si>
    <t>RESIDENTIAL RATE RS, inclusive of Volunteer Fire Department</t>
  </si>
  <si>
    <t>Time of Day Secondary (Commercial and Industrial)</t>
  </si>
  <si>
    <t>Time of Day Primary (Commercial)</t>
  </si>
  <si>
    <t>Time of Day Primary (Industrial)</t>
  </si>
  <si>
    <t>Victorian/London Bases</t>
  </si>
  <si>
    <t>Existing Poles/Bases Billed Under Corresponding RLS Rates:</t>
  </si>
  <si>
    <t>Wood Pole installed before 7/1/2004 (RLS Sheet No. 36)</t>
  </si>
  <si>
    <t>Wood Pole installed before 3/1/2010 (RLS Sheet No. 36)</t>
  </si>
  <si>
    <t>10' Smooth Pole (RLS Sheet No. 36.1)</t>
  </si>
  <si>
    <t>10' Fluted Pole (RLS Sheet No. 36.1)</t>
  </si>
  <si>
    <t>Old Town Bases (RLS Sheet No. 36.1)</t>
  </si>
  <si>
    <t>Chesapeake Bases (RLS Sheet No. 36.1)</t>
  </si>
  <si>
    <t>Old Town</t>
  </si>
  <si>
    <t>Chesapeake</t>
  </si>
  <si>
    <t>Victorian/London Bases (LS Sheet No. 35.1)</t>
  </si>
  <si>
    <t>Continental Jr, 1500 Lumen, Fixture Only</t>
  </si>
  <si>
    <t>Continental Jr, 6000 Lumen, Fixture Only</t>
  </si>
  <si>
    <t>LGCSR760</t>
  </si>
  <si>
    <t>CSR10 Option A - Transmission</t>
  </si>
  <si>
    <t>LGUM_454CU</t>
  </si>
  <si>
    <t>LS 454CU: OH HPS Cobra Head 50000L Fix</t>
  </si>
  <si>
    <t>LGUM_456CU</t>
  </si>
  <si>
    <t>LS 456CU: OH HPS Directional 50000L Fix</t>
  </si>
  <si>
    <t>LE_954BASE</t>
  </si>
  <si>
    <t>LGRSE547</t>
  </si>
  <si>
    <t>LGUM_204CU</t>
  </si>
  <si>
    <t>RLS 204CU: OH MV Cobra Head 25000L Fix</t>
  </si>
  <si>
    <t>LGUM_209CU</t>
  </si>
  <si>
    <t>RLS 209CU: OH MV Cobra Head 60000L Fix</t>
  </si>
  <si>
    <t>LGUM_452CU</t>
  </si>
  <si>
    <t>LS 452CU: OH HPS Cobra Head 16000L Fix</t>
  </si>
  <si>
    <t>LGUM_453CU</t>
  </si>
  <si>
    <t>LS 453CU: OH HPS Cobra Head 28500L Fix</t>
  </si>
  <si>
    <t>LEV: Low Emmission Vehicle with NMS</t>
  </si>
  <si>
    <t>0</t>
  </si>
  <si>
    <t>3</t>
  </si>
  <si>
    <t>37</t>
  </si>
  <si>
    <t>Temporary Suspension - Commercial</t>
  </si>
  <si>
    <t>General Service Three Phase Space Heat</t>
  </si>
  <si>
    <t>LEV: Low Emission Vehicle with NMS</t>
  </si>
  <si>
    <t>36</t>
  </si>
  <si>
    <t>Power Factor Adj</t>
  </si>
  <si>
    <t>WORK PAPER REFERENCE NO(S):</t>
  </si>
  <si>
    <t>Primary Service-Secondary</t>
  </si>
  <si>
    <t>Curtailable Service Riders</t>
  </si>
  <si>
    <t>TYPE OF FILING: __X__ ORIGINAL  _____ UPDATED  _____ REVISED</t>
  </si>
  <si>
    <t>Residential Service (includiing VFD)</t>
  </si>
  <si>
    <t>Single Phase Energy</t>
  </si>
  <si>
    <t>Three Phase Energy</t>
  </si>
  <si>
    <t>Customer Months</t>
  </si>
  <si>
    <t>Metered kW</t>
  </si>
  <si>
    <t>Metered kVA</t>
  </si>
  <si>
    <t>Colonial, 4-Sided, 16000 Lumen, Smooth Pole</t>
  </si>
  <si>
    <t>LGUM_444</t>
  </si>
  <si>
    <t>Acorn, 16000 Lumen, Smooth Pole</t>
  </si>
  <si>
    <t>LGUM_445</t>
  </si>
  <si>
    <t>General Service Rate GS Single Phase</t>
  </si>
  <si>
    <t>General Service Rate GS Three Phase</t>
  </si>
  <si>
    <t>Revenue at</t>
  </si>
  <si>
    <t>RESTRICTED LIGHTING SERVICE, Sheet 36.2</t>
  </si>
  <si>
    <t>RESTRICTED LIGHTING SERVICE, Sheet No. 36.1</t>
  </si>
  <si>
    <t>RESTRICTED LIGHTING SERVICE, Sheet No. 36</t>
  </si>
  <si>
    <t>LIGHTING SERVICE, Sheet No. 35.2</t>
  </si>
  <si>
    <t>LIGHTING SERVICE, Sheet No. 35.1</t>
  </si>
  <si>
    <t>LIGHTING SERVICE, Sheet No. 35</t>
  </si>
  <si>
    <t>JAN 2016</t>
  </si>
  <si>
    <t>FEB 2016</t>
  </si>
  <si>
    <t>MAR 2016</t>
  </si>
  <si>
    <t>APR 2016</t>
  </si>
  <si>
    <t>MAY 2016</t>
  </si>
  <si>
    <t>JUN 2016</t>
  </si>
  <si>
    <t>JUL 2015</t>
  </si>
  <si>
    <t>AUG 2015</t>
  </si>
  <si>
    <t>SEP 2015</t>
  </si>
  <si>
    <t>OCT 2015</t>
  </si>
  <si>
    <t>NOV 2015</t>
  </si>
  <si>
    <t>DEC 2015</t>
  </si>
  <si>
    <t>DATA:  ____ BASE PERIOD  __X__  FORECAST PERIOD</t>
  </si>
  <si>
    <t>JUNE 2016</t>
  </si>
  <si>
    <t>Year</t>
  </si>
  <si>
    <t>Month</t>
  </si>
  <si>
    <t>KURSE010</t>
  </si>
  <si>
    <t>KUCME110</t>
  </si>
  <si>
    <t>KUCME113</t>
  </si>
  <si>
    <t>KUCME220</t>
  </si>
  <si>
    <t>KUCME224</t>
  </si>
  <si>
    <t>KUCIE563</t>
  </si>
  <si>
    <t>KUCIE561</t>
  </si>
  <si>
    <t>KUCIE562</t>
  </si>
  <si>
    <t>KUCIE571</t>
  </si>
  <si>
    <t>KUCIE572</t>
  </si>
  <si>
    <t>KUCIE550</t>
  </si>
  <si>
    <t>KUINE730</t>
  </si>
  <si>
    <t>KUMLE290</t>
  </si>
  <si>
    <t>KUMLE295</t>
  </si>
  <si>
    <t>Revenue Adj</t>
  </si>
  <si>
    <t>Adj count</t>
  </si>
  <si>
    <t>Calc Revenue</t>
  </si>
  <si>
    <t>Total lighting revenue, forecast</t>
  </si>
  <si>
    <t>Used Jan 2014 actuals</t>
  </si>
  <si>
    <t>LE/TE</t>
  </si>
  <si>
    <t>total lighting revenue</t>
  </si>
  <si>
    <t>poles revenue</t>
  </si>
  <si>
    <t>lights only</t>
  </si>
  <si>
    <t>2014 lighting revenue</t>
  </si>
  <si>
    <t>2014 forecast</t>
  </si>
  <si>
    <t>Used Feb 2014 actuals</t>
  </si>
  <si>
    <t>Used Sep 2013 actuals</t>
  </si>
  <si>
    <t>Used Oct 2013 actuals</t>
  </si>
  <si>
    <t>Used Nov 2013 Actuals</t>
  </si>
  <si>
    <t>Used Dec 2013 Actuals</t>
  </si>
  <si>
    <t>Used Mar 2014 actuals</t>
  </si>
  <si>
    <t>Used Apr 2014 actuals</t>
  </si>
  <si>
    <t>Used June 2014 actuals</t>
  </si>
  <si>
    <t>Used May 2014 actuals</t>
  </si>
  <si>
    <t>2015 forecast</t>
  </si>
  <si>
    <t>Total lighting revenue, forecast 2015</t>
  </si>
  <si>
    <t>calculated lighting revenue</t>
  </si>
  <si>
    <t>RS Time of Day</t>
  </si>
  <si>
    <t>Period 1</t>
  </si>
  <si>
    <t>Base/Off-Peak</t>
  </si>
  <si>
    <t>Peak/Winter</t>
  </si>
  <si>
    <t>TIME OF DAY PRIMARY SERVICE RATE ITODP -- Industrial (To Be Combined with CTODP)</t>
  </si>
  <si>
    <t>Winter</t>
  </si>
  <si>
    <t>Fort Knox Demand</t>
  </si>
  <si>
    <t>Summer</t>
  </si>
  <si>
    <t>Applies to Power Service Secondary, Primary, Time of Day Secondary, and Fort Knox</t>
  </si>
  <si>
    <t>Adjustment to the Forecast is based on 12 months ending August 31, 2014 billing data.</t>
  </si>
  <si>
    <t>KW Base</t>
  </si>
  <si>
    <t>KW Inter</t>
  </si>
  <si>
    <t>KW Peak</t>
  </si>
  <si>
    <t>PF Base</t>
  </si>
  <si>
    <t>PF Inter</t>
  </si>
  <si>
    <t>PF Peak</t>
  </si>
  <si>
    <t>Forecast demand = billed demand + power factor adjustment</t>
  </si>
  <si>
    <t>kW Winter</t>
  </si>
  <si>
    <t>kW Summer</t>
  </si>
  <si>
    <t>PF Winter</t>
  </si>
  <si>
    <t>PF Summer</t>
  </si>
  <si>
    <t>Forecast demand revenue = billed demand x demand rate + power factor adjustment x demand rate</t>
  </si>
  <si>
    <t>PF % of Total</t>
  </si>
  <si>
    <t>Forecast Demand without PF adjustment</t>
  </si>
  <si>
    <t>Forecast Power Factor</t>
  </si>
  <si>
    <t>per forecast</t>
  </si>
  <si>
    <t>(1) + (2)</t>
  </si>
  <si>
    <t>(3) KW + (3) PF</t>
  </si>
  <si>
    <r>
      <t xml:space="preserve">(3) PF </t>
    </r>
    <r>
      <rPr>
        <sz val="9"/>
        <color theme="1"/>
        <rFont val="Calibri"/>
        <family val="2"/>
      </rPr>
      <t>÷ (4)</t>
    </r>
  </si>
  <si>
    <t>billing data</t>
  </si>
  <si>
    <t>(6) x (1 - (5))</t>
  </si>
  <si>
    <t>(6) - (7)</t>
  </si>
  <si>
    <t>Tariff Rates</t>
  </si>
  <si>
    <t>(7) above x Rate</t>
  </si>
  <si>
    <t>(8) above x Rate</t>
  </si>
  <si>
    <t>Demand Revenue + PF Revenue</t>
  </si>
  <si>
    <t>Revenue per Forecast</t>
  </si>
  <si>
    <t>Recalculate Demand Revenue:</t>
  </si>
  <si>
    <t>Power Factor Revenue</t>
  </si>
  <si>
    <t>Forecast Data, Time of Day Secondary:</t>
  </si>
  <si>
    <t>Demand, kW</t>
  </si>
  <si>
    <t>Time of Day Commercial</t>
  </si>
  <si>
    <t>Time of Day Industrial</t>
  </si>
  <si>
    <t>Total Time of Day Secondary</t>
  </si>
  <si>
    <t>PS Primary Commercial</t>
  </si>
  <si>
    <t>PS Primary Industrial</t>
  </si>
  <si>
    <t>Total Power Service Primary</t>
  </si>
  <si>
    <t>Forecast Data, Power Service Primary:</t>
  </si>
  <si>
    <t>12 Month Actual Data, Time of Day Secondary Demand excluding Power Factor:</t>
  </si>
  <si>
    <t>12 Month Actual Data, Power Service Primary Demand excluding Power Factor:</t>
  </si>
  <si>
    <t>12 Month Actual Data, Power Service Secondary Demand excluding Power Factor:</t>
  </si>
  <si>
    <t>PS Secondary Commercial</t>
  </si>
  <si>
    <t>PS Secondary Industrial</t>
  </si>
  <si>
    <t>Total Power Service Secondary</t>
  </si>
  <si>
    <r>
      <t xml:space="preserve">(3) PF </t>
    </r>
    <r>
      <rPr>
        <sz val="8"/>
        <color theme="1"/>
        <rFont val="Calibri"/>
        <family val="2"/>
      </rPr>
      <t>÷ (4)</t>
    </r>
  </si>
  <si>
    <t>Forecast Data, Power Service Secondary:</t>
  </si>
  <si>
    <t>Demand kVA Base</t>
  </si>
  <si>
    <t>Demand kVA Intermediate</t>
  </si>
  <si>
    <t>Demand kVA Peak</t>
  </si>
  <si>
    <t>Demand kW Base</t>
  </si>
  <si>
    <t>Demand kW Intermediate</t>
  </si>
  <si>
    <t>Demand kW Peak</t>
  </si>
  <si>
    <t>Summer Demand, kW</t>
  </si>
  <si>
    <t>Winter Demand, kW</t>
  </si>
  <si>
    <t>Allocation of energy to Rate LEV (not separately identified in load or revenue forecast)</t>
  </si>
  <si>
    <t>SEP 2013</t>
  </si>
  <si>
    <t>OCT 2013</t>
  </si>
  <si>
    <t>NOV 2013</t>
  </si>
  <si>
    <t>DEC 2013</t>
  </si>
  <si>
    <t>JAN 2014</t>
  </si>
  <si>
    <t>FEB 2014</t>
  </si>
  <si>
    <t>MAR 2014</t>
  </si>
  <si>
    <t>APR 2014</t>
  </si>
  <si>
    <t>MAY 2014</t>
  </si>
  <si>
    <t>JUN 2014</t>
  </si>
  <si>
    <t>JUL 2014</t>
  </si>
  <si>
    <t>AUG 2014</t>
  </si>
  <si>
    <t>Basic Service Charge</t>
  </si>
  <si>
    <t>Energy charge</t>
  </si>
  <si>
    <t>Total RSE</t>
  </si>
  <si>
    <t>LEV = RSE543 and RSE547</t>
  </si>
  <si>
    <t>LEV as a percent of total RSE</t>
  </si>
  <si>
    <t>Per Load Forecast, total RSE customer count for July 2015-June 2016:</t>
  </si>
  <si>
    <t>Based on 12 months ending August 2014, percent of total RS in LEV:</t>
  </si>
  <si>
    <t>August 2014</t>
  </si>
  <si>
    <t>annualized:</t>
  </si>
  <si>
    <t>Estimated customers in Rate LEV for forecast period:</t>
  </si>
  <si>
    <t>Basic Service Charge allocated to LEV for forecast period:</t>
  </si>
  <si>
    <t>Per Load Forecast, total RSE energy sales for July 2015-June 2016:</t>
  </si>
  <si>
    <t>LEV Energy use by period for the test year:</t>
  </si>
  <si>
    <t>Forecast RS customers less estimated LEV customers:</t>
  </si>
  <si>
    <t>RS cust</t>
  </si>
  <si>
    <t>Net RS</t>
  </si>
  <si>
    <t>RS kWh</t>
  </si>
  <si>
    <t>Forecast RS</t>
  </si>
  <si>
    <t>Percent LEV</t>
  </si>
  <si>
    <t>Forecast LEV</t>
  </si>
  <si>
    <t>Balance of RSE</t>
  </si>
  <si>
    <t>Aug 2014 annualized</t>
  </si>
  <si>
    <t>Allocate to time periods</t>
  </si>
  <si>
    <t>Percent to total in each time period:</t>
  </si>
  <si>
    <t>Adjustment to Reflect Demand Revenue Credit for 97% Power Factor</t>
  </si>
  <si>
    <t>Redundant Capacity Rider Revenue not included in revenue forecast</t>
  </si>
  <si>
    <t>Redundant</t>
  </si>
  <si>
    <t>Capacity</t>
  </si>
  <si>
    <t>Rider</t>
  </si>
  <si>
    <t>Power Factor</t>
  </si>
  <si>
    <t>Credits</t>
  </si>
  <si>
    <t>Late Payment Charges</t>
  </si>
  <si>
    <t>Base ECR</t>
  </si>
  <si>
    <t>Residential Time of Day Energy - RTODE</t>
  </si>
  <si>
    <t>Residential Time of Day Demand - RTODD</t>
  </si>
  <si>
    <t>Revenue Forecast Mechanism Rates for RS in total: ($/MWh)</t>
  </si>
  <si>
    <t>Total RS Forecast Mechanism Revenues: (000's)</t>
  </si>
  <si>
    <t>Calculated LEV Forecast Mechanism Revenues:</t>
  </si>
  <si>
    <t>Balance of RS Mechanism Forecast Revenues:</t>
  </si>
  <si>
    <t>DSM Rate</t>
  </si>
  <si>
    <t>ECR Rate</t>
  </si>
  <si>
    <t>Total Allocated LEV revenues based on 12 Months Ending August 31, 2014:</t>
  </si>
  <si>
    <t>Total RS Revenues, per Forecast</t>
  </si>
  <si>
    <t>RS Forecast net of LEV</t>
  </si>
  <si>
    <t>Quantity</t>
  </si>
  <si>
    <t>Period 1 kWh</t>
  </si>
  <si>
    <t>Period 2 kWh</t>
  </si>
  <si>
    <t>Period 3 kWh</t>
  </si>
  <si>
    <t>Calculated per Load Forecast (1022 Tab, 1055)</t>
  </si>
  <si>
    <t>Load Forecast Energy, LE &amp; TE</t>
  </si>
  <si>
    <t>Calculated FAC Revenue</t>
  </si>
  <si>
    <t>Calculated ECR Revenue</t>
  </si>
  <si>
    <t>FAC rate</t>
  </si>
  <si>
    <t>ECR rate</t>
  </si>
  <si>
    <t>Jul 2015</t>
  </si>
  <si>
    <t>Aug 2015</t>
  </si>
  <si>
    <t>Sep 2015</t>
  </si>
  <si>
    <t>Oct 2015</t>
  </si>
  <si>
    <t>Nov 2015</t>
  </si>
  <si>
    <t>Dec 2015</t>
  </si>
  <si>
    <t>Jan 2016</t>
  </si>
  <si>
    <t>Feb 2016</t>
  </si>
  <si>
    <t>Mar 2016</t>
  </si>
  <si>
    <t>Apr 2016</t>
  </si>
  <si>
    <t>May 2016</t>
  </si>
  <si>
    <t>Jun 2016</t>
  </si>
  <si>
    <t>Revenue for Schedule M Presentation and Notices:</t>
  </si>
  <si>
    <t>FAC Revenue</t>
  </si>
  <si>
    <t>ECR Revenue</t>
  </si>
  <si>
    <t>Outdoor Lighting</t>
  </si>
  <si>
    <t>Revenue Forecast (SBR Tab) including poles</t>
  </si>
  <si>
    <t>Lights only (no poles)</t>
  </si>
  <si>
    <t>Calculated per Forecast</t>
  </si>
  <si>
    <t>Lighting Service &amp; Restricted Lighting Service</t>
  </si>
  <si>
    <t>Late Payment Charge</t>
  </si>
  <si>
    <t>Other Rent from Elec Property</t>
  </si>
  <si>
    <t>Other Miscellaneous Revenue</t>
  </si>
  <si>
    <t>Summer Power Factor Adjustment</t>
  </si>
  <si>
    <t>Winter Power Factor Adjustment</t>
  </si>
  <si>
    <t>Peak Power Factor Adjustment</t>
  </si>
  <si>
    <t>Base Power Factor Adjustment</t>
  </si>
  <si>
    <t>Intermediate Power Factor Adjustment</t>
  </si>
  <si>
    <t>FAC Mechanism Revenue</t>
  </si>
  <si>
    <t>DSM Mechanism Revenue</t>
  </si>
  <si>
    <t>ECR Mechanism Revenue</t>
  </si>
  <si>
    <t>Energy, Off-Peak Period</t>
  </si>
  <si>
    <t>Energy, Intermediate Period</t>
  </si>
  <si>
    <t>(current LEV; becomes off-peak)</t>
  </si>
  <si>
    <t>Energy, On-Peak Period</t>
  </si>
  <si>
    <t>All Outdoor Lighting -- LS &amp; RLS</t>
  </si>
  <si>
    <t>Index numbers for page headers-do not delete!</t>
  </si>
  <si>
    <t>Input Proposed Percentage Increase below:</t>
  </si>
  <si>
    <t>kW, Base Period</t>
  </si>
  <si>
    <t>kW, Peak Period</t>
  </si>
  <si>
    <t>Allocated</t>
  </si>
  <si>
    <t>Electric Service Revenues</t>
  </si>
  <si>
    <t>RESIDENTIAL RATE RTOD-E, Residential Time of Day Energy Service (current Rate LEV customers assumed to move)</t>
  </si>
  <si>
    <t>RESIDENTIAL RATE RTOD-D, Residential Time of Day Demand Service</t>
  </si>
  <si>
    <t>GENERAL SERVICE RATE GS</t>
  </si>
  <si>
    <t>TIME OF DAY PRIMARY SERVICE RATE CTODP -- Commercial (To Be Combined with ITDOP)</t>
  </si>
  <si>
    <t>TIME OF DAY PRIMARY SERVICE RATE TODP (Consolidation of CTODP and ITODP)</t>
  </si>
  <si>
    <t>kWh Billed</t>
  </si>
  <si>
    <t>Annual Revenue at Current Rates</t>
  </si>
  <si>
    <t>Annual Revenue at Proposed Rates</t>
  </si>
  <si>
    <t>Average Proposed Bill</t>
  </si>
  <si>
    <t>Change in Average Bill</t>
  </si>
  <si>
    <t>Average Current Bill</t>
  </si>
  <si>
    <t>GS Combined</t>
  </si>
  <si>
    <t>Page 1 of 1</t>
  </si>
  <si>
    <t>TODP Combined</t>
  </si>
  <si>
    <t>Time-of-Day Primary Service</t>
  </si>
  <si>
    <t>Redundant Capacity pro forma</t>
  </si>
  <si>
    <t>Power factor pro forma</t>
  </si>
  <si>
    <t>Not in print range -- reconciliation to C-2.1 F Sales to Ultimate Consumers:  $1,106,586,599</t>
  </si>
  <si>
    <t>M-2.3 pg 1</t>
  </si>
  <si>
    <t>Diff from Col C</t>
  </si>
  <si>
    <t>Sum Col I</t>
  </si>
  <si>
    <t>Sum Col C</t>
  </si>
  <si>
    <t>Sum of differences</t>
  </si>
  <si>
    <t>Col C total less Col I total</t>
  </si>
  <si>
    <t>Rent from Electric Property</t>
  </si>
  <si>
    <t>Other Operating Revenues:</t>
  </si>
  <si>
    <t>Sales to Ultimate Consumers</t>
  </si>
  <si>
    <t>Total Revenue at Present Rates</t>
  </si>
  <si>
    <t>Total Revenue at Proposed Rates</t>
  </si>
  <si>
    <t>Change in Total Revenue</t>
  </si>
  <si>
    <t>Percent Change in Total Revenue</t>
  </si>
  <si>
    <t>Witness:  M.J.Blake</t>
  </si>
  <si>
    <t>Schedule M-2.2-E</t>
  </si>
  <si>
    <t>SCHEDULE M-2.1-E</t>
  </si>
  <si>
    <t>Witness:  M.J. Blake</t>
  </si>
  <si>
    <t>Sum of Col I ties to Sch C-2.1 F, line 8, col (3) with rounding adjustment of -3</t>
  </si>
  <si>
    <t>Residential TOD Energy Service (current LEV)</t>
  </si>
  <si>
    <t>Average Consumption, kWh</t>
  </si>
  <si>
    <t>Electric Service Revenue</t>
  </si>
  <si>
    <t>Page 1 of 25</t>
  </si>
  <si>
    <t>Page 2 of 25</t>
  </si>
  <si>
    <t>Schedule M-2.3-E</t>
  </si>
  <si>
    <t>Revenue Increase</t>
  </si>
  <si>
    <t>453</t>
  </si>
  <si>
    <t>Primary Service- Primary</t>
  </si>
  <si>
    <t>Time-of-Day Secondary Service</t>
  </si>
  <si>
    <t>Residential Service - RS</t>
  </si>
  <si>
    <t>General Service Rate GS</t>
  </si>
  <si>
    <t>Residential Service Rate RS</t>
  </si>
  <si>
    <t>Residential Time of Day Demand Service Rate RTODD</t>
  </si>
  <si>
    <t>Residential Time of Day Energy Service Rate RTODE</t>
  </si>
  <si>
    <t>Time of Day Secondary Service Rate TODS</t>
  </si>
  <si>
    <t>Time of Day Primary Service Rate TODP</t>
  </si>
  <si>
    <t>Retail Transmission Service Rate RTS</t>
  </si>
  <si>
    <t>Curtailable Service Rider Rate CSR10</t>
  </si>
  <si>
    <t>Lighting Energy Service Rate LE</t>
  </si>
  <si>
    <t>Traffice Lighting Energy Service Rate TE</t>
  </si>
  <si>
    <t>All Outdoor Lighting Service Rates LS &amp; RLS</t>
  </si>
  <si>
    <t>Total Time of Day Primary Service</t>
  </si>
  <si>
    <t>Cobra Head, 50000 Lumen, Fixture Only</t>
  </si>
  <si>
    <t>454</t>
  </si>
  <si>
    <t>Power Service Rate PS</t>
  </si>
  <si>
    <t xml:space="preserve">Power Service Secondary </t>
  </si>
  <si>
    <t>Power Service Primary</t>
  </si>
  <si>
    <t>Percent Change in Average Bill</t>
  </si>
  <si>
    <t>from COS</t>
  </si>
  <si>
    <t>to COS</t>
  </si>
  <si>
    <t>From COS Results:</t>
  </si>
  <si>
    <t>At Increase</t>
  </si>
  <si>
    <t>Rate Classes</t>
  </si>
  <si>
    <t>Increase at</t>
  </si>
  <si>
    <t>Proform</t>
  </si>
  <si>
    <t>w/ CSR</t>
  </si>
  <si>
    <t>w/ Incr</t>
  </si>
  <si>
    <t>Equal</t>
  </si>
  <si>
    <t>Rate Design</t>
  </si>
  <si>
    <t>in COS</t>
  </si>
  <si>
    <t>Equal Percentage</t>
  </si>
  <si>
    <t>From Cost of</t>
  </si>
  <si>
    <t>ROR</t>
  </si>
  <si>
    <t>for COS</t>
  </si>
  <si>
    <t>Actual</t>
  </si>
  <si>
    <t>Service Study</t>
  </si>
  <si>
    <t>Residential</t>
  </si>
  <si>
    <t>Rate GS</t>
  </si>
  <si>
    <t>Rate PS</t>
  </si>
  <si>
    <t>Rate PS-Primary</t>
  </si>
  <si>
    <t>Rate PS-Secondary</t>
  </si>
  <si>
    <t>Rate TODS</t>
  </si>
  <si>
    <t>Rate RTS</t>
  </si>
  <si>
    <t>Special Contract</t>
  </si>
  <si>
    <t>Cust - Fort Knox</t>
  </si>
  <si>
    <t>Special Contract - Ft. K</t>
  </si>
  <si>
    <t>Cust - Water Co.</t>
  </si>
  <si>
    <t>Special Contract - LWC</t>
  </si>
  <si>
    <t>Street Lighting</t>
  </si>
  <si>
    <t>Rate RLS, LS, DSK</t>
  </si>
  <si>
    <t>Lighting - LS, RLS, DSK</t>
  </si>
  <si>
    <t>Rate LE</t>
  </si>
  <si>
    <t>Lighting - LE</t>
  </si>
  <si>
    <t>Traffic Street Lighting</t>
  </si>
  <si>
    <t>Rate TLE</t>
  </si>
  <si>
    <t>Lighting - TLE</t>
  </si>
  <si>
    <t>Change at</t>
  </si>
  <si>
    <t>WORK AREA FROM COST OF SERVICE AND REVENUE REQUIREMENT TO DEVELOP PROPOSED REVENUE INCREASE</t>
  </si>
  <si>
    <t>Rate TOD</t>
  </si>
  <si>
    <t>r845</t>
  </si>
  <si>
    <t>Total increase from COS, row 993</t>
  </si>
  <si>
    <t>Add decrease in CATV</t>
  </si>
  <si>
    <t>Increase from customers</t>
  </si>
  <si>
    <t>row 993</t>
  </si>
  <si>
    <t>Change due</t>
  </si>
  <si>
    <t>to Decrease in</t>
  </si>
  <si>
    <t xml:space="preserve">CATV </t>
  </si>
  <si>
    <t xml:space="preserve">Change in </t>
  </si>
  <si>
    <t>CATV Revenue</t>
  </si>
  <si>
    <t>r922</t>
  </si>
  <si>
    <t>do Increase</t>
  </si>
  <si>
    <t>in CSR</t>
  </si>
  <si>
    <t>r923</t>
  </si>
  <si>
    <t>Change in</t>
  </si>
  <si>
    <t>r943</t>
  </si>
  <si>
    <t>Subsidy</t>
  </si>
  <si>
    <t>Received/</t>
  </si>
  <si>
    <t>(Provided)</t>
  </si>
  <si>
    <t>from COS r 888</t>
  </si>
  <si>
    <t>Rate TODP</t>
  </si>
  <si>
    <t>With Subsidy Reduction</t>
  </si>
  <si>
    <t>AN+AS</t>
  </si>
  <si>
    <t>to COS r 953</t>
  </si>
  <si>
    <t>Rate Increases with Subsidy Reductions -- change percentage in AS9 below:</t>
  </si>
  <si>
    <t>Per M-2.3</t>
  </si>
  <si>
    <t>Target Increase to M-2.3</t>
  </si>
  <si>
    <t>RTOD-E</t>
  </si>
  <si>
    <t>(goal seek target)</t>
  </si>
  <si>
    <t>Add increase in CSR</t>
  </si>
  <si>
    <t>Page 1 of 24</t>
  </si>
  <si>
    <t>difference due to combined rates for 252 &amp; 458</t>
  </si>
  <si>
    <t>Curtailable Service Riders - CSR</t>
  </si>
  <si>
    <t xml:space="preserve"> (1) Revised CTAC charge</t>
  </si>
  <si>
    <r>
      <rPr>
        <sz val="8"/>
        <color theme="1"/>
        <rFont val="Calibri"/>
        <family val="2"/>
        <scheme val="minor"/>
      </rPr>
      <t>(1)</t>
    </r>
  </si>
  <si>
    <t>ECR Impact</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</si>
</sst>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00000_);_(&quot;$&quot;* \(#,##0.00000\);_(&quot;$&quot;* &quot;-&quot;??_);_(@_)"/>
    <numFmt numFmtId="167" formatCode="_(* #,##0.000000_);_(* \(#,##0.000000\);_(* &quot;-&quot;??_);_(@_)"/>
    <numFmt numFmtId="168" formatCode="#,##0.00;\-#,##0.00;#,##0.00;@"/>
    <numFmt numFmtId="169" formatCode="#,##0;\-#,##0;#,##0;@"/>
    <numFmt numFmtId="170" formatCode="0.0000%"/>
    <numFmt numFmtId="171" formatCode="[$-409]mmm\-yy;@"/>
    <numFmt numFmtId="172" formatCode="#,##0.000;\-#,##0.000;#,##0.000;@"/>
    <numFmt numFmtId="173" formatCode="[$-409]mmmm\ d\,\ yyyy;@"/>
    <numFmt numFmtId="174" formatCode="0_);\(0\)"/>
    <numFmt numFmtId="175" formatCode="_(&quot;$&quot;* #,##0_);_(&quot;$&quot;* \(#,##0\);_(&quot;$&quot;* &quot;-&quot;??_);_(@_)"/>
    <numFmt numFmtId="176" formatCode="[$-409]mmmm\-yy;@"/>
    <numFmt numFmtId="177" formatCode="General_)"/>
    <numFmt numFmtId="178" formatCode="&quot;$&quot;#,##0.00"/>
    <numFmt numFmtId="179" formatCode="0.000000000"/>
    <numFmt numFmtId="180" formatCode="0.000000"/>
    <numFmt numFmtId="181" formatCode="&quot;$&quot;#,##0\ ;\(&quot;$&quot;#,##0\)"/>
    <numFmt numFmtId="182" formatCode="#,##0.0000000;\-#,##0.0000000;#,##0.0000000;@"/>
    <numFmt numFmtId="183" formatCode="0.0000000"/>
    <numFmt numFmtId="184" formatCode="0.00000"/>
    <numFmt numFmtId="185" formatCode="0.0000000000"/>
    <numFmt numFmtId="186" formatCode="_(* #,##0.00000_);_(* \(#,##0.00000\);_(* &quot;-&quot;_);_(@_)"/>
    <numFmt numFmtId="187" formatCode="_(* #,##0.00_);_(* \(#,##0.00\);_(* &quot;-&quot;_);_(@_)"/>
    <numFmt numFmtId="188" formatCode="0.0%"/>
    <numFmt numFmtId="189" formatCode="0.00000000"/>
    <numFmt numFmtId="190" formatCode="_(* #,##0.000_);_(* \(#,##0.000\);_(* &quot;-&quot;_);_(@_)"/>
    <numFmt numFmtId="191" formatCode="_(* #,##0.0000_);_(* \(#,##0.0000\);_(* &quot;-&quot;_);_(@_)"/>
    <numFmt numFmtId="192" formatCode="_(* #,##0.000000_);_(* \(#,##0.000000\);_(* &quot;-&quot;_);_(@_)"/>
    <numFmt numFmtId="193" formatCode="0.000%"/>
    <numFmt numFmtId="194" formatCode="0.0000000000000000"/>
    <numFmt numFmtId="195" formatCode="0\ 00\ 000\ 000"/>
    <numFmt numFmtId="196" formatCode="[$-409]d\-mmm\-yy;@"/>
    <numFmt numFmtId="197" formatCode="_-* #,##0.00\ [$€]_-;\-* #,##0.00\ [$€]_-;_-* &quot;-&quot;??\ [$€]_-;_-@_-"/>
    <numFmt numFmtId="198" formatCode="_([$€-2]* #,##0.00_);_([$€-2]* \(#,##0.00\);_([$€-2]* &quot;-&quot;??_)"/>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00000000"/>
    <numFmt numFmtId="204" formatCode="[$-409]d\-mmm\-yyyy;@"/>
    <numFmt numFmtId="205" formatCode="#,##0.00;[Red]\(#,##0.00\)"/>
    <numFmt numFmtId="206" formatCode="###,000"/>
    <numFmt numFmtId="207" formatCode="_(* #,##0.000_);_(* \(#,##0.000\);_(* &quot;-&quot;??_);_(@_)"/>
    <numFmt numFmtId="208" formatCode="_(* #,##0.0_);_(* \(#,##0.0\);_(* &quot;-&quot;??_);_(@_)"/>
    <numFmt numFmtId="209" formatCode="0.00000%"/>
    <numFmt numFmtId="210" formatCode="0.000000%"/>
  </numFmts>
  <fonts count="164">
    <font>
      <sz val="9"/>
      <color theme="1"/>
      <name val="Times New Roman"/>
      <family val="2"/>
    </font>
    <font>
      <sz val="11"/>
      <color theme="1"/>
      <name val="Calibri"/>
      <family val="2"/>
      <scheme val="minor"/>
    </font>
    <font>
      <sz val="10"/>
      <color theme="1"/>
      <name val="Calibri"/>
      <family val="2"/>
    </font>
    <font>
      <sz val="9"/>
      <color theme="1"/>
      <name val="Times New Roman"/>
      <family val="2"/>
    </font>
    <font>
      <sz val="8"/>
      <color rgb="FF000000"/>
      <name val="Arial"/>
      <family val="2"/>
    </font>
    <font>
      <sz val="10"/>
      <name val="Arial"/>
      <family val="2"/>
    </font>
    <font>
      <sz val="10"/>
      <name val="Times New Roman"/>
      <family val="1"/>
    </font>
    <font>
      <sz val="8"/>
      <color theme="1"/>
      <name val="Calibri"/>
      <family val="2"/>
      <scheme val="minor"/>
    </font>
    <font>
      <sz val="11"/>
      <color theme="1"/>
      <name val="Calibri"/>
      <family val="2"/>
      <scheme val="minor"/>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name val="Arial (W1)"/>
    </font>
    <font>
      <sz val="12"/>
      <name val="Times New Roman"/>
      <family val="1"/>
    </font>
    <font>
      <sz val="11"/>
      <color indexed="8"/>
      <name val="Calibri"/>
      <family val="2"/>
    </font>
    <font>
      <sz val="11"/>
      <color theme="1"/>
      <name val="Times New Roman"/>
      <family val="2"/>
    </font>
    <font>
      <sz val="11"/>
      <color indexed="9"/>
      <name val="Calibri"/>
      <family val="2"/>
    </font>
    <font>
      <sz val="11"/>
      <color theme="0"/>
      <name val="Calibri"/>
      <family val="2"/>
      <scheme val="minor"/>
    </font>
    <font>
      <sz val="11"/>
      <color theme="0"/>
      <name val="Times New Roman"/>
      <family val="2"/>
    </font>
    <font>
      <sz val="11"/>
      <color indexed="20"/>
      <name val="Calibri"/>
      <family val="2"/>
    </font>
    <font>
      <sz val="11"/>
      <color rgb="FF9C0006"/>
      <name val="Calibri"/>
      <family val="2"/>
      <scheme val="minor"/>
    </font>
    <font>
      <sz val="11"/>
      <color rgb="FF9C0006"/>
      <name val="Times New Roman"/>
      <family val="2"/>
    </font>
    <font>
      <b/>
      <sz val="11"/>
      <color indexed="52"/>
      <name val="Calibri"/>
      <family val="2"/>
    </font>
    <font>
      <b/>
      <sz val="11"/>
      <color rgb="FFFA7D00"/>
      <name val="Calibri"/>
      <family val="2"/>
      <scheme val="minor"/>
    </font>
    <font>
      <b/>
      <sz val="11"/>
      <color rgb="FFFA7D00"/>
      <name val="Times New Roman"/>
      <family val="2"/>
    </font>
    <font>
      <b/>
      <sz val="11"/>
      <color indexed="10"/>
      <name val="Calibri"/>
      <family val="2"/>
    </font>
    <font>
      <b/>
      <sz val="11"/>
      <color indexed="9"/>
      <name val="Calibri"/>
      <family val="2"/>
    </font>
    <font>
      <b/>
      <sz val="11"/>
      <color theme="0"/>
      <name val="Calibri"/>
      <family val="2"/>
      <scheme val="minor"/>
    </font>
    <font>
      <b/>
      <sz val="11"/>
      <color theme="0"/>
      <name val="Times New Roman"/>
      <family val="2"/>
    </font>
    <font>
      <i/>
      <sz val="11"/>
      <color indexed="23"/>
      <name val="Calibri"/>
      <family val="2"/>
    </font>
    <font>
      <i/>
      <sz val="11"/>
      <color rgb="FF7F7F7F"/>
      <name val="Calibri"/>
      <family val="2"/>
      <scheme val="minor"/>
    </font>
    <font>
      <i/>
      <sz val="11"/>
      <color rgb="FF7F7F7F"/>
      <name val="Times New Roman"/>
      <family val="2"/>
    </font>
    <font>
      <b/>
      <sz val="10"/>
      <name val="Arial"/>
      <family val="2"/>
    </font>
    <font>
      <b/>
      <sz val="14"/>
      <name val="Arial"/>
      <family val="2"/>
    </font>
    <font>
      <sz val="8"/>
      <name val="Arial"/>
      <family val="2"/>
    </font>
    <font>
      <sz val="6"/>
      <name val="Arial"/>
      <family val="2"/>
    </font>
    <font>
      <sz val="11"/>
      <color indexed="17"/>
      <name val="Calibri"/>
      <family val="2"/>
    </font>
    <font>
      <sz val="11"/>
      <color rgb="FF006100"/>
      <name val="Calibri"/>
      <family val="2"/>
      <scheme val="minor"/>
    </font>
    <font>
      <sz val="11"/>
      <color rgb="FF006100"/>
      <name val="Times New Roman"/>
      <family val="2"/>
    </font>
    <font>
      <b/>
      <sz val="15"/>
      <color indexed="56"/>
      <name val="Calibri"/>
      <family val="2"/>
    </font>
    <font>
      <b/>
      <sz val="15"/>
      <color theme="3"/>
      <name val="Calibri"/>
      <family val="2"/>
      <scheme val="minor"/>
    </font>
    <font>
      <b/>
      <sz val="15"/>
      <color indexed="62"/>
      <name val="Calibri"/>
      <family val="2"/>
    </font>
    <font>
      <b/>
      <sz val="18"/>
      <name val="Arial"/>
      <family val="2"/>
    </font>
    <font>
      <b/>
      <sz val="13"/>
      <color indexed="56"/>
      <name val="Calibri"/>
      <family val="2"/>
    </font>
    <font>
      <b/>
      <sz val="13"/>
      <color theme="3"/>
      <name val="Calibri"/>
      <family val="2"/>
      <scheme val="minor"/>
    </font>
    <font>
      <b/>
      <sz val="13"/>
      <color indexed="62"/>
      <name val="Calibri"/>
      <family val="2"/>
    </font>
    <font>
      <b/>
      <sz val="12"/>
      <name val="Arial"/>
      <family val="2"/>
    </font>
    <font>
      <b/>
      <sz val="11"/>
      <color indexed="56"/>
      <name val="Calibri"/>
      <family val="2"/>
    </font>
    <font>
      <b/>
      <sz val="11"/>
      <color theme="3"/>
      <name val="Calibri"/>
      <family val="2"/>
      <scheme val="minor"/>
    </font>
    <font>
      <b/>
      <sz val="11"/>
      <color indexed="62"/>
      <name val="Calibri"/>
      <family val="2"/>
    </font>
    <font>
      <sz val="11"/>
      <color indexed="62"/>
      <name val="Calibri"/>
      <family val="2"/>
    </font>
    <font>
      <sz val="11"/>
      <color rgb="FF3F3F76"/>
      <name val="Calibri"/>
      <family val="2"/>
      <scheme val="minor"/>
    </font>
    <font>
      <sz val="11"/>
      <color rgb="FF3F3F76"/>
      <name val="Times New Roman"/>
      <family val="2"/>
    </font>
    <font>
      <sz val="11"/>
      <color indexed="52"/>
      <name val="Calibri"/>
      <family val="2"/>
    </font>
    <font>
      <sz val="11"/>
      <color rgb="FFFA7D00"/>
      <name val="Calibri"/>
      <family val="2"/>
      <scheme val="minor"/>
    </font>
    <font>
      <sz val="11"/>
      <color rgb="FFFA7D00"/>
      <name val="Times New Roman"/>
      <family val="2"/>
    </font>
    <font>
      <sz val="11"/>
      <color indexed="10"/>
      <name val="Calibri"/>
      <family val="2"/>
    </font>
    <font>
      <sz val="11"/>
      <color indexed="60"/>
      <name val="Calibri"/>
      <family val="2"/>
    </font>
    <font>
      <sz val="11"/>
      <color rgb="FF9C6500"/>
      <name val="Calibri"/>
      <family val="2"/>
      <scheme val="minor"/>
    </font>
    <font>
      <sz val="11"/>
      <color rgb="FF9C6500"/>
      <name val="Times New Roman"/>
      <family val="2"/>
    </font>
    <font>
      <sz val="11"/>
      <color indexed="19"/>
      <name val="Calibri"/>
      <family val="2"/>
    </font>
    <font>
      <sz val="10"/>
      <name val="MS Sans Serif"/>
      <family val="2"/>
    </font>
    <font>
      <sz val="10"/>
      <color indexed="8"/>
      <name val="Arial"/>
      <family val="2"/>
    </font>
    <font>
      <sz val="11"/>
      <color indexed="8"/>
      <name val="Times New Roman"/>
      <family val="2"/>
    </font>
    <font>
      <b/>
      <sz val="11"/>
      <color indexed="63"/>
      <name val="Calibri"/>
      <family val="2"/>
    </font>
    <font>
      <b/>
      <sz val="11"/>
      <color rgb="FF3F3F3F"/>
      <name val="Calibri"/>
      <family val="2"/>
      <scheme val="minor"/>
    </font>
    <font>
      <b/>
      <sz val="11"/>
      <color rgb="FF3F3F3F"/>
      <name val="Times New Roman"/>
      <family val="2"/>
    </font>
    <font>
      <b/>
      <i/>
      <sz val="10"/>
      <color indexed="8"/>
      <name val="Arial"/>
      <family val="2"/>
    </font>
    <font>
      <b/>
      <sz val="10"/>
      <color indexed="8"/>
      <name val="Arial"/>
      <family val="2"/>
    </font>
    <font>
      <b/>
      <i/>
      <sz val="22"/>
      <color indexed="8"/>
      <name val="Times New Roman"/>
      <family val="1"/>
    </font>
    <font>
      <b/>
      <sz val="18"/>
      <color indexed="56"/>
      <name val="Cambria"/>
      <family val="2"/>
    </font>
    <font>
      <b/>
      <sz val="18"/>
      <color indexed="62"/>
      <name val="Cambria"/>
      <family val="2"/>
    </font>
    <font>
      <b/>
      <sz val="11"/>
      <color indexed="8"/>
      <name val="Calibri"/>
      <family val="2"/>
    </font>
    <font>
      <b/>
      <sz val="11"/>
      <color theme="1"/>
      <name val="Calibri"/>
      <family val="2"/>
      <scheme val="minor"/>
    </font>
    <font>
      <b/>
      <sz val="11"/>
      <color theme="1"/>
      <name val="Times New Roman"/>
      <family val="2"/>
    </font>
    <font>
      <sz val="11"/>
      <color rgb="FFFF0000"/>
      <name val="Calibri"/>
      <family val="2"/>
      <scheme val="minor"/>
    </font>
    <font>
      <sz val="11"/>
      <color rgb="FFFF0000"/>
      <name val="Times New Roman"/>
      <family val="2"/>
    </font>
    <font>
      <sz val="8"/>
      <color rgb="FF000000"/>
      <name val="Calibri"/>
      <family val="2"/>
      <scheme val="minor"/>
    </font>
    <font>
      <sz val="9"/>
      <color theme="1"/>
      <name val="Calibri"/>
      <family val="2"/>
      <scheme val="minor"/>
    </font>
    <font>
      <b/>
      <sz val="10"/>
      <name val="Calibri"/>
      <family val="2"/>
      <scheme val="minor"/>
    </font>
    <font>
      <sz val="10"/>
      <name val="Calibri"/>
      <family val="2"/>
      <scheme val="minor"/>
    </font>
    <font>
      <sz val="10"/>
      <color theme="1"/>
      <name val="Calibri"/>
      <family val="2"/>
      <scheme val="minor"/>
    </font>
    <font>
      <u val="singleAccounting"/>
      <sz val="9"/>
      <color theme="1"/>
      <name val="Calibri"/>
      <family val="2"/>
      <scheme val="minor"/>
    </font>
    <font>
      <u val="singleAccounting"/>
      <sz val="10"/>
      <name val="Calibri"/>
      <family val="2"/>
      <scheme val="minor"/>
    </font>
    <font>
      <u val="singleAccounting"/>
      <sz val="10"/>
      <color theme="1"/>
      <name val="Calibri"/>
      <family val="2"/>
      <scheme val="minor"/>
    </font>
    <font>
      <sz val="9"/>
      <name val="Calibri"/>
      <family val="2"/>
      <scheme val="minor"/>
    </font>
    <font>
      <u val="singleAccounting"/>
      <sz val="10"/>
      <color theme="1"/>
      <name val="Calibri"/>
      <family val="2"/>
    </font>
    <font>
      <b/>
      <sz val="16"/>
      <color rgb="FFFF0000"/>
      <name val="Calibri"/>
      <family val="2"/>
      <scheme val="minor"/>
    </font>
    <font>
      <sz val="7"/>
      <color theme="1"/>
      <name val="Calibri"/>
      <family val="2"/>
      <scheme val="minor"/>
    </font>
    <font>
      <sz val="7"/>
      <name val="Calibri"/>
      <family val="2"/>
      <scheme val="minor"/>
    </font>
    <font>
      <sz val="9"/>
      <color rgb="FF0000FF"/>
      <name val="Calibri"/>
      <family val="2"/>
      <scheme val="minor"/>
    </font>
    <font>
      <sz val="6"/>
      <color theme="1"/>
      <name val="Calibri"/>
      <family val="2"/>
      <scheme val="minor"/>
    </font>
    <font>
      <sz val="12"/>
      <name val="Helv"/>
    </font>
    <font>
      <sz val="10"/>
      <name val="Helv"/>
    </font>
    <font>
      <b/>
      <sz val="10"/>
      <color indexed="52"/>
      <name val="Arial"/>
      <family val="2"/>
    </font>
    <font>
      <sz val="10"/>
      <color indexed="17"/>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Tahoma"/>
      <family val="2"/>
    </font>
    <font>
      <sz val="11"/>
      <name val="Times New Roman"/>
      <family val="1"/>
    </font>
    <font>
      <sz val="10"/>
      <color rgb="FF000000"/>
      <name val="Times New Roman"/>
      <family val="1"/>
    </font>
    <font>
      <sz val="12"/>
      <name val="Arial"/>
      <family val="2"/>
    </font>
    <font>
      <sz val="12"/>
      <name val="Tms Rmn"/>
    </font>
    <font>
      <sz val="18"/>
      <name val="Arial"/>
      <family val="2"/>
    </font>
    <font>
      <b/>
      <sz val="15"/>
      <color indexed="62"/>
      <name val="Arial"/>
      <family val="2"/>
    </font>
    <font>
      <b/>
      <sz val="13"/>
      <color indexed="62"/>
      <name val="Arial"/>
      <family val="2"/>
    </font>
    <font>
      <u/>
      <sz val="10"/>
      <color indexed="12"/>
      <name val="Arial"/>
      <family val="2"/>
    </font>
    <font>
      <sz val="10"/>
      <color indexed="62"/>
      <name val="Arial"/>
      <family val="2"/>
    </font>
    <font>
      <b/>
      <sz val="12"/>
      <name val="Tms Rmn"/>
    </font>
    <font>
      <sz val="10"/>
      <name val="Courier"/>
      <family val="3"/>
    </font>
    <font>
      <sz val="11"/>
      <color indexed="8"/>
      <name val="Times New Roman"/>
      <family val="1"/>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16"/>
      <color indexed="13"/>
      <name val="Arial"/>
      <family val="2"/>
    </font>
    <font>
      <b/>
      <sz val="22"/>
      <color indexed="8"/>
      <name val="Times New Roman"/>
      <family val="1"/>
    </font>
    <font>
      <sz val="12"/>
      <color indexed="10"/>
      <name val="Times New Roman"/>
      <family val="1"/>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sz val="8"/>
      <color indexed="8"/>
      <name val="Wingdings"/>
      <charset val="2"/>
    </font>
    <font>
      <b/>
      <sz val="11"/>
      <name val="Calibri"/>
      <family val="2"/>
      <scheme val="minor"/>
    </font>
    <font>
      <u val="doubleAccounting"/>
      <sz val="10"/>
      <name val="Calibri"/>
      <family val="2"/>
      <scheme val="minor"/>
    </font>
    <font>
      <b/>
      <sz val="10"/>
      <color theme="1"/>
      <name val="Calibri"/>
      <family val="2"/>
      <scheme val="minor"/>
    </font>
    <font>
      <u/>
      <sz val="10"/>
      <color theme="1"/>
      <name val="Calibri"/>
      <family val="2"/>
      <scheme val="minor"/>
    </font>
    <font>
      <u val="doubleAccounting"/>
      <sz val="10"/>
      <color theme="1"/>
      <name val="Calibri"/>
      <family val="2"/>
      <scheme val="minor"/>
    </font>
    <font>
      <i/>
      <sz val="10"/>
      <name val="Calibri"/>
      <family val="2"/>
      <scheme val="minor"/>
    </font>
    <font>
      <b/>
      <u val="doubleAccounting"/>
      <sz val="10"/>
      <name val="Calibri"/>
      <family val="2"/>
      <scheme val="minor"/>
    </font>
    <font>
      <u/>
      <sz val="10"/>
      <name val="Calibri"/>
      <family val="2"/>
      <scheme val="minor"/>
    </font>
    <font>
      <sz val="8"/>
      <name val="Calibri"/>
      <family val="2"/>
      <scheme val="minor"/>
    </font>
    <font>
      <b/>
      <u val="singleAccounting"/>
      <sz val="10"/>
      <name val="Calibri"/>
      <family val="2"/>
      <scheme val="minor"/>
    </font>
    <font>
      <b/>
      <i/>
      <sz val="10"/>
      <name val="Calibri"/>
      <family val="2"/>
      <scheme val="minor"/>
    </font>
    <font>
      <u val="double"/>
      <sz val="10"/>
      <color theme="1"/>
      <name val="Calibri"/>
      <family val="2"/>
      <scheme val="minor"/>
    </font>
    <font>
      <sz val="11"/>
      <name val="Calibri"/>
      <family val="2"/>
      <scheme val="minor"/>
    </font>
    <font>
      <sz val="11"/>
      <color rgb="FF7030A0"/>
      <name val="Calibri"/>
      <family val="2"/>
      <scheme val="minor"/>
    </font>
    <font>
      <b/>
      <sz val="11"/>
      <color rgb="FF7030A0"/>
      <name val="Calibri"/>
      <family val="2"/>
      <scheme val="minor"/>
    </font>
    <font>
      <b/>
      <sz val="8"/>
      <color rgb="FF000000"/>
      <name val="Calibri"/>
      <family val="2"/>
      <scheme val="minor"/>
    </font>
    <font>
      <b/>
      <sz val="9"/>
      <color theme="1"/>
      <name val="Calibri"/>
      <family val="2"/>
      <scheme val="minor"/>
    </font>
    <font>
      <sz val="9"/>
      <color indexed="81"/>
      <name val="Tahoma"/>
      <family val="2"/>
    </font>
    <font>
      <b/>
      <sz val="9"/>
      <color indexed="81"/>
      <name val="Tahoma"/>
      <family val="2"/>
    </font>
    <font>
      <sz val="9"/>
      <color theme="1"/>
      <name val="Calibri"/>
      <family val="2"/>
    </font>
    <font>
      <sz val="8"/>
      <color theme="1"/>
      <name val="Calibri"/>
      <family val="2"/>
    </font>
    <font>
      <sz val="9"/>
      <color rgb="FF000000"/>
      <name val="Calibri"/>
      <family val="2"/>
      <scheme val="minor"/>
    </font>
    <font>
      <sz val="10"/>
      <color theme="1"/>
      <name val="Times New Roman"/>
      <family val="1"/>
    </font>
    <font>
      <b/>
      <sz val="10"/>
      <name val="Times New Roman"/>
      <family val="1"/>
    </font>
    <font>
      <sz val="11"/>
      <color theme="1"/>
      <name val="Times New Roman"/>
      <family val="1"/>
    </font>
    <font>
      <u val="singleAccounting"/>
      <sz val="11"/>
      <name val="Times New Roman"/>
      <family val="1"/>
    </font>
    <font>
      <u val="singleAccounting"/>
      <sz val="11"/>
      <color theme="1"/>
      <name val="Times New Roman"/>
      <family val="1"/>
    </font>
    <font>
      <u val="singleAccounting"/>
      <sz val="10"/>
      <color theme="1"/>
      <name val="Times New Roman"/>
      <family val="1"/>
    </font>
    <font>
      <sz val="10"/>
      <color theme="0"/>
      <name val="Calibri"/>
      <family val="2"/>
      <scheme val="minor"/>
    </font>
  </fonts>
  <fills count="105">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C6C4C4"/>
        <bgColor indexed="64"/>
      </patternFill>
    </fill>
    <fill>
      <patternFill patternType="solid">
        <fgColor rgb="FFFFFFFF"/>
        <bgColor indexed="64"/>
      </patternFill>
    </fill>
    <fill>
      <patternFill patternType="solid">
        <fgColor rgb="FFE9EEF4"/>
        <bgColor indexed="64"/>
      </patternFill>
    </fill>
    <fill>
      <patternFill patternType="solid">
        <fgColor rgb="FFFFF84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rgb="FF0000FF"/>
        <bgColor indexed="64"/>
      </patternFill>
    </fill>
    <fill>
      <patternFill patternType="solid">
        <fgColor theme="9" tint="0.59999389629810485"/>
        <bgColor indexed="64"/>
      </patternFill>
    </fill>
    <fill>
      <patternFill patternType="solid">
        <fgColor indexed="22"/>
        <bgColor indexed="64"/>
      </patternFill>
    </fill>
    <fill>
      <patternFill patternType="solid">
        <fgColor indexed="32"/>
      </patternFill>
    </fill>
    <fill>
      <patternFill patternType="solid">
        <fgColor indexed="12"/>
      </patternFill>
    </fill>
    <fill>
      <patternFill patternType="solid">
        <fgColor indexed="9"/>
        <bgColor indexed="9"/>
      </patternFill>
    </fill>
    <fill>
      <patternFill patternType="solid">
        <fgColor indexed="13"/>
      </patternFill>
    </fill>
    <fill>
      <patternFill patternType="solid">
        <fgColor indexed="17"/>
      </patternFill>
    </fill>
    <fill>
      <patternFill patternType="solid">
        <fgColor indexed="26"/>
        <bgColor indexed="14"/>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theme="6" tint="0.39997558519241921"/>
        <bgColor indexed="64"/>
      </patternFill>
    </fill>
    <fill>
      <patternFill patternType="solid">
        <fgColor theme="0" tint="-4.9989318521683403E-2"/>
        <bgColor indexed="64"/>
      </patternFill>
    </fill>
  </fills>
  <borders count="67">
    <border>
      <left/>
      <right/>
      <top/>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top style="medium">
        <color rgb="FFAEAEAE"/>
      </top>
      <bottom style="medium">
        <color rgb="FFAEAEAE"/>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rgb="FFAEAEAE"/>
      </left>
      <right style="medium">
        <color rgb="FFAEAEAE"/>
      </right>
      <top style="medium">
        <color rgb="FFAEAEAE"/>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bottom style="medium">
        <color rgb="FFAEAEAE"/>
      </bottom>
      <diagonal/>
    </border>
    <border>
      <left/>
      <right/>
      <top/>
      <bottom style="medium">
        <color theme="0" tint="-0.14996795556505021"/>
      </bottom>
      <diagonal/>
    </border>
    <border>
      <left/>
      <right/>
      <top style="thin">
        <color indexed="64"/>
      </top>
      <bottom style="thin">
        <color indexed="64"/>
      </bottom>
      <diagonal/>
    </border>
    <border>
      <left style="thin">
        <color indexed="64"/>
      </left>
      <right style="thin">
        <color indexed="64"/>
      </right>
      <top/>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top/>
      <bottom style="thick">
        <color indexed="49"/>
      </bottom>
      <diagonal/>
    </border>
    <border>
      <left/>
      <right/>
      <top/>
      <bottom style="thick">
        <color indexed="25"/>
      </bottom>
      <diagonal/>
    </border>
    <border>
      <left style="thin">
        <color indexed="64"/>
      </left>
      <right style="thin">
        <color indexed="64"/>
      </right>
      <top style="thin">
        <color indexed="64"/>
      </top>
      <bottom style="thin">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right/>
      <top style="thin">
        <color indexed="64"/>
      </top>
      <bottom/>
      <diagonal/>
    </border>
    <border>
      <left style="medium">
        <color rgb="FFAEAEAE"/>
      </left>
      <right style="medium">
        <color rgb="FFAEAEAE"/>
      </right>
      <top/>
      <bottom style="medium">
        <color rgb="FFAEAEAE"/>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s>
  <cellStyleXfs count="15121">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176" fontId="5" fillId="0" borderId="0"/>
    <xf numFmtId="0" fontId="7" fillId="0" borderId="0"/>
    <xf numFmtId="0" fontId="5" fillId="0" borderId="0"/>
    <xf numFmtId="43" fontId="7" fillId="0" borderId="0" applyFont="0" applyFill="0" applyBorder="0" applyAlignment="0" applyProtection="0"/>
    <xf numFmtId="0" fontId="8" fillId="0" borderId="0"/>
    <xf numFmtId="0" fontId="8" fillId="0" borderId="0"/>
    <xf numFmtId="0" fontId="8" fillId="0" borderId="0"/>
    <xf numFmtId="0" fontId="13" fillId="0" borderId="0"/>
    <xf numFmtId="43" fontId="13" fillId="0" borderId="0" applyFont="0" applyFill="0" applyBorder="0" applyAlignment="0" applyProtection="0"/>
    <xf numFmtId="43" fontId="14" fillId="0" borderId="0" applyFont="0" applyFill="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5" fillId="51" borderId="0" applyNumberFormat="0" applyBorder="0" applyAlignment="0" applyProtection="0"/>
    <xf numFmtId="176" fontId="16" fillId="27" borderId="0" applyNumberFormat="0" applyBorder="0" applyAlignment="0" applyProtection="0"/>
    <xf numFmtId="176" fontId="15" fillId="5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0" fontId="8" fillId="27"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5" fillId="51"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6" fillId="27" borderId="0" applyNumberFormat="0" applyBorder="0" applyAlignment="0" applyProtection="0"/>
    <xf numFmtId="176" fontId="15" fillId="51"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0"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5" fillId="53" borderId="0" applyNumberFormat="0" applyBorder="0" applyAlignment="0" applyProtection="0"/>
    <xf numFmtId="176" fontId="16" fillId="31" borderId="0" applyNumberFormat="0" applyBorder="0" applyAlignment="0" applyProtection="0"/>
    <xf numFmtId="176" fontId="15" fillId="53"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0" fontId="8" fillId="31"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5" fillId="53"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6" fillId="31" borderId="0" applyNumberFormat="0" applyBorder="0" applyAlignment="0" applyProtection="0"/>
    <xf numFmtId="176" fontId="15" fillId="53"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5" fillId="55" borderId="0" applyNumberFormat="0" applyBorder="0" applyAlignment="0" applyProtection="0"/>
    <xf numFmtId="176" fontId="16" fillId="35" borderId="0" applyNumberFormat="0" applyBorder="0" applyAlignment="0" applyProtection="0"/>
    <xf numFmtId="176" fontId="15" fillId="5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0" fontId="8" fillId="3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5" fillId="5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6" fillId="35" borderId="0" applyNumberFormat="0" applyBorder="0" applyAlignment="0" applyProtection="0"/>
    <xf numFmtId="176" fontId="15" fillId="55"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4"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5" fillId="57" borderId="0" applyNumberFormat="0" applyBorder="0" applyAlignment="0" applyProtection="0"/>
    <xf numFmtId="176" fontId="16" fillId="39" borderId="0" applyNumberFormat="0" applyBorder="0" applyAlignment="0" applyProtection="0"/>
    <xf numFmtId="176" fontId="15" fillId="5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0" fontId="8" fillId="39"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5" fillId="57"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6" fillId="39" borderId="0" applyNumberFormat="0" applyBorder="0" applyAlignment="0" applyProtection="0"/>
    <xf numFmtId="176" fontId="15" fillId="57"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8"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5" fillId="58" borderId="0" applyNumberFormat="0" applyBorder="0" applyAlignment="0" applyProtection="0"/>
    <xf numFmtId="176" fontId="16" fillId="43" borderId="0" applyNumberFormat="0" applyBorder="0" applyAlignment="0" applyProtection="0"/>
    <xf numFmtId="176" fontId="15" fillId="5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0" fontId="8" fillId="43"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5" fillId="58"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6" fillId="43"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8"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5" fillId="55" borderId="0" applyNumberFormat="0" applyBorder="0" applyAlignment="0" applyProtection="0"/>
    <xf numFmtId="176" fontId="16" fillId="47" borderId="0" applyNumberFormat="0" applyBorder="0" applyAlignment="0" applyProtection="0"/>
    <xf numFmtId="176" fontId="15" fillId="5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0" fontId="8" fillId="47"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5" fillId="55"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6" fillId="47" borderId="0" applyNumberFormat="0" applyBorder="0" applyAlignment="0" applyProtection="0"/>
    <xf numFmtId="176" fontId="15" fillId="55"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7"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5" fillId="58" borderId="0" applyNumberFormat="0" applyBorder="0" applyAlignment="0" applyProtection="0"/>
    <xf numFmtId="176" fontId="16" fillId="28" borderId="0" applyNumberFormat="0" applyBorder="0" applyAlignment="0" applyProtection="0"/>
    <xf numFmtId="176" fontId="15" fillId="5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0" fontId="8" fillId="2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5" fillId="5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6" fillId="28" borderId="0" applyNumberFormat="0" applyBorder="0" applyAlignment="0" applyProtection="0"/>
    <xf numFmtId="176" fontId="15" fillId="58"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5" fillId="53" borderId="0" applyNumberFormat="0" applyBorder="0" applyAlignment="0" applyProtection="0"/>
    <xf numFmtId="176" fontId="16" fillId="32" borderId="0" applyNumberFormat="0" applyBorder="0" applyAlignment="0" applyProtection="0"/>
    <xf numFmtId="176" fontId="15"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0" fontId="8" fillId="32"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5" fillId="53"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6" fillId="32"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3"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8"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5" fillId="60" borderId="0" applyNumberFormat="0" applyBorder="0" applyAlignment="0" applyProtection="0"/>
    <xf numFmtId="176" fontId="16" fillId="36" borderId="0" applyNumberFormat="0" applyBorder="0" applyAlignment="0" applyProtection="0"/>
    <xf numFmtId="176" fontId="15"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76" fontId="15" fillId="60" borderId="0" applyNumberFormat="0" applyBorder="0" applyAlignment="0" applyProtection="0"/>
    <xf numFmtId="176" fontId="15" fillId="60" borderId="0" applyNumberFormat="0" applyBorder="0" applyAlignment="0" applyProtection="0"/>
    <xf numFmtId="176" fontId="15" fillId="60" borderId="0" applyNumberFormat="0" applyBorder="0" applyAlignment="0" applyProtection="0"/>
    <xf numFmtId="0" fontId="8" fillId="36" borderId="0" applyNumberFormat="0" applyBorder="0" applyAlignment="0" applyProtection="0"/>
    <xf numFmtId="176" fontId="15" fillId="60" borderId="0" applyNumberFormat="0" applyBorder="0" applyAlignment="0" applyProtection="0"/>
    <xf numFmtId="176" fontId="15" fillId="60" borderId="0" applyNumberFormat="0" applyBorder="0" applyAlignment="0" applyProtection="0"/>
    <xf numFmtId="176" fontId="15" fillId="60"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5" fillId="60"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6" fillId="36" borderId="0" applyNumberFormat="0" applyBorder="0" applyAlignment="0" applyProtection="0"/>
    <xf numFmtId="176" fontId="15" fillId="60"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9"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8"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5" fillId="52" borderId="0" applyNumberFormat="0" applyBorder="0" applyAlignment="0" applyProtection="0"/>
    <xf numFmtId="176" fontId="16" fillId="40" borderId="0" applyNumberFormat="0" applyBorder="0" applyAlignment="0" applyProtection="0"/>
    <xf numFmtId="176" fontId="15" fillId="5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0" fontId="8" fillId="40"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5" fillId="52"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5" fillId="52"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6" fillId="40" borderId="0" applyNumberFormat="0" applyBorder="0" applyAlignment="0" applyProtection="0"/>
    <xf numFmtId="176" fontId="15" fillId="52"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6"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8"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5" fillId="58" borderId="0" applyNumberFormat="0" applyBorder="0" applyAlignment="0" applyProtection="0"/>
    <xf numFmtId="176" fontId="16" fillId="44" borderId="0" applyNumberFormat="0" applyBorder="0" applyAlignment="0" applyProtection="0"/>
    <xf numFmtId="176" fontId="15" fillId="5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0" fontId="8" fillId="44"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5" fillId="58"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5" fillId="58"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6" fillId="44" borderId="0" applyNumberFormat="0" applyBorder="0" applyAlignment="0" applyProtection="0"/>
    <xf numFmtId="176" fontId="15" fillId="58"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5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8"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5" fillId="55" borderId="0" applyNumberFormat="0" applyBorder="0" applyAlignment="0" applyProtection="0"/>
    <xf numFmtId="176" fontId="16" fillId="48" borderId="0" applyNumberFormat="0" applyBorder="0" applyAlignment="0" applyProtection="0"/>
    <xf numFmtId="176" fontId="15" fillId="55"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0" fontId="8" fillId="48"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5" fillId="55"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5" fillId="55"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6" fillId="48" borderId="0" applyNumberFormat="0" applyBorder="0" applyAlignment="0" applyProtection="0"/>
    <xf numFmtId="176" fontId="15" fillId="55"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5" fillId="61"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8" fillId="29" borderId="0" applyNumberFormat="0" applyBorder="0" applyAlignment="0" applyProtection="0"/>
    <xf numFmtId="176" fontId="18" fillId="29" borderId="0" applyNumberFormat="0" applyBorder="0" applyAlignment="0" applyProtection="0"/>
    <xf numFmtId="176" fontId="18" fillId="29"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7" fillId="58" borderId="0" applyNumberFormat="0" applyBorder="0" applyAlignment="0" applyProtection="0"/>
    <xf numFmtId="176" fontId="19" fillId="29" borderId="0" applyNumberFormat="0" applyBorder="0" applyAlignment="0" applyProtection="0"/>
    <xf numFmtId="176" fontId="17"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0" fontId="18" fillId="29"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9" fillId="29"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8" fillId="33" borderId="0" applyNumberFormat="0" applyBorder="0" applyAlignment="0" applyProtection="0"/>
    <xf numFmtId="176" fontId="18" fillId="33" borderId="0" applyNumberFormat="0" applyBorder="0" applyAlignment="0" applyProtection="0"/>
    <xf numFmtId="176" fontId="18" fillId="3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7" fillId="63" borderId="0" applyNumberFormat="0" applyBorder="0" applyAlignment="0" applyProtection="0"/>
    <xf numFmtId="176" fontId="19" fillId="33" borderId="0" applyNumberFormat="0" applyBorder="0" applyAlignment="0" applyProtection="0"/>
    <xf numFmtId="176" fontId="17" fillId="6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0" fontId="18" fillId="3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9" fillId="3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8" fillId="37" borderId="0" applyNumberFormat="0" applyBorder="0" applyAlignment="0" applyProtection="0"/>
    <xf numFmtId="176" fontId="18" fillId="37" borderId="0" applyNumberFormat="0" applyBorder="0" applyAlignment="0" applyProtection="0"/>
    <xf numFmtId="176" fontId="18" fillId="37"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7" fillId="61" borderId="0" applyNumberFormat="0" applyBorder="0" applyAlignment="0" applyProtection="0"/>
    <xf numFmtId="176" fontId="19" fillId="37" borderId="0" applyNumberFormat="0" applyBorder="0" applyAlignment="0" applyProtection="0"/>
    <xf numFmtId="176" fontId="17" fillId="6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0" fontId="18" fillId="37"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9" fillId="37"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8" fillId="41" borderId="0" applyNumberFormat="0" applyBorder="0" applyAlignment="0" applyProtection="0"/>
    <xf numFmtId="176" fontId="18" fillId="41" borderId="0" applyNumberFormat="0" applyBorder="0" applyAlignment="0" applyProtection="0"/>
    <xf numFmtId="176" fontId="18" fillId="41"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7" fillId="52" borderId="0" applyNumberFormat="0" applyBorder="0" applyAlignment="0" applyProtection="0"/>
    <xf numFmtId="176" fontId="19" fillId="41" borderId="0" applyNumberFormat="0" applyBorder="0" applyAlignment="0" applyProtection="0"/>
    <xf numFmtId="176" fontId="17" fillId="52"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176" fontId="17" fillId="52" borderId="0" applyNumberFormat="0" applyBorder="0" applyAlignment="0" applyProtection="0"/>
    <xf numFmtId="176" fontId="17" fillId="52" borderId="0" applyNumberFormat="0" applyBorder="0" applyAlignment="0" applyProtection="0"/>
    <xf numFmtId="176" fontId="17" fillId="52" borderId="0" applyNumberFormat="0" applyBorder="0" applyAlignment="0" applyProtection="0"/>
    <xf numFmtId="0" fontId="18" fillId="41" borderId="0" applyNumberFormat="0" applyBorder="0" applyAlignment="0" applyProtection="0"/>
    <xf numFmtId="176" fontId="17" fillId="52" borderId="0" applyNumberFormat="0" applyBorder="0" applyAlignment="0" applyProtection="0"/>
    <xf numFmtId="176" fontId="17" fillId="52" borderId="0" applyNumberFormat="0" applyBorder="0" applyAlignment="0" applyProtection="0"/>
    <xf numFmtId="176" fontId="17" fillId="52"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9" fillId="41" borderId="0" applyNumberFormat="0" applyBorder="0" applyAlignment="0" applyProtection="0"/>
    <xf numFmtId="176" fontId="17" fillId="52" borderId="0" applyNumberFormat="0" applyBorder="0" applyAlignment="0" applyProtection="0"/>
    <xf numFmtId="176" fontId="17" fillId="52"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8" fillId="45" borderId="0" applyNumberFormat="0" applyBorder="0" applyAlignment="0" applyProtection="0"/>
    <xf numFmtId="176" fontId="18" fillId="45" borderId="0" applyNumberFormat="0" applyBorder="0" applyAlignment="0" applyProtection="0"/>
    <xf numFmtId="176" fontId="18" fillId="45"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7" fillId="58" borderId="0" applyNumberFormat="0" applyBorder="0" applyAlignment="0" applyProtection="0"/>
    <xf numFmtId="176" fontId="19" fillId="45" borderId="0" applyNumberFormat="0" applyBorder="0" applyAlignment="0" applyProtection="0"/>
    <xf numFmtId="176" fontId="17" fillId="58"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0" fontId="18" fillId="45"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9" fillId="45" borderId="0" applyNumberFormat="0" applyBorder="0" applyAlignment="0" applyProtection="0"/>
    <xf numFmtId="176" fontId="17" fillId="58" borderId="0" applyNumberFormat="0" applyBorder="0" applyAlignment="0" applyProtection="0"/>
    <xf numFmtId="176" fontId="17" fillId="58"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8" fillId="49" borderId="0" applyNumberFormat="0" applyBorder="0" applyAlignment="0" applyProtection="0"/>
    <xf numFmtId="176" fontId="18" fillId="49" borderId="0" applyNumberFormat="0" applyBorder="0" applyAlignment="0" applyProtection="0"/>
    <xf numFmtId="176" fontId="18" fillId="49"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7" fillId="53" borderId="0" applyNumberFormat="0" applyBorder="0" applyAlignment="0" applyProtection="0"/>
    <xf numFmtId="176" fontId="19" fillId="49" borderId="0" applyNumberFormat="0" applyBorder="0" applyAlignment="0" applyProtection="0"/>
    <xf numFmtId="176" fontId="17" fillId="53"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0" fontId="18" fillId="49"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9" fillId="49"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8" fillId="26" borderId="0" applyNumberFormat="0" applyBorder="0" applyAlignment="0" applyProtection="0"/>
    <xf numFmtId="176" fontId="18" fillId="26" borderId="0" applyNumberFormat="0" applyBorder="0" applyAlignment="0" applyProtection="0"/>
    <xf numFmtId="176" fontId="18" fillId="26"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7" fillId="68" borderId="0" applyNumberFormat="0" applyBorder="0" applyAlignment="0" applyProtection="0"/>
    <xf numFmtId="176" fontId="19" fillId="26" borderId="0" applyNumberFormat="0" applyBorder="0" applyAlignment="0" applyProtection="0"/>
    <xf numFmtId="176" fontId="17" fillId="6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176" fontId="17" fillId="68" borderId="0" applyNumberFormat="0" applyBorder="0" applyAlignment="0" applyProtection="0"/>
    <xf numFmtId="176" fontId="17" fillId="68" borderId="0" applyNumberFormat="0" applyBorder="0" applyAlignment="0" applyProtection="0"/>
    <xf numFmtId="176" fontId="17" fillId="68" borderId="0" applyNumberFormat="0" applyBorder="0" applyAlignment="0" applyProtection="0"/>
    <xf numFmtId="0" fontId="18" fillId="26" borderId="0" applyNumberFormat="0" applyBorder="0" applyAlignment="0" applyProtection="0"/>
    <xf numFmtId="176" fontId="17" fillId="68" borderId="0" applyNumberFormat="0" applyBorder="0" applyAlignment="0" applyProtection="0"/>
    <xf numFmtId="176" fontId="17" fillId="68" borderId="0" applyNumberFormat="0" applyBorder="0" applyAlignment="0" applyProtection="0"/>
    <xf numFmtId="176" fontId="17" fillId="68"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9" fillId="26" borderId="0" applyNumberFormat="0" applyBorder="0" applyAlignment="0" applyProtection="0"/>
    <xf numFmtId="176" fontId="17" fillId="68" borderId="0" applyNumberFormat="0" applyBorder="0" applyAlignment="0" applyProtection="0"/>
    <xf numFmtId="176" fontId="17" fillId="68"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8" fillId="30" borderId="0" applyNumberFormat="0" applyBorder="0" applyAlignment="0" applyProtection="0"/>
    <xf numFmtId="176" fontId="18" fillId="30" borderId="0" applyNumberFormat="0" applyBorder="0" applyAlignment="0" applyProtection="0"/>
    <xf numFmtId="176" fontId="18" fillId="30"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7" fillId="63" borderId="0" applyNumberFormat="0" applyBorder="0" applyAlignment="0" applyProtection="0"/>
    <xf numFmtId="176" fontId="19" fillId="30" borderId="0" applyNumberFormat="0" applyBorder="0" applyAlignment="0" applyProtection="0"/>
    <xf numFmtId="176" fontId="17" fillId="63"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0" fontId="18" fillId="30"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9" fillId="30"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8" fillId="34" borderId="0" applyNumberFormat="0" applyBorder="0" applyAlignment="0" applyProtection="0"/>
    <xf numFmtId="176" fontId="18" fillId="34" borderId="0" applyNumberFormat="0" applyBorder="0" applyAlignment="0" applyProtection="0"/>
    <xf numFmtId="176" fontId="18" fillId="34"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7" fillId="61" borderId="0" applyNumberFormat="0" applyBorder="0" applyAlignment="0" applyProtection="0"/>
    <xf numFmtId="176" fontId="19" fillId="34" borderId="0" applyNumberFormat="0" applyBorder="0" applyAlignment="0" applyProtection="0"/>
    <xf numFmtId="176" fontId="17" fillId="61"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0" fontId="18" fillId="34"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9" fillId="34" borderId="0" applyNumberFormat="0" applyBorder="0" applyAlignment="0" applyProtection="0"/>
    <xf numFmtId="176" fontId="17" fillId="61" borderId="0" applyNumberFormat="0" applyBorder="0" applyAlignment="0" applyProtection="0"/>
    <xf numFmtId="176" fontId="17" fillId="61"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8" fillId="38" borderId="0" applyNumberFormat="0" applyBorder="0" applyAlignment="0" applyProtection="0"/>
    <xf numFmtId="176" fontId="18" fillId="38" borderId="0" applyNumberFormat="0" applyBorder="0" applyAlignment="0" applyProtection="0"/>
    <xf numFmtId="176" fontId="18" fillId="38"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7" fillId="71" borderId="0" applyNumberFormat="0" applyBorder="0" applyAlignment="0" applyProtection="0"/>
    <xf numFmtId="176" fontId="19" fillId="38" borderId="0" applyNumberFormat="0" applyBorder="0" applyAlignment="0" applyProtection="0"/>
    <xf numFmtId="176" fontId="17" fillId="71"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76" fontId="17" fillId="71" borderId="0" applyNumberFormat="0" applyBorder="0" applyAlignment="0" applyProtection="0"/>
    <xf numFmtId="176" fontId="17" fillId="71" borderId="0" applyNumberFormat="0" applyBorder="0" applyAlignment="0" applyProtection="0"/>
    <xf numFmtId="176" fontId="17" fillId="71" borderId="0" applyNumberFormat="0" applyBorder="0" applyAlignment="0" applyProtection="0"/>
    <xf numFmtId="0" fontId="18" fillId="38" borderId="0" applyNumberFormat="0" applyBorder="0" applyAlignment="0" applyProtection="0"/>
    <xf numFmtId="176" fontId="17" fillId="71" borderId="0" applyNumberFormat="0" applyBorder="0" applyAlignment="0" applyProtection="0"/>
    <xf numFmtId="176" fontId="17" fillId="71" borderId="0" applyNumberFormat="0" applyBorder="0" applyAlignment="0" applyProtection="0"/>
    <xf numFmtId="176" fontId="17" fillId="71"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9" fillId="38" borderId="0" applyNumberFormat="0" applyBorder="0" applyAlignment="0" applyProtection="0"/>
    <xf numFmtId="176" fontId="17" fillId="71" borderId="0" applyNumberFormat="0" applyBorder="0" applyAlignment="0" applyProtection="0"/>
    <xf numFmtId="176" fontId="17" fillId="71"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8" fillId="42" borderId="0" applyNumberFormat="0" applyBorder="0" applyAlignment="0" applyProtection="0"/>
    <xf numFmtId="176" fontId="18" fillId="42" borderId="0" applyNumberFormat="0" applyBorder="0" applyAlignment="0" applyProtection="0"/>
    <xf numFmtId="176" fontId="18" fillId="42"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7" fillId="65" borderId="0" applyNumberFormat="0" applyBorder="0" applyAlignment="0" applyProtection="0"/>
    <xf numFmtId="176" fontId="19" fillId="42" borderId="0" applyNumberFormat="0" applyBorder="0" applyAlignment="0" applyProtection="0"/>
    <xf numFmtId="176" fontId="17" fillId="6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0" fontId="18" fillId="42"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9" fillId="42"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8" fillId="46" borderId="0" applyNumberFormat="0" applyBorder="0" applyAlignment="0" applyProtection="0"/>
    <xf numFmtId="176" fontId="18" fillId="46" borderId="0" applyNumberFormat="0" applyBorder="0" applyAlignment="0" applyProtection="0"/>
    <xf numFmtId="176" fontId="18" fillId="46"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7" fillId="69" borderId="0" applyNumberFormat="0" applyBorder="0" applyAlignment="0" applyProtection="0"/>
    <xf numFmtId="176" fontId="19" fillId="46" borderId="0" applyNumberFormat="0" applyBorder="0" applyAlignment="0" applyProtection="0"/>
    <xf numFmtId="176" fontId="17" fillId="69"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0" fontId="18" fillId="46"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9" fillId="46"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1" fillId="20" borderId="0" applyNumberFormat="0" applyBorder="0" applyAlignment="0" applyProtection="0"/>
    <xf numFmtId="176" fontId="21" fillId="20" borderId="0" applyNumberFormat="0" applyBorder="0" applyAlignment="0" applyProtection="0"/>
    <xf numFmtId="176" fontId="21" fillId="20"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0" fillId="56" borderId="0" applyNumberFormat="0" applyBorder="0" applyAlignment="0" applyProtection="0"/>
    <xf numFmtId="176" fontId="22" fillId="20" borderId="0" applyNumberFormat="0" applyBorder="0" applyAlignment="0" applyProtection="0"/>
    <xf numFmtId="176" fontId="20" fillId="5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176" fontId="20" fillId="56" borderId="0" applyNumberFormat="0" applyBorder="0" applyAlignment="0" applyProtection="0"/>
    <xf numFmtId="176" fontId="20" fillId="56" borderId="0" applyNumberFormat="0" applyBorder="0" applyAlignment="0" applyProtection="0"/>
    <xf numFmtId="176" fontId="20" fillId="56" borderId="0" applyNumberFormat="0" applyBorder="0" applyAlignment="0" applyProtection="0"/>
    <xf numFmtId="0" fontId="21" fillId="20" borderId="0" applyNumberFormat="0" applyBorder="0" applyAlignment="0" applyProtection="0"/>
    <xf numFmtId="176" fontId="20" fillId="56" borderId="0" applyNumberFormat="0" applyBorder="0" applyAlignment="0" applyProtection="0"/>
    <xf numFmtId="176" fontId="20" fillId="56" borderId="0" applyNumberFormat="0" applyBorder="0" applyAlignment="0" applyProtection="0"/>
    <xf numFmtId="176" fontId="20" fillId="56"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2" fillId="20" borderId="0" applyNumberFormat="0" applyBorder="0" applyAlignment="0" applyProtection="0"/>
    <xf numFmtId="176" fontId="20" fillId="56" borderId="0" applyNumberFormat="0" applyBorder="0" applyAlignment="0" applyProtection="0"/>
    <xf numFmtId="176" fontId="20" fillId="56"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0" fillId="52" borderId="0" applyNumberFormat="0" applyBorder="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4" fillId="23" borderId="13" applyNumberFormat="0" applyAlignment="0" applyProtection="0"/>
    <xf numFmtId="176" fontId="24" fillId="23" borderId="13" applyNumberFormat="0" applyAlignment="0" applyProtection="0"/>
    <xf numFmtId="176" fontId="24" fillId="23" borderId="13" applyNumberFormat="0" applyAlignment="0" applyProtection="0"/>
    <xf numFmtId="176" fontId="25" fillId="23" borderId="13" applyNumberFormat="0" applyAlignment="0" applyProtection="0"/>
    <xf numFmtId="176" fontId="25" fillId="23" borderId="13" applyNumberFormat="0" applyAlignment="0" applyProtection="0"/>
    <xf numFmtId="176" fontId="26" fillId="73" borderId="19" applyNumberFormat="0" applyAlignment="0" applyProtection="0"/>
    <xf numFmtId="176" fontId="25" fillId="23" borderId="13" applyNumberFormat="0" applyAlignment="0" applyProtection="0"/>
    <xf numFmtId="176" fontId="26" fillId="73" borderId="19" applyNumberFormat="0" applyAlignment="0" applyProtection="0"/>
    <xf numFmtId="0" fontId="24" fillId="23" borderId="13" applyNumberFormat="0" applyAlignment="0" applyProtection="0"/>
    <xf numFmtId="0" fontId="24" fillId="23" borderId="13" applyNumberFormat="0" applyAlignment="0" applyProtection="0"/>
    <xf numFmtId="0" fontId="24" fillId="23" borderId="13" applyNumberFormat="0" applyAlignment="0" applyProtection="0"/>
    <xf numFmtId="0" fontId="24" fillId="23" borderId="13" applyNumberFormat="0" applyAlignment="0" applyProtection="0"/>
    <xf numFmtId="176" fontId="26" fillId="73" borderId="19" applyNumberFormat="0" applyAlignment="0" applyProtection="0"/>
    <xf numFmtId="176" fontId="26" fillId="73" borderId="19" applyNumberFormat="0" applyAlignment="0" applyProtection="0"/>
    <xf numFmtId="176" fontId="26" fillId="73" borderId="19" applyNumberFormat="0" applyAlignment="0" applyProtection="0"/>
    <xf numFmtId="0" fontId="24" fillId="23" borderId="13" applyNumberFormat="0" applyAlignment="0" applyProtection="0"/>
    <xf numFmtId="176" fontId="26" fillId="73" borderId="19" applyNumberFormat="0" applyAlignment="0" applyProtection="0"/>
    <xf numFmtId="176" fontId="26" fillId="73" borderId="19" applyNumberFormat="0" applyAlignment="0" applyProtection="0"/>
    <xf numFmtId="176" fontId="26" fillId="73" borderId="19" applyNumberFormat="0" applyAlignment="0" applyProtection="0"/>
    <xf numFmtId="176" fontId="25" fillId="23" borderId="13" applyNumberFormat="0" applyAlignment="0" applyProtection="0"/>
    <xf numFmtId="176" fontId="25" fillId="23" borderId="13" applyNumberFormat="0" applyAlignment="0" applyProtection="0"/>
    <xf numFmtId="176" fontId="25" fillId="23" borderId="13" applyNumberFormat="0" applyAlignment="0" applyProtection="0"/>
    <xf numFmtId="176" fontId="25" fillId="23" borderId="13" applyNumberFormat="0" applyAlignment="0" applyProtection="0"/>
    <xf numFmtId="176" fontId="25" fillId="23" borderId="13" applyNumberFormat="0" applyAlignment="0" applyProtection="0"/>
    <xf numFmtId="176" fontId="25" fillId="23" borderId="13" applyNumberFormat="0" applyAlignment="0" applyProtection="0"/>
    <xf numFmtId="176" fontId="26" fillId="73" borderId="19" applyNumberFormat="0" applyAlignment="0" applyProtection="0"/>
    <xf numFmtId="176" fontId="26" fillId="73" borderId="19" applyNumberFormat="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3" fillId="72" borderId="19"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8" fillId="24" borderId="16" applyNumberFormat="0" applyAlignment="0" applyProtection="0"/>
    <xf numFmtId="176" fontId="28" fillId="24" borderId="16" applyNumberFormat="0" applyAlignment="0" applyProtection="0"/>
    <xf numFmtId="176" fontId="28" fillId="24" borderId="16" applyNumberFormat="0" applyAlignment="0" applyProtection="0"/>
    <xf numFmtId="176" fontId="29" fillId="24" borderId="16" applyNumberFormat="0" applyAlignment="0" applyProtection="0"/>
    <xf numFmtId="176" fontId="29" fillId="24" borderId="16" applyNumberFormat="0" applyAlignment="0" applyProtection="0"/>
    <xf numFmtId="176" fontId="27" fillId="74" borderId="20" applyNumberFormat="0" applyAlignment="0" applyProtection="0"/>
    <xf numFmtId="176" fontId="29" fillId="24" borderId="16" applyNumberFormat="0" applyAlignment="0" applyProtection="0"/>
    <xf numFmtId="176" fontId="27" fillId="74" borderId="20" applyNumberFormat="0" applyAlignment="0" applyProtection="0"/>
    <xf numFmtId="0" fontId="28" fillId="24" borderId="16" applyNumberFormat="0" applyAlignment="0" applyProtection="0"/>
    <xf numFmtId="0" fontId="28" fillId="24" borderId="16" applyNumberFormat="0" applyAlignment="0" applyProtection="0"/>
    <xf numFmtId="0" fontId="28" fillId="24" borderId="16" applyNumberFormat="0" applyAlignment="0" applyProtection="0"/>
    <xf numFmtId="0" fontId="28" fillId="24" borderId="16"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0" fontId="28" fillId="24" borderId="16"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9" fillId="24" borderId="16" applyNumberFormat="0" applyAlignment="0" applyProtection="0"/>
    <xf numFmtId="176" fontId="29" fillId="24" borderId="16" applyNumberFormat="0" applyAlignment="0" applyProtection="0"/>
    <xf numFmtId="176" fontId="29" fillId="24" borderId="16" applyNumberFormat="0" applyAlignment="0" applyProtection="0"/>
    <xf numFmtId="176" fontId="29" fillId="24" borderId="16" applyNumberFormat="0" applyAlignment="0" applyProtection="0"/>
    <xf numFmtId="176" fontId="29" fillId="24" borderId="16" applyNumberFormat="0" applyAlignment="0" applyProtection="0"/>
    <xf numFmtId="176" fontId="29" fillId="24" borderId="16"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176" fontId="27" fillId="74" borderId="2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181" fontId="5" fillId="0" borderId="0" applyFont="0" applyFill="0" applyBorder="0" applyAlignment="0" applyProtection="0"/>
    <xf numFmtId="176" fontId="5" fillId="0" borderId="0" applyFon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1" fillId="0" borderId="0" applyNumberFormat="0" applyFill="0" applyBorder="0" applyAlignment="0" applyProtection="0"/>
    <xf numFmtId="176" fontId="31" fillId="0" borderId="0" applyNumberFormat="0" applyFill="0" applyBorder="0" applyAlignment="0" applyProtection="0"/>
    <xf numFmtId="176" fontId="31"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0" fillId="0" borderId="0" applyNumberFormat="0" applyFill="0" applyBorder="0" applyAlignment="0" applyProtection="0"/>
    <xf numFmtId="176" fontId="32" fillId="0" borderId="0" applyNumberFormat="0" applyFill="0" applyBorder="0" applyAlignment="0" applyProtection="0"/>
    <xf numFmtId="176"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0" fontId="31"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2"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0" fillId="0" borderId="0" applyNumberFormat="0" applyFill="0" applyBorder="0" applyAlignment="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6" fillId="0" borderId="0" applyProtection="0"/>
    <xf numFmtId="176" fontId="6" fillId="0" borderId="0" applyProtection="0"/>
    <xf numFmtId="176" fontId="6" fillId="0" borderId="0" applyProtection="0"/>
    <xf numFmtId="176" fontId="6" fillId="0" borderId="0" applyProtection="0"/>
    <xf numFmtId="176" fontId="6" fillId="0" borderId="0" applyProtection="0"/>
    <xf numFmtId="176" fontId="6" fillId="0" borderId="0" applyProtection="0"/>
    <xf numFmtId="176" fontId="6" fillId="0" borderId="0" applyProtection="0"/>
    <xf numFmtId="176" fontId="34" fillId="0" borderId="0" applyProtection="0"/>
    <xf numFmtId="176" fontId="34" fillId="0" borderId="0" applyProtection="0"/>
    <xf numFmtId="176" fontId="34" fillId="0" borderId="0" applyProtection="0"/>
    <xf numFmtId="176" fontId="34" fillId="0" borderId="0" applyProtection="0"/>
    <xf numFmtId="176" fontId="34" fillId="0" borderId="0" applyProtection="0"/>
    <xf numFmtId="176" fontId="34" fillId="0" borderId="0" applyProtection="0"/>
    <xf numFmtId="176" fontId="34" fillId="0" borderId="0" applyProtection="0"/>
    <xf numFmtId="176" fontId="35" fillId="0" borderId="0" applyProtection="0"/>
    <xf numFmtId="176" fontId="35" fillId="0" borderId="0" applyProtection="0"/>
    <xf numFmtId="176" fontId="35" fillId="0" borderId="0" applyProtection="0"/>
    <xf numFmtId="176" fontId="35" fillId="0" borderId="0" applyProtection="0"/>
    <xf numFmtId="176" fontId="35" fillId="0" borderId="0" applyProtection="0"/>
    <xf numFmtId="176" fontId="35" fillId="0" borderId="0" applyProtection="0"/>
    <xf numFmtId="176" fontId="35" fillId="0" borderId="0" applyProtection="0"/>
    <xf numFmtId="176" fontId="5" fillId="0" borderId="0" applyProtection="0"/>
    <xf numFmtId="176" fontId="5" fillId="0" borderId="0" applyProtection="0"/>
    <xf numFmtId="176" fontId="5" fillId="0" borderId="0" applyProtection="0"/>
    <xf numFmtId="176" fontId="5" fillId="0" borderId="0" applyProtection="0"/>
    <xf numFmtId="176" fontId="5" fillId="0" borderId="0" applyProtection="0"/>
    <xf numFmtId="176" fontId="5" fillId="0" borderId="0" applyProtection="0"/>
    <xf numFmtId="176" fontId="5"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3" fillId="0" borderId="0" applyProtection="0"/>
    <xf numFmtId="176" fontId="36" fillId="0" borderId="0" applyProtection="0"/>
    <xf numFmtId="176" fontId="36" fillId="0" borderId="0" applyProtection="0"/>
    <xf numFmtId="176" fontId="36" fillId="0" borderId="0" applyProtection="0"/>
    <xf numFmtId="176" fontId="36" fillId="0" borderId="0" applyProtection="0"/>
    <xf numFmtId="176" fontId="36" fillId="0" borderId="0" applyProtection="0"/>
    <xf numFmtId="176" fontId="36" fillId="0" borderId="0" applyProtection="0"/>
    <xf numFmtId="176" fontId="36" fillId="0" borderId="0" applyProtection="0"/>
    <xf numFmtId="2" fontId="5" fillId="0" borderId="0" applyFont="0" applyFill="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8" fillId="19" borderId="0" applyNumberFormat="0" applyBorder="0" applyAlignment="0" applyProtection="0"/>
    <xf numFmtId="176" fontId="38" fillId="19" borderId="0" applyNumberFormat="0" applyBorder="0" applyAlignment="0" applyProtection="0"/>
    <xf numFmtId="176" fontId="38" fillId="19"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7" fillId="58" borderId="0" applyNumberFormat="0" applyBorder="0" applyAlignment="0" applyProtection="0"/>
    <xf numFmtId="176" fontId="39" fillId="19" borderId="0" applyNumberFormat="0" applyBorder="0" applyAlignment="0" applyProtection="0"/>
    <xf numFmtId="176" fontId="37" fillId="5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38" fillId="19"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9" fillId="19"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1" fillId="0" borderId="10" applyNumberFormat="0" applyFill="0" applyAlignment="0" applyProtection="0"/>
    <xf numFmtId="176" fontId="41" fillId="0" borderId="10" applyNumberFormat="0" applyFill="0" applyAlignment="0" applyProtection="0"/>
    <xf numFmtId="176" fontId="41" fillId="0" borderId="10" applyNumberFormat="0" applyFill="0" applyAlignment="0" applyProtection="0"/>
    <xf numFmtId="176" fontId="10" fillId="0" borderId="10" applyNumberFormat="0" applyFill="0" applyAlignment="0" applyProtection="0"/>
    <xf numFmtId="176" fontId="10" fillId="0" borderId="10" applyNumberFormat="0" applyFill="0" applyAlignment="0" applyProtection="0"/>
    <xf numFmtId="176" fontId="42" fillId="0" borderId="22" applyNumberFormat="0" applyFill="0" applyAlignment="0" applyProtection="0"/>
    <xf numFmtId="176" fontId="10" fillId="0" borderId="10" applyNumberFormat="0" applyFill="0" applyAlignment="0" applyProtection="0"/>
    <xf numFmtId="176" fontId="42" fillId="0" borderId="22"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0" fontId="41" fillId="0" borderId="10" applyNumberFormat="0" applyFill="0" applyAlignment="0" applyProtection="0"/>
    <xf numFmtId="176" fontId="42" fillId="0" borderId="22" applyNumberFormat="0" applyFill="0" applyAlignment="0" applyProtection="0"/>
    <xf numFmtId="176" fontId="42" fillId="0" borderId="22" applyNumberFormat="0" applyFill="0" applyAlignment="0" applyProtection="0"/>
    <xf numFmtId="176" fontId="42" fillId="0" borderId="22" applyNumberFormat="0" applyFill="0" applyAlignment="0" applyProtection="0"/>
    <xf numFmtId="0" fontId="41" fillId="0" borderId="10" applyNumberFormat="0" applyFill="0" applyAlignment="0" applyProtection="0"/>
    <xf numFmtId="176" fontId="42" fillId="0" borderId="22" applyNumberFormat="0" applyFill="0" applyAlignment="0" applyProtection="0"/>
    <xf numFmtId="176" fontId="42" fillId="0" borderId="22" applyNumberFormat="0" applyFill="0" applyAlignment="0" applyProtection="0"/>
    <xf numFmtId="176" fontId="42" fillId="0" borderId="22" applyNumberFormat="0" applyFill="0" applyAlignment="0" applyProtection="0"/>
    <xf numFmtId="176" fontId="10" fillId="0" borderId="10" applyNumberFormat="0" applyFill="0" applyAlignment="0" applyProtection="0"/>
    <xf numFmtId="176" fontId="10" fillId="0" borderId="10" applyNumberFormat="0" applyFill="0" applyAlignment="0" applyProtection="0"/>
    <xf numFmtId="176" fontId="10" fillId="0" borderId="10" applyNumberFormat="0" applyFill="0" applyAlignment="0" applyProtection="0"/>
    <xf numFmtId="176" fontId="43" fillId="0" borderId="0" applyNumberFormat="0" applyFill="0" applyBorder="0" applyAlignment="0" applyProtection="0"/>
    <xf numFmtId="176" fontId="43" fillId="0" borderId="0" applyNumberFormat="0" applyFill="0" applyBorder="0" applyAlignment="0" applyProtection="0"/>
    <xf numFmtId="176" fontId="10" fillId="0" borderId="10" applyNumberFormat="0" applyFill="0" applyAlignment="0" applyProtection="0"/>
    <xf numFmtId="176" fontId="10" fillId="0" borderId="10" applyNumberFormat="0" applyFill="0" applyAlignment="0" applyProtection="0"/>
    <xf numFmtId="176" fontId="10" fillId="0" borderId="10" applyNumberFormat="0" applyFill="0" applyAlignment="0" applyProtection="0"/>
    <xf numFmtId="176" fontId="42" fillId="0" borderId="22" applyNumberFormat="0" applyFill="0" applyAlignment="0" applyProtection="0"/>
    <xf numFmtId="176" fontId="42" fillId="0" borderId="22"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0" fillId="0" borderId="21"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5" fillId="0" borderId="11" applyNumberFormat="0" applyFill="0" applyAlignment="0" applyProtection="0"/>
    <xf numFmtId="176" fontId="45" fillId="0" borderId="11" applyNumberFormat="0" applyFill="0" applyAlignment="0" applyProtection="0"/>
    <xf numFmtId="176" fontId="45" fillId="0" borderId="11" applyNumberFormat="0" applyFill="0" applyAlignment="0" applyProtection="0"/>
    <xf numFmtId="176" fontId="11" fillId="0" borderId="11" applyNumberFormat="0" applyFill="0" applyAlignment="0" applyProtection="0"/>
    <xf numFmtId="176" fontId="11" fillId="0" borderId="11" applyNumberFormat="0" applyFill="0" applyAlignment="0" applyProtection="0"/>
    <xf numFmtId="176" fontId="46" fillId="0" borderId="24" applyNumberFormat="0" applyFill="0" applyAlignment="0" applyProtection="0"/>
    <xf numFmtId="176" fontId="11" fillId="0" borderId="11" applyNumberFormat="0" applyFill="0" applyAlignment="0" applyProtection="0"/>
    <xf numFmtId="176" fontId="46" fillId="0" borderId="24" applyNumberFormat="0" applyFill="0" applyAlignment="0" applyProtection="0"/>
    <xf numFmtId="0" fontId="45" fillId="0" borderId="11" applyNumberFormat="0" applyFill="0" applyAlignment="0" applyProtection="0"/>
    <xf numFmtId="0" fontId="45" fillId="0" borderId="11" applyNumberFormat="0" applyFill="0" applyAlignment="0" applyProtection="0"/>
    <xf numFmtId="0" fontId="45" fillId="0" borderId="11" applyNumberFormat="0" applyFill="0" applyAlignment="0" applyProtection="0"/>
    <xf numFmtId="0" fontId="45" fillId="0" borderId="11" applyNumberFormat="0" applyFill="0" applyAlignment="0" applyProtection="0"/>
    <xf numFmtId="176" fontId="46" fillId="0" borderId="24" applyNumberFormat="0" applyFill="0" applyAlignment="0" applyProtection="0"/>
    <xf numFmtId="176" fontId="46" fillId="0" borderId="24" applyNumberFormat="0" applyFill="0" applyAlignment="0" applyProtection="0"/>
    <xf numFmtId="176" fontId="46" fillId="0" borderId="24" applyNumberFormat="0" applyFill="0" applyAlignment="0" applyProtection="0"/>
    <xf numFmtId="0" fontId="45" fillId="0" borderId="11" applyNumberFormat="0" applyFill="0" applyAlignment="0" applyProtection="0"/>
    <xf numFmtId="176" fontId="46" fillId="0" borderId="24" applyNumberFormat="0" applyFill="0" applyAlignment="0" applyProtection="0"/>
    <xf numFmtId="176" fontId="46" fillId="0" borderId="24" applyNumberFormat="0" applyFill="0" applyAlignment="0" applyProtection="0"/>
    <xf numFmtId="176" fontId="46" fillId="0" borderId="24" applyNumberFormat="0" applyFill="0" applyAlignment="0" applyProtection="0"/>
    <xf numFmtId="176" fontId="11" fillId="0" borderId="11" applyNumberFormat="0" applyFill="0" applyAlignment="0" applyProtection="0"/>
    <xf numFmtId="176" fontId="11" fillId="0" borderId="11" applyNumberFormat="0" applyFill="0" applyAlignment="0" applyProtection="0"/>
    <xf numFmtId="176" fontId="11" fillId="0" borderId="11" applyNumberFormat="0" applyFill="0" applyAlignment="0" applyProtection="0"/>
    <xf numFmtId="176" fontId="47" fillId="0" borderId="0" applyNumberFormat="0" applyFill="0" applyBorder="0" applyAlignment="0" applyProtection="0"/>
    <xf numFmtId="176" fontId="47" fillId="0" borderId="0" applyNumberFormat="0" applyFill="0" applyBorder="0" applyAlignment="0" applyProtection="0"/>
    <xf numFmtId="176" fontId="11" fillId="0" borderId="11" applyNumberFormat="0" applyFill="0" applyAlignment="0" applyProtection="0"/>
    <xf numFmtId="176" fontId="11" fillId="0" borderId="11" applyNumberFormat="0" applyFill="0" applyAlignment="0" applyProtection="0"/>
    <xf numFmtId="176" fontId="11" fillId="0" borderId="11" applyNumberFormat="0" applyFill="0" applyAlignment="0" applyProtection="0"/>
    <xf numFmtId="176" fontId="46" fillId="0" borderId="24" applyNumberFormat="0" applyFill="0" applyAlignment="0" applyProtection="0"/>
    <xf numFmtId="176" fontId="46" fillId="0" borderId="24"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4" fillId="0" borderId="23"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9" fillId="0" borderId="12" applyNumberFormat="0" applyFill="0" applyAlignment="0" applyProtection="0"/>
    <xf numFmtId="176" fontId="49" fillId="0" borderId="12" applyNumberFormat="0" applyFill="0" applyAlignment="0" applyProtection="0"/>
    <xf numFmtId="176" fontId="49" fillId="0" borderId="12"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50" fillId="0" borderId="26" applyNumberFormat="0" applyFill="0" applyAlignment="0" applyProtection="0"/>
    <xf numFmtId="176" fontId="12" fillId="0" borderId="12" applyNumberFormat="0" applyFill="0" applyAlignment="0" applyProtection="0"/>
    <xf numFmtId="176" fontId="50" fillId="0" borderId="26"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176" fontId="50" fillId="0" borderId="26" applyNumberFormat="0" applyFill="0" applyAlignment="0" applyProtection="0"/>
    <xf numFmtId="176" fontId="50" fillId="0" borderId="26" applyNumberFormat="0" applyFill="0" applyAlignment="0" applyProtection="0"/>
    <xf numFmtId="176" fontId="50" fillId="0" borderId="26" applyNumberFormat="0" applyFill="0" applyAlignment="0" applyProtection="0"/>
    <xf numFmtId="0" fontId="49" fillId="0" borderId="12" applyNumberFormat="0" applyFill="0" applyAlignment="0" applyProtection="0"/>
    <xf numFmtId="176" fontId="50" fillId="0" borderId="26" applyNumberFormat="0" applyFill="0" applyAlignment="0" applyProtection="0"/>
    <xf numFmtId="176" fontId="50" fillId="0" borderId="26" applyNumberFormat="0" applyFill="0" applyAlignment="0" applyProtection="0"/>
    <xf numFmtId="176" fontId="50" fillId="0" borderId="26"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12" fillId="0" borderId="12" applyNumberFormat="0" applyFill="0" applyAlignment="0" applyProtection="0"/>
    <xf numFmtId="176" fontId="50" fillId="0" borderId="26" applyNumberFormat="0" applyFill="0" applyAlignment="0" applyProtection="0"/>
    <xf numFmtId="176" fontId="50" fillId="0" borderId="26"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9" fillId="0" borderId="0" applyNumberFormat="0" applyFill="0" applyBorder="0" applyAlignment="0" applyProtection="0"/>
    <xf numFmtId="176" fontId="49" fillId="0" borderId="0" applyNumberFormat="0" applyFill="0" applyBorder="0" applyAlignment="0" applyProtection="0"/>
    <xf numFmtId="176" fontId="49"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50" fillId="0" borderId="0" applyNumberFormat="0" applyFill="0" applyBorder="0" applyAlignment="0" applyProtection="0"/>
    <xf numFmtId="176" fontId="12" fillId="0" borderId="0" applyNumberFormat="0" applyFill="0" applyBorder="0" applyAlignment="0" applyProtection="0"/>
    <xf numFmtId="176" fontId="5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6" fontId="50" fillId="0" borderId="0" applyNumberFormat="0" applyFill="0" applyBorder="0" applyAlignment="0" applyProtection="0"/>
    <xf numFmtId="176" fontId="50" fillId="0" borderId="0" applyNumberFormat="0" applyFill="0" applyBorder="0" applyAlignment="0" applyProtection="0"/>
    <xf numFmtId="176" fontId="50" fillId="0" borderId="0" applyNumberFormat="0" applyFill="0" applyBorder="0" applyAlignment="0" applyProtection="0"/>
    <xf numFmtId="0" fontId="49" fillId="0" borderId="0" applyNumberFormat="0" applyFill="0" applyBorder="0" applyAlignment="0" applyProtection="0"/>
    <xf numFmtId="176" fontId="50" fillId="0" borderId="0" applyNumberFormat="0" applyFill="0" applyBorder="0" applyAlignment="0" applyProtection="0"/>
    <xf numFmtId="176" fontId="50" fillId="0" borderId="0" applyNumberFormat="0" applyFill="0" applyBorder="0" applyAlignment="0" applyProtection="0"/>
    <xf numFmtId="176" fontId="50"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12" fillId="0" borderId="0" applyNumberFormat="0" applyFill="0" applyBorder="0" applyAlignment="0" applyProtection="0"/>
    <xf numFmtId="176" fontId="50" fillId="0" borderId="0" applyNumberFormat="0" applyFill="0" applyBorder="0" applyAlignment="0" applyProtection="0"/>
    <xf numFmtId="176" fontId="50"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48" fillId="0" borderId="0" applyNumberFormat="0" applyFill="0" applyBorder="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2" fillId="22" borderId="13" applyNumberFormat="0" applyAlignment="0" applyProtection="0"/>
    <xf numFmtId="176" fontId="52" fillId="22" borderId="13" applyNumberFormat="0" applyAlignment="0" applyProtection="0"/>
    <xf numFmtId="176" fontId="52" fillId="22" borderId="13" applyNumberFormat="0" applyAlignment="0" applyProtection="0"/>
    <xf numFmtId="176" fontId="53" fillId="22" borderId="13" applyNumberFormat="0" applyAlignment="0" applyProtection="0"/>
    <xf numFmtId="176" fontId="53" fillId="22" borderId="13" applyNumberFormat="0" applyAlignment="0" applyProtection="0"/>
    <xf numFmtId="176" fontId="51" fillId="60" borderId="19" applyNumberFormat="0" applyAlignment="0" applyProtection="0"/>
    <xf numFmtId="176" fontId="53" fillId="22" borderId="13" applyNumberFormat="0" applyAlignment="0" applyProtection="0"/>
    <xf numFmtId="176" fontId="51" fillId="60" borderId="19" applyNumberFormat="0" applyAlignment="0" applyProtection="0"/>
    <xf numFmtId="0" fontId="52" fillId="22" borderId="13" applyNumberFormat="0" applyAlignment="0" applyProtection="0"/>
    <xf numFmtId="0" fontId="52" fillId="22" borderId="13" applyNumberFormat="0" applyAlignment="0" applyProtection="0"/>
    <xf numFmtId="0" fontId="52" fillId="22" borderId="13" applyNumberFormat="0" applyAlignment="0" applyProtection="0"/>
    <xf numFmtId="0" fontId="52" fillId="22" borderId="13" applyNumberFormat="0" applyAlignment="0" applyProtection="0"/>
    <xf numFmtId="176" fontId="51" fillId="60" borderId="19" applyNumberFormat="0" applyAlignment="0" applyProtection="0"/>
    <xf numFmtId="176" fontId="51" fillId="60" borderId="19" applyNumberFormat="0" applyAlignment="0" applyProtection="0"/>
    <xf numFmtId="176" fontId="51" fillId="60" borderId="19" applyNumberFormat="0" applyAlignment="0" applyProtection="0"/>
    <xf numFmtId="0" fontId="52" fillId="22" borderId="13" applyNumberFormat="0" applyAlignment="0" applyProtection="0"/>
    <xf numFmtId="176" fontId="51" fillId="60" borderId="19" applyNumberFormat="0" applyAlignment="0" applyProtection="0"/>
    <xf numFmtId="176" fontId="51" fillId="60" borderId="19" applyNumberFormat="0" applyAlignment="0" applyProtection="0"/>
    <xf numFmtId="176" fontId="51" fillId="60" borderId="19" applyNumberFormat="0" applyAlignment="0" applyProtection="0"/>
    <xf numFmtId="176" fontId="53" fillId="22" borderId="13" applyNumberFormat="0" applyAlignment="0" applyProtection="0"/>
    <xf numFmtId="176" fontId="53" fillId="22" borderId="13" applyNumberFormat="0" applyAlignment="0" applyProtection="0"/>
    <xf numFmtId="176" fontId="53" fillId="22" borderId="13" applyNumberFormat="0" applyAlignment="0" applyProtection="0"/>
    <xf numFmtId="176" fontId="53" fillId="22" borderId="13" applyNumberFormat="0" applyAlignment="0" applyProtection="0"/>
    <xf numFmtId="176" fontId="53" fillId="22" borderId="13" applyNumberFormat="0" applyAlignment="0" applyProtection="0"/>
    <xf numFmtId="176" fontId="53" fillId="22" borderId="13" applyNumberFormat="0" applyAlignment="0" applyProtection="0"/>
    <xf numFmtId="176" fontId="51" fillId="60" borderId="19" applyNumberFormat="0" applyAlignment="0" applyProtection="0"/>
    <xf numFmtId="176" fontId="51" fillId="60" borderId="19" applyNumberFormat="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1" fillId="57" borderId="19" applyNumberFormat="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5" fillId="0" borderId="15" applyNumberFormat="0" applyFill="0" applyAlignment="0" applyProtection="0"/>
    <xf numFmtId="176" fontId="55" fillId="0" borderId="15" applyNumberFormat="0" applyFill="0" applyAlignment="0" applyProtection="0"/>
    <xf numFmtId="176" fontId="55" fillId="0" borderId="15"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7" fillId="0" borderId="28" applyNumberFormat="0" applyFill="0" applyAlignment="0" applyProtection="0"/>
    <xf numFmtId="176" fontId="56" fillId="0" borderId="15" applyNumberFormat="0" applyFill="0" applyAlignment="0" applyProtection="0"/>
    <xf numFmtId="176" fontId="57" fillId="0" borderId="28" applyNumberFormat="0" applyFill="0" applyAlignment="0" applyProtection="0"/>
    <xf numFmtId="0" fontId="55" fillId="0" borderId="15" applyNumberFormat="0" applyFill="0" applyAlignment="0" applyProtection="0"/>
    <xf numFmtId="0" fontId="55" fillId="0" borderId="15" applyNumberFormat="0" applyFill="0" applyAlignment="0" applyProtection="0"/>
    <xf numFmtId="0" fontId="55" fillId="0" borderId="15" applyNumberFormat="0" applyFill="0" applyAlignment="0" applyProtection="0"/>
    <xf numFmtId="0" fontId="55" fillId="0" borderId="15" applyNumberFormat="0" applyFill="0" applyAlignment="0" applyProtection="0"/>
    <xf numFmtId="176" fontId="57" fillId="0" borderId="28" applyNumberFormat="0" applyFill="0" applyAlignment="0" applyProtection="0"/>
    <xf numFmtId="176" fontId="57" fillId="0" borderId="28" applyNumberFormat="0" applyFill="0" applyAlignment="0" applyProtection="0"/>
    <xf numFmtId="176" fontId="57" fillId="0" borderId="28" applyNumberFormat="0" applyFill="0" applyAlignment="0" applyProtection="0"/>
    <xf numFmtId="0" fontId="55" fillId="0" borderId="15" applyNumberFormat="0" applyFill="0" applyAlignment="0" applyProtection="0"/>
    <xf numFmtId="176" fontId="57" fillId="0" borderId="28" applyNumberFormat="0" applyFill="0" applyAlignment="0" applyProtection="0"/>
    <xf numFmtId="176" fontId="57" fillId="0" borderId="28" applyNumberFormat="0" applyFill="0" applyAlignment="0" applyProtection="0"/>
    <xf numFmtId="176" fontId="57" fillId="0" borderId="28"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6" fillId="0" borderId="15" applyNumberFormat="0" applyFill="0" applyAlignment="0" applyProtection="0"/>
    <xf numFmtId="176" fontId="57" fillId="0" borderId="28" applyNumberFormat="0" applyFill="0" applyAlignment="0" applyProtection="0"/>
    <xf numFmtId="176" fontId="57" fillId="0" borderId="28"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4" fillId="0" borderId="27" applyNumberFormat="0" applyFill="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9" fillId="21" borderId="0" applyNumberFormat="0" applyBorder="0" applyAlignment="0" applyProtection="0"/>
    <xf numFmtId="176" fontId="59" fillId="21" borderId="0" applyNumberFormat="0" applyBorder="0" applyAlignment="0" applyProtection="0"/>
    <xf numFmtId="176" fontId="59" fillId="21"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1" fillId="60" borderId="0" applyNumberFormat="0" applyBorder="0" applyAlignment="0" applyProtection="0"/>
    <xf numFmtId="176" fontId="60" fillId="21" borderId="0" applyNumberFormat="0" applyBorder="0" applyAlignment="0" applyProtection="0"/>
    <xf numFmtId="176" fontId="61" fillId="60"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0" fontId="59" fillId="21"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0" fillId="21" borderId="0" applyNumberFormat="0" applyBorder="0" applyAlignment="0" applyProtection="0"/>
    <xf numFmtId="176" fontId="61" fillId="60" borderId="0" applyNumberFormat="0" applyBorder="0" applyAlignment="0" applyProtection="0"/>
    <xf numFmtId="176" fontId="61"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8" fillId="60" borderId="0" applyNumberFormat="0" applyBorder="0" applyAlignment="0" applyProtection="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41" fontId="14" fillId="0" borderId="0"/>
    <xf numFmtId="0" fontId="8" fillId="0" borderId="0"/>
    <xf numFmtId="0" fontId="8" fillId="0" borderId="0"/>
    <xf numFmtId="0" fontId="8" fillId="0" borderId="0"/>
    <xf numFmtId="0" fontId="8" fillId="0" borderId="0"/>
    <xf numFmtId="0" fontId="8" fillId="0" borderId="0"/>
    <xf numFmtId="176" fontId="5" fillId="0" borderId="0"/>
    <xf numFmtId="176" fontId="5" fillId="0" borderId="0"/>
    <xf numFmtId="176" fontId="5" fillId="0" borderId="0"/>
    <xf numFmtId="41" fontId="14" fillId="0" borderId="0"/>
    <xf numFmtId="41" fontId="14" fillId="0" borderId="0"/>
    <xf numFmtId="41" fontId="14"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8" fillId="0" borderId="0"/>
    <xf numFmtId="176" fontId="8" fillId="0" borderId="0"/>
    <xf numFmtId="176" fontId="8" fillId="0" borderId="0"/>
    <xf numFmtId="176" fontId="8" fillId="0" borderId="0"/>
    <xf numFmtId="176" fontId="8"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16" fillId="0" borderId="0"/>
    <xf numFmtId="176" fontId="5"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16" fillId="0" borderId="0"/>
    <xf numFmtId="41" fontId="14" fillId="0" borderId="0"/>
    <xf numFmtId="41" fontId="14" fillId="0" borderId="0"/>
    <xf numFmtId="41" fontId="14" fillId="0" borderId="0"/>
    <xf numFmtId="41" fontId="14" fillId="0" borderId="0"/>
    <xf numFmtId="41" fontId="14" fillId="0" borderId="0"/>
    <xf numFmtId="176" fontId="16" fillId="0" borderId="0"/>
    <xf numFmtId="176" fontId="16" fillId="0" borderId="0"/>
    <xf numFmtId="176" fontId="5" fillId="0" borderId="0"/>
    <xf numFmtId="41" fontId="14" fillId="0" borderId="0"/>
    <xf numFmtId="41" fontId="14" fillId="0" borderId="0"/>
    <xf numFmtId="41" fontId="14" fillId="0" borderId="0"/>
    <xf numFmtId="41" fontId="14" fillId="0" borderId="0"/>
    <xf numFmtId="41" fontId="14" fillId="0" borderId="0"/>
    <xf numFmtId="41" fontId="14"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16" fillId="0" borderId="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4" fillId="55" borderId="29" applyNumberFormat="0" applyFont="0" applyAlignment="0" applyProtection="0"/>
    <xf numFmtId="176" fontId="64" fillId="55" borderId="29" applyNumberFormat="0" applyFont="0" applyAlignment="0" applyProtection="0"/>
    <xf numFmtId="176" fontId="64" fillId="55" borderId="29"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16"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8"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0" fontId="8"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16" fillId="25" borderId="17"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 fillId="55" borderId="29" applyNumberFormat="0" applyFon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176" fontId="66" fillId="23" borderId="14" applyNumberFormat="0" applyAlignment="0" applyProtection="0"/>
    <xf numFmtId="176" fontId="66" fillId="23" borderId="14" applyNumberFormat="0" applyAlignment="0" applyProtection="0"/>
    <xf numFmtId="176" fontId="66" fillId="23" borderId="14" applyNumberFormat="0" applyAlignment="0" applyProtection="0"/>
    <xf numFmtId="176" fontId="67" fillId="23" borderId="14" applyNumberFormat="0" applyAlignment="0" applyProtection="0"/>
    <xf numFmtId="176" fontId="67" fillId="23" borderId="14" applyNumberFormat="0" applyAlignment="0" applyProtection="0"/>
    <xf numFmtId="176" fontId="65" fillId="73" borderId="30" applyNumberFormat="0" applyAlignment="0" applyProtection="0"/>
    <xf numFmtId="176" fontId="67" fillId="23" borderId="14" applyNumberFormat="0" applyAlignment="0" applyProtection="0"/>
    <xf numFmtId="176" fontId="65" fillId="73" borderId="30" applyNumberFormat="0" applyAlignment="0" applyProtection="0"/>
    <xf numFmtId="0" fontId="66" fillId="23" borderId="14" applyNumberFormat="0" applyAlignment="0" applyProtection="0"/>
    <xf numFmtId="0" fontId="66" fillId="23" borderId="14" applyNumberFormat="0" applyAlignment="0" applyProtection="0"/>
    <xf numFmtId="0" fontId="66" fillId="23" borderId="14" applyNumberFormat="0" applyAlignment="0" applyProtection="0"/>
    <xf numFmtId="0" fontId="66" fillId="23" borderId="14" applyNumberFormat="0" applyAlignment="0" applyProtection="0"/>
    <xf numFmtId="176" fontId="65" fillId="73" borderId="30" applyNumberFormat="0" applyAlignment="0" applyProtection="0"/>
    <xf numFmtId="176" fontId="65" fillId="73" borderId="30" applyNumberFormat="0" applyAlignment="0" applyProtection="0"/>
    <xf numFmtId="176" fontId="65" fillId="73" borderId="30" applyNumberFormat="0" applyAlignment="0" applyProtection="0"/>
    <xf numFmtId="0" fontId="66" fillId="23" borderId="14" applyNumberFormat="0" applyAlignment="0" applyProtection="0"/>
    <xf numFmtId="176" fontId="65" fillId="73" borderId="30" applyNumberFormat="0" applyAlignment="0" applyProtection="0"/>
    <xf numFmtId="176" fontId="65" fillId="73" borderId="30" applyNumberFormat="0" applyAlignment="0" applyProtection="0"/>
    <xf numFmtId="176" fontId="65" fillId="73" borderId="30" applyNumberFormat="0" applyAlignment="0" applyProtection="0"/>
    <xf numFmtId="176" fontId="67" fillId="23" borderId="14" applyNumberFormat="0" applyAlignment="0" applyProtection="0"/>
    <xf numFmtId="176" fontId="67" fillId="23" borderId="14" applyNumberFormat="0" applyAlignment="0" applyProtection="0"/>
    <xf numFmtId="176" fontId="67" fillId="23" borderId="14" applyNumberFormat="0" applyAlignment="0" applyProtection="0"/>
    <xf numFmtId="176" fontId="67" fillId="23" borderId="14" applyNumberFormat="0" applyAlignment="0" applyProtection="0"/>
    <xf numFmtId="176" fontId="67" fillId="23" borderId="14" applyNumberFormat="0" applyAlignment="0" applyProtection="0"/>
    <xf numFmtId="176" fontId="67" fillId="23" borderId="14" applyNumberFormat="0" applyAlignment="0" applyProtection="0"/>
    <xf numFmtId="176" fontId="65" fillId="73" borderId="30" applyNumberFormat="0" applyAlignment="0" applyProtection="0"/>
    <xf numFmtId="176" fontId="65" fillId="73" borderId="30" applyNumberForma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176" fontId="65" fillId="72" borderId="30" applyNumberFormat="0" applyAlignment="0" applyProtection="0"/>
    <xf numFmtId="4" fontId="63" fillId="75" borderId="0">
      <alignment horizontal="right"/>
    </xf>
    <xf numFmtId="176" fontId="68" fillId="75" borderId="0">
      <alignment horizontal="center" vertical="center"/>
    </xf>
    <xf numFmtId="176" fontId="68" fillId="75" borderId="0">
      <alignment horizontal="center" vertical="center"/>
    </xf>
    <xf numFmtId="176" fontId="68" fillId="75" borderId="0">
      <alignment horizontal="center" vertical="center"/>
    </xf>
    <xf numFmtId="176" fontId="68" fillId="75" borderId="0">
      <alignment horizontal="center" vertical="center"/>
    </xf>
    <xf numFmtId="176" fontId="68" fillId="75" borderId="0">
      <alignment horizontal="center" vertical="center"/>
    </xf>
    <xf numFmtId="176" fontId="68" fillId="75" borderId="0">
      <alignment horizontal="center" vertical="center"/>
    </xf>
    <xf numFmtId="176" fontId="68" fillId="75" borderId="0">
      <alignment horizontal="center" vertical="center"/>
    </xf>
    <xf numFmtId="176" fontId="69" fillId="75" borderId="5"/>
    <xf numFmtId="176" fontId="69" fillId="75" borderId="5"/>
    <xf numFmtId="176" fontId="69" fillId="75" borderId="5"/>
    <xf numFmtId="176" fontId="69" fillId="75" borderId="5"/>
    <xf numFmtId="176" fontId="69" fillId="75" borderId="5"/>
    <xf numFmtId="176" fontId="69" fillId="75" borderId="5"/>
    <xf numFmtId="176" fontId="69" fillId="75" borderId="5"/>
    <xf numFmtId="176" fontId="68" fillId="75" borderId="0" applyBorder="0">
      <alignment horizontal="centerContinuous"/>
    </xf>
    <xf numFmtId="176" fontId="68" fillId="75" borderId="0" applyBorder="0">
      <alignment horizontal="centerContinuous"/>
    </xf>
    <xf numFmtId="176" fontId="68" fillId="75" borderId="0" applyBorder="0">
      <alignment horizontal="centerContinuous"/>
    </xf>
    <xf numFmtId="176" fontId="68" fillId="75" borderId="0" applyBorder="0">
      <alignment horizontal="centerContinuous"/>
    </xf>
    <xf numFmtId="176" fontId="68" fillId="75" borderId="0" applyBorder="0">
      <alignment horizontal="centerContinuous"/>
    </xf>
    <xf numFmtId="176" fontId="68" fillId="75" borderId="0" applyBorder="0">
      <alignment horizontal="centerContinuous"/>
    </xf>
    <xf numFmtId="176" fontId="68" fillId="75" borderId="0" applyBorder="0">
      <alignment horizontal="centerContinuous"/>
    </xf>
    <xf numFmtId="176" fontId="70" fillId="75" borderId="0" applyBorder="0">
      <alignment horizontal="centerContinuous"/>
    </xf>
    <xf numFmtId="176" fontId="70" fillId="75" borderId="0" applyBorder="0">
      <alignment horizontal="centerContinuous"/>
    </xf>
    <xf numFmtId="176" fontId="70" fillId="75" borderId="0" applyBorder="0">
      <alignment horizontal="centerContinuous"/>
    </xf>
    <xf numFmtId="176" fontId="70" fillId="75" borderId="0" applyBorder="0">
      <alignment horizontal="centerContinuous"/>
    </xf>
    <xf numFmtId="176" fontId="70" fillId="75" borderId="0" applyBorder="0">
      <alignment horizontal="centerContinuous"/>
    </xf>
    <xf numFmtId="176" fontId="70" fillId="75" borderId="0" applyBorder="0">
      <alignment horizontal="centerContinuous"/>
    </xf>
    <xf numFmtId="176" fontId="70" fillId="75" borderId="0" applyBorder="0">
      <alignment horizontal="centerContinuous"/>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0"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72" fillId="0" borderId="0" applyNumberFormat="0" applyFill="0" applyBorder="0" applyAlignment="0" applyProtection="0"/>
    <xf numFmtId="176" fontId="9"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176"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4" fillId="0" borderId="18" applyNumberFormat="0" applyFill="0" applyAlignment="0" applyProtection="0"/>
    <xf numFmtId="176" fontId="74" fillId="0" borderId="18" applyNumberFormat="0" applyFill="0" applyAlignment="0" applyProtection="0"/>
    <xf numFmtId="176" fontId="74" fillId="0" borderId="18" applyNumberFormat="0" applyFill="0" applyAlignment="0" applyProtection="0"/>
    <xf numFmtId="176" fontId="75" fillId="0" borderId="18" applyNumberFormat="0" applyFill="0" applyAlignment="0" applyProtection="0"/>
    <xf numFmtId="176" fontId="75" fillId="0" borderId="18" applyNumberFormat="0" applyFill="0" applyAlignment="0" applyProtection="0"/>
    <xf numFmtId="176" fontId="73" fillId="0" borderId="32" applyNumberFormat="0" applyFill="0" applyAlignment="0" applyProtection="0"/>
    <xf numFmtId="176" fontId="75" fillId="0" borderId="18" applyNumberFormat="0" applyFill="0" applyAlignment="0" applyProtection="0"/>
    <xf numFmtId="176" fontId="73" fillId="0" borderId="32"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176" fontId="73" fillId="0" borderId="32" applyNumberFormat="0" applyFill="0" applyAlignment="0" applyProtection="0"/>
    <xf numFmtId="176" fontId="73" fillId="0" borderId="32" applyNumberFormat="0" applyFill="0" applyAlignment="0" applyProtection="0"/>
    <xf numFmtId="176" fontId="73" fillId="0" borderId="32" applyNumberFormat="0" applyFill="0" applyAlignment="0" applyProtection="0"/>
    <xf numFmtId="0" fontId="74" fillId="0" borderId="18" applyNumberFormat="0" applyFill="0" applyAlignment="0" applyProtection="0"/>
    <xf numFmtId="176" fontId="73" fillId="0" borderId="32" applyNumberFormat="0" applyFill="0" applyAlignment="0" applyProtection="0"/>
    <xf numFmtId="176" fontId="73" fillId="0" borderId="32" applyNumberFormat="0" applyFill="0" applyAlignment="0" applyProtection="0"/>
    <xf numFmtId="176" fontId="73" fillId="0" borderId="32" applyNumberFormat="0" applyFill="0" applyAlignment="0" applyProtection="0"/>
    <xf numFmtId="176" fontId="75" fillId="0" borderId="18" applyNumberFormat="0" applyFill="0" applyAlignment="0" applyProtection="0"/>
    <xf numFmtId="176" fontId="75" fillId="0" borderId="18" applyNumberFormat="0" applyFill="0" applyAlignment="0" applyProtection="0"/>
    <xf numFmtId="176" fontId="75" fillId="0" borderId="18" applyNumberFormat="0" applyFill="0" applyAlignment="0" applyProtection="0"/>
    <xf numFmtId="176" fontId="5" fillId="0" borderId="33" applyNumberFormat="0" applyFont="0" applyFill="0" applyAlignment="0" applyProtection="0"/>
    <xf numFmtId="176" fontId="5" fillId="0" borderId="33" applyNumberFormat="0" applyFont="0" applyFill="0" applyAlignment="0" applyProtection="0"/>
    <xf numFmtId="176" fontId="75" fillId="0" borderId="18" applyNumberFormat="0" applyFill="0" applyAlignment="0" applyProtection="0"/>
    <xf numFmtId="176" fontId="75" fillId="0" borderId="18" applyNumberFormat="0" applyFill="0" applyAlignment="0" applyProtection="0"/>
    <xf numFmtId="176" fontId="75" fillId="0" borderId="18" applyNumberFormat="0" applyFill="0" applyAlignment="0" applyProtection="0"/>
    <xf numFmtId="176" fontId="73" fillId="0" borderId="32" applyNumberFormat="0" applyFill="0" applyAlignment="0" applyProtection="0"/>
    <xf numFmtId="176" fontId="73" fillId="0" borderId="32"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73" fillId="0" borderId="31" applyNumberFormat="0" applyFill="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76" fillId="0" borderId="0" applyNumberFormat="0" applyFill="0" applyBorder="0" applyAlignment="0" applyProtection="0"/>
    <xf numFmtId="176" fontId="76" fillId="0" borderId="0" applyNumberFormat="0" applyFill="0" applyBorder="0" applyAlignment="0" applyProtection="0"/>
    <xf numFmtId="176" fontId="76"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57" fillId="0" borderId="0" applyNumberFormat="0" applyFill="0" applyBorder="0" applyAlignment="0" applyProtection="0"/>
    <xf numFmtId="176" fontId="77" fillId="0" borderId="0" applyNumberFormat="0" applyFill="0" applyBorder="0" applyAlignment="0" applyProtection="0"/>
    <xf numFmtId="176" fontId="5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0" fontId="76"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7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176" fontId="57" fillId="0" borderId="0" applyNumberFormat="0" applyFill="0" applyBorder="0" applyAlignment="0" applyProtection="0"/>
    <xf numFmtId="41" fontId="14" fillId="0" borderId="0"/>
    <xf numFmtId="9" fontId="35" fillId="0" borderId="0" applyFont="0" applyFill="0" applyBorder="0" applyAlignment="0" applyProtection="0"/>
    <xf numFmtId="43" fontId="8" fillId="0" borderId="0" applyFont="0" applyFill="0" applyBorder="0" applyAlignment="0" applyProtection="0"/>
    <xf numFmtId="0" fontId="8" fillId="0" borderId="0"/>
    <xf numFmtId="41" fontId="14" fillId="0" borderId="0"/>
    <xf numFmtId="0" fontId="8" fillId="0" borderId="0"/>
    <xf numFmtId="0" fontId="7"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5" fillId="0" borderId="0"/>
    <xf numFmtId="0" fontId="5" fillId="80" borderId="0"/>
    <xf numFmtId="0" fontId="5" fillId="80" borderId="0"/>
    <xf numFmtId="176" fontId="5" fillId="0" borderId="0"/>
    <xf numFmtId="176" fontId="5" fillId="0" borderId="0"/>
    <xf numFmtId="176" fontId="5" fillId="0" borderId="0"/>
    <xf numFmtId="176" fontId="5" fillId="0" borderId="0"/>
    <xf numFmtId="0" fontId="5"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5" fillId="50" borderId="0" applyNumberFormat="0" applyBorder="0" applyAlignment="0" applyProtection="0"/>
    <xf numFmtId="0" fontId="1" fillId="2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5"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15"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5"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5" fillId="52" borderId="0" applyNumberFormat="0" applyBorder="0" applyAlignment="0" applyProtection="0"/>
    <xf numFmtId="0" fontId="1" fillId="3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5"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15"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5" fillId="5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5" fillId="54" borderId="0" applyNumberFormat="0" applyBorder="0" applyAlignment="0" applyProtection="0"/>
    <xf numFmtId="0" fontId="1" fillId="3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15"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5" fillId="5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5" fillId="56" borderId="0" applyNumberFormat="0" applyBorder="0" applyAlignment="0" applyProtection="0"/>
    <xf numFmtId="0" fontId="1" fillId="39"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5" fillId="5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15"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5"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5" fillId="58" borderId="0" applyNumberFormat="0" applyBorder="0" applyAlignment="0" applyProtection="0"/>
    <xf numFmtId="0" fontId="1" fillId="43"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15"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5"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5" fillId="57" borderId="0" applyNumberFormat="0" applyBorder="0" applyAlignment="0" applyProtection="0"/>
    <xf numFmtId="0" fontId="1" fillId="4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5"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15"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5" fillId="5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5" fillId="51" borderId="0" applyNumberFormat="0" applyBorder="0" applyAlignment="0" applyProtection="0"/>
    <xf numFmtId="0" fontId="1" fillId="28"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15"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5"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5" fillId="53" borderId="0" applyNumberFormat="0" applyBorder="0" applyAlignment="0" applyProtection="0"/>
    <xf numFmtId="0" fontId="1" fillId="32"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15"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5" fillId="5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5" fillId="59" borderId="0" applyNumberFormat="0" applyBorder="0" applyAlignment="0" applyProtection="0"/>
    <xf numFmtId="0" fontId="1" fillId="36" borderId="0" applyNumberFormat="0" applyBorder="0" applyAlignment="0" applyProtection="0"/>
    <xf numFmtId="0" fontId="15" fillId="59" borderId="0" applyNumberFormat="0" applyBorder="0" applyAlignment="0" applyProtection="0"/>
    <xf numFmtId="0"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5"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15"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5"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5" fillId="56" borderId="0" applyNumberFormat="0" applyBorder="0" applyAlignment="0" applyProtection="0"/>
    <xf numFmtId="0" fontId="1" fillId="40" borderId="0" applyNumberFormat="0" applyBorder="0" applyAlignment="0" applyProtection="0"/>
    <xf numFmtId="0" fontId="15" fillId="56" borderId="0" applyNumberFormat="0" applyBorder="0" applyAlignment="0" applyProtection="0"/>
    <xf numFmtId="0"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5"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1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5" fillId="5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5" fillId="51" borderId="0" applyNumberFormat="0" applyBorder="0" applyAlignment="0" applyProtection="0"/>
    <xf numFmtId="0" fontId="1" fillId="44"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5"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15"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5" fillId="5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5" fillId="61" borderId="0" applyNumberFormat="0" applyBorder="0" applyAlignment="0" applyProtection="0"/>
    <xf numFmtId="0" fontId="1" fillId="48"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5" fillId="5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15"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5" fillId="61" borderId="0" applyNumberFormat="0" applyBorder="0" applyAlignment="0" applyProtection="0"/>
    <xf numFmtId="0" fontId="17" fillId="62" borderId="0" applyNumberFormat="0" applyBorder="0" applyAlignment="0" applyProtection="0"/>
    <xf numFmtId="176" fontId="17" fillId="62" borderId="0" applyNumberFormat="0" applyBorder="0" applyAlignment="0" applyProtection="0"/>
    <xf numFmtId="176" fontId="17" fillId="62" borderId="0" applyNumberFormat="0" applyBorder="0" applyAlignment="0" applyProtection="0"/>
    <xf numFmtId="0" fontId="17" fillId="53" borderId="0" applyNumberFormat="0" applyBorder="0" applyAlignment="0" applyProtection="0"/>
    <xf numFmtId="176" fontId="17" fillId="53" borderId="0" applyNumberFormat="0" applyBorder="0" applyAlignment="0" applyProtection="0"/>
    <xf numFmtId="176" fontId="17" fillId="53" borderId="0" applyNumberFormat="0" applyBorder="0" applyAlignment="0" applyProtection="0"/>
    <xf numFmtId="0" fontId="17" fillId="59" borderId="0" applyNumberFormat="0" applyBorder="0" applyAlignment="0" applyProtection="0"/>
    <xf numFmtId="176" fontId="17" fillId="59" borderId="0" applyNumberFormat="0" applyBorder="0" applyAlignment="0" applyProtection="0"/>
    <xf numFmtId="176" fontId="17" fillId="59" borderId="0" applyNumberFormat="0" applyBorder="0" applyAlignment="0" applyProtection="0"/>
    <xf numFmtId="0"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0" fontId="17" fillId="65"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0" fontId="17" fillId="66" borderId="0" applyNumberFormat="0" applyBorder="0" applyAlignment="0" applyProtection="0"/>
    <xf numFmtId="176" fontId="17" fillId="66" borderId="0" applyNumberFormat="0" applyBorder="0" applyAlignment="0" applyProtection="0"/>
    <xf numFmtId="176" fontId="17" fillId="66" borderId="0" applyNumberFormat="0" applyBorder="0" applyAlignment="0" applyProtection="0"/>
    <xf numFmtId="0" fontId="93" fillId="0" borderId="6" applyBorder="0"/>
    <xf numFmtId="0" fontId="17" fillId="67" borderId="0" applyNumberFormat="0" applyBorder="0" applyAlignment="0" applyProtection="0"/>
    <xf numFmtId="176" fontId="17" fillId="67" borderId="0" applyNumberFormat="0" applyBorder="0" applyAlignment="0" applyProtection="0"/>
    <xf numFmtId="176" fontId="17" fillId="67" borderId="0" applyNumberFormat="0" applyBorder="0" applyAlignment="0" applyProtection="0"/>
    <xf numFmtId="0" fontId="17" fillId="69" borderId="0" applyNumberFormat="0" applyBorder="0" applyAlignment="0" applyProtection="0"/>
    <xf numFmtId="176" fontId="17" fillId="69" borderId="0" applyNumberFormat="0" applyBorder="0" applyAlignment="0" applyProtection="0"/>
    <xf numFmtId="176" fontId="17" fillId="69" borderId="0" applyNumberFormat="0" applyBorder="0" applyAlignment="0" applyProtection="0"/>
    <xf numFmtId="0" fontId="17" fillId="70" borderId="0" applyNumberFormat="0" applyBorder="0" applyAlignment="0" applyProtection="0"/>
    <xf numFmtId="176" fontId="17" fillId="70" borderId="0" applyNumberFormat="0" applyBorder="0" applyAlignment="0" applyProtection="0"/>
    <xf numFmtId="176" fontId="17" fillId="70" borderId="0" applyNumberFormat="0" applyBorder="0" applyAlignment="0" applyProtection="0"/>
    <xf numFmtId="0" fontId="17" fillId="64" borderId="0" applyNumberFormat="0" applyBorder="0" applyAlignment="0" applyProtection="0"/>
    <xf numFmtId="176" fontId="17" fillId="64" borderId="0" applyNumberFormat="0" applyBorder="0" applyAlignment="0" applyProtection="0"/>
    <xf numFmtId="176" fontId="17" fillId="64" borderId="0" applyNumberFormat="0" applyBorder="0" applyAlignment="0" applyProtection="0"/>
    <xf numFmtId="176" fontId="17" fillId="65" borderId="0" applyNumberFormat="0" applyBorder="0" applyAlignment="0" applyProtection="0"/>
    <xf numFmtId="176" fontId="17" fillId="65" borderId="0" applyNumberFormat="0" applyBorder="0" applyAlignment="0" applyProtection="0"/>
    <xf numFmtId="0" fontId="17" fillId="63" borderId="0" applyNumberFormat="0" applyBorder="0" applyAlignment="0" applyProtection="0"/>
    <xf numFmtId="176" fontId="17" fillId="63" borderId="0" applyNumberFormat="0" applyBorder="0" applyAlignment="0" applyProtection="0"/>
    <xf numFmtId="176" fontId="17" fillId="63" borderId="0" applyNumberFormat="0" applyBorder="0" applyAlignment="0" applyProtection="0"/>
    <xf numFmtId="0" fontId="20" fillId="52" borderId="0" applyNumberFormat="0" applyBorder="0" applyAlignment="0" applyProtection="0"/>
    <xf numFmtId="176" fontId="20" fillId="52" borderId="0" applyNumberFormat="0" applyBorder="0" applyAlignment="0" applyProtection="0"/>
    <xf numFmtId="165" fontId="94" fillId="0" borderId="36"/>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1" fontId="25" fillId="23" borderId="13"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1" fontId="25" fillId="23" borderId="13"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4" fillId="23" borderId="13" applyNumberFormat="0" applyAlignment="0" applyProtection="0"/>
    <xf numFmtId="173" fontId="95" fillId="81" borderId="19" applyNumberFormat="0" applyAlignment="0" applyProtection="0"/>
    <xf numFmtId="0" fontId="24" fillId="23" borderId="13"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3" fontId="95" fillId="81" borderId="19" applyNumberFormat="0" applyAlignment="0" applyProtection="0"/>
    <xf numFmtId="176" fontId="23" fillId="72" borderId="19" applyNumberFormat="0" applyAlignment="0" applyProtection="0"/>
    <xf numFmtId="0" fontId="26" fillId="73" borderId="19" applyNumberFormat="0" applyAlignment="0" applyProtection="0"/>
    <xf numFmtId="173" fontId="95" fillId="81"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3" fillId="72"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0" fontId="26" fillId="73" borderId="19" applyNumberFormat="0" applyAlignment="0" applyProtection="0"/>
    <xf numFmtId="176" fontId="27" fillId="74" borderId="20" applyNumberFormat="0" applyAlignment="0" applyProtection="0"/>
    <xf numFmtId="195" fontId="96" fillId="0" borderId="5" applyBorder="0">
      <alignment horizontal="center" vertical="center"/>
    </xf>
    <xf numFmtId="196" fontId="97" fillId="82" borderId="0">
      <alignment horizontal="left"/>
    </xf>
    <xf numFmtId="0" fontId="97" fillId="82" borderId="0">
      <alignment horizontal="left"/>
    </xf>
    <xf numFmtId="0" fontId="97" fillId="82" borderId="0">
      <alignment horizontal="left"/>
    </xf>
    <xf numFmtId="196" fontId="97" fillId="82" borderId="0">
      <alignment horizontal="left"/>
    </xf>
    <xf numFmtId="173" fontId="97" fillId="82" borderId="0">
      <alignment horizontal="left"/>
    </xf>
    <xf numFmtId="196" fontId="98" fillId="82" borderId="0">
      <alignment horizontal="right"/>
    </xf>
    <xf numFmtId="0" fontId="98" fillId="82" borderId="0">
      <alignment horizontal="right"/>
    </xf>
    <xf numFmtId="0" fontId="98" fillId="82" borderId="0">
      <alignment horizontal="right"/>
    </xf>
    <xf numFmtId="196" fontId="98" fillId="82" borderId="0">
      <alignment horizontal="right"/>
    </xf>
    <xf numFmtId="173" fontId="98" fillId="82" borderId="0">
      <alignment horizontal="right"/>
    </xf>
    <xf numFmtId="196" fontId="99" fillId="73" borderId="0">
      <alignment horizontal="center"/>
    </xf>
    <xf numFmtId="0" fontId="99" fillId="73" borderId="0">
      <alignment horizontal="center"/>
    </xf>
    <xf numFmtId="0" fontId="99" fillId="73" borderId="0">
      <alignment horizontal="center"/>
    </xf>
    <xf numFmtId="196" fontId="99" fillId="73" borderId="0">
      <alignment horizontal="center"/>
    </xf>
    <xf numFmtId="173" fontId="99" fillId="73" borderId="0">
      <alignment horizontal="center"/>
    </xf>
    <xf numFmtId="196" fontId="98" fillId="82" borderId="0">
      <alignment horizontal="right"/>
    </xf>
    <xf numFmtId="0" fontId="98" fillId="82" borderId="0">
      <alignment horizontal="right"/>
    </xf>
    <xf numFmtId="0" fontId="98" fillId="82" borderId="0">
      <alignment horizontal="right"/>
    </xf>
    <xf numFmtId="196" fontId="98" fillId="82" borderId="0">
      <alignment horizontal="right"/>
    </xf>
    <xf numFmtId="173" fontId="98" fillId="82" borderId="0">
      <alignment horizontal="right"/>
    </xf>
    <xf numFmtId="196" fontId="100" fillId="73" borderId="0">
      <alignment horizontal="left"/>
    </xf>
    <xf numFmtId="0" fontId="100" fillId="73" borderId="0">
      <alignment horizontal="left"/>
    </xf>
    <xf numFmtId="196" fontId="100" fillId="73" borderId="0">
      <alignment horizontal="left"/>
    </xf>
    <xf numFmtId="173" fontId="100" fillId="73" borderId="0">
      <alignment horizontal="left"/>
    </xf>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2" fillId="0" borderId="0" applyFont="0" applyFill="0" applyBorder="0" applyAlignment="0" applyProtection="0"/>
    <xf numFmtId="43" fontId="5" fillId="0" borderId="0" applyFont="0" applyFill="0" applyBorder="0" applyAlignment="0" applyProtection="0"/>
    <xf numFmtId="43" fontId="10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1" fillId="0" borderId="0" applyFont="0" applyFill="0" applyBorder="0" applyAlignment="0" applyProtection="0"/>
    <xf numFmtId="3" fontId="104"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83" borderId="0"/>
    <xf numFmtId="3" fontId="5" fillId="0" borderId="0" applyFont="0" applyFill="0" applyBorder="0" applyAlignment="0" applyProtection="0"/>
    <xf numFmtId="3" fontId="5" fillId="83" borderId="0"/>
    <xf numFmtId="3" fontId="5" fillId="0" borderId="0" applyFont="0" applyFill="0" applyBorder="0" applyAlignment="0" applyProtection="0"/>
    <xf numFmtId="3" fontId="104" fillId="0" borderId="0" applyFont="0" applyFill="0" applyBorder="0" applyAlignment="0" applyProtection="0"/>
    <xf numFmtId="3" fontId="5" fillId="0" borderId="0" applyFont="0" applyFill="0" applyBorder="0" applyAlignment="0" applyProtection="0"/>
    <xf numFmtId="3" fontId="5" fillId="83" borderId="0"/>
    <xf numFmtId="3" fontId="5" fillId="83"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5"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5" fillId="0" borderId="0" applyFont="0" applyFill="0" applyBorder="0" applyAlignment="0" applyProtection="0"/>
    <xf numFmtId="42" fontId="1" fillId="0" borderId="0" applyFont="0" applyFill="0" applyBorder="0" applyAlignment="0" applyProtection="0"/>
    <xf numFmtId="42" fontId="5" fillId="0" borderId="0" applyFont="0" applyFill="0" applyBorder="0" applyAlignment="0" applyProtection="0"/>
    <xf numFmtId="42" fontId="1"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2"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0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0" fontId="105" fillId="0" borderId="0"/>
    <xf numFmtId="0" fontId="105" fillId="0" borderId="39"/>
    <xf numFmtId="17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59" borderId="40" applyNumberFormat="0" applyFont="0" applyAlignment="0">
      <protection locked="0"/>
    </xf>
    <xf numFmtId="0" fontId="5" fillId="59" borderId="40" applyNumberFormat="0" applyFont="0" applyAlignment="0">
      <protection locked="0"/>
    </xf>
    <xf numFmtId="197" fontId="5" fillId="0" borderId="0" applyFont="0" applyFill="0" applyBorder="0" applyAlignment="0" applyProtection="0"/>
    <xf numFmtId="197" fontId="5" fillId="0" borderId="0" applyFont="0" applyFill="0" applyBorder="0" applyAlignment="0" applyProtection="0"/>
    <xf numFmtId="173"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73"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176" fontId="30" fillId="0" borderId="0" applyNumberFormat="0" applyFill="0" applyBorder="0" applyAlignment="0" applyProtection="0"/>
    <xf numFmtId="0" fontId="33" fillId="0" borderId="0" applyProtection="0"/>
    <xf numFmtId="0" fontId="33" fillId="0" borderId="0" applyProtection="0"/>
    <xf numFmtId="171" fontId="33" fillId="0" borderId="0" applyProtection="0"/>
    <xf numFmtId="171" fontId="33" fillId="0" borderId="0" applyProtection="0"/>
    <xf numFmtId="0" fontId="33" fillId="0" borderId="0" applyProtection="0"/>
    <xf numFmtId="0" fontId="6" fillId="0" borderId="0" applyProtection="0"/>
    <xf numFmtId="0" fontId="6" fillId="0" borderId="0" applyProtection="0"/>
    <xf numFmtId="171" fontId="6" fillId="0" borderId="0" applyProtection="0"/>
    <xf numFmtId="171" fontId="6" fillId="0" borderId="0" applyProtection="0"/>
    <xf numFmtId="0" fontId="6" fillId="0" borderId="0" applyProtection="0"/>
    <xf numFmtId="0" fontId="34" fillId="0" borderId="0" applyProtection="0"/>
    <xf numFmtId="0" fontId="34" fillId="0" borderId="0" applyProtection="0"/>
    <xf numFmtId="171" fontId="34" fillId="0" borderId="0" applyProtection="0"/>
    <xf numFmtId="171" fontId="34" fillId="0" borderId="0" applyProtection="0"/>
    <xf numFmtId="0" fontId="34" fillId="0" borderId="0" applyProtection="0"/>
    <xf numFmtId="0" fontId="35" fillId="0" borderId="0" applyProtection="0"/>
    <xf numFmtId="0" fontId="35" fillId="0" borderId="0" applyProtection="0"/>
    <xf numFmtId="171" fontId="35" fillId="0" borderId="0" applyProtection="0"/>
    <xf numFmtId="171" fontId="35" fillId="0" borderId="0" applyProtection="0"/>
    <xf numFmtId="0" fontId="35" fillId="0" borderId="0" applyProtection="0"/>
    <xf numFmtId="0" fontId="5" fillId="0" borderId="0" applyProtection="0"/>
    <xf numFmtId="0" fontId="5" fillId="0" borderId="0" applyProtection="0"/>
    <xf numFmtId="0" fontId="5" fillId="0" borderId="0" applyProtection="0"/>
    <xf numFmtId="173" fontId="5" fillId="0" borderId="0" applyProtection="0"/>
    <xf numFmtId="0" fontId="5" fillId="0" borderId="0" applyProtection="0"/>
    <xf numFmtId="0" fontId="5" fillId="0" borderId="0" applyProtection="0"/>
    <xf numFmtId="171" fontId="5" fillId="0" borderId="0" applyProtection="0"/>
    <xf numFmtId="171" fontId="5" fillId="0" borderId="0" applyProtection="0"/>
    <xf numFmtId="0" fontId="5" fillId="0" borderId="0" applyProtection="0"/>
    <xf numFmtId="0" fontId="33" fillId="0" borderId="0" applyProtection="0"/>
    <xf numFmtId="0" fontId="33" fillId="0" borderId="0" applyProtection="0"/>
    <xf numFmtId="171" fontId="33" fillId="0" borderId="0" applyProtection="0"/>
    <xf numFmtId="171" fontId="33" fillId="0" borderId="0" applyProtection="0"/>
    <xf numFmtId="0" fontId="33" fillId="0" borderId="0" applyProtection="0"/>
    <xf numFmtId="0" fontId="36" fillId="0" borderId="0" applyProtection="0"/>
    <xf numFmtId="0" fontId="36" fillId="0" borderId="0" applyProtection="0"/>
    <xf numFmtId="171" fontId="36" fillId="0" borderId="0" applyProtection="0"/>
    <xf numFmtId="171" fontId="36" fillId="0" borderId="0" applyProtection="0"/>
    <xf numFmtId="0" fontId="36" fillId="0" borderId="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37" fillId="54" borderId="0" applyNumberFormat="0" applyBorder="0" applyAlignment="0" applyProtection="0"/>
    <xf numFmtId="176" fontId="37" fillId="54" borderId="0" applyNumberFormat="0" applyBorder="0" applyAlignment="0" applyProtection="0"/>
    <xf numFmtId="0" fontId="43" fillId="0" borderId="0" applyNumberFormat="0" applyFill="0" applyBorder="0" applyAlignment="0" applyProtection="0"/>
    <xf numFmtId="196" fontId="106" fillId="0" borderId="0" applyNumberFormat="0" applyFont="0" applyFill="0" applyAlignment="0" applyProtection="0"/>
    <xf numFmtId="0" fontId="40" fillId="0" borderId="21" applyNumberFormat="0" applyFill="0" applyAlignment="0" applyProtection="0"/>
    <xf numFmtId="173" fontId="107" fillId="0" borderId="41" applyNumberFormat="0" applyFill="0" applyAlignment="0" applyProtection="0"/>
    <xf numFmtId="0" fontId="43" fillId="0" borderId="0" applyNumberFormat="0" applyFill="0" applyBorder="0" applyAlignment="0" applyProtection="0"/>
    <xf numFmtId="0" fontId="47" fillId="0" borderId="0" applyNumberFormat="0" applyFill="0" applyBorder="0" applyAlignment="0" applyProtection="0"/>
    <xf numFmtId="196" fontId="35" fillId="0" borderId="0" applyNumberFormat="0" applyFont="0" applyFill="0" applyAlignment="0" applyProtection="0"/>
    <xf numFmtId="0" fontId="44" fillId="0" borderId="23" applyNumberFormat="0" applyFill="0" applyAlignment="0" applyProtection="0"/>
    <xf numFmtId="173" fontId="108" fillId="0" borderId="42" applyNumberFormat="0" applyFill="0" applyAlignment="0" applyProtection="0"/>
    <xf numFmtId="0" fontId="47" fillId="0" borderId="0" applyNumberFormat="0" applyFill="0" applyBorder="0" applyAlignment="0" applyProtection="0"/>
    <xf numFmtId="0"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176" fontId="48" fillId="0" borderId="25" applyNumberFormat="0" applyFill="0" applyAlignment="0" applyProtection="0"/>
    <xf numFmtId="0" fontId="48" fillId="0" borderId="0" applyNumberFormat="0" applyFill="0" applyBorder="0" applyAlignment="0" applyProtection="0"/>
    <xf numFmtId="176" fontId="48" fillId="0" borderId="0" applyNumberFormat="0" applyFill="0" applyBorder="0" applyAlignment="0" applyProtection="0"/>
    <xf numFmtId="196" fontId="109" fillId="0" borderId="0" applyNumberFormat="0" applyFill="0" applyBorder="0" applyAlignment="0" applyProtection="0">
      <alignment vertical="top"/>
      <protection locked="0"/>
    </xf>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1" fontId="53" fillId="22" borderId="13"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1" fontId="53" fillId="22" borderId="13"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2" fillId="22" borderId="13" applyNumberFormat="0" applyAlignment="0" applyProtection="0"/>
    <xf numFmtId="173" fontId="110" fillId="57" borderId="19" applyNumberFormat="0" applyAlignment="0" applyProtection="0"/>
    <xf numFmtId="0" fontId="52" fillId="22" borderId="13"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3" fontId="110" fillId="57" borderId="19" applyNumberFormat="0" applyAlignment="0" applyProtection="0"/>
    <xf numFmtId="176" fontId="51" fillId="57" borderId="19" applyNumberFormat="0" applyAlignment="0" applyProtection="0"/>
    <xf numFmtId="0" fontId="51" fillId="60" borderId="19" applyNumberFormat="0" applyAlignment="0" applyProtection="0"/>
    <xf numFmtId="173" fontId="110"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6"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6"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6"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6"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176"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57"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51" fillId="60" borderId="19" applyNumberFormat="0" applyAlignment="0" applyProtection="0"/>
    <xf numFmtId="0" fontId="111" fillId="84" borderId="39"/>
    <xf numFmtId="196" fontId="97" fillId="82" borderId="0">
      <alignment horizontal="left"/>
    </xf>
    <xf numFmtId="0" fontId="97" fillId="82" borderId="0">
      <alignment horizontal="left"/>
    </xf>
    <xf numFmtId="0" fontId="97" fillId="82" borderId="0">
      <alignment horizontal="left"/>
    </xf>
    <xf numFmtId="196" fontId="97" fillId="82" borderId="0">
      <alignment horizontal="left"/>
    </xf>
    <xf numFmtId="173" fontId="97" fillId="82" borderId="0">
      <alignment horizontal="left"/>
    </xf>
    <xf numFmtId="196" fontId="69" fillId="73" borderId="0">
      <alignment horizontal="left"/>
    </xf>
    <xf numFmtId="0" fontId="69" fillId="73" borderId="0">
      <alignment horizontal="left"/>
    </xf>
    <xf numFmtId="0" fontId="69" fillId="73" borderId="0">
      <alignment horizontal="left"/>
    </xf>
    <xf numFmtId="196" fontId="69" fillId="73" borderId="0">
      <alignment horizontal="left"/>
    </xf>
    <xf numFmtId="0" fontId="69" fillId="73" borderId="0">
      <alignment horizontal="left"/>
    </xf>
    <xf numFmtId="173" fontId="69" fillId="73" borderId="0">
      <alignment horizontal="left"/>
    </xf>
    <xf numFmtId="0" fontId="54" fillId="0" borderId="27" applyNumberFormat="0" applyFill="0" applyAlignment="0" applyProtection="0"/>
    <xf numFmtId="176" fontId="54" fillId="0" borderId="27" applyNumberFormat="0" applyFill="0" applyAlignment="0" applyProtection="0"/>
    <xf numFmtId="199" fontId="5" fillId="0" borderId="0" applyFont="0" applyFill="0" applyBorder="0" applyAlignment="0" applyProtection="0"/>
    <xf numFmtId="200" fontId="5" fillId="0" borderId="0" applyFont="0" applyFill="0" applyBorder="0" applyAlignment="0" applyProtection="0"/>
    <xf numFmtId="201" fontId="5" fillId="0" borderId="0" applyFont="0" applyFill="0" applyBorder="0" applyAlignment="0" applyProtection="0"/>
    <xf numFmtId="202" fontId="5" fillId="0" borderId="0" applyFont="0" applyFill="0" applyBorder="0" applyAlignment="0" applyProtection="0"/>
    <xf numFmtId="0" fontId="58" fillId="60" borderId="0" applyNumberFormat="0" applyBorder="0" applyAlignment="0" applyProtection="0"/>
    <xf numFmtId="176" fontId="58" fillId="60" borderId="0" applyNumberFormat="0" applyBorder="0" applyAlignment="0" applyProtection="0"/>
    <xf numFmtId="203" fontId="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5" fillId="0" borderId="0"/>
    <xf numFmtId="173"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176" fontId="5" fillId="0" borderId="0"/>
    <xf numFmtId="0" fontId="1" fillId="0" borderId="0"/>
    <xf numFmtId="0" fontId="1" fillId="0" borderId="0"/>
    <xf numFmtId="176" fontId="5" fillId="0" borderId="0"/>
    <xf numFmtId="176" fontId="5" fillId="0" borderId="0"/>
    <xf numFmtId="0" fontId="102" fillId="0" borderId="0"/>
    <xf numFmtId="0" fontId="102" fillId="0" borderId="0"/>
    <xf numFmtId="196" fontId="5" fillId="0" borderId="0"/>
    <xf numFmtId="0" fontId="102" fillId="0" borderId="0"/>
    <xf numFmtId="173" fontId="5" fillId="0" borderId="0"/>
    <xf numFmtId="176" fontId="5" fillId="0" borderId="0"/>
    <xf numFmtId="176" fontId="5" fillId="0" borderId="0"/>
    <xf numFmtId="176" fontId="5" fillId="0" borderId="0"/>
    <xf numFmtId="176" fontId="5" fillId="0" borderId="0"/>
    <xf numFmtId="176" fontId="5" fillId="0" borderId="0"/>
    <xf numFmtId="176" fontId="5" fillId="0" borderId="0"/>
    <xf numFmtId="0" fontId="5" fillId="0" borderId="0"/>
    <xf numFmtId="176"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02" fillId="0" borderId="0"/>
    <xf numFmtId="173" fontId="5" fillId="0" borderId="0"/>
    <xf numFmtId="176" fontId="5" fillId="0" borderId="0"/>
    <xf numFmtId="0" fontId="5"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6" fontId="5" fillId="0" borderId="0"/>
    <xf numFmtId="176" fontId="5" fillId="0" borderId="0"/>
    <xf numFmtId="176" fontId="5" fillId="0" borderId="0"/>
    <xf numFmtId="0" fontId="5" fillId="0" borderId="0"/>
    <xf numFmtId="176" fontId="5" fillId="0" borderId="0"/>
    <xf numFmtId="176" fontId="5" fillId="0" borderId="0"/>
    <xf numFmtId="176" fontId="5" fillId="0" borderId="0"/>
    <xf numFmtId="176" fontId="5" fillId="0" borderId="0"/>
    <xf numFmtId="176"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6" fontId="5" fillId="0" borderId="0"/>
    <xf numFmtId="176" fontId="5" fillId="0" borderId="0"/>
    <xf numFmtId="19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176"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5" fillId="0" borderId="0"/>
    <xf numFmtId="176" fontId="5" fillId="0" borderId="0"/>
    <xf numFmtId="0" fontId="14" fillId="0" borderId="0"/>
    <xf numFmtId="0" fontId="5" fillId="0" borderId="0"/>
    <xf numFmtId="0" fontId="5"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176" fontId="5" fillId="0" borderId="0"/>
    <xf numFmtId="0" fontId="16" fillId="0" borderId="0"/>
    <xf numFmtId="0" fontId="1" fillId="0" borderId="0"/>
    <xf numFmtId="0" fontId="1" fillId="0" borderId="0"/>
    <xf numFmtId="0" fontId="1" fillId="0" borderId="0"/>
    <xf numFmtId="176" fontId="62" fillId="0" borderId="0"/>
    <xf numFmtId="176" fontId="5" fillId="0" borderId="0"/>
    <xf numFmtId="0" fontId="1" fillId="0" borderId="0"/>
    <xf numFmtId="0" fontId="1" fillId="0" borderId="0"/>
    <xf numFmtId="0" fontId="1" fillId="0" borderId="0"/>
    <xf numFmtId="176" fontId="62" fillId="0" borderId="0"/>
    <xf numFmtId="176" fontId="62" fillId="0" borderId="0"/>
    <xf numFmtId="176" fontId="62"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37" fontId="112"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37" fontId="112" fillId="0" borderId="0"/>
    <xf numFmtId="0" fontId="1" fillId="0" borderId="0"/>
    <xf numFmtId="0" fontId="1" fillId="0" borderId="0"/>
    <xf numFmtId="0" fontId="5" fillId="0" borderId="0"/>
    <xf numFmtId="0" fontId="1" fillId="0" borderId="0"/>
    <xf numFmtId="0" fontId="1" fillId="0" borderId="0"/>
    <xf numFmtId="37" fontId="112"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02" fillId="0" borderId="0"/>
    <xf numFmtId="0" fontId="102" fillId="0" borderId="0"/>
    <xf numFmtId="0" fontId="1" fillId="0" borderId="0"/>
    <xf numFmtId="204" fontId="5" fillId="0" borderId="0"/>
    <xf numFmtId="0" fontId="1" fillId="0" borderId="0"/>
    <xf numFmtId="0" fontId="1" fillId="0" borderId="0"/>
    <xf numFmtId="37" fontId="112"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5" fillId="0" borderId="0"/>
    <xf numFmtId="204" fontId="1" fillId="0" borderId="0"/>
    <xf numFmtId="176" fontId="1" fillId="0" borderId="0"/>
    <xf numFmtId="176" fontId="1" fillId="0" borderId="0"/>
    <xf numFmtId="204" fontId="1" fillId="0" borderId="0"/>
    <xf numFmtId="176" fontId="1" fillId="0" borderId="0"/>
    <xf numFmtId="204"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204"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176" fontId="5"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171" fontId="16" fillId="0" borderId="0"/>
    <xf numFmtId="204" fontId="1" fillId="0" borderId="0"/>
    <xf numFmtId="204" fontId="1" fillId="0" borderId="0"/>
    <xf numFmtId="204" fontId="1" fillId="0" borderId="0"/>
    <xf numFmtId="204" fontId="1" fillId="0" borderId="0"/>
    <xf numFmtId="0" fontId="1" fillId="0" borderId="0"/>
    <xf numFmtId="204" fontId="1" fillId="0" borderId="0"/>
    <xf numFmtId="0" fontId="1" fillId="0" borderId="0"/>
    <xf numFmtId="204" fontId="1" fillId="0" borderId="0"/>
    <xf numFmtId="204" fontId="1" fillId="0" borderId="0"/>
    <xf numFmtId="0" fontId="1" fillId="0" borderId="0"/>
    <xf numFmtId="204" fontId="1" fillId="0" borderId="0"/>
    <xf numFmtId="0" fontId="1" fillId="0" borderId="0"/>
    <xf numFmtId="0" fontId="1" fillId="0" borderId="0"/>
    <xf numFmtId="0" fontId="5" fillId="0" borderId="0"/>
    <xf numFmtId="204" fontId="1" fillId="0" borderId="0"/>
    <xf numFmtId="204" fontId="1" fillId="0" borderId="0"/>
    <xf numFmtId="204" fontId="1" fillId="0" borderId="0"/>
    <xf numFmtId="0" fontId="1" fillId="0" borderId="0"/>
    <xf numFmtId="204" fontId="1" fillId="0" borderId="0"/>
    <xf numFmtId="176" fontId="5" fillId="0" borderId="0"/>
    <xf numFmtId="204" fontId="1" fillId="0" borderId="0"/>
    <xf numFmtId="204" fontId="1" fillId="0" borderId="0"/>
    <xf numFmtId="0" fontId="1" fillId="0" borderId="0"/>
    <xf numFmtId="204" fontId="1" fillId="0" borderId="0"/>
    <xf numFmtId="0" fontId="1" fillId="0" borderId="0"/>
    <xf numFmtId="204"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5" fillId="0" borderId="0"/>
    <xf numFmtId="173" fontId="1" fillId="0" borderId="0"/>
    <xf numFmtId="171" fontId="16"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6" fontId="5"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1" fontId="16"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5" fillId="0" borderId="0"/>
    <xf numFmtId="173" fontId="1" fillId="0" borderId="0"/>
    <xf numFmtId="171" fontId="16"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5"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102" fillId="0" borderId="0"/>
    <xf numFmtId="0" fontId="5" fillId="0" borderId="0"/>
    <xf numFmtId="0" fontId="5" fillId="0" borderId="0"/>
    <xf numFmtId="0" fontId="5" fillId="0" borderId="0"/>
    <xf numFmtId="0" fontId="5" fillId="0" borderId="0"/>
    <xf numFmtId="0" fontId="102"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xf numFmtId="0" fontId="102" fillId="0" borderId="0"/>
    <xf numFmtId="37" fontId="112" fillId="0" borderId="0"/>
    <xf numFmtId="37" fontId="112" fillId="0" borderId="0"/>
    <xf numFmtId="0" fontId="5" fillId="0" borderId="0"/>
    <xf numFmtId="0" fontId="5" fillId="0" borderId="0"/>
    <xf numFmtId="0" fontId="102" fillId="0" borderId="0"/>
    <xf numFmtId="0" fontId="102" fillId="0" borderId="0"/>
    <xf numFmtId="0" fontId="102" fillId="0" borderId="0"/>
    <xf numFmtId="37"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12" fillId="0" borderId="0"/>
    <xf numFmtId="37" fontId="11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5"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25" borderId="17" applyNumberFormat="0" applyFont="0" applyAlignment="0" applyProtection="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 fillId="0" borderId="0"/>
    <xf numFmtId="0" fontId="1" fillId="0" borderId="0"/>
    <xf numFmtId="0" fontId="1" fillId="0" borderId="0"/>
    <xf numFmtId="0" fontId="1" fillId="25" borderId="17" applyNumberFormat="0" applyFont="0" applyAlignment="0" applyProtection="0"/>
    <xf numFmtId="0" fontId="1" fillId="0" borderId="0"/>
    <xf numFmtId="0" fontId="1" fillId="0" borderId="0"/>
    <xf numFmtId="0" fontId="1" fillId="0" borderId="0"/>
    <xf numFmtId="0" fontId="1" fillId="0" borderId="0"/>
    <xf numFmtId="0" fontId="1" fillId="25" borderId="17" applyNumberFormat="0" applyFont="0" applyAlignment="0" applyProtection="0"/>
    <xf numFmtId="0" fontId="1" fillId="25" borderId="17" applyNumberFormat="0" applyFont="0" applyAlignment="0" applyProtection="0"/>
    <xf numFmtId="0" fontId="1" fillId="0" borderId="0"/>
    <xf numFmtId="0" fontId="1" fillId="0" borderId="0"/>
    <xf numFmtId="0" fontId="1" fillId="0" borderId="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25" borderId="17"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 fillId="0" borderId="0"/>
    <xf numFmtId="0" fontId="1" fillId="0" borderId="0"/>
    <xf numFmtId="0" fontId="1" fillId="25" borderId="17" applyNumberFormat="0" applyFont="0" applyAlignment="0" applyProtection="0"/>
    <xf numFmtId="0" fontId="1" fillId="0" borderId="0"/>
    <xf numFmtId="0" fontId="1" fillId="25" borderId="17"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6" fillId="55" borderId="29" applyNumberFormat="0" applyFont="0" applyAlignment="0" applyProtection="0"/>
    <xf numFmtId="0" fontId="1" fillId="0" borderId="0"/>
    <xf numFmtId="0" fontId="1" fillId="0" borderId="0"/>
    <xf numFmtId="0" fontId="1" fillId="25" borderId="17" applyNumberFormat="0" applyFont="0" applyAlignment="0" applyProtection="0"/>
    <xf numFmtId="0" fontId="14" fillId="55" borderId="29"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 fillId="0" borderId="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 fillId="25" borderId="17"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6"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 fillId="0" borderId="0"/>
    <xf numFmtId="0" fontId="1" fillId="0" borderId="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6"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6"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6"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6" fontId="6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171" fontId="64" fillId="25" borderId="17"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64" fillId="55" borderId="29"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 fillId="0" borderId="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14" fillId="55" borderId="29" applyNumberFormat="0" applyFont="0" applyAlignment="0" applyProtection="0"/>
    <xf numFmtId="0" fontId="65" fillId="72" borderId="30" applyNumberFormat="0" applyAlignment="0" applyProtection="0"/>
    <xf numFmtId="0" fontId="65" fillId="73" borderId="30" applyNumberFormat="0" applyAlignment="0" applyProtection="0"/>
    <xf numFmtId="0" fontId="65" fillId="73" borderId="30" applyNumberFormat="0" applyAlignment="0" applyProtection="0"/>
    <xf numFmtId="0" fontId="65" fillId="73" borderId="30" applyNumberFormat="0" applyAlignment="0" applyProtection="0"/>
    <xf numFmtId="0" fontId="65" fillId="73" borderId="30" applyNumberFormat="0" applyAlignment="0" applyProtection="0"/>
    <xf numFmtId="0" fontId="1" fillId="0" borderId="0"/>
    <xf numFmtId="176" fontId="65" fillId="72" borderId="30" applyNumberFormat="0" applyAlignment="0" applyProtection="0"/>
    <xf numFmtId="205" fontId="63" fillId="73" borderId="0">
      <alignment horizontal="right"/>
    </xf>
    <xf numFmtId="4" fontId="63" fillId="75" borderId="0">
      <alignment horizontal="right"/>
    </xf>
    <xf numFmtId="40" fontId="113" fillId="75" borderId="0">
      <alignment horizontal="right"/>
    </xf>
    <xf numFmtId="40" fontId="113" fillId="75" borderId="0">
      <alignment horizontal="right"/>
    </xf>
    <xf numFmtId="205" fontId="63" fillId="73" borderId="0">
      <alignment horizontal="right"/>
    </xf>
    <xf numFmtId="205" fontId="63" fillId="73" borderId="0">
      <alignment horizontal="right"/>
    </xf>
    <xf numFmtId="205" fontId="63" fillId="73" borderId="0">
      <alignment horizontal="right"/>
    </xf>
    <xf numFmtId="40" fontId="113" fillId="75" borderId="0">
      <alignment horizontal="right"/>
    </xf>
    <xf numFmtId="4" fontId="63" fillId="75" borderId="0">
      <alignment horizontal="right"/>
    </xf>
    <xf numFmtId="40" fontId="113" fillId="75" borderId="0">
      <alignment horizontal="right"/>
    </xf>
    <xf numFmtId="40" fontId="113" fillId="75" borderId="0">
      <alignment horizontal="right"/>
    </xf>
    <xf numFmtId="4" fontId="63" fillId="75" borderId="0">
      <alignment horizontal="right"/>
    </xf>
    <xf numFmtId="4" fontId="63" fillId="75" borderId="0">
      <alignment horizontal="right"/>
    </xf>
    <xf numFmtId="4" fontId="63" fillId="75" borderId="0">
      <alignment horizontal="right"/>
    </xf>
    <xf numFmtId="4" fontId="63" fillId="75" borderId="0">
      <alignment horizontal="right"/>
    </xf>
    <xf numFmtId="205" fontId="63" fillId="73" borderId="0">
      <alignment horizontal="right"/>
    </xf>
    <xf numFmtId="4" fontId="63" fillId="75" borderId="0">
      <alignment horizontal="right"/>
    </xf>
    <xf numFmtId="4" fontId="63" fillId="75" borderId="0">
      <alignment horizontal="right"/>
    </xf>
    <xf numFmtId="4" fontId="63" fillId="75" borderId="0">
      <alignment horizontal="right"/>
    </xf>
    <xf numFmtId="4" fontId="63" fillId="75" borderId="0">
      <alignment horizontal="right"/>
    </xf>
    <xf numFmtId="4" fontId="63" fillId="75" borderId="0">
      <alignment horizontal="right"/>
    </xf>
    <xf numFmtId="4" fontId="63" fillId="75" borderId="0">
      <alignment horizontal="right"/>
    </xf>
    <xf numFmtId="4" fontId="63" fillId="75" borderId="0">
      <alignment horizontal="right"/>
    </xf>
    <xf numFmtId="0" fontId="1" fillId="0" borderId="0"/>
    <xf numFmtId="205" fontId="63" fillId="73" borderId="0">
      <alignment horizontal="right"/>
    </xf>
    <xf numFmtId="205" fontId="63" fillId="73" borderId="0">
      <alignment horizontal="right"/>
    </xf>
    <xf numFmtId="205" fontId="63" fillId="73" borderId="0">
      <alignment horizontal="right"/>
    </xf>
    <xf numFmtId="205" fontId="63" fillId="73" borderId="0">
      <alignment horizontal="right"/>
    </xf>
    <xf numFmtId="205" fontId="63" fillId="73" borderId="0">
      <alignment horizontal="right"/>
    </xf>
    <xf numFmtId="40" fontId="113" fillId="75" borderId="0">
      <alignment horizontal="right"/>
    </xf>
    <xf numFmtId="0" fontId="68" fillId="84" borderId="0">
      <alignment horizontal="center"/>
    </xf>
    <xf numFmtId="0" fontId="68" fillId="84" borderId="0">
      <alignment horizontal="center"/>
    </xf>
    <xf numFmtId="196" fontId="68" fillId="84" borderId="0">
      <alignment horizontal="center"/>
    </xf>
    <xf numFmtId="0" fontId="68" fillId="75" borderId="0">
      <alignment horizontal="center" vertical="center"/>
    </xf>
    <xf numFmtId="0" fontId="1" fillId="0" borderId="0"/>
    <xf numFmtId="0" fontId="68" fillId="84" borderId="0">
      <alignment horizontal="center"/>
    </xf>
    <xf numFmtId="0" fontId="114" fillId="75" borderId="0">
      <alignment horizontal="right"/>
    </xf>
    <xf numFmtId="0" fontId="114" fillId="75" borderId="0">
      <alignment horizontal="right"/>
    </xf>
    <xf numFmtId="0" fontId="114" fillId="75" borderId="0">
      <alignment horizontal="right"/>
    </xf>
    <xf numFmtId="0" fontId="114" fillId="75" borderId="0">
      <alignment horizontal="right"/>
    </xf>
    <xf numFmtId="0" fontId="114" fillId="75" borderId="0">
      <alignment horizontal="right"/>
    </xf>
    <xf numFmtId="0" fontId="68" fillId="84" borderId="0">
      <alignment horizontal="center"/>
    </xf>
    <xf numFmtId="196" fontId="68" fillId="84" borderId="0">
      <alignment horizontal="center"/>
    </xf>
    <xf numFmtId="0" fontId="114" fillId="75" borderId="0">
      <alignment horizontal="right"/>
    </xf>
    <xf numFmtId="0" fontId="114" fillId="75" borderId="0">
      <alignment horizontal="right"/>
    </xf>
    <xf numFmtId="0" fontId="68" fillId="75" borderId="0">
      <alignment horizontal="center" vertical="center"/>
    </xf>
    <xf numFmtId="0" fontId="68" fillId="75" borderId="0">
      <alignment horizontal="center" vertical="center"/>
    </xf>
    <xf numFmtId="171" fontId="68" fillId="75" borderId="0">
      <alignment horizontal="center" vertical="center"/>
    </xf>
    <xf numFmtId="171" fontId="68" fillId="75" borderId="0">
      <alignment horizontal="center" vertical="center"/>
    </xf>
    <xf numFmtId="0" fontId="114" fillId="75" borderId="0">
      <alignment horizontal="right"/>
    </xf>
    <xf numFmtId="0" fontId="97" fillId="85" borderId="0"/>
    <xf numFmtId="0" fontId="97" fillId="85" borderId="0"/>
    <xf numFmtId="196" fontId="97" fillId="85" borderId="0"/>
    <xf numFmtId="0" fontId="69" fillId="75" borderId="5"/>
    <xf numFmtId="0" fontId="69" fillId="75" borderId="5"/>
    <xf numFmtId="176" fontId="115" fillId="75" borderId="5"/>
    <xf numFmtId="0" fontId="69" fillId="75" borderId="5"/>
    <xf numFmtId="0" fontId="1" fillId="0" borderId="0"/>
    <xf numFmtId="0" fontId="97" fillId="85" borderId="0"/>
    <xf numFmtId="0" fontId="115" fillId="75" borderId="5"/>
    <xf numFmtId="0" fontId="115" fillId="75" borderId="5"/>
    <xf numFmtId="0" fontId="115" fillId="75" borderId="5"/>
    <xf numFmtId="0" fontId="115" fillId="75" borderId="5"/>
    <xf numFmtId="0" fontId="115" fillId="75" borderId="5"/>
    <xf numFmtId="0" fontId="97" fillId="85" borderId="0"/>
    <xf numFmtId="176" fontId="115" fillId="75" borderId="5"/>
    <xf numFmtId="0" fontId="115" fillId="75" borderId="5"/>
    <xf numFmtId="0" fontId="115" fillId="75" borderId="5"/>
    <xf numFmtId="0" fontId="69" fillId="75" borderId="5"/>
    <xf numFmtId="171" fontId="69" fillId="75" borderId="5"/>
    <xf numFmtId="171" fontId="69" fillId="75" borderId="5"/>
    <xf numFmtId="0" fontId="115" fillId="75" borderId="5"/>
    <xf numFmtId="0" fontId="116" fillId="73" borderId="0" applyBorder="0">
      <alignment horizontal="centerContinuous"/>
    </xf>
    <xf numFmtId="0" fontId="116" fillId="73" borderId="0" applyBorder="0">
      <alignment horizontal="centerContinuous"/>
    </xf>
    <xf numFmtId="196" fontId="116" fillId="73" borderId="0" applyBorder="0">
      <alignment horizontal="centerContinuous"/>
    </xf>
    <xf numFmtId="0" fontId="68" fillId="75" borderId="0" applyBorder="0">
      <alignment horizontal="centerContinuous"/>
    </xf>
    <xf numFmtId="0" fontId="1" fillId="0" borderId="0"/>
    <xf numFmtId="0" fontId="116" fillId="73" borderId="0" applyBorder="0">
      <alignment horizontal="centerContinuous"/>
    </xf>
    <xf numFmtId="0" fontId="115" fillId="0" borderId="0" applyBorder="0">
      <alignment horizontal="centerContinuous"/>
    </xf>
    <xf numFmtId="0" fontId="115" fillId="0" borderId="0" applyBorder="0">
      <alignment horizontal="centerContinuous"/>
    </xf>
    <xf numFmtId="0" fontId="115" fillId="0" borderId="0" applyBorder="0">
      <alignment horizontal="centerContinuous"/>
    </xf>
    <xf numFmtId="0" fontId="115" fillId="0" borderId="0" applyBorder="0">
      <alignment horizontal="centerContinuous"/>
    </xf>
    <xf numFmtId="0" fontId="115" fillId="0" borderId="0" applyBorder="0">
      <alignment horizontal="centerContinuous"/>
    </xf>
    <xf numFmtId="0" fontId="116" fillId="73" borderId="0" applyBorder="0">
      <alignment horizontal="centerContinuous"/>
    </xf>
    <xf numFmtId="196" fontId="116" fillId="73" borderId="0" applyBorder="0">
      <alignment horizontal="centerContinuous"/>
    </xf>
    <xf numFmtId="0" fontId="115" fillId="0" borderId="0" applyBorder="0">
      <alignment horizontal="centerContinuous"/>
    </xf>
    <xf numFmtId="0" fontId="115" fillId="0" borderId="0" applyBorder="0">
      <alignment horizontal="centerContinuous"/>
    </xf>
    <xf numFmtId="0" fontId="68" fillId="75" borderId="0" applyBorder="0">
      <alignment horizontal="centerContinuous"/>
    </xf>
    <xf numFmtId="0" fontId="68" fillId="75" borderId="0" applyBorder="0">
      <alignment horizontal="centerContinuous"/>
    </xf>
    <xf numFmtId="171" fontId="68" fillId="75" borderId="0" applyBorder="0">
      <alignment horizontal="centerContinuous"/>
    </xf>
    <xf numFmtId="171" fontId="68" fillId="75" borderId="0" applyBorder="0">
      <alignment horizontal="centerContinuous"/>
    </xf>
    <xf numFmtId="0" fontId="115" fillId="0" borderId="0" applyBorder="0">
      <alignment horizontal="centerContinuous"/>
    </xf>
    <xf numFmtId="0" fontId="117" fillId="85" borderId="0" applyBorder="0">
      <alignment horizontal="centerContinuous"/>
    </xf>
    <xf numFmtId="0" fontId="117" fillId="85" borderId="0" applyBorder="0">
      <alignment horizontal="centerContinuous"/>
    </xf>
    <xf numFmtId="196" fontId="117" fillId="85" borderId="0" applyBorder="0">
      <alignment horizontal="centerContinuous"/>
    </xf>
    <xf numFmtId="0" fontId="118" fillId="85" borderId="0" applyBorder="0">
      <alignment horizontal="centerContinuous"/>
    </xf>
    <xf numFmtId="0" fontId="70" fillId="75" borderId="0" applyBorder="0">
      <alignment horizontal="centerContinuous"/>
    </xf>
    <xf numFmtId="0" fontId="1" fillId="0" borderId="0"/>
    <xf numFmtId="0" fontId="117" fillId="85"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19" fillId="0" borderId="0" applyBorder="0">
      <alignment horizontal="centerContinuous"/>
    </xf>
    <xf numFmtId="0" fontId="117" fillId="85" borderId="0" applyBorder="0">
      <alignment horizontal="centerContinuous"/>
    </xf>
    <xf numFmtId="196" fontId="117" fillId="85" borderId="0" applyBorder="0">
      <alignment horizontal="centerContinuous"/>
    </xf>
    <xf numFmtId="0" fontId="119" fillId="0" borderId="0" applyBorder="0">
      <alignment horizontal="centerContinuous"/>
    </xf>
    <xf numFmtId="0" fontId="119" fillId="0" borderId="0" applyBorder="0">
      <alignment horizontal="centerContinuous"/>
    </xf>
    <xf numFmtId="0" fontId="70" fillId="75" borderId="0" applyBorder="0">
      <alignment horizontal="centerContinuous"/>
    </xf>
    <xf numFmtId="0" fontId="70" fillId="75" borderId="0" applyBorder="0">
      <alignment horizontal="centerContinuous"/>
    </xf>
    <xf numFmtId="171" fontId="70" fillId="75" borderId="0" applyBorder="0">
      <alignment horizontal="centerContinuous"/>
    </xf>
    <xf numFmtId="171" fontId="70" fillId="75" borderId="0" applyBorder="0">
      <alignment horizontal="centerContinuous"/>
    </xf>
    <xf numFmtId="0" fontId="119" fillId="0" borderId="0" applyBorder="0">
      <alignment horizontal="centerContinuous"/>
    </xf>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1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74" fontId="120" fillId="86" borderId="43">
      <alignment horizontal="left"/>
    </xf>
    <xf numFmtId="0" fontId="62" fillId="0" borderId="0" applyNumberFormat="0" applyFont="0" applyFill="0" applyBorder="0" applyAlignment="0" applyProtection="0">
      <alignment horizontal="left"/>
    </xf>
    <xf numFmtId="15" fontId="62" fillId="0" borderId="0" applyFont="0" applyFill="0" applyBorder="0" applyAlignment="0" applyProtection="0"/>
    <xf numFmtId="4" fontId="62" fillId="0" borderId="0" applyFont="0" applyFill="0" applyBorder="0" applyAlignment="0" applyProtection="0"/>
    <xf numFmtId="0" fontId="121" fillId="0" borderId="7">
      <alignment horizontal="center"/>
    </xf>
    <xf numFmtId="3" fontId="62" fillId="0" borderId="0" applyFont="0" applyFill="0" applyBorder="0" applyAlignment="0" applyProtection="0"/>
    <xf numFmtId="0" fontId="62" fillId="87" borderId="0" applyNumberFormat="0" applyFont="0" applyBorder="0" applyAlignment="0" applyProtection="0"/>
    <xf numFmtId="196" fontId="69" fillId="60" borderId="0">
      <alignment horizontal="center"/>
    </xf>
    <xf numFmtId="0" fontId="69" fillId="60" borderId="0">
      <alignment horizontal="center"/>
    </xf>
    <xf numFmtId="0" fontId="69" fillId="60" borderId="0">
      <alignment horizontal="center"/>
    </xf>
    <xf numFmtId="196" fontId="69" fillId="60" borderId="0">
      <alignment horizontal="center"/>
    </xf>
    <xf numFmtId="0" fontId="69" fillId="60" borderId="0">
      <alignment horizontal="center"/>
    </xf>
    <xf numFmtId="0" fontId="1" fillId="0" borderId="0"/>
    <xf numFmtId="49" fontId="122" fillId="73" borderId="0">
      <alignment horizontal="center"/>
    </xf>
    <xf numFmtId="0" fontId="1" fillId="0" borderId="0"/>
    <xf numFmtId="49" fontId="122" fillId="73" borderId="0">
      <alignment horizontal="center"/>
    </xf>
    <xf numFmtId="0" fontId="105" fillId="0" borderId="0"/>
    <xf numFmtId="196" fontId="98" fillId="82" borderId="0">
      <alignment horizontal="center"/>
    </xf>
    <xf numFmtId="0" fontId="98" fillId="82" borderId="0">
      <alignment horizontal="center"/>
    </xf>
    <xf numFmtId="0" fontId="98" fillId="82" borderId="0">
      <alignment horizontal="center"/>
    </xf>
    <xf numFmtId="196" fontId="98" fillId="82" borderId="0">
      <alignment horizontal="center"/>
    </xf>
    <xf numFmtId="0" fontId="1" fillId="0" borderId="0"/>
    <xf numFmtId="196" fontId="98" fillId="82" borderId="0">
      <alignment horizontal="centerContinuous"/>
    </xf>
    <xf numFmtId="0" fontId="98" fillId="82" borderId="0">
      <alignment horizontal="centerContinuous"/>
    </xf>
    <xf numFmtId="0" fontId="98" fillId="82" borderId="0">
      <alignment horizontal="centerContinuous"/>
    </xf>
    <xf numFmtId="196" fontId="98" fillId="82" borderId="0">
      <alignment horizontal="centerContinuous"/>
    </xf>
    <xf numFmtId="0" fontId="1" fillId="0" borderId="0"/>
    <xf numFmtId="196" fontId="123" fillId="73" borderId="0">
      <alignment horizontal="left"/>
    </xf>
    <xf numFmtId="0" fontId="123" fillId="73" borderId="0">
      <alignment horizontal="left"/>
    </xf>
    <xf numFmtId="0" fontId="123" fillId="73" borderId="0">
      <alignment horizontal="left"/>
    </xf>
    <xf numFmtId="196" fontId="123" fillId="73" borderId="0">
      <alignment horizontal="left"/>
    </xf>
    <xf numFmtId="0" fontId="1" fillId="0" borderId="0"/>
    <xf numFmtId="49" fontId="123" fillId="73" borderId="0">
      <alignment horizontal="center"/>
    </xf>
    <xf numFmtId="0" fontId="1" fillId="0" borderId="0"/>
    <xf numFmtId="49" fontId="123" fillId="73" borderId="0">
      <alignment horizontal="center"/>
    </xf>
    <xf numFmtId="196" fontId="97" fillId="82" borderId="0">
      <alignment horizontal="left"/>
    </xf>
    <xf numFmtId="0" fontId="97" fillId="82" borderId="0">
      <alignment horizontal="left"/>
    </xf>
    <xf numFmtId="0" fontId="97" fillId="82" borderId="0">
      <alignment horizontal="left"/>
    </xf>
    <xf numFmtId="196" fontId="97" fillId="82" borderId="0">
      <alignment horizontal="left"/>
    </xf>
    <xf numFmtId="0" fontId="1" fillId="0" borderId="0"/>
    <xf numFmtId="49" fontId="123" fillId="73" borderId="0">
      <alignment horizontal="left"/>
    </xf>
    <xf numFmtId="0" fontId="1" fillId="0" borderId="0"/>
    <xf numFmtId="49" fontId="123" fillId="73" borderId="0">
      <alignment horizontal="left"/>
    </xf>
    <xf numFmtId="196" fontId="97" fillId="82" borderId="0">
      <alignment horizontal="centerContinuous"/>
    </xf>
    <xf numFmtId="0" fontId="97" fillId="82" borderId="0">
      <alignment horizontal="centerContinuous"/>
    </xf>
    <xf numFmtId="0" fontId="97" fillId="82" borderId="0">
      <alignment horizontal="centerContinuous"/>
    </xf>
    <xf numFmtId="196" fontId="97" fillId="82" borderId="0">
      <alignment horizontal="centerContinuous"/>
    </xf>
    <xf numFmtId="0" fontId="1" fillId="0" borderId="0"/>
    <xf numFmtId="196" fontId="97" fillId="82" borderId="0">
      <alignment horizontal="right"/>
    </xf>
    <xf numFmtId="0" fontId="97" fillId="82" borderId="0">
      <alignment horizontal="right"/>
    </xf>
    <xf numFmtId="0" fontId="97" fillId="82" borderId="0">
      <alignment horizontal="right"/>
    </xf>
    <xf numFmtId="196" fontId="97" fillId="82" borderId="0">
      <alignment horizontal="right"/>
    </xf>
    <xf numFmtId="0" fontId="1" fillId="0" borderId="0"/>
    <xf numFmtId="49" fontId="69" fillId="73" borderId="0">
      <alignment horizontal="left"/>
    </xf>
    <xf numFmtId="49" fontId="69" fillId="73" borderId="0">
      <alignment horizontal="left"/>
    </xf>
    <xf numFmtId="49" fontId="69" fillId="73" borderId="0">
      <alignment horizontal="left"/>
    </xf>
    <xf numFmtId="0" fontId="1" fillId="0" borderId="0"/>
    <xf numFmtId="196" fontId="98" fillId="82" borderId="0">
      <alignment horizontal="right"/>
    </xf>
    <xf numFmtId="0" fontId="98" fillId="82" borderId="0">
      <alignment horizontal="right"/>
    </xf>
    <xf numFmtId="0" fontId="98" fillId="82" borderId="0">
      <alignment horizontal="right"/>
    </xf>
    <xf numFmtId="196" fontId="98" fillId="82" borderId="0">
      <alignment horizontal="right"/>
    </xf>
    <xf numFmtId="0" fontId="1" fillId="0" borderId="0"/>
    <xf numFmtId="196" fontId="123" fillId="57" borderId="0">
      <alignment horizontal="center"/>
    </xf>
    <xf numFmtId="0" fontId="123" fillId="57" borderId="0">
      <alignment horizontal="center"/>
    </xf>
    <xf numFmtId="0" fontId="123" fillId="57" borderId="0">
      <alignment horizontal="center"/>
    </xf>
    <xf numFmtId="196" fontId="123" fillId="57" borderId="0">
      <alignment horizontal="center"/>
    </xf>
    <xf numFmtId="0" fontId="1" fillId="0" borderId="0"/>
    <xf numFmtId="196" fontId="124" fillId="57" borderId="0">
      <alignment horizontal="center"/>
    </xf>
    <xf numFmtId="0" fontId="124" fillId="57" borderId="0">
      <alignment horizontal="center"/>
    </xf>
    <xf numFmtId="0" fontId="124" fillId="57" borderId="0">
      <alignment horizontal="center"/>
    </xf>
    <xf numFmtId="196" fontId="124" fillId="57" borderId="0">
      <alignment horizontal="center"/>
    </xf>
    <xf numFmtId="0" fontId="1" fillId="0" borderId="0"/>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33" fillId="88" borderId="44"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125" fillId="88" borderId="45" applyNumberFormat="0" applyProtection="0">
      <alignment vertical="center"/>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4" fontId="33" fillId="88" borderId="44" applyNumberFormat="0" applyProtection="0">
      <alignment horizontal="left" vertical="center"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0" fontId="33" fillId="89" borderId="45" applyNumberFormat="0" applyProtection="0">
      <alignment horizontal="left" vertical="top" indent="1"/>
    </xf>
    <xf numFmtId="4" fontId="33" fillId="85" borderId="0" applyNumberFormat="0" applyProtection="0">
      <alignment horizontal="left" vertical="center" indent="1"/>
    </xf>
    <xf numFmtId="4" fontId="33" fillId="85" borderId="0" applyNumberFormat="0" applyProtection="0">
      <alignment horizontal="left" vertical="center" indent="1"/>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5" fillId="88"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0"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126" fillId="91"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60"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1"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5" fillId="52"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9"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126" fillId="66"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5" fillId="65" borderId="45" applyNumberFormat="0" applyProtection="0">
      <alignment horizontal="right" vertical="center"/>
    </xf>
    <xf numFmtId="4" fontId="33" fillId="92" borderId="0" applyNumberFormat="0" applyProtection="0">
      <alignment horizontal="left" vertical="center" indent="1"/>
    </xf>
    <xf numFmtId="4" fontId="33" fillId="92" borderId="0" applyNumberFormat="0" applyProtection="0">
      <alignment horizontal="left" vertical="center" indent="1"/>
    </xf>
    <xf numFmtId="4" fontId="5" fillId="63" borderId="0" applyNumberFormat="0" applyProtection="0">
      <alignment horizontal="left" vertical="center" indent="1"/>
    </xf>
    <xf numFmtId="4" fontId="5" fillId="63" borderId="0" applyNumberFormat="0" applyProtection="0">
      <alignment horizontal="left" vertical="center" indent="1"/>
    </xf>
    <xf numFmtId="4" fontId="122" fillId="93" borderId="0" applyNumberFormat="0" applyProtection="0">
      <alignment horizontal="left" vertical="center" indent="1"/>
    </xf>
    <xf numFmtId="4" fontId="122" fillId="93" borderId="0" applyNumberFormat="0" applyProtection="0">
      <alignment horizontal="left" vertical="center" indent="1"/>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44" applyNumberFormat="0" applyProtection="0">
      <alignment horizontal="right" vertical="center"/>
    </xf>
    <xf numFmtId="4" fontId="5" fillId="63" borderId="0" applyNumberFormat="0" applyProtection="0">
      <alignment horizontal="left" vertical="center" indent="1"/>
    </xf>
    <xf numFmtId="4" fontId="5" fillId="63" borderId="0" applyNumberFormat="0" applyProtection="0">
      <alignment horizontal="left" vertical="center" indent="1"/>
    </xf>
    <xf numFmtId="4" fontId="5" fillId="89" borderId="0" applyNumberFormat="0" applyProtection="0">
      <alignment horizontal="left" vertical="center" indent="1"/>
    </xf>
    <xf numFmtId="4" fontId="5" fillId="89" borderId="0"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4" applyNumberFormat="0" applyProtection="0">
      <alignment horizontal="left" vertical="center"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63"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127" fillId="94" borderId="45" applyNumberFormat="0" applyProtection="0">
      <alignment vertical="center"/>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4" fontId="5" fillId="63" borderId="45" applyNumberFormat="0" applyProtection="0">
      <alignment horizontal="left" vertical="center"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0" fontId="5" fillId="63" borderId="45" applyNumberFormat="0" applyProtection="0">
      <alignment horizontal="left" vertical="top" indent="1"/>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5"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33" fillId="95" borderId="44" applyNumberFormat="0" applyProtection="0">
      <alignment horizontal="right" vertical="center"/>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4" fontId="5" fillId="63" borderId="44" applyNumberFormat="0" applyProtection="0">
      <alignment horizontal="left" vertical="center"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0" fontId="5" fillId="63" borderId="44" applyNumberFormat="0" applyProtection="0">
      <alignment horizontal="left" vertical="top" indent="1"/>
    </xf>
    <xf numFmtId="4" fontId="128" fillId="0" borderId="0" applyNumberFormat="0" applyProtection="0">
      <alignment horizontal="left" vertical="center" indent="1"/>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4" fontId="5" fillId="0" borderId="45" applyNumberFormat="0" applyProtection="0">
      <alignment horizontal="right" vertical="center"/>
    </xf>
    <xf numFmtId="206" fontId="129" fillId="0" borderId="46" applyNumberFormat="0" applyProtection="0">
      <alignment horizontal="right" vertical="center"/>
    </xf>
    <xf numFmtId="206" fontId="130" fillId="0" borderId="47" applyNumberFormat="0" applyProtection="0">
      <alignment horizontal="right" vertical="center"/>
    </xf>
    <xf numFmtId="0" fontId="130" fillId="96" borderId="48" applyNumberFormat="0" applyAlignment="0" applyProtection="0">
      <alignment horizontal="left" vertical="center" indent="1"/>
    </xf>
    <xf numFmtId="0" fontId="131" fillId="0" borderId="49" applyNumberFormat="0" applyFill="0" applyBorder="0" applyAlignment="0" applyProtection="0"/>
    <xf numFmtId="0" fontId="132" fillId="97" borderId="48" applyNumberFormat="0" applyAlignment="0" applyProtection="0">
      <alignment horizontal="left" vertical="center" indent="1"/>
    </xf>
    <xf numFmtId="0" fontId="132" fillId="98" borderId="48" applyNumberFormat="0" applyAlignment="0" applyProtection="0">
      <alignment horizontal="left" vertical="center" indent="1"/>
    </xf>
    <xf numFmtId="0" fontId="132" fillId="99" borderId="48" applyNumberFormat="0" applyAlignment="0" applyProtection="0">
      <alignment horizontal="left" vertical="center" indent="1"/>
    </xf>
    <xf numFmtId="0" fontId="132" fillId="100" borderId="48" applyNumberFormat="0" applyAlignment="0" applyProtection="0">
      <alignment horizontal="left" vertical="center" indent="1"/>
    </xf>
    <xf numFmtId="0" fontId="132" fillId="101" borderId="47" applyNumberFormat="0" applyAlignment="0" applyProtection="0">
      <alignment horizontal="left" vertical="center" indent="1"/>
    </xf>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0" fontId="5" fillId="0" borderId="50" applyNumberFormat="0" applyFont="0" applyFill="0" applyBorder="0" applyAlignment="0" applyProtection="0"/>
    <xf numFmtId="206" fontId="129" fillId="102" borderId="48" applyNumberFormat="0" applyAlignment="0" applyProtection="0">
      <alignment horizontal="left" vertical="center" indent="1"/>
    </xf>
    <xf numFmtId="0" fontId="130" fillId="96" borderId="47" applyNumberFormat="0" applyAlignment="0" applyProtection="0">
      <alignment horizontal="left" vertical="center" indent="1"/>
    </xf>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05" fillId="0" borderId="39"/>
    <xf numFmtId="49" fontId="5" fillId="0" borderId="37">
      <alignment horizontal="center" vertical="center"/>
      <protection locked="0"/>
    </xf>
    <xf numFmtId="0" fontId="133" fillId="82" borderId="0"/>
    <xf numFmtId="176" fontId="71" fillId="0" borderId="0" applyNumberFormat="0" applyFill="0" applyBorder="0" applyAlignment="0" applyProtection="0"/>
    <xf numFmtId="0" fontId="5" fillId="0" borderId="33" applyNumberFormat="0" applyFont="0" applyFill="0" applyAlignment="0" applyProtection="0"/>
    <xf numFmtId="196" fontId="104" fillId="0" borderId="51" applyNumberFormat="0" applyFont="0" applyBorder="0" applyAlignment="0" applyProtection="0"/>
    <xf numFmtId="0" fontId="73"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1" fillId="0" borderId="0"/>
    <xf numFmtId="0" fontId="5" fillId="0" borderId="33" applyNumberFormat="0" applyFont="0" applyFill="0" applyAlignment="0" applyProtection="0"/>
    <xf numFmtId="0" fontId="1" fillId="0" borderId="0"/>
    <xf numFmtId="196" fontId="104" fillId="0" borderId="51" applyNumberFormat="0" applyFont="0" applyBorder="0" applyAlignment="0" applyProtection="0"/>
    <xf numFmtId="0" fontId="111" fillId="0" borderId="52"/>
    <xf numFmtId="0" fontId="111" fillId="0" borderId="39"/>
    <xf numFmtId="0" fontId="112" fillId="0" borderId="0"/>
    <xf numFmtId="0" fontId="112" fillId="0" borderId="0"/>
    <xf numFmtId="196" fontId="134" fillId="73" borderId="0">
      <alignment horizontal="center"/>
    </xf>
    <xf numFmtId="0" fontId="134" fillId="73" borderId="0">
      <alignment horizontal="center"/>
    </xf>
    <xf numFmtId="196" fontId="134" fillId="73" borderId="0">
      <alignment horizontal="center"/>
    </xf>
    <xf numFmtId="0" fontId="1" fillId="0" borderId="0"/>
    <xf numFmtId="176" fontId="57" fillId="0" borderId="0" applyNumberFormat="0" applyFill="0" applyBorder="0" applyAlignment="0" applyProtection="0"/>
    <xf numFmtId="176" fontId="57" fillId="0" borderId="0" applyNumberFormat="0" applyFill="0" applyBorder="0" applyAlignment="0" applyProtection="0"/>
  </cellStyleXfs>
  <cellXfs count="869">
    <xf numFmtId="0" fontId="0" fillId="0" borderId="0" xfId="0"/>
    <xf numFmtId="49" fontId="78" fillId="8" borderId="3" xfId="0" quotePrefix="1" applyNumberFormat="1" applyFont="1" applyFill="1" applyBorder="1" applyAlignment="1">
      <alignment horizontal="left" vertical="center"/>
    </xf>
    <xf numFmtId="49" fontId="78" fillId="8" borderId="3" xfId="0" applyNumberFormat="1" applyFont="1" applyFill="1" applyBorder="1" applyAlignment="1">
      <alignment horizontal="left" vertical="center"/>
    </xf>
    <xf numFmtId="169" fontId="78" fillId="9" borderId="3" xfId="0" applyNumberFormat="1" applyFont="1" applyFill="1" applyBorder="1" applyAlignment="1">
      <alignment horizontal="right" vertical="center"/>
    </xf>
    <xf numFmtId="49" fontId="78" fillId="9" borderId="3" xfId="0" applyNumberFormat="1" applyFont="1" applyFill="1" applyBorder="1" applyAlignment="1">
      <alignment horizontal="right" vertical="center"/>
    </xf>
    <xf numFmtId="169" fontId="78" fillId="10" borderId="3" xfId="0" applyNumberFormat="1" applyFont="1" applyFill="1" applyBorder="1" applyAlignment="1">
      <alignment horizontal="right" vertical="center"/>
    </xf>
    <xf numFmtId="49" fontId="78" fillId="10" borderId="3" xfId="0" applyNumberFormat="1" applyFont="1" applyFill="1" applyBorder="1" applyAlignment="1">
      <alignment horizontal="right" vertical="center"/>
    </xf>
    <xf numFmtId="169" fontId="78" fillId="11" borderId="3" xfId="0" applyNumberFormat="1" applyFont="1" applyFill="1" applyBorder="1" applyAlignment="1">
      <alignment horizontal="right" vertical="center"/>
    </xf>
    <xf numFmtId="49" fontId="78" fillId="8" borderId="0" xfId="0" applyNumberFormat="1" applyFont="1" applyFill="1" applyBorder="1" applyAlignment="1">
      <alignment horizontal="left" vertical="center"/>
    </xf>
    <xf numFmtId="0" fontId="79" fillId="0" borderId="0" xfId="0" applyNumberFormat="1" applyFont="1"/>
    <xf numFmtId="0" fontId="79" fillId="0" borderId="0" xfId="0" applyFont="1" applyFill="1" applyBorder="1" applyAlignment="1"/>
    <xf numFmtId="182" fontId="78" fillId="9" borderId="3" xfId="0" applyNumberFormat="1" applyFont="1" applyFill="1" applyBorder="1" applyAlignment="1">
      <alignment horizontal="right" vertical="center"/>
    </xf>
    <xf numFmtId="44" fontId="78" fillId="9" borderId="0" xfId="2" applyFont="1" applyFill="1" applyBorder="1" applyAlignment="1">
      <alignment horizontal="right" vertical="center"/>
    </xf>
    <xf numFmtId="43" fontId="79" fillId="0" borderId="0" xfId="1" applyFont="1"/>
    <xf numFmtId="169" fontId="79" fillId="0" borderId="0" xfId="0" applyNumberFormat="1" applyFont="1" applyFill="1" applyBorder="1" applyAlignment="1"/>
    <xf numFmtId="182" fontId="78" fillId="10" borderId="3" xfId="0" applyNumberFormat="1" applyFont="1" applyFill="1" applyBorder="1" applyAlignment="1">
      <alignment horizontal="right" vertical="center"/>
    </xf>
    <xf numFmtId="49" fontId="78" fillId="8" borderId="3" xfId="0" quotePrefix="1" applyNumberFormat="1" applyFont="1" applyFill="1" applyBorder="1" applyAlignment="1">
      <alignment horizontal="left" vertical="center" wrapText="1"/>
    </xf>
    <xf numFmtId="49" fontId="78" fillId="11" borderId="3" xfId="0" applyNumberFormat="1" applyFont="1" applyFill="1" applyBorder="1" applyAlignment="1">
      <alignment horizontal="left" vertical="center"/>
    </xf>
    <xf numFmtId="49" fontId="78" fillId="11" borderId="3" xfId="0" applyNumberFormat="1" applyFont="1" applyFill="1" applyBorder="1" applyAlignment="1">
      <alignment horizontal="right" vertical="center"/>
    </xf>
    <xf numFmtId="49" fontId="78" fillId="11" borderId="0" xfId="0" applyNumberFormat="1" applyFont="1" applyFill="1" applyBorder="1" applyAlignment="1">
      <alignment horizontal="right" vertical="center"/>
    </xf>
    <xf numFmtId="0" fontId="78" fillId="8" borderId="3" xfId="0" quotePrefix="1" applyNumberFormat="1" applyFont="1" applyFill="1" applyBorder="1" applyAlignment="1">
      <alignment horizontal="left" vertical="center" wrapText="1"/>
    </xf>
    <xf numFmtId="0" fontId="78" fillId="11" borderId="3" xfId="0" applyNumberFormat="1" applyFont="1" applyFill="1" applyBorder="1" applyAlignment="1">
      <alignment horizontal="left" vertical="center" wrapText="1"/>
    </xf>
    <xf numFmtId="0" fontId="78" fillId="11" borderId="3" xfId="0" applyNumberFormat="1" applyFont="1" applyFill="1" applyBorder="1" applyAlignment="1">
      <alignment horizontal="right" vertical="center" wrapText="1"/>
    </xf>
    <xf numFmtId="0" fontId="78" fillId="11" borderId="0" xfId="0" applyNumberFormat="1" applyFont="1" applyFill="1" applyBorder="1" applyAlignment="1">
      <alignment horizontal="right" vertical="center" wrapText="1"/>
    </xf>
    <xf numFmtId="49" fontId="78" fillId="8" borderId="3" xfId="0" applyNumberFormat="1" applyFont="1" applyFill="1" applyBorder="1" applyAlignment="1">
      <alignment horizontal="left" vertical="center" wrapText="1"/>
    </xf>
    <xf numFmtId="44" fontId="79" fillId="0" borderId="0" xfId="2" applyFont="1"/>
    <xf numFmtId="49" fontId="78" fillId="11" borderId="3" xfId="0" applyNumberFormat="1" applyFont="1" applyFill="1" applyBorder="1" applyAlignment="1">
      <alignment horizontal="left" vertical="center" wrapText="1"/>
    </xf>
    <xf numFmtId="169" fontId="78" fillId="11" borderId="3" xfId="0" applyNumberFormat="1" applyFont="1" applyFill="1" applyBorder="1" applyAlignment="1">
      <alignment horizontal="right" vertical="center" wrapText="1"/>
    </xf>
    <xf numFmtId="49" fontId="78" fillId="11" borderId="3" xfId="0" applyNumberFormat="1" applyFont="1" applyFill="1" applyBorder="1" applyAlignment="1">
      <alignment horizontal="right" vertical="center" wrapText="1"/>
    </xf>
    <xf numFmtId="49" fontId="78" fillId="11" borderId="0" xfId="0" applyNumberFormat="1" applyFont="1" applyFill="1" applyBorder="1" applyAlignment="1">
      <alignment horizontal="right" vertical="center" wrapText="1"/>
    </xf>
    <xf numFmtId="0" fontId="78" fillId="11" borderId="8" xfId="0" applyNumberFormat="1" applyFont="1" applyFill="1" applyBorder="1" applyAlignment="1">
      <alignment horizontal="left" vertical="center"/>
    </xf>
    <xf numFmtId="0" fontId="78" fillId="11" borderId="8" xfId="0" applyNumberFormat="1" applyFont="1" applyFill="1" applyBorder="1" applyAlignment="1">
      <alignment horizontal="right" vertical="center"/>
    </xf>
    <xf numFmtId="0" fontId="78" fillId="11" borderId="0" xfId="0" applyNumberFormat="1" applyFont="1" applyFill="1" applyBorder="1" applyAlignment="1">
      <alignment horizontal="right" vertical="center"/>
    </xf>
    <xf numFmtId="49"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right" vertical="center"/>
    </xf>
    <xf numFmtId="49" fontId="78" fillId="0" borderId="0" xfId="0" quotePrefix="1" applyNumberFormat="1" applyFont="1" applyFill="1" applyBorder="1" applyAlignment="1">
      <alignment horizontal="left" vertical="center"/>
    </xf>
    <xf numFmtId="49" fontId="78" fillId="0" borderId="0" xfId="0" applyNumberFormat="1" applyFont="1" applyFill="1" applyBorder="1" applyAlignment="1">
      <alignment horizontal="right" vertical="center"/>
    </xf>
    <xf numFmtId="49" fontId="78" fillId="0" borderId="0" xfId="0" applyNumberFormat="1" applyFont="1" applyFill="1" applyBorder="1" applyAlignment="1">
      <alignment vertical="center"/>
    </xf>
    <xf numFmtId="49" fontId="79" fillId="0" borderId="0" xfId="0" applyNumberFormat="1" applyFont="1" applyFill="1" applyBorder="1" applyAlignment="1">
      <alignment vertical="center"/>
    </xf>
    <xf numFmtId="49" fontId="79" fillId="0" borderId="0" xfId="0" applyNumberFormat="1" applyFont="1" applyFill="1" applyBorder="1" applyAlignment="1">
      <alignment horizontal="right" vertical="center"/>
    </xf>
    <xf numFmtId="43" fontId="79" fillId="0" borderId="0" xfId="0" applyNumberFormat="1" applyFont="1" applyFill="1" applyBorder="1" applyAlignment="1"/>
    <xf numFmtId="0" fontId="2" fillId="0" borderId="0" xfId="8" quotePrefix="1" applyFont="1" applyAlignment="1">
      <alignment horizontal="left"/>
    </xf>
    <xf numFmtId="0" fontId="2" fillId="0" borderId="0" xfId="8" applyFont="1" applyAlignment="1"/>
    <xf numFmtId="44" fontId="79" fillId="0" borderId="0" xfId="2" applyFont="1" applyFill="1" applyBorder="1" applyAlignment="1"/>
    <xf numFmtId="165" fontId="79" fillId="0" borderId="0" xfId="0" applyNumberFormat="1" applyFont="1" applyFill="1" applyBorder="1" applyAlignment="1"/>
    <xf numFmtId="2" fontId="78" fillId="8" borderId="3" xfId="0" applyNumberFormat="1" applyFont="1" applyFill="1" applyBorder="1" applyAlignment="1">
      <alignment horizontal="left" vertical="center"/>
    </xf>
    <xf numFmtId="2" fontId="78" fillId="11" borderId="8" xfId="0" applyNumberFormat="1" applyFont="1" applyFill="1" applyBorder="1" applyAlignment="1">
      <alignment horizontal="right" vertical="center"/>
    </xf>
    <xf numFmtId="2" fontId="79" fillId="0" borderId="0" xfId="0" applyNumberFormat="1" applyFont="1" applyAlignment="1"/>
    <xf numFmtId="2" fontId="78" fillId="8" borderId="3" xfId="0" quotePrefix="1" applyNumberFormat="1" applyFont="1" applyFill="1" applyBorder="1" applyAlignment="1">
      <alignment horizontal="left" vertical="center"/>
    </xf>
    <xf numFmtId="2" fontId="78" fillId="0" borderId="0" xfId="0" applyNumberFormat="1" applyFont="1" applyFill="1" applyBorder="1" applyAlignment="1"/>
    <xf numFmtId="2" fontId="78" fillId="11" borderId="1" xfId="0" applyNumberFormat="1" applyFont="1" applyFill="1" applyBorder="1" applyAlignment="1">
      <alignment horizontal="left" vertical="center"/>
    </xf>
    <xf numFmtId="2" fontId="78" fillId="14" borderId="3" xfId="0" applyNumberFormat="1" applyFont="1" applyFill="1" applyBorder="1" applyAlignment="1">
      <alignment horizontal="left" vertical="center"/>
    </xf>
    <xf numFmtId="2" fontId="78" fillId="11" borderId="8" xfId="0" quotePrefix="1" applyNumberFormat="1" applyFont="1" applyFill="1" applyBorder="1" applyAlignment="1">
      <alignment horizontal="right" vertical="center"/>
    </xf>
    <xf numFmtId="2" fontId="78" fillId="14" borderId="0" xfId="0" applyNumberFormat="1" applyFont="1" applyFill="1" applyBorder="1" applyAlignment="1"/>
    <xf numFmtId="2" fontId="79" fillId="0" borderId="0" xfId="1" applyNumberFormat="1" applyFont="1" applyAlignment="1"/>
    <xf numFmtId="49" fontId="78" fillId="8" borderId="8" xfId="0" quotePrefix="1" applyNumberFormat="1" applyFont="1" applyFill="1" applyBorder="1" applyAlignment="1">
      <alignment horizontal="left" vertical="center"/>
    </xf>
    <xf numFmtId="41" fontId="80" fillId="0" borderId="0" xfId="1782" applyFont="1" applyFill="1"/>
    <xf numFmtId="41" fontId="81" fillId="0" borderId="0" xfId="1782" applyFont="1"/>
    <xf numFmtId="41" fontId="81" fillId="0" borderId="0" xfId="1782" applyFont="1" applyFill="1"/>
    <xf numFmtId="41" fontId="81" fillId="0" borderId="0" xfId="1782" quotePrefix="1" applyFont="1" applyFill="1" applyAlignment="1">
      <alignment horizontal="left"/>
    </xf>
    <xf numFmtId="41" fontId="80" fillId="0" borderId="0" xfId="1782" applyFont="1"/>
    <xf numFmtId="41" fontId="81" fillId="0" borderId="0" xfId="1782" applyFont="1" applyFill="1" applyAlignment="1">
      <alignment horizontal="center"/>
    </xf>
    <xf numFmtId="41" fontId="81" fillId="0" borderId="0" xfId="1782" applyFont="1" applyFill="1" applyBorder="1"/>
    <xf numFmtId="41" fontId="81" fillId="0" borderId="0" xfId="1782" applyFont="1" applyFill="1" applyBorder="1" applyAlignment="1">
      <alignment horizontal="center"/>
    </xf>
    <xf numFmtId="41" fontId="81" fillId="0" borderId="0" xfId="1782" applyFont="1" applyBorder="1"/>
    <xf numFmtId="41" fontId="81" fillId="0" borderId="0" xfId="1782" applyFont="1" applyBorder="1" applyAlignment="1">
      <alignment horizontal="center"/>
    </xf>
    <xf numFmtId="175" fontId="81" fillId="0" borderId="0" xfId="2" applyNumberFormat="1" applyFont="1"/>
    <xf numFmtId="41" fontId="81" fillId="0" borderId="0" xfId="1782" quotePrefix="1" applyFont="1" applyFill="1" applyAlignment="1">
      <alignment horizontal="left" indent="1"/>
    </xf>
    <xf numFmtId="175" fontId="84" fillId="0" borderId="0" xfId="2" applyNumberFormat="1" applyFont="1"/>
    <xf numFmtId="41" fontId="81" fillId="0" borderId="0" xfId="1782" applyFont="1" applyFill="1" applyAlignment="1">
      <alignment horizontal="left"/>
    </xf>
    <xf numFmtId="41" fontId="81" fillId="0" borderId="0" xfId="1782" quotePrefix="1" applyFont="1" applyFill="1" applyBorder="1" applyAlignment="1">
      <alignment horizontal="left" indent="1"/>
    </xf>
    <xf numFmtId="41" fontId="81" fillId="0" borderId="0" xfId="0" quotePrefix="1" applyNumberFormat="1" applyFont="1" applyFill="1" applyAlignment="1">
      <alignment horizontal="left"/>
    </xf>
    <xf numFmtId="175" fontId="81" fillId="0" borderId="0" xfId="2" applyNumberFormat="1" applyFont="1" applyFill="1"/>
    <xf numFmtId="41" fontId="81" fillId="0" borderId="0" xfId="0" applyNumberFormat="1" applyFont="1" applyFill="1"/>
    <xf numFmtId="175" fontId="79" fillId="0" borderId="0" xfId="2" applyNumberFormat="1" applyFont="1" applyBorder="1"/>
    <xf numFmtId="41" fontId="81" fillId="3" borderId="9" xfId="1782" applyFont="1" applyFill="1" applyBorder="1"/>
    <xf numFmtId="41" fontId="81" fillId="0" borderId="0" xfId="1782" quotePrefix="1" applyFont="1"/>
    <xf numFmtId="41" fontId="81" fillId="0" borderId="0" xfId="1782" applyFont="1" applyFill="1" applyAlignment="1">
      <alignment horizontal="right"/>
    </xf>
    <xf numFmtId="49" fontId="78" fillId="11" borderId="3" xfId="0" quotePrefix="1" applyNumberFormat="1" applyFont="1" applyFill="1" applyBorder="1" applyAlignment="1">
      <alignment horizontal="left" vertical="center"/>
    </xf>
    <xf numFmtId="165" fontId="78" fillId="11" borderId="4" xfId="1" applyNumberFormat="1" applyFont="1" applyFill="1" applyBorder="1" applyAlignment="1">
      <alignment horizontal="right" vertical="center"/>
    </xf>
    <xf numFmtId="44" fontId="78" fillId="11" borderId="4" xfId="2" applyFont="1" applyFill="1" applyBorder="1" applyAlignment="1">
      <alignment horizontal="right" vertical="center"/>
    </xf>
    <xf numFmtId="2" fontId="4" fillId="8" borderId="3" xfId="0" quotePrefix="1" applyNumberFormat="1" applyFont="1" applyFill="1" applyBorder="1" applyAlignment="1">
      <alignment horizontal="left" vertical="center"/>
    </xf>
    <xf numFmtId="44" fontId="78" fillId="0" borderId="0" xfId="2" applyFont="1" applyFill="1" applyBorder="1" applyAlignment="1"/>
    <xf numFmtId="49" fontId="78" fillId="14" borderId="0" xfId="0" applyNumberFormat="1" applyFont="1" applyFill="1" applyBorder="1" applyAlignment="1">
      <alignment horizontal="right" vertical="center"/>
    </xf>
    <xf numFmtId="44" fontId="79" fillId="14" borderId="0" xfId="2" applyFont="1" applyFill="1"/>
    <xf numFmtId="43" fontId="79" fillId="14" borderId="0" xfId="1" applyFont="1" applyFill="1"/>
    <xf numFmtId="44" fontId="79" fillId="0" borderId="0" xfId="0" applyNumberFormat="1" applyFont="1" applyFill="1" applyBorder="1" applyAlignment="1"/>
    <xf numFmtId="44" fontId="79" fillId="0" borderId="0" xfId="1" applyNumberFormat="1" applyFont="1"/>
    <xf numFmtId="44" fontId="2" fillId="0" borderId="0" xfId="2" applyFont="1" applyAlignment="1"/>
    <xf numFmtId="165" fontId="2" fillId="0" borderId="0" xfId="1" applyNumberFormat="1" applyFont="1" applyAlignment="1"/>
    <xf numFmtId="44" fontId="8" fillId="0" borderId="0" xfId="8" applyNumberFormat="1" applyAlignment="1"/>
    <xf numFmtId="44" fontId="87" fillId="0" borderId="0" xfId="2" applyFont="1" applyAlignment="1"/>
    <xf numFmtId="165" fontId="87" fillId="0" borderId="0" xfId="1" applyNumberFormat="1" applyFont="1" applyAlignment="1"/>
    <xf numFmtId="44" fontId="87" fillId="0" borderId="0" xfId="8" applyNumberFormat="1" applyFont="1" applyAlignment="1"/>
    <xf numFmtId="0" fontId="79" fillId="0" borderId="0" xfId="0" applyFont="1" applyFill="1" applyAlignment="1">
      <alignment horizontal="left"/>
    </xf>
    <xf numFmtId="0" fontId="79" fillId="0" borderId="0" xfId="0" applyFont="1" applyFill="1"/>
    <xf numFmtId="43" fontId="79" fillId="0" borderId="0" xfId="1" applyFont="1" applyFill="1"/>
    <xf numFmtId="167" fontId="79" fillId="0" borderId="0" xfId="1" applyNumberFormat="1" applyFont="1" applyFill="1"/>
    <xf numFmtId="0" fontId="79" fillId="0" borderId="0" xfId="0" applyFont="1"/>
    <xf numFmtId="0" fontId="79" fillId="0" borderId="0" xfId="0" quotePrefix="1" applyFont="1" applyFill="1" applyAlignment="1">
      <alignment horizontal="left"/>
    </xf>
    <xf numFmtId="0" fontId="89" fillId="0" borderId="0" xfId="0" applyFont="1" applyAlignment="1">
      <alignment horizontal="center" wrapText="1"/>
    </xf>
    <xf numFmtId="0" fontId="90" fillId="0" borderId="0" xfId="0" quotePrefix="1" applyFont="1" applyFill="1" applyAlignment="1">
      <alignment horizontal="center" wrapText="1"/>
    </xf>
    <xf numFmtId="0" fontId="89" fillId="0" borderId="0" xfId="0" applyFont="1" applyFill="1" applyAlignment="1">
      <alignment horizontal="center" wrapText="1"/>
    </xf>
    <xf numFmtId="0" fontId="89" fillId="0" borderId="0" xfId="0" quotePrefix="1" applyFont="1" applyFill="1" applyAlignment="1">
      <alignment horizontal="center" wrapText="1"/>
    </xf>
    <xf numFmtId="43" fontId="89" fillId="0" borderId="0" xfId="1" quotePrefix="1" applyFont="1" applyFill="1" applyAlignment="1">
      <alignment horizontal="center" wrapText="1"/>
    </xf>
    <xf numFmtId="167" fontId="89" fillId="0" borderId="0" xfId="1" applyNumberFormat="1" applyFont="1" applyFill="1" applyAlignment="1">
      <alignment horizontal="center" wrapText="1"/>
    </xf>
    <xf numFmtId="0" fontId="89" fillId="0" borderId="0" xfId="0" quotePrefix="1" applyFont="1" applyAlignment="1">
      <alignment horizontal="center" wrapText="1"/>
    </xf>
    <xf numFmtId="0" fontId="89" fillId="0" borderId="0" xfId="0" applyFont="1"/>
    <xf numFmtId="0" fontId="79" fillId="4" borderId="0" xfId="0" applyFont="1" applyFill="1"/>
    <xf numFmtId="14" fontId="79" fillId="4" borderId="0" xfId="0" applyNumberFormat="1" applyFont="1" applyFill="1"/>
    <xf numFmtId="0" fontId="91" fillId="4" borderId="0" xfId="0" applyFont="1" applyFill="1"/>
    <xf numFmtId="165" fontId="86" fillId="2" borderId="0" xfId="1" applyNumberFormat="1" applyFont="1" applyFill="1"/>
    <xf numFmtId="165" fontId="79" fillId="15" borderId="0" xfId="1" applyNumberFormat="1" applyFont="1" applyFill="1"/>
    <xf numFmtId="43" fontId="86" fillId="2" borderId="0" xfId="1" applyFont="1" applyFill="1"/>
    <xf numFmtId="43" fontId="79" fillId="4" borderId="0" xfId="1" applyFont="1" applyFill="1"/>
    <xf numFmtId="43" fontId="79" fillId="15" borderId="0" xfId="1" applyFont="1" applyFill="1"/>
    <xf numFmtId="44" fontId="79" fillId="6" borderId="0" xfId="2" applyFont="1" applyFill="1"/>
    <xf numFmtId="166" fontId="79" fillId="6" borderId="0" xfId="2" applyNumberFormat="1" applyFont="1" applyFill="1"/>
    <xf numFmtId="44" fontId="79" fillId="7" borderId="0" xfId="2" applyFont="1" applyFill="1"/>
    <xf numFmtId="44" fontId="91" fillId="4" borderId="0" xfId="2" applyFont="1" applyFill="1"/>
    <xf numFmtId="44" fontId="86" fillId="2" borderId="0" xfId="2" applyFont="1" applyFill="1"/>
    <xf numFmtId="183" fontId="79" fillId="12" borderId="0" xfId="2" applyNumberFormat="1" applyFont="1" applyFill="1"/>
    <xf numFmtId="44" fontId="79" fillId="5" borderId="0" xfId="2" applyFont="1" applyFill="1"/>
    <xf numFmtId="44" fontId="79" fillId="0" borderId="0" xfId="0" applyNumberFormat="1" applyFont="1"/>
    <xf numFmtId="44" fontId="79" fillId="15" borderId="0" xfId="2" applyFont="1" applyFill="1"/>
    <xf numFmtId="44" fontId="79" fillId="15" borderId="0" xfId="0" applyNumberFormat="1" applyFont="1" applyFill="1"/>
    <xf numFmtId="0" fontId="79" fillId="7" borderId="0" xfId="0" applyFont="1" applyFill="1"/>
    <xf numFmtId="0" fontId="86" fillId="0" borderId="0" xfId="0" applyFont="1" applyFill="1"/>
    <xf numFmtId="165" fontId="86" fillId="0" borderId="0" xfId="0" applyNumberFormat="1" applyFont="1" applyFill="1"/>
    <xf numFmtId="43" fontId="86" fillId="0" borderId="0" xfId="1" applyFont="1" applyFill="1"/>
    <xf numFmtId="165" fontId="79" fillId="0" borderId="0" xfId="0" applyNumberFormat="1" applyFont="1"/>
    <xf numFmtId="165" fontId="79" fillId="0" borderId="0" xfId="1" applyNumberFormat="1" applyFont="1" applyFill="1"/>
    <xf numFmtId="165" fontId="92" fillId="0" borderId="0" xfId="1" applyNumberFormat="1" applyFont="1" applyFill="1"/>
    <xf numFmtId="0" fontId="79" fillId="0" borderId="0" xfId="0" applyFont="1" applyAlignment="1">
      <alignment horizontal="left"/>
    </xf>
    <xf numFmtId="0" fontId="79" fillId="0" borderId="0" xfId="0" quotePrefix="1" applyFont="1" applyAlignment="1">
      <alignment horizontal="left"/>
    </xf>
    <xf numFmtId="49" fontId="78" fillId="8" borderId="1" xfId="0" applyNumberFormat="1" applyFont="1" applyFill="1" applyBorder="1" applyAlignment="1">
      <alignment horizontal="left" vertical="center"/>
    </xf>
    <xf numFmtId="14" fontId="79" fillId="18" borderId="0" xfId="0" applyNumberFormat="1" applyFont="1" applyFill="1"/>
    <xf numFmtId="0" fontId="79" fillId="4" borderId="0" xfId="0" applyFont="1" applyFill="1" applyBorder="1"/>
    <xf numFmtId="14" fontId="79" fillId="4" borderId="0" xfId="0" applyNumberFormat="1" applyFont="1" applyFill="1" applyBorder="1"/>
    <xf numFmtId="0" fontId="91" fillId="4" borderId="0" xfId="0" applyFont="1" applyFill="1" applyBorder="1"/>
    <xf numFmtId="165" fontId="86" fillId="2" borderId="0" xfId="1" applyNumberFormat="1" applyFont="1" applyFill="1" applyBorder="1"/>
    <xf numFmtId="43" fontId="86" fillId="2" borderId="0" xfId="1" applyFont="1" applyFill="1" applyBorder="1"/>
    <xf numFmtId="44" fontId="79" fillId="6" borderId="0" xfId="2" applyFont="1" applyFill="1" applyBorder="1"/>
    <xf numFmtId="166" fontId="79" fillId="6" borderId="0" xfId="2" applyNumberFormat="1" applyFont="1" applyFill="1" applyBorder="1"/>
    <xf numFmtId="44" fontId="79" fillId="7" borderId="0" xfId="2" applyFont="1" applyFill="1" applyBorder="1"/>
    <xf numFmtId="44" fontId="91" fillId="4" borderId="0" xfId="2" applyFont="1" applyFill="1" applyBorder="1"/>
    <xf numFmtId="44" fontId="86" fillId="2" borderId="0" xfId="2" applyFont="1" applyFill="1" applyBorder="1"/>
    <xf numFmtId="183" fontId="79" fillId="12" borderId="0" xfId="2" applyNumberFormat="1" applyFont="1" applyFill="1" applyBorder="1"/>
    <xf numFmtId="44" fontId="79" fillId="5" borderId="0" xfId="2" applyFont="1" applyFill="1" applyBorder="1"/>
    <xf numFmtId="44" fontId="79" fillId="0" borderId="0" xfId="0" applyNumberFormat="1" applyFont="1" applyBorder="1"/>
    <xf numFmtId="44" fontId="79" fillId="15" borderId="0" xfId="2" applyFont="1" applyFill="1" applyBorder="1"/>
    <xf numFmtId="0" fontId="79" fillId="0" borderId="0" xfId="0" applyFont="1" applyBorder="1"/>
    <xf numFmtId="0" fontId="79" fillId="7" borderId="0" xfId="0" applyFont="1" applyFill="1" applyBorder="1"/>
    <xf numFmtId="41" fontId="80" fillId="0" borderId="0" xfId="1782" applyFont="1" applyAlignment="1">
      <alignment horizontal="right"/>
    </xf>
    <xf numFmtId="41" fontId="80" fillId="0" borderId="0" xfId="1782" applyFont="1" applyAlignment="1">
      <alignment horizontal="left"/>
    </xf>
    <xf numFmtId="41" fontId="81" fillId="0" borderId="0" xfId="1782" applyFont="1" applyAlignment="1">
      <alignment horizontal="left"/>
    </xf>
    <xf numFmtId="41" fontId="135" fillId="0" borderId="0" xfId="1782" applyFont="1"/>
    <xf numFmtId="41" fontId="80" fillId="0" borderId="0" xfId="1782" applyFont="1" applyAlignment="1">
      <alignment horizontal="center"/>
    </xf>
    <xf numFmtId="0" fontId="80" fillId="0" borderId="0" xfId="1782" applyNumberFormat="1" applyFont="1" applyAlignment="1">
      <alignment horizontal="center"/>
    </xf>
    <xf numFmtId="41" fontId="81" fillId="0" borderId="0" xfId="1782" applyFont="1" applyAlignment="1">
      <alignment horizontal="center"/>
    </xf>
    <xf numFmtId="41" fontId="81" fillId="14" borderId="0" xfId="1782" applyFont="1" applyFill="1"/>
    <xf numFmtId="41" fontId="81" fillId="0" borderId="0" xfId="1782" quotePrefix="1" applyFont="1" applyAlignment="1">
      <alignment horizontal="left"/>
    </xf>
    <xf numFmtId="41" fontId="81" fillId="0" borderId="0" xfId="1782" applyFont="1" applyAlignment="1">
      <alignment horizontal="right"/>
    </xf>
    <xf numFmtId="41" fontId="81" fillId="0" borderId="0" xfId="1782" quotePrefix="1" applyFont="1" applyAlignment="1">
      <alignment horizontal="right"/>
    </xf>
    <xf numFmtId="0" fontId="82" fillId="0" borderId="0" xfId="0" applyFont="1"/>
    <xf numFmtId="0" fontId="137" fillId="0" borderId="0" xfId="0" quotePrefix="1" applyFont="1" applyAlignment="1">
      <alignment horizontal="right"/>
    </xf>
    <xf numFmtId="41" fontId="80" fillId="0" borderId="0" xfId="1782" applyFont="1" applyFill="1" applyAlignment="1">
      <alignment horizontal="left"/>
    </xf>
    <xf numFmtId="0" fontId="82" fillId="0" borderId="0" xfId="0" applyFont="1" applyAlignment="1">
      <alignment horizontal="center" wrapText="1"/>
    </xf>
    <xf numFmtId="174" fontId="82" fillId="0" borderId="0" xfId="0" applyNumberFormat="1" applyFont="1" applyAlignment="1">
      <alignment horizontal="center" wrapText="1"/>
    </xf>
    <xf numFmtId="0" fontId="82" fillId="0" borderId="0" xfId="0" applyFont="1" applyAlignment="1">
      <alignment horizontal="left" indent="1"/>
    </xf>
    <xf numFmtId="175" fontId="82" fillId="0" borderId="0" xfId="2" applyNumberFormat="1" applyFont="1" applyFill="1"/>
    <xf numFmtId="175" fontId="82" fillId="0" borderId="0" xfId="2" applyNumberFormat="1" applyFont="1"/>
    <xf numFmtId="175" fontId="82" fillId="0" borderId="0" xfId="0" applyNumberFormat="1" applyFont="1"/>
    <xf numFmtId="0" fontId="82" fillId="0" borderId="0" xfId="0" quotePrefix="1" applyFont="1" applyAlignment="1">
      <alignment horizontal="left"/>
    </xf>
    <xf numFmtId="165" fontId="85" fillId="0" borderId="0" xfId="1" applyNumberFormat="1" applyFont="1"/>
    <xf numFmtId="175" fontId="85" fillId="0" borderId="0" xfId="2" applyNumberFormat="1" applyFont="1"/>
    <xf numFmtId="37" fontId="82" fillId="0" borderId="0" xfId="0" applyNumberFormat="1" applyFont="1"/>
    <xf numFmtId="165" fontId="82" fillId="0" borderId="0" xfId="1" applyNumberFormat="1" applyFont="1"/>
    <xf numFmtId="0" fontId="82" fillId="0" borderId="0" xfId="0" applyFont="1" applyAlignment="1">
      <alignment horizontal="left"/>
    </xf>
    <xf numFmtId="37" fontId="82" fillId="0" borderId="0" xfId="0" quotePrefix="1" applyNumberFormat="1" applyFont="1" applyAlignment="1">
      <alignment horizontal="left"/>
    </xf>
    <xf numFmtId="165" fontId="138" fillId="0" borderId="0" xfId="1" applyNumberFormat="1" applyFont="1"/>
    <xf numFmtId="175" fontId="139" fillId="0" borderId="0" xfId="0" applyNumberFormat="1" applyFont="1"/>
    <xf numFmtId="165" fontId="82" fillId="0" borderId="0" xfId="1" applyNumberFormat="1" applyFont="1" applyFill="1"/>
    <xf numFmtId="0" fontId="82" fillId="78" borderId="0" xfId="0" applyFont="1" applyFill="1"/>
    <xf numFmtId="37" fontId="82" fillId="78" borderId="0" xfId="0" applyNumberFormat="1" applyFont="1" applyFill="1"/>
    <xf numFmtId="0" fontId="82" fillId="0" borderId="0" xfId="0" applyFont="1" applyFill="1"/>
    <xf numFmtId="37" fontId="82" fillId="0" borderId="0" xfId="0" applyNumberFormat="1" applyFont="1" applyFill="1"/>
    <xf numFmtId="180" fontId="82" fillId="0" borderId="0" xfId="2" applyNumberFormat="1" applyFont="1"/>
    <xf numFmtId="175" fontId="139" fillId="0" borderId="0" xfId="2" applyNumberFormat="1" applyFont="1"/>
    <xf numFmtId="165" fontId="81" fillId="0" borderId="0" xfId="1" applyNumberFormat="1" applyFont="1"/>
    <xf numFmtId="43" fontId="78" fillId="0" borderId="0" xfId="1" applyFont="1" applyFill="1" applyBorder="1" applyAlignment="1">
      <alignment horizontal="right" vertical="center"/>
    </xf>
    <xf numFmtId="176" fontId="81" fillId="0" borderId="0" xfId="4" applyFont="1" applyBorder="1"/>
    <xf numFmtId="165" fontId="81" fillId="0" borderId="0" xfId="4" applyNumberFormat="1" applyFont="1" applyBorder="1"/>
    <xf numFmtId="44" fontId="81" fillId="0" borderId="0" xfId="2" applyFont="1" applyFill="1" applyBorder="1"/>
    <xf numFmtId="178" fontId="81" fillId="0" borderId="0" xfId="2" applyNumberFormat="1" applyFont="1" applyBorder="1"/>
    <xf numFmtId="165" fontId="81" fillId="0" borderId="0" xfId="1" applyNumberFormat="1" applyFont="1" applyFill="1" applyBorder="1"/>
    <xf numFmtId="166" fontId="81" fillId="0" borderId="0" xfId="2" applyNumberFormat="1" applyFont="1" applyFill="1" applyBorder="1"/>
    <xf numFmtId="165" fontId="81" fillId="0" borderId="0" xfId="1" applyNumberFormat="1" applyFont="1" applyBorder="1"/>
    <xf numFmtId="176" fontId="81" fillId="0" borderId="0" xfId="4" applyFont="1" applyFill="1" applyBorder="1"/>
    <xf numFmtId="175" fontId="81" fillId="0" borderId="0" xfId="2" applyNumberFormat="1" applyFont="1" applyFill="1" applyBorder="1"/>
    <xf numFmtId="165" fontId="81" fillId="0" borderId="0" xfId="4" applyNumberFormat="1" applyFont="1" applyFill="1" applyBorder="1"/>
    <xf numFmtId="175" fontId="84" fillId="0" borderId="0" xfId="2" applyNumberFormat="1" applyFont="1" applyFill="1" applyBorder="1"/>
    <xf numFmtId="179" fontId="81" fillId="0" borderId="0" xfId="4" applyNumberFormat="1" applyFont="1" applyFill="1" applyBorder="1"/>
    <xf numFmtId="176" fontId="81" fillId="0" borderId="0" xfId="4" applyFont="1" applyBorder="1" applyAlignment="1">
      <alignment horizontal="right"/>
    </xf>
    <xf numFmtId="0" fontId="79" fillId="0" borderId="0" xfId="0" applyFont="1" applyAlignment="1">
      <alignment horizontal="center" wrapText="1"/>
    </xf>
    <xf numFmtId="0" fontId="79" fillId="5" borderId="0" xfId="5" quotePrefix="1" applyNumberFormat="1" applyFont="1" applyFill="1" applyAlignment="1">
      <alignment horizontal="left"/>
    </xf>
    <xf numFmtId="0" fontId="79" fillId="4" borderId="0" xfId="0" applyNumberFormat="1" applyFont="1" applyFill="1"/>
    <xf numFmtId="0" fontId="91" fillId="4" borderId="0" xfId="0" quotePrefix="1" applyFont="1" applyFill="1" applyAlignment="1">
      <alignment horizontal="left"/>
    </xf>
    <xf numFmtId="0" fontId="78" fillId="8" borderId="3" xfId="0" applyNumberFormat="1" applyFont="1" applyFill="1" applyBorder="1" applyAlignment="1">
      <alignment horizontal="left" vertical="center"/>
    </xf>
    <xf numFmtId="0" fontId="78" fillId="8" borderId="3" xfId="0" quotePrefix="1" applyNumberFormat="1" applyFont="1" applyFill="1" applyBorder="1" applyAlignment="1">
      <alignment horizontal="left" vertical="center"/>
    </xf>
    <xf numFmtId="0" fontId="79" fillId="4" borderId="0" xfId="0" quotePrefix="1" applyNumberFormat="1" applyFont="1" applyFill="1" applyAlignment="1">
      <alignment horizontal="left"/>
    </xf>
    <xf numFmtId="177" fontId="81" fillId="0" borderId="0" xfId="4" applyNumberFormat="1" applyFont="1" applyBorder="1" applyAlignment="1" applyProtection="1">
      <alignment horizontal="center"/>
    </xf>
    <xf numFmtId="175" fontId="81" fillId="0" borderId="0" xfId="2" applyNumberFormat="1" applyFont="1" applyBorder="1" applyAlignment="1">
      <alignment horizontal="center"/>
    </xf>
    <xf numFmtId="16" fontId="81" fillId="0" borderId="0" xfId="4" quotePrefix="1" applyNumberFormat="1" applyFont="1" applyBorder="1" applyAlignment="1">
      <alignment horizontal="center"/>
    </xf>
    <xf numFmtId="0" fontId="79" fillId="0" borderId="0" xfId="0" applyFont="1" applyFill="1" applyBorder="1"/>
    <xf numFmtId="177" fontId="81" fillId="0" borderId="0" xfId="4" applyNumberFormat="1" applyFont="1" applyBorder="1" applyAlignment="1" applyProtection="1">
      <alignment horizontal="right"/>
    </xf>
    <xf numFmtId="176" fontId="81" fillId="0" borderId="0" xfId="4" applyFont="1" applyBorder="1" applyAlignment="1">
      <alignment horizontal="center"/>
    </xf>
    <xf numFmtId="176" fontId="81" fillId="0" borderId="0" xfId="4" applyFont="1" applyFill="1" applyBorder="1" applyAlignment="1">
      <alignment horizontal="center"/>
    </xf>
    <xf numFmtId="176" fontId="80" fillId="0" borderId="0" xfId="4" quotePrefix="1" applyFont="1" applyBorder="1" applyAlignment="1">
      <alignment horizontal="left"/>
    </xf>
    <xf numFmtId="44" fontId="81" fillId="0" borderId="0" xfId="2" applyFont="1" applyBorder="1"/>
    <xf numFmtId="176" fontId="81" fillId="0" borderId="0" xfId="4" quotePrefix="1" applyFont="1" applyBorder="1" applyAlignment="1">
      <alignment horizontal="center"/>
    </xf>
    <xf numFmtId="43" fontId="81" fillId="0" borderId="0" xfId="1" applyFont="1" applyBorder="1"/>
    <xf numFmtId="0" fontId="90" fillId="0" borderId="0" xfId="4" quotePrefix="1" applyNumberFormat="1" applyFont="1" applyBorder="1" applyAlignment="1">
      <alignment horizontal="left"/>
    </xf>
    <xf numFmtId="0" fontId="86" fillId="0" borderId="0" xfId="0" applyFont="1" applyBorder="1"/>
    <xf numFmtId="176" fontId="81" fillId="0" borderId="0" xfId="4" applyFont="1" applyBorder="1" applyAlignment="1">
      <alignment horizontal="center"/>
    </xf>
    <xf numFmtId="174" fontId="81" fillId="0" borderId="0" xfId="1782" applyNumberFormat="1" applyFont="1" applyAlignment="1">
      <alignment horizontal="center"/>
    </xf>
    <xf numFmtId="41" fontId="80" fillId="0" borderId="0" xfId="1782" applyFont="1" applyFill="1" applyBorder="1" applyAlignment="1">
      <alignment horizontal="center"/>
    </xf>
    <xf numFmtId="41" fontId="80" fillId="0" borderId="0" xfId="1782" applyFont="1" applyFill="1" applyBorder="1" applyAlignment="1">
      <alignment horizontal="left"/>
    </xf>
    <xf numFmtId="41" fontId="80" fillId="0" borderId="0" xfId="1782" applyFont="1" applyBorder="1" applyAlignment="1">
      <alignment horizontal="center" vertical="center" wrapText="1"/>
    </xf>
    <xf numFmtId="0" fontId="79" fillId="0" borderId="0" xfId="0" quotePrefix="1" applyFont="1" applyAlignment="1">
      <alignment horizontal="center" wrapText="1"/>
    </xf>
    <xf numFmtId="41" fontId="81" fillId="0" borderId="0" xfId="1782" applyFont="1" applyFill="1" applyAlignment="1">
      <alignment horizontal="center" vertical="center" wrapText="1"/>
    </xf>
    <xf numFmtId="43" fontId="81" fillId="0" borderId="0" xfId="13" quotePrefix="1" applyFont="1" applyAlignment="1">
      <alignment horizontal="center" wrapText="1"/>
    </xf>
    <xf numFmtId="43" fontId="81" fillId="0" borderId="0" xfId="13" applyFont="1" applyAlignment="1">
      <alignment horizontal="center" wrapText="1"/>
    </xf>
    <xf numFmtId="41" fontId="81" fillId="0" borderId="0" xfId="1782" applyFont="1" applyAlignment="1">
      <alignment horizontal="center" wrapText="1"/>
    </xf>
    <xf numFmtId="0" fontId="143" fillId="0" borderId="6" xfId="1782" quotePrefix="1" applyNumberFormat="1" applyFont="1" applyBorder="1" applyAlignment="1">
      <alignment horizontal="left"/>
    </xf>
    <xf numFmtId="41" fontId="143" fillId="0" borderId="6" xfId="1782" applyFont="1" applyBorder="1"/>
    <xf numFmtId="41" fontId="143" fillId="0" borderId="6" xfId="1782" quotePrefix="1" applyFont="1" applyBorder="1" applyAlignment="1">
      <alignment horizontal="center"/>
    </xf>
    <xf numFmtId="41" fontId="143" fillId="0" borderId="6" xfId="1782" applyFont="1" applyBorder="1" applyAlignment="1">
      <alignment horizontal="center" wrapText="1"/>
    </xf>
    <xf numFmtId="41" fontId="143" fillId="0" borderId="6" xfId="1782" quotePrefix="1" applyFont="1" applyBorder="1" applyAlignment="1">
      <alignment horizontal="center" wrapText="1"/>
    </xf>
    <xf numFmtId="0" fontId="143" fillId="0" borderId="0" xfId="1782" quotePrefix="1" applyNumberFormat="1" applyFont="1" applyBorder="1" applyAlignment="1">
      <alignment horizontal="left"/>
    </xf>
    <xf numFmtId="41" fontId="86" fillId="0" borderId="0" xfId="1782" applyFont="1" applyBorder="1"/>
    <xf numFmtId="41" fontId="143" fillId="0" borderId="0" xfId="1782" quotePrefix="1" applyFont="1" applyBorder="1" applyAlignment="1">
      <alignment horizontal="center"/>
    </xf>
    <xf numFmtId="41" fontId="143" fillId="0" borderId="0" xfId="1782" applyFont="1" applyBorder="1" applyAlignment="1">
      <alignment horizontal="center"/>
    </xf>
    <xf numFmtId="41" fontId="143" fillId="0" borderId="0" xfId="1782" applyFont="1" applyBorder="1" applyAlignment="1">
      <alignment horizontal="center" wrapText="1"/>
    </xf>
    <xf numFmtId="41" fontId="143" fillId="0" borderId="0" xfId="1782" quotePrefix="1" applyFont="1" applyBorder="1" applyAlignment="1">
      <alignment horizontal="center" wrapText="1"/>
    </xf>
    <xf numFmtId="41" fontId="143" fillId="0" borderId="0" xfId="1782" applyFont="1" applyBorder="1"/>
    <xf numFmtId="0" fontId="81" fillId="0" borderId="0" xfId="2103" applyNumberFormat="1" applyFont="1" applyBorder="1"/>
    <xf numFmtId="41" fontId="81" fillId="0" borderId="0" xfId="1782" quotePrefix="1" applyFont="1" applyAlignment="1">
      <alignment horizontal="left" indent="1"/>
    </xf>
    <xf numFmtId="166" fontId="81" fillId="0" borderId="0" xfId="1360" applyNumberFormat="1" applyFont="1"/>
    <xf numFmtId="44" fontId="81" fillId="0" borderId="0" xfId="1360" applyFont="1"/>
    <xf numFmtId="0" fontId="81" fillId="0" borderId="0" xfId="2103" applyNumberFormat="1" applyFont="1" applyBorder="1" applyAlignment="1">
      <alignment horizontal="left"/>
    </xf>
    <xf numFmtId="41" fontId="81" fillId="0" borderId="0" xfId="1782" applyFont="1" applyAlignment="1">
      <alignment horizontal="left" indent="1"/>
    </xf>
    <xf numFmtId="41" fontId="84" fillId="0" borderId="0" xfId="1782" applyFont="1" applyFill="1"/>
    <xf numFmtId="0" fontId="81" fillId="0" borderId="0" xfId="2103" quotePrefix="1" applyNumberFormat="1" applyFont="1" applyBorder="1" applyAlignment="1">
      <alignment horizontal="left"/>
    </xf>
    <xf numFmtId="41" fontId="84" fillId="0" borderId="0" xfId="1782" applyFont="1"/>
    <xf numFmtId="175" fontId="81" fillId="0" borderId="0" xfId="1360" applyNumberFormat="1" applyFont="1"/>
    <xf numFmtId="175" fontId="84" fillId="0" borderId="0" xfId="1360" applyNumberFormat="1" applyFont="1"/>
    <xf numFmtId="44" fontId="84" fillId="0" borderId="0" xfId="1360" applyFont="1"/>
    <xf numFmtId="44" fontId="81" fillId="0" borderId="0" xfId="1360" applyNumberFormat="1" applyFont="1"/>
    <xf numFmtId="0" fontId="79" fillId="0" borderId="0" xfId="0" applyFont="1" applyAlignment="1">
      <alignment horizontal="left" indent="1"/>
    </xf>
    <xf numFmtId="10" fontId="81" fillId="0" borderId="0" xfId="1986" applyNumberFormat="1" applyFont="1"/>
    <xf numFmtId="0" fontId="81" fillId="0" borderId="0" xfId="2103" applyNumberFormat="1" applyFont="1" applyFill="1" applyBorder="1"/>
    <xf numFmtId="0" fontId="81" fillId="0" borderId="0" xfId="13" applyNumberFormat="1" applyFont="1" applyBorder="1" applyAlignment="1" applyProtection="1">
      <alignment horizontal="center"/>
    </xf>
    <xf numFmtId="0" fontId="79" fillId="0" borderId="0" xfId="0" quotePrefix="1" applyFont="1" applyAlignment="1">
      <alignment horizontal="left" indent="1"/>
    </xf>
    <xf numFmtId="41" fontId="81" fillId="0" borderId="0" xfId="1782" applyFont="1" applyFill="1" applyAlignment="1">
      <alignment wrapText="1"/>
    </xf>
    <xf numFmtId="0" fontId="81" fillId="0" borderId="0" xfId="1782" applyNumberFormat="1" applyFont="1"/>
    <xf numFmtId="165" fontId="81" fillId="0" borderId="0" xfId="13" applyNumberFormat="1" applyFont="1"/>
    <xf numFmtId="43" fontId="81" fillId="0" borderId="0" xfId="13" applyFont="1"/>
    <xf numFmtId="43" fontId="81" fillId="0" borderId="0" xfId="1" applyFont="1"/>
    <xf numFmtId="176" fontId="81" fillId="0" borderId="0" xfId="4" quotePrefix="1" applyFont="1" applyBorder="1" applyAlignment="1"/>
    <xf numFmtId="176" fontId="81" fillId="0" borderId="0" xfId="4" applyFont="1" applyBorder="1" applyAlignment="1"/>
    <xf numFmtId="41" fontId="143" fillId="0" borderId="6" xfId="1782" applyFont="1" applyFill="1" applyBorder="1"/>
    <xf numFmtId="41" fontId="143" fillId="0" borderId="0" xfId="1782" applyFont="1" applyFill="1" applyBorder="1"/>
    <xf numFmtId="14" fontId="79" fillId="0" borderId="0" xfId="0" applyNumberFormat="1" applyFont="1" applyFill="1"/>
    <xf numFmtId="41" fontId="80" fillId="0" borderId="0" xfId="1782" quotePrefix="1" applyFont="1" applyFill="1" applyBorder="1" applyAlignment="1">
      <alignment horizontal="center"/>
    </xf>
    <xf numFmtId="165" fontId="81" fillId="0" borderId="0" xfId="13" applyNumberFormat="1" applyFont="1" applyFill="1" applyBorder="1"/>
    <xf numFmtId="41" fontId="81" fillId="0" borderId="6" xfId="1782" applyFont="1" applyFill="1" applyBorder="1"/>
    <xf numFmtId="41" fontId="81" fillId="0" borderId="0" xfId="1782" quotePrefix="1" applyFont="1" applyFill="1" applyBorder="1" applyAlignment="1">
      <alignment horizontal="right"/>
    </xf>
    <xf numFmtId="44" fontId="81" fillId="0" borderId="0" xfId="1360" applyFont="1" applyFill="1" applyBorder="1" applyProtection="1">
      <protection locked="0"/>
    </xf>
    <xf numFmtId="175" fontId="81" fillId="0" borderId="0" xfId="1360" applyNumberFormat="1" applyFont="1" applyFill="1" applyBorder="1"/>
    <xf numFmtId="44" fontId="81" fillId="14" borderId="0" xfId="1360" applyFont="1" applyFill="1" applyBorder="1" applyProtection="1">
      <protection locked="0"/>
    </xf>
    <xf numFmtId="41" fontId="81" fillId="0" borderId="0" xfId="1782" applyFont="1" applyFill="1" applyBorder="1" applyAlignment="1">
      <alignment horizontal="right"/>
    </xf>
    <xf numFmtId="166" fontId="81" fillId="0" borderId="0" xfId="1360" applyNumberFormat="1" applyFont="1" applyFill="1" applyBorder="1" applyProtection="1">
      <protection locked="0"/>
    </xf>
    <xf numFmtId="166" fontId="81" fillId="14" borderId="0" xfId="1360" applyNumberFormat="1" applyFont="1" applyFill="1" applyBorder="1" applyProtection="1">
      <protection locked="0"/>
    </xf>
    <xf numFmtId="41" fontId="81" fillId="0" borderId="0" xfId="1782" applyFont="1" applyFill="1" applyBorder="1" applyAlignment="1">
      <alignment horizontal="left"/>
    </xf>
    <xf numFmtId="175" fontId="84" fillId="0" borderId="0" xfId="1360" applyNumberFormat="1" applyFont="1" applyFill="1" applyBorder="1"/>
    <xf numFmtId="41" fontId="81" fillId="0" borderId="0" xfId="1782" quotePrefix="1" applyFont="1" applyFill="1" applyBorder="1" applyAlignment="1">
      <alignment horizontal="left"/>
    </xf>
    <xf numFmtId="41" fontId="80" fillId="0" borderId="0" xfId="1782" applyFont="1" applyFill="1" applyBorder="1" applyAlignment="1">
      <alignment horizontal="right"/>
    </xf>
    <xf numFmtId="175" fontId="80" fillId="0" borderId="0" xfId="1360" applyNumberFormat="1" applyFont="1" applyFill="1" applyBorder="1"/>
    <xf numFmtId="179" fontId="142" fillId="0" borderId="0" xfId="4" applyNumberFormat="1" applyFont="1" applyFill="1" applyBorder="1"/>
    <xf numFmtId="175" fontId="141" fillId="0" borderId="0" xfId="1360" applyNumberFormat="1" applyFont="1" applyFill="1" applyBorder="1"/>
    <xf numFmtId="175" fontId="136" fillId="0" borderId="0" xfId="1360" applyNumberFormat="1" applyFont="1" applyFill="1" applyBorder="1"/>
    <xf numFmtId="165" fontId="142" fillId="0" borderId="0" xfId="13" applyNumberFormat="1" applyFont="1" applyFill="1" applyBorder="1"/>
    <xf numFmtId="175" fontId="80" fillId="0" borderId="0" xfId="2" applyNumberFormat="1" applyFont="1" applyFill="1" applyBorder="1"/>
    <xf numFmtId="185" fontId="142" fillId="0" borderId="0" xfId="2" applyNumberFormat="1" applyFont="1" applyFill="1" applyBorder="1"/>
    <xf numFmtId="175" fontId="141" fillId="0" borderId="0" xfId="2" applyNumberFormat="1" applyFont="1" applyFill="1" applyBorder="1"/>
    <xf numFmtId="41" fontId="81" fillId="0" borderId="0" xfId="1782" quotePrefix="1" applyFont="1" applyFill="1" applyBorder="1" applyAlignment="1">
      <alignment horizontal="center"/>
    </xf>
    <xf numFmtId="179" fontId="142" fillId="0" borderId="0" xfId="2" applyNumberFormat="1" applyFont="1" applyFill="1" applyBorder="1"/>
    <xf numFmtId="14" fontId="81" fillId="0" borderId="0" xfId="1782" applyNumberFormat="1" applyFont="1" applyFill="1" applyBorder="1" applyAlignment="1">
      <alignment horizontal="center"/>
    </xf>
    <xf numFmtId="165" fontId="81" fillId="0" borderId="0" xfId="13" applyNumberFormat="1" applyFont="1" applyFill="1" applyBorder="1" applyAlignment="1">
      <alignment horizontal="center"/>
    </xf>
    <xf numFmtId="41" fontId="81" fillId="0" borderId="0" xfId="1791" applyFont="1" applyFill="1" applyBorder="1"/>
    <xf numFmtId="41" fontId="80" fillId="0" borderId="0" xfId="1782" applyFont="1" applyFill="1" applyBorder="1"/>
    <xf numFmtId="10" fontId="81" fillId="0" borderId="0" xfId="1986" applyNumberFormat="1" applyFont="1" applyFill="1" applyBorder="1"/>
    <xf numFmtId="176" fontId="80" fillId="0" borderId="0" xfId="4" quotePrefix="1" applyFont="1" applyFill="1" applyBorder="1" applyAlignment="1">
      <alignment horizontal="left"/>
    </xf>
    <xf numFmtId="41" fontId="80" fillId="0" borderId="0" xfId="1782" quotePrefix="1" applyFont="1" applyFill="1" applyBorder="1" applyAlignment="1">
      <alignment horizontal="right"/>
    </xf>
    <xf numFmtId="41" fontId="81" fillId="0" borderId="0" xfId="1793" applyFont="1" applyFill="1" applyBorder="1"/>
    <xf numFmtId="175" fontId="144" fillId="0" borderId="0" xfId="1360" applyNumberFormat="1" applyFont="1" applyFill="1" applyBorder="1"/>
    <xf numFmtId="165" fontId="80" fillId="0" borderId="0" xfId="13" applyNumberFormat="1" applyFont="1" applyFill="1" applyBorder="1" applyAlignment="1">
      <alignment horizontal="left"/>
    </xf>
    <xf numFmtId="176" fontId="81" fillId="0" borderId="0" xfId="4" applyFont="1" applyFill="1" applyBorder="1" applyAlignment="1">
      <alignment horizontal="left"/>
    </xf>
    <xf numFmtId="179" fontId="84" fillId="0" borderId="0" xfId="4" applyNumberFormat="1" applyFont="1" applyFill="1" applyBorder="1"/>
    <xf numFmtId="0" fontId="82" fillId="0" borderId="0" xfId="0" applyFont="1" applyBorder="1"/>
    <xf numFmtId="175" fontId="82" fillId="0" borderId="0" xfId="2" applyNumberFormat="1" applyFont="1" applyBorder="1"/>
    <xf numFmtId="0" fontId="82" fillId="0" borderId="0" xfId="0" applyFont="1" applyFill="1" applyBorder="1"/>
    <xf numFmtId="41" fontId="143" fillId="0" borderId="0" xfId="1782" quotePrefix="1" applyFont="1" applyFill="1" applyBorder="1" applyAlignment="1">
      <alignment horizontal="center"/>
    </xf>
    <xf numFmtId="41" fontId="143" fillId="0" borderId="0" xfId="1782" quotePrefix="1" applyFont="1" applyFill="1" applyBorder="1" applyAlignment="1">
      <alignment horizontal="left"/>
    </xf>
    <xf numFmtId="165" fontId="81" fillId="0" borderId="0" xfId="1" quotePrefix="1" applyNumberFormat="1" applyFont="1" applyBorder="1" applyAlignment="1">
      <alignment horizontal="left" indent="2"/>
    </xf>
    <xf numFmtId="43" fontId="81" fillId="0" borderId="0" xfId="1" quotePrefix="1" applyFont="1" applyBorder="1" applyAlignment="1">
      <alignment horizontal="left" indent="3"/>
    </xf>
    <xf numFmtId="165" fontId="81" fillId="0" borderId="0" xfId="1" quotePrefix="1" applyNumberFormat="1" applyFont="1" applyBorder="1" applyAlignment="1">
      <alignment horizontal="left" indent="4"/>
    </xf>
    <xf numFmtId="41" fontId="143" fillId="0" borderId="0" xfId="1782" applyFont="1" applyFill="1" applyBorder="1" applyAlignment="1">
      <alignment horizontal="left"/>
    </xf>
    <xf numFmtId="176" fontId="80" fillId="0" borderId="0" xfId="4" applyFont="1" applyFill="1" applyBorder="1"/>
    <xf numFmtId="165" fontId="81" fillId="0" borderId="0" xfId="1" quotePrefix="1" applyNumberFormat="1" applyFont="1" applyBorder="1" applyAlignment="1">
      <alignment horizontal="left" indent="1"/>
    </xf>
    <xf numFmtId="165" fontId="81" fillId="0" borderId="0" xfId="1" applyNumberFormat="1" applyFont="1" applyBorder="1" applyAlignment="1">
      <alignment horizontal="left" indent="2"/>
    </xf>
    <xf numFmtId="165" fontId="81" fillId="0" borderId="0" xfId="1" quotePrefix="1" applyNumberFormat="1" applyFont="1" applyBorder="1" applyAlignment="1">
      <alignment horizontal="left" indent="3"/>
    </xf>
    <xf numFmtId="44" fontId="80" fillId="0" borderId="0" xfId="2" applyFont="1" applyFill="1" applyBorder="1"/>
    <xf numFmtId="165" fontId="79" fillId="0" borderId="0" xfId="1" applyNumberFormat="1" applyFont="1" applyBorder="1"/>
    <xf numFmtId="175" fontId="79" fillId="0" borderId="0" xfId="2" applyNumberFormat="1" applyFont="1" applyFill="1" applyBorder="1"/>
    <xf numFmtId="43" fontId="86" fillId="0" borderId="0" xfId="1" applyFont="1" applyBorder="1" applyAlignment="1">
      <alignment horizontal="left" indent="1"/>
    </xf>
    <xf numFmtId="175" fontId="83" fillId="0" borderId="0" xfId="2" applyNumberFormat="1" applyFont="1" applyFill="1" applyBorder="1"/>
    <xf numFmtId="175" fontId="79" fillId="0" borderId="0" xfId="0" applyNumberFormat="1" applyFont="1" applyFill="1" applyBorder="1"/>
    <xf numFmtId="189" fontId="79" fillId="0" borderId="0" xfId="0" applyNumberFormat="1" applyFont="1" applyFill="1" applyBorder="1"/>
    <xf numFmtId="43" fontId="81" fillId="0" borderId="0" xfId="1" applyFont="1" applyBorder="1" applyAlignment="1">
      <alignment horizontal="left" indent="2"/>
    </xf>
    <xf numFmtId="41" fontId="81" fillId="0" borderId="0" xfId="1782" applyFont="1" applyFill="1" applyBorder="1" applyAlignment="1">
      <alignment horizontal="left" indent="1"/>
    </xf>
    <xf numFmtId="176" fontId="80" fillId="0" borderId="0" xfId="4" applyFont="1" applyFill="1" applyBorder="1" applyAlignment="1">
      <alignment horizontal="left" indent="5"/>
    </xf>
    <xf numFmtId="41" fontId="81" fillId="0" borderId="0" xfId="1782" applyFont="1" applyFill="1" applyAlignment="1">
      <alignment horizontal="left" indent="1"/>
    </xf>
    <xf numFmtId="43" fontId="79" fillId="0" borderId="0" xfId="0" applyNumberFormat="1" applyFont="1"/>
    <xf numFmtId="41" fontId="145" fillId="0" borderId="0" xfId="1782" applyFont="1" applyFill="1"/>
    <xf numFmtId="10" fontId="82" fillId="0" borderId="0" xfId="1986" applyNumberFormat="1" applyFont="1"/>
    <xf numFmtId="10" fontId="85" fillId="0" borderId="0" xfId="1986" applyNumberFormat="1" applyFont="1"/>
    <xf numFmtId="41" fontId="82" fillId="0" borderId="0" xfId="0" applyNumberFormat="1" applyFont="1"/>
    <xf numFmtId="10" fontId="81" fillId="0" borderId="0" xfId="3" applyNumberFormat="1" applyFont="1" applyBorder="1"/>
    <xf numFmtId="175" fontId="139" fillId="0" borderId="0" xfId="1360" applyNumberFormat="1" applyFont="1" applyBorder="1"/>
    <xf numFmtId="175" fontId="82" fillId="0" borderId="0" xfId="1360" applyNumberFormat="1" applyFont="1" applyBorder="1"/>
    <xf numFmtId="10" fontId="146" fillId="0" borderId="0" xfId="1986" applyNumberFormat="1" applyFont="1" applyBorder="1"/>
    <xf numFmtId="175" fontId="82" fillId="0" borderId="36" xfId="1360" applyNumberFormat="1" applyFont="1" applyBorder="1"/>
    <xf numFmtId="175" fontId="81" fillId="0" borderId="0" xfId="1782" quotePrefix="1" applyNumberFormat="1" applyFont="1"/>
    <xf numFmtId="10" fontId="82" fillId="0" borderId="36" xfId="1986" applyNumberFormat="1" applyFont="1" applyBorder="1"/>
    <xf numFmtId="41" fontId="80" fillId="0" borderId="0" xfId="1782" quotePrefix="1" applyFont="1" applyBorder="1" applyAlignment="1">
      <alignment horizontal="right"/>
    </xf>
    <xf numFmtId="41" fontId="80" fillId="0" borderId="0" xfId="1782" applyFont="1" applyBorder="1" applyAlignment="1">
      <alignment horizontal="left"/>
    </xf>
    <xf numFmtId="41" fontId="81" fillId="0" borderId="0" xfId="1782" applyFont="1" applyBorder="1" applyAlignment="1">
      <alignment horizontal="left"/>
    </xf>
    <xf numFmtId="44" fontId="79" fillId="0" borderId="0" xfId="2" applyFont="1" applyBorder="1"/>
    <xf numFmtId="176" fontId="80" fillId="0" borderId="0" xfId="4" applyFont="1" applyFill="1" applyBorder="1" applyAlignment="1">
      <alignment horizontal="left"/>
    </xf>
    <xf numFmtId="193" fontId="79" fillId="3" borderId="0" xfId="0" applyNumberFormat="1" applyFont="1" applyFill="1" applyBorder="1"/>
    <xf numFmtId="176" fontId="80" fillId="0" borderId="0" xfId="4" quotePrefix="1" applyFont="1" applyFill="1" applyBorder="1" applyAlignment="1">
      <alignment horizontal="left" indent="2"/>
    </xf>
    <xf numFmtId="175" fontId="81" fillId="0" borderId="0" xfId="2" applyNumberFormat="1" applyFont="1" applyFill="1" applyBorder="1" applyAlignment="1">
      <alignment horizontal="right"/>
    </xf>
    <xf numFmtId="9" fontId="81" fillId="0" borderId="0" xfId="1782" applyNumberFormat="1" applyFont="1" applyFill="1" applyBorder="1"/>
    <xf numFmtId="165" fontId="79" fillId="0" borderId="0" xfId="0" applyNumberFormat="1" applyFont="1" applyBorder="1"/>
    <xf numFmtId="176" fontId="80" fillId="0" borderId="0" xfId="4" quotePrefix="1" applyFont="1" applyFill="1" applyBorder="1" applyAlignment="1">
      <alignment horizontal="left" indent="5"/>
    </xf>
    <xf numFmtId="176" fontId="80" fillId="0" borderId="0" xfId="4" applyFont="1" applyFill="1" applyBorder="1" applyAlignment="1">
      <alignment horizontal="left" indent="2"/>
    </xf>
    <xf numFmtId="165" fontId="81" fillId="0" borderId="0" xfId="13" applyNumberFormat="1" applyFont="1" applyFill="1" applyBorder="1" applyAlignment="1">
      <alignment horizontal="left"/>
    </xf>
    <xf numFmtId="175" fontId="81" fillId="0" borderId="0" xfId="1360" applyNumberFormat="1" applyFont="1" applyFill="1" applyBorder="1" applyAlignment="1">
      <alignment horizontal="right"/>
    </xf>
    <xf numFmtId="9" fontId="81" fillId="0" borderId="0" xfId="1986" applyFont="1" applyFill="1" applyBorder="1"/>
    <xf numFmtId="10" fontId="79" fillId="0" borderId="0" xfId="3" applyNumberFormat="1" applyFont="1" applyBorder="1"/>
    <xf numFmtId="0" fontId="86" fillId="0" borderId="0" xfId="0" applyFont="1" applyFill="1" applyBorder="1"/>
    <xf numFmtId="0" fontId="143" fillId="0" borderId="0" xfId="0" applyFont="1" applyFill="1" applyBorder="1"/>
    <xf numFmtId="44" fontId="86" fillId="0" borderId="0" xfId="2" applyFont="1" applyBorder="1"/>
    <xf numFmtId="44" fontId="86" fillId="0" borderId="0" xfId="2" applyFont="1" applyFill="1" applyBorder="1"/>
    <xf numFmtId="0" fontId="86" fillId="0" borderId="0" xfId="0" quotePrefix="1" applyFont="1" applyBorder="1" applyAlignment="1">
      <alignment horizontal="left"/>
    </xf>
    <xf numFmtId="175" fontId="80" fillId="0" borderId="0" xfId="2" applyNumberFormat="1" applyFont="1" applyFill="1" applyBorder="1" applyAlignment="1">
      <alignment horizontal="right"/>
    </xf>
    <xf numFmtId="0" fontId="79" fillId="0" borderId="0" xfId="0" quotePrefix="1" applyFont="1" applyBorder="1" applyAlignment="1">
      <alignment horizontal="left"/>
    </xf>
    <xf numFmtId="175" fontId="79" fillId="0" borderId="0" xfId="0" applyNumberFormat="1" applyFont="1" applyBorder="1"/>
    <xf numFmtId="175" fontId="79" fillId="0" borderId="0" xfId="2" applyNumberFormat="1" applyFont="1" applyFill="1" applyBorder="1" applyAlignment="1">
      <alignment horizontal="right"/>
    </xf>
    <xf numFmtId="175" fontId="84" fillId="0" borderId="0" xfId="2" applyNumberFormat="1" applyFont="1" applyFill="1" applyBorder="1" applyAlignment="1">
      <alignment horizontal="right"/>
    </xf>
    <xf numFmtId="175" fontId="80" fillId="0" borderId="0" xfId="1360" applyNumberFormat="1" applyFont="1" applyFill="1" applyBorder="1" applyAlignment="1">
      <alignment horizontal="right"/>
    </xf>
    <xf numFmtId="175" fontId="79" fillId="0" borderId="0" xfId="0" applyNumberFormat="1" applyFont="1" applyBorder="1" applyAlignment="1">
      <alignment horizontal="left"/>
    </xf>
    <xf numFmtId="176" fontId="80" fillId="0" borderId="53" xfId="4" applyFont="1" applyFill="1" applyBorder="1" applyAlignment="1">
      <alignment horizontal="left"/>
    </xf>
    <xf numFmtId="41" fontId="80" fillId="0" borderId="53" xfId="1782" quotePrefix="1" applyFont="1" applyFill="1" applyBorder="1" applyAlignment="1">
      <alignment horizontal="center"/>
    </xf>
    <xf numFmtId="41" fontId="81" fillId="0" borderId="53" xfId="1782" applyFont="1" applyFill="1" applyBorder="1" applyAlignment="1">
      <alignment horizontal="center"/>
    </xf>
    <xf numFmtId="41" fontId="81" fillId="0" borderId="53" xfId="1782" applyFont="1" applyFill="1" applyBorder="1"/>
    <xf numFmtId="41" fontId="81" fillId="0" borderId="53" xfId="1782" applyFont="1" applyFill="1" applyBorder="1" applyAlignment="1">
      <alignment horizontal="right"/>
    </xf>
    <xf numFmtId="176" fontId="80" fillId="0" borderId="6" xfId="4" applyFont="1" applyFill="1" applyBorder="1"/>
    <xf numFmtId="41" fontId="81" fillId="0" borderId="6" xfId="1782" applyFont="1" applyFill="1" applyBorder="1" applyAlignment="1">
      <alignment horizontal="center"/>
    </xf>
    <xf numFmtId="14" fontId="81" fillId="0" borderId="6" xfId="1782" applyNumberFormat="1" applyFont="1" applyFill="1" applyBorder="1" applyAlignment="1">
      <alignment horizontal="center"/>
    </xf>
    <xf numFmtId="41" fontId="81" fillId="0" borderId="6" xfId="1782" applyFont="1" applyFill="1" applyBorder="1" applyAlignment="1">
      <alignment horizontal="right"/>
    </xf>
    <xf numFmtId="176" fontId="81" fillId="0" borderId="53" xfId="4" quotePrefix="1" applyFont="1" applyBorder="1" applyAlignment="1">
      <alignment horizontal="center"/>
    </xf>
    <xf numFmtId="176" fontId="81" fillId="0" borderId="53" xfId="4" applyFont="1" applyBorder="1" applyAlignment="1">
      <alignment horizontal="center"/>
    </xf>
    <xf numFmtId="176" fontId="81" fillId="0" borderId="6" xfId="4" quotePrefix="1" applyFont="1" applyBorder="1" applyAlignment="1">
      <alignment horizontal="center"/>
    </xf>
    <xf numFmtId="176" fontId="81" fillId="0" borderId="6" xfId="4" applyFont="1" applyBorder="1" applyAlignment="1">
      <alignment horizontal="center"/>
    </xf>
    <xf numFmtId="14" fontId="82" fillId="0" borderId="0" xfId="0" applyNumberFormat="1" applyFont="1" applyBorder="1"/>
    <xf numFmtId="0" fontId="82" fillId="0" borderId="0" xfId="0" quotePrefix="1" applyFont="1" applyBorder="1" applyAlignment="1">
      <alignment horizontal="left"/>
    </xf>
    <xf numFmtId="177" fontId="81" fillId="0" borderId="0" xfId="4" applyNumberFormat="1" applyFont="1" applyFill="1" applyBorder="1" applyProtection="1"/>
    <xf numFmtId="177" fontId="140" fillId="0" borderId="0" xfId="4" applyNumberFormat="1" applyFont="1" applyFill="1" applyBorder="1" applyProtection="1"/>
    <xf numFmtId="10" fontId="81" fillId="0" borderId="0" xfId="1782" applyNumberFormat="1" applyFont="1" applyFill="1" applyBorder="1"/>
    <xf numFmtId="9" fontId="81" fillId="0" borderId="0" xfId="3" applyFont="1" applyFill="1" applyBorder="1"/>
    <xf numFmtId="43" fontId="81" fillId="0" borderId="0" xfId="1" applyFont="1" applyFill="1" applyBorder="1"/>
    <xf numFmtId="43" fontId="84" fillId="0" borderId="0" xfId="1" applyFont="1" applyFill="1" applyBorder="1"/>
    <xf numFmtId="186" fontId="81" fillId="0" borderId="0" xfId="1782" applyNumberFormat="1" applyFont="1" applyFill="1" applyBorder="1"/>
    <xf numFmtId="176" fontId="80" fillId="0" borderId="0" xfId="4" applyFont="1" applyFill="1" applyBorder="1" applyAlignment="1">
      <alignment horizontal="right"/>
    </xf>
    <xf numFmtId="0" fontId="81" fillId="0" borderId="0" xfId="1782" applyNumberFormat="1" applyFont="1" applyFill="1" applyBorder="1"/>
    <xf numFmtId="44" fontId="81" fillId="0" borderId="0" xfId="1360" applyFont="1" applyFill="1" applyBorder="1"/>
    <xf numFmtId="188" fontId="81" fillId="0" borderId="0" xfId="1986" applyNumberFormat="1" applyFont="1" applyFill="1" applyBorder="1"/>
    <xf numFmtId="187" fontId="81" fillId="0" borderId="0" xfId="1782" applyNumberFormat="1" applyFont="1" applyFill="1" applyBorder="1"/>
    <xf numFmtId="41" fontId="84" fillId="0" borderId="0" xfId="1782" applyFont="1" applyFill="1" applyBorder="1"/>
    <xf numFmtId="165" fontId="80" fillId="0" borderId="0" xfId="13" quotePrefix="1" applyNumberFormat="1" applyFont="1" applyFill="1" applyBorder="1" applyAlignment="1">
      <alignment horizontal="right"/>
    </xf>
    <xf numFmtId="41" fontId="142" fillId="0" borderId="0" xfId="1782" applyFont="1" applyFill="1" applyBorder="1"/>
    <xf numFmtId="10" fontId="81" fillId="0" borderId="0" xfId="1782" applyNumberFormat="1" applyFont="1" applyFill="1" applyBorder="1" applyAlignment="1">
      <alignment horizontal="right"/>
    </xf>
    <xf numFmtId="177" fontId="140" fillId="0" borderId="53" xfId="4" applyNumberFormat="1" applyFont="1" applyFill="1" applyBorder="1" applyProtection="1"/>
    <xf numFmtId="176" fontId="81" fillId="0" borderId="53" xfId="4" applyFont="1" applyBorder="1"/>
    <xf numFmtId="176" fontId="142" fillId="0" borderId="53" xfId="4" quotePrefix="1" applyFont="1" applyBorder="1" applyAlignment="1">
      <alignment horizontal="center"/>
    </xf>
    <xf numFmtId="176" fontId="142" fillId="0" borderId="53" xfId="4" applyFont="1" applyBorder="1" applyAlignment="1">
      <alignment horizontal="center"/>
    </xf>
    <xf numFmtId="177" fontId="140" fillId="0" borderId="6" xfId="4" applyNumberFormat="1" applyFont="1" applyFill="1" applyBorder="1" applyProtection="1"/>
    <xf numFmtId="16" fontId="81" fillId="0" borderId="6" xfId="4" quotePrefix="1" applyNumberFormat="1" applyFont="1" applyBorder="1" applyAlignment="1">
      <alignment horizontal="center"/>
    </xf>
    <xf numFmtId="177" fontId="81" fillId="0" borderId="6" xfId="4" applyNumberFormat="1" applyFont="1" applyBorder="1" applyAlignment="1" applyProtection="1">
      <alignment horizontal="center"/>
    </xf>
    <xf numFmtId="175" fontId="81" fillId="0" borderId="6" xfId="2" applyNumberFormat="1" applyFont="1" applyBorder="1" applyAlignment="1">
      <alignment horizontal="center"/>
    </xf>
    <xf numFmtId="177" fontId="81" fillId="0" borderId="53" xfId="4" applyNumberFormat="1" applyFont="1" applyFill="1" applyBorder="1" applyProtection="1"/>
    <xf numFmtId="177" fontId="81" fillId="0" borderId="6" xfId="4" applyNumberFormat="1" applyFont="1" applyFill="1" applyBorder="1" applyProtection="1"/>
    <xf numFmtId="0" fontId="82" fillId="0" borderId="0" xfId="0" quotePrefix="1" applyFont="1" applyFill="1" applyBorder="1" applyAlignment="1">
      <alignment horizontal="left"/>
    </xf>
    <xf numFmtId="43" fontId="80" fillId="0" borderId="0" xfId="1" quotePrefix="1" applyFont="1" applyAlignment="1">
      <alignment horizontal="left"/>
    </xf>
    <xf numFmtId="165" fontId="148" fillId="104" borderId="0" xfId="1" applyNumberFormat="1" applyFont="1" applyFill="1"/>
    <xf numFmtId="0" fontId="74" fillId="0" borderId="0" xfId="0" applyFont="1"/>
    <xf numFmtId="0" fontId="149" fillId="104" borderId="0" xfId="0" applyFont="1" applyFill="1"/>
    <xf numFmtId="165" fontId="149" fillId="104" borderId="0" xfId="1" applyNumberFormat="1" applyFont="1" applyFill="1" applyAlignment="1"/>
    <xf numFmtId="165" fontId="74" fillId="0" borderId="0" xfId="1" applyNumberFormat="1" applyFont="1" applyAlignment="1"/>
    <xf numFmtId="0" fontId="74" fillId="0" borderId="0" xfId="0" applyFont="1" applyAlignment="1"/>
    <xf numFmtId="0" fontId="149" fillId="104" borderId="0" xfId="0" applyFont="1" applyFill="1" applyAlignment="1"/>
    <xf numFmtId="0" fontId="74" fillId="0" borderId="0" xfId="0" applyFont="1" applyFill="1" applyAlignment="1"/>
    <xf numFmtId="165" fontId="147" fillId="0" borderId="0" xfId="1" applyNumberFormat="1" applyFont="1" applyFill="1"/>
    <xf numFmtId="207" fontId="147" fillId="0" borderId="0" xfId="1" applyNumberFormat="1" applyFont="1" applyFill="1" applyBorder="1"/>
    <xf numFmtId="0" fontId="74" fillId="0" borderId="0" xfId="0" applyFont="1" applyFill="1" applyBorder="1" applyAlignment="1"/>
    <xf numFmtId="0" fontId="74" fillId="0" borderId="0" xfId="0" applyFont="1" applyBorder="1" applyAlignment="1"/>
    <xf numFmtId="165" fontId="74" fillId="0" borderId="0" xfId="1" applyNumberFormat="1" applyFont="1" applyBorder="1" applyAlignment="1"/>
    <xf numFmtId="207" fontId="147" fillId="0" borderId="0" xfId="1" applyNumberFormat="1" applyFont="1" applyFill="1" applyBorder="1" applyAlignment="1"/>
    <xf numFmtId="17" fontId="79" fillId="0" borderId="0" xfId="0" applyNumberFormat="1" applyFont="1" applyAlignment="1"/>
    <xf numFmtId="49" fontId="150" fillId="76" borderId="0" xfId="5" applyNumberFormat="1" applyFont="1" applyFill="1" applyBorder="1" applyAlignment="1">
      <alignment horizontal="center" vertical="center"/>
    </xf>
    <xf numFmtId="0" fontId="150" fillId="76" borderId="0" xfId="5" applyNumberFormat="1" applyFont="1" applyFill="1" applyBorder="1" applyAlignment="1">
      <alignment horizontal="center" vertical="center"/>
    </xf>
    <xf numFmtId="49" fontId="150" fillId="8" borderId="0" xfId="2109" applyNumberFormat="1" applyFont="1" applyFill="1" applyBorder="1" applyAlignment="1">
      <alignment vertical="center"/>
    </xf>
    <xf numFmtId="49" fontId="150" fillId="8" borderId="0" xfId="2109" applyNumberFormat="1" applyFont="1" applyFill="1" applyBorder="1" applyAlignment="1">
      <alignment horizontal="center" vertical="center"/>
    </xf>
    <xf numFmtId="49" fontId="150" fillId="8" borderId="3" xfId="0" applyNumberFormat="1" applyFont="1" applyFill="1" applyBorder="1" applyAlignment="1">
      <alignment horizontal="left" vertical="center"/>
    </xf>
    <xf numFmtId="49" fontId="150" fillId="8" borderId="35" xfId="0" applyNumberFormat="1" applyFont="1" applyFill="1" applyBorder="1" applyAlignment="1">
      <alignment horizontal="left" vertical="center"/>
    </xf>
    <xf numFmtId="49" fontId="150" fillId="8" borderId="34" xfId="2109" applyNumberFormat="1" applyFont="1" applyFill="1" applyBorder="1" applyAlignment="1">
      <alignment vertical="center"/>
    </xf>
    <xf numFmtId="49" fontId="150" fillId="8" borderId="34" xfId="0" applyNumberFormat="1" applyFont="1" applyFill="1" applyBorder="1" applyAlignment="1">
      <alignment horizontal="center" vertical="center"/>
    </xf>
    <xf numFmtId="49" fontId="150" fillId="8" borderId="0" xfId="0" applyNumberFormat="1" applyFont="1" applyFill="1" applyBorder="1" applyAlignment="1">
      <alignment horizontal="center" vertical="center"/>
    </xf>
    <xf numFmtId="49" fontId="150" fillId="0" borderId="0" xfId="2109" applyNumberFormat="1" applyFont="1" applyFill="1" applyBorder="1" applyAlignment="1">
      <alignment horizontal="center" vertical="center"/>
    </xf>
    <xf numFmtId="49" fontId="79" fillId="8" borderId="1" xfId="0" applyNumberFormat="1" applyFont="1" applyFill="1" applyBorder="1" applyAlignment="1">
      <alignment horizontal="left" vertical="center"/>
    </xf>
    <xf numFmtId="49" fontId="79" fillId="8" borderId="2" xfId="0" applyNumberFormat="1" applyFont="1" applyFill="1" applyBorder="1" applyAlignment="1">
      <alignment horizontal="left" vertical="center"/>
    </xf>
    <xf numFmtId="49" fontId="78" fillId="8" borderId="3" xfId="0" applyNumberFormat="1" applyFont="1" applyFill="1" applyBorder="1" applyAlignment="1">
      <alignment horizontal="right" vertical="center"/>
    </xf>
    <xf numFmtId="43" fontId="78" fillId="2" borderId="0" xfId="7" applyFont="1" applyFill="1" applyBorder="1" applyAlignment="1">
      <alignment horizontal="right" vertical="center"/>
    </xf>
    <xf numFmtId="49" fontId="150" fillId="0" borderId="0" xfId="0" applyNumberFormat="1" applyFont="1" applyFill="1" applyBorder="1" applyAlignment="1">
      <alignment horizontal="center" vertical="center"/>
    </xf>
    <xf numFmtId="49" fontId="79" fillId="8" borderId="3" xfId="0" applyNumberFormat="1" applyFont="1" applyFill="1" applyBorder="1" applyAlignment="1">
      <alignment horizontal="right" vertical="center"/>
    </xf>
    <xf numFmtId="43" fontId="78" fillId="0" borderId="0" xfId="7" applyFont="1" applyFill="1" applyBorder="1" applyAlignment="1">
      <alignment horizontal="right" vertical="center"/>
    </xf>
    <xf numFmtId="168" fontId="78" fillId="9" borderId="3" xfId="0" applyNumberFormat="1" applyFont="1" applyFill="1" applyBorder="1" applyAlignment="1">
      <alignment horizontal="right" vertical="center"/>
    </xf>
    <xf numFmtId="49" fontId="78" fillId="0" borderId="0" xfId="7" applyNumberFormat="1" applyFont="1" applyFill="1" applyBorder="1" applyAlignment="1">
      <alignment horizontal="right" vertical="center"/>
    </xf>
    <xf numFmtId="168" fontId="78" fillId="10" borderId="3" xfId="0" applyNumberFormat="1" applyFont="1" applyFill="1" applyBorder="1" applyAlignment="1">
      <alignment horizontal="right" vertical="center"/>
    </xf>
    <xf numFmtId="175" fontId="78" fillId="9" borderId="3" xfId="2" applyNumberFormat="1" applyFont="1" applyFill="1" applyBorder="1" applyAlignment="1">
      <alignment horizontal="right" vertical="center"/>
    </xf>
    <xf numFmtId="0" fontId="78" fillId="76" borderId="0" xfId="0" applyNumberFormat="1" applyFont="1" applyFill="1" applyBorder="1" applyAlignment="1">
      <alignment horizontal="left" vertical="center"/>
    </xf>
    <xf numFmtId="49" fontId="78" fillId="11" borderId="1" xfId="0" applyNumberFormat="1" applyFont="1" applyFill="1" applyBorder="1" applyAlignment="1">
      <alignment vertical="center"/>
    </xf>
    <xf numFmtId="49" fontId="78" fillId="11" borderId="2" xfId="0" applyNumberFormat="1" applyFont="1" applyFill="1" applyBorder="1" applyAlignment="1">
      <alignment vertical="center"/>
    </xf>
    <xf numFmtId="168" fontId="78" fillId="11" borderId="3" xfId="0" applyNumberFormat="1" applyFont="1" applyFill="1" applyBorder="1" applyAlignment="1">
      <alignment horizontal="right" vertical="center"/>
    </xf>
    <xf numFmtId="49" fontId="78" fillId="9" borderId="3" xfId="0" applyNumberFormat="1" applyFont="1" applyFill="1" applyBorder="1" applyAlignment="1">
      <alignment horizontal="left" vertical="center"/>
    </xf>
    <xf numFmtId="49" fontId="78" fillId="10" borderId="3" xfId="0" applyNumberFormat="1" applyFont="1" applyFill="1" applyBorder="1" applyAlignment="1">
      <alignment horizontal="left" vertical="center"/>
    </xf>
    <xf numFmtId="169" fontId="78" fillId="10" borderId="3" xfId="0" applyNumberFormat="1" applyFont="1" applyFill="1" applyBorder="1" applyAlignment="1">
      <alignment horizontal="left" vertical="center"/>
    </xf>
    <xf numFmtId="169" fontId="78" fillId="9" borderId="3" xfId="0" applyNumberFormat="1" applyFont="1" applyFill="1" applyBorder="1" applyAlignment="1">
      <alignment horizontal="left" vertical="center"/>
    </xf>
    <xf numFmtId="0" fontId="79" fillId="0" borderId="0" xfId="0" applyFont="1" applyAlignment="1"/>
    <xf numFmtId="49" fontId="78" fillId="8" borderId="3" xfId="0" applyNumberFormat="1" applyFont="1" applyFill="1" applyBorder="1" applyAlignment="1">
      <alignment horizontal="right" vertical="center" wrapText="1"/>
    </xf>
    <xf numFmtId="169" fontId="78" fillId="103" borderId="3" xfId="0" applyNumberFormat="1" applyFont="1" applyFill="1" applyBorder="1" applyAlignment="1">
      <alignment horizontal="right" vertical="center" wrapText="1"/>
    </xf>
    <xf numFmtId="49" fontId="78" fillId="103" borderId="3" xfId="0" applyNumberFormat="1" applyFont="1" applyFill="1" applyBorder="1" applyAlignment="1">
      <alignment horizontal="right" vertical="center" wrapText="1"/>
    </xf>
    <xf numFmtId="168" fontId="78" fillId="103" borderId="3" xfId="0" applyNumberFormat="1" applyFont="1" applyFill="1" applyBorder="1" applyAlignment="1">
      <alignment horizontal="right" vertical="center" wrapText="1"/>
    </xf>
    <xf numFmtId="168" fontId="78" fillId="11" borderId="3" xfId="0" applyNumberFormat="1" applyFont="1" applyFill="1" applyBorder="1" applyAlignment="1">
      <alignment horizontal="right" vertical="center" wrapText="1"/>
    </xf>
    <xf numFmtId="172" fontId="78" fillId="11" borderId="3" xfId="0" applyNumberFormat="1" applyFont="1" applyFill="1" applyBorder="1" applyAlignment="1">
      <alignment horizontal="right" vertical="center" wrapText="1"/>
    </xf>
    <xf numFmtId="172" fontId="78" fillId="11" borderId="3" xfId="0" applyNumberFormat="1" applyFont="1" applyFill="1" applyBorder="1" applyAlignment="1">
      <alignment horizontal="right" vertical="center"/>
    </xf>
    <xf numFmtId="49" fontId="78" fillId="103" borderId="3" xfId="0" applyNumberFormat="1" applyFont="1" applyFill="1" applyBorder="1" applyAlignment="1">
      <alignment horizontal="right" vertical="center"/>
    </xf>
    <xf numFmtId="168" fontId="78" fillId="103" borderId="3" xfId="0" applyNumberFormat="1" applyFont="1" applyFill="1" applyBorder="1" applyAlignment="1">
      <alignment horizontal="right" vertical="center"/>
    </xf>
    <xf numFmtId="0" fontId="79" fillId="0" borderId="0" xfId="0" applyFont="1" applyAlignment="1">
      <alignment wrapText="1"/>
    </xf>
    <xf numFmtId="0" fontId="79" fillId="17" borderId="0" xfId="0" applyFont="1" applyFill="1"/>
    <xf numFmtId="0" fontId="79" fillId="17" borderId="0" xfId="0" applyFont="1" applyFill="1" applyAlignment="1"/>
    <xf numFmtId="207" fontId="79" fillId="0" borderId="0" xfId="1" applyNumberFormat="1" applyFont="1" applyFill="1" applyBorder="1"/>
    <xf numFmtId="0" fontId="79" fillId="17" borderId="0" xfId="0" quotePrefix="1" applyFont="1" applyFill="1" applyAlignment="1">
      <alignment horizontal="left"/>
    </xf>
    <xf numFmtId="171" fontId="79" fillId="0" borderId="0" xfId="0" applyNumberFormat="1" applyFont="1"/>
    <xf numFmtId="49" fontId="78" fillId="8" borderId="2" xfId="0" quotePrefix="1" applyNumberFormat="1" applyFont="1" applyFill="1" applyBorder="1" applyAlignment="1">
      <alignment horizontal="left" vertical="center"/>
    </xf>
    <xf numFmtId="176" fontId="81" fillId="0" borderId="0" xfId="4" applyFont="1" applyBorder="1" applyAlignment="1">
      <alignment horizontal="center"/>
    </xf>
    <xf numFmtId="2" fontId="7" fillId="14" borderId="0" xfId="0" applyNumberFormat="1" applyFont="1" applyFill="1" applyAlignment="1"/>
    <xf numFmtId="2" fontId="7" fillId="0" borderId="0" xfId="0" applyNumberFormat="1" applyFont="1" applyAlignment="1"/>
    <xf numFmtId="2" fontId="78" fillId="8" borderId="8" xfId="0" applyNumberFormat="1" applyFont="1" applyFill="1" applyBorder="1" applyAlignment="1">
      <alignment horizontal="right" vertical="center"/>
    </xf>
    <xf numFmtId="1" fontId="7" fillId="0" borderId="0" xfId="1" applyNumberFormat="1" applyFont="1" applyFill="1" applyBorder="1" applyAlignment="1"/>
    <xf numFmtId="165" fontId="7" fillId="0" borderId="0" xfId="1" applyNumberFormat="1" applyFont="1" applyFill="1" applyBorder="1" applyAlignment="1"/>
    <xf numFmtId="44" fontId="7" fillId="0" borderId="0" xfId="2" applyFont="1" applyFill="1" applyBorder="1" applyAlignment="1"/>
    <xf numFmtId="44" fontId="78" fillId="0" borderId="0" xfId="2" applyFont="1" applyFill="1" applyBorder="1" applyAlignment="1">
      <alignment horizontal="right" vertical="center"/>
    </xf>
    <xf numFmtId="2" fontId="78" fillId="0" borderId="0" xfId="0" applyNumberFormat="1" applyFont="1" applyFill="1" applyBorder="1" applyAlignment="1">
      <alignment horizontal="right" vertical="center"/>
    </xf>
    <xf numFmtId="0" fontId="7" fillId="0" borderId="0" xfId="0" applyNumberFormat="1" applyFont="1" applyFill="1" applyBorder="1" applyAlignment="1"/>
    <xf numFmtId="43" fontId="7" fillId="0" borderId="0" xfId="1" applyFont="1" applyAlignment="1"/>
    <xf numFmtId="2" fontId="7" fillId="0" borderId="0" xfId="0" quotePrefix="1" applyNumberFormat="1" applyFont="1" applyAlignment="1">
      <alignment horizontal="left"/>
    </xf>
    <xf numFmtId="43" fontId="7" fillId="0" borderId="0" xfId="1" applyFont="1" applyFill="1" applyBorder="1" applyAlignment="1"/>
    <xf numFmtId="44" fontId="7" fillId="0" borderId="0" xfId="0" quotePrefix="1" applyNumberFormat="1" applyFont="1" applyFill="1" applyBorder="1" applyAlignment="1">
      <alignment horizontal="left"/>
    </xf>
    <xf numFmtId="44" fontId="7" fillId="0" borderId="0" xfId="0" applyNumberFormat="1" applyFont="1" applyFill="1" applyBorder="1" applyAlignment="1"/>
    <xf numFmtId="2" fontId="7" fillId="0" borderId="0" xfId="0" applyNumberFormat="1" applyFont="1" applyFill="1" applyBorder="1" applyAlignment="1"/>
    <xf numFmtId="2" fontId="7" fillId="0" borderId="0" xfId="2" applyNumberFormat="1" applyFont="1" applyFill="1" applyBorder="1" applyAlignment="1"/>
    <xf numFmtId="44" fontId="7" fillId="0" borderId="0" xfId="2" applyFont="1" applyAlignment="1"/>
    <xf numFmtId="2" fontId="78" fillId="11" borderId="54" xfId="0" applyNumberFormat="1" applyFont="1" applyFill="1" applyBorder="1" applyAlignment="1">
      <alignment horizontal="right" vertical="center"/>
    </xf>
    <xf numFmtId="165" fontId="7" fillId="0" borderId="0" xfId="1" applyNumberFormat="1" applyFont="1" applyAlignment="1"/>
    <xf numFmtId="43" fontId="79" fillId="0" borderId="0" xfId="1" applyFont="1" applyAlignment="1"/>
    <xf numFmtId="0" fontId="79" fillId="0" borderId="0" xfId="0" quotePrefix="1" applyFont="1" applyFill="1" applyBorder="1" applyAlignment="1">
      <alignment horizontal="left"/>
    </xf>
    <xf numFmtId="0" fontId="79" fillId="14" borderId="0" xfId="0" applyFont="1" applyFill="1" applyBorder="1" applyAlignment="1"/>
    <xf numFmtId="43" fontId="79" fillId="14" borderId="0" xfId="0" applyNumberFormat="1" applyFont="1" applyFill="1" applyBorder="1" applyAlignment="1"/>
    <xf numFmtId="165" fontId="79" fillId="0" borderId="0" xfId="1" applyNumberFormat="1" applyFont="1"/>
    <xf numFmtId="175" fontId="79" fillId="0" borderId="0" xfId="2" applyNumberFormat="1" applyFont="1"/>
    <xf numFmtId="0" fontId="79" fillId="0" borderId="0" xfId="0" applyNumberFormat="1" applyFont="1" applyAlignment="1">
      <alignment horizontal="center" wrapText="1"/>
    </xf>
    <xf numFmtId="171" fontId="79" fillId="0" borderId="0" xfId="0" quotePrefix="1" applyNumberFormat="1" applyFont="1" applyAlignment="1">
      <alignment horizontal="center" wrapText="1"/>
    </xf>
    <xf numFmtId="171" fontId="79" fillId="0" borderId="0" xfId="0" applyNumberFormat="1" applyFont="1" applyAlignment="1">
      <alignment horizontal="center" wrapText="1"/>
    </xf>
    <xf numFmtId="0" fontId="79" fillId="2" borderId="0" xfId="0" applyFont="1" applyFill="1"/>
    <xf numFmtId="0" fontId="79" fillId="2" borderId="0" xfId="0" applyNumberFormat="1" applyFont="1" applyFill="1"/>
    <xf numFmtId="43" fontId="79" fillId="2" borderId="0" xfId="1" applyFont="1" applyFill="1"/>
    <xf numFmtId="164" fontId="79" fillId="2" borderId="0" xfId="1" applyNumberFormat="1" applyFont="1" applyFill="1"/>
    <xf numFmtId="164" fontId="79" fillId="4" borderId="0" xfId="1" applyNumberFormat="1" applyFont="1" applyFill="1"/>
    <xf numFmtId="0" fontId="79" fillId="16" borderId="0" xfId="0" applyFont="1" applyFill="1"/>
    <xf numFmtId="0" fontId="79" fillId="16" borderId="0" xfId="0" applyNumberFormat="1" applyFont="1" applyFill="1"/>
    <xf numFmtId="43" fontId="79" fillId="16" borderId="0" xfId="1" applyFont="1" applyFill="1"/>
    <xf numFmtId="164" fontId="79" fillId="16" borderId="0" xfId="1" applyNumberFormat="1" applyFont="1" applyFill="1"/>
    <xf numFmtId="0" fontId="79" fillId="16" borderId="0" xfId="0" quotePrefix="1" applyNumberFormat="1" applyFont="1" applyFill="1" applyAlignment="1">
      <alignment horizontal="left"/>
    </xf>
    <xf numFmtId="0" fontId="79" fillId="5" borderId="0" xfId="0" applyFont="1" applyFill="1"/>
    <xf numFmtId="0" fontId="79" fillId="5" borderId="0" xfId="0" applyNumberFormat="1" applyFont="1" applyFill="1"/>
    <xf numFmtId="43" fontId="79" fillId="5" borderId="0" xfId="1" applyFont="1" applyFill="1"/>
    <xf numFmtId="164" fontId="79" fillId="5" borderId="0" xfId="1" applyNumberFormat="1" applyFont="1" applyFill="1"/>
    <xf numFmtId="0" fontId="79" fillId="2" borderId="0" xfId="0" quotePrefix="1" applyNumberFormat="1" applyFont="1" applyFill="1" applyAlignment="1">
      <alignment horizontal="left"/>
    </xf>
    <xf numFmtId="0" fontId="79" fillId="15" borderId="0" xfId="0" applyFont="1" applyFill="1"/>
    <xf numFmtId="0" fontId="79" fillId="15" borderId="0" xfId="0" applyNumberFormat="1" applyFont="1" applyFill="1"/>
    <xf numFmtId="164" fontId="79" fillId="15" borderId="0" xfId="1" applyNumberFormat="1" applyFont="1" applyFill="1"/>
    <xf numFmtId="0" fontId="79" fillId="15" borderId="0" xfId="0" quotePrefix="1" applyNumberFormat="1" applyFont="1" applyFill="1" applyAlignment="1">
      <alignment horizontal="left"/>
    </xf>
    <xf numFmtId="0" fontId="79" fillId="4" borderId="0" xfId="0" quotePrefix="1" applyFont="1" applyFill="1" applyAlignment="1">
      <alignment horizontal="left"/>
    </xf>
    <xf numFmtId="0" fontId="79" fillId="16" borderId="0" xfId="0" quotePrefix="1" applyFont="1" applyFill="1" applyAlignment="1">
      <alignment horizontal="left"/>
    </xf>
    <xf numFmtId="43" fontId="79" fillId="16" borderId="0" xfId="0" applyNumberFormat="1" applyFont="1" applyFill="1"/>
    <xf numFmtId="0" fontId="79" fillId="5" borderId="0" xfId="5" applyFont="1" applyFill="1"/>
    <xf numFmtId="0" fontId="79" fillId="5" borderId="0" xfId="5" applyNumberFormat="1" applyFont="1" applyFill="1"/>
    <xf numFmtId="43" fontId="79" fillId="5" borderId="0" xfId="7" applyFont="1" applyFill="1"/>
    <xf numFmtId="43" fontId="79" fillId="77" borderId="0" xfId="7" applyFont="1" applyFill="1"/>
    <xf numFmtId="0" fontId="79" fillId="5" borderId="0" xfId="5" quotePrefix="1" applyFont="1" applyFill="1" applyAlignment="1">
      <alignment horizontal="left"/>
    </xf>
    <xf numFmtId="0" fontId="79" fillId="4" borderId="0" xfId="5" quotePrefix="1" applyFont="1" applyFill="1" applyAlignment="1">
      <alignment horizontal="left"/>
    </xf>
    <xf numFmtId="0" fontId="79" fillId="4" borderId="0" xfId="5" applyNumberFormat="1" applyFont="1" applyFill="1"/>
    <xf numFmtId="43" fontId="79" fillId="4" borderId="0" xfId="7" applyFont="1" applyFill="1"/>
    <xf numFmtId="0" fontId="79" fillId="4" borderId="0" xfId="5" applyFont="1" applyFill="1"/>
    <xf numFmtId="0" fontId="79" fillId="4" borderId="0" xfId="5" quotePrefix="1" applyNumberFormat="1" applyFont="1" applyFill="1" applyAlignment="1">
      <alignment horizontal="left"/>
    </xf>
    <xf numFmtId="0" fontId="79" fillId="79" borderId="0" xfId="5" quotePrefix="1" applyFont="1" applyFill="1" applyAlignment="1">
      <alignment horizontal="left"/>
    </xf>
    <xf numFmtId="0" fontId="79" fillId="79" borderId="0" xfId="5" applyNumberFormat="1" applyFont="1" applyFill="1"/>
    <xf numFmtId="43" fontId="79" fillId="79" borderId="0" xfId="7" applyFont="1" applyFill="1"/>
    <xf numFmtId="0" fontId="79" fillId="79" borderId="0" xfId="5" applyFont="1" applyFill="1"/>
    <xf numFmtId="0" fontId="79" fillId="79" borderId="0" xfId="5" quotePrefix="1" applyNumberFormat="1" applyFont="1" applyFill="1" applyAlignment="1">
      <alignment horizontal="left"/>
    </xf>
    <xf numFmtId="0" fontId="79" fillId="15" borderId="0" xfId="5" quotePrefix="1" applyFont="1" applyFill="1" applyAlignment="1">
      <alignment horizontal="left"/>
    </xf>
    <xf numFmtId="0" fontId="79" fillId="15" borderId="0" xfId="5" applyNumberFormat="1" applyFont="1" applyFill="1"/>
    <xf numFmtId="0" fontId="79" fillId="15" borderId="0" xfId="5" quotePrefix="1" applyNumberFormat="1" applyFont="1" applyFill="1" applyAlignment="1">
      <alignment horizontal="left"/>
    </xf>
    <xf numFmtId="43" fontId="79" fillId="15" borderId="0" xfId="7" applyFont="1" applyFill="1"/>
    <xf numFmtId="0" fontId="79" fillId="15" borderId="0" xfId="5" applyFont="1" applyFill="1"/>
    <xf numFmtId="164" fontId="79" fillId="16" borderId="0" xfId="7" applyNumberFormat="1" applyFont="1" applyFill="1"/>
    <xf numFmtId="164" fontId="79" fillId="5" borderId="0" xfId="7" applyNumberFormat="1" applyFont="1" applyFill="1"/>
    <xf numFmtId="164" fontId="79" fillId="4" borderId="0" xfId="7" applyNumberFormat="1" applyFont="1" applyFill="1"/>
    <xf numFmtId="164" fontId="79" fillId="79" borderId="0" xfId="7" applyNumberFormat="1" applyFont="1" applyFill="1"/>
    <xf numFmtId="164" fontId="79" fillId="79" borderId="0" xfId="1" applyNumberFormat="1" applyFont="1" applyFill="1"/>
    <xf numFmtId="43" fontId="79" fillId="79" borderId="0" xfId="1" applyFont="1" applyFill="1"/>
    <xf numFmtId="164" fontId="79" fillId="15" borderId="0" xfId="7" applyNumberFormat="1" applyFont="1" applyFill="1"/>
    <xf numFmtId="14" fontId="79" fillId="0" borderId="0" xfId="0" applyNumberFormat="1" applyFont="1"/>
    <xf numFmtId="173" fontId="91" fillId="0" borderId="0" xfId="0" applyNumberFormat="1" applyFont="1"/>
    <xf numFmtId="0" fontId="79" fillId="0" borderId="0" xfId="0" applyFont="1" applyBorder="1" applyAlignment="1">
      <alignment horizontal="center"/>
    </xf>
    <xf numFmtId="0" fontId="79" fillId="0" borderId="0" xfId="0" applyFont="1" applyBorder="1" applyAlignment="1">
      <alignment horizontal="center" wrapText="1"/>
    </xf>
    <xf numFmtId="14" fontId="86" fillId="0" borderId="0" xfId="0" applyNumberFormat="1" applyFont="1"/>
    <xf numFmtId="17" fontId="79" fillId="0" borderId="0" xfId="0" applyNumberFormat="1" applyFont="1"/>
    <xf numFmtId="10" fontId="79" fillId="0" borderId="0" xfId="0" applyNumberFormat="1" applyFont="1" applyBorder="1"/>
    <xf numFmtId="0" fontId="79" fillId="0" borderId="0" xfId="0" applyNumberFormat="1" applyFont="1" applyBorder="1"/>
    <xf numFmtId="14" fontId="91" fillId="0" borderId="0" xfId="0" applyNumberFormat="1" applyFont="1"/>
    <xf numFmtId="0" fontId="91" fillId="0" borderId="0" xfId="0" applyFont="1"/>
    <xf numFmtId="49" fontId="78" fillId="9" borderId="0" xfId="0" applyNumberFormat="1" applyFont="1" applyFill="1" applyAlignment="1"/>
    <xf numFmtId="0" fontId="79" fillId="0" borderId="0" xfId="0" quotePrefix="1" applyFont="1" applyAlignment="1">
      <alignment horizontal="left" wrapText="1"/>
    </xf>
    <xf numFmtId="49" fontId="79" fillId="0" borderId="0" xfId="0" applyNumberFormat="1" applyFont="1"/>
    <xf numFmtId="0" fontId="86" fillId="12" borderId="0" xfId="0" applyFont="1" applyFill="1"/>
    <xf numFmtId="44" fontId="79" fillId="13" borderId="0" xfId="2" applyFont="1" applyFill="1"/>
    <xf numFmtId="194" fontId="79" fillId="0" borderId="0" xfId="0" applyNumberFormat="1" applyFont="1"/>
    <xf numFmtId="179" fontId="79" fillId="0" borderId="0" xfId="0" applyNumberFormat="1" applyFont="1"/>
    <xf numFmtId="0" fontId="86" fillId="12" borderId="0" xfId="0" applyFont="1" applyFill="1" applyBorder="1"/>
    <xf numFmtId="44" fontId="79" fillId="13" borderId="0" xfId="2" applyFont="1" applyFill="1" applyBorder="1"/>
    <xf numFmtId="0" fontId="79" fillId="13" borderId="0" xfId="0" applyFont="1" applyFill="1" applyAlignment="1">
      <alignment horizontal="left"/>
    </xf>
    <xf numFmtId="0" fontId="79" fillId="13" borderId="0" xfId="0" applyFont="1" applyFill="1"/>
    <xf numFmtId="2" fontId="79" fillId="0" borderId="0" xfId="0" applyNumberFormat="1" applyFont="1" applyAlignment="1">
      <alignment horizontal="right"/>
    </xf>
    <xf numFmtId="0" fontId="79" fillId="5" borderId="0" xfId="0" applyFont="1" applyFill="1" applyAlignment="1">
      <alignment horizontal="left"/>
    </xf>
    <xf numFmtId="0" fontId="79" fillId="5" borderId="0" xfId="0" quotePrefix="1" applyFont="1" applyFill="1" applyAlignment="1">
      <alignment horizontal="left"/>
    </xf>
    <xf numFmtId="2" fontId="89" fillId="0" borderId="0" xfId="0" applyNumberFormat="1" applyFont="1" applyAlignment="1">
      <alignment horizontal="right"/>
    </xf>
    <xf numFmtId="165" fontId="86" fillId="13" borderId="0" xfId="1" applyNumberFormat="1" applyFont="1" applyFill="1"/>
    <xf numFmtId="44" fontId="79" fillId="3" borderId="0" xfId="2" applyFont="1" applyFill="1"/>
    <xf numFmtId="0" fontId="79" fillId="0" borderId="0" xfId="0" applyFont="1" applyAlignment="1">
      <alignment horizontal="right"/>
    </xf>
    <xf numFmtId="0" fontId="79" fillId="4" borderId="38" xfId="0" applyFont="1" applyFill="1" applyBorder="1"/>
    <xf numFmtId="14" fontId="79" fillId="4" borderId="38" xfId="0" applyNumberFormat="1" applyFont="1" applyFill="1" applyBorder="1"/>
    <xf numFmtId="0" fontId="91" fillId="4" borderId="38" xfId="0" applyFont="1" applyFill="1" applyBorder="1"/>
    <xf numFmtId="165" fontId="86" fillId="13" borderId="38" xfId="1" applyNumberFormat="1" applyFont="1" applyFill="1" applyBorder="1"/>
    <xf numFmtId="44" fontId="79" fillId="6" borderId="38" xfId="2" applyFont="1" applyFill="1" applyBorder="1"/>
    <xf numFmtId="44" fontId="79" fillId="7" borderId="38" xfId="2" applyFont="1" applyFill="1" applyBorder="1"/>
    <xf numFmtId="183" fontId="79" fillId="12" borderId="38" xfId="2" applyNumberFormat="1" applyFont="1" applyFill="1" applyBorder="1"/>
    <xf numFmtId="44" fontId="79" fillId="5" borderId="38" xfId="2" applyFont="1" applyFill="1" applyBorder="1"/>
    <xf numFmtId="44" fontId="79" fillId="0" borderId="38" xfId="0" applyNumberFormat="1" applyFont="1" applyBorder="1"/>
    <xf numFmtId="44" fontId="79" fillId="0" borderId="38" xfId="2" applyFont="1" applyBorder="1"/>
    <xf numFmtId="0" fontId="79" fillId="0" borderId="38" xfId="0" applyFont="1" applyBorder="1"/>
    <xf numFmtId="0" fontId="79" fillId="7" borderId="38" xfId="0" applyFont="1" applyFill="1" applyBorder="1"/>
    <xf numFmtId="0" fontId="79" fillId="0" borderId="38" xfId="0" applyFont="1" applyBorder="1" applyAlignment="1">
      <alignment horizontal="right"/>
    </xf>
    <xf numFmtId="165" fontId="86" fillId="0" borderId="0" xfId="1" applyNumberFormat="1" applyFont="1" applyFill="1"/>
    <xf numFmtId="41" fontId="81" fillId="0" borderId="0" xfId="1782" applyFont="1" applyBorder="1" applyAlignment="1">
      <alignment horizontal="centerContinuous"/>
    </xf>
    <xf numFmtId="0" fontId="79" fillId="0" borderId="0" xfId="0" applyFont="1" applyAlignment="1">
      <alignment horizontal="center"/>
    </xf>
    <xf numFmtId="0" fontId="137" fillId="0" borderId="0" xfId="0" applyFont="1"/>
    <xf numFmtId="166" fontId="79" fillId="0" borderId="0" xfId="2" applyNumberFormat="1" applyFont="1"/>
    <xf numFmtId="0" fontId="79" fillId="0" borderId="0" xfId="0" quotePrefix="1" applyFont="1" applyAlignment="1">
      <alignment horizontal="right"/>
    </xf>
    <xf numFmtId="165" fontId="79" fillId="0" borderId="0" xfId="2" applyNumberFormat="1" applyFont="1"/>
    <xf numFmtId="165" fontId="83" fillId="0" borderId="0" xfId="1" applyNumberFormat="1" applyFont="1"/>
    <xf numFmtId="165" fontId="83" fillId="0" borderId="0" xfId="2" applyNumberFormat="1" applyFont="1"/>
    <xf numFmtId="37" fontId="79" fillId="0" borderId="0" xfId="0" applyNumberFormat="1" applyFont="1"/>
    <xf numFmtId="175" fontId="79" fillId="0" borderId="0" xfId="0" applyNumberFormat="1" applyFont="1"/>
    <xf numFmtId="43" fontId="79" fillId="0" borderId="0" xfId="1" applyFont="1" applyBorder="1"/>
    <xf numFmtId="43" fontId="79" fillId="0" borderId="0" xfId="0" applyNumberFormat="1" applyFont="1" applyBorder="1"/>
    <xf numFmtId="170" fontId="79" fillId="0" borderId="0" xfId="3" applyNumberFormat="1" applyFont="1"/>
    <xf numFmtId="208" fontId="79" fillId="0" borderId="0" xfId="1" applyNumberFormat="1" applyFont="1"/>
    <xf numFmtId="176" fontId="81" fillId="0" borderId="0" xfId="4" applyFont="1" applyBorder="1" applyAlignment="1">
      <alignment horizontal="center"/>
    </xf>
    <xf numFmtId="0" fontId="79" fillId="0" borderId="55" xfId="0" applyFont="1" applyBorder="1"/>
    <xf numFmtId="0" fontId="79" fillId="0" borderId="53" xfId="0" applyFont="1" applyBorder="1"/>
    <xf numFmtId="0" fontId="79" fillId="0" borderId="53" xfId="0" applyFont="1" applyBorder="1" applyAlignment="1">
      <alignment horizontal="center" wrapText="1"/>
    </xf>
    <xf numFmtId="0" fontId="79" fillId="0" borderId="56" xfId="0" applyFont="1" applyBorder="1"/>
    <xf numFmtId="0" fontId="79" fillId="0" borderId="57" xfId="0" quotePrefix="1" applyFont="1" applyBorder="1" applyAlignment="1">
      <alignment horizontal="left"/>
    </xf>
    <xf numFmtId="0" fontId="79" fillId="0" borderId="5" xfId="0" applyFont="1" applyBorder="1"/>
    <xf numFmtId="0" fontId="79" fillId="0" borderId="57" xfId="0" applyFont="1" applyBorder="1"/>
    <xf numFmtId="0" fontId="79" fillId="0" borderId="58" xfId="0" applyFont="1" applyBorder="1"/>
    <xf numFmtId="0" fontId="79" fillId="0" borderId="6" xfId="0" applyFont="1" applyBorder="1"/>
    <xf numFmtId="0" fontId="79" fillId="0" borderId="59" xfId="0" applyFont="1" applyBorder="1"/>
    <xf numFmtId="208" fontId="79" fillId="0" borderId="0" xfId="1" applyNumberFormat="1" applyFont="1" applyBorder="1"/>
    <xf numFmtId="44" fontId="79" fillId="0" borderId="6" xfId="2" applyFont="1" applyBorder="1"/>
    <xf numFmtId="44" fontId="79" fillId="0" borderId="6" xfId="0" applyNumberFormat="1" applyFont="1" applyBorder="1"/>
    <xf numFmtId="43" fontId="79" fillId="0" borderId="5" xfId="0" applyNumberFormat="1" applyFont="1" applyBorder="1"/>
    <xf numFmtId="44" fontId="79" fillId="0" borderId="5" xfId="0" applyNumberFormat="1" applyFont="1" applyBorder="1"/>
    <xf numFmtId="0" fontId="79" fillId="0" borderId="0" xfId="0" quotePrefix="1" applyFont="1" applyBorder="1" applyAlignment="1">
      <alignment horizontal="center" wrapText="1"/>
    </xf>
    <xf numFmtId="43" fontId="83" fillId="0" borderId="0" xfId="1" applyFont="1" applyBorder="1"/>
    <xf numFmtId="43" fontId="83" fillId="0" borderId="0" xfId="0" applyNumberFormat="1" applyFont="1" applyBorder="1"/>
    <xf numFmtId="0" fontId="151" fillId="0" borderId="57" xfId="0" applyFont="1" applyBorder="1"/>
    <xf numFmtId="0" fontId="151" fillId="0" borderId="0" xfId="0" applyFont="1" applyBorder="1"/>
    <xf numFmtId="0" fontId="151" fillId="0" borderId="0" xfId="0" quotePrefix="1" applyFont="1" applyBorder="1" applyAlignment="1">
      <alignment horizontal="centerContinuous" wrapText="1"/>
    </xf>
    <xf numFmtId="0" fontId="151" fillId="0" borderId="0" xfId="0" applyFont="1" applyBorder="1" applyAlignment="1">
      <alignment horizontal="centerContinuous"/>
    </xf>
    <xf numFmtId="0" fontId="79" fillId="0" borderId="0" xfId="0" quotePrefix="1" applyFont="1" applyBorder="1" applyAlignment="1">
      <alignment horizontal="center"/>
    </xf>
    <xf numFmtId="0" fontId="79" fillId="0" borderId="53" xfId="0" quotePrefix="1" applyFont="1" applyBorder="1" applyAlignment="1">
      <alignment horizontal="center" wrapText="1"/>
    </xf>
    <xf numFmtId="0" fontId="74" fillId="0" borderId="57" xfId="0" applyFont="1" applyBorder="1"/>
    <xf numFmtId="0" fontId="74" fillId="0" borderId="0" xfId="0" applyFont="1" applyBorder="1"/>
    <xf numFmtId="0" fontId="151" fillId="0" borderId="57" xfId="0" applyFont="1" applyBorder="1" applyAlignment="1">
      <alignment horizontal="center" wrapText="1"/>
    </xf>
    <xf numFmtId="0" fontId="151" fillId="0" borderId="0" xfId="0" applyFont="1" applyBorder="1" applyAlignment="1">
      <alignment horizontal="center" wrapText="1"/>
    </xf>
    <xf numFmtId="174" fontId="79" fillId="0" borderId="53" xfId="0" quotePrefix="1" applyNumberFormat="1" applyFont="1" applyBorder="1" applyAlignment="1">
      <alignment horizontal="center"/>
    </xf>
    <xf numFmtId="174" fontId="79" fillId="0" borderId="53" xfId="0" applyNumberFormat="1" applyFont="1" applyBorder="1" applyAlignment="1">
      <alignment horizontal="center"/>
    </xf>
    <xf numFmtId="0" fontId="7" fillId="0" borderId="0" xfId="0" quotePrefix="1" applyFont="1" applyBorder="1" applyAlignment="1">
      <alignment horizontal="center"/>
    </xf>
    <xf numFmtId="0" fontId="79" fillId="0" borderId="5" xfId="0" quotePrefix="1" applyFont="1" applyBorder="1" applyAlignment="1">
      <alignment horizontal="center"/>
    </xf>
    <xf numFmtId="0" fontId="79" fillId="0" borderId="37" xfId="0" applyFont="1" applyBorder="1"/>
    <xf numFmtId="44" fontId="83" fillId="0" borderId="0" xfId="0" applyNumberFormat="1" applyFont="1" applyBorder="1"/>
    <xf numFmtId="44" fontId="79" fillId="0" borderId="0" xfId="2" applyFont="1" applyFill="1"/>
    <xf numFmtId="174" fontId="79" fillId="0" borderId="56" xfId="0" applyNumberFormat="1" applyFont="1" applyBorder="1" applyAlignment="1">
      <alignment horizontal="center"/>
    </xf>
    <xf numFmtId="0" fontId="7" fillId="0" borderId="57" xfId="0" quotePrefix="1" applyFont="1" applyBorder="1" applyAlignment="1">
      <alignment horizontal="center"/>
    </xf>
    <xf numFmtId="0" fontId="151" fillId="0" borderId="5" xfId="0" applyFont="1" applyBorder="1" applyAlignment="1">
      <alignment horizontal="center" wrapText="1"/>
    </xf>
    <xf numFmtId="0" fontId="79" fillId="0" borderId="5" xfId="0" quotePrefix="1" applyFont="1" applyBorder="1" applyAlignment="1">
      <alignment horizontal="center" wrapText="1"/>
    </xf>
    <xf numFmtId="43" fontId="79" fillId="0" borderId="57" xfId="0" applyNumberFormat="1" applyFont="1" applyBorder="1"/>
    <xf numFmtId="174" fontId="79" fillId="0" borderId="57" xfId="0" applyNumberFormat="1" applyFont="1" applyBorder="1" applyAlignment="1">
      <alignment horizontal="center"/>
    </xf>
    <xf numFmtId="174" fontId="79" fillId="0" borderId="0" xfId="0" applyNumberFormat="1" applyFont="1" applyBorder="1" applyAlignment="1">
      <alignment horizontal="center"/>
    </xf>
    <xf numFmtId="43" fontId="79" fillId="0" borderId="6" xfId="1" applyFont="1" applyBorder="1"/>
    <xf numFmtId="43" fontId="79" fillId="0" borderId="6" xfId="0" applyNumberFormat="1" applyFont="1" applyBorder="1"/>
    <xf numFmtId="0" fontId="151" fillId="0" borderId="0" xfId="0" quotePrefix="1" applyFont="1" applyBorder="1" applyAlignment="1">
      <alignment horizontal="left" wrapText="1"/>
    </xf>
    <xf numFmtId="0" fontId="151" fillId="0" borderId="55" xfId="0" quotePrefix="1" applyFont="1" applyBorder="1" applyAlignment="1">
      <alignment horizontal="left" wrapText="1"/>
    </xf>
    <xf numFmtId="0" fontId="151" fillId="0" borderId="56" xfId="0" applyFont="1" applyBorder="1" applyAlignment="1">
      <alignment horizontal="center" wrapText="1"/>
    </xf>
    <xf numFmtId="0" fontId="79" fillId="0" borderId="57" xfId="0" quotePrefix="1" applyFont="1" applyBorder="1" applyAlignment="1">
      <alignment horizontal="center"/>
    </xf>
    <xf numFmtId="0" fontId="7" fillId="0" borderId="5" xfId="0" quotePrefix="1" applyFont="1" applyBorder="1" applyAlignment="1">
      <alignment horizontal="center"/>
    </xf>
    <xf numFmtId="165" fontId="81" fillId="0" borderId="5" xfId="4" applyNumberFormat="1" applyFont="1" applyBorder="1"/>
    <xf numFmtId="165" fontId="81" fillId="0" borderId="59" xfId="4" applyNumberFormat="1" applyFont="1" applyBorder="1"/>
    <xf numFmtId="0" fontId="151" fillId="0" borderId="57" xfId="0" quotePrefix="1" applyFont="1" applyBorder="1" applyAlignment="1">
      <alignment horizontal="left" wrapText="1"/>
    </xf>
    <xf numFmtId="0" fontId="151" fillId="0" borderId="55" xfId="0" applyFont="1" applyBorder="1" applyAlignment="1">
      <alignment wrapText="1"/>
    </xf>
    <xf numFmtId="44" fontId="79" fillId="0" borderId="57" xfId="0" applyNumberFormat="1" applyFont="1" applyBorder="1"/>
    <xf numFmtId="0" fontId="79" fillId="0" borderId="60" xfId="0" applyFont="1" applyBorder="1"/>
    <xf numFmtId="0" fontId="79" fillId="0" borderId="36" xfId="0" applyFont="1" applyBorder="1"/>
    <xf numFmtId="0" fontId="7" fillId="0" borderId="0" xfId="0" quotePrefix="1" applyFont="1" applyBorder="1" applyAlignment="1">
      <alignment horizontal="center" wrapText="1"/>
    </xf>
    <xf numFmtId="0" fontId="7" fillId="0" borderId="5" xfId="0" quotePrefix="1" applyFont="1" applyBorder="1" applyAlignment="1">
      <alignment horizontal="center" wrapText="1"/>
    </xf>
    <xf numFmtId="49" fontId="156" fillId="8" borderId="3" xfId="0" applyNumberFormat="1" applyFont="1" applyFill="1" applyBorder="1" applyAlignment="1">
      <alignment horizontal="left" vertical="center" wrapText="1"/>
    </xf>
    <xf numFmtId="175" fontId="83" fillId="0" borderId="0" xfId="2" applyNumberFormat="1" applyFont="1"/>
    <xf numFmtId="49" fontId="156" fillId="8" borderId="0" xfId="0" applyNumberFormat="1" applyFont="1" applyFill="1" applyBorder="1" applyAlignment="1">
      <alignment horizontal="left" vertical="center" wrapText="1"/>
    </xf>
    <xf numFmtId="209" fontId="79" fillId="0" borderId="0" xfId="3" applyNumberFormat="1" applyFont="1"/>
    <xf numFmtId="209" fontId="79" fillId="0" borderId="0" xfId="0" applyNumberFormat="1" applyFont="1"/>
    <xf numFmtId="207" fontId="79" fillId="0" borderId="0" xfId="0" applyNumberFormat="1" applyFont="1"/>
    <xf numFmtId="210" fontId="79" fillId="0" borderId="0" xfId="3" applyNumberFormat="1" applyFont="1"/>
    <xf numFmtId="187" fontId="81" fillId="0" borderId="0" xfId="1782" applyNumberFormat="1" applyFont="1" applyFill="1" applyAlignment="1">
      <alignment horizontal="center"/>
    </xf>
    <xf numFmtId="207" fontId="79" fillId="0" borderId="0" xfId="0" applyNumberFormat="1" applyFont="1" applyBorder="1"/>
    <xf numFmtId="43" fontId="79" fillId="0" borderId="0" xfId="1" quotePrefix="1" applyFont="1" applyBorder="1" applyAlignment="1">
      <alignment horizontal="left"/>
    </xf>
    <xf numFmtId="0" fontId="151" fillId="0" borderId="0" xfId="0" quotePrefix="1" applyFont="1" applyBorder="1" applyAlignment="1">
      <alignment horizontal="left"/>
    </xf>
    <xf numFmtId="17" fontId="79" fillId="0" borderId="0" xfId="0" quotePrefix="1" applyNumberFormat="1" applyFont="1" applyAlignment="1">
      <alignment horizontal="left"/>
    </xf>
    <xf numFmtId="44" fontId="79" fillId="7" borderId="0" xfId="2" applyNumberFormat="1" applyFont="1" applyFill="1"/>
    <xf numFmtId="44" fontId="81" fillId="0" borderId="0" xfId="2" applyFont="1"/>
    <xf numFmtId="43" fontId="80" fillId="0" borderId="0" xfId="1" quotePrefix="1" applyFont="1" applyBorder="1" applyAlignment="1">
      <alignment horizontal="left"/>
    </xf>
    <xf numFmtId="41" fontId="81" fillId="14" borderId="0" xfId="1782" applyFont="1" applyFill="1" applyBorder="1"/>
    <xf numFmtId="0" fontId="86" fillId="14" borderId="0" xfId="0" applyFont="1" applyFill="1" applyBorder="1"/>
    <xf numFmtId="0" fontId="79" fillId="14" borderId="0" xfId="0" applyFont="1" applyFill="1" applyBorder="1"/>
    <xf numFmtId="44" fontId="79" fillId="14" borderId="0" xfId="2" applyFont="1" applyFill="1" applyBorder="1"/>
    <xf numFmtId="41" fontId="79" fillId="14" borderId="0" xfId="0" applyNumberFormat="1" applyFont="1" applyFill="1" applyBorder="1"/>
    <xf numFmtId="10" fontId="79" fillId="14" borderId="0" xfId="3" applyNumberFormat="1" applyFont="1" applyFill="1" applyBorder="1"/>
    <xf numFmtId="41" fontId="81" fillId="3" borderId="0" xfId="1782" quotePrefix="1" applyFont="1" applyFill="1" applyBorder="1" applyAlignment="1">
      <alignment horizontal="left"/>
    </xf>
    <xf numFmtId="0" fontId="82" fillId="14" borderId="0" xfId="0" applyFont="1" applyFill="1" applyBorder="1"/>
    <xf numFmtId="10" fontId="81" fillId="14" borderId="0" xfId="1782" applyNumberFormat="1" applyFont="1" applyFill="1" applyBorder="1"/>
    <xf numFmtId="186" fontId="81" fillId="14" borderId="0" xfId="1782" applyNumberFormat="1" applyFont="1" applyFill="1" applyBorder="1"/>
    <xf numFmtId="184" fontId="81" fillId="14" borderId="0" xfId="1782" applyNumberFormat="1" applyFont="1" applyFill="1" applyBorder="1"/>
    <xf numFmtId="9" fontId="81" fillId="14" borderId="0" xfId="1986" applyFont="1" applyFill="1" applyBorder="1"/>
    <xf numFmtId="43" fontId="81" fillId="14" borderId="0" xfId="1" applyFont="1" applyFill="1" applyBorder="1"/>
    <xf numFmtId="187" fontId="81" fillId="14" borderId="0" xfId="1782" applyNumberFormat="1" applyFont="1" applyFill="1" applyBorder="1"/>
    <xf numFmtId="191" fontId="81" fillId="14" borderId="0" xfId="1782" applyNumberFormat="1" applyFont="1" applyFill="1" applyBorder="1"/>
    <xf numFmtId="190" fontId="81" fillId="14" borderId="0" xfId="1782" applyNumberFormat="1" applyFont="1" applyFill="1" applyBorder="1"/>
    <xf numFmtId="10" fontId="81" fillId="14" borderId="0" xfId="3" applyNumberFormat="1" applyFont="1" applyFill="1" applyBorder="1"/>
    <xf numFmtId="192" fontId="81" fillId="14" borderId="0" xfId="1782" applyNumberFormat="1" applyFont="1" applyFill="1" applyBorder="1"/>
    <xf numFmtId="41" fontId="81" fillId="0" borderId="0" xfId="1782" quotePrefix="1" applyFont="1" applyAlignment="1">
      <alignment horizontal="center"/>
    </xf>
    <xf numFmtId="41" fontId="81" fillId="0" borderId="6" xfId="1782" quotePrefix="1" applyFont="1" applyFill="1" applyBorder="1" applyAlignment="1">
      <alignment horizontal="center"/>
    </xf>
    <xf numFmtId="209" fontId="81" fillId="0" borderId="0" xfId="3" applyNumberFormat="1" applyFont="1"/>
    <xf numFmtId="43" fontId="84" fillId="0" borderId="0" xfId="1" applyFont="1"/>
    <xf numFmtId="43" fontId="82" fillId="0" borderId="0" xfId="1" applyFont="1" applyFill="1"/>
    <xf numFmtId="43" fontId="82" fillId="0" borderId="0" xfId="1" applyFont="1"/>
    <xf numFmtId="43" fontId="84" fillId="0" borderId="0" xfId="1" applyFont="1" applyBorder="1"/>
    <xf numFmtId="0" fontId="82" fillId="0" borderId="0" xfId="0" quotePrefix="1" applyFont="1" applyAlignment="1">
      <alignment horizontal="center" wrapText="1"/>
    </xf>
    <xf numFmtId="165" fontId="139" fillId="0" borderId="0" xfId="1" applyNumberFormat="1" applyFont="1"/>
    <xf numFmtId="0" fontId="79" fillId="0" borderId="0" xfId="1" applyNumberFormat="1" applyFont="1" applyFill="1"/>
    <xf numFmtId="0" fontId="86" fillId="0" borderId="0" xfId="0" applyNumberFormat="1" applyFont="1" applyFill="1"/>
    <xf numFmtId="41" fontId="80" fillId="0" borderId="0" xfId="1782" quotePrefix="1" applyFont="1" applyAlignment="1">
      <alignment horizontal="right"/>
    </xf>
    <xf numFmtId="175" fontId="81" fillId="0" borderId="0" xfId="1360" quotePrefix="1" applyNumberFormat="1" applyFont="1" applyBorder="1" applyAlignment="1">
      <alignment horizontal="center" wrapText="1"/>
    </xf>
    <xf numFmtId="10" fontId="81" fillId="0" borderId="0" xfId="3" applyNumberFormat="1" applyFont="1" applyAlignment="1">
      <alignment horizontal="center"/>
    </xf>
    <xf numFmtId="41" fontId="81" fillId="2" borderId="0" xfId="1782" applyFont="1" applyFill="1"/>
    <xf numFmtId="9" fontId="81" fillId="0" borderId="0" xfId="3" applyFont="1" applyFill="1" applyAlignment="1">
      <alignment horizontal="center"/>
    </xf>
    <xf numFmtId="175" fontId="84" fillId="0" borderId="0" xfId="2" applyNumberFormat="1" applyFont="1" applyFill="1"/>
    <xf numFmtId="175" fontId="136" fillId="0" borderId="0" xfId="2" applyNumberFormat="1" applyFont="1"/>
    <xf numFmtId="175" fontId="79" fillId="0" borderId="0" xfId="0" applyNumberFormat="1" applyFont="1" applyAlignment="1">
      <alignment horizontal="center" wrapText="1"/>
    </xf>
    <xf numFmtId="44" fontId="79" fillId="0" borderId="0" xfId="2" applyFont="1" applyAlignment="1">
      <alignment horizontal="right"/>
    </xf>
    <xf numFmtId="44" fontId="79" fillId="0" borderId="0" xfId="2" applyFont="1" applyAlignment="1">
      <alignment horizontal="center" wrapText="1"/>
    </xf>
    <xf numFmtId="175" fontId="79" fillId="0" borderId="0" xfId="2" applyNumberFormat="1" applyFont="1" applyFill="1"/>
    <xf numFmtId="175" fontId="79" fillId="0" borderId="0" xfId="1" applyNumberFormat="1" applyFont="1"/>
    <xf numFmtId="41" fontId="81" fillId="2" borderId="0" xfId="1782" quotePrefix="1" applyFont="1" applyFill="1" applyAlignment="1">
      <alignment horizontal="left"/>
    </xf>
    <xf numFmtId="41" fontId="81" fillId="0" borderId="0" xfId="1782" quotePrefix="1" applyFont="1" applyAlignment="1">
      <alignment horizontal="center" wrapText="1"/>
    </xf>
    <xf numFmtId="175" fontId="79" fillId="0" borderId="0" xfId="2" applyNumberFormat="1" applyFont="1" applyAlignment="1">
      <alignment horizontal="right"/>
    </xf>
    <xf numFmtId="175" fontId="83" fillId="0" borderId="0" xfId="2" applyNumberFormat="1" applyFont="1" applyAlignment="1">
      <alignment horizontal="right"/>
    </xf>
    <xf numFmtId="41" fontId="82" fillId="0" borderId="0" xfId="0" applyNumberFormat="1" applyFont="1" applyFill="1"/>
    <xf numFmtId="176" fontId="80" fillId="0" borderId="0" xfId="4" quotePrefix="1" applyFont="1" applyFill="1" applyBorder="1" applyAlignment="1">
      <alignment horizontal="center" indent="5"/>
    </xf>
    <xf numFmtId="41" fontId="81" fillId="0" borderId="0" xfId="1782" quotePrefix="1" applyFont="1" applyFill="1" applyAlignment="1">
      <alignment horizontal="center" indent="1"/>
    </xf>
    <xf numFmtId="0" fontId="80" fillId="0" borderId="0" xfId="1782" quotePrefix="1" applyNumberFormat="1" applyFont="1" applyAlignment="1">
      <alignment horizontal="center"/>
    </xf>
    <xf numFmtId="175" fontId="82" fillId="0" borderId="0" xfId="2" applyNumberFormat="1" applyFont="1" applyFill="1" applyBorder="1"/>
    <xf numFmtId="176" fontId="81" fillId="0" borderId="0" xfId="4" applyFont="1" applyFill="1" applyBorder="1" applyAlignment="1"/>
    <xf numFmtId="44" fontId="81" fillId="0" borderId="0" xfId="2" applyFont="1" applyFill="1" applyBorder="1" applyProtection="1">
      <protection locked="0"/>
    </xf>
    <xf numFmtId="176" fontId="81" fillId="0" borderId="0" xfId="4" applyFont="1" applyFill="1" applyBorder="1" applyAlignment="1">
      <alignment horizontal="right"/>
    </xf>
    <xf numFmtId="0" fontId="79" fillId="0" borderId="0" xfId="0" applyFont="1" applyFill="1" applyBorder="1" applyAlignment="1">
      <alignment horizontal="right"/>
    </xf>
    <xf numFmtId="176" fontId="81" fillId="0" borderId="53" xfId="4" applyFont="1" applyFill="1" applyBorder="1" applyAlignment="1">
      <alignment horizontal="center"/>
    </xf>
    <xf numFmtId="176" fontId="81" fillId="0" borderId="6" xfId="4" applyFont="1" applyFill="1" applyBorder="1" applyAlignment="1">
      <alignment horizontal="center"/>
    </xf>
    <xf numFmtId="175" fontId="83" fillId="0" borderId="0" xfId="2" applyNumberFormat="1" applyFont="1" applyFill="1" applyBorder="1" applyAlignment="1">
      <alignment horizontal="right"/>
    </xf>
    <xf numFmtId="175" fontId="79" fillId="0" borderId="0" xfId="0" applyNumberFormat="1" applyFont="1" applyFill="1" applyBorder="1" applyAlignment="1">
      <alignment horizontal="right"/>
    </xf>
    <xf numFmtId="189" fontId="79" fillId="0" borderId="0" xfId="0" applyNumberFormat="1" applyFont="1" applyFill="1" applyBorder="1" applyAlignment="1">
      <alignment horizontal="right"/>
    </xf>
    <xf numFmtId="10" fontId="79" fillId="0" borderId="0" xfId="3" applyNumberFormat="1" applyFont="1" applyFill="1" applyBorder="1" applyAlignment="1">
      <alignment horizontal="right"/>
    </xf>
    <xf numFmtId="175" fontId="85" fillId="0" borderId="0" xfId="2" applyNumberFormat="1" applyFont="1" applyFill="1"/>
    <xf numFmtId="175" fontId="139" fillId="0" borderId="0" xfId="1360" applyNumberFormat="1" applyFont="1" applyFill="1" applyBorder="1"/>
    <xf numFmtId="175" fontId="82" fillId="0" borderId="36" xfId="1360" applyNumberFormat="1" applyFont="1" applyFill="1" applyBorder="1"/>
    <xf numFmtId="0" fontId="81" fillId="0" borderId="0" xfId="1782" applyNumberFormat="1" applyFont="1" applyFill="1"/>
    <xf numFmtId="0" fontId="82" fillId="0" borderId="0" xfId="0" applyFont="1" applyFill="1" applyAlignment="1">
      <alignment horizontal="center" wrapText="1"/>
    </xf>
    <xf numFmtId="174" fontId="82" fillId="0" borderId="0" xfId="0" applyNumberFormat="1" applyFont="1" applyFill="1" applyAlignment="1">
      <alignment horizontal="center" wrapText="1"/>
    </xf>
    <xf numFmtId="44" fontId="79" fillId="0" borderId="0" xfId="2" applyFont="1" applyFill="1" applyAlignment="1">
      <alignment horizontal="right"/>
    </xf>
    <xf numFmtId="37" fontId="79" fillId="0" borderId="0" xfId="0" applyNumberFormat="1" applyFont="1" applyFill="1"/>
    <xf numFmtId="165" fontId="83" fillId="0" borderId="0" xfId="1" applyNumberFormat="1" applyFont="1" applyFill="1"/>
    <xf numFmtId="165" fontId="85" fillId="0" borderId="0" xfId="1" applyNumberFormat="1" applyFont="1" applyFill="1"/>
    <xf numFmtId="165" fontId="138" fillId="0" borderId="0" xfId="1" applyNumberFormat="1" applyFont="1" applyFill="1"/>
    <xf numFmtId="175" fontId="139" fillId="0" borderId="0" xfId="0" applyNumberFormat="1" applyFont="1" applyFill="1"/>
    <xf numFmtId="175" fontId="82" fillId="0" borderId="0" xfId="0" applyNumberFormat="1" applyFont="1" applyFill="1"/>
    <xf numFmtId="175" fontId="139" fillId="0" borderId="0" xfId="2" applyNumberFormat="1" applyFont="1" applyFill="1"/>
    <xf numFmtId="41" fontId="135" fillId="0" borderId="0" xfId="1782" applyFont="1" applyFill="1"/>
    <xf numFmtId="175" fontId="82" fillId="0" borderId="0" xfId="1360" applyNumberFormat="1" applyFont="1" applyFill="1" applyBorder="1"/>
    <xf numFmtId="10" fontId="82" fillId="0" borderId="0" xfId="3" applyNumberFormat="1" applyFont="1"/>
    <xf numFmtId="44" fontId="79" fillId="0" borderId="0" xfId="2" applyNumberFormat="1" applyFont="1" applyFill="1" applyAlignment="1">
      <alignment horizontal="right"/>
    </xf>
    <xf numFmtId="44" fontId="79" fillId="0" borderId="0" xfId="2" applyNumberFormat="1" applyFont="1"/>
    <xf numFmtId="44" fontId="79" fillId="0" borderId="0" xfId="2" applyNumberFormat="1" applyFont="1" applyAlignment="1">
      <alignment horizontal="center" wrapText="1"/>
    </xf>
    <xf numFmtId="41" fontId="6" fillId="0" borderId="0" xfId="1782" applyFont="1"/>
    <xf numFmtId="41" fontId="14" fillId="0" borderId="0" xfId="1782"/>
    <xf numFmtId="41" fontId="6" fillId="0" borderId="61" xfId="1782" applyFont="1" applyFill="1" applyBorder="1"/>
    <xf numFmtId="41" fontId="6" fillId="0" borderId="62" xfId="1782" applyFont="1" applyFill="1" applyBorder="1"/>
    <xf numFmtId="41" fontId="6" fillId="0" borderId="0" xfId="1782" applyFont="1" applyFill="1"/>
    <xf numFmtId="41" fontId="6" fillId="0" borderId="0" xfId="1782" applyFont="1" applyFill="1" applyBorder="1"/>
    <xf numFmtId="41" fontId="6" fillId="0" borderId="63" xfId="1782" applyFont="1" applyFill="1" applyBorder="1"/>
    <xf numFmtId="41" fontId="6" fillId="0" borderId="0" xfId="1782" applyFont="1" applyFill="1" applyBorder="1" applyAlignment="1">
      <alignment horizontal="center"/>
    </xf>
    <xf numFmtId="41" fontId="6" fillId="0" borderId="63" xfId="1782" applyFont="1" applyFill="1" applyBorder="1" applyAlignment="1">
      <alignment horizontal="center"/>
    </xf>
    <xf numFmtId="41" fontId="6" fillId="0" borderId="0" xfId="1782" applyFont="1" applyFill="1" applyAlignment="1">
      <alignment horizontal="center"/>
    </xf>
    <xf numFmtId="41" fontId="6" fillId="5" borderId="0" xfId="1782" applyFont="1" applyFill="1" applyAlignment="1">
      <alignment horizontal="left"/>
    </xf>
    <xf numFmtId="41" fontId="6" fillId="5" borderId="0" xfId="1782" applyFont="1" applyFill="1" applyAlignment="1">
      <alignment horizontal="center"/>
    </xf>
    <xf numFmtId="41" fontId="6" fillId="0" borderId="0" xfId="1782" applyFont="1" applyBorder="1"/>
    <xf numFmtId="41" fontId="6" fillId="0" borderId="0" xfId="1782" applyFont="1" applyBorder="1" applyAlignment="1">
      <alignment horizontal="center"/>
    </xf>
    <xf numFmtId="41" fontId="6" fillId="0" borderId="63" xfId="1782" applyFont="1" applyBorder="1" applyAlignment="1">
      <alignment horizontal="center"/>
    </xf>
    <xf numFmtId="41" fontId="6" fillId="5" borderId="0" xfId="1782" applyFont="1" applyFill="1" applyBorder="1"/>
    <xf numFmtId="41" fontId="6" fillId="5" borderId="0" xfId="1782" applyFont="1" applyFill="1"/>
    <xf numFmtId="41" fontId="6" fillId="0" borderId="6" xfId="1782" applyFont="1" applyBorder="1"/>
    <xf numFmtId="41" fontId="6" fillId="5" borderId="6" xfId="1782" applyFont="1" applyFill="1" applyBorder="1"/>
    <xf numFmtId="10" fontId="6" fillId="3" borderId="63" xfId="3" applyNumberFormat="1" applyFont="1" applyFill="1" applyBorder="1"/>
    <xf numFmtId="41" fontId="157" fillId="5" borderId="0" xfId="0" applyNumberFormat="1" applyFont="1" applyFill="1" applyBorder="1"/>
    <xf numFmtId="41" fontId="14" fillId="0" borderId="0" xfId="1782" applyFill="1"/>
    <xf numFmtId="41" fontId="14" fillId="0" borderId="0" xfId="1782" applyBorder="1"/>
    <xf numFmtId="41" fontId="6" fillId="0" borderId="0" xfId="1782" quotePrefix="1" applyFont="1" applyBorder="1" applyAlignment="1">
      <alignment horizontal="left"/>
    </xf>
    <xf numFmtId="41" fontId="6" fillId="0" borderId="63" xfId="1782" applyFont="1" applyBorder="1"/>
    <xf numFmtId="41" fontId="6" fillId="0" borderId="0" xfId="1782" quotePrefix="1" applyFont="1" applyFill="1" applyBorder="1" applyAlignment="1">
      <alignment horizontal="center"/>
    </xf>
    <xf numFmtId="41" fontId="158" fillId="0" borderId="0" xfId="1782" applyFont="1"/>
    <xf numFmtId="41" fontId="6" fillId="0" borderId="64" xfId="1782" applyFont="1" applyFill="1" applyBorder="1"/>
    <xf numFmtId="41" fontId="6" fillId="0" borderId="65" xfId="1782" applyFont="1" applyFill="1" applyBorder="1"/>
    <xf numFmtId="41" fontId="6" fillId="0" borderId="65" xfId="1782" applyFont="1" applyFill="1" applyBorder="1" applyAlignment="1">
      <alignment horizontal="center"/>
    </xf>
    <xf numFmtId="9" fontId="6" fillId="0" borderId="0" xfId="1986" applyFont="1" applyFill="1" applyBorder="1" applyAlignment="1">
      <alignment horizontal="center"/>
    </xf>
    <xf numFmtId="41" fontId="14" fillId="0" borderId="65" xfId="1782" applyBorder="1"/>
    <xf numFmtId="10" fontId="0" fillId="3" borderId="9" xfId="1986" applyNumberFormat="1" applyFont="1" applyFill="1" applyBorder="1"/>
    <xf numFmtId="41" fontId="102" fillId="0" borderId="65" xfId="1782" applyFont="1" applyBorder="1"/>
    <xf numFmtId="41" fontId="102" fillId="0" borderId="0" xfId="1782" applyFont="1" applyBorder="1"/>
    <xf numFmtId="10" fontId="159" fillId="0" borderId="0" xfId="1986" applyNumberFormat="1" applyFont="1" applyBorder="1"/>
    <xf numFmtId="41" fontId="160" fillId="0" borderId="65" xfId="1782" applyFont="1" applyBorder="1"/>
    <xf numFmtId="41" fontId="160" fillId="0" borderId="0" xfId="1782" applyFont="1" applyBorder="1"/>
    <xf numFmtId="41" fontId="159" fillId="14" borderId="0" xfId="1986" applyNumberFormat="1" applyFont="1" applyFill="1" applyBorder="1"/>
    <xf numFmtId="41" fontId="159" fillId="0" borderId="0" xfId="0" applyNumberFormat="1" applyFont="1" applyBorder="1"/>
    <xf numFmtId="41" fontId="0" fillId="0" borderId="0" xfId="0" applyNumberFormat="1"/>
    <xf numFmtId="41" fontId="159" fillId="0" borderId="65" xfId="0" applyNumberFormat="1" applyFont="1" applyBorder="1"/>
    <xf numFmtId="41" fontId="157" fillId="0" borderId="0" xfId="0" applyNumberFormat="1" applyFont="1" applyBorder="1"/>
    <xf numFmtId="41" fontId="157" fillId="0" borderId="63" xfId="0" applyNumberFormat="1" applyFont="1" applyBorder="1"/>
    <xf numFmtId="10" fontId="161" fillId="0" borderId="0" xfId="1986" applyNumberFormat="1" applyFont="1" applyBorder="1"/>
    <xf numFmtId="41" fontId="162" fillId="0" borderId="0" xfId="0" applyNumberFormat="1" applyFont="1" applyBorder="1"/>
    <xf numFmtId="175" fontId="159" fillId="0" borderId="66" xfId="1360" applyNumberFormat="1" applyFont="1" applyBorder="1"/>
    <xf numFmtId="175" fontId="159" fillId="0" borderId="36" xfId="1360" applyNumberFormat="1" applyFont="1" applyBorder="1"/>
    <xf numFmtId="41" fontId="102" fillId="0" borderId="0" xfId="3" applyNumberFormat="1" applyFont="1" applyBorder="1"/>
    <xf numFmtId="165" fontId="102" fillId="0" borderId="65" xfId="1" applyNumberFormat="1" applyFont="1" applyBorder="1"/>
    <xf numFmtId="41" fontId="6" fillId="16" borderId="0" xfId="1782" applyFont="1" applyFill="1" applyBorder="1"/>
    <xf numFmtId="41" fontId="157" fillId="16" borderId="0" xfId="0" applyNumberFormat="1" applyFont="1" applyFill="1" applyBorder="1"/>
    <xf numFmtId="10" fontId="6" fillId="16" borderId="0" xfId="3" applyNumberFormat="1" applyFont="1" applyFill="1" applyBorder="1"/>
    <xf numFmtId="41" fontId="6" fillId="16" borderId="0" xfId="1782" quotePrefix="1" applyFont="1" applyFill="1" applyBorder="1" applyAlignment="1">
      <alignment horizontal="center"/>
    </xf>
    <xf numFmtId="43" fontId="102" fillId="0" borderId="0" xfId="1782" applyNumberFormat="1" applyFont="1" applyBorder="1"/>
    <xf numFmtId="164" fontId="82" fillId="0" borderId="0" xfId="1" applyNumberFormat="1" applyFont="1" applyFill="1" applyBorder="1"/>
    <xf numFmtId="164" fontId="81" fillId="0" borderId="0" xfId="1" applyNumberFormat="1" applyFont="1" applyFill="1" applyBorder="1" applyAlignment="1">
      <alignment horizontal="center"/>
    </xf>
    <xf numFmtId="164" fontId="81" fillId="0" borderId="0" xfId="1" applyNumberFormat="1" applyFont="1" applyFill="1" applyBorder="1"/>
    <xf numFmtId="164" fontId="81" fillId="0" borderId="0" xfId="1" quotePrefix="1" applyNumberFormat="1" applyFont="1" applyFill="1" applyBorder="1" applyAlignment="1">
      <alignment horizontal="left"/>
    </xf>
    <xf numFmtId="164" fontId="80" fillId="0" borderId="0" xfId="1" applyNumberFormat="1" applyFont="1" applyFill="1" applyBorder="1"/>
    <xf numFmtId="164" fontId="141" fillId="0" borderId="0" xfId="1" applyNumberFormat="1" applyFont="1" applyFill="1" applyBorder="1"/>
    <xf numFmtId="164" fontId="81" fillId="0" borderId="0" xfId="1" quotePrefix="1" applyNumberFormat="1" applyFont="1" applyFill="1" applyBorder="1" applyAlignment="1">
      <alignment horizontal="right"/>
    </xf>
    <xf numFmtId="164" fontId="81" fillId="0" borderId="0" xfId="1" applyNumberFormat="1" applyFont="1" applyFill="1" applyBorder="1" applyAlignment="1">
      <alignment horizontal="left"/>
    </xf>
    <xf numFmtId="175" fontId="81" fillId="16" borderId="0" xfId="2" applyNumberFormat="1" applyFont="1" applyFill="1"/>
    <xf numFmtId="41" fontId="81" fillId="16" borderId="0" xfId="1782" applyFont="1" applyFill="1"/>
    <xf numFmtId="41" fontId="159" fillId="0" borderId="0" xfId="1986" applyNumberFormat="1" applyFont="1" applyBorder="1"/>
    <xf numFmtId="41" fontId="6" fillId="5" borderId="0" xfId="1782" quotePrefix="1" applyFont="1" applyFill="1" applyBorder="1" applyAlignment="1">
      <alignment horizontal="left"/>
    </xf>
    <xf numFmtId="43" fontId="6" fillId="5" borderId="0" xfId="1782" applyNumberFormat="1" applyFont="1" applyFill="1"/>
    <xf numFmtId="9" fontId="6" fillId="14" borderId="0" xfId="1782" applyNumberFormat="1" applyFont="1" applyFill="1" applyAlignment="1">
      <alignment horizontal="center"/>
    </xf>
    <xf numFmtId="10" fontId="81" fillId="0" borderId="0" xfId="3" applyNumberFormat="1" applyFont="1" applyFill="1" applyBorder="1"/>
    <xf numFmtId="44" fontId="81" fillId="0" borderId="0" xfId="1986" applyNumberFormat="1" applyFont="1" applyFill="1" applyBorder="1"/>
    <xf numFmtId="10" fontId="82" fillId="0" borderId="0" xfId="3" applyNumberFormat="1" applyFont="1" applyFill="1"/>
    <xf numFmtId="44" fontId="82" fillId="0" borderId="0" xfId="0" applyNumberFormat="1" applyFont="1" applyFill="1"/>
    <xf numFmtId="175" fontId="81" fillId="14" borderId="0" xfId="2" applyNumberFormat="1" applyFont="1" applyFill="1"/>
    <xf numFmtId="41" fontId="81" fillId="77" borderId="0" xfId="1782" applyFont="1" applyFill="1" applyBorder="1"/>
    <xf numFmtId="37" fontId="163" fillId="0" borderId="0" xfId="0" applyNumberFormat="1" applyFont="1"/>
    <xf numFmtId="41" fontId="163" fillId="0" borderId="0" xfId="1782" applyFont="1" applyFill="1"/>
    <xf numFmtId="41" fontId="163" fillId="0" borderId="0" xfId="1782" applyFont="1" applyFill="1" applyAlignment="1">
      <alignment horizontal="left"/>
    </xf>
    <xf numFmtId="37" fontId="163" fillId="0" borderId="0" xfId="0" quotePrefix="1" applyNumberFormat="1" applyFont="1" applyAlignment="1">
      <alignment horizontal="left"/>
    </xf>
    <xf numFmtId="41" fontId="163" fillId="0" borderId="0" xfId="1782" quotePrefix="1" applyFont="1" applyFill="1" applyBorder="1" applyAlignment="1">
      <alignment horizontal="left" indent="1"/>
    </xf>
    <xf numFmtId="0" fontId="163" fillId="0" borderId="0" xfId="0" quotePrefix="1" applyFont="1" applyAlignment="1">
      <alignment horizontal="left"/>
    </xf>
    <xf numFmtId="41" fontId="163" fillId="0" borderId="0" xfId="0" applyNumberFormat="1" applyFont="1" applyFill="1"/>
    <xf numFmtId="0" fontId="163" fillId="0" borderId="0" xfId="0" applyFont="1"/>
    <xf numFmtId="41" fontId="80" fillId="77" borderId="0" xfId="1782" quotePrefix="1" applyFont="1" applyFill="1" applyBorder="1" applyAlignment="1">
      <alignment horizontal="right"/>
    </xf>
    <xf numFmtId="10" fontId="82" fillId="0" borderId="0" xfId="1986" quotePrefix="1" applyNumberFormat="1" applyFont="1"/>
    <xf numFmtId="41" fontId="143" fillId="0" borderId="0" xfId="1782" applyFont="1"/>
    <xf numFmtId="44" fontId="79" fillId="0" borderId="0" xfId="2" applyFont="1" applyAlignment="1">
      <alignment horizontal="center" vertical="center" wrapText="1"/>
    </xf>
    <xf numFmtId="41" fontId="81" fillId="0" borderId="0" xfId="1782" quotePrefix="1" applyFont="1" applyFill="1" applyBorder="1" applyAlignment="1">
      <alignment horizontal="left" vertical="center"/>
    </xf>
    <xf numFmtId="165" fontId="83" fillId="0" borderId="0" xfId="2" applyNumberFormat="1" applyFont="1" applyAlignment="1">
      <alignment vertical="center"/>
    </xf>
    <xf numFmtId="165" fontId="79" fillId="0" borderId="0" xfId="0" applyNumberFormat="1" applyFont="1" applyAlignment="1">
      <alignment vertical="center"/>
    </xf>
    <xf numFmtId="175" fontId="83" fillId="0" borderId="0" xfId="2" applyNumberFormat="1" applyFont="1" applyAlignment="1">
      <alignment vertical="center"/>
    </xf>
    <xf numFmtId="44" fontId="79" fillId="0" borderId="0" xfId="2" applyFont="1" applyAlignment="1">
      <alignment vertical="center"/>
    </xf>
    <xf numFmtId="175" fontId="83" fillId="0" borderId="0" xfId="2" applyNumberFormat="1" applyFont="1" applyAlignment="1">
      <alignment horizontal="right" vertical="center"/>
    </xf>
    <xf numFmtId="44" fontId="79" fillId="0" borderId="0" xfId="2" applyFont="1" applyFill="1" applyAlignment="1">
      <alignment horizontal="right" vertical="center"/>
    </xf>
    <xf numFmtId="10" fontId="82" fillId="0" borderId="0" xfId="3" applyNumberFormat="1" applyFont="1" applyAlignment="1">
      <alignment vertical="center"/>
    </xf>
    <xf numFmtId="10" fontId="82" fillId="0" borderId="0" xfId="3" applyNumberFormat="1" applyFont="1" applyFill="1" applyAlignment="1">
      <alignment vertical="center"/>
    </xf>
    <xf numFmtId="44" fontId="82" fillId="0" borderId="0" xfId="0" applyNumberFormat="1" applyFont="1" applyFill="1" applyAlignment="1">
      <alignment vertical="center"/>
    </xf>
    <xf numFmtId="0" fontId="82" fillId="0" borderId="0" xfId="0" applyFont="1" applyAlignment="1">
      <alignment vertical="center"/>
    </xf>
    <xf numFmtId="0" fontId="88" fillId="14" borderId="0" xfId="0" quotePrefix="1" applyFont="1" applyFill="1" applyAlignment="1">
      <alignment horizontal="center" wrapText="1"/>
    </xf>
    <xf numFmtId="41" fontId="143" fillId="0" borderId="6" xfId="1782" quotePrefix="1" applyFont="1" applyBorder="1" applyAlignment="1">
      <alignment horizontal="center"/>
    </xf>
    <xf numFmtId="41" fontId="143" fillId="0" borderId="6" xfId="1782" applyFont="1" applyBorder="1" applyAlignment="1">
      <alignment horizontal="center"/>
    </xf>
    <xf numFmtId="0" fontId="151" fillId="0" borderId="55" xfId="0" quotePrefix="1" applyFont="1" applyBorder="1" applyAlignment="1">
      <alignment horizontal="left" wrapText="1"/>
    </xf>
    <xf numFmtId="0" fontId="151" fillId="0" borderId="53" xfId="0" quotePrefix="1" applyFont="1" applyBorder="1" applyAlignment="1">
      <alignment horizontal="left" wrapText="1"/>
    </xf>
  </cellXfs>
  <cellStyles count="15121">
    <cellStyle name="_Row1" xfId="2114"/>
    <cellStyle name="_Row1 2" xfId="2115"/>
    <cellStyle name="=C:\WINNT\SYSTEM32\COMMAND.COM" xfId="2116"/>
    <cellStyle name="=C:\WINNT\SYSTEM32\COMMAND.COM 2" xfId="2117"/>
    <cellStyle name="=C:\WINNT\SYSTEM32\COMMAND.COM 2 2" xfId="2118"/>
    <cellStyle name="=C:\WINNT\SYSTEM32\COMMAND.COM 3" xfId="2119"/>
    <cellStyle name="=C:\WINNT35\SYSTEM32\COMMAND.COM" xfId="2120"/>
    <cellStyle name="20% - Accent1 10" xfId="14"/>
    <cellStyle name="20% - Accent1 10 2" xfId="2121"/>
    <cellStyle name="20% - Accent1 10 2 2" xfId="2122"/>
    <cellStyle name="20% - Accent1 10 3" xfId="2123"/>
    <cellStyle name="20% - Accent1 10 4" xfId="2124"/>
    <cellStyle name="20% - Accent1 11" xfId="15"/>
    <cellStyle name="20% - Accent1 11 2" xfId="2125"/>
    <cellStyle name="20% - Accent1 11 2 2" xfId="2126"/>
    <cellStyle name="20% - Accent1 11 3" xfId="2127"/>
    <cellStyle name="20% - Accent1 11 4" xfId="2128"/>
    <cellStyle name="20% - Accent1 12" xfId="16"/>
    <cellStyle name="20% - Accent1 12 2" xfId="2129"/>
    <cellStyle name="20% - Accent1 12 3" xfId="2130"/>
    <cellStyle name="20% - Accent1 13" xfId="17"/>
    <cellStyle name="20% - Accent1 13 2" xfId="2131"/>
    <cellStyle name="20% - Accent1 14" xfId="18"/>
    <cellStyle name="20% - Accent1 15" xfId="19"/>
    <cellStyle name="20% - Accent1 15 2" xfId="20"/>
    <cellStyle name="20% - Accent1 15 3" xfId="21"/>
    <cellStyle name="20% - Accent1 15 4" xfId="22"/>
    <cellStyle name="20% - Accent1 15 5" xfId="23"/>
    <cellStyle name="20% - Accent1 16" xfId="24"/>
    <cellStyle name="20% - Accent1 16 2" xfId="25"/>
    <cellStyle name="20% - Accent1 16 3" xfId="26"/>
    <cellStyle name="20% - Accent1 16 4" xfId="27"/>
    <cellStyle name="20% - Accent1 16 5" xfId="28"/>
    <cellStyle name="20% - Accent1 17" xfId="29"/>
    <cellStyle name="20% - Accent1 17 2" xfId="30"/>
    <cellStyle name="20% - Accent1 17 3" xfId="31"/>
    <cellStyle name="20% - Accent1 17 4" xfId="32"/>
    <cellStyle name="20% - Accent1 17 5" xfId="33"/>
    <cellStyle name="20% - Accent1 18" xfId="34"/>
    <cellStyle name="20% - Accent1 19" xfId="35"/>
    <cellStyle name="20% - Accent1 2" xfId="36"/>
    <cellStyle name="20% - Accent1 2 2" xfId="37"/>
    <cellStyle name="20% - Accent1 2 2 2" xfId="38"/>
    <cellStyle name="20% - Accent1 2 2 2 2" xfId="39"/>
    <cellStyle name="20% - Accent1 2 2 2 2 2" xfId="2132"/>
    <cellStyle name="20% - Accent1 2 2 2 2 2 2" xfId="2133"/>
    <cellStyle name="20% - Accent1 2 2 2 2 2 2 2" xfId="2134"/>
    <cellStyle name="20% - Accent1 2 2 2 2 2 3" xfId="2135"/>
    <cellStyle name="20% - Accent1 2 2 2 2 3" xfId="2136"/>
    <cellStyle name="20% - Accent1 2 2 2 2 3 2" xfId="2137"/>
    <cellStyle name="20% - Accent1 2 2 2 2 4" xfId="2138"/>
    <cellStyle name="20% - Accent1 2 2 2 2 5" xfId="2139"/>
    <cellStyle name="20% - Accent1 2 2 2 3" xfId="40"/>
    <cellStyle name="20% - Accent1 2 2 2 3 2" xfId="2140"/>
    <cellStyle name="20% - Accent1 2 2 2 3 2 2" xfId="2141"/>
    <cellStyle name="20% - Accent1 2 2 2 3 3" xfId="2142"/>
    <cellStyle name="20% - Accent1 2 2 2 4" xfId="41"/>
    <cellStyle name="20% - Accent1 2 2 2 4 2" xfId="2143"/>
    <cellStyle name="20% - Accent1 2 2 2 5" xfId="42"/>
    <cellStyle name="20% - Accent1 2 2 2 6" xfId="2144"/>
    <cellStyle name="20% - Accent1 2 2 3" xfId="43"/>
    <cellStyle name="20% - Accent1 2 2 3 2" xfId="2145"/>
    <cellStyle name="20% - Accent1 2 2 3 2 2" xfId="2146"/>
    <cellStyle name="20% - Accent1 2 2 3 2 2 2" xfId="2147"/>
    <cellStyle name="20% - Accent1 2 2 3 2 3" xfId="2148"/>
    <cellStyle name="20% - Accent1 2 2 3 3" xfId="2149"/>
    <cellStyle name="20% - Accent1 2 2 3 3 2" xfId="2150"/>
    <cellStyle name="20% - Accent1 2 2 3 4" xfId="2151"/>
    <cellStyle name="20% - Accent1 2 2 3 5" xfId="2152"/>
    <cellStyle name="20% - Accent1 2 2 4" xfId="44"/>
    <cellStyle name="20% - Accent1 2 2 4 2" xfId="2153"/>
    <cellStyle name="20% - Accent1 2 2 4 2 2" xfId="2154"/>
    <cellStyle name="20% - Accent1 2 2 4 3" xfId="2155"/>
    <cellStyle name="20% - Accent1 2 2 5" xfId="45"/>
    <cellStyle name="20% - Accent1 2 2 5 2" xfId="2156"/>
    <cellStyle name="20% - Accent1 2 2 6" xfId="2157"/>
    <cellStyle name="20% - Accent1 2 2 7" xfId="2158"/>
    <cellStyle name="20% - Accent1 2 3" xfId="46"/>
    <cellStyle name="20% - Accent1 2 3 2" xfId="2159"/>
    <cellStyle name="20% - Accent1 2 3 2 2" xfId="2160"/>
    <cellStyle name="20% - Accent1 2 3 2 2 2" xfId="2161"/>
    <cellStyle name="20% - Accent1 2 3 2 2 2 2" xfId="2162"/>
    <cellStyle name="20% - Accent1 2 3 2 2 3" xfId="2163"/>
    <cellStyle name="20% - Accent1 2 3 2 3" xfId="2164"/>
    <cellStyle name="20% - Accent1 2 3 2 3 2" xfId="2165"/>
    <cellStyle name="20% - Accent1 2 3 2 4" xfId="2166"/>
    <cellStyle name="20% - Accent1 2 3 3" xfId="2167"/>
    <cellStyle name="20% - Accent1 2 3 3 2" xfId="2168"/>
    <cellStyle name="20% - Accent1 2 3 3 2 2" xfId="2169"/>
    <cellStyle name="20% - Accent1 2 3 3 3" xfId="2170"/>
    <cellStyle name="20% - Accent1 2 3 4" xfId="2171"/>
    <cellStyle name="20% - Accent1 2 3 4 2" xfId="2172"/>
    <cellStyle name="20% - Accent1 2 3 5" xfId="2173"/>
    <cellStyle name="20% - Accent1 2 3 6" xfId="2174"/>
    <cellStyle name="20% - Accent1 2 4" xfId="47"/>
    <cellStyle name="20% - Accent1 2 4 2" xfId="2175"/>
    <cellStyle name="20% - Accent1 2 4 2 2" xfId="2176"/>
    <cellStyle name="20% - Accent1 2 4 2 2 2" xfId="2177"/>
    <cellStyle name="20% - Accent1 2 4 2 3" xfId="2178"/>
    <cellStyle name="20% - Accent1 2 4 3" xfId="2179"/>
    <cellStyle name="20% - Accent1 2 4 3 2" xfId="2180"/>
    <cellStyle name="20% - Accent1 2 4 4" xfId="2181"/>
    <cellStyle name="20% - Accent1 2 4 5" xfId="2182"/>
    <cellStyle name="20% - Accent1 2 5" xfId="48"/>
    <cellStyle name="20% - Accent1 2 5 2" xfId="2183"/>
    <cellStyle name="20% - Accent1 2 5 2 2" xfId="2184"/>
    <cellStyle name="20% - Accent1 2 5 3" xfId="2185"/>
    <cellStyle name="20% - Accent1 2 5 4" xfId="2186"/>
    <cellStyle name="20% - Accent1 2 6" xfId="49"/>
    <cellStyle name="20% - Accent1 2 6 2" xfId="2187"/>
    <cellStyle name="20% - Accent1 2 6 3" xfId="2188"/>
    <cellStyle name="20% - Accent1 2 7" xfId="50"/>
    <cellStyle name="20% - Accent1 2 8" xfId="51"/>
    <cellStyle name="20% - Accent1 2 9" xfId="52"/>
    <cellStyle name="20% - Accent1 20" xfId="53"/>
    <cellStyle name="20% - Accent1 21" xfId="54"/>
    <cellStyle name="20% - Accent1 22" xfId="55"/>
    <cellStyle name="20% - Accent1 23" xfId="56"/>
    <cellStyle name="20% - Accent1 24" xfId="57"/>
    <cellStyle name="20% - Accent1 25" xfId="58"/>
    <cellStyle name="20% - Accent1 26" xfId="59"/>
    <cellStyle name="20% - Accent1 27" xfId="60"/>
    <cellStyle name="20% - Accent1 28" xfId="61"/>
    <cellStyle name="20% - Accent1 29" xfId="62"/>
    <cellStyle name="20% - Accent1 3" xfId="63"/>
    <cellStyle name="20% - Accent1 3 2" xfId="2189"/>
    <cellStyle name="20% - Accent1 3 2 2" xfId="2190"/>
    <cellStyle name="20% - Accent1 3 2 2 2" xfId="2191"/>
    <cellStyle name="20% - Accent1 3 2 2 2 2" xfId="2192"/>
    <cellStyle name="20% - Accent1 3 2 2 2 2 2" xfId="2193"/>
    <cellStyle name="20% - Accent1 3 2 2 2 2 2 2" xfId="2194"/>
    <cellStyle name="20% - Accent1 3 2 2 2 2 3" xfId="2195"/>
    <cellStyle name="20% - Accent1 3 2 2 2 3" xfId="2196"/>
    <cellStyle name="20% - Accent1 3 2 2 2 3 2" xfId="2197"/>
    <cellStyle name="20% - Accent1 3 2 2 2 4" xfId="2198"/>
    <cellStyle name="20% - Accent1 3 2 2 3" xfId="2199"/>
    <cellStyle name="20% - Accent1 3 2 2 3 2" xfId="2200"/>
    <cellStyle name="20% - Accent1 3 2 2 3 2 2" xfId="2201"/>
    <cellStyle name="20% - Accent1 3 2 2 3 3" xfId="2202"/>
    <cellStyle name="20% - Accent1 3 2 2 4" xfId="2203"/>
    <cellStyle name="20% - Accent1 3 2 2 4 2" xfId="2204"/>
    <cellStyle name="20% - Accent1 3 2 2 5" xfId="2205"/>
    <cellStyle name="20% - Accent1 3 2 2 6" xfId="2206"/>
    <cellStyle name="20% - Accent1 3 2 3" xfId="2207"/>
    <cellStyle name="20% - Accent1 3 2 3 2" xfId="2208"/>
    <cellStyle name="20% - Accent1 3 2 3 2 2" xfId="2209"/>
    <cellStyle name="20% - Accent1 3 2 3 2 2 2" xfId="2210"/>
    <cellStyle name="20% - Accent1 3 2 3 2 3" xfId="2211"/>
    <cellStyle name="20% - Accent1 3 2 3 3" xfId="2212"/>
    <cellStyle name="20% - Accent1 3 2 3 3 2" xfId="2213"/>
    <cellStyle name="20% - Accent1 3 2 3 4" xfId="2214"/>
    <cellStyle name="20% - Accent1 3 2 4" xfId="2215"/>
    <cellStyle name="20% - Accent1 3 2 4 2" xfId="2216"/>
    <cellStyle name="20% - Accent1 3 2 4 2 2" xfId="2217"/>
    <cellStyle name="20% - Accent1 3 2 4 3" xfId="2218"/>
    <cellStyle name="20% - Accent1 3 2 5" xfId="2219"/>
    <cellStyle name="20% - Accent1 3 2 5 2" xfId="2220"/>
    <cellStyle name="20% - Accent1 3 2 6" xfId="2221"/>
    <cellStyle name="20% - Accent1 3 2 7" xfId="2222"/>
    <cellStyle name="20% - Accent1 3 3" xfId="2223"/>
    <cellStyle name="20% - Accent1 3 3 2" xfId="2224"/>
    <cellStyle name="20% - Accent1 3 3 2 2" xfId="2225"/>
    <cellStyle name="20% - Accent1 3 3 2 2 2" xfId="2226"/>
    <cellStyle name="20% - Accent1 3 3 2 2 2 2" xfId="2227"/>
    <cellStyle name="20% - Accent1 3 3 2 2 3" xfId="2228"/>
    <cellStyle name="20% - Accent1 3 3 2 3" xfId="2229"/>
    <cellStyle name="20% - Accent1 3 3 2 3 2" xfId="2230"/>
    <cellStyle name="20% - Accent1 3 3 2 4" xfId="2231"/>
    <cellStyle name="20% - Accent1 3 3 3" xfId="2232"/>
    <cellStyle name="20% - Accent1 3 3 3 2" xfId="2233"/>
    <cellStyle name="20% - Accent1 3 3 3 2 2" xfId="2234"/>
    <cellStyle name="20% - Accent1 3 3 3 3" xfId="2235"/>
    <cellStyle name="20% - Accent1 3 3 4" xfId="2236"/>
    <cellStyle name="20% - Accent1 3 3 4 2" xfId="2237"/>
    <cellStyle name="20% - Accent1 3 3 5" xfId="2238"/>
    <cellStyle name="20% - Accent1 3 3 6" xfId="2239"/>
    <cellStyle name="20% - Accent1 3 4" xfId="2240"/>
    <cellStyle name="20% - Accent1 3 4 2" xfId="2241"/>
    <cellStyle name="20% - Accent1 3 4 2 2" xfId="2242"/>
    <cellStyle name="20% - Accent1 3 4 2 2 2" xfId="2243"/>
    <cellStyle name="20% - Accent1 3 4 2 3" xfId="2244"/>
    <cellStyle name="20% - Accent1 3 4 3" xfId="2245"/>
    <cellStyle name="20% - Accent1 3 4 3 2" xfId="2246"/>
    <cellStyle name="20% - Accent1 3 4 4" xfId="2247"/>
    <cellStyle name="20% - Accent1 3 4 5" xfId="2248"/>
    <cellStyle name="20% - Accent1 3 5" xfId="2249"/>
    <cellStyle name="20% - Accent1 3 5 2" xfId="2250"/>
    <cellStyle name="20% - Accent1 3 5 2 2" xfId="2251"/>
    <cellStyle name="20% - Accent1 3 5 3" xfId="2252"/>
    <cellStyle name="20% - Accent1 3 6" xfId="2253"/>
    <cellStyle name="20% - Accent1 3 6 2" xfId="2254"/>
    <cellStyle name="20% - Accent1 3 7" xfId="2255"/>
    <cellStyle name="20% - Accent1 3 8" xfId="2256"/>
    <cellStyle name="20% - Accent1 3 9" xfId="2257"/>
    <cellStyle name="20% - Accent1 30" xfId="64"/>
    <cellStyle name="20% - Accent1 31" xfId="65"/>
    <cellStyle name="20% - Accent1 32" xfId="66"/>
    <cellStyle name="20% - Accent1 33" xfId="67"/>
    <cellStyle name="20% - Accent1 34" xfId="68"/>
    <cellStyle name="20% - Accent1 35" xfId="69"/>
    <cellStyle name="20% - Accent1 4" xfId="70"/>
    <cellStyle name="20% - Accent1 4 2" xfId="2258"/>
    <cellStyle name="20% - Accent1 4 2 2" xfId="2259"/>
    <cellStyle name="20% - Accent1 4 2 2 2" xfId="2260"/>
    <cellStyle name="20% - Accent1 4 2 2 2 2" xfId="2261"/>
    <cellStyle name="20% - Accent1 4 2 2 2 2 2" xfId="2262"/>
    <cellStyle name="20% - Accent1 4 2 2 2 3" xfId="2263"/>
    <cellStyle name="20% - Accent1 4 2 2 3" xfId="2264"/>
    <cellStyle name="20% - Accent1 4 2 2 3 2" xfId="2265"/>
    <cellStyle name="20% - Accent1 4 2 2 4" xfId="2266"/>
    <cellStyle name="20% - Accent1 4 2 3" xfId="2267"/>
    <cellStyle name="20% - Accent1 4 2 3 2" xfId="2268"/>
    <cellStyle name="20% - Accent1 4 2 3 2 2" xfId="2269"/>
    <cellStyle name="20% - Accent1 4 2 3 3" xfId="2270"/>
    <cellStyle name="20% - Accent1 4 2 4" xfId="2271"/>
    <cellStyle name="20% - Accent1 4 2 4 2" xfId="2272"/>
    <cellStyle name="20% - Accent1 4 2 5" xfId="2273"/>
    <cellStyle name="20% - Accent1 4 2 6" xfId="2274"/>
    <cellStyle name="20% - Accent1 4 3" xfId="2275"/>
    <cellStyle name="20% - Accent1 4 3 2" xfId="2276"/>
    <cellStyle name="20% - Accent1 4 3 2 2" xfId="2277"/>
    <cellStyle name="20% - Accent1 4 3 2 2 2" xfId="2278"/>
    <cellStyle name="20% - Accent1 4 3 2 3" xfId="2279"/>
    <cellStyle name="20% - Accent1 4 3 3" xfId="2280"/>
    <cellStyle name="20% - Accent1 4 3 3 2" xfId="2281"/>
    <cellStyle name="20% - Accent1 4 3 4" xfId="2282"/>
    <cellStyle name="20% - Accent1 4 3 5" xfId="2283"/>
    <cellStyle name="20% - Accent1 4 4" xfId="2284"/>
    <cellStyle name="20% - Accent1 4 4 2" xfId="2285"/>
    <cellStyle name="20% - Accent1 4 4 2 2" xfId="2286"/>
    <cellStyle name="20% - Accent1 4 4 3" xfId="2287"/>
    <cellStyle name="20% - Accent1 4 5" xfId="2288"/>
    <cellStyle name="20% - Accent1 4 5 2" xfId="2289"/>
    <cellStyle name="20% - Accent1 4 6" xfId="2290"/>
    <cellStyle name="20% - Accent1 4 7" xfId="2291"/>
    <cellStyle name="20% - Accent1 5" xfId="71"/>
    <cellStyle name="20% - Accent1 5 2" xfId="2292"/>
    <cellStyle name="20% - Accent1 5 2 2" xfId="2293"/>
    <cellStyle name="20% - Accent1 5 2 2 2" xfId="2294"/>
    <cellStyle name="20% - Accent1 5 2 2 2 2" xfId="2295"/>
    <cellStyle name="20% - Accent1 5 2 2 3" xfId="2296"/>
    <cellStyle name="20% - Accent1 5 2 3" xfId="2297"/>
    <cellStyle name="20% - Accent1 5 2 3 2" xfId="2298"/>
    <cellStyle name="20% - Accent1 5 2 4" xfId="2299"/>
    <cellStyle name="20% - Accent1 5 2 5" xfId="2300"/>
    <cellStyle name="20% - Accent1 5 3" xfId="2301"/>
    <cellStyle name="20% - Accent1 5 3 2" xfId="2302"/>
    <cellStyle name="20% - Accent1 5 3 2 2" xfId="2303"/>
    <cellStyle name="20% - Accent1 5 3 3" xfId="2304"/>
    <cellStyle name="20% - Accent1 5 4" xfId="2305"/>
    <cellStyle name="20% - Accent1 5 4 2" xfId="2306"/>
    <cellStyle name="20% - Accent1 5 5" xfId="2307"/>
    <cellStyle name="20% - Accent1 5 6" xfId="2308"/>
    <cellStyle name="20% - Accent1 6" xfId="72"/>
    <cellStyle name="20% - Accent1 6 2" xfId="2309"/>
    <cellStyle name="20% - Accent1 6 2 2" xfId="2310"/>
    <cellStyle name="20% - Accent1 6 2 2 2" xfId="2311"/>
    <cellStyle name="20% - Accent1 6 2 3" xfId="2312"/>
    <cellStyle name="20% - Accent1 6 2 4" xfId="2313"/>
    <cellStyle name="20% - Accent1 6 2 5" xfId="2314"/>
    <cellStyle name="20% - Accent1 6 3" xfId="2315"/>
    <cellStyle name="20% - Accent1 6 3 2" xfId="2316"/>
    <cellStyle name="20% - Accent1 6 4" xfId="2317"/>
    <cellStyle name="20% - Accent1 6 5" xfId="2318"/>
    <cellStyle name="20% - Accent1 7" xfId="73"/>
    <cellStyle name="20% - Accent1 7 2" xfId="2319"/>
    <cellStyle name="20% - Accent1 7 2 2" xfId="2320"/>
    <cellStyle name="20% - Accent1 7 2 2 2" xfId="2321"/>
    <cellStyle name="20% - Accent1 7 2 3" xfId="2322"/>
    <cellStyle name="20% - Accent1 7 3" xfId="2323"/>
    <cellStyle name="20% - Accent1 7 3 2" xfId="2324"/>
    <cellStyle name="20% - Accent1 7 4" xfId="2325"/>
    <cellStyle name="20% - Accent1 7 5" xfId="2326"/>
    <cellStyle name="20% - Accent1 8" xfId="74"/>
    <cellStyle name="20% - Accent1 8 2" xfId="2327"/>
    <cellStyle name="20% - Accent1 8 2 2" xfId="2328"/>
    <cellStyle name="20% - Accent1 8 2 2 2" xfId="2329"/>
    <cellStyle name="20% - Accent1 8 2 3" xfId="2330"/>
    <cellStyle name="20% - Accent1 8 3" xfId="2331"/>
    <cellStyle name="20% - Accent1 8 3 2" xfId="2332"/>
    <cellStyle name="20% - Accent1 8 4" xfId="2333"/>
    <cellStyle name="20% - Accent1 8 5" xfId="2334"/>
    <cellStyle name="20% - Accent1 9" xfId="75"/>
    <cellStyle name="20% - Accent1 9 2" xfId="2335"/>
    <cellStyle name="20% - Accent1 9 2 2" xfId="2336"/>
    <cellStyle name="20% - Accent1 9 3" xfId="2337"/>
    <cellStyle name="20% - Accent1 9 4" xfId="2338"/>
    <cellStyle name="20% - Accent2 10" xfId="76"/>
    <cellStyle name="20% - Accent2 10 2" xfId="2339"/>
    <cellStyle name="20% - Accent2 10 2 2" xfId="2340"/>
    <cellStyle name="20% - Accent2 10 3" xfId="2341"/>
    <cellStyle name="20% - Accent2 10 4" xfId="2342"/>
    <cellStyle name="20% - Accent2 11" xfId="77"/>
    <cellStyle name="20% - Accent2 11 2" xfId="2343"/>
    <cellStyle name="20% - Accent2 11 2 2" xfId="2344"/>
    <cellStyle name="20% - Accent2 11 3" xfId="2345"/>
    <cellStyle name="20% - Accent2 11 4" xfId="2346"/>
    <cellStyle name="20% - Accent2 12" xfId="78"/>
    <cellStyle name="20% - Accent2 12 2" xfId="2347"/>
    <cellStyle name="20% - Accent2 12 3" xfId="2348"/>
    <cellStyle name="20% - Accent2 13" xfId="79"/>
    <cellStyle name="20% - Accent2 13 2" xfId="2349"/>
    <cellStyle name="20% - Accent2 14" xfId="80"/>
    <cellStyle name="20% - Accent2 15" xfId="81"/>
    <cellStyle name="20% - Accent2 15 2" xfId="82"/>
    <cellStyle name="20% - Accent2 15 3" xfId="83"/>
    <cellStyle name="20% - Accent2 15 4" xfId="84"/>
    <cellStyle name="20% - Accent2 15 5" xfId="85"/>
    <cellStyle name="20% - Accent2 16" xfId="86"/>
    <cellStyle name="20% - Accent2 16 2" xfId="87"/>
    <cellStyle name="20% - Accent2 16 3" xfId="88"/>
    <cellStyle name="20% - Accent2 16 4" xfId="89"/>
    <cellStyle name="20% - Accent2 16 5" xfId="90"/>
    <cellStyle name="20% - Accent2 17" xfId="91"/>
    <cellStyle name="20% - Accent2 17 2" xfId="92"/>
    <cellStyle name="20% - Accent2 17 3" xfId="93"/>
    <cellStyle name="20% - Accent2 17 4" xfId="94"/>
    <cellStyle name="20% - Accent2 17 5" xfId="95"/>
    <cellStyle name="20% - Accent2 18" xfId="96"/>
    <cellStyle name="20% - Accent2 19" xfId="97"/>
    <cellStyle name="20% - Accent2 2" xfId="98"/>
    <cellStyle name="20% - Accent2 2 2" xfId="99"/>
    <cellStyle name="20% - Accent2 2 2 2" xfId="100"/>
    <cellStyle name="20% - Accent2 2 2 2 2" xfId="101"/>
    <cellStyle name="20% - Accent2 2 2 2 2 2" xfId="2350"/>
    <cellStyle name="20% - Accent2 2 2 2 2 2 2" xfId="2351"/>
    <cellStyle name="20% - Accent2 2 2 2 2 2 2 2" xfId="2352"/>
    <cellStyle name="20% - Accent2 2 2 2 2 2 3" xfId="2353"/>
    <cellStyle name="20% - Accent2 2 2 2 2 3" xfId="2354"/>
    <cellStyle name="20% - Accent2 2 2 2 2 3 2" xfId="2355"/>
    <cellStyle name="20% - Accent2 2 2 2 2 4" xfId="2356"/>
    <cellStyle name="20% - Accent2 2 2 2 2 5" xfId="2357"/>
    <cellStyle name="20% - Accent2 2 2 2 3" xfId="102"/>
    <cellStyle name="20% - Accent2 2 2 2 3 2" xfId="2358"/>
    <cellStyle name="20% - Accent2 2 2 2 3 2 2" xfId="2359"/>
    <cellStyle name="20% - Accent2 2 2 2 3 3" xfId="2360"/>
    <cellStyle name="20% - Accent2 2 2 2 4" xfId="103"/>
    <cellStyle name="20% - Accent2 2 2 2 4 2" xfId="2361"/>
    <cellStyle name="20% - Accent2 2 2 2 5" xfId="104"/>
    <cellStyle name="20% - Accent2 2 2 2 6" xfId="2362"/>
    <cellStyle name="20% - Accent2 2 2 3" xfId="105"/>
    <cellStyle name="20% - Accent2 2 2 3 2" xfId="2363"/>
    <cellStyle name="20% - Accent2 2 2 3 2 2" xfId="2364"/>
    <cellStyle name="20% - Accent2 2 2 3 2 2 2" xfId="2365"/>
    <cellStyle name="20% - Accent2 2 2 3 2 3" xfId="2366"/>
    <cellStyle name="20% - Accent2 2 2 3 3" xfId="2367"/>
    <cellStyle name="20% - Accent2 2 2 3 3 2" xfId="2368"/>
    <cellStyle name="20% - Accent2 2 2 3 4" xfId="2369"/>
    <cellStyle name="20% - Accent2 2 2 3 5" xfId="2370"/>
    <cellStyle name="20% - Accent2 2 2 4" xfId="106"/>
    <cellStyle name="20% - Accent2 2 2 4 2" xfId="2371"/>
    <cellStyle name="20% - Accent2 2 2 4 2 2" xfId="2372"/>
    <cellStyle name="20% - Accent2 2 2 4 3" xfId="2373"/>
    <cellStyle name="20% - Accent2 2 2 5" xfId="107"/>
    <cellStyle name="20% - Accent2 2 2 5 2" xfId="2374"/>
    <cellStyle name="20% - Accent2 2 2 6" xfId="2375"/>
    <cellStyle name="20% - Accent2 2 2 7" xfId="2376"/>
    <cellStyle name="20% - Accent2 2 3" xfId="108"/>
    <cellStyle name="20% - Accent2 2 3 2" xfId="2377"/>
    <cellStyle name="20% - Accent2 2 3 2 2" xfId="2378"/>
    <cellStyle name="20% - Accent2 2 3 2 2 2" xfId="2379"/>
    <cellStyle name="20% - Accent2 2 3 2 2 2 2" xfId="2380"/>
    <cellStyle name="20% - Accent2 2 3 2 2 3" xfId="2381"/>
    <cellStyle name="20% - Accent2 2 3 2 3" xfId="2382"/>
    <cellStyle name="20% - Accent2 2 3 2 3 2" xfId="2383"/>
    <cellStyle name="20% - Accent2 2 3 2 4" xfId="2384"/>
    <cellStyle name="20% - Accent2 2 3 3" xfId="2385"/>
    <cellStyle name="20% - Accent2 2 3 3 2" xfId="2386"/>
    <cellStyle name="20% - Accent2 2 3 3 2 2" xfId="2387"/>
    <cellStyle name="20% - Accent2 2 3 3 3" xfId="2388"/>
    <cellStyle name="20% - Accent2 2 3 4" xfId="2389"/>
    <cellStyle name="20% - Accent2 2 3 4 2" xfId="2390"/>
    <cellStyle name="20% - Accent2 2 3 5" xfId="2391"/>
    <cellStyle name="20% - Accent2 2 3 6" xfId="2392"/>
    <cellStyle name="20% - Accent2 2 4" xfId="109"/>
    <cellStyle name="20% - Accent2 2 4 2" xfId="2393"/>
    <cellStyle name="20% - Accent2 2 4 2 2" xfId="2394"/>
    <cellStyle name="20% - Accent2 2 4 2 2 2" xfId="2395"/>
    <cellStyle name="20% - Accent2 2 4 2 3" xfId="2396"/>
    <cellStyle name="20% - Accent2 2 4 3" xfId="2397"/>
    <cellStyle name="20% - Accent2 2 4 3 2" xfId="2398"/>
    <cellStyle name="20% - Accent2 2 4 4" xfId="2399"/>
    <cellStyle name="20% - Accent2 2 4 5" xfId="2400"/>
    <cellStyle name="20% - Accent2 2 5" xfId="110"/>
    <cellStyle name="20% - Accent2 2 5 2" xfId="2401"/>
    <cellStyle name="20% - Accent2 2 5 2 2" xfId="2402"/>
    <cellStyle name="20% - Accent2 2 5 3" xfId="2403"/>
    <cellStyle name="20% - Accent2 2 5 4" xfId="2404"/>
    <cellStyle name="20% - Accent2 2 6" xfId="111"/>
    <cellStyle name="20% - Accent2 2 6 2" xfId="2405"/>
    <cellStyle name="20% - Accent2 2 6 3" xfId="2406"/>
    <cellStyle name="20% - Accent2 2 7" xfId="112"/>
    <cellStyle name="20% - Accent2 2 8" xfId="113"/>
    <cellStyle name="20% - Accent2 2 9" xfId="114"/>
    <cellStyle name="20% - Accent2 20" xfId="115"/>
    <cellStyle name="20% - Accent2 21" xfId="116"/>
    <cellStyle name="20% - Accent2 22" xfId="117"/>
    <cellStyle name="20% - Accent2 23" xfId="118"/>
    <cellStyle name="20% - Accent2 24" xfId="119"/>
    <cellStyle name="20% - Accent2 25" xfId="120"/>
    <cellStyle name="20% - Accent2 26" xfId="121"/>
    <cellStyle name="20% - Accent2 27" xfId="122"/>
    <cellStyle name="20% - Accent2 28" xfId="123"/>
    <cellStyle name="20% - Accent2 29" xfId="124"/>
    <cellStyle name="20% - Accent2 3" xfId="125"/>
    <cellStyle name="20% - Accent2 3 2" xfId="2407"/>
    <cellStyle name="20% - Accent2 3 2 2" xfId="2408"/>
    <cellStyle name="20% - Accent2 3 2 2 2" xfId="2409"/>
    <cellStyle name="20% - Accent2 3 2 2 2 2" xfId="2410"/>
    <cellStyle name="20% - Accent2 3 2 2 2 2 2" xfId="2411"/>
    <cellStyle name="20% - Accent2 3 2 2 2 2 2 2" xfId="2412"/>
    <cellStyle name="20% - Accent2 3 2 2 2 2 3" xfId="2413"/>
    <cellStyle name="20% - Accent2 3 2 2 2 3" xfId="2414"/>
    <cellStyle name="20% - Accent2 3 2 2 2 3 2" xfId="2415"/>
    <cellStyle name="20% - Accent2 3 2 2 2 4" xfId="2416"/>
    <cellStyle name="20% - Accent2 3 2 2 3" xfId="2417"/>
    <cellStyle name="20% - Accent2 3 2 2 3 2" xfId="2418"/>
    <cellStyle name="20% - Accent2 3 2 2 3 2 2" xfId="2419"/>
    <cellStyle name="20% - Accent2 3 2 2 3 3" xfId="2420"/>
    <cellStyle name="20% - Accent2 3 2 2 4" xfId="2421"/>
    <cellStyle name="20% - Accent2 3 2 2 4 2" xfId="2422"/>
    <cellStyle name="20% - Accent2 3 2 2 5" xfId="2423"/>
    <cellStyle name="20% - Accent2 3 2 2 6" xfId="2424"/>
    <cellStyle name="20% - Accent2 3 2 3" xfId="2425"/>
    <cellStyle name="20% - Accent2 3 2 3 2" xfId="2426"/>
    <cellStyle name="20% - Accent2 3 2 3 2 2" xfId="2427"/>
    <cellStyle name="20% - Accent2 3 2 3 2 2 2" xfId="2428"/>
    <cellStyle name="20% - Accent2 3 2 3 2 3" xfId="2429"/>
    <cellStyle name="20% - Accent2 3 2 3 3" xfId="2430"/>
    <cellStyle name="20% - Accent2 3 2 3 3 2" xfId="2431"/>
    <cellStyle name="20% - Accent2 3 2 3 4" xfId="2432"/>
    <cellStyle name="20% - Accent2 3 2 4" xfId="2433"/>
    <cellStyle name="20% - Accent2 3 2 4 2" xfId="2434"/>
    <cellStyle name="20% - Accent2 3 2 4 2 2" xfId="2435"/>
    <cellStyle name="20% - Accent2 3 2 4 3" xfId="2436"/>
    <cellStyle name="20% - Accent2 3 2 5" xfId="2437"/>
    <cellStyle name="20% - Accent2 3 2 5 2" xfId="2438"/>
    <cellStyle name="20% - Accent2 3 2 6" xfId="2439"/>
    <cellStyle name="20% - Accent2 3 2 7" xfId="2440"/>
    <cellStyle name="20% - Accent2 3 3" xfId="2441"/>
    <cellStyle name="20% - Accent2 3 3 2" xfId="2442"/>
    <cellStyle name="20% - Accent2 3 3 2 2" xfId="2443"/>
    <cellStyle name="20% - Accent2 3 3 2 2 2" xfId="2444"/>
    <cellStyle name="20% - Accent2 3 3 2 2 2 2" xfId="2445"/>
    <cellStyle name="20% - Accent2 3 3 2 2 3" xfId="2446"/>
    <cellStyle name="20% - Accent2 3 3 2 3" xfId="2447"/>
    <cellStyle name="20% - Accent2 3 3 2 3 2" xfId="2448"/>
    <cellStyle name="20% - Accent2 3 3 2 4" xfId="2449"/>
    <cellStyle name="20% - Accent2 3 3 3" xfId="2450"/>
    <cellStyle name="20% - Accent2 3 3 3 2" xfId="2451"/>
    <cellStyle name="20% - Accent2 3 3 3 2 2" xfId="2452"/>
    <cellStyle name="20% - Accent2 3 3 3 3" xfId="2453"/>
    <cellStyle name="20% - Accent2 3 3 4" xfId="2454"/>
    <cellStyle name="20% - Accent2 3 3 4 2" xfId="2455"/>
    <cellStyle name="20% - Accent2 3 3 5" xfId="2456"/>
    <cellStyle name="20% - Accent2 3 3 6" xfId="2457"/>
    <cellStyle name="20% - Accent2 3 4" xfId="2458"/>
    <cellStyle name="20% - Accent2 3 4 2" xfId="2459"/>
    <cellStyle name="20% - Accent2 3 4 2 2" xfId="2460"/>
    <cellStyle name="20% - Accent2 3 4 2 2 2" xfId="2461"/>
    <cellStyle name="20% - Accent2 3 4 2 3" xfId="2462"/>
    <cellStyle name="20% - Accent2 3 4 3" xfId="2463"/>
    <cellStyle name="20% - Accent2 3 4 3 2" xfId="2464"/>
    <cellStyle name="20% - Accent2 3 4 4" xfId="2465"/>
    <cellStyle name="20% - Accent2 3 4 5" xfId="2466"/>
    <cellStyle name="20% - Accent2 3 5" xfId="2467"/>
    <cellStyle name="20% - Accent2 3 5 2" xfId="2468"/>
    <cellStyle name="20% - Accent2 3 5 2 2" xfId="2469"/>
    <cellStyle name="20% - Accent2 3 5 3" xfId="2470"/>
    <cellStyle name="20% - Accent2 3 6" xfId="2471"/>
    <cellStyle name="20% - Accent2 3 6 2" xfId="2472"/>
    <cellStyle name="20% - Accent2 3 7" xfId="2473"/>
    <cellStyle name="20% - Accent2 3 8" xfId="2474"/>
    <cellStyle name="20% - Accent2 3 9" xfId="2475"/>
    <cellStyle name="20% - Accent2 30" xfId="126"/>
    <cellStyle name="20% - Accent2 31" xfId="127"/>
    <cellStyle name="20% - Accent2 32" xfId="128"/>
    <cellStyle name="20% - Accent2 33" xfId="129"/>
    <cellStyle name="20% - Accent2 34" xfId="130"/>
    <cellStyle name="20% - Accent2 35" xfId="131"/>
    <cellStyle name="20% - Accent2 4" xfId="132"/>
    <cellStyle name="20% - Accent2 4 2" xfId="2476"/>
    <cellStyle name="20% - Accent2 4 2 2" xfId="2477"/>
    <cellStyle name="20% - Accent2 4 2 2 2" xfId="2478"/>
    <cellStyle name="20% - Accent2 4 2 2 2 2" xfId="2479"/>
    <cellStyle name="20% - Accent2 4 2 2 2 2 2" xfId="2480"/>
    <cellStyle name="20% - Accent2 4 2 2 2 3" xfId="2481"/>
    <cellStyle name="20% - Accent2 4 2 2 3" xfId="2482"/>
    <cellStyle name="20% - Accent2 4 2 2 3 2" xfId="2483"/>
    <cellStyle name="20% - Accent2 4 2 2 4" xfId="2484"/>
    <cellStyle name="20% - Accent2 4 2 3" xfId="2485"/>
    <cellStyle name="20% - Accent2 4 2 3 2" xfId="2486"/>
    <cellStyle name="20% - Accent2 4 2 3 2 2" xfId="2487"/>
    <cellStyle name="20% - Accent2 4 2 3 3" xfId="2488"/>
    <cellStyle name="20% - Accent2 4 2 4" xfId="2489"/>
    <cellStyle name="20% - Accent2 4 2 4 2" xfId="2490"/>
    <cellStyle name="20% - Accent2 4 2 5" xfId="2491"/>
    <cellStyle name="20% - Accent2 4 2 6" xfId="2492"/>
    <cellStyle name="20% - Accent2 4 3" xfId="2493"/>
    <cellStyle name="20% - Accent2 4 3 2" xfId="2494"/>
    <cellStyle name="20% - Accent2 4 3 2 2" xfId="2495"/>
    <cellStyle name="20% - Accent2 4 3 2 2 2" xfId="2496"/>
    <cellStyle name="20% - Accent2 4 3 2 3" xfId="2497"/>
    <cellStyle name="20% - Accent2 4 3 3" xfId="2498"/>
    <cellStyle name="20% - Accent2 4 3 3 2" xfId="2499"/>
    <cellStyle name="20% - Accent2 4 3 4" xfId="2500"/>
    <cellStyle name="20% - Accent2 4 3 5" xfId="2501"/>
    <cellStyle name="20% - Accent2 4 4" xfId="2502"/>
    <cellStyle name="20% - Accent2 4 4 2" xfId="2503"/>
    <cellStyle name="20% - Accent2 4 4 2 2" xfId="2504"/>
    <cellStyle name="20% - Accent2 4 4 3" xfId="2505"/>
    <cellStyle name="20% - Accent2 4 5" xfId="2506"/>
    <cellStyle name="20% - Accent2 4 5 2" xfId="2507"/>
    <cellStyle name="20% - Accent2 4 6" xfId="2508"/>
    <cellStyle name="20% - Accent2 4 7" xfId="2509"/>
    <cellStyle name="20% - Accent2 5" xfId="133"/>
    <cellStyle name="20% - Accent2 5 2" xfId="2510"/>
    <cellStyle name="20% - Accent2 5 2 2" xfId="2511"/>
    <cellStyle name="20% - Accent2 5 2 2 2" xfId="2512"/>
    <cellStyle name="20% - Accent2 5 2 2 2 2" xfId="2513"/>
    <cellStyle name="20% - Accent2 5 2 2 3" xfId="2514"/>
    <cellStyle name="20% - Accent2 5 2 3" xfId="2515"/>
    <cellStyle name="20% - Accent2 5 2 3 2" xfId="2516"/>
    <cellStyle name="20% - Accent2 5 2 4" xfId="2517"/>
    <cellStyle name="20% - Accent2 5 2 5" xfId="2518"/>
    <cellStyle name="20% - Accent2 5 3" xfId="2519"/>
    <cellStyle name="20% - Accent2 5 3 2" xfId="2520"/>
    <cellStyle name="20% - Accent2 5 3 2 2" xfId="2521"/>
    <cellStyle name="20% - Accent2 5 3 3" xfId="2522"/>
    <cellStyle name="20% - Accent2 5 4" xfId="2523"/>
    <cellStyle name="20% - Accent2 5 4 2" xfId="2524"/>
    <cellStyle name="20% - Accent2 5 5" xfId="2525"/>
    <cellStyle name="20% - Accent2 5 6" xfId="2526"/>
    <cellStyle name="20% - Accent2 6" xfId="134"/>
    <cellStyle name="20% - Accent2 6 2" xfId="2527"/>
    <cellStyle name="20% - Accent2 6 2 2" xfId="2528"/>
    <cellStyle name="20% - Accent2 6 2 2 2" xfId="2529"/>
    <cellStyle name="20% - Accent2 6 2 3" xfId="2530"/>
    <cellStyle name="20% - Accent2 6 2 4" xfId="2531"/>
    <cellStyle name="20% - Accent2 6 2 5" xfId="2532"/>
    <cellStyle name="20% - Accent2 6 3" xfId="2533"/>
    <cellStyle name="20% - Accent2 6 3 2" xfId="2534"/>
    <cellStyle name="20% - Accent2 6 4" xfId="2535"/>
    <cellStyle name="20% - Accent2 6 5" xfId="2536"/>
    <cellStyle name="20% - Accent2 7" xfId="135"/>
    <cellStyle name="20% - Accent2 7 2" xfId="2537"/>
    <cellStyle name="20% - Accent2 7 2 2" xfId="2538"/>
    <cellStyle name="20% - Accent2 7 2 2 2" xfId="2539"/>
    <cellStyle name="20% - Accent2 7 2 3" xfId="2540"/>
    <cellStyle name="20% - Accent2 7 3" xfId="2541"/>
    <cellStyle name="20% - Accent2 7 3 2" xfId="2542"/>
    <cellStyle name="20% - Accent2 7 4" xfId="2543"/>
    <cellStyle name="20% - Accent2 7 5" xfId="2544"/>
    <cellStyle name="20% - Accent2 8" xfId="136"/>
    <cellStyle name="20% - Accent2 8 2" xfId="2545"/>
    <cellStyle name="20% - Accent2 8 2 2" xfId="2546"/>
    <cellStyle name="20% - Accent2 8 2 2 2" xfId="2547"/>
    <cellStyle name="20% - Accent2 8 2 3" xfId="2548"/>
    <cellStyle name="20% - Accent2 8 3" xfId="2549"/>
    <cellStyle name="20% - Accent2 8 3 2" xfId="2550"/>
    <cellStyle name="20% - Accent2 8 4" xfId="2551"/>
    <cellStyle name="20% - Accent2 8 5" xfId="2552"/>
    <cellStyle name="20% - Accent2 9" xfId="137"/>
    <cellStyle name="20% - Accent2 9 2" xfId="2553"/>
    <cellStyle name="20% - Accent2 9 2 2" xfId="2554"/>
    <cellStyle name="20% - Accent2 9 3" xfId="2555"/>
    <cellStyle name="20% - Accent2 9 4" xfId="2556"/>
    <cellStyle name="20% - Accent3 10" xfId="138"/>
    <cellStyle name="20% - Accent3 10 2" xfId="2557"/>
    <cellStyle name="20% - Accent3 10 2 2" xfId="2558"/>
    <cellStyle name="20% - Accent3 10 3" xfId="2559"/>
    <cellStyle name="20% - Accent3 10 4" xfId="2560"/>
    <cellStyle name="20% - Accent3 11" xfId="139"/>
    <cellStyle name="20% - Accent3 11 2" xfId="2561"/>
    <cellStyle name="20% - Accent3 11 2 2" xfId="2562"/>
    <cellStyle name="20% - Accent3 11 3" xfId="2563"/>
    <cellStyle name="20% - Accent3 11 4" xfId="2564"/>
    <cellStyle name="20% - Accent3 12" xfId="140"/>
    <cellStyle name="20% - Accent3 12 2" xfId="2565"/>
    <cellStyle name="20% - Accent3 12 3" xfId="2566"/>
    <cellStyle name="20% - Accent3 13" xfId="141"/>
    <cellStyle name="20% - Accent3 13 2" xfId="2567"/>
    <cellStyle name="20% - Accent3 14" xfId="142"/>
    <cellStyle name="20% - Accent3 15" xfId="143"/>
    <cellStyle name="20% - Accent3 15 2" xfId="144"/>
    <cellStyle name="20% - Accent3 15 3" xfId="145"/>
    <cellStyle name="20% - Accent3 15 4" xfId="146"/>
    <cellStyle name="20% - Accent3 15 5" xfId="147"/>
    <cellStyle name="20% - Accent3 16" xfId="148"/>
    <cellStyle name="20% - Accent3 16 2" xfId="149"/>
    <cellStyle name="20% - Accent3 16 3" xfId="150"/>
    <cellStyle name="20% - Accent3 16 4" xfId="151"/>
    <cellStyle name="20% - Accent3 16 5" xfId="152"/>
    <cellStyle name="20% - Accent3 17" xfId="153"/>
    <cellStyle name="20% - Accent3 17 2" xfId="154"/>
    <cellStyle name="20% - Accent3 17 3" xfId="155"/>
    <cellStyle name="20% - Accent3 17 4" xfId="156"/>
    <cellStyle name="20% - Accent3 17 5" xfId="157"/>
    <cellStyle name="20% - Accent3 18" xfId="158"/>
    <cellStyle name="20% - Accent3 19" xfId="159"/>
    <cellStyle name="20% - Accent3 2" xfId="160"/>
    <cellStyle name="20% - Accent3 2 2" xfId="161"/>
    <cellStyle name="20% - Accent3 2 2 2" xfId="162"/>
    <cellStyle name="20% - Accent3 2 2 2 2" xfId="163"/>
    <cellStyle name="20% - Accent3 2 2 2 2 2" xfId="2568"/>
    <cellStyle name="20% - Accent3 2 2 2 2 2 2" xfId="2569"/>
    <cellStyle name="20% - Accent3 2 2 2 2 2 2 2" xfId="2570"/>
    <cellStyle name="20% - Accent3 2 2 2 2 2 3" xfId="2571"/>
    <cellStyle name="20% - Accent3 2 2 2 2 3" xfId="2572"/>
    <cellStyle name="20% - Accent3 2 2 2 2 3 2" xfId="2573"/>
    <cellStyle name="20% - Accent3 2 2 2 2 4" xfId="2574"/>
    <cellStyle name="20% - Accent3 2 2 2 2 5" xfId="2575"/>
    <cellStyle name="20% - Accent3 2 2 2 3" xfId="164"/>
    <cellStyle name="20% - Accent3 2 2 2 3 2" xfId="2576"/>
    <cellStyle name="20% - Accent3 2 2 2 3 2 2" xfId="2577"/>
    <cellStyle name="20% - Accent3 2 2 2 3 3" xfId="2578"/>
    <cellStyle name="20% - Accent3 2 2 2 4" xfId="165"/>
    <cellStyle name="20% - Accent3 2 2 2 4 2" xfId="2579"/>
    <cellStyle name="20% - Accent3 2 2 2 5" xfId="166"/>
    <cellStyle name="20% - Accent3 2 2 2 6" xfId="2580"/>
    <cellStyle name="20% - Accent3 2 2 3" xfId="167"/>
    <cellStyle name="20% - Accent3 2 2 3 2" xfId="2581"/>
    <cellStyle name="20% - Accent3 2 2 3 2 2" xfId="2582"/>
    <cellStyle name="20% - Accent3 2 2 3 2 2 2" xfId="2583"/>
    <cellStyle name="20% - Accent3 2 2 3 2 3" xfId="2584"/>
    <cellStyle name="20% - Accent3 2 2 3 3" xfId="2585"/>
    <cellStyle name="20% - Accent3 2 2 3 3 2" xfId="2586"/>
    <cellStyle name="20% - Accent3 2 2 3 4" xfId="2587"/>
    <cellStyle name="20% - Accent3 2 2 3 5" xfId="2588"/>
    <cellStyle name="20% - Accent3 2 2 4" xfId="168"/>
    <cellStyle name="20% - Accent3 2 2 4 2" xfId="2589"/>
    <cellStyle name="20% - Accent3 2 2 4 2 2" xfId="2590"/>
    <cellStyle name="20% - Accent3 2 2 4 3" xfId="2591"/>
    <cellStyle name="20% - Accent3 2 2 5" xfId="169"/>
    <cellStyle name="20% - Accent3 2 2 5 2" xfId="2592"/>
    <cellStyle name="20% - Accent3 2 2 6" xfId="2593"/>
    <cellStyle name="20% - Accent3 2 2 7" xfId="2594"/>
    <cellStyle name="20% - Accent3 2 3" xfId="170"/>
    <cellStyle name="20% - Accent3 2 3 2" xfId="2595"/>
    <cellStyle name="20% - Accent3 2 3 2 2" xfId="2596"/>
    <cellStyle name="20% - Accent3 2 3 2 2 2" xfId="2597"/>
    <cellStyle name="20% - Accent3 2 3 2 2 2 2" xfId="2598"/>
    <cellStyle name="20% - Accent3 2 3 2 2 3" xfId="2599"/>
    <cellStyle name="20% - Accent3 2 3 2 3" xfId="2600"/>
    <cellStyle name="20% - Accent3 2 3 2 3 2" xfId="2601"/>
    <cellStyle name="20% - Accent3 2 3 2 4" xfId="2602"/>
    <cellStyle name="20% - Accent3 2 3 3" xfId="2603"/>
    <cellStyle name="20% - Accent3 2 3 3 2" xfId="2604"/>
    <cellStyle name="20% - Accent3 2 3 3 2 2" xfId="2605"/>
    <cellStyle name="20% - Accent3 2 3 3 3" xfId="2606"/>
    <cellStyle name="20% - Accent3 2 3 4" xfId="2607"/>
    <cellStyle name="20% - Accent3 2 3 4 2" xfId="2608"/>
    <cellStyle name="20% - Accent3 2 3 5" xfId="2609"/>
    <cellStyle name="20% - Accent3 2 3 6" xfId="2610"/>
    <cellStyle name="20% - Accent3 2 4" xfId="171"/>
    <cellStyle name="20% - Accent3 2 4 2" xfId="2611"/>
    <cellStyle name="20% - Accent3 2 4 2 2" xfId="2612"/>
    <cellStyle name="20% - Accent3 2 4 2 2 2" xfId="2613"/>
    <cellStyle name="20% - Accent3 2 4 2 3" xfId="2614"/>
    <cellStyle name="20% - Accent3 2 4 3" xfId="2615"/>
    <cellStyle name="20% - Accent3 2 4 3 2" xfId="2616"/>
    <cellStyle name="20% - Accent3 2 4 4" xfId="2617"/>
    <cellStyle name="20% - Accent3 2 4 5" xfId="2618"/>
    <cellStyle name="20% - Accent3 2 5" xfId="172"/>
    <cellStyle name="20% - Accent3 2 5 2" xfId="2619"/>
    <cellStyle name="20% - Accent3 2 5 2 2" xfId="2620"/>
    <cellStyle name="20% - Accent3 2 5 3" xfId="2621"/>
    <cellStyle name="20% - Accent3 2 5 4" xfId="2622"/>
    <cellStyle name="20% - Accent3 2 6" xfId="173"/>
    <cellStyle name="20% - Accent3 2 6 2" xfId="2623"/>
    <cellStyle name="20% - Accent3 2 6 3" xfId="2624"/>
    <cellStyle name="20% - Accent3 2 7" xfId="174"/>
    <cellStyle name="20% - Accent3 2 8" xfId="175"/>
    <cellStyle name="20% - Accent3 2 9" xfId="176"/>
    <cellStyle name="20% - Accent3 20" xfId="177"/>
    <cellStyle name="20% - Accent3 21" xfId="178"/>
    <cellStyle name="20% - Accent3 22" xfId="179"/>
    <cellStyle name="20% - Accent3 23" xfId="180"/>
    <cellStyle name="20% - Accent3 24" xfId="181"/>
    <cellStyle name="20% - Accent3 25" xfId="182"/>
    <cellStyle name="20% - Accent3 26" xfId="183"/>
    <cellStyle name="20% - Accent3 27" xfId="184"/>
    <cellStyle name="20% - Accent3 28" xfId="185"/>
    <cellStyle name="20% - Accent3 29" xfId="186"/>
    <cellStyle name="20% - Accent3 3" xfId="187"/>
    <cellStyle name="20% - Accent3 3 2" xfId="2625"/>
    <cellStyle name="20% - Accent3 3 2 2" xfId="2626"/>
    <cellStyle name="20% - Accent3 3 2 2 2" xfId="2627"/>
    <cellStyle name="20% - Accent3 3 2 2 2 2" xfId="2628"/>
    <cellStyle name="20% - Accent3 3 2 2 2 2 2" xfId="2629"/>
    <cellStyle name="20% - Accent3 3 2 2 2 2 2 2" xfId="2630"/>
    <cellStyle name="20% - Accent3 3 2 2 2 2 3" xfId="2631"/>
    <cellStyle name="20% - Accent3 3 2 2 2 3" xfId="2632"/>
    <cellStyle name="20% - Accent3 3 2 2 2 3 2" xfId="2633"/>
    <cellStyle name="20% - Accent3 3 2 2 2 4" xfId="2634"/>
    <cellStyle name="20% - Accent3 3 2 2 3" xfId="2635"/>
    <cellStyle name="20% - Accent3 3 2 2 3 2" xfId="2636"/>
    <cellStyle name="20% - Accent3 3 2 2 3 2 2" xfId="2637"/>
    <cellStyle name="20% - Accent3 3 2 2 3 3" xfId="2638"/>
    <cellStyle name="20% - Accent3 3 2 2 4" xfId="2639"/>
    <cellStyle name="20% - Accent3 3 2 2 4 2" xfId="2640"/>
    <cellStyle name="20% - Accent3 3 2 2 5" xfId="2641"/>
    <cellStyle name="20% - Accent3 3 2 2 6" xfId="2642"/>
    <cellStyle name="20% - Accent3 3 2 3" xfId="2643"/>
    <cellStyle name="20% - Accent3 3 2 3 2" xfId="2644"/>
    <cellStyle name="20% - Accent3 3 2 3 2 2" xfId="2645"/>
    <cellStyle name="20% - Accent3 3 2 3 2 2 2" xfId="2646"/>
    <cellStyle name="20% - Accent3 3 2 3 2 3" xfId="2647"/>
    <cellStyle name="20% - Accent3 3 2 3 3" xfId="2648"/>
    <cellStyle name="20% - Accent3 3 2 3 3 2" xfId="2649"/>
    <cellStyle name="20% - Accent3 3 2 3 4" xfId="2650"/>
    <cellStyle name="20% - Accent3 3 2 4" xfId="2651"/>
    <cellStyle name="20% - Accent3 3 2 4 2" xfId="2652"/>
    <cellStyle name="20% - Accent3 3 2 4 2 2" xfId="2653"/>
    <cellStyle name="20% - Accent3 3 2 4 3" xfId="2654"/>
    <cellStyle name="20% - Accent3 3 2 5" xfId="2655"/>
    <cellStyle name="20% - Accent3 3 2 5 2" xfId="2656"/>
    <cellStyle name="20% - Accent3 3 2 6" xfId="2657"/>
    <cellStyle name="20% - Accent3 3 2 7" xfId="2658"/>
    <cellStyle name="20% - Accent3 3 3" xfId="2659"/>
    <cellStyle name="20% - Accent3 3 3 2" xfId="2660"/>
    <cellStyle name="20% - Accent3 3 3 2 2" xfId="2661"/>
    <cellStyle name="20% - Accent3 3 3 2 2 2" xfId="2662"/>
    <cellStyle name="20% - Accent3 3 3 2 2 2 2" xfId="2663"/>
    <cellStyle name="20% - Accent3 3 3 2 2 3" xfId="2664"/>
    <cellStyle name="20% - Accent3 3 3 2 3" xfId="2665"/>
    <cellStyle name="20% - Accent3 3 3 2 3 2" xfId="2666"/>
    <cellStyle name="20% - Accent3 3 3 2 4" xfId="2667"/>
    <cellStyle name="20% - Accent3 3 3 3" xfId="2668"/>
    <cellStyle name="20% - Accent3 3 3 3 2" xfId="2669"/>
    <cellStyle name="20% - Accent3 3 3 3 2 2" xfId="2670"/>
    <cellStyle name="20% - Accent3 3 3 3 3" xfId="2671"/>
    <cellStyle name="20% - Accent3 3 3 4" xfId="2672"/>
    <cellStyle name="20% - Accent3 3 3 4 2" xfId="2673"/>
    <cellStyle name="20% - Accent3 3 3 5" xfId="2674"/>
    <cellStyle name="20% - Accent3 3 3 6" xfId="2675"/>
    <cellStyle name="20% - Accent3 3 4" xfId="2676"/>
    <cellStyle name="20% - Accent3 3 4 2" xfId="2677"/>
    <cellStyle name="20% - Accent3 3 4 2 2" xfId="2678"/>
    <cellStyle name="20% - Accent3 3 4 2 2 2" xfId="2679"/>
    <cellStyle name="20% - Accent3 3 4 2 3" xfId="2680"/>
    <cellStyle name="20% - Accent3 3 4 3" xfId="2681"/>
    <cellStyle name="20% - Accent3 3 4 3 2" xfId="2682"/>
    <cellStyle name="20% - Accent3 3 4 4" xfId="2683"/>
    <cellStyle name="20% - Accent3 3 4 5" xfId="2684"/>
    <cellStyle name="20% - Accent3 3 5" xfId="2685"/>
    <cellStyle name="20% - Accent3 3 5 2" xfId="2686"/>
    <cellStyle name="20% - Accent3 3 5 2 2" xfId="2687"/>
    <cellStyle name="20% - Accent3 3 5 3" xfId="2688"/>
    <cellStyle name="20% - Accent3 3 6" xfId="2689"/>
    <cellStyle name="20% - Accent3 3 6 2" xfId="2690"/>
    <cellStyle name="20% - Accent3 3 7" xfId="2691"/>
    <cellStyle name="20% - Accent3 3 8" xfId="2692"/>
    <cellStyle name="20% - Accent3 3 9" xfId="2693"/>
    <cellStyle name="20% - Accent3 30" xfId="188"/>
    <cellStyle name="20% - Accent3 31" xfId="189"/>
    <cellStyle name="20% - Accent3 32" xfId="190"/>
    <cellStyle name="20% - Accent3 33" xfId="191"/>
    <cellStyle name="20% - Accent3 34" xfId="192"/>
    <cellStyle name="20% - Accent3 35" xfId="193"/>
    <cellStyle name="20% - Accent3 4" xfId="194"/>
    <cellStyle name="20% - Accent3 4 2" xfId="2694"/>
    <cellStyle name="20% - Accent3 4 2 2" xfId="2695"/>
    <cellStyle name="20% - Accent3 4 2 2 2" xfId="2696"/>
    <cellStyle name="20% - Accent3 4 2 2 2 2" xfId="2697"/>
    <cellStyle name="20% - Accent3 4 2 2 2 2 2" xfId="2698"/>
    <cellStyle name="20% - Accent3 4 2 2 2 3" xfId="2699"/>
    <cellStyle name="20% - Accent3 4 2 2 3" xfId="2700"/>
    <cellStyle name="20% - Accent3 4 2 2 3 2" xfId="2701"/>
    <cellStyle name="20% - Accent3 4 2 2 4" xfId="2702"/>
    <cellStyle name="20% - Accent3 4 2 3" xfId="2703"/>
    <cellStyle name="20% - Accent3 4 2 3 2" xfId="2704"/>
    <cellStyle name="20% - Accent3 4 2 3 2 2" xfId="2705"/>
    <cellStyle name="20% - Accent3 4 2 3 3" xfId="2706"/>
    <cellStyle name="20% - Accent3 4 2 4" xfId="2707"/>
    <cellStyle name="20% - Accent3 4 2 4 2" xfId="2708"/>
    <cellStyle name="20% - Accent3 4 2 5" xfId="2709"/>
    <cellStyle name="20% - Accent3 4 2 6" xfId="2710"/>
    <cellStyle name="20% - Accent3 4 3" xfId="2711"/>
    <cellStyle name="20% - Accent3 4 3 2" xfId="2712"/>
    <cellStyle name="20% - Accent3 4 3 2 2" xfId="2713"/>
    <cellStyle name="20% - Accent3 4 3 2 2 2" xfId="2714"/>
    <cellStyle name="20% - Accent3 4 3 2 3" xfId="2715"/>
    <cellStyle name="20% - Accent3 4 3 3" xfId="2716"/>
    <cellStyle name="20% - Accent3 4 3 3 2" xfId="2717"/>
    <cellStyle name="20% - Accent3 4 3 4" xfId="2718"/>
    <cellStyle name="20% - Accent3 4 3 5" xfId="2719"/>
    <cellStyle name="20% - Accent3 4 4" xfId="2720"/>
    <cellStyle name="20% - Accent3 4 4 2" xfId="2721"/>
    <cellStyle name="20% - Accent3 4 4 2 2" xfId="2722"/>
    <cellStyle name="20% - Accent3 4 4 3" xfId="2723"/>
    <cellStyle name="20% - Accent3 4 5" xfId="2724"/>
    <cellStyle name="20% - Accent3 4 5 2" xfId="2725"/>
    <cellStyle name="20% - Accent3 4 6" xfId="2726"/>
    <cellStyle name="20% - Accent3 4 7" xfId="2727"/>
    <cellStyle name="20% - Accent3 5" xfId="195"/>
    <cellStyle name="20% - Accent3 5 2" xfId="2728"/>
    <cellStyle name="20% - Accent3 5 2 2" xfId="2729"/>
    <cellStyle name="20% - Accent3 5 2 2 2" xfId="2730"/>
    <cellStyle name="20% - Accent3 5 2 2 2 2" xfId="2731"/>
    <cellStyle name="20% - Accent3 5 2 2 3" xfId="2732"/>
    <cellStyle name="20% - Accent3 5 2 3" xfId="2733"/>
    <cellStyle name="20% - Accent3 5 2 3 2" xfId="2734"/>
    <cellStyle name="20% - Accent3 5 2 4" xfId="2735"/>
    <cellStyle name="20% - Accent3 5 2 5" xfId="2736"/>
    <cellStyle name="20% - Accent3 5 3" xfId="2737"/>
    <cellStyle name="20% - Accent3 5 3 2" xfId="2738"/>
    <cellStyle name="20% - Accent3 5 3 2 2" xfId="2739"/>
    <cellStyle name="20% - Accent3 5 3 3" xfId="2740"/>
    <cellStyle name="20% - Accent3 5 4" xfId="2741"/>
    <cellStyle name="20% - Accent3 5 4 2" xfId="2742"/>
    <cellStyle name="20% - Accent3 5 5" xfId="2743"/>
    <cellStyle name="20% - Accent3 5 6" xfId="2744"/>
    <cellStyle name="20% - Accent3 6" xfId="196"/>
    <cellStyle name="20% - Accent3 6 2" xfId="2745"/>
    <cellStyle name="20% - Accent3 6 2 2" xfId="2746"/>
    <cellStyle name="20% - Accent3 6 2 2 2" xfId="2747"/>
    <cellStyle name="20% - Accent3 6 2 3" xfId="2748"/>
    <cellStyle name="20% - Accent3 6 2 4" xfId="2749"/>
    <cellStyle name="20% - Accent3 6 2 5" xfId="2750"/>
    <cellStyle name="20% - Accent3 6 3" xfId="2751"/>
    <cellStyle name="20% - Accent3 6 3 2" xfId="2752"/>
    <cellStyle name="20% - Accent3 6 4" xfId="2753"/>
    <cellStyle name="20% - Accent3 6 5" xfId="2754"/>
    <cellStyle name="20% - Accent3 7" xfId="197"/>
    <cellStyle name="20% - Accent3 7 2" xfId="2755"/>
    <cellStyle name="20% - Accent3 7 2 2" xfId="2756"/>
    <cellStyle name="20% - Accent3 7 2 2 2" xfId="2757"/>
    <cellStyle name="20% - Accent3 7 2 3" xfId="2758"/>
    <cellStyle name="20% - Accent3 7 3" xfId="2759"/>
    <cellStyle name="20% - Accent3 7 3 2" xfId="2760"/>
    <cellStyle name="20% - Accent3 7 4" xfId="2761"/>
    <cellStyle name="20% - Accent3 7 5" xfId="2762"/>
    <cellStyle name="20% - Accent3 8" xfId="198"/>
    <cellStyle name="20% - Accent3 8 2" xfId="2763"/>
    <cellStyle name="20% - Accent3 8 2 2" xfId="2764"/>
    <cellStyle name="20% - Accent3 8 2 2 2" xfId="2765"/>
    <cellStyle name="20% - Accent3 8 2 3" xfId="2766"/>
    <cellStyle name="20% - Accent3 8 3" xfId="2767"/>
    <cellStyle name="20% - Accent3 8 3 2" xfId="2768"/>
    <cellStyle name="20% - Accent3 8 4" xfId="2769"/>
    <cellStyle name="20% - Accent3 8 5" xfId="2770"/>
    <cellStyle name="20% - Accent3 9" xfId="199"/>
    <cellStyle name="20% - Accent3 9 2" xfId="2771"/>
    <cellStyle name="20% - Accent3 9 2 2" xfId="2772"/>
    <cellStyle name="20% - Accent3 9 3" xfId="2773"/>
    <cellStyle name="20% - Accent3 9 4" xfId="2774"/>
    <cellStyle name="20% - Accent4 10" xfId="200"/>
    <cellStyle name="20% - Accent4 10 2" xfId="2775"/>
    <cellStyle name="20% - Accent4 10 2 2" xfId="2776"/>
    <cellStyle name="20% - Accent4 10 3" xfId="2777"/>
    <cellStyle name="20% - Accent4 10 4" xfId="2778"/>
    <cellStyle name="20% - Accent4 11" xfId="201"/>
    <cellStyle name="20% - Accent4 11 2" xfId="2779"/>
    <cellStyle name="20% - Accent4 11 2 2" xfId="2780"/>
    <cellStyle name="20% - Accent4 11 3" xfId="2781"/>
    <cellStyle name="20% - Accent4 11 4" xfId="2782"/>
    <cellStyle name="20% - Accent4 12" xfId="202"/>
    <cellStyle name="20% - Accent4 12 2" xfId="2783"/>
    <cellStyle name="20% - Accent4 12 2 2" xfId="2784"/>
    <cellStyle name="20% - Accent4 12 3" xfId="2785"/>
    <cellStyle name="20% - Accent4 12 4" xfId="2786"/>
    <cellStyle name="20% - Accent4 13" xfId="203"/>
    <cellStyle name="20% - Accent4 13 2" xfId="2787"/>
    <cellStyle name="20% - Accent4 13 3" xfId="2788"/>
    <cellStyle name="20% - Accent4 14" xfId="204"/>
    <cellStyle name="20% - Accent4 14 2" xfId="2789"/>
    <cellStyle name="20% - Accent4 15" xfId="205"/>
    <cellStyle name="20% - Accent4 15 2" xfId="206"/>
    <cellStyle name="20% - Accent4 15 3" xfId="207"/>
    <cellStyle name="20% - Accent4 15 4" xfId="208"/>
    <cellStyle name="20% - Accent4 15 5" xfId="209"/>
    <cellStyle name="20% - Accent4 16" xfId="210"/>
    <cellStyle name="20% - Accent4 16 2" xfId="211"/>
    <cellStyle name="20% - Accent4 16 3" xfId="212"/>
    <cellStyle name="20% - Accent4 16 4" xfId="213"/>
    <cellStyle name="20% - Accent4 16 5" xfId="214"/>
    <cellStyle name="20% - Accent4 17" xfId="215"/>
    <cellStyle name="20% - Accent4 17 2" xfId="216"/>
    <cellStyle name="20% - Accent4 17 3" xfId="217"/>
    <cellStyle name="20% - Accent4 17 4" xfId="218"/>
    <cellStyle name="20% - Accent4 17 5" xfId="219"/>
    <cellStyle name="20% - Accent4 18" xfId="220"/>
    <cellStyle name="20% - Accent4 19" xfId="221"/>
    <cellStyle name="20% - Accent4 2" xfId="222"/>
    <cellStyle name="20% - Accent4 2 10" xfId="2790"/>
    <cellStyle name="20% - Accent4 2 11" xfId="2791"/>
    <cellStyle name="20% - Accent4 2 12" xfId="2792"/>
    <cellStyle name="20% - Accent4 2 13" xfId="2793"/>
    <cellStyle name="20% - Accent4 2 2" xfId="223"/>
    <cellStyle name="20% - Accent4 2 2 10" xfId="2794"/>
    <cellStyle name="20% - Accent4 2 2 2" xfId="224"/>
    <cellStyle name="20% - Accent4 2 2 2 2" xfId="225"/>
    <cellStyle name="20% - Accent4 2 2 2 2 2" xfId="2795"/>
    <cellStyle name="20% - Accent4 2 2 2 2 2 2" xfId="2796"/>
    <cellStyle name="20% - Accent4 2 2 2 2 2 2 2" xfId="2797"/>
    <cellStyle name="20% - Accent4 2 2 2 2 2 3" xfId="2798"/>
    <cellStyle name="20% - Accent4 2 2 2 2 3" xfId="2799"/>
    <cellStyle name="20% - Accent4 2 2 2 2 3 2" xfId="2800"/>
    <cellStyle name="20% - Accent4 2 2 2 2 4" xfId="2801"/>
    <cellStyle name="20% - Accent4 2 2 2 2 5" xfId="2802"/>
    <cellStyle name="20% - Accent4 2 2 2 2 6" xfId="2803"/>
    <cellStyle name="20% - Accent4 2 2 2 3" xfId="226"/>
    <cellStyle name="20% - Accent4 2 2 2 3 2" xfId="2804"/>
    <cellStyle name="20% - Accent4 2 2 2 3 2 2" xfId="2805"/>
    <cellStyle name="20% - Accent4 2 2 2 3 3" xfId="2806"/>
    <cellStyle name="20% - Accent4 2 2 2 4" xfId="227"/>
    <cellStyle name="20% - Accent4 2 2 2 4 2" xfId="2807"/>
    <cellStyle name="20% - Accent4 2 2 2 5" xfId="228"/>
    <cellStyle name="20% - Accent4 2 2 2 6" xfId="2808"/>
    <cellStyle name="20% - Accent4 2 2 2 7" xfId="2809"/>
    <cellStyle name="20% - Accent4 2 2 3" xfId="229"/>
    <cellStyle name="20% - Accent4 2 2 3 2" xfId="2810"/>
    <cellStyle name="20% - Accent4 2 2 3 2 2" xfId="2811"/>
    <cellStyle name="20% - Accent4 2 2 3 2 2 2" xfId="2812"/>
    <cellStyle name="20% - Accent4 2 2 3 2 3" xfId="2813"/>
    <cellStyle name="20% - Accent4 2 2 3 3" xfId="2814"/>
    <cellStyle name="20% - Accent4 2 2 3 3 2" xfId="2815"/>
    <cellStyle name="20% - Accent4 2 2 3 4" xfId="2816"/>
    <cellStyle name="20% - Accent4 2 2 3 5" xfId="2817"/>
    <cellStyle name="20% - Accent4 2 2 3 6" xfId="2818"/>
    <cellStyle name="20% - Accent4 2 2 4" xfId="230"/>
    <cellStyle name="20% - Accent4 2 2 4 2" xfId="2819"/>
    <cellStyle name="20% - Accent4 2 2 4 2 2" xfId="2820"/>
    <cellStyle name="20% - Accent4 2 2 4 3" xfId="2821"/>
    <cellStyle name="20% - Accent4 2 2 4 4" xfId="2822"/>
    <cellStyle name="20% - Accent4 2 2 5" xfId="231"/>
    <cellStyle name="20% - Accent4 2 2 5 2" xfId="2823"/>
    <cellStyle name="20% - Accent4 2 2 5 3" xfId="2824"/>
    <cellStyle name="20% - Accent4 2 2 6" xfId="2825"/>
    <cellStyle name="20% - Accent4 2 2 6 2" xfId="2826"/>
    <cellStyle name="20% - Accent4 2 2 7" xfId="2827"/>
    <cellStyle name="20% - Accent4 2 2 8" xfId="2828"/>
    <cellStyle name="20% - Accent4 2 2 9" xfId="2829"/>
    <cellStyle name="20% - Accent4 2 3" xfId="232"/>
    <cellStyle name="20% - Accent4 2 3 2" xfId="2830"/>
    <cellStyle name="20% - Accent4 2 3 2 2" xfId="2831"/>
    <cellStyle name="20% - Accent4 2 3 2 2 2" xfId="2832"/>
    <cellStyle name="20% - Accent4 2 3 2 2 2 2" xfId="2833"/>
    <cellStyle name="20% - Accent4 2 3 2 2 3" xfId="2834"/>
    <cellStyle name="20% - Accent4 2 3 2 2 4" xfId="2835"/>
    <cellStyle name="20% - Accent4 2 3 2 3" xfId="2836"/>
    <cellStyle name="20% - Accent4 2 3 2 3 2" xfId="2837"/>
    <cellStyle name="20% - Accent4 2 3 2 4" xfId="2838"/>
    <cellStyle name="20% - Accent4 2 3 2 5" xfId="2839"/>
    <cellStyle name="20% - Accent4 2 3 3" xfId="2840"/>
    <cellStyle name="20% - Accent4 2 3 3 2" xfId="2841"/>
    <cellStyle name="20% - Accent4 2 3 3 2 2" xfId="2842"/>
    <cellStyle name="20% - Accent4 2 3 3 3" xfId="2843"/>
    <cellStyle name="20% - Accent4 2 3 3 4" xfId="2844"/>
    <cellStyle name="20% - Accent4 2 3 4" xfId="2845"/>
    <cellStyle name="20% - Accent4 2 3 4 2" xfId="2846"/>
    <cellStyle name="20% - Accent4 2 3 5" xfId="2847"/>
    <cellStyle name="20% - Accent4 2 3 6" xfId="2848"/>
    <cellStyle name="20% - Accent4 2 3 7" xfId="2849"/>
    <cellStyle name="20% - Accent4 2 4" xfId="233"/>
    <cellStyle name="20% - Accent4 2 4 2" xfId="2850"/>
    <cellStyle name="20% - Accent4 2 4 2 2" xfId="2851"/>
    <cellStyle name="20% - Accent4 2 4 2 2 2" xfId="2852"/>
    <cellStyle name="20% - Accent4 2 4 2 2 2 2" xfId="2853"/>
    <cellStyle name="20% - Accent4 2 4 2 2 3" xfId="2854"/>
    <cellStyle name="20% - Accent4 2 4 2 2 4" xfId="2855"/>
    <cellStyle name="20% - Accent4 2 4 2 3" xfId="2856"/>
    <cellStyle name="20% - Accent4 2 4 2 3 2" xfId="2857"/>
    <cellStyle name="20% - Accent4 2 4 2 4" xfId="2858"/>
    <cellStyle name="20% - Accent4 2 4 2 5" xfId="2859"/>
    <cellStyle name="20% - Accent4 2 4 3" xfId="2860"/>
    <cellStyle name="20% - Accent4 2 4 3 2" xfId="2861"/>
    <cellStyle name="20% - Accent4 2 4 3 2 2" xfId="2862"/>
    <cellStyle name="20% - Accent4 2 4 3 3" xfId="2863"/>
    <cellStyle name="20% - Accent4 2 4 3 4" xfId="2864"/>
    <cellStyle name="20% - Accent4 2 4 4" xfId="2865"/>
    <cellStyle name="20% - Accent4 2 4 4 2" xfId="2866"/>
    <cellStyle name="20% - Accent4 2 4 5" xfId="2867"/>
    <cellStyle name="20% - Accent4 2 4 6" xfId="2868"/>
    <cellStyle name="20% - Accent4 2 4 7" xfId="2869"/>
    <cellStyle name="20% - Accent4 2 5" xfId="234"/>
    <cellStyle name="20% - Accent4 2 5 2" xfId="2870"/>
    <cellStyle name="20% - Accent4 2 5 2 2" xfId="2871"/>
    <cellStyle name="20% - Accent4 2 5 2 2 2" xfId="2872"/>
    <cellStyle name="20% - Accent4 2 5 2 3" xfId="2873"/>
    <cellStyle name="20% - Accent4 2 5 2 4" xfId="2874"/>
    <cellStyle name="20% - Accent4 2 5 3" xfId="2875"/>
    <cellStyle name="20% - Accent4 2 5 3 2" xfId="2876"/>
    <cellStyle name="20% - Accent4 2 5 4" xfId="2877"/>
    <cellStyle name="20% - Accent4 2 5 5" xfId="2878"/>
    <cellStyle name="20% - Accent4 2 5 6" xfId="2879"/>
    <cellStyle name="20% - Accent4 2 6" xfId="235"/>
    <cellStyle name="20% - Accent4 2 6 2" xfId="2880"/>
    <cellStyle name="20% - Accent4 2 6 2 2" xfId="2881"/>
    <cellStyle name="20% - Accent4 2 6 3" xfId="2882"/>
    <cellStyle name="20% - Accent4 2 6 4" xfId="2883"/>
    <cellStyle name="20% - Accent4 2 6 5" xfId="2884"/>
    <cellStyle name="20% - Accent4 2 7" xfId="236"/>
    <cellStyle name="20% - Accent4 2 7 2" xfId="2885"/>
    <cellStyle name="20% - Accent4 2 7 3" xfId="2886"/>
    <cellStyle name="20% - Accent4 2 7 4" xfId="2887"/>
    <cellStyle name="20% - Accent4 2 8" xfId="237"/>
    <cellStyle name="20% - Accent4 2 8 2" xfId="2888"/>
    <cellStyle name="20% - Accent4 2 8 3" xfId="2889"/>
    <cellStyle name="20% - Accent4 2 9" xfId="238"/>
    <cellStyle name="20% - Accent4 2 9 2" xfId="2890"/>
    <cellStyle name="20% - Accent4 20" xfId="239"/>
    <cellStyle name="20% - Accent4 21" xfId="240"/>
    <cellStyle name="20% - Accent4 22" xfId="241"/>
    <cellStyle name="20% - Accent4 23" xfId="242"/>
    <cellStyle name="20% - Accent4 24" xfId="243"/>
    <cellStyle name="20% - Accent4 25" xfId="244"/>
    <cellStyle name="20% - Accent4 26" xfId="245"/>
    <cellStyle name="20% - Accent4 27" xfId="246"/>
    <cellStyle name="20% - Accent4 28" xfId="247"/>
    <cellStyle name="20% - Accent4 29" xfId="248"/>
    <cellStyle name="20% - Accent4 3" xfId="249"/>
    <cellStyle name="20% - Accent4 3 2" xfId="2891"/>
    <cellStyle name="20% - Accent4 3 2 2" xfId="2892"/>
    <cellStyle name="20% - Accent4 3 2 2 2" xfId="2893"/>
    <cellStyle name="20% - Accent4 3 2 2 2 2" xfId="2894"/>
    <cellStyle name="20% - Accent4 3 2 2 2 2 2" xfId="2895"/>
    <cellStyle name="20% - Accent4 3 2 2 2 2 2 2" xfId="2896"/>
    <cellStyle name="20% - Accent4 3 2 2 2 2 3" xfId="2897"/>
    <cellStyle name="20% - Accent4 3 2 2 2 3" xfId="2898"/>
    <cellStyle name="20% - Accent4 3 2 2 2 3 2" xfId="2899"/>
    <cellStyle name="20% - Accent4 3 2 2 2 4" xfId="2900"/>
    <cellStyle name="20% - Accent4 3 2 2 2 5" xfId="2901"/>
    <cellStyle name="20% - Accent4 3 2 2 3" xfId="2902"/>
    <cellStyle name="20% - Accent4 3 2 2 3 2" xfId="2903"/>
    <cellStyle name="20% - Accent4 3 2 2 3 2 2" xfId="2904"/>
    <cellStyle name="20% - Accent4 3 2 2 3 3" xfId="2905"/>
    <cellStyle name="20% - Accent4 3 2 2 4" xfId="2906"/>
    <cellStyle name="20% - Accent4 3 2 2 4 2" xfId="2907"/>
    <cellStyle name="20% - Accent4 3 2 2 5" xfId="2908"/>
    <cellStyle name="20% - Accent4 3 2 2 6" xfId="2909"/>
    <cellStyle name="20% - Accent4 3 2 2 7" xfId="2910"/>
    <cellStyle name="20% - Accent4 3 2 3" xfId="2911"/>
    <cellStyle name="20% - Accent4 3 2 3 2" xfId="2912"/>
    <cellStyle name="20% - Accent4 3 2 3 2 2" xfId="2913"/>
    <cellStyle name="20% - Accent4 3 2 3 2 2 2" xfId="2914"/>
    <cellStyle name="20% - Accent4 3 2 3 2 3" xfId="2915"/>
    <cellStyle name="20% - Accent4 3 2 3 3" xfId="2916"/>
    <cellStyle name="20% - Accent4 3 2 3 3 2" xfId="2917"/>
    <cellStyle name="20% - Accent4 3 2 3 4" xfId="2918"/>
    <cellStyle name="20% - Accent4 3 2 3 5" xfId="2919"/>
    <cellStyle name="20% - Accent4 3 2 4" xfId="2920"/>
    <cellStyle name="20% - Accent4 3 2 4 2" xfId="2921"/>
    <cellStyle name="20% - Accent4 3 2 4 2 2" xfId="2922"/>
    <cellStyle name="20% - Accent4 3 2 4 3" xfId="2923"/>
    <cellStyle name="20% - Accent4 3 2 4 4" xfId="2924"/>
    <cellStyle name="20% - Accent4 3 2 5" xfId="2925"/>
    <cellStyle name="20% - Accent4 3 2 5 2" xfId="2926"/>
    <cellStyle name="20% - Accent4 3 2 6" xfId="2927"/>
    <cellStyle name="20% - Accent4 3 2 7" xfId="2928"/>
    <cellStyle name="20% - Accent4 3 2 8" xfId="2929"/>
    <cellStyle name="20% - Accent4 3 2 9" xfId="2930"/>
    <cellStyle name="20% - Accent4 3 3" xfId="2931"/>
    <cellStyle name="20% - Accent4 3 3 2" xfId="2932"/>
    <cellStyle name="20% - Accent4 3 3 2 2" xfId="2933"/>
    <cellStyle name="20% - Accent4 3 3 2 2 2" xfId="2934"/>
    <cellStyle name="20% - Accent4 3 3 2 2 2 2" xfId="2935"/>
    <cellStyle name="20% - Accent4 3 3 2 2 3" xfId="2936"/>
    <cellStyle name="20% - Accent4 3 3 2 2 4" xfId="2937"/>
    <cellStyle name="20% - Accent4 3 3 2 3" xfId="2938"/>
    <cellStyle name="20% - Accent4 3 3 2 3 2" xfId="2939"/>
    <cellStyle name="20% - Accent4 3 3 2 4" xfId="2940"/>
    <cellStyle name="20% - Accent4 3 3 2 5" xfId="2941"/>
    <cellStyle name="20% - Accent4 3 3 3" xfId="2942"/>
    <cellStyle name="20% - Accent4 3 3 3 2" xfId="2943"/>
    <cellStyle name="20% - Accent4 3 3 3 2 2" xfId="2944"/>
    <cellStyle name="20% - Accent4 3 3 3 3" xfId="2945"/>
    <cellStyle name="20% - Accent4 3 3 3 4" xfId="2946"/>
    <cellStyle name="20% - Accent4 3 3 4" xfId="2947"/>
    <cellStyle name="20% - Accent4 3 3 4 2" xfId="2948"/>
    <cellStyle name="20% - Accent4 3 3 4 3" xfId="2949"/>
    <cellStyle name="20% - Accent4 3 3 4 4" xfId="2950"/>
    <cellStyle name="20% - Accent4 3 3 5" xfId="2951"/>
    <cellStyle name="20% - Accent4 3 3 5 2" xfId="2952"/>
    <cellStyle name="20% - Accent4 3 3 6" xfId="2953"/>
    <cellStyle name="20% - Accent4 3 3 7" xfId="2954"/>
    <cellStyle name="20% - Accent4 3 3 8" xfId="2955"/>
    <cellStyle name="20% - Accent4 3 3 9" xfId="2956"/>
    <cellStyle name="20% - Accent4 3 4" xfId="2957"/>
    <cellStyle name="20% - Accent4 3 4 2" xfId="2958"/>
    <cellStyle name="20% - Accent4 3 4 2 2" xfId="2959"/>
    <cellStyle name="20% - Accent4 3 4 2 2 2" xfId="2960"/>
    <cellStyle name="20% - Accent4 3 4 2 2 2 2" xfId="2961"/>
    <cellStyle name="20% - Accent4 3 4 2 2 3" xfId="2962"/>
    <cellStyle name="20% - Accent4 3 4 2 2 4" xfId="2963"/>
    <cellStyle name="20% - Accent4 3 4 2 3" xfId="2964"/>
    <cellStyle name="20% - Accent4 3 4 2 3 2" xfId="2965"/>
    <cellStyle name="20% - Accent4 3 4 2 4" xfId="2966"/>
    <cellStyle name="20% - Accent4 3 4 2 5" xfId="2967"/>
    <cellStyle name="20% - Accent4 3 4 3" xfId="2968"/>
    <cellStyle name="20% - Accent4 3 4 3 2" xfId="2969"/>
    <cellStyle name="20% - Accent4 3 4 3 2 2" xfId="2970"/>
    <cellStyle name="20% - Accent4 3 4 3 3" xfId="2971"/>
    <cellStyle name="20% - Accent4 3 4 3 4" xfId="2972"/>
    <cellStyle name="20% - Accent4 3 4 4" xfId="2973"/>
    <cellStyle name="20% - Accent4 3 4 4 2" xfId="2974"/>
    <cellStyle name="20% - Accent4 3 4 4 3" xfId="2975"/>
    <cellStyle name="20% - Accent4 3 4 4 4" xfId="2976"/>
    <cellStyle name="20% - Accent4 3 4 5" xfId="2977"/>
    <cellStyle name="20% - Accent4 3 4 5 2" xfId="2978"/>
    <cellStyle name="20% - Accent4 3 4 6" xfId="2979"/>
    <cellStyle name="20% - Accent4 3 4 7" xfId="2980"/>
    <cellStyle name="20% - Accent4 3 4 8" xfId="2981"/>
    <cellStyle name="20% - Accent4 3 4 9" xfId="2982"/>
    <cellStyle name="20% - Accent4 3 5" xfId="2983"/>
    <cellStyle name="20% - Accent4 3 5 2" xfId="2984"/>
    <cellStyle name="20% - Accent4 3 5 2 2" xfId="2985"/>
    <cellStyle name="20% - Accent4 3 5 2 2 2" xfId="2986"/>
    <cellStyle name="20% - Accent4 3 5 2 3" xfId="2987"/>
    <cellStyle name="20% - Accent4 3 5 2 4" xfId="2988"/>
    <cellStyle name="20% - Accent4 3 5 3" xfId="2989"/>
    <cellStyle name="20% - Accent4 3 5 3 2" xfId="2990"/>
    <cellStyle name="20% - Accent4 3 5 4" xfId="2991"/>
    <cellStyle name="20% - Accent4 3 5 5" xfId="2992"/>
    <cellStyle name="20% - Accent4 3 6" xfId="2993"/>
    <cellStyle name="20% - Accent4 3 6 2" xfId="2994"/>
    <cellStyle name="20% - Accent4 3 6 2 2" xfId="2995"/>
    <cellStyle name="20% - Accent4 3 6 3" xfId="2996"/>
    <cellStyle name="20% - Accent4 3 6 4" xfId="2997"/>
    <cellStyle name="20% - Accent4 3 7" xfId="2998"/>
    <cellStyle name="20% - Accent4 3 7 2" xfId="2999"/>
    <cellStyle name="20% - Accent4 3 7 3" xfId="3000"/>
    <cellStyle name="20% - Accent4 3 7 4" xfId="3001"/>
    <cellStyle name="20% - Accent4 3 8" xfId="3002"/>
    <cellStyle name="20% - Accent4 3 9" xfId="3003"/>
    <cellStyle name="20% - Accent4 30" xfId="250"/>
    <cellStyle name="20% - Accent4 31" xfId="251"/>
    <cellStyle name="20% - Accent4 32" xfId="252"/>
    <cellStyle name="20% - Accent4 33" xfId="253"/>
    <cellStyle name="20% - Accent4 34" xfId="254"/>
    <cellStyle name="20% - Accent4 35" xfId="255"/>
    <cellStyle name="20% - Accent4 4" xfId="256"/>
    <cellStyle name="20% - Accent4 4 2" xfId="3004"/>
    <cellStyle name="20% - Accent4 4 2 2" xfId="3005"/>
    <cellStyle name="20% - Accent4 4 2 2 2" xfId="3006"/>
    <cellStyle name="20% - Accent4 4 2 2 2 2" xfId="3007"/>
    <cellStyle name="20% - Accent4 4 2 2 2 2 2" xfId="3008"/>
    <cellStyle name="20% - Accent4 4 2 2 2 2 2 2" xfId="3009"/>
    <cellStyle name="20% - Accent4 4 2 2 2 2 3" xfId="3010"/>
    <cellStyle name="20% - Accent4 4 2 2 2 3" xfId="3011"/>
    <cellStyle name="20% - Accent4 4 2 2 2 3 2" xfId="3012"/>
    <cellStyle name="20% - Accent4 4 2 2 2 4" xfId="3013"/>
    <cellStyle name="20% - Accent4 4 2 2 2 5" xfId="3014"/>
    <cellStyle name="20% - Accent4 4 2 2 3" xfId="3015"/>
    <cellStyle name="20% - Accent4 4 2 2 3 2" xfId="3016"/>
    <cellStyle name="20% - Accent4 4 2 2 3 2 2" xfId="3017"/>
    <cellStyle name="20% - Accent4 4 2 2 3 3" xfId="3018"/>
    <cellStyle name="20% - Accent4 4 2 2 4" xfId="3019"/>
    <cellStyle name="20% - Accent4 4 2 2 4 2" xfId="3020"/>
    <cellStyle name="20% - Accent4 4 2 2 5" xfId="3021"/>
    <cellStyle name="20% - Accent4 4 2 2 6" xfId="3022"/>
    <cellStyle name="20% - Accent4 4 2 3" xfId="3023"/>
    <cellStyle name="20% - Accent4 4 2 3 2" xfId="3024"/>
    <cellStyle name="20% - Accent4 4 2 3 2 2" xfId="3025"/>
    <cellStyle name="20% - Accent4 4 2 3 2 2 2" xfId="3026"/>
    <cellStyle name="20% - Accent4 4 2 3 2 3" xfId="3027"/>
    <cellStyle name="20% - Accent4 4 2 3 3" xfId="3028"/>
    <cellStyle name="20% - Accent4 4 2 3 3 2" xfId="3029"/>
    <cellStyle name="20% - Accent4 4 2 3 4" xfId="3030"/>
    <cellStyle name="20% - Accent4 4 2 3 5" xfId="3031"/>
    <cellStyle name="20% - Accent4 4 2 4" xfId="3032"/>
    <cellStyle name="20% - Accent4 4 2 4 2" xfId="3033"/>
    <cellStyle name="20% - Accent4 4 2 4 2 2" xfId="3034"/>
    <cellStyle name="20% - Accent4 4 2 4 3" xfId="3035"/>
    <cellStyle name="20% - Accent4 4 2 4 4" xfId="3036"/>
    <cellStyle name="20% - Accent4 4 2 5" xfId="3037"/>
    <cellStyle name="20% - Accent4 4 2 5 2" xfId="3038"/>
    <cellStyle name="20% - Accent4 4 2 6" xfId="3039"/>
    <cellStyle name="20% - Accent4 4 2 7" xfId="3040"/>
    <cellStyle name="20% - Accent4 4 2 8" xfId="3041"/>
    <cellStyle name="20% - Accent4 4 2 9" xfId="3042"/>
    <cellStyle name="20% - Accent4 4 3" xfId="3043"/>
    <cellStyle name="20% - Accent4 4 3 2" xfId="3044"/>
    <cellStyle name="20% - Accent4 4 3 2 2" xfId="3045"/>
    <cellStyle name="20% - Accent4 4 3 2 2 2" xfId="3046"/>
    <cellStyle name="20% - Accent4 4 3 2 2 2 2" xfId="3047"/>
    <cellStyle name="20% - Accent4 4 3 2 2 3" xfId="3048"/>
    <cellStyle name="20% - Accent4 4 3 2 2 4" xfId="3049"/>
    <cellStyle name="20% - Accent4 4 3 2 3" xfId="3050"/>
    <cellStyle name="20% - Accent4 4 3 2 3 2" xfId="3051"/>
    <cellStyle name="20% - Accent4 4 3 2 4" xfId="3052"/>
    <cellStyle name="20% - Accent4 4 3 2 5" xfId="3053"/>
    <cellStyle name="20% - Accent4 4 3 3" xfId="3054"/>
    <cellStyle name="20% - Accent4 4 3 3 2" xfId="3055"/>
    <cellStyle name="20% - Accent4 4 3 3 2 2" xfId="3056"/>
    <cellStyle name="20% - Accent4 4 3 3 3" xfId="3057"/>
    <cellStyle name="20% - Accent4 4 3 3 4" xfId="3058"/>
    <cellStyle name="20% - Accent4 4 3 4" xfId="3059"/>
    <cellStyle name="20% - Accent4 4 3 4 2" xfId="3060"/>
    <cellStyle name="20% - Accent4 4 3 4 3" xfId="3061"/>
    <cellStyle name="20% - Accent4 4 3 4 4" xfId="3062"/>
    <cellStyle name="20% - Accent4 4 3 5" xfId="3063"/>
    <cellStyle name="20% - Accent4 4 3 5 2" xfId="3064"/>
    <cellStyle name="20% - Accent4 4 3 6" xfId="3065"/>
    <cellStyle name="20% - Accent4 4 3 7" xfId="3066"/>
    <cellStyle name="20% - Accent4 4 3 8" xfId="3067"/>
    <cellStyle name="20% - Accent4 4 3 9" xfId="3068"/>
    <cellStyle name="20% - Accent4 4 4" xfId="3069"/>
    <cellStyle name="20% - Accent4 4 4 2" xfId="3070"/>
    <cellStyle name="20% - Accent4 4 4 2 2" xfId="3071"/>
    <cellStyle name="20% - Accent4 4 4 2 2 2" xfId="3072"/>
    <cellStyle name="20% - Accent4 4 4 2 2 2 2" xfId="3073"/>
    <cellStyle name="20% - Accent4 4 4 2 2 3" xfId="3074"/>
    <cellStyle name="20% - Accent4 4 4 2 2 4" xfId="3075"/>
    <cellStyle name="20% - Accent4 4 4 2 3" xfId="3076"/>
    <cellStyle name="20% - Accent4 4 4 2 3 2" xfId="3077"/>
    <cellStyle name="20% - Accent4 4 4 2 4" xfId="3078"/>
    <cellStyle name="20% - Accent4 4 4 2 5" xfId="3079"/>
    <cellStyle name="20% - Accent4 4 4 3" xfId="3080"/>
    <cellStyle name="20% - Accent4 4 4 3 2" xfId="3081"/>
    <cellStyle name="20% - Accent4 4 4 3 2 2" xfId="3082"/>
    <cellStyle name="20% - Accent4 4 4 3 3" xfId="3083"/>
    <cellStyle name="20% - Accent4 4 4 3 4" xfId="3084"/>
    <cellStyle name="20% - Accent4 4 4 4" xfId="3085"/>
    <cellStyle name="20% - Accent4 4 4 4 2" xfId="3086"/>
    <cellStyle name="20% - Accent4 4 4 5" xfId="3087"/>
    <cellStyle name="20% - Accent4 4 4 6" xfId="3088"/>
    <cellStyle name="20% - Accent4 4 5" xfId="3089"/>
    <cellStyle name="20% - Accent4 4 5 2" xfId="3090"/>
    <cellStyle name="20% - Accent4 4 5 2 2" xfId="3091"/>
    <cellStyle name="20% - Accent4 4 5 2 2 2" xfId="3092"/>
    <cellStyle name="20% - Accent4 4 5 2 3" xfId="3093"/>
    <cellStyle name="20% - Accent4 4 5 2 4" xfId="3094"/>
    <cellStyle name="20% - Accent4 4 5 3" xfId="3095"/>
    <cellStyle name="20% - Accent4 4 5 3 2" xfId="3096"/>
    <cellStyle name="20% - Accent4 4 5 4" xfId="3097"/>
    <cellStyle name="20% - Accent4 4 5 5" xfId="3098"/>
    <cellStyle name="20% - Accent4 4 6" xfId="3099"/>
    <cellStyle name="20% - Accent4 4 6 2" xfId="3100"/>
    <cellStyle name="20% - Accent4 4 6 2 2" xfId="3101"/>
    <cellStyle name="20% - Accent4 4 6 3" xfId="3102"/>
    <cellStyle name="20% - Accent4 4 6 4" xfId="3103"/>
    <cellStyle name="20% - Accent4 4 7" xfId="3104"/>
    <cellStyle name="20% - Accent4 4 7 2" xfId="3105"/>
    <cellStyle name="20% - Accent4 4 7 3" xfId="3106"/>
    <cellStyle name="20% - Accent4 4 7 4" xfId="3107"/>
    <cellStyle name="20% - Accent4 4 8" xfId="3108"/>
    <cellStyle name="20% - Accent4 4 9" xfId="3109"/>
    <cellStyle name="20% - Accent4 5" xfId="257"/>
    <cellStyle name="20% - Accent4 5 2" xfId="3110"/>
    <cellStyle name="20% - Accent4 5 2 2" xfId="3111"/>
    <cellStyle name="20% - Accent4 5 2 2 2" xfId="3112"/>
    <cellStyle name="20% - Accent4 5 2 2 2 2" xfId="3113"/>
    <cellStyle name="20% - Accent4 5 2 2 2 2 2" xfId="3114"/>
    <cellStyle name="20% - Accent4 5 2 2 2 3" xfId="3115"/>
    <cellStyle name="20% - Accent4 5 2 2 3" xfId="3116"/>
    <cellStyle name="20% - Accent4 5 2 2 3 2" xfId="3117"/>
    <cellStyle name="20% - Accent4 5 2 2 4" xfId="3118"/>
    <cellStyle name="20% - Accent4 5 2 3" xfId="3119"/>
    <cellStyle name="20% - Accent4 5 2 3 2" xfId="3120"/>
    <cellStyle name="20% - Accent4 5 2 3 2 2" xfId="3121"/>
    <cellStyle name="20% - Accent4 5 2 3 3" xfId="3122"/>
    <cellStyle name="20% - Accent4 5 2 4" xfId="3123"/>
    <cellStyle name="20% - Accent4 5 2 4 2" xfId="3124"/>
    <cellStyle name="20% - Accent4 5 2 5" xfId="3125"/>
    <cellStyle name="20% - Accent4 5 2 6" xfId="3126"/>
    <cellStyle name="20% - Accent4 5 3" xfId="3127"/>
    <cellStyle name="20% - Accent4 5 3 2" xfId="3128"/>
    <cellStyle name="20% - Accent4 5 3 2 2" xfId="3129"/>
    <cellStyle name="20% - Accent4 5 3 2 2 2" xfId="3130"/>
    <cellStyle name="20% - Accent4 5 3 2 3" xfId="3131"/>
    <cellStyle name="20% - Accent4 5 3 3" xfId="3132"/>
    <cellStyle name="20% - Accent4 5 3 3 2" xfId="3133"/>
    <cellStyle name="20% - Accent4 5 3 4" xfId="3134"/>
    <cellStyle name="20% - Accent4 5 4" xfId="3135"/>
    <cellStyle name="20% - Accent4 5 4 2" xfId="3136"/>
    <cellStyle name="20% - Accent4 5 4 2 2" xfId="3137"/>
    <cellStyle name="20% - Accent4 5 4 3" xfId="3138"/>
    <cellStyle name="20% - Accent4 5 5" xfId="3139"/>
    <cellStyle name="20% - Accent4 5 5 2" xfId="3140"/>
    <cellStyle name="20% - Accent4 5 6" xfId="3141"/>
    <cellStyle name="20% - Accent4 5 7" xfId="3142"/>
    <cellStyle name="20% - Accent4 5 8" xfId="3143"/>
    <cellStyle name="20% - Accent4 6" xfId="258"/>
    <cellStyle name="20% - Accent4 6 2" xfId="3144"/>
    <cellStyle name="20% - Accent4 6 2 2" xfId="3145"/>
    <cellStyle name="20% - Accent4 6 2 2 2" xfId="3146"/>
    <cellStyle name="20% - Accent4 6 2 2 2 2" xfId="3147"/>
    <cellStyle name="20% - Accent4 6 2 2 3" xfId="3148"/>
    <cellStyle name="20% - Accent4 6 2 3" xfId="3149"/>
    <cellStyle name="20% - Accent4 6 2 3 2" xfId="3150"/>
    <cellStyle name="20% - Accent4 6 2 4" xfId="3151"/>
    <cellStyle name="20% - Accent4 6 2 5" xfId="3152"/>
    <cellStyle name="20% - Accent4 6 3" xfId="3153"/>
    <cellStyle name="20% - Accent4 6 3 2" xfId="3154"/>
    <cellStyle name="20% - Accent4 6 3 2 2" xfId="3155"/>
    <cellStyle name="20% - Accent4 6 3 3" xfId="3156"/>
    <cellStyle name="20% - Accent4 6 4" xfId="3157"/>
    <cellStyle name="20% - Accent4 6 4 2" xfId="3158"/>
    <cellStyle name="20% - Accent4 6 5" xfId="3159"/>
    <cellStyle name="20% - Accent4 6 6" xfId="3160"/>
    <cellStyle name="20% - Accent4 7" xfId="259"/>
    <cellStyle name="20% - Accent4 7 2" xfId="3161"/>
    <cellStyle name="20% - Accent4 7 2 2" xfId="3162"/>
    <cellStyle name="20% - Accent4 7 2 2 2" xfId="3163"/>
    <cellStyle name="20% - Accent4 7 2 3" xfId="3164"/>
    <cellStyle name="20% - Accent4 7 3" xfId="3165"/>
    <cellStyle name="20% - Accent4 7 3 2" xfId="3166"/>
    <cellStyle name="20% - Accent4 7 4" xfId="3167"/>
    <cellStyle name="20% - Accent4 7 5" xfId="3168"/>
    <cellStyle name="20% - Accent4 8" xfId="260"/>
    <cellStyle name="20% - Accent4 8 2" xfId="3169"/>
    <cellStyle name="20% - Accent4 8 2 2" xfId="3170"/>
    <cellStyle name="20% - Accent4 8 2 2 2" xfId="3171"/>
    <cellStyle name="20% - Accent4 8 2 3" xfId="3172"/>
    <cellStyle name="20% - Accent4 8 3" xfId="3173"/>
    <cellStyle name="20% - Accent4 8 3 2" xfId="3174"/>
    <cellStyle name="20% - Accent4 8 4" xfId="3175"/>
    <cellStyle name="20% - Accent4 8 5" xfId="3176"/>
    <cellStyle name="20% - Accent4 9" xfId="261"/>
    <cellStyle name="20% - Accent4 9 2" xfId="3177"/>
    <cellStyle name="20% - Accent4 9 2 2" xfId="3178"/>
    <cellStyle name="20% - Accent4 9 2 2 2" xfId="3179"/>
    <cellStyle name="20% - Accent4 9 2 3" xfId="3180"/>
    <cellStyle name="20% - Accent4 9 3" xfId="3181"/>
    <cellStyle name="20% - Accent4 9 3 2" xfId="3182"/>
    <cellStyle name="20% - Accent4 9 4" xfId="3183"/>
    <cellStyle name="20% - Accent4 9 5" xfId="3184"/>
    <cellStyle name="20% - Accent5 10" xfId="262"/>
    <cellStyle name="20% - Accent5 10 2" xfId="3185"/>
    <cellStyle name="20% - Accent5 10 2 2" xfId="3186"/>
    <cellStyle name="20% - Accent5 10 3" xfId="3187"/>
    <cellStyle name="20% - Accent5 10 4" xfId="3188"/>
    <cellStyle name="20% - Accent5 11" xfId="263"/>
    <cellStyle name="20% - Accent5 11 2" xfId="3189"/>
    <cellStyle name="20% - Accent5 11 2 2" xfId="3190"/>
    <cellStyle name="20% - Accent5 11 3" xfId="3191"/>
    <cellStyle name="20% - Accent5 11 4" xfId="3192"/>
    <cellStyle name="20% - Accent5 12" xfId="264"/>
    <cellStyle name="20% - Accent5 12 2" xfId="3193"/>
    <cellStyle name="20% - Accent5 12 3" xfId="3194"/>
    <cellStyle name="20% - Accent5 13" xfId="265"/>
    <cellStyle name="20% - Accent5 13 2" xfId="3195"/>
    <cellStyle name="20% - Accent5 14" xfId="266"/>
    <cellStyle name="20% - Accent5 15" xfId="267"/>
    <cellStyle name="20% - Accent5 15 2" xfId="268"/>
    <cellStyle name="20% - Accent5 15 3" xfId="269"/>
    <cellStyle name="20% - Accent5 15 4" xfId="270"/>
    <cellStyle name="20% - Accent5 15 5" xfId="271"/>
    <cellStyle name="20% - Accent5 16" xfId="272"/>
    <cellStyle name="20% - Accent5 16 2" xfId="273"/>
    <cellStyle name="20% - Accent5 16 3" xfId="274"/>
    <cellStyle name="20% - Accent5 16 4" xfId="275"/>
    <cellStyle name="20% - Accent5 16 5" xfId="276"/>
    <cellStyle name="20% - Accent5 17" xfId="277"/>
    <cellStyle name="20% - Accent5 17 2" xfId="278"/>
    <cellStyle name="20% - Accent5 17 3" xfId="279"/>
    <cellStyle name="20% - Accent5 17 4" xfId="280"/>
    <cellStyle name="20% - Accent5 17 5" xfId="281"/>
    <cellStyle name="20% - Accent5 18" xfId="282"/>
    <cellStyle name="20% - Accent5 19" xfId="283"/>
    <cellStyle name="20% - Accent5 2" xfId="284"/>
    <cellStyle name="20% - Accent5 2 2" xfId="285"/>
    <cellStyle name="20% - Accent5 2 2 2" xfId="286"/>
    <cellStyle name="20% - Accent5 2 2 2 2" xfId="287"/>
    <cellStyle name="20% - Accent5 2 2 2 2 2" xfId="3196"/>
    <cellStyle name="20% - Accent5 2 2 2 2 2 2" xfId="3197"/>
    <cellStyle name="20% - Accent5 2 2 2 2 2 2 2" xfId="3198"/>
    <cellStyle name="20% - Accent5 2 2 2 2 2 3" xfId="3199"/>
    <cellStyle name="20% - Accent5 2 2 2 2 3" xfId="3200"/>
    <cellStyle name="20% - Accent5 2 2 2 2 3 2" xfId="3201"/>
    <cellStyle name="20% - Accent5 2 2 2 2 4" xfId="3202"/>
    <cellStyle name="20% - Accent5 2 2 2 2 5" xfId="3203"/>
    <cellStyle name="20% - Accent5 2 2 2 3" xfId="288"/>
    <cellStyle name="20% - Accent5 2 2 2 3 2" xfId="3204"/>
    <cellStyle name="20% - Accent5 2 2 2 3 2 2" xfId="3205"/>
    <cellStyle name="20% - Accent5 2 2 2 3 3" xfId="3206"/>
    <cellStyle name="20% - Accent5 2 2 2 4" xfId="289"/>
    <cellStyle name="20% - Accent5 2 2 2 4 2" xfId="3207"/>
    <cellStyle name="20% - Accent5 2 2 2 5" xfId="290"/>
    <cellStyle name="20% - Accent5 2 2 2 6" xfId="3208"/>
    <cellStyle name="20% - Accent5 2 2 3" xfId="291"/>
    <cellStyle name="20% - Accent5 2 2 3 2" xfId="3209"/>
    <cellStyle name="20% - Accent5 2 2 3 2 2" xfId="3210"/>
    <cellStyle name="20% - Accent5 2 2 3 2 2 2" xfId="3211"/>
    <cellStyle name="20% - Accent5 2 2 3 2 3" xfId="3212"/>
    <cellStyle name="20% - Accent5 2 2 3 3" xfId="3213"/>
    <cellStyle name="20% - Accent5 2 2 3 3 2" xfId="3214"/>
    <cellStyle name="20% - Accent5 2 2 3 4" xfId="3215"/>
    <cellStyle name="20% - Accent5 2 2 3 5" xfId="3216"/>
    <cellStyle name="20% - Accent5 2 2 4" xfId="292"/>
    <cellStyle name="20% - Accent5 2 2 4 2" xfId="3217"/>
    <cellStyle name="20% - Accent5 2 2 4 2 2" xfId="3218"/>
    <cellStyle name="20% - Accent5 2 2 4 3" xfId="3219"/>
    <cellStyle name="20% - Accent5 2 2 5" xfId="293"/>
    <cellStyle name="20% - Accent5 2 2 5 2" xfId="3220"/>
    <cellStyle name="20% - Accent5 2 2 6" xfId="3221"/>
    <cellStyle name="20% - Accent5 2 2 7" xfId="3222"/>
    <cellStyle name="20% - Accent5 2 3" xfId="294"/>
    <cellStyle name="20% - Accent5 2 3 2" xfId="3223"/>
    <cellStyle name="20% - Accent5 2 3 2 2" xfId="3224"/>
    <cellStyle name="20% - Accent5 2 3 2 2 2" xfId="3225"/>
    <cellStyle name="20% - Accent5 2 3 2 2 2 2" xfId="3226"/>
    <cellStyle name="20% - Accent5 2 3 2 2 3" xfId="3227"/>
    <cellStyle name="20% - Accent5 2 3 2 3" xfId="3228"/>
    <cellStyle name="20% - Accent5 2 3 2 3 2" xfId="3229"/>
    <cellStyle name="20% - Accent5 2 3 2 4" xfId="3230"/>
    <cellStyle name="20% - Accent5 2 3 3" xfId="3231"/>
    <cellStyle name="20% - Accent5 2 3 3 2" xfId="3232"/>
    <cellStyle name="20% - Accent5 2 3 3 2 2" xfId="3233"/>
    <cellStyle name="20% - Accent5 2 3 3 3" xfId="3234"/>
    <cellStyle name="20% - Accent5 2 3 4" xfId="3235"/>
    <cellStyle name="20% - Accent5 2 3 4 2" xfId="3236"/>
    <cellStyle name="20% - Accent5 2 3 5" xfId="3237"/>
    <cellStyle name="20% - Accent5 2 3 6" xfId="3238"/>
    <cellStyle name="20% - Accent5 2 4" xfId="295"/>
    <cellStyle name="20% - Accent5 2 4 2" xfId="3239"/>
    <cellStyle name="20% - Accent5 2 4 2 2" xfId="3240"/>
    <cellStyle name="20% - Accent5 2 4 2 2 2" xfId="3241"/>
    <cellStyle name="20% - Accent5 2 4 2 3" xfId="3242"/>
    <cellStyle name="20% - Accent5 2 4 3" xfId="3243"/>
    <cellStyle name="20% - Accent5 2 4 3 2" xfId="3244"/>
    <cellStyle name="20% - Accent5 2 4 4" xfId="3245"/>
    <cellStyle name="20% - Accent5 2 4 5" xfId="3246"/>
    <cellStyle name="20% - Accent5 2 5" xfId="296"/>
    <cellStyle name="20% - Accent5 2 5 2" xfId="3247"/>
    <cellStyle name="20% - Accent5 2 5 2 2" xfId="3248"/>
    <cellStyle name="20% - Accent5 2 5 3" xfId="3249"/>
    <cellStyle name="20% - Accent5 2 5 4" xfId="3250"/>
    <cellStyle name="20% - Accent5 2 6" xfId="297"/>
    <cellStyle name="20% - Accent5 2 6 2" xfId="3251"/>
    <cellStyle name="20% - Accent5 2 6 3" xfId="3252"/>
    <cellStyle name="20% - Accent5 2 7" xfId="298"/>
    <cellStyle name="20% - Accent5 2 8" xfId="299"/>
    <cellStyle name="20% - Accent5 2 9" xfId="300"/>
    <cellStyle name="20% - Accent5 20" xfId="301"/>
    <cellStyle name="20% - Accent5 21" xfId="302"/>
    <cellStyle name="20% - Accent5 22" xfId="303"/>
    <cellStyle name="20% - Accent5 23" xfId="304"/>
    <cellStyle name="20% - Accent5 24" xfId="305"/>
    <cellStyle name="20% - Accent5 25" xfId="306"/>
    <cellStyle name="20% - Accent5 26" xfId="307"/>
    <cellStyle name="20% - Accent5 27" xfId="308"/>
    <cellStyle name="20% - Accent5 28" xfId="309"/>
    <cellStyle name="20% - Accent5 29" xfId="310"/>
    <cellStyle name="20% - Accent5 3" xfId="311"/>
    <cellStyle name="20% - Accent5 3 2" xfId="3253"/>
    <cellStyle name="20% - Accent5 3 2 2" xfId="3254"/>
    <cellStyle name="20% - Accent5 3 2 2 2" xfId="3255"/>
    <cellStyle name="20% - Accent5 3 2 2 2 2" xfId="3256"/>
    <cellStyle name="20% - Accent5 3 2 2 2 2 2" xfId="3257"/>
    <cellStyle name="20% - Accent5 3 2 2 2 2 2 2" xfId="3258"/>
    <cellStyle name="20% - Accent5 3 2 2 2 2 3" xfId="3259"/>
    <cellStyle name="20% - Accent5 3 2 2 2 3" xfId="3260"/>
    <cellStyle name="20% - Accent5 3 2 2 2 3 2" xfId="3261"/>
    <cellStyle name="20% - Accent5 3 2 2 2 4" xfId="3262"/>
    <cellStyle name="20% - Accent5 3 2 2 3" xfId="3263"/>
    <cellStyle name="20% - Accent5 3 2 2 3 2" xfId="3264"/>
    <cellStyle name="20% - Accent5 3 2 2 3 2 2" xfId="3265"/>
    <cellStyle name="20% - Accent5 3 2 2 3 3" xfId="3266"/>
    <cellStyle name="20% - Accent5 3 2 2 4" xfId="3267"/>
    <cellStyle name="20% - Accent5 3 2 2 4 2" xfId="3268"/>
    <cellStyle name="20% - Accent5 3 2 2 5" xfId="3269"/>
    <cellStyle name="20% - Accent5 3 2 2 6" xfId="3270"/>
    <cellStyle name="20% - Accent5 3 2 3" xfId="3271"/>
    <cellStyle name="20% - Accent5 3 2 3 2" xfId="3272"/>
    <cellStyle name="20% - Accent5 3 2 3 2 2" xfId="3273"/>
    <cellStyle name="20% - Accent5 3 2 3 2 2 2" xfId="3274"/>
    <cellStyle name="20% - Accent5 3 2 3 2 3" xfId="3275"/>
    <cellStyle name="20% - Accent5 3 2 3 3" xfId="3276"/>
    <cellStyle name="20% - Accent5 3 2 3 3 2" xfId="3277"/>
    <cellStyle name="20% - Accent5 3 2 3 4" xfId="3278"/>
    <cellStyle name="20% - Accent5 3 2 4" xfId="3279"/>
    <cellStyle name="20% - Accent5 3 2 4 2" xfId="3280"/>
    <cellStyle name="20% - Accent5 3 2 4 2 2" xfId="3281"/>
    <cellStyle name="20% - Accent5 3 2 4 3" xfId="3282"/>
    <cellStyle name="20% - Accent5 3 2 5" xfId="3283"/>
    <cellStyle name="20% - Accent5 3 2 5 2" xfId="3284"/>
    <cellStyle name="20% - Accent5 3 2 6" xfId="3285"/>
    <cellStyle name="20% - Accent5 3 2 7" xfId="3286"/>
    <cellStyle name="20% - Accent5 3 3" xfId="3287"/>
    <cellStyle name="20% - Accent5 3 3 2" xfId="3288"/>
    <cellStyle name="20% - Accent5 3 3 2 2" xfId="3289"/>
    <cellStyle name="20% - Accent5 3 3 2 2 2" xfId="3290"/>
    <cellStyle name="20% - Accent5 3 3 2 2 2 2" xfId="3291"/>
    <cellStyle name="20% - Accent5 3 3 2 2 3" xfId="3292"/>
    <cellStyle name="20% - Accent5 3 3 2 3" xfId="3293"/>
    <cellStyle name="20% - Accent5 3 3 2 3 2" xfId="3294"/>
    <cellStyle name="20% - Accent5 3 3 2 4" xfId="3295"/>
    <cellStyle name="20% - Accent5 3 3 3" xfId="3296"/>
    <cellStyle name="20% - Accent5 3 3 3 2" xfId="3297"/>
    <cellStyle name="20% - Accent5 3 3 3 2 2" xfId="3298"/>
    <cellStyle name="20% - Accent5 3 3 3 3" xfId="3299"/>
    <cellStyle name="20% - Accent5 3 3 4" xfId="3300"/>
    <cellStyle name="20% - Accent5 3 3 4 2" xfId="3301"/>
    <cellStyle name="20% - Accent5 3 3 5" xfId="3302"/>
    <cellStyle name="20% - Accent5 3 3 6" xfId="3303"/>
    <cellStyle name="20% - Accent5 3 4" xfId="3304"/>
    <cellStyle name="20% - Accent5 3 4 2" xfId="3305"/>
    <cellStyle name="20% - Accent5 3 4 2 2" xfId="3306"/>
    <cellStyle name="20% - Accent5 3 4 2 2 2" xfId="3307"/>
    <cellStyle name="20% - Accent5 3 4 2 3" xfId="3308"/>
    <cellStyle name="20% - Accent5 3 4 3" xfId="3309"/>
    <cellStyle name="20% - Accent5 3 4 3 2" xfId="3310"/>
    <cellStyle name="20% - Accent5 3 4 4" xfId="3311"/>
    <cellStyle name="20% - Accent5 3 4 5" xfId="3312"/>
    <cellStyle name="20% - Accent5 3 5" xfId="3313"/>
    <cellStyle name="20% - Accent5 3 5 2" xfId="3314"/>
    <cellStyle name="20% - Accent5 3 5 2 2" xfId="3315"/>
    <cellStyle name="20% - Accent5 3 5 3" xfId="3316"/>
    <cellStyle name="20% - Accent5 3 6" xfId="3317"/>
    <cellStyle name="20% - Accent5 3 6 2" xfId="3318"/>
    <cellStyle name="20% - Accent5 3 7" xfId="3319"/>
    <cellStyle name="20% - Accent5 3 8" xfId="3320"/>
    <cellStyle name="20% - Accent5 3 9" xfId="3321"/>
    <cellStyle name="20% - Accent5 30" xfId="312"/>
    <cellStyle name="20% - Accent5 31" xfId="313"/>
    <cellStyle name="20% - Accent5 32" xfId="314"/>
    <cellStyle name="20% - Accent5 33" xfId="315"/>
    <cellStyle name="20% - Accent5 34" xfId="316"/>
    <cellStyle name="20% - Accent5 35" xfId="317"/>
    <cellStyle name="20% - Accent5 4" xfId="318"/>
    <cellStyle name="20% - Accent5 4 2" xfId="3322"/>
    <cellStyle name="20% - Accent5 4 2 2" xfId="3323"/>
    <cellStyle name="20% - Accent5 4 2 2 2" xfId="3324"/>
    <cellStyle name="20% - Accent5 4 2 2 2 2" xfId="3325"/>
    <cellStyle name="20% - Accent5 4 2 2 2 2 2" xfId="3326"/>
    <cellStyle name="20% - Accent5 4 2 2 2 3" xfId="3327"/>
    <cellStyle name="20% - Accent5 4 2 2 3" xfId="3328"/>
    <cellStyle name="20% - Accent5 4 2 2 3 2" xfId="3329"/>
    <cellStyle name="20% - Accent5 4 2 2 4" xfId="3330"/>
    <cellStyle name="20% - Accent5 4 2 3" xfId="3331"/>
    <cellStyle name="20% - Accent5 4 2 3 2" xfId="3332"/>
    <cellStyle name="20% - Accent5 4 2 3 2 2" xfId="3333"/>
    <cellStyle name="20% - Accent5 4 2 3 3" xfId="3334"/>
    <cellStyle name="20% - Accent5 4 2 4" xfId="3335"/>
    <cellStyle name="20% - Accent5 4 2 4 2" xfId="3336"/>
    <cellStyle name="20% - Accent5 4 2 5" xfId="3337"/>
    <cellStyle name="20% - Accent5 4 2 6" xfId="3338"/>
    <cellStyle name="20% - Accent5 4 3" xfId="3339"/>
    <cellStyle name="20% - Accent5 4 3 2" xfId="3340"/>
    <cellStyle name="20% - Accent5 4 3 2 2" xfId="3341"/>
    <cellStyle name="20% - Accent5 4 3 2 2 2" xfId="3342"/>
    <cellStyle name="20% - Accent5 4 3 2 3" xfId="3343"/>
    <cellStyle name="20% - Accent5 4 3 3" xfId="3344"/>
    <cellStyle name="20% - Accent5 4 3 3 2" xfId="3345"/>
    <cellStyle name="20% - Accent5 4 3 4" xfId="3346"/>
    <cellStyle name="20% - Accent5 4 3 5" xfId="3347"/>
    <cellStyle name="20% - Accent5 4 4" xfId="3348"/>
    <cellStyle name="20% - Accent5 4 4 2" xfId="3349"/>
    <cellStyle name="20% - Accent5 4 4 2 2" xfId="3350"/>
    <cellStyle name="20% - Accent5 4 4 3" xfId="3351"/>
    <cellStyle name="20% - Accent5 4 5" xfId="3352"/>
    <cellStyle name="20% - Accent5 4 5 2" xfId="3353"/>
    <cellStyle name="20% - Accent5 4 6" xfId="3354"/>
    <cellStyle name="20% - Accent5 4 7" xfId="3355"/>
    <cellStyle name="20% - Accent5 5" xfId="319"/>
    <cellStyle name="20% - Accent5 5 2" xfId="3356"/>
    <cellStyle name="20% - Accent5 5 2 2" xfId="3357"/>
    <cellStyle name="20% - Accent5 5 2 2 2" xfId="3358"/>
    <cellStyle name="20% - Accent5 5 2 2 2 2" xfId="3359"/>
    <cellStyle name="20% - Accent5 5 2 2 3" xfId="3360"/>
    <cellStyle name="20% - Accent5 5 2 3" xfId="3361"/>
    <cellStyle name="20% - Accent5 5 2 3 2" xfId="3362"/>
    <cellStyle name="20% - Accent5 5 2 4" xfId="3363"/>
    <cellStyle name="20% - Accent5 5 2 5" xfId="3364"/>
    <cellStyle name="20% - Accent5 5 3" xfId="3365"/>
    <cellStyle name="20% - Accent5 5 3 2" xfId="3366"/>
    <cellStyle name="20% - Accent5 5 3 2 2" xfId="3367"/>
    <cellStyle name="20% - Accent5 5 3 3" xfId="3368"/>
    <cellStyle name="20% - Accent5 5 4" xfId="3369"/>
    <cellStyle name="20% - Accent5 5 4 2" xfId="3370"/>
    <cellStyle name="20% - Accent5 5 5" xfId="3371"/>
    <cellStyle name="20% - Accent5 5 6" xfId="3372"/>
    <cellStyle name="20% - Accent5 6" xfId="320"/>
    <cellStyle name="20% - Accent5 6 2" xfId="3373"/>
    <cellStyle name="20% - Accent5 6 2 2" xfId="3374"/>
    <cellStyle name="20% - Accent5 6 2 2 2" xfId="3375"/>
    <cellStyle name="20% - Accent5 6 2 3" xfId="3376"/>
    <cellStyle name="20% - Accent5 6 2 4" xfId="3377"/>
    <cellStyle name="20% - Accent5 6 2 5" xfId="3378"/>
    <cellStyle name="20% - Accent5 6 3" xfId="3379"/>
    <cellStyle name="20% - Accent5 6 3 2" xfId="3380"/>
    <cellStyle name="20% - Accent5 6 4" xfId="3381"/>
    <cellStyle name="20% - Accent5 6 5" xfId="3382"/>
    <cellStyle name="20% - Accent5 7" xfId="321"/>
    <cellStyle name="20% - Accent5 7 2" xfId="3383"/>
    <cellStyle name="20% - Accent5 7 2 2" xfId="3384"/>
    <cellStyle name="20% - Accent5 7 2 2 2" xfId="3385"/>
    <cellStyle name="20% - Accent5 7 2 3" xfId="3386"/>
    <cellStyle name="20% - Accent5 7 3" xfId="3387"/>
    <cellStyle name="20% - Accent5 7 3 2" xfId="3388"/>
    <cellStyle name="20% - Accent5 7 4" xfId="3389"/>
    <cellStyle name="20% - Accent5 7 5" xfId="3390"/>
    <cellStyle name="20% - Accent5 8" xfId="322"/>
    <cellStyle name="20% - Accent5 8 2" xfId="3391"/>
    <cellStyle name="20% - Accent5 8 2 2" xfId="3392"/>
    <cellStyle name="20% - Accent5 8 2 2 2" xfId="3393"/>
    <cellStyle name="20% - Accent5 8 2 3" xfId="3394"/>
    <cellStyle name="20% - Accent5 8 3" xfId="3395"/>
    <cellStyle name="20% - Accent5 8 3 2" xfId="3396"/>
    <cellStyle name="20% - Accent5 8 4" xfId="3397"/>
    <cellStyle name="20% - Accent5 8 5" xfId="3398"/>
    <cellStyle name="20% - Accent5 9" xfId="323"/>
    <cellStyle name="20% - Accent5 9 2" xfId="3399"/>
    <cellStyle name="20% - Accent5 9 2 2" xfId="3400"/>
    <cellStyle name="20% - Accent5 9 3" xfId="3401"/>
    <cellStyle name="20% - Accent5 9 4" xfId="3402"/>
    <cellStyle name="20% - Accent6 10" xfId="324"/>
    <cellStyle name="20% - Accent6 10 2" xfId="3403"/>
    <cellStyle name="20% - Accent6 10 2 2" xfId="3404"/>
    <cellStyle name="20% - Accent6 10 3" xfId="3405"/>
    <cellStyle name="20% - Accent6 10 4" xfId="3406"/>
    <cellStyle name="20% - Accent6 11" xfId="325"/>
    <cellStyle name="20% - Accent6 11 2" xfId="3407"/>
    <cellStyle name="20% - Accent6 11 2 2" xfId="3408"/>
    <cellStyle name="20% - Accent6 11 3" xfId="3409"/>
    <cellStyle name="20% - Accent6 11 4" xfId="3410"/>
    <cellStyle name="20% - Accent6 12" xfId="326"/>
    <cellStyle name="20% - Accent6 12 2" xfId="3411"/>
    <cellStyle name="20% - Accent6 12 3" xfId="3412"/>
    <cellStyle name="20% - Accent6 13" xfId="327"/>
    <cellStyle name="20% - Accent6 13 2" xfId="3413"/>
    <cellStyle name="20% - Accent6 14" xfId="328"/>
    <cellStyle name="20% - Accent6 15" xfId="329"/>
    <cellStyle name="20% - Accent6 15 2" xfId="330"/>
    <cellStyle name="20% - Accent6 15 3" xfId="331"/>
    <cellStyle name="20% - Accent6 15 4" xfId="332"/>
    <cellStyle name="20% - Accent6 15 5" xfId="333"/>
    <cellStyle name="20% - Accent6 16" xfId="334"/>
    <cellStyle name="20% - Accent6 16 2" xfId="335"/>
    <cellStyle name="20% - Accent6 16 3" xfId="336"/>
    <cellStyle name="20% - Accent6 16 4" xfId="337"/>
    <cellStyle name="20% - Accent6 16 5" xfId="338"/>
    <cellStyle name="20% - Accent6 17" xfId="339"/>
    <cellStyle name="20% - Accent6 17 2" xfId="340"/>
    <cellStyle name="20% - Accent6 17 3" xfId="341"/>
    <cellStyle name="20% - Accent6 17 4" xfId="342"/>
    <cellStyle name="20% - Accent6 17 5" xfId="343"/>
    <cellStyle name="20% - Accent6 18" xfId="344"/>
    <cellStyle name="20% - Accent6 19" xfId="345"/>
    <cellStyle name="20% - Accent6 2" xfId="346"/>
    <cellStyle name="20% - Accent6 2 2" xfId="347"/>
    <cellStyle name="20% - Accent6 2 2 2" xfId="348"/>
    <cellStyle name="20% - Accent6 2 2 2 2" xfId="349"/>
    <cellStyle name="20% - Accent6 2 2 2 2 2" xfId="3414"/>
    <cellStyle name="20% - Accent6 2 2 2 2 2 2" xfId="3415"/>
    <cellStyle name="20% - Accent6 2 2 2 2 2 2 2" xfId="3416"/>
    <cellStyle name="20% - Accent6 2 2 2 2 2 3" xfId="3417"/>
    <cellStyle name="20% - Accent6 2 2 2 2 3" xfId="3418"/>
    <cellStyle name="20% - Accent6 2 2 2 2 3 2" xfId="3419"/>
    <cellStyle name="20% - Accent6 2 2 2 2 4" xfId="3420"/>
    <cellStyle name="20% - Accent6 2 2 2 2 5" xfId="3421"/>
    <cellStyle name="20% - Accent6 2 2 2 3" xfId="350"/>
    <cellStyle name="20% - Accent6 2 2 2 3 2" xfId="3422"/>
    <cellStyle name="20% - Accent6 2 2 2 3 2 2" xfId="3423"/>
    <cellStyle name="20% - Accent6 2 2 2 3 3" xfId="3424"/>
    <cellStyle name="20% - Accent6 2 2 2 4" xfId="351"/>
    <cellStyle name="20% - Accent6 2 2 2 4 2" xfId="3425"/>
    <cellStyle name="20% - Accent6 2 2 2 5" xfId="352"/>
    <cellStyle name="20% - Accent6 2 2 2 6" xfId="3426"/>
    <cellStyle name="20% - Accent6 2 2 3" xfId="353"/>
    <cellStyle name="20% - Accent6 2 2 3 2" xfId="3427"/>
    <cellStyle name="20% - Accent6 2 2 3 2 2" xfId="3428"/>
    <cellStyle name="20% - Accent6 2 2 3 2 2 2" xfId="3429"/>
    <cellStyle name="20% - Accent6 2 2 3 2 3" xfId="3430"/>
    <cellStyle name="20% - Accent6 2 2 3 3" xfId="3431"/>
    <cellStyle name="20% - Accent6 2 2 3 3 2" xfId="3432"/>
    <cellStyle name="20% - Accent6 2 2 3 4" xfId="3433"/>
    <cellStyle name="20% - Accent6 2 2 3 5" xfId="3434"/>
    <cellStyle name="20% - Accent6 2 2 4" xfId="354"/>
    <cellStyle name="20% - Accent6 2 2 4 2" xfId="3435"/>
    <cellStyle name="20% - Accent6 2 2 4 2 2" xfId="3436"/>
    <cellStyle name="20% - Accent6 2 2 4 3" xfId="3437"/>
    <cellStyle name="20% - Accent6 2 2 5" xfId="355"/>
    <cellStyle name="20% - Accent6 2 2 5 2" xfId="3438"/>
    <cellStyle name="20% - Accent6 2 2 6" xfId="3439"/>
    <cellStyle name="20% - Accent6 2 2 7" xfId="3440"/>
    <cellStyle name="20% - Accent6 2 3" xfId="356"/>
    <cellStyle name="20% - Accent6 2 3 2" xfId="3441"/>
    <cellStyle name="20% - Accent6 2 3 2 2" xfId="3442"/>
    <cellStyle name="20% - Accent6 2 3 2 2 2" xfId="3443"/>
    <cellStyle name="20% - Accent6 2 3 2 2 2 2" xfId="3444"/>
    <cellStyle name="20% - Accent6 2 3 2 2 3" xfId="3445"/>
    <cellStyle name="20% - Accent6 2 3 2 3" xfId="3446"/>
    <cellStyle name="20% - Accent6 2 3 2 3 2" xfId="3447"/>
    <cellStyle name="20% - Accent6 2 3 2 4" xfId="3448"/>
    <cellStyle name="20% - Accent6 2 3 3" xfId="3449"/>
    <cellStyle name="20% - Accent6 2 3 3 2" xfId="3450"/>
    <cellStyle name="20% - Accent6 2 3 3 2 2" xfId="3451"/>
    <cellStyle name="20% - Accent6 2 3 3 3" xfId="3452"/>
    <cellStyle name="20% - Accent6 2 3 4" xfId="3453"/>
    <cellStyle name="20% - Accent6 2 3 4 2" xfId="3454"/>
    <cellStyle name="20% - Accent6 2 3 5" xfId="3455"/>
    <cellStyle name="20% - Accent6 2 3 6" xfId="3456"/>
    <cellStyle name="20% - Accent6 2 4" xfId="357"/>
    <cellStyle name="20% - Accent6 2 4 2" xfId="3457"/>
    <cellStyle name="20% - Accent6 2 4 2 2" xfId="3458"/>
    <cellStyle name="20% - Accent6 2 4 2 2 2" xfId="3459"/>
    <cellStyle name="20% - Accent6 2 4 2 3" xfId="3460"/>
    <cellStyle name="20% - Accent6 2 4 3" xfId="3461"/>
    <cellStyle name="20% - Accent6 2 4 3 2" xfId="3462"/>
    <cellStyle name="20% - Accent6 2 4 4" xfId="3463"/>
    <cellStyle name="20% - Accent6 2 4 5" xfId="3464"/>
    <cellStyle name="20% - Accent6 2 5" xfId="358"/>
    <cellStyle name="20% - Accent6 2 5 2" xfId="3465"/>
    <cellStyle name="20% - Accent6 2 5 2 2" xfId="3466"/>
    <cellStyle name="20% - Accent6 2 5 3" xfId="3467"/>
    <cellStyle name="20% - Accent6 2 5 4" xfId="3468"/>
    <cellStyle name="20% - Accent6 2 6" xfId="359"/>
    <cellStyle name="20% - Accent6 2 6 2" xfId="3469"/>
    <cellStyle name="20% - Accent6 2 6 3" xfId="3470"/>
    <cellStyle name="20% - Accent6 2 7" xfId="360"/>
    <cellStyle name="20% - Accent6 2 8" xfId="361"/>
    <cellStyle name="20% - Accent6 2 9" xfId="362"/>
    <cellStyle name="20% - Accent6 20" xfId="363"/>
    <cellStyle name="20% - Accent6 21" xfId="364"/>
    <cellStyle name="20% - Accent6 22" xfId="365"/>
    <cellStyle name="20% - Accent6 23" xfId="366"/>
    <cellStyle name="20% - Accent6 24" xfId="367"/>
    <cellStyle name="20% - Accent6 25" xfId="368"/>
    <cellStyle name="20% - Accent6 26" xfId="369"/>
    <cellStyle name="20% - Accent6 27" xfId="370"/>
    <cellStyle name="20% - Accent6 28" xfId="371"/>
    <cellStyle name="20% - Accent6 29" xfId="372"/>
    <cellStyle name="20% - Accent6 3" xfId="373"/>
    <cellStyle name="20% - Accent6 3 2" xfId="3471"/>
    <cellStyle name="20% - Accent6 3 2 2" xfId="3472"/>
    <cellStyle name="20% - Accent6 3 2 2 2" xfId="3473"/>
    <cellStyle name="20% - Accent6 3 2 2 2 2" xfId="3474"/>
    <cellStyle name="20% - Accent6 3 2 2 2 2 2" xfId="3475"/>
    <cellStyle name="20% - Accent6 3 2 2 2 2 2 2" xfId="3476"/>
    <cellStyle name="20% - Accent6 3 2 2 2 2 3" xfId="3477"/>
    <cellStyle name="20% - Accent6 3 2 2 2 3" xfId="3478"/>
    <cellStyle name="20% - Accent6 3 2 2 2 3 2" xfId="3479"/>
    <cellStyle name="20% - Accent6 3 2 2 2 4" xfId="3480"/>
    <cellStyle name="20% - Accent6 3 2 2 3" xfId="3481"/>
    <cellStyle name="20% - Accent6 3 2 2 3 2" xfId="3482"/>
    <cellStyle name="20% - Accent6 3 2 2 3 2 2" xfId="3483"/>
    <cellStyle name="20% - Accent6 3 2 2 3 3" xfId="3484"/>
    <cellStyle name="20% - Accent6 3 2 2 4" xfId="3485"/>
    <cellStyle name="20% - Accent6 3 2 2 4 2" xfId="3486"/>
    <cellStyle name="20% - Accent6 3 2 2 5" xfId="3487"/>
    <cellStyle name="20% - Accent6 3 2 2 6" xfId="3488"/>
    <cellStyle name="20% - Accent6 3 2 3" xfId="3489"/>
    <cellStyle name="20% - Accent6 3 2 3 2" xfId="3490"/>
    <cellStyle name="20% - Accent6 3 2 3 2 2" xfId="3491"/>
    <cellStyle name="20% - Accent6 3 2 3 2 2 2" xfId="3492"/>
    <cellStyle name="20% - Accent6 3 2 3 2 3" xfId="3493"/>
    <cellStyle name="20% - Accent6 3 2 3 3" xfId="3494"/>
    <cellStyle name="20% - Accent6 3 2 3 3 2" xfId="3495"/>
    <cellStyle name="20% - Accent6 3 2 3 4" xfId="3496"/>
    <cellStyle name="20% - Accent6 3 2 4" xfId="3497"/>
    <cellStyle name="20% - Accent6 3 2 4 2" xfId="3498"/>
    <cellStyle name="20% - Accent6 3 2 4 2 2" xfId="3499"/>
    <cellStyle name="20% - Accent6 3 2 4 3" xfId="3500"/>
    <cellStyle name="20% - Accent6 3 2 5" xfId="3501"/>
    <cellStyle name="20% - Accent6 3 2 5 2" xfId="3502"/>
    <cellStyle name="20% - Accent6 3 2 6" xfId="3503"/>
    <cellStyle name="20% - Accent6 3 2 7" xfId="3504"/>
    <cellStyle name="20% - Accent6 3 3" xfId="3505"/>
    <cellStyle name="20% - Accent6 3 3 2" xfId="3506"/>
    <cellStyle name="20% - Accent6 3 3 2 2" xfId="3507"/>
    <cellStyle name="20% - Accent6 3 3 2 2 2" xfId="3508"/>
    <cellStyle name="20% - Accent6 3 3 2 2 2 2" xfId="3509"/>
    <cellStyle name="20% - Accent6 3 3 2 2 3" xfId="3510"/>
    <cellStyle name="20% - Accent6 3 3 2 3" xfId="3511"/>
    <cellStyle name="20% - Accent6 3 3 2 3 2" xfId="3512"/>
    <cellStyle name="20% - Accent6 3 3 2 4" xfId="3513"/>
    <cellStyle name="20% - Accent6 3 3 3" xfId="3514"/>
    <cellStyle name="20% - Accent6 3 3 3 2" xfId="3515"/>
    <cellStyle name="20% - Accent6 3 3 3 2 2" xfId="3516"/>
    <cellStyle name="20% - Accent6 3 3 3 3" xfId="3517"/>
    <cellStyle name="20% - Accent6 3 3 4" xfId="3518"/>
    <cellStyle name="20% - Accent6 3 3 4 2" xfId="3519"/>
    <cellStyle name="20% - Accent6 3 3 5" xfId="3520"/>
    <cellStyle name="20% - Accent6 3 3 6" xfId="3521"/>
    <cellStyle name="20% - Accent6 3 4" xfId="3522"/>
    <cellStyle name="20% - Accent6 3 4 2" xfId="3523"/>
    <cellStyle name="20% - Accent6 3 4 2 2" xfId="3524"/>
    <cellStyle name="20% - Accent6 3 4 2 2 2" xfId="3525"/>
    <cellStyle name="20% - Accent6 3 4 2 3" xfId="3526"/>
    <cellStyle name="20% - Accent6 3 4 3" xfId="3527"/>
    <cellStyle name="20% - Accent6 3 4 3 2" xfId="3528"/>
    <cellStyle name="20% - Accent6 3 4 4" xfId="3529"/>
    <cellStyle name="20% - Accent6 3 4 5" xfId="3530"/>
    <cellStyle name="20% - Accent6 3 5" xfId="3531"/>
    <cellStyle name="20% - Accent6 3 5 2" xfId="3532"/>
    <cellStyle name="20% - Accent6 3 5 2 2" xfId="3533"/>
    <cellStyle name="20% - Accent6 3 5 3" xfId="3534"/>
    <cellStyle name="20% - Accent6 3 6" xfId="3535"/>
    <cellStyle name="20% - Accent6 3 6 2" xfId="3536"/>
    <cellStyle name="20% - Accent6 3 7" xfId="3537"/>
    <cellStyle name="20% - Accent6 3 8" xfId="3538"/>
    <cellStyle name="20% - Accent6 3 9" xfId="3539"/>
    <cellStyle name="20% - Accent6 30" xfId="374"/>
    <cellStyle name="20% - Accent6 31" xfId="375"/>
    <cellStyle name="20% - Accent6 32" xfId="376"/>
    <cellStyle name="20% - Accent6 33" xfId="377"/>
    <cellStyle name="20% - Accent6 34" xfId="378"/>
    <cellStyle name="20% - Accent6 35" xfId="379"/>
    <cellStyle name="20% - Accent6 4" xfId="380"/>
    <cellStyle name="20% - Accent6 4 2" xfId="3540"/>
    <cellStyle name="20% - Accent6 4 2 2" xfId="3541"/>
    <cellStyle name="20% - Accent6 4 2 2 2" xfId="3542"/>
    <cellStyle name="20% - Accent6 4 2 2 2 2" xfId="3543"/>
    <cellStyle name="20% - Accent6 4 2 2 2 2 2" xfId="3544"/>
    <cellStyle name="20% - Accent6 4 2 2 2 3" xfId="3545"/>
    <cellStyle name="20% - Accent6 4 2 2 3" xfId="3546"/>
    <cellStyle name="20% - Accent6 4 2 2 3 2" xfId="3547"/>
    <cellStyle name="20% - Accent6 4 2 2 4" xfId="3548"/>
    <cellStyle name="20% - Accent6 4 2 3" xfId="3549"/>
    <cellStyle name="20% - Accent6 4 2 3 2" xfId="3550"/>
    <cellStyle name="20% - Accent6 4 2 3 2 2" xfId="3551"/>
    <cellStyle name="20% - Accent6 4 2 3 3" xfId="3552"/>
    <cellStyle name="20% - Accent6 4 2 4" xfId="3553"/>
    <cellStyle name="20% - Accent6 4 2 4 2" xfId="3554"/>
    <cellStyle name="20% - Accent6 4 2 5" xfId="3555"/>
    <cellStyle name="20% - Accent6 4 2 6" xfId="3556"/>
    <cellStyle name="20% - Accent6 4 3" xfId="3557"/>
    <cellStyle name="20% - Accent6 4 3 2" xfId="3558"/>
    <cellStyle name="20% - Accent6 4 3 2 2" xfId="3559"/>
    <cellStyle name="20% - Accent6 4 3 2 2 2" xfId="3560"/>
    <cellStyle name="20% - Accent6 4 3 2 3" xfId="3561"/>
    <cellStyle name="20% - Accent6 4 3 3" xfId="3562"/>
    <cellStyle name="20% - Accent6 4 3 3 2" xfId="3563"/>
    <cellStyle name="20% - Accent6 4 3 4" xfId="3564"/>
    <cellStyle name="20% - Accent6 4 3 5" xfId="3565"/>
    <cellStyle name="20% - Accent6 4 4" xfId="3566"/>
    <cellStyle name="20% - Accent6 4 4 2" xfId="3567"/>
    <cellStyle name="20% - Accent6 4 4 2 2" xfId="3568"/>
    <cellStyle name="20% - Accent6 4 4 3" xfId="3569"/>
    <cellStyle name="20% - Accent6 4 5" xfId="3570"/>
    <cellStyle name="20% - Accent6 4 5 2" xfId="3571"/>
    <cellStyle name="20% - Accent6 4 6" xfId="3572"/>
    <cellStyle name="20% - Accent6 4 7" xfId="3573"/>
    <cellStyle name="20% - Accent6 5" xfId="381"/>
    <cellStyle name="20% - Accent6 5 2" xfId="3574"/>
    <cellStyle name="20% - Accent6 5 2 2" xfId="3575"/>
    <cellStyle name="20% - Accent6 5 2 2 2" xfId="3576"/>
    <cellStyle name="20% - Accent6 5 2 2 2 2" xfId="3577"/>
    <cellStyle name="20% - Accent6 5 2 2 3" xfId="3578"/>
    <cellStyle name="20% - Accent6 5 2 3" xfId="3579"/>
    <cellStyle name="20% - Accent6 5 2 3 2" xfId="3580"/>
    <cellStyle name="20% - Accent6 5 2 4" xfId="3581"/>
    <cellStyle name="20% - Accent6 5 2 5" xfId="3582"/>
    <cellStyle name="20% - Accent6 5 3" xfId="3583"/>
    <cellStyle name="20% - Accent6 5 3 2" xfId="3584"/>
    <cellStyle name="20% - Accent6 5 3 2 2" xfId="3585"/>
    <cellStyle name="20% - Accent6 5 3 3" xfId="3586"/>
    <cellStyle name="20% - Accent6 5 4" xfId="3587"/>
    <cellStyle name="20% - Accent6 5 4 2" xfId="3588"/>
    <cellStyle name="20% - Accent6 5 5" xfId="3589"/>
    <cellStyle name="20% - Accent6 5 6" xfId="3590"/>
    <cellStyle name="20% - Accent6 6" xfId="382"/>
    <cellStyle name="20% - Accent6 6 2" xfId="3591"/>
    <cellStyle name="20% - Accent6 6 2 2" xfId="3592"/>
    <cellStyle name="20% - Accent6 6 2 2 2" xfId="3593"/>
    <cellStyle name="20% - Accent6 6 2 3" xfId="3594"/>
    <cellStyle name="20% - Accent6 6 2 4" xfId="3595"/>
    <cellStyle name="20% - Accent6 6 2 5" xfId="3596"/>
    <cellStyle name="20% - Accent6 6 3" xfId="3597"/>
    <cellStyle name="20% - Accent6 6 3 2" xfId="3598"/>
    <cellStyle name="20% - Accent6 6 4" xfId="3599"/>
    <cellStyle name="20% - Accent6 6 5" xfId="3600"/>
    <cellStyle name="20% - Accent6 7" xfId="383"/>
    <cellStyle name="20% - Accent6 7 2" xfId="3601"/>
    <cellStyle name="20% - Accent6 7 2 2" xfId="3602"/>
    <cellStyle name="20% - Accent6 7 2 2 2" xfId="3603"/>
    <cellStyle name="20% - Accent6 7 2 3" xfId="3604"/>
    <cellStyle name="20% - Accent6 7 3" xfId="3605"/>
    <cellStyle name="20% - Accent6 7 3 2" xfId="3606"/>
    <cellStyle name="20% - Accent6 7 4" xfId="3607"/>
    <cellStyle name="20% - Accent6 7 5" xfId="3608"/>
    <cellStyle name="20% - Accent6 8" xfId="384"/>
    <cellStyle name="20% - Accent6 8 2" xfId="3609"/>
    <cellStyle name="20% - Accent6 8 2 2" xfId="3610"/>
    <cellStyle name="20% - Accent6 8 2 2 2" xfId="3611"/>
    <cellStyle name="20% - Accent6 8 2 3" xfId="3612"/>
    <cellStyle name="20% - Accent6 8 3" xfId="3613"/>
    <cellStyle name="20% - Accent6 8 3 2" xfId="3614"/>
    <cellStyle name="20% - Accent6 8 4" xfId="3615"/>
    <cellStyle name="20% - Accent6 8 5" xfId="3616"/>
    <cellStyle name="20% - Accent6 9" xfId="385"/>
    <cellStyle name="20% - Accent6 9 2" xfId="3617"/>
    <cellStyle name="20% - Accent6 9 2 2" xfId="3618"/>
    <cellStyle name="20% - Accent6 9 3" xfId="3619"/>
    <cellStyle name="20% - Accent6 9 4" xfId="3620"/>
    <cellStyle name="40% - Accent1 10" xfId="386"/>
    <cellStyle name="40% - Accent1 10 2" xfId="3621"/>
    <cellStyle name="40% - Accent1 10 2 2" xfId="3622"/>
    <cellStyle name="40% - Accent1 10 3" xfId="3623"/>
    <cellStyle name="40% - Accent1 10 4" xfId="3624"/>
    <cellStyle name="40% - Accent1 11" xfId="387"/>
    <cellStyle name="40% - Accent1 11 2" xfId="3625"/>
    <cellStyle name="40% - Accent1 11 2 2" xfId="3626"/>
    <cellStyle name="40% - Accent1 11 3" xfId="3627"/>
    <cellStyle name="40% - Accent1 11 4" xfId="3628"/>
    <cellStyle name="40% - Accent1 12" xfId="388"/>
    <cellStyle name="40% - Accent1 12 2" xfId="3629"/>
    <cellStyle name="40% - Accent1 12 3" xfId="3630"/>
    <cellStyle name="40% - Accent1 13" xfId="389"/>
    <cellStyle name="40% - Accent1 13 2" xfId="3631"/>
    <cellStyle name="40% - Accent1 14" xfId="390"/>
    <cellStyle name="40% - Accent1 15" xfId="391"/>
    <cellStyle name="40% - Accent1 15 2" xfId="392"/>
    <cellStyle name="40% - Accent1 15 3" xfId="393"/>
    <cellStyle name="40% - Accent1 15 4" xfId="394"/>
    <cellStyle name="40% - Accent1 15 5" xfId="395"/>
    <cellStyle name="40% - Accent1 16" xfId="396"/>
    <cellStyle name="40% - Accent1 16 2" xfId="397"/>
    <cellStyle name="40% - Accent1 16 3" xfId="398"/>
    <cellStyle name="40% - Accent1 16 4" xfId="399"/>
    <cellStyle name="40% - Accent1 16 5" xfId="400"/>
    <cellStyle name="40% - Accent1 17" xfId="401"/>
    <cellStyle name="40% - Accent1 17 2" xfId="402"/>
    <cellStyle name="40% - Accent1 17 3" xfId="403"/>
    <cellStyle name="40% - Accent1 17 4" xfId="404"/>
    <cellStyle name="40% - Accent1 17 5" xfId="405"/>
    <cellStyle name="40% - Accent1 18" xfId="406"/>
    <cellStyle name="40% - Accent1 19" xfId="407"/>
    <cellStyle name="40% - Accent1 2" xfId="408"/>
    <cellStyle name="40% - Accent1 2 2" xfId="409"/>
    <cellStyle name="40% - Accent1 2 2 2" xfId="410"/>
    <cellStyle name="40% - Accent1 2 2 2 2" xfId="411"/>
    <cellStyle name="40% - Accent1 2 2 2 2 2" xfId="3632"/>
    <cellStyle name="40% - Accent1 2 2 2 2 2 2" xfId="3633"/>
    <cellStyle name="40% - Accent1 2 2 2 2 2 2 2" xfId="3634"/>
    <cellStyle name="40% - Accent1 2 2 2 2 2 3" xfId="3635"/>
    <cellStyle name="40% - Accent1 2 2 2 2 3" xfId="3636"/>
    <cellStyle name="40% - Accent1 2 2 2 2 3 2" xfId="3637"/>
    <cellStyle name="40% - Accent1 2 2 2 2 4" xfId="3638"/>
    <cellStyle name="40% - Accent1 2 2 2 2 5" xfId="3639"/>
    <cellStyle name="40% - Accent1 2 2 2 3" xfId="412"/>
    <cellStyle name="40% - Accent1 2 2 2 3 2" xfId="3640"/>
    <cellStyle name="40% - Accent1 2 2 2 3 2 2" xfId="3641"/>
    <cellStyle name="40% - Accent1 2 2 2 3 3" xfId="3642"/>
    <cellStyle name="40% - Accent1 2 2 2 4" xfId="413"/>
    <cellStyle name="40% - Accent1 2 2 2 4 2" xfId="3643"/>
    <cellStyle name="40% - Accent1 2 2 2 5" xfId="414"/>
    <cellStyle name="40% - Accent1 2 2 2 6" xfId="3644"/>
    <cellStyle name="40% - Accent1 2 2 3" xfId="415"/>
    <cellStyle name="40% - Accent1 2 2 3 2" xfId="3645"/>
    <cellStyle name="40% - Accent1 2 2 3 2 2" xfId="3646"/>
    <cellStyle name="40% - Accent1 2 2 3 2 2 2" xfId="3647"/>
    <cellStyle name="40% - Accent1 2 2 3 2 3" xfId="3648"/>
    <cellStyle name="40% - Accent1 2 2 3 3" xfId="3649"/>
    <cellStyle name="40% - Accent1 2 2 3 3 2" xfId="3650"/>
    <cellStyle name="40% - Accent1 2 2 3 4" xfId="3651"/>
    <cellStyle name="40% - Accent1 2 2 3 5" xfId="3652"/>
    <cellStyle name="40% - Accent1 2 2 4" xfId="416"/>
    <cellStyle name="40% - Accent1 2 2 4 2" xfId="3653"/>
    <cellStyle name="40% - Accent1 2 2 4 2 2" xfId="3654"/>
    <cellStyle name="40% - Accent1 2 2 4 3" xfId="3655"/>
    <cellStyle name="40% - Accent1 2 2 5" xfId="417"/>
    <cellStyle name="40% - Accent1 2 2 5 2" xfId="3656"/>
    <cellStyle name="40% - Accent1 2 2 6" xfId="3657"/>
    <cellStyle name="40% - Accent1 2 2 7" xfId="3658"/>
    <cellStyle name="40% - Accent1 2 3" xfId="418"/>
    <cellStyle name="40% - Accent1 2 3 2" xfId="3659"/>
    <cellStyle name="40% - Accent1 2 3 2 2" xfId="3660"/>
    <cellStyle name="40% - Accent1 2 3 2 2 2" xfId="3661"/>
    <cellStyle name="40% - Accent1 2 3 2 2 2 2" xfId="3662"/>
    <cellStyle name="40% - Accent1 2 3 2 2 3" xfId="3663"/>
    <cellStyle name="40% - Accent1 2 3 2 3" xfId="3664"/>
    <cellStyle name="40% - Accent1 2 3 2 3 2" xfId="3665"/>
    <cellStyle name="40% - Accent1 2 3 2 4" xfId="3666"/>
    <cellStyle name="40% - Accent1 2 3 3" xfId="3667"/>
    <cellStyle name="40% - Accent1 2 3 3 2" xfId="3668"/>
    <cellStyle name="40% - Accent1 2 3 3 2 2" xfId="3669"/>
    <cellStyle name="40% - Accent1 2 3 3 3" xfId="3670"/>
    <cellStyle name="40% - Accent1 2 3 4" xfId="3671"/>
    <cellStyle name="40% - Accent1 2 3 4 2" xfId="3672"/>
    <cellStyle name="40% - Accent1 2 3 5" xfId="3673"/>
    <cellStyle name="40% - Accent1 2 3 6" xfId="3674"/>
    <cellStyle name="40% - Accent1 2 4" xfId="419"/>
    <cellStyle name="40% - Accent1 2 4 2" xfId="3675"/>
    <cellStyle name="40% - Accent1 2 4 2 2" xfId="3676"/>
    <cellStyle name="40% - Accent1 2 4 2 2 2" xfId="3677"/>
    <cellStyle name="40% - Accent1 2 4 2 3" xfId="3678"/>
    <cellStyle name="40% - Accent1 2 4 3" xfId="3679"/>
    <cellStyle name="40% - Accent1 2 4 3 2" xfId="3680"/>
    <cellStyle name="40% - Accent1 2 4 4" xfId="3681"/>
    <cellStyle name="40% - Accent1 2 4 5" xfId="3682"/>
    <cellStyle name="40% - Accent1 2 5" xfId="420"/>
    <cellStyle name="40% - Accent1 2 5 2" xfId="3683"/>
    <cellStyle name="40% - Accent1 2 5 2 2" xfId="3684"/>
    <cellStyle name="40% - Accent1 2 5 3" xfId="3685"/>
    <cellStyle name="40% - Accent1 2 5 4" xfId="3686"/>
    <cellStyle name="40% - Accent1 2 6" xfId="421"/>
    <cellStyle name="40% - Accent1 2 6 2" xfId="3687"/>
    <cellStyle name="40% - Accent1 2 6 3" xfId="3688"/>
    <cellStyle name="40% - Accent1 2 7" xfId="422"/>
    <cellStyle name="40% - Accent1 2 8" xfId="423"/>
    <cellStyle name="40% - Accent1 2 9" xfId="424"/>
    <cellStyle name="40% - Accent1 20" xfId="425"/>
    <cellStyle name="40% - Accent1 21" xfId="426"/>
    <cellStyle name="40% - Accent1 22" xfId="427"/>
    <cellStyle name="40% - Accent1 23" xfId="428"/>
    <cellStyle name="40% - Accent1 24" xfId="429"/>
    <cellStyle name="40% - Accent1 25" xfId="430"/>
    <cellStyle name="40% - Accent1 26" xfId="431"/>
    <cellStyle name="40% - Accent1 27" xfId="432"/>
    <cellStyle name="40% - Accent1 28" xfId="433"/>
    <cellStyle name="40% - Accent1 29" xfId="434"/>
    <cellStyle name="40% - Accent1 3" xfId="435"/>
    <cellStyle name="40% - Accent1 3 2" xfId="3689"/>
    <cellStyle name="40% - Accent1 3 2 2" xfId="3690"/>
    <cellStyle name="40% - Accent1 3 2 2 2" xfId="3691"/>
    <cellStyle name="40% - Accent1 3 2 2 2 2" xfId="3692"/>
    <cellStyle name="40% - Accent1 3 2 2 2 2 2" xfId="3693"/>
    <cellStyle name="40% - Accent1 3 2 2 2 2 2 2" xfId="3694"/>
    <cellStyle name="40% - Accent1 3 2 2 2 2 3" xfId="3695"/>
    <cellStyle name="40% - Accent1 3 2 2 2 3" xfId="3696"/>
    <cellStyle name="40% - Accent1 3 2 2 2 3 2" xfId="3697"/>
    <cellStyle name="40% - Accent1 3 2 2 2 4" xfId="3698"/>
    <cellStyle name="40% - Accent1 3 2 2 3" xfId="3699"/>
    <cellStyle name="40% - Accent1 3 2 2 3 2" xfId="3700"/>
    <cellStyle name="40% - Accent1 3 2 2 3 2 2" xfId="3701"/>
    <cellStyle name="40% - Accent1 3 2 2 3 3" xfId="3702"/>
    <cellStyle name="40% - Accent1 3 2 2 4" xfId="3703"/>
    <cellStyle name="40% - Accent1 3 2 2 4 2" xfId="3704"/>
    <cellStyle name="40% - Accent1 3 2 2 5" xfId="3705"/>
    <cellStyle name="40% - Accent1 3 2 2 6" xfId="3706"/>
    <cellStyle name="40% - Accent1 3 2 3" xfId="3707"/>
    <cellStyle name="40% - Accent1 3 2 3 2" xfId="3708"/>
    <cellStyle name="40% - Accent1 3 2 3 2 2" xfId="3709"/>
    <cellStyle name="40% - Accent1 3 2 3 2 2 2" xfId="3710"/>
    <cellStyle name="40% - Accent1 3 2 3 2 3" xfId="3711"/>
    <cellStyle name="40% - Accent1 3 2 3 3" xfId="3712"/>
    <cellStyle name="40% - Accent1 3 2 3 3 2" xfId="3713"/>
    <cellStyle name="40% - Accent1 3 2 3 4" xfId="3714"/>
    <cellStyle name="40% - Accent1 3 2 4" xfId="3715"/>
    <cellStyle name="40% - Accent1 3 2 4 2" xfId="3716"/>
    <cellStyle name="40% - Accent1 3 2 4 2 2" xfId="3717"/>
    <cellStyle name="40% - Accent1 3 2 4 3" xfId="3718"/>
    <cellStyle name="40% - Accent1 3 2 5" xfId="3719"/>
    <cellStyle name="40% - Accent1 3 2 5 2" xfId="3720"/>
    <cellStyle name="40% - Accent1 3 2 6" xfId="3721"/>
    <cellStyle name="40% - Accent1 3 2 7" xfId="3722"/>
    <cellStyle name="40% - Accent1 3 3" xfId="3723"/>
    <cellStyle name="40% - Accent1 3 3 2" xfId="3724"/>
    <cellStyle name="40% - Accent1 3 3 2 2" xfId="3725"/>
    <cellStyle name="40% - Accent1 3 3 2 2 2" xfId="3726"/>
    <cellStyle name="40% - Accent1 3 3 2 2 2 2" xfId="3727"/>
    <cellStyle name="40% - Accent1 3 3 2 2 3" xfId="3728"/>
    <cellStyle name="40% - Accent1 3 3 2 3" xfId="3729"/>
    <cellStyle name="40% - Accent1 3 3 2 3 2" xfId="3730"/>
    <cellStyle name="40% - Accent1 3 3 2 4" xfId="3731"/>
    <cellStyle name="40% - Accent1 3 3 3" xfId="3732"/>
    <cellStyle name="40% - Accent1 3 3 3 2" xfId="3733"/>
    <cellStyle name="40% - Accent1 3 3 3 2 2" xfId="3734"/>
    <cellStyle name="40% - Accent1 3 3 3 3" xfId="3735"/>
    <cellStyle name="40% - Accent1 3 3 4" xfId="3736"/>
    <cellStyle name="40% - Accent1 3 3 4 2" xfId="3737"/>
    <cellStyle name="40% - Accent1 3 3 5" xfId="3738"/>
    <cellStyle name="40% - Accent1 3 3 6" xfId="3739"/>
    <cellStyle name="40% - Accent1 3 4" xfId="3740"/>
    <cellStyle name="40% - Accent1 3 4 2" xfId="3741"/>
    <cellStyle name="40% - Accent1 3 4 2 2" xfId="3742"/>
    <cellStyle name="40% - Accent1 3 4 2 2 2" xfId="3743"/>
    <cellStyle name="40% - Accent1 3 4 2 3" xfId="3744"/>
    <cellStyle name="40% - Accent1 3 4 3" xfId="3745"/>
    <cellStyle name="40% - Accent1 3 4 3 2" xfId="3746"/>
    <cellStyle name="40% - Accent1 3 4 4" xfId="3747"/>
    <cellStyle name="40% - Accent1 3 4 5" xfId="3748"/>
    <cellStyle name="40% - Accent1 3 5" xfId="3749"/>
    <cellStyle name="40% - Accent1 3 5 2" xfId="3750"/>
    <cellStyle name="40% - Accent1 3 5 2 2" xfId="3751"/>
    <cellStyle name="40% - Accent1 3 5 3" xfId="3752"/>
    <cellStyle name="40% - Accent1 3 6" xfId="3753"/>
    <cellStyle name="40% - Accent1 3 6 2" xfId="3754"/>
    <cellStyle name="40% - Accent1 3 7" xfId="3755"/>
    <cellStyle name="40% - Accent1 3 8" xfId="3756"/>
    <cellStyle name="40% - Accent1 3 9" xfId="3757"/>
    <cellStyle name="40% - Accent1 30" xfId="436"/>
    <cellStyle name="40% - Accent1 31" xfId="437"/>
    <cellStyle name="40% - Accent1 32" xfId="438"/>
    <cellStyle name="40% - Accent1 33" xfId="439"/>
    <cellStyle name="40% - Accent1 34" xfId="440"/>
    <cellStyle name="40% - Accent1 35" xfId="441"/>
    <cellStyle name="40% - Accent1 4" xfId="442"/>
    <cellStyle name="40% - Accent1 4 2" xfId="3758"/>
    <cellStyle name="40% - Accent1 4 2 2" xfId="3759"/>
    <cellStyle name="40% - Accent1 4 2 2 2" xfId="3760"/>
    <cellStyle name="40% - Accent1 4 2 2 2 2" xfId="3761"/>
    <cellStyle name="40% - Accent1 4 2 2 2 2 2" xfId="3762"/>
    <cellStyle name="40% - Accent1 4 2 2 2 3" xfId="3763"/>
    <cellStyle name="40% - Accent1 4 2 2 3" xfId="3764"/>
    <cellStyle name="40% - Accent1 4 2 2 3 2" xfId="3765"/>
    <cellStyle name="40% - Accent1 4 2 2 4" xfId="3766"/>
    <cellStyle name="40% - Accent1 4 2 3" xfId="3767"/>
    <cellStyle name="40% - Accent1 4 2 3 2" xfId="3768"/>
    <cellStyle name="40% - Accent1 4 2 3 2 2" xfId="3769"/>
    <cellStyle name="40% - Accent1 4 2 3 3" xfId="3770"/>
    <cellStyle name="40% - Accent1 4 2 4" xfId="3771"/>
    <cellStyle name="40% - Accent1 4 2 4 2" xfId="3772"/>
    <cellStyle name="40% - Accent1 4 2 5" xfId="3773"/>
    <cellStyle name="40% - Accent1 4 2 6" xfId="3774"/>
    <cellStyle name="40% - Accent1 4 3" xfId="3775"/>
    <cellStyle name="40% - Accent1 4 3 2" xfId="3776"/>
    <cellStyle name="40% - Accent1 4 3 2 2" xfId="3777"/>
    <cellStyle name="40% - Accent1 4 3 2 2 2" xfId="3778"/>
    <cellStyle name="40% - Accent1 4 3 2 3" xfId="3779"/>
    <cellStyle name="40% - Accent1 4 3 3" xfId="3780"/>
    <cellStyle name="40% - Accent1 4 3 3 2" xfId="3781"/>
    <cellStyle name="40% - Accent1 4 3 4" xfId="3782"/>
    <cellStyle name="40% - Accent1 4 3 5" xfId="3783"/>
    <cellStyle name="40% - Accent1 4 4" xfId="3784"/>
    <cellStyle name="40% - Accent1 4 4 2" xfId="3785"/>
    <cellStyle name="40% - Accent1 4 4 2 2" xfId="3786"/>
    <cellStyle name="40% - Accent1 4 4 3" xfId="3787"/>
    <cellStyle name="40% - Accent1 4 5" xfId="3788"/>
    <cellStyle name="40% - Accent1 4 5 2" xfId="3789"/>
    <cellStyle name="40% - Accent1 4 6" xfId="3790"/>
    <cellStyle name="40% - Accent1 4 7" xfId="3791"/>
    <cellStyle name="40% - Accent1 5" xfId="443"/>
    <cellStyle name="40% - Accent1 5 2" xfId="3792"/>
    <cellStyle name="40% - Accent1 5 2 2" xfId="3793"/>
    <cellStyle name="40% - Accent1 5 2 2 2" xfId="3794"/>
    <cellStyle name="40% - Accent1 5 2 2 2 2" xfId="3795"/>
    <cellStyle name="40% - Accent1 5 2 2 3" xfId="3796"/>
    <cellStyle name="40% - Accent1 5 2 3" xfId="3797"/>
    <cellStyle name="40% - Accent1 5 2 3 2" xfId="3798"/>
    <cellStyle name="40% - Accent1 5 2 4" xfId="3799"/>
    <cellStyle name="40% - Accent1 5 2 5" xfId="3800"/>
    <cellStyle name="40% - Accent1 5 3" xfId="3801"/>
    <cellStyle name="40% - Accent1 5 3 2" xfId="3802"/>
    <cellStyle name="40% - Accent1 5 3 2 2" xfId="3803"/>
    <cellStyle name="40% - Accent1 5 3 3" xfId="3804"/>
    <cellStyle name="40% - Accent1 5 4" xfId="3805"/>
    <cellStyle name="40% - Accent1 5 4 2" xfId="3806"/>
    <cellStyle name="40% - Accent1 5 5" xfId="3807"/>
    <cellStyle name="40% - Accent1 5 6" xfId="3808"/>
    <cellStyle name="40% - Accent1 6" xfId="444"/>
    <cellStyle name="40% - Accent1 6 2" xfId="3809"/>
    <cellStyle name="40% - Accent1 6 2 2" xfId="3810"/>
    <cellStyle name="40% - Accent1 6 2 2 2" xfId="3811"/>
    <cellStyle name="40% - Accent1 6 2 3" xfId="3812"/>
    <cellStyle name="40% - Accent1 6 2 4" xfId="3813"/>
    <cellStyle name="40% - Accent1 6 2 5" xfId="3814"/>
    <cellStyle name="40% - Accent1 6 3" xfId="3815"/>
    <cellStyle name="40% - Accent1 6 3 2" xfId="3816"/>
    <cellStyle name="40% - Accent1 6 4" xfId="3817"/>
    <cellStyle name="40% - Accent1 6 5" xfId="3818"/>
    <cellStyle name="40% - Accent1 7" xfId="445"/>
    <cellStyle name="40% - Accent1 7 2" xfId="3819"/>
    <cellStyle name="40% - Accent1 7 2 2" xfId="3820"/>
    <cellStyle name="40% - Accent1 7 2 2 2" xfId="3821"/>
    <cellStyle name="40% - Accent1 7 2 3" xfId="3822"/>
    <cellStyle name="40% - Accent1 7 3" xfId="3823"/>
    <cellStyle name="40% - Accent1 7 3 2" xfId="3824"/>
    <cellStyle name="40% - Accent1 7 4" xfId="3825"/>
    <cellStyle name="40% - Accent1 7 5" xfId="3826"/>
    <cellStyle name="40% - Accent1 8" xfId="446"/>
    <cellStyle name="40% - Accent1 8 2" xfId="3827"/>
    <cellStyle name="40% - Accent1 8 2 2" xfId="3828"/>
    <cellStyle name="40% - Accent1 8 2 2 2" xfId="3829"/>
    <cellStyle name="40% - Accent1 8 2 3" xfId="3830"/>
    <cellStyle name="40% - Accent1 8 3" xfId="3831"/>
    <cellStyle name="40% - Accent1 8 3 2" xfId="3832"/>
    <cellStyle name="40% - Accent1 8 4" xfId="3833"/>
    <cellStyle name="40% - Accent1 8 5" xfId="3834"/>
    <cellStyle name="40% - Accent1 9" xfId="447"/>
    <cellStyle name="40% - Accent1 9 2" xfId="3835"/>
    <cellStyle name="40% - Accent1 9 2 2" xfId="3836"/>
    <cellStyle name="40% - Accent1 9 3" xfId="3837"/>
    <cellStyle name="40% - Accent1 9 4" xfId="3838"/>
    <cellStyle name="40% - Accent2 10" xfId="448"/>
    <cellStyle name="40% - Accent2 10 2" xfId="3839"/>
    <cellStyle name="40% - Accent2 10 2 2" xfId="3840"/>
    <cellStyle name="40% - Accent2 10 3" xfId="3841"/>
    <cellStyle name="40% - Accent2 10 4" xfId="3842"/>
    <cellStyle name="40% - Accent2 11" xfId="449"/>
    <cellStyle name="40% - Accent2 11 2" xfId="3843"/>
    <cellStyle name="40% - Accent2 11 2 2" xfId="3844"/>
    <cellStyle name="40% - Accent2 11 3" xfId="3845"/>
    <cellStyle name="40% - Accent2 11 4" xfId="3846"/>
    <cellStyle name="40% - Accent2 12" xfId="450"/>
    <cellStyle name="40% - Accent2 12 2" xfId="3847"/>
    <cellStyle name="40% - Accent2 12 3" xfId="3848"/>
    <cellStyle name="40% - Accent2 13" xfId="451"/>
    <cellStyle name="40% - Accent2 13 2" xfId="3849"/>
    <cellStyle name="40% - Accent2 14" xfId="452"/>
    <cellStyle name="40% - Accent2 15" xfId="453"/>
    <cellStyle name="40% - Accent2 15 2" xfId="454"/>
    <cellStyle name="40% - Accent2 15 3" xfId="455"/>
    <cellStyle name="40% - Accent2 15 4" xfId="456"/>
    <cellStyle name="40% - Accent2 15 5" xfId="457"/>
    <cellStyle name="40% - Accent2 16" xfId="458"/>
    <cellStyle name="40% - Accent2 16 2" xfId="459"/>
    <cellStyle name="40% - Accent2 16 3" xfId="460"/>
    <cellStyle name="40% - Accent2 16 4" xfId="461"/>
    <cellStyle name="40% - Accent2 16 5" xfId="462"/>
    <cellStyle name="40% - Accent2 17" xfId="463"/>
    <cellStyle name="40% - Accent2 17 2" xfId="464"/>
    <cellStyle name="40% - Accent2 17 3" xfId="465"/>
    <cellStyle name="40% - Accent2 17 4" xfId="466"/>
    <cellStyle name="40% - Accent2 17 5" xfId="467"/>
    <cellStyle name="40% - Accent2 18" xfId="468"/>
    <cellStyle name="40% - Accent2 19" xfId="469"/>
    <cellStyle name="40% - Accent2 2" xfId="470"/>
    <cellStyle name="40% - Accent2 2 2" xfId="471"/>
    <cellStyle name="40% - Accent2 2 2 2" xfId="472"/>
    <cellStyle name="40% - Accent2 2 2 2 2" xfId="473"/>
    <cellStyle name="40% - Accent2 2 2 2 2 2" xfId="3850"/>
    <cellStyle name="40% - Accent2 2 2 2 2 2 2" xfId="3851"/>
    <cellStyle name="40% - Accent2 2 2 2 2 2 2 2" xfId="3852"/>
    <cellStyle name="40% - Accent2 2 2 2 2 2 3" xfId="3853"/>
    <cellStyle name="40% - Accent2 2 2 2 2 3" xfId="3854"/>
    <cellStyle name="40% - Accent2 2 2 2 2 3 2" xfId="3855"/>
    <cellStyle name="40% - Accent2 2 2 2 2 4" xfId="3856"/>
    <cellStyle name="40% - Accent2 2 2 2 2 5" xfId="3857"/>
    <cellStyle name="40% - Accent2 2 2 2 3" xfId="474"/>
    <cellStyle name="40% - Accent2 2 2 2 3 2" xfId="3858"/>
    <cellStyle name="40% - Accent2 2 2 2 3 2 2" xfId="3859"/>
    <cellStyle name="40% - Accent2 2 2 2 3 3" xfId="3860"/>
    <cellStyle name="40% - Accent2 2 2 2 4" xfId="475"/>
    <cellStyle name="40% - Accent2 2 2 2 4 2" xfId="3861"/>
    <cellStyle name="40% - Accent2 2 2 2 5" xfId="476"/>
    <cellStyle name="40% - Accent2 2 2 2 6" xfId="3862"/>
    <cellStyle name="40% - Accent2 2 2 3" xfId="477"/>
    <cellStyle name="40% - Accent2 2 2 3 2" xfId="3863"/>
    <cellStyle name="40% - Accent2 2 2 3 2 2" xfId="3864"/>
    <cellStyle name="40% - Accent2 2 2 3 2 2 2" xfId="3865"/>
    <cellStyle name="40% - Accent2 2 2 3 2 3" xfId="3866"/>
    <cellStyle name="40% - Accent2 2 2 3 3" xfId="3867"/>
    <cellStyle name="40% - Accent2 2 2 3 3 2" xfId="3868"/>
    <cellStyle name="40% - Accent2 2 2 3 4" xfId="3869"/>
    <cellStyle name="40% - Accent2 2 2 3 5" xfId="3870"/>
    <cellStyle name="40% - Accent2 2 2 4" xfId="478"/>
    <cellStyle name="40% - Accent2 2 2 4 2" xfId="3871"/>
    <cellStyle name="40% - Accent2 2 2 4 2 2" xfId="3872"/>
    <cellStyle name="40% - Accent2 2 2 4 3" xfId="3873"/>
    <cellStyle name="40% - Accent2 2 2 5" xfId="479"/>
    <cellStyle name="40% - Accent2 2 2 5 2" xfId="3874"/>
    <cellStyle name="40% - Accent2 2 2 6" xfId="3875"/>
    <cellStyle name="40% - Accent2 2 2 7" xfId="3876"/>
    <cellStyle name="40% - Accent2 2 3" xfId="480"/>
    <cellStyle name="40% - Accent2 2 3 2" xfId="3877"/>
    <cellStyle name="40% - Accent2 2 3 2 2" xfId="3878"/>
    <cellStyle name="40% - Accent2 2 3 2 2 2" xfId="3879"/>
    <cellStyle name="40% - Accent2 2 3 2 2 2 2" xfId="3880"/>
    <cellStyle name="40% - Accent2 2 3 2 2 3" xfId="3881"/>
    <cellStyle name="40% - Accent2 2 3 2 3" xfId="3882"/>
    <cellStyle name="40% - Accent2 2 3 2 3 2" xfId="3883"/>
    <cellStyle name="40% - Accent2 2 3 2 4" xfId="3884"/>
    <cellStyle name="40% - Accent2 2 3 3" xfId="3885"/>
    <cellStyle name="40% - Accent2 2 3 3 2" xfId="3886"/>
    <cellStyle name="40% - Accent2 2 3 3 2 2" xfId="3887"/>
    <cellStyle name="40% - Accent2 2 3 3 3" xfId="3888"/>
    <cellStyle name="40% - Accent2 2 3 4" xfId="3889"/>
    <cellStyle name="40% - Accent2 2 3 4 2" xfId="3890"/>
    <cellStyle name="40% - Accent2 2 3 5" xfId="3891"/>
    <cellStyle name="40% - Accent2 2 3 6" xfId="3892"/>
    <cellStyle name="40% - Accent2 2 4" xfId="481"/>
    <cellStyle name="40% - Accent2 2 4 2" xfId="3893"/>
    <cellStyle name="40% - Accent2 2 4 2 2" xfId="3894"/>
    <cellStyle name="40% - Accent2 2 4 2 2 2" xfId="3895"/>
    <cellStyle name="40% - Accent2 2 4 2 3" xfId="3896"/>
    <cellStyle name="40% - Accent2 2 4 3" xfId="3897"/>
    <cellStyle name="40% - Accent2 2 4 3 2" xfId="3898"/>
    <cellStyle name="40% - Accent2 2 4 4" xfId="3899"/>
    <cellStyle name="40% - Accent2 2 4 5" xfId="3900"/>
    <cellStyle name="40% - Accent2 2 5" xfId="482"/>
    <cellStyle name="40% - Accent2 2 5 2" xfId="3901"/>
    <cellStyle name="40% - Accent2 2 5 2 2" xfId="3902"/>
    <cellStyle name="40% - Accent2 2 5 3" xfId="3903"/>
    <cellStyle name="40% - Accent2 2 5 4" xfId="3904"/>
    <cellStyle name="40% - Accent2 2 6" xfId="483"/>
    <cellStyle name="40% - Accent2 2 6 2" xfId="3905"/>
    <cellStyle name="40% - Accent2 2 6 3" xfId="3906"/>
    <cellStyle name="40% - Accent2 2 7" xfId="484"/>
    <cellStyle name="40% - Accent2 2 8" xfId="485"/>
    <cellStyle name="40% - Accent2 2 9" xfId="486"/>
    <cellStyle name="40% - Accent2 20" xfId="487"/>
    <cellStyle name="40% - Accent2 21" xfId="488"/>
    <cellStyle name="40% - Accent2 22" xfId="489"/>
    <cellStyle name="40% - Accent2 23" xfId="490"/>
    <cellStyle name="40% - Accent2 24" xfId="491"/>
    <cellStyle name="40% - Accent2 25" xfId="492"/>
    <cellStyle name="40% - Accent2 26" xfId="493"/>
    <cellStyle name="40% - Accent2 27" xfId="494"/>
    <cellStyle name="40% - Accent2 28" xfId="495"/>
    <cellStyle name="40% - Accent2 29" xfId="496"/>
    <cellStyle name="40% - Accent2 3" xfId="497"/>
    <cellStyle name="40% - Accent2 3 2" xfId="3907"/>
    <cellStyle name="40% - Accent2 3 2 2" xfId="3908"/>
    <cellStyle name="40% - Accent2 3 2 2 2" xfId="3909"/>
    <cellStyle name="40% - Accent2 3 2 2 2 2" xfId="3910"/>
    <cellStyle name="40% - Accent2 3 2 2 2 2 2" xfId="3911"/>
    <cellStyle name="40% - Accent2 3 2 2 2 2 2 2" xfId="3912"/>
    <cellStyle name="40% - Accent2 3 2 2 2 2 3" xfId="3913"/>
    <cellStyle name="40% - Accent2 3 2 2 2 3" xfId="3914"/>
    <cellStyle name="40% - Accent2 3 2 2 2 3 2" xfId="3915"/>
    <cellStyle name="40% - Accent2 3 2 2 2 4" xfId="3916"/>
    <cellStyle name="40% - Accent2 3 2 2 3" xfId="3917"/>
    <cellStyle name="40% - Accent2 3 2 2 3 2" xfId="3918"/>
    <cellStyle name="40% - Accent2 3 2 2 3 2 2" xfId="3919"/>
    <cellStyle name="40% - Accent2 3 2 2 3 3" xfId="3920"/>
    <cellStyle name="40% - Accent2 3 2 2 4" xfId="3921"/>
    <cellStyle name="40% - Accent2 3 2 2 4 2" xfId="3922"/>
    <cellStyle name="40% - Accent2 3 2 2 5" xfId="3923"/>
    <cellStyle name="40% - Accent2 3 2 2 6" xfId="3924"/>
    <cellStyle name="40% - Accent2 3 2 3" xfId="3925"/>
    <cellStyle name="40% - Accent2 3 2 3 2" xfId="3926"/>
    <cellStyle name="40% - Accent2 3 2 3 2 2" xfId="3927"/>
    <cellStyle name="40% - Accent2 3 2 3 2 2 2" xfId="3928"/>
    <cellStyle name="40% - Accent2 3 2 3 2 3" xfId="3929"/>
    <cellStyle name="40% - Accent2 3 2 3 3" xfId="3930"/>
    <cellStyle name="40% - Accent2 3 2 3 3 2" xfId="3931"/>
    <cellStyle name="40% - Accent2 3 2 3 4" xfId="3932"/>
    <cellStyle name="40% - Accent2 3 2 4" xfId="3933"/>
    <cellStyle name="40% - Accent2 3 2 4 2" xfId="3934"/>
    <cellStyle name="40% - Accent2 3 2 4 2 2" xfId="3935"/>
    <cellStyle name="40% - Accent2 3 2 4 3" xfId="3936"/>
    <cellStyle name="40% - Accent2 3 2 5" xfId="3937"/>
    <cellStyle name="40% - Accent2 3 2 5 2" xfId="3938"/>
    <cellStyle name="40% - Accent2 3 2 6" xfId="3939"/>
    <cellStyle name="40% - Accent2 3 2 7" xfId="3940"/>
    <cellStyle name="40% - Accent2 3 3" xfId="3941"/>
    <cellStyle name="40% - Accent2 3 3 2" xfId="3942"/>
    <cellStyle name="40% - Accent2 3 3 2 2" xfId="3943"/>
    <cellStyle name="40% - Accent2 3 3 2 2 2" xfId="3944"/>
    <cellStyle name="40% - Accent2 3 3 2 2 2 2" xfId="3945"/>
    <cellStyle name="40% - Accent2 3 3 2 2 3" xfId="3946"/>
    <cellStyle name="40% - Accent2 3 3 2 3" xfId="3947"/>
    <cellStyle name="40% - Accent2 3 3 2 3 2" xfId="3948"/>
    <cellStyle name="40% - Accent2 3 3 2 4" xfId="3949"/>
    <cellStyle name="40% - Accent2 3 3 3" xfId="3950"/>
    <cellStyle name="40% - Accent2 3 3 3 2" xfId="3951"/>
    <cellStyle name="40% - Accent2 3 3 3 2 2" xfId="3952"/>
    <cellStyle name="40% - Accent2 3 3 3 3" xfId="3953"/>
    <cellStyle name="40% - Accent2 3 3 4" xfId="3954"/>
    <cellStyle name="40% - Accent2 3 3 4 2" xfId="3955"/>
    <cellStyle name="40% - Accent2 3 3 5" xfId="3956"/>
    <cellStyle name="40% - Accent2 3 3 6" xfId="3957"/>
    <cellStyle name="40% - Accent2 3 4" xfId="3958"/>
    <cellStyle name="40% - Accent2 3 4 2" xfId="3959"/>
    <cellStyle name="40% - Accent2 3 4 2 2" xfId="3960"/>
    <cellStyle name="40% - Accent2 3 4 2 2 2" xfId="3961"/>
    <cellStyle name="40% - Accent2 3 4 2 3" xfId="3962"/>
    <cellStyle name="40% - Accent2 3 4 3" xfId="3963"/>
    <cellStyle name="40% - Accent2 3 4 3 2" xfId="3964"/>
    <cellStyle name="40% - Accent2 3 4 4" xfId="3965"/>
    <cellStyle name="40% - Accent2 3 4 5" xfId="3966"/>
    <cellStyle name="40% - Accent2 3 5" xfId="3967"/>
    <cellStyle name="40% - Accent2 3 5 2" xfId="3968"/>
    <cellStyle name="40% - Accent2 3 5 2 2" xfId="3969"/>
    <cellStyle name="40% - Accent2 3 5 3" xfId="3970"/>
    <cellStyle name="40% - Accent2 3 6" xfId="3971"/>
    <cellStyle name="40% - Accent2 3 6 2" xfId="3972"/>
    <cellStyle name="40% - Accent2 3 7" xfId="3973"/>
    <cellStyle name="40% - Accent2 3 8" xfId="3974"/>
    <cellStyle name="40% - Accent2 3 9" xfId="3975"/>
    <cellStyle name="40% - Accent2 30" xfId="498"/>
    <cellStyle name="40% - Accent2 31" xfId="499"/>
    <cellStyle name="40% - Accent2 32" xfId="500"/>
    <cellStyle name="40% - Accent2 33" xfId="501"/>
    <cellStyle name="40% - Accent2 34" xfId="502"/>
    <cellStyle name="40% - Accent2 35" xfId="503"/>
    <cellStyle name="40% - Accent2 4" xfId="504"/>
    <cellStyle name="40% - Accent2 4 2" xfId="3976"/>
    <cellStyle name="40% - Accent2 4 2 2" xfId="3977"/>
    <cellStyle name="40% - Accent2 4 2 2 2" xfId="3978"/>
    <cellStyle name="40% - Accent2 4 2 2 2 2" xfId="3979"/>
    <cellStyle name="40% - Accent2 4 2 2 2 2 2" xfId="3980"/>
    <cellStyle name="40% - Accent2 4 2 2 2 3" xfId="3981"/>
    <cellStyle name="40% - Accent2 4 2 2 3" xfId="3982"/>
    <cellStyle name="40% - Accent2 4 2 2 3 2" xfId="3983"/>
    <cellStyle name="40% - Accent2 4 2 2 4" xfId="3984"/>
    <cellStyle name="40% - Accent2 4 2 3" xfId="3985"/>
    <cellStyle name="40% - Accent2 4 2 3 2" xfId="3986"/>
    <cellStyle name="40% - Accent2 4 2 3 2 2" xfId="3987"/>
    <cellStyle name="40% - Accent2 4 2 3 3" xfId="3988"/>
    <cellStyle name="40% - Accent2 4 2 4" xfId="3989"/>
    <cellStyle name="40% - Accent2 4 2 4 2" xfId="3990"/>
    <cellStyle name="40% - Accent2 4 2 5" xfId="3991"/>
    <cellStyle name="40% - Accent2 4 2 6" xfId="3992"/>
    <cellStyle name="40% - Accent2 4 3" xfId="3993"/>
    <cellStyle name="40% - Accent2 4 3 2" xfId="3994"/>
    <cellStyle name="40% - Accent2 4 3 2 2" xfId="3995"/>
    <cellStyle name="40% - Accent2 4 3 2 2 2" xfId="3996"/>
    <cellStyle name="40% - Accent2 4 3 2 3" xfId="3997"/>
    <cellStyle name="40% - Accent2 4 3 3" xfId="3998"/>
    <cellStyle name="40% - Accent2 4 3 3 2" xfId="3999"/>
    <cellStyle name="40% - Accent2 4 3 4" xfId="4000"/>
    <cellStyle name="40% - Accent2 4 3 5" xfId="4001"/>
    <cellStyle name="40% - Accent2 4 4" xfId="4002"/>
    <cellStyle name="40% - Accent2 4 4 2" xfId="4003"/>
    <cellStyle name="40% - Accent2 4 4 2 2" xfId="4004"/>
    <cellStyle name="40% - Accent2 4 4 3" xfId="4005"/>
    <cellStyle name="40% - Accent2 4 5" xfId="4006"/>
    <cellStyle name="40% - Accent2 4 5 2" xfId="4007"/>
    <cellStyle name="40% - Accent2 4 6" xfId="4008"/>
    <cellStyle name="40% - Accent2 4 7" xfId="4009"/>
    <cellStyle name="40% - Accent2 5" xfId="505"/>
    <cellStyle name="40% - Accent2 5 2" xfId="4010"/>
    <cellStyle name="40% - Accent2 5 2 2" xfId="4011"/>
    <cellStyle name="40% - Accent2 5 2 2 2" xfId="4012"/>
    <cellStyle name="40% - Accent2 5 2 2 2 2" xfId="4013"/>
    <cellStyle name="40% - Accent2 5 2 2 3" xfId="4014"/>
    <cellStyle name="40% - Accent2 5 2 3" xfId="4015"/>
    <cellStyle name="40% - Accent2 5 2 3 2" xfId="4016"/>
    <cellStyle name="40% - Accent2 5 2 4" xfId="4017"/>
    <cellStyle name="40% - Accent2 5 2 5" xfId="4018"/>
    <cellStyle name="40% - Accent2 5 3" xfId="4019"/>
    <cellStyle name="40% - Accent2 5 3 2" xfId="4020"/>
    <cellStyle name="40% - Accent2 5 3 2 2" xfId="4021"/>
    <cellStyle name="40% - Accent2 5 3 3" xfId="4022"/>
    <cellStyle name="40% - Accent2 5 4" xfId="4023"/>
    <cellStyle name="40% - Accent2 5 4 2" xfId="4024"/>
    <cellStyle name="40% - Accent2 5 5" xfId="4025"/>
    <cellStyle name="40% - Accent2 5 6" xfId="4026"/>
    <cellStyle name="40% - Accent2 6" xfId="506"/>
    <cellStyle name="40% - Accent2 6 2" xfId="4027"/>
    <cellStyle name="40% - Accent2 6 2 2" xfId="4028"/>
    <cellStyle name="40% - Accent2 6 2 2 2" xfId="4029"/>
    <cellStyle name="40% - Accent2 6 2 3" xfId="4030"/>
    <cellStyle name="40% - Accent2 6 2 4" xfId="4031"/>
    <cellStyle name="40% - Accent2 6 2 5" xfId="4032"/>
    <cellStyle name="40% - Accent2 6 3" xfId="4033"/>
    <cellStyle name="40% - Accent2 6 3 2" xfId="4034"/>
    <cellStyle name="40% - Accent2 6 4" xfId="4035"/>
    <cellStyle name="40% - Accent2 6 5" xfId="4036"/>
    <cellStyle name="40% - Accent2 7" xfId="507"/>
    <cellStyle name="40% - Accent2 7 2" xfId="4037"/>
    <cellStyle name="40% - Accent2 7 2 2" xfId="4038"/>
    <cellStyle name="40% - Accent2 7 2 2 2" xfId="4039"/>
    <cellStyle name="40% - Accent2 7 2 3" xfId="4040"/>
    <cellStyle name="40% - Accent2 7 3" xfId="4041"/>
    <cellStyle name="40% - Accent2 7 3 2" xfId="4042"/>
    <cellStyle name="40% - Accent2 7 4" xfId="4043"/>
    <cellStyle name="40% - Accent2 7 5" xfId="4044"/>
    <cellStyle name="40% - Accent2 8" xfId="508"/>
    <cellStyle name="40% - Accent2 8 2" xfId="4045"/>
    <cellStyle name="40% - Accent2 8 2 2" xfId="4046"/>
    <cellStyle name="40% - Accent2 8 2 2 2" xfId="4047"/>
    <cellStyle name="40% - Accent2 8 2 3" xfId="4048"/>
    <cellStyle name="40% - Accent2 8 3" xfId="4049"/>
    <cellStyle name="40% - Accent2 8 3 2" xfId="4050"/>
    <cellStyle name="40% - Accent2 8 4" xfId="4051"/>
    <cellStyle name="40% - Accent2 8 5" xfId="4052"/>
    <cellStyle name="40% - Accent2 9" xfId="509"/>
    <cellStyle name="40% - Accent2 9 2" xfId="4053"/>
    <cellStyle name="40% - Accent2 9 2 2" xfId="4054"/>
    <cellStyle name="40% - Accent2 9 3" xfId="4055"/>
    <cellStyle name="40% - Accent2 9 4" xfId="4056"/>
    <cellStyle name="40% - Accent3 10" xfId="510"/>
    <cellStyle name="40% - Accent3 10 2" xfId="4057"/>
    <cellStyle name="40% - Accent3 10 2 2" xfId="4058"/>
    <cellStyle name="40% - Accent3 10 3" xfId="4059"/>
    <cellStyle name="40% - Accent3 10 4" xfId="4060"/>
    <cellStyle name="40% - Accent3 11" xfId="511"/>
    <cellStyle name="40% - Accent3 11 2" xfId="4061"/>
    <cellStyle name="40% - Accent3 11 2 2" xfId="4062"/>
    <cellStyle name="40% - Accent3 11 3" xfId="4063"/>
    <cellStyle name="40% - Accent3 11 4" xfId="4064"/>
    <cellStyle name="40% - Accent3 12" xfId="512"/>
    <cellStyle name="40% - Accent3 12 2" xfId="4065"/>
    <cellStyle name="40% - Accent3 12 3" xfId="4066"/>
    <cellStyle name="40% - Accent3 13" xfId="513"/>
    <cellStyle name="40% - Accent3 13 2" xfId="4067"/>
    <cellStyle name="40% - Accent3 14" xfId="514"/>
    <cellStyle name="40% - Accent3 15" xfId="515"/>
    <cellStyle name="40% - Accent3 15 2" xfId="516"/>
    <cellStyle name="40% - Accent3 15 3" xfId="517"/>
    <cellStyle name="40% - Accent3 15 4" xfId="518"/>
    <cellStyle name="40% - Accent3 15 5" xfId="519"/>
    <cellStyle name="40% - Accent3 16" xfId="520"/>
    <cellStyle name="40% - Accent3 16 2" xfId="521"/>
    <cellStyle name="40% - Accent3 16 3" xfId="522"/>
    <cellStyle name="40% - Accent3 16 4" xfId="523"/>
    <cellStyle name="40% - Accent3 16 5" xfId="524"/>
    <cellStyle name="40% - Accent3 17" xfId="525"/>
    <cellStyle name="40% - Accent3 17 2" xfId="526"/>
    <cellStyle name="40% - Accent3 17 3" xfId="527"/>
    <cellStyle name="40% - Accent3 17 4" xfId="528"/>
    <cellStyle name="40% - Accent3 17 5" xfId="529"/>
    <cellStyle name="40% - Accent3 18" xfId="530"/>
    <cellStyle name="40% - Accent3 19" xfId="531"/>
    <cellStyle name="40% - Accent3 2" xfId="532"/>
    <cellStyle name="40% - Accent3 2 2" xfId="533"/>
    <cellStyle name="40% - Accent3 2 2 2" xfId="534"/>
    <cellStyle name="40% - Accent3 2 2 2 2" xfId="535"/>
    <cellStyle name="40% - Accent3 2 2 2 2 2" xfId="4068"/>
    <cellStyle name="40% - Accent3 2 2 2 2 2 2" xfId="4069"/>
    <cellStyle name="40% - Accent3 2 2 2 2 2 2 2" xfId="4070"/>
    <cellStyle name="40% - Accent3 2 2 2 2 2 3" xfId="4071"/>
    <cellStyle name="40% - Accent3 2 2 2 2 3" xfId="4072"/>
    <cellStyle name="40% - Accent3 2 2 2 2 3 2" xfId="4073"/>
    <cellStyle name="40% - Accent3 2 2 2 2 4" xfId="4074"/>
    <cellStyle name="40% - Accent3 2 2 2 2 5" xfId="4075"/>
    <cellStyle name="40% - Accent3 2 2 2 3" xfId="536"/>
    <cellStyle name="40% - Accent3 2 2 2 3 2" xfId="4076"/>
    <cellStyle name="40% - Accent3 2 2 2 3 2 2" xfId="4077"/>
    <cellStyle name="40% - Accent3 2 2 2 3 3" xfId="4078"/>
    <cellStyle name="40% - Accent3 2 2 2 4" xfId="537"/>
    <cellStyle name="40% - Accent3 2 2 2 4 2" xfId="4079"/>
    <cellStyle name="40% - Accent3 2 2 2 5" xfId="538"/>
    <cellStyle name="40% - Accent3 2 2 2 6" xfId="4080"/>
    <cellStyle name="40% - Accent3 2 2 3" xfId="539"/>
    <cellStyle name="40% - Accent3 2 2 3 2" xfId="4081"/>
    <cellStyle name="40% - Accent3 2 2 3 2 2" xfId="4082"/>
    <cellStyle name="40% - Accent3 2 2 3 2 2 2" xfId="4083"/>
    <cellStyle name="40% - Accent3 2 2 3 2 3" xfId="4084"/>
    <cellStyle name="40% - Accent3 2 2 3 3" xfId="4085"/>
    <cellStyle name="40% - Accent3 2 2 3 3 2" xfId="4086"/>
    <cellStyle name="40% - Accent3 2 2 3 4" xfId="4087"/>
    <cellStyle name="40% - Accent3 2 2 3 5" xfId="4088"/>
    <cellStyle name="40% - Accent3 2 2 4" xfId="540"/>
    <cellStyle name="40% - Accent3 2 2 4 2" xfId="4089"/>
    <cellStyle name="40% - Accent3 2 2 4 2 2" xfId="4090"/>
    <cellStyle name="40% - Accent3 2 2 4 3" xfId="4091"/>
    <cellStyle name="40% - Accent3 2 2 5" xfId="541"/>
    <cellStyle name="40% - Accent3 2 2 5 2" xfId="4092"/>
    <cellStyle name="40% - Accent3 2 2 6" xfId="4093"/>
    <cellStyle name="40% - Accent3 2 2 7" xfId="4094"/>
    <cellStyle name="40% - Accent3 2 3" xfId="542"/>
    <cellStyle name="40% - Accent3 2 3 2" xfId="4095"/>
    <cellStyle name="40% - Accent3 2 3 2 2" xfId="4096"/>
    <cellStyle name="40% - Accent3 2 3 2 2 2" xfId="4097"/>
    <cellStyle name="40% - Accent3 2 3 2 2 2 2" xfId="4098"/>
    <cellStyle name="40% - Accent3 2 3 2 2 3" xfId="4099"/>
    <cellStyle name="40% - Accent3 2 3 2 3" xfId="4100"/>
    <cellStyle name="40% - Accent3 2 3 2 3 2" xfId="4101"/>
    <cellStyle name="40% - Accent3 2 3 2 4" xfId="4102"/>
    <cellStyle name="40% - Accent3 2 3 3" xfId="4103"/>
    <cellStyle name="40% - Accent3 2 3 3 2" xfId="4104"/>
    <cellStyle name="40% - Accent3 2 3 3 2 2" xfId="4105"/>
    <cellStyle name="40% - Accent3 2 3 3 3" xfId="4106"/>
    <cellStyle name="40% - Accent3 2 3 4" xfId="4107"/>
    <cellStyle name="40% - Accent3 2 3 4 2" xfId="4108"/>
    <cellStyle name="40% - Accent3 2 3 5" xfId="4109"/>
    <cellStyle name="40% - Accent3 2 3 6" xfId="4110"/>
    <cellStyle name="40% - Accent3 2 4" xfId="543"/>
    <cellStyle name="40% - Accent3 2 4 2" xfId="4111"/>
    <cellStyle name="40% - Accent3 2 4 2 2" xfId="4112"/>
    <cellStyle name="40% - Accent3 2 4 2 2 2" xfId="4113"/>
    <cellStyle name="40% - Accent3 2 4 2 3" xfId="4114"/>
    <cellStyle name="40% - Accent3 2 4 3" xfId="4115"/>
    <cellStyle name="40% - Accent3 2 4 3 2" xfId="4116"/>
    <cellStyle name="40% - Accent3 2 4 4" xfId="4117"/>
    <cellStyle name="40% - Accent3 2 4 5" xfId="4118"/>
    <cellStyle name="40% - Accent3 2 5" xfId="544"/>
    <cellStyle name="40% - Accent3 2 5 2" xfId="4119"/>
    <cellStyle name="40% - Accent3 2 5 2 2" xfId="4120"/>
    <cellStyle name="40% - Accent3 2 5 3" xfId="4121"/>
    <cellStyle name="40% - Accent3 2 5 4" xfId="4122"/>
    <cellStyle name="40% - Accent3 2 6" xfId="545"/>
    <cellStyle name="40% - Accent3 2 6 2" xfId="4123"/>
    <cellStyle name="40% - Accent3 2 6 3" xfId="4124"/>
    <cellStyle name="40% - Accent3 2 7" xfId="546"/>
    <cellStyle name="40% - Accent3 2 8" xfId="547"/>
    <cellStyle name="40% - Accent3 2 9" xfId="548"/>
    <cellStyle name="40% - Accent3 20" xfId="549"/>
    <cellStyle name="40% - Accent3 21" xfId="550"/>
    <cellStyle name="40% - Accent3 22" xfId="551"/>
    <cellStyle name="40% - Accent3 23" xfId="552"/>
    <cellStyle name="40% - Accent3 24" xfId="553"/>
    <cellStyle name="40% - Accent3 25" xfId="554"/>
    <cellStyle name="40% - Accent3 26" xfId="555"/>
    <cellStyle name="40% - Accent3 27" xfId="556"/>
    <cellStyle name="40% - Accent3 28" xfId="557"/>
    <cellStyle name="40% - Accent3 29" xfId="558"/>
    <cellStyle name="40% - Accent3 3" xfId="559"/>
    <cellStyle name="40% - Accent3 3 2" xfId="4125"/>
    <cellStyle name="40% - Accent3 3 2 2" xfId="4126"/>
    <cellStyle name="40% - Accent3 3 2 2 2" xfId="4127"/>
    <cellStyle name="40% - Accent3 3 2 2 2 2" xfId="4128"/>
    <cellStyle name="40% - Accent3 3 2 2 2 2 2" xfId="4129"/>
    <cellStyle name="40% - Accent3 3 2 2 2 2 2 2" xfId="4130"/>
    <cellStyle name="40% - Accent3 3 2 2 2 2 3" xfId="4131"/>
    <cellStyle name="40% - Accent3 3 2 2 2 3" xfId="4132"/>
    <cellStyle name="40% - Accent3 3 2 2 2 3 2" xfId="4133"/>
    <cellStyle name="40% - Accent3 3 2 2 2 4" xfId="4134"/>
    <cellStyle name="40% - Accent3 3 2 2 3" xfId="4135"/>
    <cellStyle name="40% - Accent3 3 2 2 3 2" xfId="4136"/>
    <cellStyle name="40% - Accent3 3 2 2 3 2 2" xfId="4137"/>
    <cellStyle name="40% - Accent3 3 2 2 3 3" xfId="4138"/>
    <cellStyle name="40% - Accent3 3 2 2 4" xfId="4139"/>
    <cellStyle name="40% - Accent3 3 2 2 4 2" xfId="4140"/>
    <cellStyle name="40% - Accent3 3 2 2 5" xfId="4141"/>
    <cellStyle name="40% - Accent3 3 2 2 6" xfId="4142"/>
    <cellStyle name="40% - Accent3 3 2 3" xfId="4143"/>
    <cellStyle name="40% - Accent3 3 2 3 2" xfId="4144"/>
    <cellStyle name="40% - Accent3 3 2 3 2 2" xfId="4145"/>
    <cellStyle name="40% - Accent3 3 2 3 2 2 2" xfId="4146"/>
    <cellStyle name="40% - Accent3 3 2 3 2 3" xfId="4147"/>
    <cellStyle name="40% - Accent3 3 2 3 3" xfId="4148"/>
    <cellStyle name="40% - Accent3 3 2 3 3 2" xfId="4149"/>
    <cellStyle name="40% - Accent3 3 2 3 4" xfId="4150"/>
    <cellStyle name="40% - Accent3 3 2 4" xfId="4151"/>
    <cellStyle name="40% - Accent3 3 2 4 2" xfId="4152"/>
    <cellStyle name="40% - Accent3 3 2 4 2 2" xfId="4153"/>
    <cellStyle name="40% - Accent3 3 2 4 3" xfId="4154"/>
    <cellStyle name="40% - Accent3 3 2 5" xfId="4155"/>
    <cellStyle name="40% - Accent3 3 2 5 2" xfId="4156"/>
    <cellStyle name="40% - Accent3 3 2 6" xfId="4157"/>
    <cellStyle name="40% - Accent3 3 2 7" xfId="4158"/>
    <cellStyle name="40% - Accent3 3 3" xfId="4159"/>
    <cellStyle name="40% - Accent3 3 3 2" xfId="4160"/>
    <cellStyle name="40% - Accent3 3 3 2 2" xfId="4161"/>
    <cellStyle name="40% - Accent3 3 3 2 2 2" xfId="4162"/>
    <cellStyle name="40% - Accent3 3 3 2 2 2 2" xfId="4163"/>
    <cellStyle name="40% - Accent3 3 3 2 2 3" xfId="4164"/>
    <cellStyle name="40% - Accent3 3 3 2 3" xfId="4165"/>
    <cellStyle name="40% - Accent3 3 3 2 3 2" xfId="4166"/>
    <cellStyle name="40% - Accent3 3 3 2 4" xfId="4167"/>
    <cellStyle name="40% - Accent3 3 3 3" xfId="4168"/>
    <cellStyle name="40% - Accent3 3 3 3 2" xfId="4169"/>
    <cellStyle name="40% - Accent3 3 3 3 2 2" xfId="4170"/>
    <cellStyle name="40% - Accent3 3 3 3 3" xfId="4171"/>
    <cellStyle name="40% - Accent3 3 3 4" xfId="4172"/>
    <cellStyle name="40% - Accent3 3 3 4 2" xfId="4173"/>
    <cellStyle name="40% - Accent3 3 3 5" xfId="4174"/>
    <cellStyle name="40% - Accent3 3 3 6" xfId="4175"/>
    <cellStyle name="40% - Accent3 3 4" xfId="4176"/>
    <cellStyle name="40% - Accent3 3 4 2" xfId="4177"/>
    <cellStyle name="40% - Accent3 3 4 2 2" xfId="4178"/>
    <cellStyle name="40% - Accent3 3 4 2 2 2" xfId="4179"/>
    <cellStyle name="40% - Accent3 3 4 2 3" xfId="4180"/>
    <cellStyle name="40% - Accent3 3 4 3" xfId="4181"/>
    <cellStyle name="40% - Accent3 3 4 3 2" xfId="4182"/>
    <cellStyle name="40% - Accent3 3 4 4" xfId="4183"/>
    <cellStyle name="40% - Accent3 3 4 5" xfId="4184"/>
    <cellStyle name="40% - Accent3 3 5" xfId="4185"/>
    <cellStyle name="40% - Accent3 3 5 2" xfId="4186"/>
    <cellStyle name="40% - Accent3 3 5 2 2" xfId="4187"/>
    <cellStyle name="40% - Accent3 3 5 3" xfId="4188"/>
    <cellStyle name="40% - Accent3 3 6" xfId="4189"/>
    <cellStyle name="40% - Accent3 3 6 2" xfId="4190"/>
    <cellStyle name="40% - Accent3 3 7" xfId="4191"/>
    <cellStyle name="40% - Accent3 3 8" xfId="4192"/>
    <cellStyle name="40% - Accent3 3 9" xfId="4193"/>
    <cellStyle name="40% - Accent3 30" xfId="560"/>
    <cellStyle name="40% - Accent3 31" xfId="561"/>
    <cellStyle name="40% - Accent3 32" xfId="562"/>
    <cellStyle name="40% - Accent3 33" xfId="563"/>
    <cellStyle name="40% - Accent3 34" xfId="564"/>
    <cellStyle name="40% - Accent3 35" xfId="565"/>
    <cellStyle name="40% - Accent3 4" xfId="566"/>
    <cellStyle name="40% - Accent3 4 2" xfId="4194"/>
    <cellStyle name="40% - Accent3 4 2 2" xfId="4195"/>
    <cellStyle name="40% - Accent3 4 2 2 2" xfId="4196"/>
    <cellStyle name="40% - Accent3 4 2 2 2 2" xfId="4197"/>
    <cellStyle name="40% - Accent3 4 2 2 2 2 2" xfId="4198"/>
    <cellStyle name="40% - Accent3 4 2 2 2 3" xfId="4199"/>
    <cellStyle name="40% - Accent3 4 2 2 3" xfId="4200"/>
    <cellStyle name="40% - Accent3 4 2 2 3 2" xfId="4201"/>
    <cellStyle name="40% - Accent3 4 2 2 4" xfId="4202"/>
    <cellStyle name="40% - Accent3 4 2 3" xfId="4203"/>
    <cellStyle name="40% - Accent3 4 2 3 2" xfId="4204"/>
    <cellStyle name="40% - Accent3 4 2 3 2 2" xfId="4205"/>
    <cellStyle name="40% - Accent3 4 2 3 3" xfId="4206"/>
    <cellStyle name="40% - Accent3 4 2 4" xfId="4207"/>
    <cellStyle name="40% - Accent3 4 2 4 2" xfId="4208"/>
    <cellStyle name="40% - Accent3 4 2 5" xfId="4209"/>
    <cellStyle name="40% - Accent3 4 2 6" xfId="4210"/>
    <cellStyle name="40% - Accent3 4 3" xfId="4211"/>
    <cellStyle name="40% - Accent3 4 3 2" xfId="4212"/>
    <cellStyle name="40% - Accent3 4 3 2 2" xfId="4213"/>
    <cellStyle name="40% - Accent3 4 3 2 2 2" xfId="4214"/>
    <cellStyle name="40% - Accent3 4 3 2 3" xfId="4215"/>
    <cellStyle name="40% - Accent3 4 3 3" xfId="4216"/>
    <cellStyle name="40% - Accent3 4 3 3 2" xfId="4217"/>
    <cellStyle name="40% - Accent3 4 3 4" xfId="4218"/>
    <cellStyle name="40% - Accent3 4 3 5" xfId="4219"/>
    <cellStyle name="40% - Accent3 4 4" xfId="4220"/>
    <cellStyle name="40% - Accent3 4 4 2" xfId="4221"/>
    <cellStyle name="40% - Accent3 4 4 2 2" xfId="4222"/>
    <cellStyle name="40% - Accent3 4 4 3" xfId="4223"/>
    <cellStyle name="40% - Accent3 4 5" xfId="4224"/>
    <cellStyle name="40% - Accent3 4 5 2" xfId="4225"/>
    <cellStyle name="40% - Accent3 4 6" xfId="4226"/>
    <cellStyle name="40% - Accent3 4 7" xfId="4227"/>
    <cellStyle name="40% - Accent3 5" xfId="567"/>
    <cellStyle name="40% - Accent3 5 2" xfId="4228"/>
    <cellStyle name="40% - Accent3 5 2 2" xfId="4229"/>
    <cellStyle name="40% - Accent3 5 2 2 2" xfId="4230"/>
    <cellStyle name="40% - Accent3 5 2 2 2 2" xfId="4231"/>
    <cellStyle name="40% - Accent3 5 2 2 3" xfId="4232"/>
    <cellStyle name="40% - Accent3 5 2 3" xfId="4233"/>
    <cellStyle name="40% - Accent3 5 2 3 2" xfId="4234"/>
    <cellStyle name="40% - Accent3 5 2 4" xfId="4235"/>
    <cellStyle name="40% - Accent3 5 2 5" xfId="4236"/>
    <cellStyle name="40% - Accent3 5 3" xfId="4237"/>
    <cellStyle name="40% - Accent3 5 3 2" xfId="4238"/>
    <cellStyle name="40% - Accent3 5 3 2 2" xfId="4239"/>
    <cellStyle name="40% - Accent3 5 3 3" xfId="4240"/>
    <cellStyle name="40% - Accent3 5 4" xfId="4241"/>
    <cellStyle name="40% - Accent3 5 4 2" xfId="4242"/>
    <cellStyle name="40% - Accent3 5 5" xfId="4243"/>
    <cellStyle name="40% - Accent3 5 6" xfId="4244"/>
    <cellStyle name="40% - Accent3 6" xfId="568"/>
    <cellStyle name="40% - Accent3 6 2" xfId="4245"/>
    <cellStyle name="40% - Accent3 6 2 2" xfId="4246"/>
    <cellStyle name="40% - Accent3 6 2 2 2" xfId="4247"/>
    <cellStyle name="40% - Accent3 6 2 3" xfId="4248"/>
    <cellStyle name="40% - Accent3 6 2 4" xfId="4249"/>
    <cellStyle name="40% - Accent3 6 2 5" xfId="4250"/>
    <cellStyle name="40% - Accent3 6 3" xfId="4251"/>
    <cellStyle name="40% - Accent3 6 3 2" xfId="4252"/>
    <cellStyle name="40% - Accent3 6 4" xfId="4253"/>
    <cellStyle name="40% - Accent3 6 5" xfId="4254"/>
    <cellStyle name="40% - Accent3 7" xfId="569"/>
    <cellStyle name="40% - Accent3 7 2" xfId="4255"/>
    <cellStyle name="40% - Accent3 7 2 2" xfId="4256"/>
    <cellStyle name="40% - Accent3 7 2 2 2" xfId="4257"/>
    <cellStyle name="40% - Accent3 7 2 3" xfId="4258"/>
    <cellStyle name="40% - Accent3 7 3" xfId="4259"/>
    <cellStyle name="40% - Accent3 7 3 2" xfId="4260"/>
    <cellStyle name="40% - Accent3 7 4" xfId="4261"/>
    <cellStyle name="40% - Accent3 7 5" xfId="4262"/>
    <cellStyle name="40% - Accent3 8" xfId="570"/>
    <cellStyle name="40% - Accent3 8 2" xfId="4263"/>
    <cellStyle name="40% - Accent3 8 2 2" xfId="4264"/>
    <cellStyle name="40% - Accent3 8 2 2 2" xfId="4265"/>
    <cellStyle name="40% - Accent3 8 2 3" xfId="4266"/>
    <cellStyle name="40% - Accent3 8 3" xfId="4267"/>
    <cellStyle name="40% - Accent3 8 3 2" xfId="4268"/>
    <cellStyle name="40% - Accent3 8 4" xfId="4269"/>
    <cellStyle name="40% - Accent3 8 5" xfId="4270"/>
    <cellStyle name="40% - Accent3 9" xfId="571"/>
    <cellStyle name="40% - Accent3 9 2" xfId="4271"/>
    <cellStyle name="40% - Accent3 9 2 2" xfId="4272"/>
    <cellStyle name="40% - Accent3 9 3" xfId="4273"/>
    <cellStyle name="40% - Accent3 9 4" xfId="4274"/>
    <cellStyle name="40% - Accent4 10" xfId="572"/>
    <cellStyle name="40% - Accent4 10 2" xfId="4275"/>
    <cellStyle name="40% - Accent4 10 2 2" xfId="4276"/>
    <cellStyle name="40% - Accent4 10 3" xfId="4277"/>
    <cellStyle name="40% - Accent4 10 4" xfId="4278"/>
    <cellStyle name="40% - Accent4 11" xfId="573"/>
    <cellStyle name="40% - Accent4 11 2" xfId="4279"/>
    <cellStyle name="40% - Accent4 11 2 2" xfId="4280"/>
    <cellStyle name="40% - Accent4 11 3" xfId="4281"/>
    <cellStyle name="40% - Accent4 11 4" xfId="4282"/>
    <cellStyle name="40% - Accent4 12" xfId="574"/>
    <cellStyle name="40% - Accent4 12 2" xfId="4283"/>
    <cellStyle name="40% - Accent4 12 3" xfId="4284"/>
    <cellStyle name="40% - Accent4 13" xfId="575"/>
    <cellStyle name="40% - Accent4 13 2" xfId="4285"/>
    <cellStyle name="40% - Accent4 14" xfId="576"/>
    <cellStyle name="40% - Accent4 15" xfId="577"/>
    <cellStyle name="40% - Accent4 15 2" xfId="578"/>
    <cellStyle name="40% - Accent4 15 3" xfId="579"/>
    <cellStyle name="40% - Accent4 15 4" xfId="580"/>
    <cellStyle name="40% - Accent4 15 5" xfId="581"/>
    <cellStyle name="40% - Accent4 16" xfId="582"/>
    <cellStyle name="40% - Accent4 16 2" xfId="583"/>
    <cellStyle name="40% - Accent4 16 3" xfId="584"/>
    <cellStyle name="40% - Accent4 16 4" xfId="585"/>
    <cellStyle name="40% - Accent4 16 5" xfId="586"/>
    <cellStyle name="40% - Accent4 17" xfId="587"/>
    <cellStyle name="40% - Accent4 17 2" xfId="588"/>
    <cellStyle name="40% - Accent4 17 3" xfId="589"/>
    <cellStyle name="40% - Accent4 17 4" xfId="590"/>
    <cellStyle name="40% - Accent4 17 5" xfId="591"/>
    <cellStyle name="40% - Accent4 18" xfId="592"/>
    <cellStyle name="40% - Accent4 19" xfId="593"/>
    <cellStyle name="40% - Accent4 2" xfId="594"/>
    <cellStyle name="40% - Accent4 2 2" xfId="595"/>
    <cellStyle name="40% - Accent4 2 2 2" xfId="596"/>
    <cellStyle name="40% - Accent4 2 2 2 2" xfId="597"/>
    <cellStyle name="40% - Accent4 2 2 2 2 2" xfId="4286"/>
    <cellStyle name="40% - Accent4 2 2 2 2 2 2" xfId="4287"/>
    <cellStyle name="40% - Accent4 2 2 2 2 2 2 2" xfId="4288"/>
    <cellStyle name="40% - Accent4 2 2 2 2 2 3" xfId="4289"/>
    <cellStyle name="40% - Accent4 2 2 2 2 3" xfId="4290"/>
    <cellStyle name="40% - Accent4 2 2 2 2 3 2" xfId="4291"/>
    <cellStyle name="40% - Accent4 2 2 2 2 4" xfId="4292"/>
    <cellStyle name="40% - Accent4 2 2 2 2 5" xfId="4293"/>
    <cellStyle name="40% - Accent4 2 2 2 3" xfId="598"/>
    <cellStyle name="40% - Accent4 2 2 2 3 2" xfId="4294"/>
    <cellStyle name="40% - Accent4 2 2 2 3 2 2" xfId="4295"/>
    <cellStyle name="40% - Accent4 2 2 2 3 3" xfId="4296"/>
    <cellStyle name="40% - Accent4 2 2 2 4" xfId="599"/>
    <cellStyle name="40% - Accent4 2 2 2 4 2" xfId="4297"/>
    <cellStyle name="40% - Accent4 2 2 2 5" xfId="600"/>
    <cellStyle name="40% - Accent4 2 2 2 6" xfId="4298"/>
    <cellStyle name="40% - Accent4 2 2 3" xfId="601"/>
    <cellStyle name="40% - Accent4 2 2 3 2" xfId="4299"/>
    <cellStyle name="40% - Accent4 2 2 3 2 2" xfId="4300"/>
    <cellStyle name="40% - Accent4 2 2 3 2 2 2" xfId="4301"/>
    <cellStyle name="40% - Accent4 2 2 3 2 3" xfId="4302"/>
    <cellStyle name="40% - Accent4 2 2 3 3" xfId="4303"/>
    <cellStyle name="40% - Accent4 2 2 3 3 2" xfId="4304"/>
    <cellStyle name="40% - Accent4 2 2 3 4" xfId="4305"/>
    <cellStyle name="40% - Accent4 2 2 3 5" xfId="4306"/>
    <cellStyle name="40% - Accent4 2 2 4" xfId="602"/>
    <cellStyle name="40% - Accent4 2 2 4 2" xfId="4307"/>
    <cellStyle name="40% - Accent4 2 2 4 2 2" xfId="4308"/>
    <cellStyle name="40% - Accent4 2 2 4 3" xfId="4309"/>
    <cellStyle name="40% - Accent4 2 2 5" xfId="603"/>
    <cellStyle name="40% - Accent4 2 2 5 2" xfId="4310"/>
    <cellStyle name="40% - Accent4 2 2 6" xfId="4311"/>
    <cellStyle name="40% - Accent4 2 2 7" xfId="4312"/>
    <cellStyle name="40% - Accent4 2 3" xfId="604"/>
    <cellStyle name="40% - Accent4 2 3 2" xfId="4313"/>
    <cellStyle name="40% - Accent4 2 3 2 2" xfId="4314"/>
    <cellStyle name="40% - Accent4 2 3 2 2 2" xfId="4315"/>
    <cellStyle name="40% - Accent4 2 3 2 2 2 2" xfId="4316"/>
    <cellStyle name="40% - Accent4 2 3 2 2 3" xfId="4317"/>
    <cellStyle name="40% - Accent4 2 3 2 3" xfId="4318"/>
    <cellStyle name="40% - Accent4 2 3 2 3 2" xfId="4319"/>
    <cellStyle name="40% - Accent4 2 3 2 4" xfId="4320"/>
    <cellStyle name="40% - Accent4 2 3 3" xfId="4321"/>
    <cellStyle name="40% - Accent4 2 3 3 2" xfId="4322"/>
    <cellStyle name="40% - Accent4 2 3 3 2 2" xfId="4323"/>
    <cellStyle name="40% - Accent4 2 3 3 3" xfId="4324"/>
    <cellStyle name="40% - Accent4 2 3 4" xfId="4325"/>
    <cellStyle name="40% - Accent4 2 3 4 2" xfId="4326"/>
    <cellStyle name="40% - Accent4 2 3 5" xfId="4327"/>
    <cellStyle name="40% - Accent4 2 3 6" xfId="4328"/>
    <cellStyle name="40% - Accent4 2 4" xfId="605"/>
    <cellStyle name="40% - Accent4 2 4 2" xfId="4329"/>
    <cellStyle name="40% - Accent4 2 4 2 2" xfId="4330"/>
    <cellStyle name="40% - Accent4 2 4 2 2 2" xfId="4331"/>
    <cellStyle name="40% - Accent4 2 4 2 3" xfId="4332"/>
    <cellStyle name="40% - Accent4 2 4 3" xfId="4333"/>
    <cellStyle name="40% - Accent4 2 4 3 2" xfId="4334"/>
    <cellStyle name="40% - Accent4 2 4 4" xfId="4335"/>
    <cellStyle name="40% - Accent4 2 4 5" xfId="4336"/>
    <cellStyle name="40% - Accent4 2 5" xfId="606"/>
    <cellStyle name="40% - Accent4 2 5 2" xfId="4337"/>
    <cellStyle name="40% - Accent4 2 5 2 2" xfId="4338"/>
    <cellStyle name="40% - Accent4 2 5 3" xfId="4339"/>
    <cellStyle name="40% - Accent4 2 5 4" xfId="4340"/>
    <cellStyle name="40% - Accent4 2 6" xfId="607"/>
    <cellStyle name="40% - Accent4 2 6 2" xfId="4341"/>
    <cellStyle name="40% - Accent4 2 6 3" xfId="4342"/>
    <cellStyle name="40% - Accent4 2 7" xfId="608"/>
    <cellStyle name="40% - Accent4 2 8" xfId="609"/>
    <cellStyle name="40% - Accent4 2 9" xfId="610"/>
    <cellStyle name="40% - Accent4 20" xfId="611"/>
    <cellStyle name="40% - Accent4 21" xfId="612"/>
    <cellStyle name="40% - Accent4 22" xfId="613"/>
    <cellStyle name="40% - Accent4 23" xfId="614"/>
    <cellStyle name="40% - Accent4 24" xfId="615"/>
    <cellStyle name="40% - Accent4 25" xfId="616"/>
    <cellStyle name="40% - Accent4 26" xfId="617"/>
    <cellStyle name="40% - Accent4 27" xfId="618"/>
    <cellStyle name="40% - Accent4 28" xfId="619"/>
    <cellStyle name="40% - Accent4 29" xfId="620"/>
    <cellStyle name="40% - Accent4 3" xfId="621"/>
    <cellStyle name="40% - Accent4 3 2" xfId="4343"/>
    <cellStyle name="40% - Accent4 3 2 2" xfId="4344"/>
    <cellStyle name="40% - Accent4 3 2 2 2" xfId="4345"/>
    <cellStyle name="40% - Accent4 3 2 2 2 2" xfId="4346"/>
    <cellStyle name="40% - Accent4 3 2 2 2 2 2" xfId="4347"/>
    <cellStyle name="40% - Accent4 3 2 2 2 2 2 2" xfId="4348"/>
    <cellStyle name="40% - Accent4 3 2 2 2 2 3" xfId="4349"/>
    <cellStyle name="40% - Accent4 3 2 2 2 3" xfId="4350"/>
    <cellStyle name="40% - Accent4 3 2 2 2 3 2" xfId="4351"/>
    <cellStyle name="40% - Accent4 3 2 2 2 4" xfId="4352"/>
    <cellStyle name="40% - Accent4 3 2 2 3" xfId="4353"/>
    <cellStyle name="40% - Accent4 3 2 2 3 2" xfId="4354"/>
    <cellStyle name="40% - Accent4 3 2 2 3 2 2" xfId="4355"/>
    <cellStyle name="40% - Accent4 3 2 2 3 3" xfId="4356"/>
    <cellStyle name="40% - Accent4 3 2 2 4" xfId="4357"/>
    <cellStyle name="40% - Accent4 3 2 2 4 2" xfId="4358"/>
    <cellStyle name="40% - Accent4 3 2 2 5" xfId="4359"/>
    <cellStyle name="40% - Accent4 3 2 2 6" xfId="4360"/>
    <cellStyle name="40% - Accent4 3 2 3" xfId="4361"/>
    <cellStyle name="40% - Accent4 3 2 3 2" xfId="4362"/>
    <cellStyle name="40% - Accent4 3 2 3 2 2" xfId="4363"/>
    <cellStyle name="40% - Accent4 3 2 3 2 2 2" xfId="4364"/>
    <cellStyle name="40% - Accent4 3 2 3 2 3" xfId="4365"/>
    <cellStyle name="40% - Accent4 3 2 3 3" xfId="4366"/>
    <cellStyle name="40% - Accent4 3 2 3 3 2" xfId="4367"/>
    <cellStyle name="40% - Accent4 3 2 3 4" xfId="4368"/>
    <cellStyle name="40% - Accent4 3 2 4" xfId="4369"/>
    <cellStyle name="40% - Accent4 3 2 4 2" xfId="4370"/>
    <cellStyle name="40% - Accent4 3 2 4 2 2" xfId="4371"/>
    <cellStyle name="40% - Accent4 3 2 4 3" xfId="4372"/>
    <cellStyle name="40% - Accent4 3 2 5" xfId="4373"/>
    <cellStyle name="40% - Accent4 3 2 5 2" xfId="4374"/>
    <cellStyle name="40% - Accent4 3 2 6" xfId="4375"/>
    <cellStyle name="40% - Accent4 3 2 7" xfId="4376"/>
    <cellStyle name="40% - Accent4 3 3" xfId="4377"/>
    <cellStyle name="40% - Accent4 3 3 2" xfId="4378"/>
    <cellStyle name="40% - Accent4 3 3 2 2" xfId="4379"/>
    <cellStyle name="40% - Accent4 3 3 2 2 2" xfId="4380"/>
    <cellStyle name="40% - Accent4 3 3 2 2 2 2" xfId="4381"/>
    <cellStyle name="40% - Accent4 3 3 2 2 3" xfId="4382"/>
    <cellStyle name="40% - Accent4 3 3 2 3" xfId="4383"/>
    <cellStyle name="40% - Accent4 3 3 2 3 2" xfId="4384"/>
    <cellStyle name="40% - Accent4 3 3 2 4" xfId="4385"/>
    <cellStyle name="40% - Accent4 3 3 3" xfId="4386"/>
    <cellStyle name="40% - Accent4 3 3 3 2" xfId="4387"/>
    <cellStyle name="40% - Accent4 3 3 3 2 2" xfId="4388"/>
    <cellStyle name="40% - Accent4 3 3 3 3" xfId="4389"/>
    <cellStyle name="40% - Accent4 3 3 4" xfId="4390"/>
    <cellStyle name="40% - Accent4 3 3 4 2" xfId="4391"/>
    <cellStyle name="40% - Accent4 3 3 5" xfId="4392"/>
    <cellStyle name="40% - Accent4 3 3 6" xfId="4393"/>
    <cellStyle name="40% - Accent4 3 4" xfId="4394"/>
    <cellStyle name="40% - Accent4 3 4 2" xfId="4395"/>
    <cellStyle name="40% - Accent4 3 4 2 2" xfId="4396"/>
    <cellStyle name="40% - Accent4 3 4 2 2 2" xfId="4397"/>
    <cellStyle name="40% - Accent4 3 4 2 3" xfId="4398"/>
    <cellStyle name="40% - Accent4 3 4 3" xfId="4399"/>
    <cellStyle name="40% - Accent4 3 4 3 2" xfId="4400"/>
    <cellStyle name="40% - Accent4 3 4 4" xfId="4401"/>
    <cellStyle name="40% - Accent4 3 4 5" xfId="4402"/>
    <cellStyle name="40% - Accent4 3 5" xfId="4403"/>
    <cellStyle name="40% - Accent4 3 5 2" xfId="4404"/>
    <cellStyle name="40% - Accent4 3 5 2 2" xfId="4405"/>
    <cellStyle name="40% - Accent4 3 5 3" xfId="4406"/>
    <cellStyle name="40% - Accent4 3 6" xfId="4407"/>
    <cellStyle name="40% - Accent4 3 6 2" xfId="4408"/>
    <cellStyle name="40% - Accent4 3 7" xfId="4409"/>
    <cellStyle name="40% - Accent4 3 8" xfId="4410"/>
    <cellStyle name="40% - Accent4 3 9" xfId="4411"/>
    <cellStyle name="40% - Accent4 30" xfId="622"/>
    <cellStyle name="40% - Accent4 31" xfId="623"/>
    <cellStyle name="40% - Accent4 32" xfId="624"/>
    <cellStyle name="40% - Accent4 33" xfId="625"/>
    <cellStyle name="40% - Accent4 34" xfId="626"/>
    <cellStyle name="40% - Accent4 35" xfId="627"/>
    <cellStyle name="40% - Accent4 4" xfId="628"/>
    <cellStyle name="40% - Accent4 4 2" xfId="4412"/>
    <cellStyle name="40% - Accent4 4 2 2" xfId="4413"/>
    <cellStyle name="40% - Accent4 4 2 2 2" xfId="4414"/>
    <cellStyle name="40% - Accent4 4 2 2 2 2" xfId="4415"/>
    <cellStyle name="40% - Accent4 4 2 2 2 2 2" xfId="4416"/>
    <cellStyle name="40% - Accent4 4 2 2 2 3" xfId="4417"/>
    <cellStyle name="40% - Accent4 4 2 2 3" xfId="4418"/>
    <cellStyle name="40% - Accent4 4 2 2 3 2" xfId="4419"/>
    <cellStyle name="40% - Accent4 4 2 2 4" xfId="4420"/>
    <cellStyle name="40% - Accent4 4 2 3" xfId="4421"/>
    <cellStyle name="40% - Accent4 4 2 3 2" xfId="4422"/>
    <cellStyle name="40% - Accent4 4 2 3 2 2" xfId="4423"/>
    <cellStyle name="40% - Accent4 4 2 3 3" xfId="4424"/>
    <cellStyle name="40% - Accent4 4 2 4" xfId="4425"/>
    <cellStyle name="40% - Accent4 4 2 4 2" xfId="4426"/>
    <cellStyle name="40% - Accent4 4 2 5" xfId="4427"/>
    <cellStyle name="40% - Accent4 4 2 6" xfId="4428"/>
    <cellStyle name="40% - Accent4 4 3" xfId="4429"/>
    <cellStyle name="40% - Accent4 4 3 2" xfId="4430"/>
    <cellStyle name="40% - Accent4 4 3 2 2" xfId="4431"/>
    <cellStyle name="40% - Accent4 4 3 2 2 2" xfId="4432"/>
    <cellStyle name="40% - Accent4 4 3 2 3" xfId="4433"/>
    <cellStyle name="40% - Accent4 4 3 3" xfId="4434"/>
    <cellStyle name="40% - Accent4 4 3 3 2" xfId="4435"/>
    <cellStyle name="40% - Accent4 4 3 4" xfId="4436"/>
    <cellStyle name="40% - Accent4 4 3 5" xfId="4437"/>
    <cellStyle name="40% - Accent4 4 4" xfId="4438"/>
    <cellStyle name="40% - Accent4 4 4 2" xfId="4439"/>
    <cellStyle name="40% - Accent4 4 4 2 2" xfId="4440"/>
    <cellStyle name="40% - Accent4 4 4 3" xfId="4441"/>
    <cellStyle name="40% - Accent4 4 5" xfId="4442"/>
    <cellStyle name="40% - Accent4 4 5 2" xfId="4443"/>
    <cellStyle name="40% - Accent4 4 6" xfId="4444"/>
    <cellStyle name="40% - Accent4 4 7" xfId="4445"/>
    <cellStyle name="40% - Accent4 5" xfId="629"/>
    <cellStyle name="40% - Accent4 5 2" xfId="4446"/>
    <cellStyle name="40% - Accent4 5 2 2" xfId="4447"/>
    <cellStyle name="40% - Accent4 5 2 2 2" xfId="4448"/>
    <cellStyle name="40% - Accent4 5 2 2 2 2" xfId="4449"/>
    <cellStyle name="40% - Accent4 5 2 2 3" xfId="4450"/>
    <cellStyle name="40% - Accent4 5 2 3" xfId="4451"/>
    <cellStyle name="40% - Accent4 5 2 3 2" xfId="4452"/>
    <cellStyle name="40% - Accent4 5 2 4" xfId="4453"/>
    <cellStyle name="40% - Accent4 5 2 5" xfId="4454"/>
    <cellStyle name="40% - Accent4 5 3" xfId="4455"/>
    <cellStyle name="40% - Accent4 5 3 2" xfId="4456"/>
    <cellStyle name="40% - Accent4 5 3 2 2" xfId="4457"/>
    <cellStyle name="40% - Accent4 5 3 3" xfId="4458"/>
    <cellStyle name="40% - Accent4 5 4" xfId="4459"/>
    <cellStyle name="40% - Accent4 5 4 2" xfId="4460"/>
    <cellStyle name="40% - Accent4 5 5" xfId="4461"/>
    <cellStyle name="40% - Accent4 5 6" xfId="4462"/>
    <cellStyle name="40% - Accent4 6" xfId="630"/>
    <cellStyle name="40% - Accent4 6 2" xfId="4463"/>
    <cellStyle name="40% - Accent4 6 2 2" xfId="4464"/>
    <cellStyle name="40% - Accent4 6 2 2 2" xfId="4465"/>
    <cellStyle name="40% - Accent4 6 2 3" xfId="4466"/>
    <cellStyle name="40% - Accent4 6 2 4" xfId="4467"/>
    <cellStyle name="40% - Accent4 6 2 5" xfId="4468"/>
    <cellStyle name="40% - Accent4 6 3" xfId="4469"/>
    <cellStyle name="40% - Accent4 6 3 2" xfId="4470"/>
    <cellStyle name="40% - Accent4 6 4" xfId="4471"/>
    <cellStyle name="40% - Accent4 6 5" xfId="4472"/>
    <cellStyle name="40% - Accent4 7" xfId="631"/>
    <cellStyle name="40% - Accent4 7 2" xfId="4473"/>
    <cellStyle name="40% - Accent4 7 2 2" xfId="4474"/>
    <cellStyle name="40% - Accent4 7 2 2 2" xfId="4475"/>
    <cellStyle name="40% - Accent4 7 2 3" xfId="4476"/>
    <cellStyle name="40% - Accent4 7 3" xfId="4477"/>
    <cellStyle name="40% - Accent4 7 3 2" xfId="4478"/>
    <cellStyle name="40% - Accent4 7 4" xfId="4479"/>
    <cellStyle name="40% - Accent4 7 5" xfId="4480"/>
    <cellStyle name="40% - Accent4 8" xfId="632"/>
    <cellStyle name="40% - Accent4 8 2" xfId="4481"/>
    <cellStyle name="40% - Accent4 8 2 2" xfId="4482"/>
    <cellStyle name="40% - Accent4 8 2 2 2" xfId="4483"/>
    <cellStyle name="40% - Accent4 8 2 3" xfId="4484"/>
    <cellStyle name="40% - Accent4 8 3" xfId="4485"/>
    <cellStyle name="40% - Accent4 8 3 2" xfId="4486"/>
    <cellStyle name="40% - Accent4 8 4" xfId="4487"/>
    <cellStyle name="40% - Accent4 8 5" xfId="4488"/>
    <cellStyle name="40% - Accent4 9" xfId="633"/>
    <cellStyle name="40% - Accent4 9 2" xfId="4489"/>
    <cellStyle name="40% - Accent4 9 2 2" xfId="4490"/>
    <cellStyle name="40% - Accent4 9 3" xfId="4491"/>
    <cellStyle name="40% - Accent4 9 4" xfId="4492"/>
    <cellStyle name="40% - Accent5 10" xfId="634"/>
    <cellStyle name="40% - Accent5 10 2" xfId="4493"/>
    <cellStyle name="40% - Accent5 10 2 2" xfId="4494"/>
    <cellStyle name="40% - Accent5 10 3" xfId="4495"/>
    <cellStyle name="40% - Accent5 10 4" xfId="4496"/>
    <cellStyle name="40% - Accent5 11" xfId="635"/>
    <cellStyle name="40% - Accent5 11 2" xfId="4497"/>
    <cellStyle name="40% - Accent5 11 2 2" xfId="4498"/>
    <cellStyle name="40% - Accent5 11 3" xfId="4499"/>
    <cellStyle name="40% - Accent5 11 4" xfId="4500"/>
    <cellStyle name="40% - Accent5 12" xfId="636"/>
    <cellStyle name="40% - Accent5 12 2" xfId="4501"/>
    <cellStyle name="40% - Accent5 12 3" xfId="4502"/>
    <cellStyle name="40% - Accent5 13" xfId="637"/>
    <cellStyle name="40% - Accent5 13 2" xfId="4503"/>
    <cellStyle name="40% - Accent5 14" xfId="638"/>
    <cellStyle name="40% - Accent5 15" xfId="639"/>
    <cellStyle name="40% - Accent5 15 2" xfId="640"/>
    <cellStyle name="40% - Accent5 15 3" xfId="641"/>
    <cellStyle name="40% - Accent5 15 4" xfId="642"/>
    <cellStyle name="40% - Accent5 15 5" xfId="643"/>
    <cellStyle name="40% - Accent5 16" xfId="644"/>
    <cellStyle name="40% - Accent5 16 2" xfId="645"/>
    <cellStyle name="40% - Accent5 16 3" xfId="646"/>
    <cellStyle name="40% - Accent5 16 4" xfId="647"/>
    <cellStyle name="40% - Accent5 16 5" xfId="648"/>
    <cellStyle name="40% - Accent5 17" xfId="649"/>
    <cellStyle name="40% - Accent5 17 2" xfId="650"/>
    <cellStyle name="40% - Accent5 17 3" xfId="651"/>
    <cellStyle name="40% - Accent5 17 4" xfId="652"/>
    <cellStyle name="40% - Accent5 17 5" xfId="653"/>
    <cellStyle name="40% - Accent5 18" xfId="654"/>
    <cellStyle name="40% - Accent5 19" xfId="655"/>
    <cellStyle name="40% - Accent5 2" xfId="656"/>
    <cellStyle name="40% - Accent5 2 2" xfId="657"/>
    <cellStyle name="40% - Accent5 2 2 2" xfId="658"/>
    <cellStyle name="40% - Accent5 2 2 2 2" xfId="659"/>
    <cellStyle name="40% - Accent5 2 2 2 2 2" xfId="4504"/>
    <cellStyle name="40% - Accent5 2 2 2 2 2 2" xfId="4505"/>
    <cellStyle name="40% - Accent5 2 2 2 2 2 2 2" xfId="4506"/>
    <cellStyle name="40% - Accent5 2 2 2 2 2 3" xfId="4507"/>
    <cellStyle name="40% - Accent5 2 2 2 2 3" xfId="4508"/>
    <cellStyle name="40% - Accent5 2 2 2 2 3 2" xfId="4509"/>
    <cellStyle name="40% - Accent5 2 2 2 2 4" xfId="4510"/>
    <cellStyle name="40% - Accent5 2 2 2 2 5" xfId="4511"/>
    <cellStyle name="40% - Accent5 2 2 2 3" xfId="660"/>
    <cellStyle name="40% - Accent5 2 2 2 3 2" xfId="4512"/>
    <cellStyle name="40% - Accent5 2 2 2 3 2 2" xfId="4513"/>
    <cellStyle name="40% - Accent5 2 2 2 3 3" xfId="4514"/>
    <cellStyle name="40% - Accent5 2 2 2 4" xfId="661"/>
    <cellStyle name="40% - Accent5 2 2 2 4 2" xfId="4515"/>
    <cellStyle name="40% - Accent5 2 2 2 5" xfId="662"/>
    <cellStyle name="40% - Accent5 2 2 2 6" xfId="4516"/>
    <cellStyle name="40% - Accent5 2 2 3" xfId="663"/>
    <cellStyle name="40% - Accent5 2 2 3 2" xfId="4517"/>
    <cellStyle name="40% - Accent5 2 2 3 2 2" xfId="4518"/>
    <cellStyle name="40% - Accent5 2 2 3 2 2 2" xfId="4519"/>
    <cellStyle name="40% - Accent5 2 2 3 2 3" xfId="4520"/>
    <cellStyle name="40% - Accent5 2 2 3 3" xfId="4521"/>
    <cellStyle name="40% - Accent5 2 2 3 3 2" xfId="4522"/>
    <cellStyle name="40% - Accent5 2 2 3 4" xfId="4523"/>
    <cellStyle name="40% - Accent5 2 2 3 5" xfId="4524"/>
    <cellStyle name="40% - Accent5 2 2 4" xfId="664"/>
    <cellStyle name="40% - Accent5 2 2 4 2" xfId="4525"/>
    <cellStyle name="40% - Accent5 2 2 4 2 2" xfId="4526"/>
    <cellStyle name="40% - Accent5 2 2 4 3" xfId="4527"/>
    <cellStyle name="40% - Accent5 2 2 5" xfId="665"/>
    <cellStyle name="40% - Accent5 2 2 5 2" xfId="4528"/>
    <cellStyle name="40% - Accent5 2 2 6" xfId="4529"/>
    <cellStyle name="40% - Accent5 2 2 7" xfId="4530"/>
    <cellStyle name="40% - Accent5 2 3" xfId="666"/>
    <cellStyle name="40% - Accent5 2 3 2" xfId="4531"/>
    <cellStyle name="40% - Accent5 2 3 2 2" xfId="4532"/>
    <cellStyle name="40% - Accent5 2 3 2 2 2" xfId="4533"/>
    <cellStyle name="40% - Accent5 2 3 2 2 2 2" xfId="4534"/>
    <cellStyle name="40% - Accent5 2 3 2 2 3" xfId="4535"/>
    <cellStyle name="40% - Accent5 2 3 2 3" xfId="4536"/>
    <cellStyle name="40% - Accent5 2 3 2 3 2" xfId="4537"/>
    <cellStyle name="40% - Accent5 2 3 2 4" xfId="4538"/>
    <cellStyle name="40% - Accent5 2 3 3" xfId="4539"/>
    <cellStyle name="40% - Accent5 2 3 3 2" xfId="4540"/>
    <cellStyle name="40% - Accent5 2 3 3 2 2" xfId="4541"/>
    <cellStyle name="40% - Accent5 2 3 3 3" xfId="4542"/>
    <cellStyle name="40% - Accent5 2 3 4" xfId="4543"/>
    <cellStyle name="40% - Accent5 2 3 4 2" xfId="4544"/>
    <cellStyle name="40% - Accent5 2 3 5" xfId="4545"/>
    <cellStyle name="40% - Accent5 2 3 6" xfId="4546"/>
    <cellStyle name="40% - Accent5 2 4" xfId="667"/>
    <cellStyle name="40% - Accent5 2 4 2" xfId="4547"/>
    <cellStyle name="40% - Accent5 2 4 2 2" xfId="4548"/>
    <cellStyle name="40% - Accent5 2 4 2 2 2" xfId="4549"/>
    <cellStyle name="40% - Accent5 2 4 2 3" xfId="4550"/>
    <cellStyle name="40% - Accent5 2 4 3" xfId="4551"/>
    <cellStyle name="40% - Accent5 2 4 3 2" xfId="4552"/>
    <cellStyle name="40% - Accent5 2 4 4" xfId="4553"/>
    <cellStyle name="40% - Accent5 2 4 5" xfId="4554"/>
    <cellStyle name="40% - Accent5 2 5" xfId="668"/>
    <cellStyle name="40% - Accent5 2 5 2" xfId="4555"/>
    <cellStyle name="40% - Accent5 2 5 2 2" xfId="4556"/>
    <cellStyle name="40% - Accent5 2 5 3" xfId="4557"/>
    <cellStyle name="40% - Accent5 2 5 4" xfId="4558"/>
    <cellStyle name="40% - Accent5 2 6" xfId="669"/>
    <cellStyle name="40% - Accent5 2 6 2" xfId="4559"/>
    <cellStyle name="40% - Accent5 2 6 3" xfId="4560"/>
    <cellStyle name="40% - Accent5 2 7" xfId="670"/>
    <cellStyle name="40% - Accent5 2 8" xfId="671"/>
    <cellStyle name="40% - Accent5 2 9" xfId="672"/>
    <cellStyle name="40% - Accent5 20" xfId="673"/>
    <cellStyle name="40% - Accent5 21" xfId="674"/>
    <cellStyle name="40% - Accent5 22" xfId="675"/>
    <cellStyle name="40% - Accent5 23" xfId="676"/>
    <cellStyle name="40% - Accent5 24" xfId="677"/>
    <cellStyle name="40% - Accent5 25" xfId="678"/>
    <cellStyle name="40% - Accent5 26" xfId="679"/>
    <cellStyle name="40% - Accent5 27" xfId="680"/>
    <cellStyle name="40% - Accent5 28" xfId="681"/>
    <cellStyle name="40% - Accent5 29" xfId="682"/>
    <cellStyle name="40% - Accent5 3" xfId="683"/>
    <cellStyle name="40% - Accent5 3 2" xfId="4561"/>
    <cellStyle name="40% - Accent5 3 2 2" xfId="4562"/>
    <cellStyle name="40% - Accent5 3 2 2 2" xfId="4563"/>
    <cellStyle name="40% - Accent5 3 2 2 2 2" xfId="4564"/>
    <cellStyle name="40% - Accent5 3 2 2 2 2 2" xfId="4565"/>
    <cellStyle name="40% - Accent5 3 2 2 2 2 2 2" xfId="4566"/>
    <cellStyle name="40% - Accent5 3 2 2 2 2 3" xfId="4567"/>
    <cellStyle name="40% - Accent5 3 2 2 2 3" xfId="4568"/>
    <cellStyle name="40% - Accent5 3 2 2 2 3 2" xfId="4569"/>
    <cellStyle name="40% - Accent5 3 2 2 2 4" xfId="4570"/>
    <cellStyle name="40% - Accent5 3 2 2 3" xfId="4571"/>
    <cellStyle name="40% - Accent5 3 2 2 3 2" xfId="4572"/>
    <cellStyle name="40% - Accent5 3 2 2 3 2 2" xfId="4573"/>
    <cellStyle name="40% - Accent5 3 2 2 3 3" xfId="4574"/>
    <cellStyle name="40% - Accent5 3 2 2 4" xfId="4575"/>
    <cellStyle name="40% - Accent5 3 2 2 4 2" xfId="4576"/>
    <cellStyle name="40% - Accent5 3 2 2 5" xfId="4577"/>
    <cellStyle name="40% - Accent5 3 2 2 6" xfId="4578"/>
    <cellStyle name="40% - Accent5 3 2 3" xfId="4579"/>
    <cellStyle name="40% - Accent5 3 2 3 2" xfId="4580"/>
    <cellStyle name="40% - Accent5 3 2 3 2 2" xfId="4581"/>
    <cellStyle name="40% - Accent5 3 2 3 2 2 2" xfId="4582"/>
    <cellStyle name="40% - Accent5 3 2 3 2 3" xfId="4583"/>
    <cellStyle name="40% - Accent5 3 2 3 3" xfId="4584"/>
    <cellStyle name="40% - Accent5 3 2 3 3 2" xfId="4585"/>
    <cellStyle name="40% - Accent5 3 2 3 4" xfId="4586"/>
    <cellStyle name="40% - Accent5 3 2 4" xfId="4587"/>
    <cellStyle name="40% - Accent5 3 2 4 2" xfId="4588"/>
    <cellStyle name="40% - Accent5 3 2 4 2 2" xfId="4589"/>
    <cellStyle name="40% - Accent5 3 2 4 3" xfId="4590"/>
    <cellStyle name="40% - Accent5 3 2 5" xfId="4591"/>
    <cellStyle name="40% - Accent5 3 2 5 2" xfId="4592"/>
    <cellStyle name="40% - Accent5 3 2 6" xfId="4593"/>
    <cellStyle name="40% - Accent5 3 2 7" xfId="4594"/>
    <cellStyle name="40% - Accent5 3 3" xfId="4595"/>
    <cellStyle name="40% - Accent5 3 3 2" xfId="4596"/>
    <cellStyle name="40% - Accent5 3 3 2 2" xfId="4597"/>
    <cellStyle name="40% - Accent5 3 3 2 2 2" xfId="4598"/>
    <cellStyle name="40% - Accent5 3 3 2 2 2 2" xfId="4599"/>
    <cellStyle name="40% - Accent5 3 3 2 2 3" xfId="4600"/>
    <cellStyle name="40% - Accent5 3 3 2 3" xfId="4601"/>
    <cellStyle name="40% - Accent5 3 3 2 3 2" xfId="4602"/>
    <cellStyle name="40% - Accent5 3 3 2 4" xfId="4603"/>
    <cellStyle name="40% - Accent5 3 3 3" xfId="4604"/>
    <cellStyle name="40% - Accent5 3 3 3 2" xfId="4605"/>
    <cellStyle name="40% - Accent5 3 3 3 2 2" xfId="4606"/>
    <cellStyle name="40% - Accent5 3 3 3 3" xfId="4607"/>
    <cellStyle name="40% - Accent5 3 3 4" xfId="4608"/>
    <cellStyle name="40% - Accent5 3 3 4 2" xfId="4609"/>
    <cellStyle name="40% - Accent5 3 3 5" xfId="4610"/>
    <cellStyle name="40% - Accent5 3 3 6" xfId="4611"/>
    <cellStyle name="40% - Accent5 3 4" xfId="4612"/>
    <cellStyle name="40% - Accent5 3 4 2" xfId="4613"/>
    <cellStyle name="40% - Accent5 3 4 2 2" xfId="4614"/>
    <cellStyle name="40% - Accent5 3 4 2 2 2" xfId="4615"/>
    <cellStyle name="40% - Accent5 3 4 2 3" xfId="4616"/>
    <cellStyle name="40% - Accent5 3 4 3" xfId="4617"/>
    <cellStyle name="40% - Accent5 3 4 3 2" xfId="4618"/>
    <cellStyle name="40% - Accent5 3 4 4" xfId="4619"/>
    <cellStyle name="40% - Accent5 3 4 5" xfId="4620"/>
    <cellStyle name="40% - Accent5 3 5" xfId="4621"/>
    <cellStyle name="40% - Accent5 3 5 2" xfId="4622"/>
    <cellStyle name="40% - Accent5 3 5 2 2" xfId="4623"/>
    <cellStyle name="40% - Accent5 3 5 3" xfId="4624"/>
    <cellStyle name="40% - Accent5 3 6" xfId="4625"/>
    <cellStyle name="40% - Accent5 3 6 2" xfId="4626"/>
    <cellStyle name="40% - Accent5 3 7" xfId="4627"/>
    <cellStyle name="40% - Accent5 3 8" xfId="4628"/>
    <cellStyle name="40% - Accent5 3 9" xfId="4629"/>
    <cellStyle name="40% - Accent5 30" xfId="684"/>
    <cellStyle name="40% - Accent5 31" xfId="685"/>
    <cellStyle name="40% - Accent5 32" xfId="686"/>
    <cellStyle name="40% - Accent5 33" xfId="687"/>
    <cellStyle name="40% - Accent5 34" xfId="688"/>
    <cellStyle name="40% - Accent5 35" xfId="689"/>
    <cellStyle name="40% - Accent5 4" xfId="690"/>
    <cellStyle name="40% - Accent5 4 2" xfId="4630"/>
    <cellStyle name="40% - Accent5 4 2 2" xfId="4631"/>
    <cellStyle name="40% - Accent5 4 2 2 2" xfId="4632"/>
    <cellStyle name="40% - Accent5 4 2 2 2 2" xfId="4633"/>
    <cellStyle name="40% - Accent5 4 2 2 2 2 2" xfId="4634"/>
    <cellStyle name="40% - Accent5 4 2 2 2 3" xfId="4635"/>
    <cellStyle name="40% - Accent5 4 2 2 3" xfId="4636"/>
    <cellStyle name="40% - Accent5 4 2 2 3 2" xfId="4637"/>
    <cellStyle name="40% - Accent5 4 2 2 4" xfId="4638"/>
    <cellStyle name="40% - Accent5 4 2 3" xfId="4639"/>
    <cellStyle name="40% - Accent5 4 2 3 2" xfId="4640"/>
    <cellStyle name="40% - Accent5 4 2 3 2 2" xfId="4641"/>
    <cellStyle name="40% - Accent5 4 2 3 3" xfId="4642"/>
    <cellStyle name="40% - Accent5 4 2 4" xfId="4643"/>
    <cellStyle name="40% - Accent5 4 2 4 2" xfId="4644"/>
    <cellStyle name="40% - Accent5 4 2 5" xfId="4645"/>
    <cellStyle name="40% - Accent5 4 2 6" xfId="4646"/>
    <cellStyle name="40% - Accent5 4 3" xfId="4647"/>
    <cellStyle name="40% - Accent5 4 3 2" xfId="4648"/>
    <cellStyle name="40% - Accent5 4 3 2 2" xfId="4649"/>
    <cellStyle name="40% - Accent5 4 3 2 2 2" xfId="4650"/>
    <cellStyle name="40% - Accent5 4 3 2 3" xfId="4651"/>
    <cellStyle name="40% - Accent5 4 3 3" xfId="4652"/>
    <cellStyle name="40% - Accent5 4 3 3 2" xfId="4653"/>
    <cellStyle name="40% - Accent5 4 3 4" xfId="4654"/>
    <cellStyle name="40% - Accent5 4 3 5" xfId="4655"/>
    <cellStyle name="40% - Accent5 4 4" xfId="4656"/>
    <cellStyle name="40% - Accent5 4 4 2" xfId="4657"/>
    <cellStyle name="40% - Accent5 4 4 2 2" xfId="4658"/>
    <cellStyle name="40% - Accent5 4 4 3" xfId="4659"/>
    <cellStyle name="40% - Accent5 4 5" xfId="4660"/>
    <cellStyle name="40% - Accent5 4 5 2" xfId="4661"/>
    <cellStyle name="40% - Accent5 4 6" xfId="4662"/>
    <cellStyle name="40% - Accent5 4 7" xfId="4663"/>
    <cellStyle name="40% - Accent5 5" xfId="691"/>
    <cellStyle name="40% - Accent5 5 2" xfId="4664"/>
    <cellStyle name="40% - Accent5 5 2 2" xfId="4665"/>
    <cellStyle name="40% - Accent5 5 2 2 2" xfId="4666"/>
    <cellStyle name="40% - Accent5 5 2 2 2 2" xfId="4667"/>
    <cellStyle name="40% - Accent5 5 2 2 3" xfId="4668"/>
    <cellStyle name="40% - Accent5 5 2 3" xfId="4669"/>
    <cellStyle name="40% - Accent5 5 2 3 2" xfId="4670"/>
    <cellStyle name="40% - Accent5 5 2 4" xfId="4671"/>
    <cellStyle name="40% - Accent5 5 2 5" xfId="4672"/>
    <cellStyle name="40% - Accent5 5 3" xfId="4673"/>
    <cellStyle name="40% - Accent5 5 3 2" xfId="4674"/>
    <cellStyle name="40% - Accent5 5 3 2 2" xfId="4675"/>
    <cellStyle name="40% - Accent5 5 3 3" xfId="4676"/>
    <cellStyle name="40% - Accent5 5 4" xfId="4677"/>
    <cellStyle name="40% - Accent5 5 4 2" xfId="4678"/>
    <cellStyle name="40% - Accent5 5 5" xfId="4679"/>
    <cellStyle name="40% - Accent5 5 6" xfId="4680"/>
    <cellStyle name="40% - Accent5 6" xfId="692"/>
    <cellStyle name="40% - Accent5 6 2" xfId="4681"/>
    <cellStyle name="40% - Accent5 6 2 2" xfId="4682"/>
    <cellStyle name="40% - Accent5 6 2 2 2" xfId="4683"/>
    <cellStyle name="40% - Accent5 6 2 3" xfId="4684"/>
    <cellStyle name="40% - Accent5 6 2 4" xfId="4685"/>
    <cellStyle name="40% - Accent5 6 2 5" xfId="4686"/>
    <cellStyle name="40% - Accent5 6 3" xfId="4687"/>
    <cellStyle name="40% - Accent5 6 3 2" xfId="4688"/>
    <cellStyle name="40% - Accent5 6 4" xfId="4689"/>
    <cellStyle name="40% - Accent5 6 5" xfId="4690"/>
    <cellStyle name="40% - Accent5 7" xfId="693"/>
    <cellStyle name="40% - Accent5 7 2" xfId="4691"/>
    <cellStyle name="40% - Accent5 7 2 2" xfId="4692"/>
    <cellStyle name="40% - Accent5 7 2 2 2" xfId="4693"/>
    <cellStyle name="40% - Accent5 7 2 3" xfId="4694"/>
    <cellStyle name="40% - Accent5 7 3" xfId="4695"/>
    <cellStyle name="40% - Accent5 7 3 2" xfId="4696"/>
    <cellStyle name="40% - Accent5 7 4" xfId="4697"/>
    <cellStyle name="40% - Accent5 7 5" xfId="4698"/>
    <cellStyle name="40% - Accent5 8" xfId="694"/>
    <cellStyle name="40% - Accent5 8 2" xfId="4699"/>
    <cellStyle name="40% - Accent5 8 2 2" xfId="4700"/>
    <cellStyle name="40% - Accent5 8 2 2 2" xfId="4701"/>
    <cellStyle name="40% - Accent5 8 2 3" xfId="4702"/>
    <cellStyle name="40% - Accent5 8 3" xfId="4703"/>
    <cellStyle name="40% - Accent5 8 3 2" xfId="4704"/>
    <cellStyle name="40% - Accent5 8 4" xfId="4705"/>
    <cellStyle name="40% - Accent5 8 5" xfId="4706"/>
    <cellStyle name="40% - Accent5 9" xfId="695"/>
    <cellStyle name="40% - Accent5 9 2" xfId="4707"/>
    <cellStyle name="40% - Accent5 9 2 2" xfId="4708"/>
    <cellStyle name="40% - Accent5 9 3" xfId="4709"/>
    <cellStyle name="40% - Accent5 9 4" xfId="4710"/>
    <cellStyle name="40% - Accent6 10" xfId="696"/>
    <cellStyle name="40% - Accent6 10 2" xfId="4711"/>
    <cellStyle name="40% - Accent6 10 2 2" xfId="4712"/>
    <cellStyle name="40% - Accent6 10 3" xfId="4713"/>
    <cellStyle name="40% - Accent6 10 4" xfId="4714"/>
    <cellStyle name="40% - Accent6 11" xfId="697"/>
    <cellStyle name="40% - Accent6 11 2" xfId="4715"/>
    <cellStyle name="40% - Accent6 11 2 2" xfId="4716"/>
    <cellStyle name="40% - Accent6 11 3" xfId="4717"/>
    <cellStyle name="40% - Accent6 11 4" xfId="4718"/>
    <cellStyle name="40% - Accent6 12" xfId="698"/>
    <cellStyle name="40% - Accent6 12 2" xfId="4719"/>
    <cellStyle name="40% - Accent6 12 3" xfId="4720"/>
    <cellStyle name="40% - Accent6 13" xfId="699"/>
    <cellStyle name="40% - Accent6 13 2" xfId="4721"/>
    <cellStyle name="40% - Accent6 14" xfId="700"/>
    <cellStyle name="40% - Accent6 15" xfId="701"/>
    <cellStyle name="40% - Accent6 15 2" xfId="702"/>
    <cellStyle name="40% - Accent6 15 3" xfId="703"/>
    <cellStyle name="40% - Accent6 15 4" xfId="704"/>
    <cellStyle name="40% - Accent6 15 5" xfId="705"/>
    <cellStyle name="40% - Accent6 16" xfId="706"/>
    <cellStyle name="40% - Accent6 16 2" xfId="707"/>
    <cellStyle name="40% - Accent6 16 3" xfId="708"/>
    <cellStyle name="40% - Accent6 16 4" xfId="709"/>
    <cellStyle name="40% - Accent6 16 5" xfId="710"/>
    <cellStyle name="40% - Accent6 17" xfId="711"/>
    <cellStyle name="40% - Accent6 17 2" xfId="712"/>
    <cellStyle name="40% - Accent6 17 3" xfId="713"/>
    <cellStyle name="40% - Accent6 17 4" xfId="714"/>
    <cellStyle name="40% - Accent6 17 5" xfId="715"/>
    <cellStyle name="40% - Accent6 18" xfId="716"/>
    <cellStyle name="40% - Accent6 19" xfId="717"/>
    <cellStyle name="40% - Accent6 2" xfId="718"/>
    <cellStyle name="40% - Accent6 2 2" xfId="719"/>
    <cellStyle name="40% - Accent6 2 2 2" xfId="720"/>
    <cellStyle name="40% - Accent6 2 2 2 2" xfId="721"/>
    <cellStyle name="40% - Accent6 2 2 2 2 2" xfId="4722"/>
    <cellStyle name="40% - Accent6 2 2 2 2 2 2" xfId="4723"/>
    <cellStyle name="40% - Accent6 2 2 2 2 2 2 2" xfId="4724"/>
    <cellStyle name="40% - Accent6 2 2 2 2 2 3" xfId="4725"/>
    <cellStyle name="40% - Accent6 2 2 2 2 3" xfId="4726"/>
    <cellStyle name="40% - Accent6 2 2 2 2 3 2" xfId="4727"/>
    <cellStyle name="40% - Accent6 2 2 2 2 4" xfId="4728"/>
    <cellStyle name="40% - Accent6 2 2 2 2 5" xfId="4729"/>
    <cellStyle name="40% - Accent6 2 2 2 3" xfId="722"/>
    <cellStyle name="40% - Accent6 2 2 2 3 2" xfId="4730"/>
    <cellStyle name="40% - Accent6 2 2 2 3 2 2" xfId="4731"/>
    <cellStyle name="40% - Accent6 2 2 2 3 3" xfId="4732"/>
    <cellStyle name="40% - Accent6 2 2 2 4" xfId="723"/>
    <cellStyle name="40% - Accent6 2 2 2 4 2" xfId="4733"/>
    <cellStyle name="40% - Accent6 2 2 2 5" xfId="724"/>
    <cellStyle name="40% - Accent6 2 2 2 6" xfId="4734"/>
    <cellStyle name="40% - Accent6 2 2 3" xfId="725"/>
    <cellStyle name="40% - Accent6 2 2 3 2" xfId="4735"/>
    <cellStyle name="40% - Accent6 2 2 3 2 2" xfId="4736"/>
    <cellStyle name="40% - Accent6 2 2 3 2 2 2" xfId="4737"/>
    <cellStyle name="40% - Accent6 2 2 3 2 3" xfId="4738"/>
    <cellStyle name="40% - Accent6 2 2 3 3" xfId="4739"/>
    <cellStyle name="40% - Accent6 2 2 3 3 2" xfId="4740"/>
    <cellStyle name="40% - Accent6 2 2 3 4" xfId="4741"/>
    <cellStyle name="40% - Accent6 2 2 3 5" xfId="4742"/>
    <cellStyle name="40% - Accent6 2 2 4" xfId="726"/>
    <cellStyle name="40% - Accent6 2 2 4 2" xfId="4743"/>
    <cellStyle name="40% - Accent6 2 2 4 2 2" xfId="4744"/>
    <cellStyle name="40% - Accent6 2 2 4 3" xfId="4745"/>
    <cellStyle name="40% - Accent6 2 2 5" xfId="727"/>
    <cellStyle name="40% - Accent6 2 2 5 2" xfId="4746"/>
    <cellStyle name="40% - Accent6 2 2 6" xfId="4747"/>
    <cellStyle name="40% - Accent6 2 2 7" xfId="4748"/>
    <cellStyle name="40% - Accent6 2 3" xfId="728"/>
    <cellStyle name="40% - Accent6 2 3 2" xfId="4749"/>
    <cellStyle name="40% - Accent6 2 3 2 2" xfId="4750"/>
    <cellStyle name="40% - Accent6 2 3 2 2 2" xfId="4751"/>
    <cellStyle name="40% - Accent6 2 3 2 2 2 2" xfId="4752"/>
    <cellStyle name="40% - Accent6 2 3 2 2 3" xfId="4753"/>
    <cellStyle name="40% - Accent6 2 3 2 3" xfId="4754"/>
    <cellStyle name="40% - Accent6 2 3 2 3 2" xfId="4755"/>
    <cellStyle name="40% - Accent6 2 3 2 4" xfId="4756"/>
    <cellStyle name="40% - Accent6 2 3 3" xfId="4757"/>
    <cellStyle name="40% - Accent6 2 3 3 2" xfId="4758"/>
    <cellStyle name="40% - Accent6 2 3 3 2 2" xfId="4759"/>
    <cellStyle name="40% - Accent6 2 3 3 3" xfId="4760"/>
    <cellStyle name="40% - Accent6 2 3 4" xfId="4761"/>
    <cellStyle name="40% - Accent6 2 3 4 2" xfId="4762"/>
    <cellStyle name="40% - Accent6 2 3 5" xfId="4763"/>
    <cellStyle name="40% - Accent6 2 3 6" xfId="4764"/>
    <cellStyle name="40% - Accent6 2 4" xfId="729"/>
    <cellStyle name="40% - Accent6 2 4 2" xfId="4765"/>
    <cellStyle name="40% - Accent6 2 4 2 2" xfId="4766"/>
    <cellStyle name="40% - Accent6 2 4 2 2 2" xfId="4767"/>
    <cellStyle name="40% - Accent6 2 4 2 3" xfId="4768"/>
    <cellStyle name="40% - Accent6 2 4 3" xfId="4769"/>
    <cellStyle name="40% - Accent6 2 4 3 2" xfId="4770"/>
    <cellStyle name="40% - Accent6 2 4 4" xfId="4771"/>
    <cellStyle name="40% - Accent6 2 4 5" xfId="4772"/>
    <cellStyle name="40% - Accent6 2 5" xfId="730"/>
    <cellStyle name="40% - Accent6 2 5 2" xfId="4773"/>
    <cellStyle name="40% - Accent6 2 5 2 2" xfId="4774"/>
    <cellStyle name="40% - Accent6 2 5 3" xfId="4775"/>
    <cellStyle name="40% - Accent6 2 5 4" xfId="4776"/>
    <cellStyle name="40% - Accent6 2 6" xfId="731"/>
    <cellStyle name="40% - Accent6 2 6 2" xfId="4777"/>
    <cellStyle name="40% - Accent6 2 6 3" xfId="4778"/>
    <cellStyle name="40% - Accent6 2 7" xfId="732"/>
    <cellStyle name="40% - Accent6 2 8" xfId="733"/>
    <cellStyle name="40% - Accent6 2 9" xfId="734"/>
    <cellStyle name="40% - Accent6 20" xfId="735"/>
    <cellStyle name="40% - Accent6 21" xfId="736"/>
    <cellStyle name="40% - Accent6 22" xfId="737"/>
    <cellStyle name="40% - Accent6 23" xfId="738"/>
    <cellStyle name="40% - Accent6 24" xfId="739"/>
    <cellStyle name="40% - Accent6 25" xfId="740"/>
    <cellStyle name="40% - Accent6 26" xfId="741"/>
    <cellStyle name="40% - Accent6 27" xfId="742"/>
    <cellStyle name="40% - Accent6 28" xfId="743"/>
    <cellStyle name="40% - Accent6 29" xfId="744"/>
    <cellStyle name="40% - Accent6 3" xfId="745"/>
    <cellStyle name="40% - Accent6 3 2" xfId="4779"/>
    <cellStyle name="40% - Accent6 3 2 2" xfId="4780"/>
    <cellStyle name="40% - Accent6 3 2 2 2" xfId="4781"/>
    <cellStyle name="40% - Accent6 3 2 2 2 2" xfId="4782"/>
    <cellStyle name="40% - Accent6 3 2 2 2 2 2" xfId="4783"/>
    <cellStyle name="40% - Accent6 3 2 2 2 2 2 2" xfId="4784"/>
    <cellStyle name="40% - Accent6 3 2 2 2 2 3" xfId="4785"/>
    <cellStyle name="40% - Accent6 3 2 2 2 3" xfId="4786"/>
    <cellStyle name="40% - Accent6 3 2 2 2 3 2" xfId="4787"/>
    <cellStyle name="40% - Accent6 3 2 2 2 4" xfId="4788"/>
    <cellStyle name="40% - Accent6 3 2 2 3" xfId="4789"/>
    <cellStyle name="40% - Accent6 3 2 2 3 2" xfId="4790"/>
    <cellStyle name="40% - Accent6 3 2 2 3 2 2" xfId="4791"/>
    <cellStyle name="40% - Accent6 3 2 2 3 3" xfId="4792"/>
    <cellStyle name="40% - Accent6 3 2 2 4" xfId="4793"/>
    <cellStyle name="40% - Accent6 3 2 2 4 2" xfId="4794"/>
    <cellStyle name="40% - Accent6 3 2 2 5" xfId="4795"/>
    <cellStyle name="40% - Accent6 3 2 2 6" xfId="4796"/>
    <cellStyle name="40% - Accent6 3 2 3" xfId="4797"/>
    <cellStyle name="40% - Accent6 3 2 3 2" xfId="4798"/>
    <cellStyle name="40% - Accent6 3 2 3 2 2" xfId="4799"/>
    <cellStyle name="40% - Accent6 3 2 3 2 2 2" xfId="4800"/>
    <cellStyle name="40% - Accent6 3 2 3 2 3" xfId="4801"/>
    <cellStyle name="40% - Accent6 3 2 3 3" xfId="4802"/>
    <cellStyle name="40% - Accent6 3 2 3 3 2" xfId="4803"/>
    <cellStyle name="40% - Accent6 3 2 3 4" xfId="4804"/>
    <cellStyle name="40% - Accent6 3 2 4" xfId="4805"/>
    <cellStyle name="40% - Accent6 3 2 4 2" xfId="4806"/>
    <cellStyle name="40% - Accent6 3 2 4 2 2" xfId="4807"/>
    <cellStyle name="40% - Accent6 3 2 4 3" xfId="4808"/>
    <cellStyle name="40% - Accent6 3 2 5" xfId="4809"/>
    <cellStyle name="40% - Accent6 3 2 5 2" xfId="4810"/>
    <cellStyle name="40% - Accent6 3 2 6" xfId="4811"/>
    <cellStyle name="40% - Accent6 3 2 7" xfId="4812"/>
    <cellStyle name="40% - Accent6 3 3" xfId="4813"/>
    <cellStyle name="40% - Accent6 3 3 2" xfId="4814"/>
    <cellStyle name="40% - Accent6 3 3 2 2" xfId="4815"/>
    <cellStyle name="40% - Accent6 3 3 2 2 2" xfId="4816"/>
    <cellStyle name="40% - Accent6 3 3 2 2 2 2" xfId="4817"/>
    <cellStyle name="40% - Accent6 3 3 2 2 3" xfId="4818"/>
    <cellStyle name="40% - Accent6 3 3 2 3" xfId="4819"/>
    <cellStyle name="40% - Accent6 3 3 2 3 2" xfId="4820"/>
    <cellStyle name="40% - Accent6 3 3 2 4" xfId="4821"/>
    <cellStyle name="40% - Accent6 3 3 3" xfId="4822"/>
    <cellStyle name="40% - Accent6 3 3 3 2" xfId="4823"/>
    <cellStyle name="40% - Accent6 3 3 3 2 2" xfId="4824"/>
    <cellStyle name="40% - Accent6 3 3 3 3" xfId="4825"/>
    <cellStyle name="40% - Accent6 3 3 4" xfId="4826"/>
    <cellStyle name="40% - Accent6 3 3 4 2" xfId="4827"/>
    <cellStyle name="40% - Accent6 3 3 5" xfId="4828"/>
    <cellStyle name="40% - Accent6 3 3 6" xfId="4829"/>
    <cellStyle name="40% - Accent6 3 4" xfId="4830"/>
    <cellStyle name="40% - Accent6 3 4 2" xfId="4831"/>
    <cellStyle name="40% - Accent6 3 4 2 2" xfId="4832"/>
    <cellStyle name="40% - Accent6 3 4 2 2 2" xfId="4833"/>
    <cellStyle name="40% - Accent6 3 4 2 3" xfId="4834"/>
    <cellStyle name="40% - Accent6 3 4 3" xfId="4835"/>
    <cellStyle name="40% - Accent6 3 4 3 2" xfId="4836"/>
    <cellStyle name="40% - Accent6 3 4 4" xfId="4837"/>
    <cellStyle name="40% - Accent6 3 4 5" xfId="4838"/>
    <cellStyle name="40% - Accent6 3 5" xfId="4839"/>
    <cellStyle name="40% - Accent6 3 5 2" xfId="4840"/>
    <cellStyle name="40% - Accent6 3 5 2 2" xfId="4841"/>
    <cellStyle name="40% - Accent6 3 5 3" xfId="4842"/>
    <cellStyle name="40% - Accent6 3 6" xfId="4843"/>
    <cellStyle name="40% - Accent6 3 6 2" xfId="4844"/>
    <cellStyle name="40% - Accent6 3 7" xfId="4845"/>
    <cellStyle name="40% - Accent6 3 8" xfId="4846"/>
    <cellStyle name="40% - Accent6 3 9" xfId="4847"/>
    <cellStyle name="40% - Accent6 30" xfId="746"/>
    <cellStyle name="40% - Accent6 31" xfId="747"/>
    <cellStyle name="40% - Accent6 32" xfId="748"/>
    <cellStyle name="40% - Accent6 33" xfId="749"/>
    <cellStyle name="40% - Accent6 34" xfId="750"/>
    <cellStyle name="40% - Accent6 35" xfId="751"/>
    <cellStyle name="40% - Accent6 4" xfId="752"/>
    <cellStyle name="40% - Accent6 4 2" xfId="4848"/>
    <cellStyle name="40% - Accent6 4 2 2" xfId="4849"/>
    <cellStyle name="40% - Accent6 4 2 2 2" xfId="4850"/>
    <cellStyle name="40% - Accent6 4 2 2 2 2" xfId="4851"/>
    <cellStyle name="40% - Accent6 4 2 2 2 2 2" xfId="4852"/>
    <cellStyle name="40% - Accent6 4 2 2 2 3" xfId="4853"/>
    <cellStyle name="40% - Accent6 4 2 2 3" xfId="4854"/>
    <cellStyle name="40% - Accent6 4 2 2 3 2" xfId="4855"/>
    <cellStyle name="40% - Accent6 4 2 2 4" xfId="4856"/>
    <cellStyle name="40% - Accent6 4 2 3" xfId="4857"/>
    <cellStyle name="40% - Accent6 4 2 3 2" xfId="4858"/>
    <cellStyle name="40% - Accent6 4 2 3 2 2" xfId="4859"/>
    <cellStyle name="40% - Accent6 4 2 3 3" xfId="4860"/>
    <cellStyle name="40% - Accent6 4 2 4" xfId="4861"/>
    <cellStyle name="40% - Accent6 4 2 4 2" xfId="4862"/>
    <cellStyle name="40% - Accent6 4 2 5" xfId="4863"/>
    <cellStyle name="40% - Accent6 4 2 6" xfId="4864"/>
    <cellStyle name="40% - Accent6 4 3" xfId="4865"/>
    <cellStyle name="40% - Accent6 4 3 2" xfId="4866"/>
    <cellStyle name="40% - Accent6 4 3 2 2" xfId="4867"/>
    <cellStyle name="40% - Accent6 4 3 2 2 2" xfId="4868"/>
    <cellStyle name="40% - Accent6 4 3 2 3" xfId="4869"/>
    <cellStyle name="40% - Accent6 4 3 3" xfId="4870"/>
    <cellStyle name="40% - Accent6 4 3 3 2" xfId="4871"/>
    <cellStyle name="40% - Accent6 4 3 4" xfId="4872"/>
    <cellStyle name="40% - Accent6 4 3 5" xfId="4873"/>
    <cellStyle name="40% - Accent6 4 4" xfId="4874"/>
    <cellStyle name="40% - Accent6 4 4 2" xfId="4875"/>
    <cellStyle name="40% - Accent6 4 4 2 2" xfId="4876"/>
    <cellStyle name="40% - Accent6 4 4 3" xfId="4877"/>
    <cellStyle name="40% - Accent6 4 5" xfId="4878"/>
    <cellStyle name="40% - Accent6 4 5 2" xfId="4879"/>
    <cellStyle name="40% - Accent6 4 6" xfId="4880"/>
    <cellStyle name="40% - Accent6 4 7" xfId="4881"/>
    <cellStyle name="40% - Accent6 5" xfId="753"/>
    <cellStyle name="40% - Accent6 5 2" xfId="4882"/>
    <cellStyle name="40% - Accent6 5 2 2" xfId="4883"/>
    <cellStyle name="40% - Accent6 5 2 2 2" xfId="4884"/>
    <cellStyle name="40% - Accent6 5 2 2 2 2" xfId="4885"/>
    <cellStyle name="40% - Accent6 5 2 2 3" xfId="4886"/>
    <cellStyle name="40% - Accent6 5 2 3" xfId="4887"/>
    <cellStyle name="40% - Accent6 5 2 3 2" xfId="4888"/>
    <cellStyle name="40% - Accent6 5 2 4" xfId="4889"/>
    <cellStyle name="40% - Accent6 5 2 5" xfId="4890"/>
    <cellStyle name="40% - Accent6 5 3" xfId="4891"/>
    <cellStyle name="40% - Accent6 5 3 2" xfId="4892"/>
    <cellStyle name="40% - Accent6 5 3 2 2" xfId="4893"/>
    <cellStyle name="40% - Accent6 5 3 3" xfId="4894"/>
    <cellStyle name="40% - Accent6 5 4" xfId="4895"/>
    <cellStyle name="40% - Accent6 5 4 2" xfId="4896"/>
    <cellStyle name="40% - Accent6 5 5" xfId="4897"/>
    <cellStyle name="40% - Accent6 5 6" xfId="4898"/>
    <cellStyle name="40% - Accent6 6" xfId="754"/>
    <cellStyle name="40% - Accent6 6 2" xfId="4899"/>
    <cellStyle name="40% - Accent6 6 2 2" xfId="4900"/>
    <cellStyle name="40% - Accent6 6 2 2 2" xfId="4901"/>
    <cellStyle name="40% - Accent6 6 2 3" xfId="4902"/>
    <cellStyle name="40% - Accent6 6 2 4" xfId="4903"/>
    <cellStyle name="40% - Accent6 6 2 5" xfId="4904"/>
    <cellStyle name="40% - Accent6 6 3" xfId="4905"/>
    <cellStyle name="40% - Accent6 6 3 2" xfId="4906"/>
    <cellStyle name="40% - Accent6 6 4" xfId="4907"/>
    <cellStyle name="40% - Accent6 6 5" xfId="4908"/>
    <cellStyle name="40% - Accent6 7" xfId="755"/>
    <cellStyle name="40% - Accent6 7 2" xfId="4909"/>
    <cellStyle name="40% - Accent6 7 2 2" xfId="4910"/>
    <cellStyle name="40% - Accent6 7 2 2 2" xfId="4911"/>
    <cellStyle name="40% - Accent6 7 2 3" xfId="4912"/>
    <cellStyle name="40% - Accent6 7 3" xfId="4913"/>
    <cellStyle name="40% - Accent6 7 3 2" xfId="4914"/>
    <cellStyle name="40% - Accent6 7 4" xfId="4915"/>
    <cellStyle name="40% - Accent6 7 5" xfId="4916"/>
    <cellStyle name="40% - Accent6 8" xfId="756"/>
    <cellStyle name="40% - Accent6 8 2" xfId="4917"/>
    <cellStyle name="40% - Accent6 8 2 2" xfId="4918"/>
    <cellStyle name="40% - Accent6 8 2 2 2" xfId="4919"/>
    <cellStyle name="40% - Accent6 8 2 3" xfId="4920"/>
    <cellStyle name="40% - Accent6 8 3" xfId="4921"/>
    <cellStyle name="40% - Accent6 8 3 2" xfId="4922"/>
    <cellStyle name="40% - Accent6 8 4" xfId="4923"/>
    <cellStyle name="40% - Accent6 8 5" xfId="4924"/>
    <cellStyle name="40% - Accent6 9" xfId="757"/>
    <cellStyle name="40% - Accent6 9 2" xfId="4925"/>
    <cellStyle name="40% - Accent6 9 2 2" xfId="4926"/>
    <cellStyle name="40% - Accent6 9 3" xfId="4927"/>
    <cellStyle name="40% - Accent6 9 4" xfId="4928"/>
    <cellStyle name="60% - Accent1 10" xfId="758"/>
    <cellStyle name="60% - Accent1 11" xfId="759"/>
    <cellStyle name="60% - Accent1 12" xfId="760"/>
    <cellStyle name="60% - Accent1 13" xfId="761"/>
    <cellStyle name="60% - Accent1 14" xfId="762"/>
    <cellStyle name="60% - Accent1 15" xfId="763"/>
    <cellStyle name="60% - Accent1 16" xfId="764"/>
    <cellStyle name="60% - Accent1 17" xfId="765"/>
    <cellStyle name="60% - Accent1 17 2" xfId="4929"/>
    <cellStyle name="60% - Accent1 18" xfId="766"/>
    <cellStyle name="60% - Accent1 19" xfId="767"/>
    <cellStyle name="60% - Accent1 2" xfId="768"/>
    <cellStyle name="60% - Accent1 2 2" xfId="769"/>
    <cellStyle name="60% - Accent1 2 2 2" xfId="770"/>
    <cellStyle name="60% - Accent1 2 2 2 2" xfId="771"/>
    <cellStyle name="60% - Accent1 2 2 2 3" xfId="772"/>
    <cellStyle name="60% - Accent1 2 2 2 4" xfId="773"/>
    <cellStyle name="60% - Accent1 2 2 2 5" xfId="774"/>
    <cellStyle name="60% - Accent1 2 2 3" xfId="775"/>
    <cellStyle name="60% - Accent1 2 2 4" xfId="776"/>
    <cellStyle name="60% - Accent1 2 2 5" xfId="777"/>
    <cellStyle name="60% - Accent1 2 3" xfId="778"/>
    <cellStyle name="60% - Accent1 2 4" xfId="779"/>
    <cellStyle name="60% - Accent1 2 5" xfId="780"/>
    <cellStyle name="60% - Accent1 2 6" xfId="781"/>
    <cellStyle name="60% - Accent1 2 7" xfId="782"/>
    <cellStyle name="60% - Accent1 2 8" xfId="783"/>
    <cellStyle name="60% - Accent1 2 9" xfId="784"/>
    <cellStyle name="60% - Accent1 20" xfId="785"/>
    <cellStyle name="60% - Accent1 21" xfId="786"/>
    <cellStyle name="60% - Accent1 22" xfId="787"/>
    <cellStyle name="60% - Accent1 3" xfId="788"/>
    <cellStyle name="60% - Accent1 3 2" xfId="4930"/>
    <cellStyle name="60% - Accent1 4" xfId="789"/>
    <cellStyle name="60% - Accent1 4 2" xfId="4931"/>
    <cellStyle name="60% - Accent1 5" xfId="790"/>
    <cellStyle name="60% - Accent1 6" xfId="791"/>
    <cellStyle name="60% - Accent1 7" xfId="792"/>
    <cellStyle name="60% - Accent1 8" xfId="793"/>
    <cellStyle name="60% - Accent1 9" xfId="794"/>
    <cellStyle name="60% - Accent2 10" xfId="795"/>
    <cellStyle name="60% - Accent2 11" xfId="796"/>
    <cellStyle name="60% - Accent2 12" xfId="797"/>
    <cellStyle name="60% - Accent2 13" xfId="798"/>
    <cellStyle name="60% - Accent2 14" xfId="799"/>
    <cellStyle name="60% - Accent2 15" xfId="800"/>
    <cellStyle name="60% - Accent2 16" xfId="801"/>
    <cellStyle name="60% - Accent2 17" xfId="802"/>
    <cellStyle name="60% - Accent2 17 2" xfId="4932"/>
    <cellStyle name="60% - Accent2 18" xfId="803"/>
    <cellStyle name="60% - Accent2 19" xfId="804"/>
    <cellStyle name="60% - Accent2 2" xfId="805"/>
    <cellStyle name="60% - Accent2 2 2" xfId="806"/>
    <cellStyle name="60% - Accent2 2 2 2" xfId="807"/>
    <cellStyle name="60% - Accent2 2 2 2 2" xfId="808"/>
    <cellStyle name="60% - Accent2 2 2 2 3" xfId="809"/>
    <cellStyle name="60% - Accent2 2 2 2 4" xfId="810"/>
    <cellStyle name="60% - Accent2 2 2 2 5" xfId="811"/>
    <cellStyle name="60% - Accent2 2 2 3" xfId="812"/>
    <cellStyle name="60% - Accent2 2 2 4" xfId="813"/>
    <cellStyle name="60% - Accent2 2 2 5" xfId="814"/>
    <cellStyle name="60% - Accent2 2 3" xfId="815"/>
    <cellStyle name="60% - Accent2 2 4" xfId="816"/>
    <cellStyle name="60% - Accent2 2 5" xfId="817"/>
    <cellStyle name="60% - Accent2 2 6" xfId="818"/>
    <cellStyle name="60% - Accent2 2 7" xfId="819"/>
    <cellStyle name="60% - Accent2 2 8" xfId="820"/>
    <cellStyle name="60% - Accent2 2 9" xfId="821"/>
    <cellStyle name="60% - Accent2 20" xfId="822"/>
    <cellStyle name="60% - Accent2 21" xfId="823"/>
    <cellStyle name="60% - Accent2 22" xfId="824"/>
    <cellStyle name="60% - Accent2 3" xfId="825"/>
    <cellStyle name="60% - Accent2 3 2" xfId="4933"/>
    <cellStyle name="60% - Accent2 4" xfId="826"/>
    <cellStyle name="60% - Accent2 4 2" xfId="4934"/>
    <cellStyle name="60% - Accent2 5" xfId="827"/>
    <cellStyle name="60% - Accent2 6" xfId="828"/>
    <cellStyle name="60% - Accent2 7" xfId="829"/>
    <cellStyle name="60% - Accent2 8" xfId="830"/>
    <cellStyle name="60% - Accent2 9" xfId="831"/>
    <cellStyle name="60% - Accent3 10" xfId="832"/>
    <cellStyle name="60% - Accent3 11" xfId="833"/>
    <cellStyle name="60% - Accent3 12" xfId="834"/>
    <cellStyle name="60% - Accent3 13" xfId="835"/>
    <cellStyle name="60% - Accent3 14" xfId="836"/>
    <cellStyle name="60% - Accent3 15" xfId="837"/>
    <cellStyle name="60% - Accent3 16" xfId="838"/>
    <cellStyle name="60% - Accent3 17" xfId="839"/>
    <cellStyle name="60% - Accent3 17 2" xfId="4935"/>
    <cellStyle name="60% - Accent3 18" xfId="840"/>
    <cellStyle name="60% - Accent3 19" xfId="841"/>
    <cellStyle name="60% - Accent3 2" xfId="842"/>
    <cellStyle name="60% - Accent3 2 2" xfId="843"/>
    <cellStyle name="60% - Accent3 2 2 2" xfId="844"/>
    <cellStyle name="60% - Accent3 2 2 2 2" xfId="845"/>
    <cellStyle name="60% - Accent3 2 2 2 3" xfId="846"/>
    <cellStyle name="60% - Accent3 2 2 2 4" xfId="847"/>
    <cellStyle name="60% - Accent3 2 2 2 5" xfId="848"/>
    <cellStyle name="60% - Accent3 2 2 3" xfId="849"/>
    <cellStyle name="60% - Accent3 2 2 4" xfId="850"/>
    <cellStyle name="60% - Accent3 2 2 5" xfId="851"/>
    <cellStyle name="60% - Accent3 2 3" xfId="852"/>
    <cellStyle name="60% - Accent3 2 4" xfId="853"/>
    <cellStyle name="60% - Accent3 2 5" xfId="854"/>
    <cellStyle name="60% - Accent3 2 6" xfId="855"/>
    <cellStyle name="60% - Accent3 2 7" xfId="856"/>
    <cellStyle name="60% - Accent3 2 8" xfId="857"/>
    <cellStyle name="60% - Accent3 2 9" xfId="858"/>
    <cellStyle name="60% - Accent3 20" xfId="859"/>
    <cellStyle name="60% - Accent3 21" xfId="860"/>
    <cellStyle name="60% - Accent3 22" xfId="861"/>
    <cellStyle name="60% - Accent3 3" xfId="862"/>
    <cellStyle name="60% - Accent3 3 2" xfId="4936"/>
    <cellStyle name="60% - Accent3 4" xfId="863"/>
    <cellStyle name="60% - Accent3 4 2" xfId="4937"/>
    <cellStyle name="60% - Accent3 5" xfId="864"/>
    <cellStyle name="60% - Accent3 6" xfId="865"/>
    <cellStyle name="60% - Accent3 7" xfId="866"/>
    <cellStyle name="60% - Accent3 8" xfId="867"/>
    <cellStyle name="60% - Accent3 9" xfId="868"/>
    <cellStyle name="60% - Accent4 10" xfId="869"/>
    <cellStyle name="60% - Accent4 11" xfId="870"/>
    <cellStyle name="60% - Accent4 12" xfId="871"/>
    <cellStyle name="60% - Accent4 13" xfId="872"/>
    <cellStyle name="60% - Accent4 14" xfId="873"/>
    <cellStyle name="60% - Accent4 15" xfId="874"/>
    <cellStyle name="60% - Accent4 16" xfId="875"/>
    <cellStyle name="60% - Accent4 17" xfId="876"/>
    <cellStyle name="60% - Accent4 17 2" xfId="4938"/>
    <cellStyle name="60% - Accent4 18" xfId="877"/>
    <cellStyle name="60% - Accent4 19" xfId="878"/>
    <cellStyle name="60% - Accent4 2" xfId="879"/>
    <cellStyle name="60% - Accent4 2 2" xfId="880"/>
    <cellStyle name="60% - Accent4 2 2 2" xfId="881"/>
    <cellStyle name="60% - Accent4 2 2 2 2" xfId="882"/>
    <cellStyle name="60% - Accent4 2 2 2 3" xfId="883"/>
    <cellStyle name="60% - Accent4 2 2 2 4" xfId="884"/>
    <cellStyle name="60% - Accent4 2 2 2 5" xfId="885"/>
    <cellStyle name="60% - Accent4 2 2 3" xfId="886"/>
    <cellStyle name="60% - Accent4 2 2 4" xfId="887"/>
    <cellStyle name="60% - Accent4 2 2 5" xfId="888"/>
    <cellStyle name="60% - Accent4 2 3" xfId="889"/>
    <cellStyle name="60% - Accent4 2 4" xfId="890"/>
    <cellStyle name="60% - Accent4 2 5" xfId="891"/>
    <cellStyle name="60% - Accent4 2 6" xfId="892"/>
    <cellStyle name="60% - Accent4 2 7" xfId="893"/>
    <cellStyle name="60% - Accent4 2 8" xfId="894"/>
    <cellStyle name="60% - Accent4 2 9" xfId="895"/>
    <cellStyle name="60% - Accent4 20" xfId="896"/>
    <cellStyle name="60% - Accent4 21" xfId="897"/>
    <cellStyle name="60% - Accent4 22" xfId="898"/>
    <cellStyle name="60% - Accent4 3" xfId="899"/>
    <cellStyle name="60% - Accent4 3 2" xfId="4939"/>
    <cellStyle name="60% - Accent4 4" xfId="900"/>
    <cellStyle name="60% - Accent4 4 2" xfId="4940"/>
    <cellStyle name="60% - Accent4 5" xfId="901"/>
    <cellStyle name="60% - Accent4 6" xfId="902"/>
    <cellStyle name="60% - Accent4 7" xfId="903"/>
    <cellStyle name="60% - Accent4 8" xfId="904"/>
    <cellStyle name="60% - Accent4 9" xfId="905"/>
    <cellStyle name="60% - Accent5 10" xfId="906"/>
    <cellStyle name="60% - Accent5 11" xfId="907"/>
    <cellStyle name="60% - Accent5 12" xfId="908"/>
    <cellStyle name="60% - Accent5 13" xfId="909"/>
    <cellStyle name="60% - Accent5 14" xfId="910"/>
    <cellStyle name="60% - Accent5 15" xfId="911"/>
    <cellStyle name="60% - Accent5 16" xfId="912"/>
    <cellStyle name="60% - Accent5 17" xfId="913"/>
    <cellStyle name="60% - Accent5 17 2" xfId="4941"/>
    <cellStyle name="60% - Accent5 18" xfId="914"/>
    <cellStyle name="60% - Accent5 19" xfId="915"/>
    <cellStyle name="60% - Accent5 2" xfId="916"/>
    <cellStyle name="60% - Accent5 2 2" xfId="917"/>
    <cellStyle name="60% - Accent5 2 2 2" xfId="918"/>
    <cellStyle name="60% - Accent5 2 2 2 2" xfId="919"/>
    <cellStyle name="60% - Accent5 2 2 2 3" xfId="920"/>
    <cellStyle name="60% - Accent5 2 2 2 4" xfId="921"/>
    <cellStyle name="60% - Accent5 2 2 2 5" xfId="922"/>
    <cellStyle name="60% - Accent5 2 2 3" xfId="923"/>
    <cellStyle name="60% - Accent5 2 2 4" xfId="924"/>
    <cellStyle name="60% - Accent5 2 2 5" xfId="925"/>
    <cellStyle name="60% - Accent5 2 3" xfId="926"/>
    <cellStyle name="60% - Accent5 2 4" xfId="927"/>
    <cellStyle name="60% - Accent5 2 5" xfId="928"/>
    <cellStyle name="60% - Accent5 2 6" xfId="929"/>
    <cellStyle name="60% - Accent5 2 7" xfId="930"/>
    <cellStyle name="60% - Accent5 2 8" xfId="931"/>
    <cellStyle name="60% - Accent5 2 9" xfId="932"/>
    <cellStyle name="60% - Accent5 20" xfId="933"/>
    <cellStyle name="60% - Accent5 21" xfId="934"/>
    <cellStyle name="60% - Accent5 22" xfId="935"/>
    <cellStyle name="60% - Accent5 3" xfId="936"/>
    <cellStyle name="60% - Accent5 3 2" xfId="4942"/>
    <cellStyle name="60% - Accent5 4" xfId="937"/>
    <cellStyle name="60% - Accent5 4 2" xfId="4943"/>
    <cellStyle name="60% - Accent5 5" xfId="938"/>
    <cellStyle name="60% - Accent5 6" xfId="939"/>
    <cellStyle name="60% - Accent5 7" xfId="940"/>
    <cellStyle name="60% - Accent5 8" xfId="941"/>
    <cellStyle name="60% - Accent5 9" xfId="942"/>
    <cellStyle name="60% - Accent6 10" xfId="943"/>
    <cellStyle name="60% - Accent6 11" xfId="944"/>
    <cellStyle name="60% - Accent6 12" xfId="945"/>
    <cellStyle name="60% - Accent6 13" xfId="946"/>
    <cellStyle name="60% - Accent6 14" xfId="947"/>
    <cellStyle name="60% - Accent6 15" xfId="948"/>
    <cellStyle name="60% - Accent6 16" xfId="949"/>
    <cellStyle name="60% - Accent6 17" xfId="950"/>
    <cellStyle name="60% - Accent6 17 2" xfId="4944"/>
    <cellStyle name="60% - Accent6 18" xfId="951"/>
    <cellStyle name="60% - Accent6 19" xfId="952"/>
    <cellStyle name="60% - Accent6 2" xfId="953"/>
    <cellStyle name="60% - Accent6 2 2" xfId="954"/>
    <cellStyle name="60% - Accent6 2 2 2" xfId="955"/>
    <cellStyle name="60% - Accent6 2 2 2 2" xfId="956"/>
    <cellStyle name="60% - Accent6 2 2 2 3" xfId="957"/>
    <cellStyle name="60% - Accent6 2 2 2 4" xfId="958"/>
    <cellStyle name="60% - Accent6 2 2 2 5" xfId="959"/>
    <cellStyle name="60% - Accent6 2 2 3" xfId="960"/>
    <cellStyle name="60% - Accent6 2 2 4" xfId="961"/>
    <cellStyle name="60% - Accent6 2 2 5" xfId="962"/>
    <cellStyle name="60% - Accent6 2 3" xfId="963"/>
    <cellStyle name="60% - Accent6 2 4" xfId="964"/>
    <cellStyle name="60% - Accent6 2 5" xfId="965"/>
    <cellStyle name="60% - Accent6 2 6" xfId="966"/>
    <cellStyle name="60% - Accent6 2 7" xfId="967"/>
    <cellStyle name="60% - Accent6 2 8" xfId="968"/>
    <cellStyle name="60% - Accent6 2 9" xfId="969"/>
    <cellStyle name="60% - Accent6 20" xfId="970"/>
    <cellStyle name="60% - Accent6 21" xfId="971"/>
    <cellStyle name="60% - Accent6 22" xfId="972"/>
    <cellStyle name="60% - Accent6 3" xfId="973"/>
    <cellStyle name="60% - Accent6 3 2" xfId="4945"/>
    <cellStyle name="60% - Accent6 4" xfId="974"/>
    <cellStyle name="60% - Accent6 4 2" xfId="4946"/>
    <cellStyle name="60% - Accent6 5" xfId="975"/>
    <cellStyle name="60% - Accent6 6" xfId="976"/>
    <cellStyle name="60% - Accent6 7" xfId="977"/>
    <cellStyle name="60% - Accent6 8" xfId="978"/>
    <cellStyle name="60% - Accent6 9" xfId="979"/>
    <cellStyle name="ac" xfId="4947"/>
    <cellStyle name="Accent1 10" xfId="980"/>
    <cellStyle name="Accent1 11" xfId="981"/>
    <cellStyle name="Accent1 12" xfId="982"/>
    <cellStyle name="Accent1 13" xfId="983"/>
    <cellStyle name="Accent1 14" xfId="984"/>
    <cellStyle name="Accent1 15" xfId="985"/>
    <cellStyle name="Accent1 16" xfId="986"/>
    <cellStyle name="Accent1 17" xfId="987"/>
    <cellStyle name="Accent1 17 2" xfId="4948"/>
    <cellStyle name="Accent1 18" xfId="988"/>
    <cellStyle name="Accent1 19" xfId="989"/>
    <cellStyle name="Accent1 2" xfId="990"/>
    <cellStyle name="Accent1 2 2" xfId="991"/>
    <cellStyle name="Accent1 2 2 2" xfId="992"/>
    <cellStyle name="Accent1 2 2 2 2" xfId="993"/>
    <cellStyle name="Accent1 2 2 2 3" xfId="994"/>
    <cellStyle name="Accent1 2 2 2 4" xfId="995"/>
    <cellStyle name="Accent1 2 2 2 5" xfId="996"/>
    <cellStyle name="Accent1 2 2 3" xfId="997"/>
    <cellStyle name="Accent1 2 2 4" xfId="998"/>
    <cellStyle name="Accent1 2 2 5" xfId="999"/>
    <cellStyle name="Accent1 2 3" xfId="1000"/>
    <cellStyle name="Accent1 2 4" xfId="1001"/>
    <cellStyle name="Accent1 2 5" xfId="1002"/>
    <cellStyle name="Accent1 2 6" xfId="1003"/>
    <cellStyle name="Accent1 2 7" xfId="1004"/>
    <cellStyle name="Accent1 2 8" xfId="1005"/>
    <cellStyle name="Accent1 2 9" xfId="1006"/>
    <cellStyle name="Accent1 20" xfId="1007"/>
    <cellStyle name="Accent1 21" xfId="1008"/>
    <cellStyle name="Accent1 22" xfId="1009"/>
    <cellStyle name="Accent1 3" xfId="1010"/>
    <cellStyle name="Accent1 3 2" xfId="4949"/>
    <cellStyle name="Accent1 4" xfId="1011"/>
    <cellStyle name="Accent1 4 2" xfId="4950"/>
    <cellStyle name="Accent1 5" xfId="1012"/>
    <cellStyle name="Accent1 6" xfId="1013"/>
    <cellStyle name="Accent1 7" xfId="1014"/>
    <cellStyle name="Accent1 8" xfId="1015"/>
    <cellStyle name="Accent1 9" xfId="1016"/>
    <cellStyle name="Accent2 10" xfId="1017"/>
    <cellStyle name="Accent2 11" xfId="1018"/>
    <cellStyle name="Accent2 12" xfId="1019"/>
    <cellStyle name="Accent2 13" xfId="1020"/>
    <cellStyle name="Accent2 14" xfId="1021"/>
    <cellStyle name="Accent2 15" xfId="1022"/>
    <cellStyle name="Accent2 16" xfId="1023"/>
    <cellStyle name="Accent2 17" xfId="1024"/>
    <cellStyle name="Accent2 17 2" xfId="4951"/>
    <cellStyle name="Accent2 18" xfId="1025"/>
    <cellStyle name="Accent2 19" xfId="1026"/>
    <cellStyle name="Accent2 2" xfId="1027"/>
    <cellStyle name="Accent2 2 2" xfId="1028"/>
    <cellStyle name="Accent2 2 2 2" xfId="1029"/>
    <cellStyle name="Accent2 2 2 2 2" xfId="1030"/>
    <cellStyle name="Accent2 2 2 2 3" xfId="1031"/>
    <cellStyle name="Accent2 2 2 2 4" xfId="1032"/>
    <cellStyle name="Accent2 2 2 2 5" xfId="1033"/>
    <cellStyle name="Accent2 2 2 3" xfId="1034"/>
    <cellStyle name="Accent2 2 2 4" xfId="1035"/>
    <cellStyle name="Accent2 2 2 5" xfId="1036"/>
    <cellStyle name="Accent2 2 3" xfId="1037"/>
    <cellStyle name="Accent2 2 4" xfId="1038"/>
    <cellStyle name="Accent2 2 5" xfId="1039"/>
    <cellStyle name="Accent2 2 6" xfId="1040"/>
    <cellStyle name="Accent2 2 7" xfId="1041"/>
    <cellStyle name="Accent2 2 8" xfId="1042"/>
    <cellStyle name="Accent2 2 9" xfId="1043"/>
    <cellStyle name="Accent2 20" xfId="1044"/>
    <cellStyle name="Accent2 21" xfId="1045"/>
    <cellStyle name="Accent2 22" xfId="1046"/>
    <cellStyle name="Accent2 3" xfId="1047"/>
    <cellStyle name="Accent2 3 2" xfId="4952"/>
    <cellStyle name="Accent2 4" xfId="1048"/>
    <cellStyle name="Accent2 4 2" xfId="4953"/>
    <cellStyle name="Accent2 5" xfId="1049"/>
    <cellStyle name="Accent2 6" xfId="1050"/>
    <cellStyle name="Accent2 7" xfId="1051"/>
    <cellStyle name="Accent2 8" xfId="1052"/>
    <cellStyle name="Accent2 9" xfId="1053"/>
    <cellStyle name="Accent3 10" xfId="1054"/>
    <cellStyle name="Accent3 11" xfId="1055"/>
    <cellStyle name="Accent3 12" xfId="1056"/>
    <cellStyle name="Accent3 13" xfId="1057"/>
    <cellStyle name="Accent3 14" xfId="1058"/>
    <cellStyle name="Accent3 15" xfId="1059"/>
    <cellStyle name="Accent3 16" xfId="1060"/>
    <cellStyle name="Accent3 17" xfId="1061"/>
    <cellStyle name="Accent3 17 2" xfId="4954"/>
    <cellStyle name="Accent3 18" xfId="1062"/>
    <cellStyle name="Accent3 19" xfId="1063"/>
    <cellStyle name="Accent3 2" xfId="1064"/>
    <cellStyle name="Accent3 2 2" xfId="1065"/>
    <cellStyle name="Accent3 2 2 2" xfId="1066"/>
    <cellStyle name="Accent3 2 2 2 2" xfId="1067"/>
    <cellStyle name="Accent3 2 2 2 3" xfId="1068"/>
    <cellStyle name="Accent3 2 2 2 4" xfId="1069"/>
    <cellStyle name="Accent3 2 2 2 5" xfId="1070"/>
    <cellStyle name="Accent3 2 2 3" xfId="1071"/>
    <cellStyle name="Accent3 2 2 4" xfId="1072"/>
    <cellStyle name="Accent3 2 2 5" xfId="1073"/>
    <cellStyle name="Accent3 2 3" xfId="1074"/>
    <cellStyle name="Accent3 2 4" xfId="1075"/>
    <cellStyle name="Accent3 2 5" xfId="1076"/>
    <cellStyle name="Accent3 2 6" xfId="1077"/>
    <cellStyle name="Accent3 2 7" xfId="1078"/>
    <cellStyle name="Accent3 2 8" xfId="1079"/>
    <cellStyle name="Accent3 2 9" xfId="1080"/>
    <cellStyle name="Accent3 20" xfId="1081"/>
    <cellStyle name="Accent3 21" xfId="1082"/>
    <cellStyle name="Accent3 22" xfId="1083"/>
    <cellStyle name="Accent3 3" xfId="1084"/>
    <cellStyle name="Accent3 3 2" xfId="4955"/>
    <cellStyle name="Accent3 4" xfId="1085"/>
    <cellStyle name="Accent3 4 2" xfId="4956"/>
    <cellStyle name="Accent3 5" xfId="1086"/>
    <cellStyle name="Accent3 6" xfId="1087"/>
    <cellStyle name="Accent3 7" xfId="1088"/>
    <cellStyle name="Accent3 8" xfId="1089"/>
    <cellStyle name="Accent3 9" xfId="1090"/>
    <cellStyle name="Accent4 10" xfId="1091"/>
    <cellStyle name="Accent4 11" xfId="1092"/>
    <cellStyle name="Accent4 12" xfId="1093"/>
    <cellStyle name="Accent4 13" xfId="1094"/>
    <cellStyle name="Accent4 14" xfId="1095"/>
    <cellStyle name="Accent4 15" xfId="1096"/>
    <cellStyle name="Accent4 16" xfId="1097"/>
    <cellStyle name="Accent4 17" xfId="1098"/>
    <cellStyle name="Accent4 17 2" xfId="4957"/>
    <cellStyle name="Accent4 18" xfId="1099"/>
    <cellStyle name="Accent4 19" xfId="1100"/>
    <cellStyle name="Accent4 2" xfId="1101"/>
    <cellStyle name="Accent4 2 2" xfId="1102"/>
    <cellStyle name="Accent4 2 2 2" xfId="1103"/>
    <cellStyle name="Accent4 2 2 2 2" xfId="1104"/>
    <cellStyle name="Accent4 2 2 2 3" xfId="1105"/>
    <cellStyle name="Accent4 2 2 2 4" xfId="1106"/>
    <cellStyle name="Accent4 2 2 2 5" xfId="1107"/>
    <cellStyle name="Accent4 2 2 3" xfId="1108"/>
    <cellStyle name="Accent4 2 2 4" xfId="1109"/>
    <cellStyle name="Accent4 2 2 5" xfId="1110"/>
    <cellStyle name="Accent4 2 3" xfId="1111"/>
    <cellStyle name="Accent4 2 4" xfId="1112"/>
    <cellStyle name="Accent4 2 5" xfId="1113"/>
    <cellStyle name="Accent4 2 6" xfId="1114"/>
    <cellStyle name="Accent4 2 7" xfId="1115"/>
    <cellStyle name="Accent4 2 8" xfId="1116"/>
    <cellStyle name="Accent4 2 9" xfId="1117"/>
    <cellStyle name="Accent4 20" xfId="1118"/>
    <cellStyle name="Accent4 21" xfId="1119"/>
    <cellStyle name="Accent4 22" xfId="1120"/>
    <cellStyle name="Accent4 3" xfId="1121"/>
    <cellStyle name="Accent4 3 2" xfId="4958"/>
    <cellStyle name="Accent4 4" xfId="1122"/>
    <cellStyle name="Accent4 4 2" xfId="4959"/>
    <cellStyle name="Accent4 5" xfId="1123"/>
    <cellStyle name="Accent4 6" xfId="1124"/>
    <cellStyle name="Accent4 7" xfId="1125"/>
    <cellStyle name="Accent4 8" xfId="1126"/>
    <cellStyle name="Accent4 9" xfId="1127"/>
    <cellStyle name="Accent5 10" xfId="1128"/>
    <cellStyle name="Accent5 11" xfId="1129"/>
    <cellStyle name="Accent5 12" xfId="1130"/>
    <cellStyle name="Accent5 13" xfId="1131"/>
    <cellStyle name="Accent5 14" xfId="1132"/>
    <cellStyle name="Accent5 15" xfId="1133"/>
    <cellStyle name="Accent5 16" xfId="1134"/>
    <cellStyle name="Accent5 17" xfId="1135"/>
    <cellStyle name="Accent5 18" xfId="1136"/>
    <cellStyle name="Accent5 19" xfId="1137"/>
    <cellStyle name="Accent5 2" xfId="1138"/>
    <cellStyle name="Accent5 2 2" xfId="1139"/>
    <cellStyle name="Accent5 2 2 2" xfId="1140"/>
    <cellStyle name="Accent5 2 2 2 2" xfId="1141"/>
    <cellStyle name="Accent5 2 2 2 3" xfId="1142"/>
    <cellStyle name="Accent5 2 2 2 4" xfId="1143"/>
    <cellStyle name="Accent5 2 2 2 5" xfId="1144"/>
    <cellStyle name="Accent5 2 2 3" xfId="1145"/>
    <cellStyle name="Accent5 2 2 4" xfId="1146"/>
    <cellStyle name="Accent5 2 2 5" xfId="1147"/>
    <cellStyle name="Accent5 2 3" xfId="1148"/>
    <cellStyle name="Accent5 2 4" xfId="1149"/>
    <cellStyle name="Accent5 2 5" xfId="1150"/>
    <cellStyle name="Accent5 2 6" xfId="1151"/>
    <cellStyle name="Accent5 2 7" xfId="1152"/>
    <cellStyle name="Accent5 2 8" xfId="1153"/>
    <cellStyle name="Accent5 2 9" xfId="1154"/>
    <cellStyle name="Accent5 20" xfId="1155"/>
    <cellStyle name="Accent5 21" xfId="1156"/>
    <cellStyle name="Accent5 22" xfId="1157"/>
    <cellStyle name="Accent5 3" xfId="1158"/>
    <cellStyle name="Accent5 3 2" xfId="4960"/>
    <cellStyle name="Accent5 4" xfId="1159"/>
    <cellStyle name="Accent5 4 2" xfId="4961"/>
    <cellStyle name="Accent5 5" xfId="1160"/>
    <cellStyle name="Accent5 6" xfId="1161"/>
    <cellStyle name="Accent5 7" xfId="1162"/>
    <cellStyle name="Accent5 8" xfId="1163"/>
    <cellStyle name="Accent5 9" xfId="1164"/>
    <cellStyle name="Accent6 10" xfId="1165"/>
    <cellStyle name="Accent6 11" xfId="1166"/>
    <cellStyle name="Accent6 12" xfId="1167"/>
    <cellStyle name="Accent6 13" xfId="1168"/>
    <cellStyle name="Accent6 14" xfId="1169"/>
    <cellStyle name="Accent6 15" xfId="1170"/>
    <cellStyle name="Accent6 16" xfId="1171"/>
    <cellStyle name="Accent6 17" xfId="1172"/>
    <cellStyle name="Accent6 17 2" xfId="4962"/>
    <cellStyle name="Accent6 18" xfId="1173"/>
    <cellStyle name="Accent6 19" xfId="1174"/>
    <cellStyle name="Accent6 2" xfId="1175"/>
    <cellStyle name="Accent6 2 2" xfId="1176"/>
    <cellStyle name="Accent6 2 2 2" xfId="1177"/>
    <cellStyle name="Accent6 2 2 2 2" xfId="1178"/>
    <cellStyle name="Accent6 2 2 2 3" xfId="1179"/>
    <cellStyle name="Accent6 2 2 2 4" xfId="1180"/>
    <cellStyle name="Accent6 2 2 2 5" xfId="1181"/>
    <cellStyle name="Accent6 2 2 3" xfId="1182"/>
    <cellStyle name="Accent6 2 2 4" xfId="1183"/>
    <cellStyle name="Accent6 2 2 5" xfId="1184"/>
    <cellStyle name="Accent6 2 3" xfId="1185"/>
    <cellStyle name="Accent6 2 4" xfId="1186"/>
    <cellStyle name="Accent6 2 5" xfId="1187"/>
    <cellStyle name="Accent6 2 6" xfId="1188"/>
    <cellStyle name="Accent6 2 7" xfId="1189"/>
    <cellStyle name="Accent6 2 8" xfId="1190"/>
    <cellStyle name="Accent6 2 9" xfId="1191"/>
    <cellStyle name="Accent6 20" xfId="1192"/>
    <cellStyle name="Accent6 21" xfId="1193"/>
    <cellStyle name="Accent6 22" xfId="1194"/>
    <cellStyle name="Accent6 3" xfId="1195"/>
    <cellStyle name="Accent6 3 2" xfId="4963"/>
    <cellStyle name="Accent6 4" xfId="1196"/>
    <cellStyle name="Accent6 4 2" xfId="4964"/>
    <cellStyle name="Accent6 5" xfId="1197"/>
    <cellStyle name="Accent6 6" xfId="1198"/>
    <cellStyle name="Accent6 7" xfId="1199"/>
    <cellStyle name="Accent6 8" xfId="1200"/>
    <cellStyle name="Accent6 9" xfId="1201"/>
    <cellStyle name="Bad 10" xfId="1202"/>
    <cellStyle name="Bad 11" xfId="1203"/>
    <cellStyle name="Bad 12" xfId="1204"/>
    <cellStyle name="Bad 13" xfId="1205"/>
    <cellStyle name="Bad 14" xfId="1206"/>
    <cellStyle name="Bad 15" xfId="1207"/>
    <cellStyle name="Bad 16" xfId="1208"/>
    <cellStyle name="Bad 17" xfId="1209"/>
    <cellStyle name="Bad 17 2" xfId="4965"/>
    <cellStyle name="Bad 18" xfId="1210"/>
    <cellStyle name="Bad 19" xfId="1211"/>
    <cellStyle name="Bad 2" xfId="1212"/>
    <cellStyle name="Bad 2 2" xfId="1213"/>
    <cellStyle name="Bad 2 2 2" xfId="1214"/>
    <cellStyle name="Bad 2 2 2 2" xfId="1215"/>
    <cellStyle name="Bad 2 2 2 3" xfId="1216"/>
    <cellStyle name="Bad 2 2 2 4" xfId="1217"/>
    <cellStyle name="Bad 2 2 2 5" xfId="1218"/>
    <cellStyle name="Bad 2 2 3" xfId="1219"/>
    <cellStyle name="Bad 2 2 4" xfId="1220"/>
    <cellStyle name="Bad 2 2 5" xfId="1221"/>
    <cellStyle name="Bad 2 3" xfId="1222"/>
    <cellStyle name="Bad 2 4" xfId="1223"/>
    <cellStyle name="Bad 2 5" xfId="1224"/>
    <cellStyle name="Bad 2 6" xfId="1225"/>
    <cellStyle name="Bad 2 7" xfId="1226"/>
    <cellStyle name="Bad 2 8" xfId="1227"/>
    <cellStyle name="Bad 2 9" xfId="1228"/>
    <cellStyle name="Bad 20" xfId="1229"/>
    <cellStyle name="Bad 21" xfId="1230"/>
    <cellStyle name="Bad 22" xfId="1231"/>
    <cellStyle name="Bad 3" xfId="1232"/>
    <cellStyle name="Bad 3 2" xfId="4966"/>
    <cellStyle name="Bad 4" xfId="1233"/>
    <cellStyle name="Bad 5" xfId="1234"/>
    <cellStyle name="Bad 6" xfId="1235"/>
    <cellStyle name="Bad 7" xfId="1236"/>
    <cellStyle name="Bad 8" xfId="1237"/>
    <cellStyle name="Bad 9" xfId="1238"/>
    <cellStyle name="c" xfId="4967"/>
    <cellStyle name="Calculation 10" xfId="1239"/>
    <cellStyle name="Calculation 10 10" xfId="4968"/>
    <cellStyle name="Calculation 10 11" xfId="4969"/>
    <cellStyle name="Calculation 10 12" xfId="4970"/>
    <cellStyle name="Calculation 10 2" xfId="4971"/>
    <cellStyle name="Calculation 10 2 2" xfId="4972"/>
    <cellStyle name="Calculation 10 2 2 2" xfId="4973"/>
    <cellStyle name="Calculation 10 2 3" xfId="4974"/>
    <cellStyle name="Calculation 10 2 3 2" xfId="4975"/>
    <cellStyle name="Calculation 10 2 4" xfId="4976"/>
    <cellStyle name="Calculation 10 2 4 2" xfId="4977"/>
    <cellStyle name="Calculation 10 2 5" xfId="4978"/>
    <cellStyle name="Calculation 10 2 5 2" xfId="4979"/>
    <cellStyle name="Calculation 10 2 6" xfId="4980"/>
    <cellStyle name="Calculation 10 2 6 2" xfId="4981"/>
    <cellStyle name="Calculation 10 2 7" xfId="4982"/>
    <cellStyle name="Calculation 10 2 7 2" xfId="4983"/>
    <cellStyle name="Calculation 10 2 8" xfId="4984"/>
    <cellStyle name="Calculation 10 2 8 2" xfId="4985"/>
    <cellStyle name="Calculation 10 2 9" xfId="4986"/>
    <cellStyle name="Calculation 10 3" xfId="4987"/>
    <cellStyle name="Calculation 10 3 2" xfId="4988"/>
    <cellStyle name="Calculation 10 4" xfId="4989"/>
    <cellStyle name="Calculation 10 4 2" xfId="4990"/>
    <cellStyle name="Calculation 10 5" xfId="4991"/>
    <cellStyle name="Calculation 10 5 2" xfId="4992"/>
    <cellStyle name="Calculation 10 6" xfId="4993"/>
    <cellStyle name="Calculation 10 6 2" xfId="4994"/>
    <cellStyle name="Calculation 10 7" xfId="4995"/>
    <cellStyle name="Calculation 10 7 2" xfId="4996"/>
    <cellStyle name="Calculation 10 8" xfId="4997"/>
    <cellStyle name="Calculation 10 8 2" xfId="4998"/>
    <cellStyle name="Calculation 10 9" xfId="4999"/>
    <cellStyle name="Calculation 10 9 2" xfId="5000"/>
    <cellStyle name="Calculation 11" xfId="1240"/>
    <cellStyle name="Calculation 11 10" xfId="5001"/>
    <cellStyle name="Calculation 11 11" xfId="5002"/>
    <cellStyle name="Calculation 11 12" xfId="5003"/>
    <cellStyle name="Calculation 11 2" xfId="5004"/>
    <cellStyle name="Calculation 11 2 2" xfId="5005"/>
    <cellStyle name="Calculation 11 2 2 2" xfId="5006"/>
    <cellStyle name="Calculation 11 2 3" xfId="5007"/>
    <cellStyle name="Calculation 11 2 3 2" xfId="5008"/>
    <cellStyle name="Calculation 11 2 4" xfId="5009"/>
    <cellStyle name="Calculation 11 2 4 2" xfId="5010"/>
    <cellStyle name="Calculation 11 2 5" xfId="5011"/>
    <cellStyle name="Calculation 11 2 5 2" xfId="5012"/>
    <cellStyle name="Calculation 11 2 6" xfId="5013"/>
    <cellStyle name="Calculation 11 2 6 2" xfId="5014"/>
    <cellStyle name="Calculation 11 2 7" xfId="5015"/>
    <cellStyle name="Calculation 11 2 7 2" xfId="5016"/>
    <cellStyle name="Calculation 11 2 8" xfId="5017"/>
    <cellStyle name="Calculation 11 2 8 2" xfId="5018"/>
    <cellStyle name="Calculation 11 2 9" xfId="5019"/>
    <cellStyle name="Calculation 11 3" xfId="5020"/>
    <cellStyle name="Calculation 11 3 2" xfId="5021"/>
    <cellStyle name="Calculation 11 4" xfId="5022"/>
    <cellStyle name="Calculation 11 4 2" xfId="5023"/>
    <cellStyle name="Calculation 11 5" xfId="5024"/>
    <cellStyle name="Calculation 11 5 2" xfId="5025"/>
    <cellStyle name="Calculation 11 6" xfId="5026"/>
    <cellStyle name="Calculation 11 6 2" xfId="5027"/>
    <cellStyle name="Calculation 11 7" xfId="5028"/>
    <cellStyle name="Calculation 11 7 2" xfId="5029"/>
    <cellStyle name="Calculation 11 8" xfId="5030"/>
    <cellStyle name="Calculation 11 8 2" xfId="5031"/>
    <cellStyle name="Calculation 11 9" xfId="5032"/>
    <cellStyle name="Calculation 11 9 2" xfId="5033"/>
    <cellStyle name="Calculation 12" xfId="1241"/>
    <cellStyle name="Calculation 12 10" xfId="5034"/>
    <cellStyle name="Calculation 12 11" xfId="5035"/>
    <cellStyle name="Calculation 12 12" xfId="5036"/>
    <cellStyle name="Calculation 12 2" xfId="5037"/>
    <cellStyle name="Calculation 12 2 2" xfId="5038"/>
    <cellStyle name="Calculation 12 2 2 2" xfId="5039"/>
    <cellStyle name="Calculation 12 2 3" xfId="5040"/>
    <cellStyle name="Calculation 12 2 3 2" xfId="5041"/>
    <cellStyle name="Calculation 12 2 4" xfId="5042"/>
    <cellStyle name="Calculation 12 2 4 2" xfId="5043"/>
    <cellStyle name="Calculation 12 2 5" xfId="5044"/>
    <cellStyle name="Calculation 12 2 5 2" xfId="5045"/>
    <cellStyle name="Calculation 12 2 6" xfId="5046"/>
    <cellStyle name="Calculation 12 2 6 2" xfId="5047"/>
    <cellStyle name="Calculation 12 2 7" xfId="5048"/>
    <cellStyle name="Calculation 12 2 7 2" xfId="5049"/>
    <cellStyle name="Calculation 12 2 8" xfId="5050"/>
    <cellStyle name="Calculation 12 2 8 2" xfId="5051"/>
    <cellStyle name="Calculation 12 2 9" xfId="5052"/>
    <cellStyle name="Calculation 12 3" xfId="5053"/>
    <cellStyle name="Calculation 12 3 2" xfId="5054"/>
    <cellStyle name="Calculation 12 4" xfId="5055"/>
    <cellStyle name="Calculation 12 4 2" xfId="5056"/>
    <cellStyle name="Calculation 12 5" xfId="5057"/>
    <cellStyle name="Calculation 12 5 2" xfId="5058"/>
    <cellStyle name="Calculation 12 6" xfId="5059"/>
    <cellStyle name="Calculation 12 6 2" xfId="5060"/>
    <cellStyle name="Calculation 12 7" xfId="5061"/>
    <cellStyle name="Calculation 12 7 2" xfId="5062"/>
    <cellStyle name="Calculation 12 8" xfId="5063"/>
    <cellStyle name="Calculation 12 8 2" xfId="5064"/>
    <cellStyle name="Calculation 12 9" xfId="5065"/>
    <cellStyle name="Calculation 12 9 2" xfId="5066"/>
    <cellStyle name="Calculation 13" xfId="1242"/>
    <cellStyle name="Calculation 13 10" xfId="5067"/>
    <cellStyle name="Calculation 13 11" xfId="5068"/>
    <cellStyle name="Calculation 13 12" xfId="5069"/>
    <cellStyle name="Calculation 13 2" xfId="5070"/>
    <cellStyle name="Calculation 13 2 2" xfId="5071"/>
    <cellStyle name="Calculation 13 2 2 2" xfId="5072"/>
    <cellStyle name="Calculation 13 2 3" xfId="5073"/>
    <cellStyle name="Calculation 13 2 3 2" xfId="5074"/>
    <cellStyle name="Calculation 13 2 4" xfId="5075"/>
    <cellStyle name="Calculation 13 2 4 2" xfId="5076"/>
    <cellStyle name="Calculation 13 2 5" xfId="5077"/>
    <cellStyle name="Calculation 13 2 5 2" xfId="5078"/>
    <cellStyle name="Calculation 13 2 6" xfId="5079"/>
    <cellStyle name="Calculation 13 2 6 2" xfId="5080"/>
    <cellStyle name="Calculation 13 2 7" xfId="5081"/>
    <cellStyle name="Calculation 13 2 7 2" xfId="5082"/>
    <cellStyle name="Calculation 13 2 8" xfId="5083"/>
    <cellStyle name="Calculation 13 2 8 2" xfId="5084"/>
    <cellStyle name="Calculation 13 2 9" xfId="5085"/>
    <cellStyle name="Calculation 13 3" xfId="5086"/>
    <cellStyle name="Calculation 13 3 2" xfId="5087"/>
    <cellStyle name="Calculation 13 4" xfId="5088"/>
    <cellStyle name="Calculation 13 4 2" xfId="5089"/>
    <cellStyle name="Calculation 13 5" xfId="5090"/>
    <cellStyle name="Calculation 13 5 2" xfId="5091"/>
    <cellStyle name="Calculation 13 6" xfId="5092"/>
    <cellStyle name="Calculation 13 6 2" xfId="5093"/>
    <cellStyle name="Calculation 13 7" xfId="5094"/>
    <cellStyle name="Calculation 13 7 2" xfId="5095"/>
    <cellStyle name="Calculation 13 8" xfId="5096"/>
    <cellStyle name="Calculation 13 8 2" xfId="5097"/>
    <cellStyle name="Calculation 13 9" xfId="5098"/>
    <cellStyle name="Calculation 13 9 2" xfId="5099"/>
    <cellStyle name="Calculation 14" xfId="1243"/>
    <cellStyle name="Calculation 14 10" xfId="5100"/>
    <cellStyle name="Calculation 14 11" xfId="5101"/>
    <cellStyle name="Calculation 14 12" xfId="5102"/>
    <cellStyle name="Calculation 14 2" xfId="5103"/>
    <cellStyle name="Calculation 14 2 2" xfId="5104"/>
    <cellStyle name="Calculation 14 2 2 2" xfId="5105"/>
    <cellStyle name="Calculation 14 2 3" xfId="5106"/>
    <cellStyle name="Calculation 14 2 3 2" xfId="5107"/>
    <cellStyle name="Calculation 14 2 4" xfId="5108"/>
    <cellStyle name="Calculation 14 2 4 2" xfId="5109"/>
    <cellStyle name="Calculation 14 2 5" xfId="5110"/>
    <cellStyle name="Calculation 14 2 5 2" xfId="5111"/>
    <cellStyle name="Calculation 14 2 6" xfId="5112"/>
    <cellStyle name="Calculation 14 2 6 2" xfId="5113"/>
    <cellStyle name="Calculation 14 2 7" xfId="5114"/>
    <cellStyle name="Calculation 14 2 7 2" xfId="5115"/>
    <cellStyle name="Calculation 14 2 8" xfId="5116"/>
    <cellStyle name="Calculation 14 2 8 2" xfId="5117"/>
    <cellStyle name="Calculation 14 2 9" xfId="5118"/>
    <cellStyle name="Calculation 14 3" xfId="5119"/>
    <cellStyle name="Calculation 14 3 2" xfId="5120"/>
    <cellStyle name="Calculation 14 4" xfId="5121"/>
    <cellStyle name="Calculation 14 4 2" xfId="5122"/>
    <cellStyle name="Calculation 14 5" xfId="5123"/>
    <cellStyle name="Calculation 14 5 2" xfId="5124"/>
    <cellStyle name="Calculation 14 6" xfId="5125"/>
    <cellStyle name="Calculation 14 6 2" xfId="5126"/>
    <cellStyle name="Calculation 14 7" xfId="5127"/>
    <cellStyle name="Calculation 14 7 2" xfId="5128"/>
    <cellStyle name="Calculation 14 8" xfId="5129"/>
    <cellStyle name="Calculation 14 8 2" xfId="5130"/>
    <cellStyle name="Calculation 14 9" xfId="5131"/>
    <cellStyle name="Calculation 14 9 2" xfId="5132"/>
    <cellStyle name="Calculation 15" xfId="1244"/>
    <cellStyle name="Calculation 15 10" xfId="5133"/>
    <cellStyle name="Calculation 15 11" xfId="5134"/>
    <cellStyle name="Calculation 15 12" xfId="5135"/>
    <cellStyle name="Calculation 15 2" xfId="5136"/>
    <cellStyle name="Calculation 15 2 2" xfId="5137"/>
    <cellStyle name="Calculation 15 2 2 2" xfId="5138"/>
    <cellStyle name="Calculation 15 2 3" xfId="5139"/>
    <cellStyle name="Calculation 15 2 3 2" xfId="5140"/>
    <cellStyle name="Calculation 15 2 4" xfId="5141"/>
    <cellStyle name="Calculation 15 2 4 2" xfId="5142"/>
    <cellStyle name="Calculation 15 2 5" xfId="5143"/>
    <cellStyle name="Calculation 15 2 5 2" xfId="5144"/>
    <cellStyle name="Calculation 15 2 6" xfId="5145"/>
    <cellStyle name="Calculation 15 2 6 2" xfId="5146"/>
    <cellStyle name="Calculation 15 2 7" xfId="5147"/>
    <cellStyle name="Calculation 15 2 7 2" xfId="5148"/>
    <cellStyle name="Calculation 15 2 8" xfId="5149"/>
    <cellStyle name="Calculation 15 2 8 2" xfId="5150"/>
    <cellStyle name="Calculation 15 2 9" xfId="5151"/>
    <cellStyle name="Calculation 15 3" xfId="5152"/>
    <cellStyle name="Calculation 15 3 2" xfId="5153"/>
    <cellStyle name="Calculation 15 4" xfId="5154"/>
    <cellStyle name="Calculation 15 4 2" xfId="5155"/>
    <cellStyle name="Calculation 15 5" xfId="5156"/>
    <cellStyle name="Calculation 15 5 2" xfId="5157"/>
    <cellStyle name="Calculation 15 6" xfId="5158"/>
    <cellStyle name="Calculation 15 6 2" xfId="5159"/>
    <cellStyle name="Calculation 15 7" xfId="5160"/>
    <cellStyle name="Calculation 15 7 2" xfId="5161"/>
    <cellStyle name="Calculation 15 8" xfId="5162"/>
    <cellStyle name="Calculation 15 8 2" xfId="5163"/>
    <cellStyle name="Calculation 15 9" xfId="5164"/>
    <cellStyle name="Calculation 15 9 2" xfId="5165"/>
    <cellStyle name="Calculation 16" xfId="1245"/>
    <cellStyle name="Calculation 16 10" xfId="5166"/>
    <cellStyle name="Calculation 16 11" xfId="5167"/>
    <cellStyle name="Calculation 16 12" xfId="5168"/>
    <cellStyle name="Calculation 16 2" xfId="5169"/>
    <cellStyle name="Calculation 16 2 2" xfId="5170"/>
    <cellStyle name="Calculation 16 2 2 2" xfId="5171"/>
    <cellStyle name="Calculation 16 2 3" xfId="5172"/>
    <cellStyle name="Calculation 16 2 3 2" xfId="5173"/>
    <cellStyle name="Calculation 16 2 4" xfId="5174"/>
    <cellStyle name="Calculation 16 2 4 2" xfId="5175"/>
    <cellStyle name="Calculation 16 2 5" xfId="5176"/>
    <cellStyle name="Calculation 16 2 5 2" xfId="5177"/>
    <cellStyle name="Calculation 16 2 6" xfId="5178"/>
    <cellStyle name="Calculation 16 2 6 2" xfId="5179"/>
    <cellStyle name="Calculation 16 2 7" xfId="5180"/>
    <cellStyle name="Calculation 16 2 7 2" xfId="5181"/>
    <cellStyle name="Calculation 16 2 8" xfId="5182"/>
    <cellStyle name="Calculation 16 2 8 2" xfId="5183"/>
    <cellStyle name="Calculation 16 2 9" xfId="5184"/>
    <cellStyle name="Calculation 16 3" xfId="5185"/>
    <cellStyle name="Calculation 16 3 2" xfId="5186"/>
    <cellStyle name="Calculation 16 4" xfId="5187"/>
    <cellStyle name="Calculation 16 4 2" xfId="5188"/>
    <cellStyle name="Calculation 16 5" xfId="5189"/>
    <cellStyle name="Calculation 16 5 2" xfId="5190"/>
    <cellStyle name="Calculation 16 6" xfId="5191"/>
    <cellStyle name="Calculation 16 6 2" xfId="5192"/>
    <cellStyle name="Calculation 16 7" xfId="5193"/>
    <cellStyle name="Calculation 16 7 2" xfId="5194"/>
    <cellStyle name="Calculation 16 8" xfId="5195"/>
    <cellStyle name="Calculation 16 8 2" xfId="5196"/>
    <cellStyle name="Calculation 16 9" xfId="5197"/>
    <cellStyle name="Calculation 16 9 2" xfId="5198"/>
    <cellStyle name="Calculation 17" xfId="1246"/>
    <cellStyle name="Calculation 17 10" xfId="5199"/>
    <cellStyle name="Calculation 17 11" xfId="5200"/>
    <cellStyle name="Calculation 17 2" xfId="5201"/>
    <cellStyle name="Calculation 17 2 2" xfId="5202"/>
    <cellStyle name="Calculation 17 2 2 2" xfId="5203"/>
    <cellStyle name="Calculation 17 2 3" xfId="5204"/>
    <cellStyle name="Calculation 17 2 3 2" xfId="5205"/>
    <cellStyle name="Calculation 17 2 4" xfId="5206"/>
    <cellStyle name="Calculation 17 2 4 2" xfId="5207"/>
    <cellStyle name="Calculation 17 2 5" xfId="5208"/>
    <cellStyle name="Calculation 17 2 5 2" xfId="5209"/>
    <cellStyle name="Calculation 17 2 6" xfId="5210"/>
    <cellStyle name="Calculation 17 2 6 2" xfId="5211"/>
    <cellStyle name="Calculation 17 2 7" xfId="5212"/>
    <cellStyle name="Calculation 17 2 7 2" xfId="5213"/>
    <cellStyle name="Calculation 17 2 8" xfId="5214"/>
    <cellStyle name="Calculation 17 2 8 2" xfId="5215"/>
    <cellStyle name="Calculation 17 2 9" xfId="5216"/>
    <cellStyle name="Calculation 17 3" xfId="5217"/>
    <cellStyle name="Calculation 17 3 2" xfId="5218"/>
    <cellStyle name="Calculation 17 4" xfId="5219"/>
    <cellStyle name="Calculation 17 4 2" xfId="5220"/>
    <cellStyle name="Calculation 17 5" xfId="5221"/>
    <cellStyle name="Calculation 17 5 2" xfId="5222"/>
    <cellStyle name="Calculation 17 6" xfId="5223"/>
    <cellStyle name="Calculation 17 6 2" xfId="5224"/>
    <cellStyle name="Calculation 17 7" xfId="5225"/>
    <cellStyle name="Calculation 17 7 2" xfId="5226"/>
    <cellStyle name="Calculation 17 8" xfId="5227"/>
    <cellStyle name="Calculation 17 8 2" xfId="5228"/>
    <cellStyle name="Calculation 17 9" xfId="5229"/>
    <cellStyle name="Calculation 17 9 2" xfId="5230"/>
    <cellStyle name="Calculation 18" xfId="1247"/>
    <cellStyle name="Calculation 18 10" xfId="5231"/>
    <cellStyle name="Calculation 18 2" xfId="5232"/>
    <cellStyle name="Calculation 18 2 2" xfId="5233"/>
    <cellStyle name="Calculation 18 2 2 2" xfId="5234"/>
    <cellStyle name="Calculation 18 2 3" xfId="5235"/>
    <cellStyle name="Calculation 18 2 3 2" xfId="5236"/>
    <cellStyle name="Calculation 18 2 4" xfId="5237"/>
    <cellStyle name="Calculation 18 2 4 2" xfId="5238"/>
    <cellStyle name="Calculation 18 2 5" xfId="5239"/>
    <cellStyle name="Calculation 18 2 5 2" xfId="5240"/>
    <cellStyle name="Calculation 18 2 6" xfId="5241"/>
    <cellStyle name="Calculation 18 2 6 2" xfId="5242"/>
    <cellStyle name="Calculation 18 2 7" xfId="5243"/>
    <cellStyle name="Calculation 18 2 7 2" xfId="5244"/>
    <cellStyle name="Calculation 18 2 8" xfId="5245"/>
    <cellStyle name="Calculation 18 2 8 2" xfId="5246"/>
    <cellStyle name="Calculation 18 2 9" xfId="5247"/>
    <cellStyle name="Calculation 18 3" xfId="5248"/>
    <cellStyle name="Calculation 18 3 2" xfId="5249"/>
    <cellStyle name="Calculation 18 4" xfId="5250"/>
    <cellStyle name="Calculation 18 4 2" xfId="5251"/>
    <cellStyle name="Calculation 18 5" xfId="5252"/>
    <cellStyle name="Calculation 18 5 2" xfId="5253"/>
    <cellStyle name="Calculation 18 6" xfId="5254"/>
    <cellStyle name="Calculation 18 6 2" xfId="5255"/>
    <cellStyle name="Calculation 18 7" xfId="5256"/>
    <cellStyle name="Calculation 18 7 2" xfId="5257"/>
    <cellStyle name="Calculation 18 8" xfId="5258"/>
    <cellStyle name="Calculation 18 8 2" xfId="5259"/>
    <cellStyle name="Calculation 18 9" xfId="5260"/>
    <cellStyle name="Calculation 18 9 2" xfId="5261"/>
    <cellStyle name="Calculation 19" xfId="1248"/>
    <cellStyle name="Calculation 19 10" xfId="5262"/>
    <cellStyle name="Calculation 19 2" xfId="5263"/>
    <cellStyle name="Calculation 19 2 2" xfId="5264"/>
    <cellStyle name="Calculation 19 2 2 2" xfId="5265"/>
    <cellStyle name="Calculation 19 2 3" xfId="5266"/>
    <cellStyle name="Calculation 19 2 3 2" xfId="5267"/>
    <cellStyle name="Calculation 19 2 4" xfId="5268"/>
    <cellStyle name="Calculation 19 2 4 2" xfId="5269"/>
    <cellStyle name="Calculation 19 2 5" xfId="5270"/>
    <cellStyle name="Calculation 19 2 5 2" xfId="5271"/>
    <cellStyle name="Calculation 19 2 6" xfId="5272"/>
    <cellStyle name="Calculation 19 2 6 2" xfId="5273"/>
    <cellStyle name="Calculation 19 2 7" xfId="5274"/>
    <cellStyle name="Calculation 19 2 7 2" xfId="5275"/>
    <cellStyle name="Calculation 19 2 8" xfId="5276"/>
    <cellStyle name="Calculation 19 2 8 2" xfId="5277"/>
    <cellStyle name="Calculation 19 2 9" xfId="5278"/>
    <cellStyle name="Calculation 19 3" xfId="5279"/>
    <cellStyle name="Calculation 19 3 2" xfId="5280"/>
    <cellStyle name="Calculation 19 4" xfId="5281"/>
    <cellStyle name="Calculation 19 4 2" xfId="5282"/>
    <cellStyle name="Calculation 19 5" xfId="5283"/>
    <cellStyle name="Calculation 19 5 2" xfId="5284"/>
    <cellStyle name="Calculation 19 6" xfId="5285"/>
    <cellStyle name="Calculation 19 6 2" xfId="5286"/>
    <cellStyle name="Calculation 19 7" xfId="5287"/>
    <cellStyle name="Calculation 19 7 2" xfId="5288"/>
    <cellStyle name="Calculation 19 8" xfId="5289"/>
    <cellStyle name="Calculation 19 8 2" xfId="5290"/>
    <cellStyle name="Calculation 19 9" xfId="5291"/>
    <cellStyle name="Calculation 19 9 2" xfId="5292"/>
    <cellStyle name="Calculation 2" xfId="1249"/>
    <cellStyle name="Calculation 2 10" xfId="5293"/>
    <cellStyle name="Calculation 2 2" xfId="1250"/>
    <cellStyle name="Calculation 2 2 10" xfId="5294"/>
    <cellStyle name="Calculation 2 2 11" xfId="5295"/>
    <cellStyle name="Calculation 2 2 2" xfId="1251"/>
    <cellStyle name="Calculation 2 2 2 2" xfId="1252"/>
    <cellStyle name="Calculation 2 2 2 3" xfId="1253"/>
    <cellStyle name="Calculation 2 2 2 4" xfId="1254"/>
    <cellStyle name="Calculation 2 2 2 5" xfId="1255"/>
    <cellStyle name="Calculation 2 2 3" xfId="1256"/>
    <cellStyle name="Calculation 2 2 3 2" xfId="5296"/>
    <cellStyle name="Calculation 2 2 4" xfId="1257"/>
    <cellStyle name="Calculation 2 2 4 2" xfId="5297"/>
    <cellStyle name="Calculation 2 2 5" xfId="1258"/>
    <cellStyle name="Calculation 2 2 5 2" xfId="5298"/>
    <cellStyle name="Calculation 2 2 6" xfId="5299"/>
    <cellStyle name="Calculation 2 2 6 2" xfId="5300"/>
    <cellStyle name="Calculation 2 2 7" xfId="5301"/>
    <cellStyle name="Calculation 2 2 7 2" xfId="5302"/>
    <cellStyle name="Calculation 2 2 8" xfId="5303"/>
    <cellStyle name="Calculation 2 2 8 2" xfId="5304"/>
    <cellStyle name="Calculation 2 2 9" xfId="5305"/>
    <cellStyle name="Calculation 2 3" xfId="1259"/>
    <cellStyle name="Calculation 2 3 2" xfId="5306"/>
    <cellStyle name="Calculation 2 4" xfId="1260"/>
    <cellStyle name="Calculation 2 4 2" xfId="5307"/>
    <cellStyle name="Calculation 2 5" xfId="1261"/>
    <cellStyle name="Calculation 2 5 2" xfId="5308"/>
    <cellStyle name="Calculation 2 6" xfId="1262"/>
    <cellStyle name="Calculation 2 6 2" xfId="5309"/>
    <cellStyle name="Calculation 2 7" xfId="1263"/>
    <cellStyle name="Calculation 2 7 2" xfId="5310"/>
    <cellStyle name="Calculation 2 8" xfId="1264"/>
    <cellStyle name="Calculation 2 8 2" xfId="5311"/>
    <cellStyle name="Calculation 2 9" xfId="1265"/>
    <cellStyle name="Calculation 20" xfId="1266"/>
    <cellStyle name="Calculation 20 10" xfId="5312"/>
    <cellStyle name="Calculation 20 2" xfId="5313"/>
    <cellStyle name="Calculation 20 2 2" xfId="5314"/>
    <cellStyle name="Calculation 20 2 2 2" xfId="5315"/>
    <cellStyle name="Calculation 20 2 3" xfId="5316"/>
    <cellStyle name="Calculation 20 2 3 2" xfId="5317"/>
    <cellStyle name="Calculation 20 2 4" xfId="5318"/>
    <cellStyle name="Calculation 20 2 4 2" xfId="5319"/>
    <cellStyle name="Calculation 20 2 5" xfId="5320"/>
    <cellStyle name="Calculation 20 2 5 2" xfId="5321"/>
    <cellStyle name="Calculation 20 2 6" xfId="5322"/>
    <cellStyle name="Calculation 20 2 6 2" xfId="5323"/>
    <cellStyle name="Calculation 20 2 7" xfId="5324"/>
    <cellStyle name="Calculation 20 2 7 2" xfId="5325"/>
    <cellStyle name="Calculation 20 2 8" xfId="5326"/>
    <cellStyle name="Calculation 20 2 8 2" xfId="5327"/>
    <cellStyle name="Calculation 20 2 9" xfId="5328"/>
    <cellStyle name="Calculation 20 3" xfId="5329"/>
    <cellStyle name="Calculation 20 3 2" xfId="5330"/>
    <cellStyle name="Calculation 20 4" xfId="5331"/>
    <cellStyle name="Calculation 20 4 2" xfId="5332"/>
    <cellStyle name="Calculation 20 5" xfId="5333"/>
    <cellStyle name="Calculation 20 5 2" xfId="5334"/>
    <cellStyle name="Calculation 20 6" xfId="5335"/>
    <cellStyle name="Calculation 20 6 2" xfId="5336"/>
    <cellStyle name="Calculation 20 7" xfId="5337"/>
    <cellStyle name="Calculation 20 7 2" xfId="5338"/>
    <cellStyle name="Calculation 20 8" xfId="5339"/>
    <cellStyle name="Calculation 20 8 2" xfId="5340"/>
    <cellStyle name="Calculation 20 9" xfId="5341"/>
    <cellStyle name="Calculation 20 9 2" xfId="5342"/>
    <cellStyle name="Calculation 21" xfId="1267"/>
    <cellStyle name="Calculation 21 10" xfId="5343"/>
    <cellStyle name="Calculation 21 2" xfId="5344"/>
    <cellStyle name="Calculation 21 2 2" xfId="5345"/>
    <cellStyle name="Calculation 21 2 2 2" xfId="5346"/>
    <cellStyle name="Calculation 21 2 3" xfId="5347"/>
    <cellStyle name="Calculation 21 2 3 2" xfId="5348"/>
    <cellStyle name="Calculation 21 2 4" xfId="5349"/>
    <cellStyle name="Calculation 21 2 4 2" xfId="5350"/>
    <cellStyle name="Calculation 21 2 5" xfId="5351"/>
    <cellStyle name="Calculation 21 2 5 2" xfId="5352"/>
    <cellStyle name="Calculation 21 2 6" xfId="5353"/>
    <cellStyle name="Calculation 21 2 6 2" xfId="5354"/>
    <cellStyle name="Calculation 21 2 7" xfId="5355"/>
    <cellStyle name="Calculation 21 2 7 2" xfId="5356"/>
    <cellStyle name="Calculation 21 2 8" xfId="5357"/>
    <cellStyle name="Calculation 21 2 8 2" xfId="5358"/>
    <cellStyle name="Calculation 21 2 9" xfId="5359"/>
    <cellStyle name="Calculation 21 3" xfId="5360"/>
    <cellStyle name="Calculation 21 3 2" xfId="5361"/>
    <cellStyle name="Calculation 21 4" xfId="5362"/>
    <cellStyle name="Calculation 21 4 2" xfId="5363"/>
    <cellStyle name="Calculation 21 5" xfId="5364"/>
    <cellStyle name="Calculation 21 5 2" xfId="5365"/>
    <cellStyle name="Calculation 21 6" xfId="5366"/>
    <cellStyle name="Calculation 21 6 2" xfId="5367"/>
    <cellStyle name="Calculation 21 7" xfId="5368"/>
    <cellStyle name="Calculation 21 7 2" xfId="5369"/>
    <cellStyle name="Calculation 21 8" xfId="5370"/>
    <cellStyle name="Calculation 21 8 2" xfId="5371"/>
    <cellStyle name="Calculation 21 9" xfId="5372"/>
    <cellStyle name="Calculation 21 9 2" xfId="5373"/>
    <cellStyle name="Calculation 22" xfId="1268"/>
    <cellStyle name="Calculation 22 2" xfId="5374"/>
    <cellStyle name="Calculation 22 2 2" xfId="5375"/>
    <cellStyle name="Calculation 22 3" xfId="5376"/>
    <cellStyle name="Calculation 22 3 2" xfId="5377"/>
    <cellStyle name="Calculation 22 4" xfId="5378"/>
    <cellStyle name="Calculation 22 4 2" xfId="5379"/>
    <cellStyle name="Calculation 22 5" xfId="5380"/>
    <cellStyle name="Calculation 22 5 2" xfId="5381"/>
    <cellStyle name="Calculation 22 6" xfId="5382"/>
    <cellStyle name="Calculation 22 6 2" xfId="5383"/>
    <cellStyle name="Calculation 22 7" xfId="5384"/>
    <cellStyle name="Calculation 22 7 2" xfId="5385"/>
    <cellStyle name="Calculation 22 8" xfId="5386"/>
    <cellStyle name="Calculation 22 8 2" xfId="5387"/>
    <cellStyle name="Calculation 22 9" xfId="5388"/>
    <cellStyle name="Calculation 3" xfId="1269"/>
    <cellStyle name="Calculation 3 10" xfId="5389"/>
    <cellStyle name="Calculation 3 11" xfId="5390"/>
    <cellStyle name="Calculation 3 2" xfId="5391"/>
    <cellStyle name="Calculation 3 2 10" xfId="5392"/>
    <cellStyle name="Calculation 3 2 2" xfId="5393"/>
    <cellStyle name="Calculation 3 2 2 2" xfId="5394"/>
    <cellStyle name="Calculation 3 2 3" xfId="5395"/>
    <cellStyle name="Calculation 3 2 3 2" xfId="5396"/>
    <cellStyle name="Calculation 3 2 4" xfId="5397"/>
    <cellStyle name="Calculation 3 2 4 2" xfId="5398"/>
    <cellStyle name="Calculation 3 2 5" xfId="5399"/>
    <cellStyle name="Calculation 3 2 5 2" xfId="5400"/>
    <cellStyle name="Calculation 3 2 6" xfId="5401"/>
    <cellStyle name="Calculation 3 2 6 2" xfId="5402"/>
    <cellStyle name="Calculation 3 2 7" xfId="5403"/>
    <cellStyle name="Calculation 3 2 7 2" xfId="5404"/>
    <cellStyle name="Calculation 3 2 8" xfId="5405"/>
    <cellStyle name="Calculation 3 2 8 2" xfId="5406"/>
    <cellStyle name="Calculation 3 2 9" xfId="5407"/>
    <cellStyle name="Calculation 3 3" xfId="5408"/>
    <cellStyle name="Calculation 3 3 2" xfId="5409"/>
    <cellStyle name="Calculation 3 4" xfId="5410"/>
    <cellStyle name="Calculation 3 4 2" xfId="5411"/>
    <cellStyle name="Calculation 3 5" xfId="5412"/>
    <cellStyle name="Calculation 3 5 2" xfId="5413"/>
    <cellStyle name="Calculation 3 6" xfId="5414"/>
    <cellStyle name="Calculation 3 6 2" xfId="5415"/>
    <cellStyle name="Calculation 3 7" xfId="5416"/>
    <cellStyle name="Calculation 3 7 2" xfId="5417"/>
    <cellStyle name="Calculation 3 8" xfId="5418"/>
    <cellStyle name="Calculation 3 8 2" xfId="5419"/>
    <cellStyle name="Calculation 3 9" xfId="5420"/>
    <cellStyle name="Calculation 3 9 2" xfId="5421"/>
    <cellStyle name="Calculation 4" xfId="1270"/>
    <cellStyle name="Calculation 4 10" xfId="5422"/>
    <cellStyle name="Calculation 4 11" xfId="5423"/>
    <cellStyle name="Calculation 4 12" xfId="5424"/>
    <cellStyle name="Calculation 4 2" xfId="5425"/>
    <cellStyle name="Calculation 4 2 2" xfId="5426"/>
    <cellStyle name="Calculation 4 2 2 2" xfId="5427"/>
    <cellStyle name="Calculation 4 2 3" xfId="5428"/>
    <cellStyle name="Calculation 4 2 3 2" xfId="5429"/>
    <cellStyle name="Calculation 4 2 4" xfId="5430"/>
    <cellStyle name="Calculation 4 2 4 2" xfId="5431"/>
    <cellStyle name="Calculation 4 2 5" xfId="5432"/>
    <cellStyle name="Calculation 4 2 5 2" xfId="5433"/>
    <cellStyle name="Calculation 4 2 6" xfId="5434"/>
    <cellStyle name="Calculation 4 2 6 2" xfId="5435"/>
    <cellStyle name="Calculation 4 2 7" xfId="5436"/>
    <cellStyle name="Calculation 4 2 7 2" xfId="5437"/>
    <cellStyle name="Calculation 4 2 8" xfId="5438"/>
    <cellStyle name="Calculation 4 2 8 2" xfId="5439"/>
    <cellStyle name="Calculation 4 2 9" xfId="5440"/>
    <cellStyle name="Calculation 4 3" xfId="5441"/>
    <cellStyle name="Calculation 4 3 2" xfId="5442"/>
    <cellStyle name="Calculation 4 4" xfId="5443"/>
    <cellStyle name="Calculation 4 4 2" xfId="5444"/>
    <cellStyle name="Calculation 4 5" xfId="5445"/>
    <cellStyle name="Calculation 4 5 2" xfId="5446"/>
    <cellStyle name="Calculation 4 6" xfId="5447"/>
    <cellStyle name="Calculation 4 6 2" xfId="5448"/>
    <cellStyle name="Calculation 4 7" xfId="5449"/>
    <cellStyle name="Calculation 4 7 2" xfId="5450"/>
    <cellStyle name="Calculation 4 8" xfId="5451"/>
    <cellStyle name="Calculation 4 8 2" xfId="5452"/>
    <cellStyle name="Calculation 4 9" xfId="5453"/>
    <cellStyle name="Calculation 4 9 2" xfId="5454"/>
    <cellStyle name="Calculation 5" xfId="1271"/>
    <cellStyle name="Calculation 5 10" xfId="5455"/>
    <cellStyle name="Calculation 5 11" xfId="5456"/>
    <cellStyle name="Calculation 5 12" xfId="5457"/>
    <cellStyle name="Calculation 5 2" xfId="5458"/>
    <cellStyle name="Calculation 5 2 2" xfId="5459"/>
    <cellStyle name="Calculation 5 2 2 2" xfId="5460"/>
    <cellStyle name="Calculation 5 2 3" xfId="5461"/>
    <cellStyle name="Calculation 5 2 3 2" xfId="5462"/>
    <cellStyle name="Calculation 5 2 4" xfId="5463"/>
    <cellStyle name="Calculation 5 2 4 2" xfId="5464"/>
    <cellStyle name="Calculation 5 2 5" xfId="5465"/>
    <cellStyle name="Calculation 5 2 5 2" xfId="5466"/>
    <cellStyle name="Calculation 5 2 6" xfId="5467"/>
    <cellStyle name="Calculation 5 2 6 2" xfId="5468"/>
    <cellStyle name="Calculation 5 2 7" xfId="5469"/>
    <cellStyle name="Calculation 5 2 7 2" xfId="5470"/>
    <cellStyle name="Calculation 5 2 8" xfId="5471"/>
    <cellStyle name="Calculation 5 2 8 2" xfId="5472"/>
    <cellStyle name="Calculation 5 2 9" xfId="5473"/>
    <cellStyle name="Calculation 5 3" xfId="5474"/>
    <cellStyle name="Calculation 5 3 2" xfId="5475"/>
    <cellStyle name="Calculation 5 4" xfId="5476"/>
    <cellStyle name="Calculation 5 4 2" xfId="5477"/>
    <cellStyle name="Calculation 5 5" xfId="5478"/>
    <cellStyle name="Calculation 5 5 2" xfId="5479"/>
    <cellStyle name="Calculation 5 6" xfId="5480"/>
    <cellStyle name="Calculation 5 6 2" xfId="5481"/>
    <cellStyle name="Calculation 5 7" xfId="5482"/>
    <cellStyle name="Calculation 5 7 2" xfId="5483"/>
    <cellStyle name="Calculation 5 8" xfId="5484"/>
    <cellStyle name="Calculation 5 8 2" xfId="5485"/>
    <cellStyle name="Calculation 5 9" xfId="5486"/>
    <cellStyle name="Calculation 5 9 2" xfId="5487"/>
    <cellStyle name="Calculation 6" xfId="1272"/>
    <cellStyle name="Calculation 6 10" xfId="5488"/>
    <cellStyle name="Calculation 6 11" xfId="5489"/>
    <cellStyle name="Calculation 6 12" xfId="5490"/>
    <cellStyle name="Calculation 6 2" xfId="5491"/>
    <cellStyle name="Calculation 6 2 2" xfId="5492"/>
    <cellStyle name="Calculation 6 2 2 2" xfId="5493"/>
    <cellStyle name="Calculation 6 2 3" xfId="5494"/>
    <cellStyle name="Calculation 6 2 3 2" xfId="5495"/>
    <cellStyle name="Calculation 6 2 4" xfId="5496"/>
    <cellStyle name="Calculation 6 2 4 2" xfId="5497"/>
    <cellStyle name="Calculation 6 2 5" xfId="5498"/>
    <cellStyle name="Calculation 6 2 5 2" xfId="5499"/>
    <cellStyle name="Calculation 6 2 6" xfId="5500"/>
    <cellStyle name="Calculation 6 2 6 2" xfId="5501"/>
    <cellStyle name="Calculation 6 2 7" xfId="5502"/>
    <cellStyle name="Calculation 6 2 7 2" xfId="5503"/>
    <cellStyle name="Calculation 6 2 8" xfId="5504"/>
    <cellStyle name="Calculation 6 2 8 2" xfId="5505"/>
    <cellStyle name="Calculation 6 2 9" xfId="5506"/>
    <cellStyle name="Calculation 6 3" xfId="5507"/>
    <cellStyle name="Calculation 6 3 2" xfId="5508"/>
    <cellStyle name="Calculation 6 4" xfId="5509"/>
    <cellStyle name="Calculation 6 4 2" xfId="5510"/>
    <cellStyle name="Calculation 6 5" xfId="5511"/>
    <cellStyle name="Calculation 6 5 2" xfId="5512"/>
    <cellStyle name="Calculation 6 6" xfId="5513"/>
    <cellStyle name="Calculation 6 6 2" xfId="5514"/>
    <cellStyle name="Calculation 6 7" xfId="5515"/>
    <cellStyle name="Calculation 6 7 2" xfId="5516"/>
    <cellStyle name="Calculation 6 8" xfId="5517"/>
    <cellStyle name="Calculation 6 8 2" xfId="5518"/>
    <cellStyle name="Calculation 6 9" xfId="5519"/>
    <cellStyle name="Calculation 6 9 2" xfId="5520"/>
    <cellStyle name="Calculation 7" xfId="1273"/>
    <cellStyle name="Calculation 7 10" xfId="5521"/>
    <cellStyle name="Calculation 7 11" xfId="5522"/>
    <cellStyle name="Calculation 7 12" xfId="5523"/>
    <cellStyle name="Calculation 7 2" xfId="5524"/>
    <cellStyle name="Calculation 7 2 2" xfId="5525"/>
    <cellStyle name="Calculation 7 2 2 2" xfId="5526"/>
    <cellStyle name="Calculation 7 2 3" xfId="5527"/>
    <cellStyle name="Calculation 7 2 3 2" xfId="5528"/>
    <cellStyle name="Calculation 7 2 4" xfId="5529"/>
    <cellStyle name="Calculation 7 2 4 2" xfId="5530"/>
    <cellStyle name="Calculation 7 2 5" xfId="5531"/>
    <cellStyle name="Calculation 7 2 5 2" xfId="5532"/>
    <cellStyle name="Calculation 7 2 6" xfId="5533"/>
    <cellStyle name="Calculation 7 2 6 2" xfId="5534"/>
    <cellStyle name="Calculation 7 2 7" xfId="5535"/>
    <cellStyle name="Calculation 7 2 7 2" xfId="5536"/>
    <cellStyle name="Calculation 7 2 8" xfId="5537"/>
    <cellStyle name="Calculation 7 2 8 2" xfId="5538"/>
    <cellStyle name="Calculation 7 2 9" xfId="5539"/>
    <cellStyle name="Calculation 7 3" xfId="5540"/>
    <cellStyle name="Calculation 7 3 2" xfId="5541"/>
    <cellStyle name="Calculation 7 4" xfId="5542"/>
    <cellStyle name="Calculation 7 4 2" xfId="5543"/>
    <cellStyle name="Calculation 7 5" xfId="5544"/>
    <cellStyle name="Calculation 7 5 2" xfId="5545"/>
    <cellStyle name="Calculation 7 6" xfId="5546"/>
    <cellStyle name="Calculation 7 6 2" xfId="5547"/>
    <cellStyle name="Calculation 7 7" xfId="5548"/>
    <cellStyle name="Calculation 7 7 2" xfId="5549"/>
    <cellStyle name="Calculation 7 8" xfId="5550"/>
    <cellStyle name="Calculation 7 8 2" xfId="5551"/>
    <cellStyle name="Calculation 7 9" xfId="5552"/>
    <cellStyle name="Calculation 7 9 2" xfId="5553"/>
    <cellStyle name="Calculation 8" xfId="1274"/>
    <cellStyle name="Calculation 8 10" xfId="5554"/>
    <cellStyle name="Calculation 8 11" xfId="5555"/>
    <cellStyle name="Calculation 8 12" xfId="5556"/>
    <cellStyle name="Calculation 8 2" xfId="5557"/>
    <cellStyle name="Calculation 8 2 2" xfId="5558"/>
    <cellStyle name="Calculation 8 2 2 2" xfId="5559"/>
    <cellStyle name="Calculation 8 2 3" xfId="5560"/>
    <cellStyle name="Calculation 8 2 3 2" xfId="5561"/>
    <cellStyle name="Calculation 8 2 4" xfId="5562"/>
    <cellStyle name="Calculation 8 2 4 2" xfId="5563"/>
    <cellStyle name="Calculation 8 2 5" xfId="5564"/>
    <cellStyle name="Calculation 8 2 5 2" xfId="5565"/>
    <cellStyle name="Calculation 8 2 6" xfId="5566"/>
    <cellStyle name="Calculation 8 2 6 2" xfId="5567"/>
    <cellStyle name="Calculation 8 2 7" xfId="5568"/>
    <cellStyle name="Calculation 8 2 7 2" xfId="5569"/>
    <cellStyle name="Calculation 8 2 8" xfId="5570"/>
    <cellStyle name="Calculation 8 2 8 2" xfId="5571"/>
    <cellStyle name="Calculation 8 2 9" xfId="5572"/>
    <cellStyle name="Calculation 8 3" xfId="5573"/>
    <cellStyle name="Calculation 8 3 2" xfId="5574"/>
    <cellStyle name="Calculation 8 4" xfId="5575"/>
    <cellStyle name="Calculation 8 4 2" xfId="5576"/>
    <cellStyle name="Calculation 8 5" xfId="5577"/>
    <cellStyle name="Calculation 8 5 2" xfId="5578"/>
    <cellStyle name="Calculation 8 6" xfId="5579"/>
    <cellStyle name="Calculation 8 6 2" xfId="5580"/>
    <cellStyle name="Calculation 8 7" xfId="5581"/>
    <cellStyle name="Calculation 8 7 2" xfId="5582"/>
    <cellStyle name="Calculation 8 8" xfId="5583"/>
    <cellStyle name="Calculation 8 8 2" xfId="5584"/>
    <cellStyle name="Calculation 8 9" xfId="5585"/>
    <cellStyle name="Calculation 8 9 2" xfId="5586"/>
    <cellStyle name="Calculation 9" xfId="1275"/>
    <cellStyle name="Calculation 9 10" xfId="5587"/>
    <cellStyle name="Calculation 9 11" xfId="5588"/>
    <cellStyle name="Calculation 9 12" xfId="5589"/>
    <cellStyle name="Calculation 9 2" xfId="5590"/>
    <cellStyle name="Calculation 9 2 2" xfId="5591"/>
    <cellStyle name="Calculation 9 2 2 2" xfId="5592"/>
    <cellStyle name="Calculation 9 2 3" xfId="5593"/>
    <cellStyle name="Calculation 9 2 3 2" xfId="5594"/>
    <cellStyle name="Calculation 9 2 4" xfId="5595"/>
    <cellStyle name="Calculation 9 2 4 2" xfId="5596"/>
    <cellStyle name="Calculation 9 2 5" xfId="5597"/>
    <cellStyle name="Calculation 9 2 5 2" xfId="5598"/>
    <cellStyle name="Calculation 9 2 6" xfId="5599"/>
    <cellStyle name="Calculation 9 2 6 2" xfId="5600"/>
    <cellStyle name="Calculation 9 2 7" xfId="5601"/>
    <cellStyle name="Calculation 9 2 7 2" xfId="5602"/>
    <cellStyle name="Calculation 9 2 8" xfId="5603"/>
    <cellStyle name="Calculation 9 2 8 2" xfId="5604"/>
    <cellStyle name="Calculation 9 2 9" xfId="5605"/>
    <cellStyle name="Calculation 9 3" xfId="5606"/>
    <cellStyle name="Calculation 9 3 2" xfId="5607"/>
    <cellStyle name="Calculation 9 4" xfId="5608"/>
    <cellStyle name="Calculation 9 4 2" xfId="5609"/>
    <cellStyle name="Calculation 9 5" xfId="5610"/>
    <cellStyle name="Calculation 9 5 2" xfId="5611"/>
    <cellStyle name="Calculation 9 6" xfId="5612"/>
    <cellStyle name="Calculation 9 6 2" xfId="5613"/>
    <cellStyle name="Calculation 9 7" xfId="5614"/>
    <cellStyle name="Calculation 9 7 2" xfId="5615"/>
    <cellStyle name="Calculation 9 8" xfId="5616"/>
    <cellStyle name="Calculation 9 8 2" xfId="5617"/>
    <cellStyle name="Calculation 9 9" xfId="5618"/>
    <cellStyle name="Calculation 9 9 2" xfId="5619"/>
    <cellStyle name="Check Cell 10" xfId="1276"/>
    <cellStyle name="Check Cell 11" xfId="1277"/>
    <cellStyle name="Check Cell 12" xfId="1278"/>
    <cellStyle name="Check Cell 13" xfId="1279"/>
    <cellStyle name="Check Cell 14" xfId="1280"/>
    <cellStyle name="Check Cell 15" xfId="1281"/>
    <cellStyle name="Check Cell 16" xfId="1282"/>
    <cellStyle name="Check Cell 17" xfId="1283"/>
    <cellStyle name="Check Cell 18" xfId="1284"/>
    <cellStyle name="Check Cell 19" xfId="1285"/>
    <cellStyle name="Check Cell 2" xfId="1286"/>
    <cellStyle name="Check Cell 2 2" xfId="1287"/>
    <cellStyle name="Check Cell 2 2 2" xfId="1288"/>
    <cellStyle name="Check Cell 2 2 2 2" xfId="1289"/>
    <cellStyle name="Check Cell 2 2 2 3" xfId="1290"/>
    <cellStyle name="Check Cell 2 2 2 4" xfId="1291"/>
    <cellStyle name="Check Cell 2 2 2 5" xfId="1292"/>
    <cellStyle name="Check Cell 2 2 3" xfId="1293"/>
    <cellStyle name="Check Cell 2 2 4" xfId="1294"/>
    <cellStyle name="Check Cell 2 2 5" xfId="1295"/>
    <cellStyle name="Check Cell 2 3" xfId="1296"/>
    <cellStyle name="Check Cell 2 4" xfId="1297"/>
    <cellStyle name="Check Cell 2 5" xfId="1298"/>
    <cellStyle name="Check Cell 2 6" xfId="1299"/>
    <cellStyle name="Check Cell 2 7" xfId="1300"/>
    <cellStyle name="Check Cell 2 8" xfId="1301"/>
    <cellStyle name="Check Cell 2 9" xfId="1302"/>
    <cellStyle name="Check Cell 20" xfId="1303"/>
    <cellStyle name="Check Cell 21" xfId="1304"/>
    <cellStyle name="Check Cell 22" xfId="1305"/>
    <cellStyle name="Check Cell 3" xfId="1306"/>
    <cellStyle name="Check Cell 3 2" xfId="5620"/>
    <cellStyle name="Check Cell 4" xfId="1307"/>
    <cellStyle name="Check Cell 5" xfId="1308"/>
    <cellStyle name="Check Cell 6" xfId="1309"/>
    <cellStyle name="Check Cell 7" xfId="1310"/>
    <cellStyle name="Check Cell 8" xfId="1311"/>
    <cellStyle name="Check Cell 9" xfId="1312"/>
    <cellStyle name="CodeEingabe" xfId="5621"/>
    <cellStyle name="ColumnAttributeAbovePrompt" xfId="5622"/>
    <cellStyle name="ColumnAttributeAbovePrompt 2" xfId="5623"/>
    <cellStyle name="ColumnAttributeAbovePrompt 2 2" xfId="5624"/>
    <cellStyle name="ColumnAttributeAbovePrompt 2 3" xfId="5625"/>
    <cellStyle name="ColumnAttributeAbovePrompt 3" xfId="5626"/>
    <cellStyle name="ColumnAttributePrompt" xfId="5627"/>
    <cellStyle name="ColumnAttributePrompt 2" xfId="5628"/>
    <cellStyle name="ColumnAttributePrompt 2 2" xfId="5629"/>
    <cellStyle name="ColumnAttributePrompt 2 3" xfId="5630"/>
    <cellStyle name="ColumnAttributePrompt 3" xfId="5631"/>
    <cellStyle name="ColumnAttributeValue" xfId="5632"/>
    <cellStyle name="ColumnAttributeValue 2" xfId="5633"/>
    <cellStyle name="ColumnAttributeValue 2 2" xfId="5634"/>
    <cellStyle name="ColumnAttributeValue 2 3" xfId="5635"/>
    <cellStyle name="ColumnAttributeValue 3" xfId="5636"/>
    <cellStyle name="ColumnHeadingPrompt" xfId="5637"/>
    <cellStyle name="ColumnHeadingPrompt 2" xfId="5638"/>
    <cellStyle name="ColumnHeadingPrompt 2 2" xfId="5639"/>
    <cellStyle name="ColumnHeadingPrompt 2 3" xfId="5640"/>
    <cellStyle name="ColumnHeadingPrompt 3" xfId="5641"/>
    <cellStyle name="ColumnHeadingValue" xfId="5642"/>
    <cellStyle name="ColumnHeadingValue 2" xfId="5643"/>
    <cellStyle name="ColumnHeadingValue 2 2" xfId="5644"/>
    <cellStyle name="ColumnHeadingValue 3" xfId="5645"/>
    <cellStyle name="Comma" xfId="1" builtinId="3"/>
    <cellStyle name="Comma [0] 2" xfId="5646"/>
    <cellStyle name="Comma [0] 2 2" xfId="5647"/>
    <cellStyle name="Comma [0] 3" xfId="5648"/>
    <cellStyle name="Comma [0] 3 2" xfId="5649"/>
    <cellStyle name="Comma [0] 3 2 2" xfId="5650"/>
    <cellStyle name="Comma [0] 3 2 2 2" xfId="5651"/>
    <cellStyle name="Comma [0] 3 2 3" xfId="5652"/>
    <cellStyle name="Comma [0] 3 2 4" xfId="5653"/>
    <cellStyle name="Comma [0] 3 3" xfId="5654"/>
    <cellStyle name="Comma [0] 3 4" xfId="5655"/>
    <cellStyle name="Comma [0] 3 4 2" xfId="5656"/>
    <cellStyle name="Comma [0] 3 5" xfId="5657"/>
    <cellStyle name="Comma [0] 4" xfId="5658"/>
    <cellStyle name="Comma [0] 4 2" xfId="5659"/>
    <cellStyle name="Comma [0] 5" xfId="5660"/>
    <cellStyle name="Comma [0] 5 2" xfId="5661"/>
    <cellStyle name="Comma [0] 5 2 2" xfId="5662"/>
    <cellStyle name="Comma [0] 5 2 3" xfId="5663"/>
    <cellStyle name="Comma [0] 5 3" xfId="5664"/>
    <cellStyle name="Comma [0] 5 4" xfId="5665"/>
    <cellStyle name="Comma [0] 6" xfId="5666"/>
    <cellStyle name="Comma [0] 6 2" xfId="5667"/>
    <cellStyle name="Comma [0] 6 2 2" xfId="5668"/>
    <cellStyle name="Comma [0] 6 3" xfId="5669"/>
    <cellStyle name="Comma 10" xfId="1313"/>
    <cellStyle name="Comma 10 2" xfId="5670"/>
    <cellStyle name="Comma 10 2 2" xfId="5671"/>
    <cellStyle name="Comma 10 2 2 2" xfId="5672"/>
    <cellStyle name="Comma 10 2 2 2 2" xfId="5673"/>
    <cellStyle name="Comma 10 2 2 2 2 2" xfId="5674"/>
    <cellStyle name="Comma 10 2 2 2 2 2 2" xfId="5675"/>
    <cellStyle name="Comma 10 2 2 2 2 3" xfId="5676"/>
    <cellStyle name="Comma 10 2 2 2 3" xfId="5677"/>
    <cellStyle name="Comma 10 2 2 2 3 2" xfId="5678"/>
    <cellStyle name="Comma 10 2 2 2 4" xfId="5679"/>
    <cellStyle name="Comma 10 2 2 3" xfId="5680"/>
    <cellStyle name="Comma 10 2 2 3 2" xfId="5681"/>
    <cellStyle name="Comma 10 2 2 3 2 2" xfId="5682"/>
    <cellStyle name="Comma 10 2 2 3 3" xfId="5683"/>
    <cellStyle name="Comma 10 2 2 4" xfId="5684"/>
    <cellStyle name="Comma 10 2 2 4 2" xfId="5685"/>
    <cellStyle name="Comma 10 2 2 5" xfId="5686"/>
    <cellStyle name="Comma 10 2 2 6" xfId="5687"/>
    <cellStyle name="Comma 10 2 3" xfId="5688"/>
    <cellStyle name="Comma 10 2 3 2" xfId="5689"/>
    <cellStyle name="Comma 10 2 3 2 2" xfId="5690"/>
    <cellStyle name="Comma 10 2 3 2 2 2" xfId="5691"/>
    <cellStyle name="Comma 10 2 3 2 3" xfId="5692"/>
    <cellStyle name="Comma 10 2 3 3" xfId="5693"/>
    <cellStyle name="Comma 10 2 3 3 2" xfId="5694"/>
    <cellStyle name="Comma 10 2 3 4" xfId="5695"/>
    <cellStyle name="Comma 10 2 4" xfId="5696"/>
    <cellStyle name="Comma 10 2 4 2" xfId="5697"/>
    <cellStyle name="Comma 10 2 4 2 2" xfId="5698"/>
    <cellStyle name="Comma 10 2 4 3" xfId="5699"/>
    <cellStyle name="Comma 10 2 5" xfId="5700"/>
    <cellStyle name="Comma 10 2 5 2" xfId="5701"/>
    <cellStyle name="Comma 10 2 6" xfId="5702"/>
    <cellStyle name="Comma 10 2 7" xfId="5703"/>
    <cellStyle name="Comma 10 3" xfId="5704"/>
    <cellStyle name="Comma 10 3 2" xfId="5705"/>
    <cellStyle name="Comma 10 3 2 2" xfId="5706"/>
    <cellStyle name="Comma 10 3 2 2 2" xfId="5707"/>
    <cellStyle name="Comma 10 3 2 2 2 2" xfId="5708"/>
    <cellStyle name="Comma 10 3 2 2 3" xfId="5709"/>
    <cellStyle name="Comma 10 3 2 3" xfId="5710"/>
    <cellStyle name="Comma 10 3 2 3 2" xfId="5711"/>
    <cellStyle name="Comma 10 3 2 4" xfId="5712"/>
    <cellStyle name="Comma 10 3 3" xfId="5713"/>
    <cellStyle name="Comma 10 3 3 2" xfId="5714"/>
    <cellStyle name="Comma 10 3 3 2 2" xfId="5715"/>
    <cellStyle name="Comma 10 3 3 3" xfId="5716"/>
    <cellStyle name="Comma 10 3 4" xfId="5717"/>
    <cellStyle name="Comma 10 3 4 2" xfId="5718"/>
    <cellStyle name="Comma 10 3 5" xfId="5719"/>
    <cellStyle name="Comma 10 3 6" xfId="5720"/>
    <cellStyle name="Comma 10 4" xfId="5721"/>
    <cellStyle name="Comma 10 4 2" xfId="5722"/>
    <cellStyle name="Comma 10 4 2 2" xfId="5723"/>
    <cellStyle name="Comma 10 4 2 2 2" xfId="5724"/>
    <cellStyle name="Comma 10 4 2 3" xfId="5725"/>
    <cellStyle name="Comma 10 4 3" xfId="5726"/>
    <cellStyle name="Comma 10 4 3 2" xfId="5727"/>
    <cellStyle name="Comma 10 4 4" xfId="5728"/>
    <cellStyle name="Comma 10 5" xfId="5729"/>
    <cellStyle name="Comma 10 5 2" xfId="5730"/>
    <cellStyle name="Comma 10 5 2 2" xfId="5731"/>
    <cellStyle name="Comma 10 5 3" xfId="5732"/>
    <cellStyle name="Comma 10 6" xfId="5733"/>
    <cellStyle name="Comma 10 6 2" xfId="5734"/>
    <cellStyle name="Comma 10 7" xfId="5735"/>
    <cellStyle name="Comma 10 8" xfId="5736"/>
    <cellStyle name="Comma 10 9" xfId="5737"/>
    <cellStyle name="Comma 11" xfId="1314"/>
    <cellStyle name="Comma 11 10" xfId="5738"/>
    <cellStyle name="Comma 11 2" xfId="5739"/>
    <cellStyle name="Comma 11 2 2" xfId="5740"/>
    <cellStyle name="Comma 11 2 2 2" xfId="5741"/>
    <cellStyle name="Comma 11 2 2 2 2" xfId="5742"/>
    <cellStyle name="Comma 11 2 2 2 3" xfId="5743"/>
    <cellStyle name="Comma 11 2 2 3" xfId="5744"/>
    <cellStyle name="Comma 11 2 2 3 2" xfId="5745"/>
    <cellStyle name="Comma 11 2 2 4" xfId="5746"/>
    <cellStyle name="Comma 11 2 2 5" xfId="5747"/>
    <cellStyle name="Comma 11 2 3" xfId="5748"/>
    <cellStyle name="Comma 11 2 3 2" xfId="5749"/>
    <cellStyle name="Comma 11 2 3 3" xfId="5750"/>
    <cellStyle name="Comma 11 2 4" xfId="5751"/>
    <cellStyle name="Comma 11 2 4 2" xfId="5752"/>
    <cellStyle name="Comma 11 2 5" xfId="5753"/>
    <cellStyle name="Comma 11 2 6" xfId="5754"/>
    <cellStyle name="Comma 11 3" xfId="5755"/>
    <cellStyle name="Comma 11 3 2" xfId="5756"/>
    <cellStyle name="Comma 11 3 2 2" xfId="5757"/>
    <cellStyle name="Comma 11 3 2 2 2" xfId="5758"/>
    <cellStyle name="Comma 11 3 2 3" xfId="5759"/>
    <cellStyle name="Comma 11 3 2 4" xfId="5760"/>
    <cellStyle name="Comma 11 3 2 5" xfId="5761"/>
    <cellStyle name="Comma 11 3 3" xfId="5762"/>
    <cellStyle name="Comma 11 3 3 2" xfId="5763"/>
    <cellStyle name="Comma 11 3 4" xfId="5764"/>
    <cellStyle name="Comma 11 3 5" xfId="5765"/>
    <cellStyle name="Comma 11 3 6" xfId="5766"/>
    <cellStyle name="Comma 11 4" xfId="5767"/>
    <cellStyle name="Comma 11 4 2" xfId="5768"/>
    <cellStyle name="Comma 11 4 2 2" xfId="5769"/>
    <cellStyle name="Comma 11 4 3" xfId="5770"/>
    <cellStyle name="Comma 11 4 4" xfId="5771"/>
    <cellStyle name="Comma 11 4 5" xfId="5772"/>
    <cellStyle name="Comma 11 5" xfId="5773"/>
    <cellStyle name="Comma 11 5 2" xfId="5774"/>
    <cellStyle name="Comma 11 5 2 2" xfId="5775"/>
    <cellStyle name="Comma 11 5 3" xfId="5776"/>
    <cellStyle name="Comma 11 5 4" xfId="5777"/>
    <cellStyle name="Comma 11 5 5" xfId="5778"/>
    <cellStyle name="Comma 11 6" xfId="5779"/>
    <cellStyle name="Comma 11 6 2" xfId="5780"/>
    <cellStyle name="Comma 11 6 3" xfId="5781"/>
    <cellStyle name="Comma 11 7" xfId="5782"/>
    <cellStyle name="Comma 11 7 2" xfId="5783"/>
    <cellStyle name="Comma 11 8" xfId="5784"/>
    <cellStyle name="Comma 11 9" xfId="5785"/>
    <cellStyle name="Comma 12" xfId="1315"/>
    <cellStyle name="Comma 12 2" xfId="5786"/>
    <cellStyle name="Comma 12 2 2" xfId="5787"/>
    <cellStyle name="Comma 12 2 3" xfId="5788"/>
    <cellStyle name="Comma 12 3" xfId="5789"/>
    <cellStyle name="Comma 12 3 2" xfId="5790"/>
    <cellStyle name="Comma 12 4" xfId="5791"/>
    <cellStyle name="Comma 12 5" xfId="5792"/>
    <cellStyle name="Comma 12 6" xfId="5793"/>
    <cellStyle name="Comma 13" xfId="1316"/>
    <cellStyle name="Comma 13 2" xfId="5794"/>
    <cellStyle name="Comma 13 2 2" xfId="5795"/>
    <cellStyle name="Comma 13 2 3" xfId="5796"/>
    <cellStyle name="Comma 13 2 4" xfId="5797"/>
    <cellStyle name="Comma 13 3" xfId="5798"/>
    <cellStyle name="Comma 13 3 2" xfId="5799"/>
    <cellStyle name="Comma 13 4" xfId="5800"/>
    <cellStyle name="Comma 13 5" xfId="5801"/>
    <cellStyle name="Comma 13 6" xfId="5802"/>
    <cellStyle name="Comma 14" xfId="1317"/>
    <cellStyle name="Comma 14 2" xfId="5803"/>
    <cellStyle name="Comma 14 2 2" xfId="5804"/>
    <cellStyle name="Comma 14 3" xfId="5805"/>
    <cellStyle name="Comma 14 4" xfId="5806"/>
    <cellStyle name="Comma 14 5" xfId="5807"/>
    <cellStyle name="Comma 15" xfId="1318"/>
    <cellStyle name="Comma 15 2" xfId="5808"/>
    <cellStyle name="Comma 15 2 2" xfId="5809"/>
    <cellStyle name="Comma 15 3" xfId="5810"/>
    <cellStyle name="Comma 15 4" xfId="5811"/>
    <cellStyle name="Comma 15 5" xfId="5812"/>
    <cellStyle name="Comma 16" xfId="12"/>
    <cellStyle name="Comma 16 2" xfId="5813"/>
    <cellStyle name="Comma 16 2 2" xfId="5814"/>
    <cellStyle name="Comma 16 3" xfId="5815"/>
    <cellStyle name="Comma 16 4" xfId="5816"/>
    <cellStyle name="Comma 16 5" xfId="5817"/>
    <cellStyle name="Comma 17" xfId="1319"/>
    <cellStyle name="Comma 17 2" xfId="5818"/>
    <cellStyle name="Comma 17 2 2" xfId="5819"/>
    <cellStyle name="Comma 17 3" xfId="5820"/>
    <cellStyle name="Comma 17 4" xfId="5821"/>
    <cellStyle name="Comma 17 5" xfId="5822"/>
    <cellStyle name="Comma 18" xfId="2111"/>
    <cellStyle name="Comma 18 2" xfId="5823"/>
    <cellStyle name="Comma 18 2 2" xfId="5824"/>
    <cellStyle name="Comma 18 3" xfId="5825"/>
    <cellStyle name="Comma 18 4" xfId="5826"/>
    <cellStyle name="Comma 18 5" xfId="5827"/>
    <cellStyle name="Comma 19" xfId="5828"/>
    <cellStyle name="Comma 19 2" xfId="5829"/>
    <cellStyle name="Comma 2" xfId="7"/>
    <cellStyle name="Comma 2 10" xfId="1320"/>
    <cellStyle name="Comma 2 10 2" xfId="5830"/>
    <cellStyle name="Comma 2 10 2 2" xfId="5831"/>
    <cellStyle name="Comma 2 10 2 2 2" xfId="5832"/>
    <cellStyle name="Comma 2 10 2 3" xfId="5833"/>
    <cellStyle name="Comma 2 10 2 4" xfId="5834"/>
    <cellStyle name="Comma 2 10 2 5" xfId="5835"/>
    <cellStyle name="Comma 2 10 3" xfId="5836"/>
    <cellStyle name="Comma 2 10 3 2" xfId="5837"/>
    <cellStyle name="Comma 2 10 3 2 2" xfId="5838"/>
    <cellStyle name="Comma 2 10 3 3" xfId="5839"/>
    <cellStyle name="Comma 2 10 3 4" xfId="5840"/>
    <cellStyle name="Comma 2 10 3 5" xfId="5841"/>
    <cellStyle name="Comma 2 10 4" xfId="5842"/>
    <cellStyle name="Comma 2 11" xfId="1321"/>
    <cellStyle name="Comma 2 11 2" xfId="5843"/>
    <cellStyle name="Comma 2 11 2 2" xfId="5844"/>
    <cellStyle name="Comma 2 11 2 2 2" xfId="5845"/>
    <cellStyle name="Comma 2 11 2 3" xfId="5846"/>
    <cellStyle name="Comma 2 11 2 4" xfId="5847"/>
    <cellStyle name="Comma 2 11 2 5" xfId="5848"/>
    <cellStyle name="Comma 2 11 2 6" xfId="5849"/>
    <cellStyle name="Comma 2 11 3" xfId="5850"/>
    <cellStyle name="Comma 2 12" xfId="1322"/>
    <cellStyle name="Comma 2 12 2" xfId="5851"/>
    <cellStyle name="Comma 2 12 3" xfId="5852"/>
    <cellStyle name="Comma 2 13" xfId="1323"/>
    <cellStyle name="Comma 2 13 2" xfId="5853"/>
    <cellStyle name="Comma 2 14" xfId="1324"/>
    <cellStyle name="Comma 2 14 2" xfId="5854"/>
    <cellStyle name="Comma 2 15" xfId="1325"/>
    <cellStyle name="Comma 2 15 2" xfId="5855"/>
    <cellStyle name="Comma 2 16" xfId="1326"/>
    <cellStyle name="Comma 2 17" xfId="1327"/>
    <cellStyle name="Comma 2 18" xfId="1328"/>
    <cellStyle name="Comma 2 19" xfId="1329"/>
    <cellStyle name="Comma 2 2" xfId="1330"/>
    <cellStyle name="Comma 2 2 2" xfId="5856"/>
    <cellStyle name="Comma 2 2 2 2" xfId="5857"/>
    <cellStyle name="Comma 2 2 2 2 2" xfId="5858"/>
    <cellStyle name="Comma 2 2 2 2 2 2" xfId="5859"/>
    <cellStyle name="Comma 2 2 2 2 2 2 2" xfId="5860"/>
    <cellStyle name="Comma 2 2 2 2 2 3" xfId="5861"/>
    <cellStyle name="Comma 2 2 2 2 2 4" xfId="5862"/>
    <cellStyle name="Comma 2 2 2 2 3" xfId="5863"/>
    <cellStyle name="Comma 2 2 2 2 3 2" xfId="5864"/>
    <cellStyle name="Comma 2 2 2 2 4" xfId="5865"/>
    <cellStyle name="Comma 2 2 2 2 5" xfId="5866"/>
    <cellStyle name="Comma 2 2 2 2 6" xfId="5867"/>
    <cellStyle name="Comma 2 2 2 3" xfId="5868"/>
    <cellStyle name="Comma 2 2 2 3 2" xfId="5869"/>
    <cellStyle name="Comma 2 2 2 3 2 2" xfId="5870"/>
    <cellStyle name="Comma 2 2 2 3 3" xfId="5871"/>
    <cellStyle name="Comma 2 2 2 3 4" xfId="5872"/>
    <cellStyle name="Comma 2 2 2 4" xfId="5873"/>
    <cellStyle name="Comma 2 2 2 4 2" xfId="5874"/>
    <cellStyle name="Comma 2 2 2 5" xfId="5875"/>
    <cellStyle name="Comma 2 2 2 5 2" xfId="5876"/>
    <cellStyle name="Comma 2 2 2 6" xfId="5877"/>
    <cellStyle name="Comma 2 2 2 7" xfId="5878"/>
    <cellStyle name="Comma 2 2 2 8" xfId="5879"/>
    <cellStyle name="Comma 2 2 3" xfId="5880"/>
    <cellStyle name="Comma 2 2 3 2" xfId="5881"/>
    <cellStyle name="Comma 2 2 3 3" xfId="5882"/>
    <cellStyle name="Comma 2 2 4" xfId="5883"/>
    <cellStyle name="Comma 2 2 5" xfId="5884"/>
    <cellStyle name="Comma 2 20" xfId="1331"/>
    <cellStyle name="Comma 2 21" xfId="1332"/>
    <cellStyle name="Comma 2 3" xfId="1333"/>
    <cellStyle name="Comma 2 3 2" xfId="5885"/>
    <cellStyle name="Comma 2 3 2 2" xfId="5886"/>
    <cellStyle name="Comma 2 3 2 2 2" xfId="5887"/>
    <cellStyle name="Comma 2 3 2 2 2 2" xfId="5888"/>
    <cellStyle name="Comma 2 3 2 2 2 2 2" xfId="5889"/>
    <cellStyle name="Comma 2 3 2 2 2 3" xfId="5890"/>
    <cellStyle name="Comma 2 3 2 2 3" xfId="5891"/>
    <cellStyle name="Comma 2 3 2 2 3 2" xfId="5892"/>
    <cellStyle name="Comma 2 3 2 2 4" xfId="5893"/>
    <cellStyle name="Comma 2 3 2 2 5" xfId="5894"/>
    <cellStyle name="Comma 2 3 2 2 6" xfId="5895"/>
    <cellStyle name="Comma 2 3 2 3" xfId="5896"/>
    <cellStyle name="Comma 2 3 2 3 2" xfId="5897"/>
    <cellStyle name="Comma 2 3 2 3 2 2" xfId="5898"/>
    <cellStyle name="Comma 2 3 2 3 3" xfId="5899"/>
    <cellStyle name="Comma 2 3 2 3 4" xfId="5900"/>
    <cellStyle name="Comma 2 3 2 4" xfId="5901"/>
    <cellStyle name="Comma 2 3 2 4 2" xfId="5902"/>
    <cellStyle name="Comma 2 3 2 5" xfId="5903"/>
    <cellStyle name="Comma 2 3 2 5 2" xfId="5904"/>
    <cellStyle name="Comma 2 3 2 6" xfId="5905"/>
    <cellStyle name="Comma 2 3 2 7" xfId="5906"/>
    <cellStyle name="Comma 2 3 2 8" xfId="5907"/>
    <cellStyle name="Comma 2 3 3" xfId="5908"/>
    <cellStyle name="Comma 2 3 3 2" xfId="5909"/>
    <cellStyle name="Comma 2 3 3 2 2" xfId="5910"/>
    <cellStyle name="Comma 2 3 3 2 2 2" xfId="5911"/>
    <cellStyle name="Comma 2 3 3 2 3" xfId="5912"/>
    <cellStyle name="Comma 2 3 3 3" xfId="5913"/>
    <cellStyle name="Comma 2 3 3 3 2" xfId="5914"/>
    <cellStyle name="Comma 2 3 3 4" xfId="5915"/>
    <cellStyle name="Comma 2 3 3 5" xfId="5916"/>
    <cellStyle name="Comma 2 3 3 6" xfId="5917"/>
    <cellStyle name="Comma 2 3 4" xfId="5918"/>
    <cellStyle name="Comma 2 3 4 2" xfId="5919"/>
    <cellStyle name="Comma 2 3 4 2 2" xfId="5920"/>
    <cellStyle name="Comma 2 3 4 3" xfId="5921"/>
    <cellStyle name="Comma 2 3 4 4" xfId="5922"/>
    <cellStyle name="Comma 2 3 5" xfId="5923"/>
    <cellStyle name="Comma 2 3 5 2" xfId="5924"/>
    <cellStyle name="Comma 2 3 6" xfId="5925"/>
    <cellStyle name="Comma 2 3 7" xfId="5926"/>
    <cellStyle name="Comma 2 4" xfId="1334"/>
    <cellStyle name="Comma 2 4 2" xfId="5927"/>
    <cellStyle name="Comma 2 4 2 10" xfId="5928"/>
    <cellStyle name="Comma 2 4 2 2" xfId="5929"/>
    <cellStyle name="Comma 2 4 2 2 2" xfId="5930"/>
    <cellStyle name="Comma 2 4 2 2 2 2" xfId="5931"/>
    <cellStyle name="Comma 2 4 2 2 2 2 2" xfId="5932"/>
    <cellStyle name="Comma 2 4 2 2 2 2 2 2" xfId="5933"/>
    <cellStyle name="Comma 2 4 2 2 2 2 2 3" xfId="5934"/>
    <cellStyle name="Comma 2 4 2 2 2 2 3" xfId="5935"/>
    <cellStyle name="Comma 2 4 2 2 2 2 3 2" xfId="5936"/>
    <cellStyle name="Comma 2 4 2 2 2 2 4" xfId="5937"/>
    <cellStyle name="Comma 2 4 2 2 2 2 5" xfId="5938"/>
    <cellStyle name="Comma 2 4 2 2 2 3" xfId="5939"/>
    <cellStyle name="Comma 2 4 2 2 2 3 2" xfId="5940"/>
    <cellStyle name="Comma 2 4 2 2 2 3 3" xfId="5941"/>
    <cellStyle name="Comma 2 4 2 2 2 4" xfId="5942"/>
    <cellStyle name="Comma 2 4 2 2 2 4 2" xfId="5943"/>
    <cellStyle name="Comma 2 4 2 2 2 5" xfId="5944"/>
    <cellStyle name="Comma 2 4 2 2 2 6" xfId="5945"/>
    <cellStyle name="Comma 2 4 2 2 3" xfId="5946"/>
    <cellStyle name="Comma 2 4 2 2 3 2" xfId="5947"/>
    <cellStyle name="Comma 2 4 2 2 3 2 2" xfId="5948"/>
    <cellStyle name="Comma 2 4 2 2 3 2 2 2" xfId="5949"/>
    <cellStyle name="Comma 2 4 2 2 3 2 3" xfId="5950"/>
    <cellStyle name="Comma 2 4 2 2 3 2 4" xfId="5951"/>
    <cellStyle name="Comma 2 4 2 2 3 2 5" xfId="5952"/>
    <cellStyle name="Comma 2 4 2 2 3 3" xfId="5953"/>
    <cellStyle name="Comma 2 4 2 2 3 3 2" xfId="5954"/>
    <cellStyle name="Comma 2 4 2 2 3 4" xfId="5955"/>
    <cellStyle name="Comma 2 4 2 2 3 5" xfId="5956"/>
    <cellStyle name="Comma 2 4 2 2 3 6" xfId="5957"/>
    <cellStyle name="Comma 2 4 2 2 4" xfId="5958"/>
    <cellStyle name="Comma 2 4 2 2 4 2" xfId="5959"/>
    <cellStyle name="Comma 2 4 2 2 4 2 2" xfId="5960"/>
    <cellStyle name="Comma 2 4 2 2 4 3" xfId="5961"/>
    <cellStyle name="Comma 2 4 2 2 4 4" xfId="5962"/>
    <cellStyle name="Comma 2 4 2 2 4 5" xfId="5963"/>
    <cellStyle name="Comma 2 4 2 2 5" xfId="5964"/>
    <cellStyle name="Comma 2 4 2 2 5 2" xfId="5965"/>
    <cellStyle name="Comma 2 4 2 2 5 2 2" xfId="5966"/>
    <cellStyle name="Comma 2 4 2 2 5 3" xfId="5967"/>
    <cellStyle name="Comma 2 4 2 2 5 4" xfId="5968"/>
    <cellStyle name="Comma 2 4 2 2 5 5" xfId="5969"/>
    <cellStyle name="Comma 2 4 2 2 6" xfId="5970"/>
    <cellStyle name="Comma 2 4 2 2 6 2" xfId="5971"/>
    <cellStyle name="Comma 2 4 2 2 7" xfId="5972"/>
    <cellStyle name="Comma 2 4 2 2 8" xfId="5973"/>
    <cellStyle name="Comma 2 4 2 2 9" xfId="5974"/>
    <cellStyle name="Comma 2 4 2 3" xfId="5975"/>
    <cellStyle name="Comma 2 4 2 3 2" xfId="5976"/>
    <cellStyle name="Comma 2 4 2 3 2 2" xfId="5977"/>
    <cellStyle name="Comma 2 4 2 3 2 2 2" xfId="5978"/>
    <cellStyle name="Comma 2 4 2 3 2 2 3" xfId="5979"/>
    <cellStyle name="Comma 2 4 2 3 2 3" xfId="5980"/>
    <cellStyle name="Comma 2 4 2 3 2 3 2" xfId="5981"/>
    <cellStyle name="Comma 2 4 2 3 2 4" xfId="5982"/>
    <cellStyle name="Comma 2 4 2 3 2 5" xfId="5983"/>
    <cellStyle name="Comma 2 4 2 3 3" xfId="5984"/>
    <cellStyle name="Comma 2 4 2 3 3 2" xfId="5985"/>
    <cellStyle name="Comma 2 4 2 3 3 3" xfId="5986"/>
    <cellStyle name="Comma 2 4 2 3 4" xfId="5987"/>
    <cellStyle name="Comma 2 4 2 3 4 2" xfId="5988"/>
    <cellStyle name="Comma 2 4 2 3 5" xfId="5989"/>
    <cellStyle name="Comma 2 4 2 3 6" xfId="5990"/>
    <cellStyle name="Comma 2 4 2 4" xfId="5991"/>
    <cellStyle name="Comma 2 4 2 4 2" xfId="5992"/>
    <cellStyle name="Comma 2 4 2 4 2 2" xfId="5993"/>
    <cellStyle name="Comma 2 4 2 4 2 2 2" xfId="5994"/>
    <cellStyle name="Comma 2 4 2 4 2 3" xfId="5995"/>
    <cellStyle name="Comma 2 4 2 4 2 4" xfId="5996"/>
    <cellStyle name="Comma 2 4 2 4 2 5" xfId="5997"/>
    <cellStyle name="Comma 2 4 2 4 3" xfId="5998"/>
    <cellStyle name="Comma 2 4 2 4 3 2" xfId="5999"/>
    <cellStyle name="Comma 2 4 2 4 4" xfId="6000"/>
    <cellStyle name="Comma 2 4 2 4 5" xfId="6001"/>
    <cellStyle name="Comma 2 4 2 4 6" xfId="6002"/>
    <cellStyle name="Comma 2 4 2 5" xfId="6003"/>
    <cellStyle name="Comma 2 4 2 5 2" xfId="6004"/>
    <cellStyle name="Comma 2 4 2 5 2 2" xfId="6005"/>
    <cellStyle name="Comma 2 4 2 5 3" xfId="6006"/>
    <cellStyle name="Comma 2 4 2 5 4" xfId="6007"/>
    <cellStyle name="Comma 2 4 2 5 5" xfId="6008"/>
    <cellStyle name="Comma 2 4 2 6" xfId="6009"/>
    <cellStyle name="Comma 2 4 2 6 2" xfId="6010"/>
    <cellStyle name="Comma 2 4 2 6 2 2" xfId="6011"/>
    <cellStyle name="Comma 2 4 2 6 3" xfId="6012"/>
    <cellStyle name="Comma 2 4 2 6 4" xfId="6013"/>
    <cellStyle name="Comma 2 4 2 6 5" xfId="6014"/>
    <cellStyle name="Comma 2 4 2 7" xfId="6015"/>
    <cellStyle name="Comma 2 4 2 7 2" xfId="6016"/>
    <cellStyle name="Comma 2 4 2 8" xfId="6017"/>
    <cellStyle name="Comma 2 4 2 9" xfId="6018"/>
    <cellStyle name="Comma 2 4 3" xfId="6019"/>
    <cellStyle name="Comma 2 4 3 2" xfId="6020"/>
    <cellStyle name="Comma 2 4 3 2 2" xfId="6021"/>
    <cellStyle name="Comma 2 4 3 2 2 2" xfId="6022"/>
    <cellStyle name="Comma 2 4 3 2 2 2 2" xfId="6023"/>
    <cellStyle name="Comma 2 4 3 2 2 2 3" xfId="6024"/>
    <cellStyle name="Comma 2 4 3 2 2 3" xfId="6025"/>
    <cellStyle name="Comma 2 4 3 2 2 3 2" xfId="6026"/>
    <cellStyle name="Comma 2 4 3 2 2 4" xfId="6027"/>
    <cellStyle name="Comma 2 4 3 2 2 5" xfId="6028"/>
    <cellStyle name="Comma 2 4 3 2 3" xfId="6029"/>
    <cellStyle name="Comma 2 4 3 2 3 2" xfId="6030"/>
    <cellStyle name="Comma 2 4 3 2 3 3" xfId="6031"/>
    <cellStyle name="Comma 2 4 3 2 4" xfId="6032"/>
    <cellStyle name="Comma 2 4 3 2 4 2" xfId="6033"/>
    <cellStyle name="Comma 2 4 3 2 5" xfId="6034"/>
    <cellStyle name="Comma 2 4 3 2 6" xfId="6035"/>
    <cellStyle name="Comma 2 4 3 3" xfId="6036"/>
    <cellStyle name="Comma 2 4 3 3 2" xfId="6037"/>
    <cellStyle name="Comma 2 4 3 3 2 2" xfId="6038"/>
    <cellStyle name="Comma 2 4 3 3 2 2 2" xfId="6039"/>
    <cellStyle name="Comma 2 4 3 3 2 3" xfId="6040"/>
    <cellStyle name="Comma 2 4 3 3 2 4" xfId="6041"/>
    <cellStyle name="Comma 2 4 3 3 2 5" xfId="6042"/>
    <cellStyle name="Comma 2 4 3 3 3" xfId="6043"/>
    <cellStyle name="Comma 2 4 3 3 3 2" xfId="6044"/>
    <cellStyle name="Comma 2 4 3 3 4" xfId="6045"/>
    <cellStyle name="Comma 2 4 3 3 5" xfId="6046"/>
    <cellStyle name="Comma 2 4 3 3 6" xfId="6047"/>
    <cellStyle name="Comma 2 4 3 4" xfId="6048"/>
    <cellStyle name="Comma 2 4 3 4 2" xfId="6049"/>
    <cellStyle name="Comma 2 4 3 4 2 2" xfId="6050"/>
    <cellStyle name="Comma 2 4 3 4 3" xfId="6051"/>
    <cellStyle name="Comma 2 4 3 4 4" xfId="6052"/>
    <cellStyle name="Comma 2 4 3 4 5" xfId="6053"/>
    <cellStyle name="Comma 2 4 3 5" xfId="6054"/>
    <cellStyle name="Comma 2 4 3 5 2" xfId="6055"/>
    <cellStyle name="Comma 2 4 3 5 2 2" xfId="6056"/>
    <cellStyle name="Comma 2 4 3 5 3" xfId="6057"/>
    <cellStyle name="Comma 2 4 3 5 4" xfId="6058"/>
    <cellStyle name="Comma 2 4 3 5 5" xfId="6059"/>
    <cellStyle name="Comma 2 4 3 6" xfId="6060"/>
    <cellStyle name="Comma 2 4 3 6 2" xfId="6061"/>
    <cellStyle name="Comma 2 4 3 7" xfId="6062"/>
    <cellStyle name="Comma 2 4 3 8" xfId="6063"/>
    <cellStyle name="Comma 2 4 3 9" xfId="6064"/>
    <cellStyle name="Comma 2 4 4" xfId="6065"/>
    <cellStyle name="Comma 2 4 4 2" xfId="6066"/>
    <cellStyle name="Comma 2 4 4 2 2" xfId="6067"/>
    <cellStyle name="Comma 2 4 4 2 2 2" xfId="6068"/>
    <cellStyle name="Comma 2 4 4 2 2 3" xfId="6069"/>
    <cellStyle name="Comma 2 4 4 2 3" xfId="6070"/>
    <cellStyle name="Comma 2 4 4 2 3 2" xfId="6071"/>
    <cellStyle name="Comma 2 4 4 2 4" xfId="6072"/>
    <cellStyle name="Comma 2 4 4 2 5" xfId="6073"/>
    <cellStyle name="Comma 2 4 4 3" xfId="6074"/>
    <cellStyle name="Comma 2 4 4 3 2" xfId="6075"/>
    <cellStyle name="Comma 2 4 4 3 3" xfId="6076"/>
    <cellStyle name="Comma 2 4 4 4" xfId="6077"/>
    <cellStyle name="Comma 2 4 4 4 2" xfId="6078"/>
    <cellStyle name="Comma 2 4 4 5" xfId="6079"/>
    <cellStyle name="Comma 2 4 4 6" xfId="6080"/>
    <cellStyle name="Comma 2 4 5" xfId="6081"/>
    <cellStyle name="Comma 2 4 5 2" xfId="6082"/>
    <cellStyle name="Comma 2 4 5 2 2" xfId="6083"/>
    <cellStyle name="Comma 2 4 5 2 2 2" xfId="6084"/>
    <cellStyle name="Comma 2 4 5 2 3" xfId="6085"/>
    <cellStyle name="Comma 2 4 5 2 4" xfId="6086"/>
    <cellStyle name="Comma 2 4 5 2 5" xfId="6087"/>
    <cellStyle name="Comma 2 4 5 3" xfId="6088"/>
    <cellStyle name="Comma 2 4 5 3 2" xfId="6089"/>
    <cellStyle name="Comma 2 4 5 4" xfId="6090"/>
    <cellStyle name="Comma 2 4 5 5" xfId="6091"/>
    <cellStyle name="Comma 2 4 5 6" xfId="6092"/>
    <cellStyle name="Comma 2 4 6" xfId="6093"/>
    <cellStyle name="Comma 2 4 6 2" xfId="6094"/>
    <cellStyle name="Comma 2 4 6 2 2" xfId="6095"/>
    <cellStyle name="Comma 2 4 6 3" xfId="6096"/>
    <cellStyle name="Comma 2 4 6 4" xfId="6097"/>
    <cellStyle name="Comma 2 4 6 5" xfId="6098"/>
    <cellStyle name="Comma 2 4 7" xfId="6099"/>
    <cellStyle name="Comma 2 4 7 2" xfId="6100"/>
    <cellStyle name="Comma 2 4 7 2 2" xfId="6101"/>
    <cellStyle name="Comma 2 4 7 3" xfId="6102"/>
    <cellStyle name="Comma 2 4 7 4" xfId="6103"/>
    <cellStyle name="Comma 2 4 7 5" xfId="6104"/>
    <cellStyle name="Comma 2 4 8" xfId="6105"/>
    <cellStyle name="Comma 2 4 8 2" xfId="6106"/>
    <cellStyle name="Comma 2 4 8 2 2" xfId="6107"/>
    <cellStyle name="Comma 2 4 8 3" xfId="6108"/>
    <cellStyle name="Comma 2 4 8 4" xfId="6109"/>
    <cellStyle name="Comma 2 4 8 5" xfId="6110"/>
    <cellStyle name="Comma 2 4 9" xfId="6111"/>
    <cellStyle name="Comma 2 5" xfId="1335"/>
    <cellStyle name="Comma 2 5 2" xfId="6112"/>
    <cellStyle name="Comma 2 5 2 10" xfId="6113"/>
    <cellStyle name="Comma 2 5 2 2" xfId="6114"/>
    <cellStyle name="Comma 2 5 2 2 2" xfId="6115"/>
    <cellStyle name="Comma 2 5 2 2 2 2" xfId="6116"/>
    <cellStyle name="Comma 2 5 2 2 2 2 2" xfId="6117"/>
    <cellStyle name="Comma 2 5 2 2 2 2 2 2" xfId="6118"/>
    <cellStyle name="Comma 2 5 2 2 2 2 2 3" xfId="6119"/>
    <cellStyle name="Comma 2 5 2 2 2 2 3" xfId="6120"/>
    <cellStyle name="Comma 2 5 2 2 2 2 3 2" xfId="6121"/>
    <cellStyle name="Comma 2 5 2 2 2 2 4" xfId="6122"/>
    <cellStyle name="Comma 2 5 2 2 2 2 5" xfId="6123"/>
    <cellStyle name="Comma 2 5 2 2 2 3" xfId="6124"/>
    <cellStyle name="Comma 2 5 2 2 2 3 2" xfId="6125"/>
    <cellStyle name="Comma 2 5 2 2 2 3 3" xfId="6126"/>
    <cellStyle name="Comma 2 5 2 2 2 4" xfId="6127"/>
    <cellStyle name="Comma 2 5 2 2 2 4 2" xfId="6128"/>
    <cellStyle name="Comma 2 5 2 2 2 5" xfId="6129"/>
    <cellStyle name="Comma 2 5 2 2 2 6" xfId="6130"/>
    <cellStyle name="Comma 2 5 2 2 3" xfId="6131"/>
    <cellStyle name="Comma 2 5 2 2 3 2" xfId="6132"/>
    <cellStyle name="Comma 2 5 2 2 3 2 2" xfId="6133"/>
    <cellStyle name="Comma 2 5 2 2 3 2 2 2" xfId="6134"/>
    <cellStyle name="Comma 2 5 2 2 3 2 3" xfId="6135"/>
    <cellStyle name="Comma 2 5 2 2 3 2 4" xfId="6136"/>
    <cellStyle name="Comma 2 5 2 2 3 2 5" xfId="6137"/>
    <cellStyle name="Comma 2 5 2 2 3 3" xfId="6138"/>
    <cellStyle name="Comma 2 5 2 2 3 3 2" xfId="6139"/>
    <cellStyle name="Comma 2 5 2 2 3 4" xfId="6140"/>
    <cellStyle name="Comma 2 5 2 2 3 5" xfId="6141"/>
    <cellStyle name="Comma 2 5 2 2 3 6" xfId="6142"/>
    <cellStyle name="Comma 2 5 2 2 4" xfId="6143"/>
    <cellStyle name="Comma 2 5 2 2 4 2" xfId="6144"/>
    <cellStyle name="Comma 2 5 2 2 4 2 2" xfId="6145"/>
    <cellStyle name="Comma 2 5 2 2 4 3" xfId="6146"/>
    <cellStyle name="Comma 2 5 2 2 4 4" xfId="6147"/>
    <cellStyle name="Comma 2 5 2 2 4 5" xfId="6148"/>
    <cellStyle name="Comma 2 5 2 2 5" xfId="6149"/>
    <cellStyle name="Comma 2 5 2 2 5 2" xfId="6150"/>
    <cellStyle name="Comma 2 5 2 2 5 2 2" xfId="6151"/>
    <cellStyle name="Comma 2 5 2 2 5 3" xfId="6152"/>
    <cellStyle name="Comma 2 5 2 2 5 4" xfId="6153"/>
    <cellStyle name="Comma 2 5 2 2 5 5" xfId="6154"/>
    <cellStyle name="Comma 2 5 2 2 6" xfId="6155"/>
    <cellStyle name="Comma 2 5 2 2 6 2" xfId="6156"/>
    <cellStyle name="Comma 2 5 2 2 7" xfId="6157"/>
    <cellStyle name="Comma 2 5 2 2 8" xfId="6158"/>
    <cellStyle name="Comma 2 5 2 2 9" xfId="6159"/>
    <cellStyle name="Comma 2 5 2 3" xfId="6160"/>
    <cellStyle name="Comma 2 5 2 3 2" xfId="6161"/>
    <cellStyle name="Comma 2 5 2 3 2 2" xfId="6162"/>
    <cellStyle name="Comma 2 5 2 3 2 2 2" xfId="6163"/>
    <cellStyle name="Comma 2 5 2 3 2 2 3" xfId="6164"/>
    <cellStyle name="Comma 2 5 2 3 2 3" xfId="6165"/>
    <cellStyle name="Comma 2 5 2 3 2 3 2" xfId="6166"/>
    <cellStyle name="Comma 2 5 2 3 2 4" xfId="6167"/>
    <cellStyle name="Comma 2 5 2 3 2 5" xfId="6168"/>
    <cellStyle name="Comma 2 5 2 3 3" xfId="6169"/>
    <cellStyle name="Comma 2 5 2 3 3 2" xfId="6170"/>
    <cellStyle name="Comma 2 5 2 3 3 3" xfId="6171"/>
    <cellStyle name="Comma 2 5 2 3 4" xfId="6172"/>
    <cellStyle name="Comma 2 5 2 3 4 2" xfId="6173"/>
    <cellStyle name="Comma 2 5 2 3 5" xfId="6174"/>
    <cellStyle name="Comma 2 5 2 3 6" xfId="6175"/>
    <cellStyle name="Comma 2 5 2 4" xfId="6176"/>
    <cellStyle name="Comma 2 5 2 4 2" xfId="6177"/>
    <cellStyle name="Comma 2 5 2 4 2 2" xfId="6178"/>
    <cellStyle name="Comma 2 5 2 4 2 2 2" xfId="6179"/>
    <cellStyle name="Comma 2 5 2 4 2 3" xfId="6180"/>
    <cellStyle name="Comma 2 5 2 4 2 4" xfId="6181"/>
    <cellStyle name="Comma 2 5 2 4 2 5" xfId="6182"/>
    <cellStyle name="Comma 2 5 2 4 3" xfId="6183"/>
    <cellStyle name="Comma 2 5 2 4 3 2" xfId="6184"/>
    <cellStyle name="Comma 2 5 2 4 4" xfId="6185"/>
    <cellStyle name="Comma 2 5 2 4 5" xfId="6186"/>
    <cellStyle name="Comma 2 5 2 4 6" xfId="6187"/>
    <cellStyle name="Comma 2 5 2 5" xfId="6188"/>
    <cellStyle name="Comma 2 5 2 5 2" xfId="6189"/>
    <cellStyle name="Comma 2 5 2 5 2 2" xfId="6190"/>
    <cellStyle name="Comma 2 5 2 5 3" xfId="6191"/>
    <cellStyle name="Comma 2 5 2 5 4" xfId="6192"/>
    <cellStyle name="Comma 2 5 2 5 5" xfId="6193"/>
    <cellStyle name="Comma 2 5 2 6" xfId="6194"/>
    <cellStyle name="Comma 2 5 2 6 2" xfId="6195"/>
    <cellStyle name="Comma 2 5 2 6 2 2" xfId="6196"/>
    <cellStyle name="Comma 2 5 2 6 3" xfId="6197"/>
    <cellStyle name="Comma 2 5 2 6 4" xfId="6198"/>
    <cellStyle name="Comma 2 5 2 6 5" xfId="6199"/>
    <cellStyle name="Comma 2 5 2 7" xfId="6200"/>
    <cellStyle name="Comma 2 5 2 7 2" xfId="6201"/>
    <cellStyle name="Comma 2 5 2 8" xfId="6202"/>
    <cellStyle name="Comma 2 5 2 9" xfId="6203"/>
    <cellStyle name="Comma 2 5 3" xfId="6204"/>
    <cellStyle name="Comma 2 5 3 2" xfId="6205"/>
    <cellStyle name="Comma 2 5 3 2 2" xfId="6206"/>
    <cellStyle name="Comma 2 5 3 2 2 2" xfId="6207"/>
    <cellStyle name="Comma 2 5 3 2 2 2 2" xfId="6208"/>
    <cellStyle name="Comma 2 5 3 2 2 2 3" xfId="6209"/>
    <cellStyle name="Comma 2 5 3 2 2 3" xfId="6210"/>
    <cellStyle name="Comma 2 5 3 2 2 3 2" xfId="6211"/>
    <cellStyle name="Comma 2 5 3 2 2 4" xfId="6212"/>
    <cellStyle name="Comma 2 5 3 2 2 5" xfId="6213"/>
    <cellStyle name="Comma 2 5 3 2 3" xfId="6214"/>
    <cellStyle name="Comma 2 5 3 2 3 2" xfId="6215"/>
    <cellStyle name="Comma 2 5 3 2 3 3" xfId="6216"/>
    <cellStyle name="Comma 2 5 3 2 4" xfId="6217"/>
    <cellStyle name="Comma 2 5 3 2 4 2" xfId="6218"/>
    <cellStyle name="Comma 2 5 3 2 5" xfId="6219"/>
    <cellStyle name="Comma 2 5 3 2 6" xfId="6220"/>
    <cellStyle name="Comma 2 5 3 3" xfId="6221"/>
    <cellStyle name="Comma 2 5 3 3 2" xfId="6222"/>
    <cellStyle name="Comma 2 5 3 3 2 2" xfId="6223"/>
    <cellStyle name="Comma 2 5 3 3 2 2 2" xfId="6224"/>
    <cellStyle name="Comma 2 5 3 3 2 3" xfId="6225"/>
    <cellStyle name="Comma 2 5 3 3 2 4" xfId="6226"/>
    <cellStyle name="Comma 2 5 3 3 2 5" xfId="6227"/>
    <cellStyle name="Comma 2 5 3 3 3" xfId="6228"/>
    <cellStyle name="Comma 2 5 3 3 3 2" xfId="6229"/>
    <cellStyle name="Comma 2 5 3 3 4" xfId="6230"/>
    <cellStyle name="Comma 2 5 3 3 5" xfId="6231"/>
    <cellStyle name="Comma 2 5 3 3 6" xfId="6232"/>
    <cellStyle name="Comma 2 5 3 4" xfId="6233"/>
    <cellStyle name="Comma 2 5 3 4 2" xfId="6234"/>
    <cellStyle name="Comma 2 5 3 4 2 2" xfId="6235"/>
    <cellStyle name="Comma 2 5 3 4 3" xfId="6236"/>
    <cellStyle name="Comma 2 5 3 4 4" xfId="6237"/>
    <cellStyle name="Comma 2 5 3 4 5" xfId="6238"/>
    <cellStyle name="Comma 2 5 3 5" xfId="6239"/>
    <cellStyle name="Comma 2 5 3 5 2" xfId="6240"/>
    <cellStyle name="Comma 2 5 3 5 2 2" xfId="6241"/>
    <cellStyle name="Comma 2 5 3 5 3" xfId="6242"/>
    <cellStyle name="Comma 2 5 3 5 4" xfId="6243"/>
    <cellStyle name="Comma 2 5 3 5 5" xfId="6244"/>
    <cellStyle name="Comma 2 5 3 6" xfId="6245"/>
    <cellStyle name="Comma 2 5 3 6 2" xfId="6246"/>
    <cellStyle name="Comma 2 5 3 7" xfId="6247"/>
    <cellStyle name="Comma 2 5 3 8" xfId="6248"/>
    <cellStyle name="Comma 2 5 3 9" xfId="6249"/>
    <cellStyle name="Comma 2 5 4" xfId="6250"/>
    <cellStyle name="Comma 2 5 4 2" xfId="6251"/>
    <cellStyle name="Comma 2 5 4 2 2" xfId="6252"/>
    <cellStyle name="Comma 2 5 4 2 2 2" xfId="6253"/>
    <cellStyle name="Comma 2 5 4 2 2 3" xfId="6254"/>
    <cellStyle name="Comma 2 5 4 2 3" xfId="6255"/>
    <cellStyle name="Comma 2 5 4 2 3 2" xfId="6256"/>
    <cellStyle name="Comma 2 5 4 2 4" xfId="6257"/>
    <cellStyle name="Comma 2 5 4 2 5" xfId="6258"/>
    <cellStyle name="Comma 2 5 4 3" xfId="6259"/>
    <cellStyle name="Comma 2 5 4 3 2" xfId="6260"/>
    <cellStyle name="Comma 2 5 4 3 3" xfId="6261"/>
    <cellStyle name="Comma 2 5 4 4" xfId="6262"/>
    <cellStyle name="Comma 2 5 4 4 2" xfId="6263"/>
    <cellStyle name="Comma 2 5 4 5" xfId="6264"/>
    <cellStyle name="Comma 2 5 4 6" xfId="6265"/>
    <cellStyle name="Comma 2 5 5" xfId="6266"/>
    <cellStyle name="Comma 2 5 5 2" xfId="6267"/>
    <cellStyle name="Comma 2 5 5 2 2" xfId="6268"/>
    <cellStyle name="Comma 2 5 5 2 2 2" xfId="6269"/>
    <cellStyle name="Comma 2 5 5 2 3" xfId="6270"/>
    <cellStyle name="Comma 2 5 5 2 4" xfId="6271"/>
    <cellStyle name="Comma 2 5 5 2 5" xfId="6272"/>
    <cellStyle name="Comma 2 5 5 3" xfId="6273"/>
    <cellStyle name="Comma 2 5 5 3 2" xfId="6274"/>
    <cellStyle name="Comma 2 5 5 4" xfId="6275"/>
    <cellStyle name="Comma 2 5 5 5" xfId="6276"/>
    <cellStyle name="Comma 2 5 5 6" xfId="6277"/>
    <cellStyle name="Comma 2 5 6" xfId="6278"/>
    <cellStyle name="Comma 2 5 6 2" xfId="6279"/>
    <cellStyle name="Comma 2 5 6 2 2" xfId="6280"/>
    <cellStyle name="Comma 2 5 6 3" xfId="6281"/>
    <cellStyle name="Comma 2 5 6 4" xfId="6282"/>
    <cellStyle name="Comma 2 5 6 5" xfId="6283"/>
    <cellStyle name="Comma 2 5 7" xfId="6284"/>
    <cellStyle name="Comma 2 5 7 2" xfId="6285"/>
    <cellStyle name="Comma 2 5 7 2 2" xfId="6286"/>
    <cellStyle name="Comma 2 5 7 3" xfId="6287"/>
    <cellStyle name="Comma 2 5 7 4" xfId="6288"/>
    <cellStyle name="Comma 2 5 7 5" xfId="6289"/>
    <cellStyle name="Comma 2 5 8" xfId="6290"/>
    <cellStyle name="Comma 2 5 8 2" xfId="6291"/>
    <cellStyle name="Comma 2 5 8 2 2" xfId="6292"/>
    <cellStyle name="Comma 2 5 8 3" xfId="6293"/>
    <cellStyle name="Comma 2 5 8 4" xfId="6294"/>
    <cellStyle name="Comma 2 5 8 5" xfId="6295"/>
    <cellStyle name="Comma 2 5 9" xfId="6296"/>
    <cellStyle name="Comma 2 6" xfId="1336"/>
    <cellStyle name="Comma 2 6 2" xfId="6297"/>
    <cellStyle name="Comma 2 6 2 2" xfId="6298"/>
    <cellStyle name="Comma 2 6 2 2 2" xfId="6299"/>
    <cellStyle name="Comma 2 6 2 2 2 2" xfId="6300"/>
    <cellStyle name="Comma 2 6 2 2 2 2 2" xfId="6301"/>
    <cellStyle name="Comma 2 6 2 2 2 2 3" xfId="6302"/>
    <cellStyle name="Comma 2 6 2 2 2 3" xfId="6303"/>
    <cellStyle name="Comma 2 6 2 2 2 3 2" xfId="6304"/>
    <cellStyle name="Comma 2 6 2 2 2 4" xfId="6305"/>
    <cellStyle name="Comma 2 6 2 2 2 5" xfId="6306"/>
    <cellStyle name="Comma 2 6 2 2 3" xfId="6307"/>
    <cellStyle name="Comma 2 6 2 2 3 2" xfId="6308"/>
    <cellStyle name="Comma 2 6 2 2 3 3" xfId="6309"/>
    <cellStyle name="Comma 2 6 2 2 4" xfId="6310"/>
    <cellStyle name="Comma 2 6 2 2 4 2" xfId="6311"/>
    <cellStyle name="Comma 2 6 2 2 5" xfId="6312"/>
    <cellStyle name="Comma 2 6 2 2 6" xfId="6313"/>
    <cellStyle name="Comma 2 6 2 3" xfId="6314"/>
    <cellStyle name="Comma 2 6 2 3 2" xfId="6315"/>
    <cellStyle name="Comma 2 6 2 3 2 2" xfId="6316"/>
    <cellStyle name="Comma 2 6 2 3 2 2 2" xfId="6317"/>
    <cellStyle name="Comma 2 6 2 3 2 3" xfId="6318"/>
    <cellStyle name="Comma 2 6 2 3 2 4" xfId="6319"/>
    <cellStyle name="Comma 2 6 2 3 2 5" xfId="6320"/>
    <cellStyle name="Comma 2 6 2 3 3" xfId="6321"/>
    <cellStyle name="Comma 2 6 2 3 3 2" xfId="6322"/>
    <cellStyle name="Comma 2 6 2 3 4" xfId="6323"/>
    <cellStyle name="Comma 2 6 2 3 5" xfId="6324"/>
    <cellStyle name="Comma 2 6 2 3 6" xfId="6325"/>
    <cellStyle name="Comma 2 6 2 4" xfId="6326"/>
    <cellStyle name="Comma 2 6 2 4 2" xfId="6327"/>
    <cellStyle name="Comma 2 6 2 4 2 2" xfId="6328"/>
    <cellStyle name="Comma 2 6 2 4 3" xfId="6329"/>
    <cellStyle name="Comma 2 6 2 4 4" xfId="6330"/>
    <cellStyle name="Comma 2 6 2 4 5" xfId="6331"/>
    <cellStyle name="Comma 2 6 2 5" xfId="6332"/>
    <cellStyle name="Comma 2 6 2 5 2" xfId="6333"/>
    <cellStyle name="Comma 2 6 2 5 2 2" xfId="6334"/>
    <cellStyle name="Comma 2 6 2 5 3" xfId="6335"/>
    <cellStyle name="Comma 2 6 2 5 4" xfId="6336"/>
    <cellStyle name="Comma 2 6 2 5 5" xfId="6337"/>
    <cellStyle name="Comma 2 6 2 6" xfId="6338"/>
    <cellStyle name="Comma 2 6 2 6 2" xfId="6339"/>
    <cellStyle name="Comma 2 6 2 7" xfId="6340"/>
    <cellStyle name="Comma 2 6 2 8" xfId="6341"/>
    <cellStyle name="Comma 2 6 2 9" xfId="6342"/>
    <cellStyle name="Comma 2 6 3" xfId="6343"/>
    <cellStyle name="Comma 2 6 3 2" xfId="6344"/>
    <cellStyle name="Comma 2 6 3 2 2" xfId="6345"/>
    <cellStyle name="Comma 2 6 3 2 2 2" xfId="6346"/>
    <cellStyle name="Comma 2 6 3 2 2 3" xfId="6347"/>
    <cellStyle name="Comma 2 6 3 2 3" xfId="6348"/>
    <cellStyle name="Comma 2 6 3 2 3 2" xfId="6349"/>
    <cellStyle name="Comma 2 6 3 2 4" xfId="6350"/>
    <cellStyle name="Comma 2 6 3 2 5" xfId="6351"/>
    <cellStyle name="Comma 2 6 3 3" xfId="6352"/>
    <cellStyle name="Comma 2 6 3 3 2" xfId="6353"/>
    <cellStyle name="Comma 2 6 3 3 3" xfId="6354"/>
    <cellStyle name="Comma 2 6 3 4" xfId="6355"/>
    <cellStyle name="Comma 2 6 3 4 2" xfId="6356"/>
    <cellStyle name="Comma 2 6 3 5" xfId="6357"/>
    <cellStyle name="Comma 2 6 3 6" xfId="6358"/>
    <cellStyle name="Comma 2 6 4" xfId="6359"/>
    <cellStyle name="Comma 2 6 4 2" xfId="6360"/>
    <cellStyle name="Comma 2 6 4 2 2" xfId="6361"/>
    <cellStyle name="Comma 2 6 4 2 2 2" xfId="6362"/>
    <cellStyle name="Comma 2 6 4 2 3" xfId="6363"/>
    <cellStyle name="Comma 2 6 4 2 4" xfId="6364"/>
    <cellStyle name="Comma 2 6 4 2 5" xfId="6365"/>
    <cellStyle name="Comma 2 6 4 3" xfId="6366"/>
    <cellStyle name="Comma 2 6 4 3 2" xfId="6367"/>
    <cellStyle name="Comma 2 6 4 4" xfId="6368"/>
    <cellStyle name="Comma 2 6 4 5" xfId="6369"/>
    <cellStyle name="Comma 2 6 4 6" xfId="6370"/>
    <cellStyle name="Comma 2 6 5" xfId="6371"/>
    <cellStyle name="Comma 2 6 5 2" xfId="6372"/>
    <cellStyle name="Comma 2 6 5 2 2" xfId="6373"/>
    <cellStyle name="Comma 2 6 5 3" xfId="6374"/>
    <cellStyle name="Comma 2 6 5 4" xfId="6375"/>
    <cellStyle name="Comma 2 6 5 5" xfId="6376"/>
    <cellStyle name="Comma 2 6 6" xfId="6377"/>
    <cellStyle name="Comma 2 6 6 2" xfId="6378"/>
    <cellStyle name="Comma 2 6 6 2 2" xfId="6379"/>
    <cellStyle name="Comma 2 6 6 3" xfId="6380"/>
    <cellStyle name="Comma 2 6 6 4" xfId="6381"/>
    <cellStyle name="Comma 2 6 6 5" xfId="6382"/>
    <cellStyle name="Comma 2 6 7" xfId="6383"/>
    <cellStyle name="Comma 2 6 7 2" xfId="6384"/>
    <cellStyle name="Comma 2 6 7 2 2" xfId="6385"/>
    <cellStyle name="Comma 2 6 7 3" xfId="6386"/>
    <cellStyle name="Comma 2 6 7 4" xfId="6387"/>
    <cellStyle name="Comma 2 6 7 5" xfId="6388"/>
    <cellStyle name="Comma 2 6 8" xfId="6389"/>
    <cellStyle name="Comma 2 7" xfId="1337"/>
    <cellStyle name="Comma 2 7 2" xfId="6390"/>
    <cellStyle name="Comma 2 7 2 2" xfId="6391"/>
    <cellStyle name="Comma 2 7 2 2 2" xfId="6392"/>
    <cellStyle name="Comma 2 7 2 2 2 2" xfId="6393"/>
    <cellStyle name="Comma 2 7 2 2 2 3" xfId="6394"/>
    <cellStyle name="Comma 2 7 2 2 3" xfId="6395"/>
    <cellStyle name="Comma 2 7 2 2 3 2" xfId="6396"/>
    <cellStyle name="Comma 2 7 2 2 4" xfId="6397"/>
    <cellStyle name="Comma 2 7 2 2 5" xfId="6398"/>
    <cellStyle name="Comma 2 7 2 3" xfId="6399"/>
    <cellStyle name="Comma 2 7 2 3 2" xfId="6400"/>
    <cellStyle name="Comma 2 7 2 3 3" xfId="6401"/>
    <cellStyle name="Comma 2 7 2 4" xfId="6402"/>
    <cellStyle name="Comma 2 7 2 4 2" xfId="6403"/>
    <cellStyle name="Comma 2 7 2 5" xfId="6404"/>
    <cellStyle name="Comma 2 7 2 6" xfId="6405"/>
    <cellStyle name="Comma 2 7 3" xfId="6406"/>
    <cellStyle name="Comma 2 7 3 2" xfId="6407"/>
    <cellStyle name="Comma 2 7 3 2 2" xfId="6408"/>
    <cellStyle name="Comma 2 7 3 2 2 2" xfId="6409"/>
    <cellStyle name="Comma 2 7 3 2 3" xfId="6410"/>
    <cellStyle name="Comma 2 7 3 2 4" xfId="6411"/>
    <cellStyle name="Comma 2 7 3 2 5" xfId="6412"/>
    <cellStyle name="Comma 2 7 3 3" xfId="6413"/>
    <cellStyle name="Comma 2 7 3 3 2" xfId="6414"/>
    <cellStyle name="Comma 2 7 3 4" xfId="6415"/>
    <cellStyle name="Comma 2 7 3 5" xfId="6416"/>
    <cellStyle name="Comma 2 7 3 6" xfId="6417"/>
    <cellStyle name="Comma 2 7 4" xfId="6418"/>
    <cellStyle name="Comma 2 7 4 2" xfId="6419"/>
    <cellStyle name="Comma 2 7 4 2 2" xfId="6420"/>
    <cellStyle name="Comma 2 7 4 3" xfId="6421"/>
    <cellStyle name="Comma 2 7 4 4" xfId="6422"/>
    <cellStyle name="Comma 2 7 4 5" xfId="6423"/>
    <cellStyle name="Comma 2 7 5" xfId="6424"/>
    <cellStyle name="Comma 2 7 5 2" xfId="6425"/>
    <cellStyle name="Comma 2 7 5 2 2" xfId="6426"/>
    <cellStyle name="Comma 2 7 5 3" xfId="6427"/>
    <cellStyle name="Comma 2 7 5 4" xfId="6428"/>
    <cellStyle name="Comma 2 7 5 5" xfId="6429"/>
    <cellStyle name="Comma 2 7 6" xfId="6430"/>
    <cellStyle name="Comma 2 7 6 2" xfId="6431"/>
    <cellStyle name="Comma 2 7 6 2 2" xfId="6432"/>
    <cellStyle name="Comma 2 7 6 3" xfId="6433"/>
    <cellStyle name="Comma 2 7 6 4" xfId="6434"/>
    <cellStyle name="Comma 2 7 6 5" xfId="6435"/>
    <cellStyle name="Comma 2 7 7" xfId="6436"/>
    <cellStyle name="Comma 2 8" xfId="1338"/>
    <cellStyle name="Comma 2 8 2" xfId="6437"/>
    <cellStyle name="Comma 2 8 2 2" xfId="6438"/>
    <cellStyle name="Comma 2 8 2 2 2" xfId="6439"/>
    <cellStyle name="Comma 2 8 2 2 3" xfId="6440"/>
    <cellStyle name="Comma 2 8 2 3" xfId="6441"/>
    <cellStyle name="Comma 2 8 2 3 2" xfId="6442"/>
    <cellStyle name="Comma 2 8 2 4" xfId="6443"/>
    <cellStyle name="Comma 2 8 2 5" xfId="6444"/>
    <cellStyle name="Comma 2 8 3" xfId="6445"/>
    <cellStyle name="Comma 2 8 3 2" xfId="6446"/>
    <cellStyle name="Comma 2 8 3 2 2" xfId="6447"/>
    <cellStyle name="Comma 2 8 3 3" xfId="6448"/>
    <cellStyle name="Comma 2 8 3 4" xfId="6449"/>
    <cellStyle name="Comma 2 8 3 5" xfId="6450"/>
    <cellStyle name="Comma 2 8 4" xfId="6451"/>
    <cellStyle name="Comma 2 8 4 2" xfId="6452"/>
    <cellStyle name="Comma 2 8 4 2 2" xfId="6453"/>
    <cellStyle name="Comma 2 8 4 3" xfId="6454"/>
    <cellStyle name="Comma 2 8 4 4" xfId="6455"/>
    <cellStyle name="Comma 2 8 4 5" xfId="6456"/>
    <cellStyle name="Comma 2 8 5" xfId="6457"/>
    <cellStyle name="Comma 2 9" xfId="1339"/>
    <cellStyle name="Comma 2 9 2" xfId="6458"/>
    <cellStyle name="Comma 2 9 2 2" xfId="6459"/>
    <cellStyle name="Comma 2 9 2 2 2" xfId="6460"/>
    <cellStyle name="Comma 2 9 2 3" xfId="6461"/>
    <cellStyle name="Comma 2 9 2 4" xfId="6462"/>
    <cellStyle name="Comma 2 9 2 5" xfId="6463"/>
    <cellStyle name="Comma 2 9 3" xfId="6464"/>
    <cellStyle name="Comma 2 9 3 2" xfId="6465"/>
    <cellStyle name="Comma 2 9 3 2 2" xfId="6466"/>
    <cellStyle name="Comma 2 9 3 3" xfId="6467"/>
    <cellStyle name="Comma 2 9 3 4" xfId="6468"/>
    <cellStyle name="Comma 2 9 3 5" xfId="6469"/>
    <cellStyle name="Comma 2 9 4" xfId="6470"/>
    <cellStyle name="Comma 20" xfId="6471"/>
    <cellStyle name="Comma 20 2" xfId="6472"/>
    <cellStyle name="Comma 21" xfId="6473"/>
    <cellStyle name="Comma 21 2" xfId="6474"/>
    <cellStyle name="Comma 22" xfId="6475"/>
    <cellStyle name="Comma 23" xfId="6476"/>
    <cellStyle name="Comma 24" xfId="6477"/>
    <cellStyle name="Comma 25" xfId="6478"/>
    <cellStyle name="Comma 26" xfId="6479"/>
    <cellStyle name="Comma 27" xfId="6480"/>
    <cellStyle name="Comma 28" xfId="6481"/>
    <cellStyle name="Comma 29" xfId="6482"/>
    <cellStyle name="Comma 29 2" xfId="6483"/>
    <cellStyle name="Comma 3" xfId="13"/>
    <cellStyle name="Comma 3 10" xfId="6484"/>
    <cellStyle name="Comma 3 11" xfId="6485"/>
    <cellStyle name="Comma 3 2" xfId="1340"/>
    <cellStyle name="Comma 3 2 2" xfId="2105"/>
    <cellStyle name="Comma 3 2 2 2" xfId="6486"/>
    <cellStyle name="Comma 3 2 2 2 2" xfId="6487"/>
    <cellStyle name="Comma 3 2 2 2 2 2" xfId="6488"/>
    <cellStyle name="Comma 3 2 2 2 2 2 2" xfId="6489"/>
    <cellStyle name="Comma 3 2 2 2 2 2 2 2" xfId="6490"/>
    <cellStyle name="Comma 3 2 2 2 2 2 3" xfId="6491"/>
    <cellStyle name="Comma 3 2 2 2 2 3" xfId="6492"/>
    <cellStyle name="Comma 3 2 2 2 2 3 2" xfId="6493"/>
    <cellStyle name="Comma 3 2 2 2 2 4" xfId="6494"/>
    <cellStyle name="Comma 3 2 2 2 3" xfId="6495"/>
    <cellStyle name="Comma 3 2 2 2 3 2" xfId="6496"/>
    <cellStyle name="Comma 3 2 2 2 3 2 2" xfId="6497"/>
    <cellStyle name="Comma 3 2 2 2 3 3" xfId="6498"/>
    <cellStyle name="Comma 3 2 2 2 4" xfId="6499"/>
    <cellStyle name="Comma 3 2 2 2 4 2" xfId="6500"/>
    <cellStyle name="Comma 3 2 2 2 5" xfId="6501"/>
    <cellStyle name="Comma 3 2 2 2 6" xfId="6502"/>
    <cellStyle name="Comma 3 2 2 2 7" xfId="6503"/>
    <cellStyle name="Comma 3 2 2 3" xfId="6504"/>
    <cellStyle name="Comma 3 2 2 3 2" xfId="6505"/>
    <cellStyle name="Comma 3 2 2 3 2 2" xfId="6506"/>
    <cellStyle name="Comma 3 2 2 3 2 2 2" xfId="6507"/>
    <cellStyle name="Comma 3 2 2 3 2 3" xfId="6508"/>
    <cellStyle name="Comma 3 2 2 3 3" xfId="6509"/>
    <cellStyle name="Comma 3 2 2 3 3 2" xfId="6510"/>
    <cellStyle name="Comma 3 2 2 3 4" xfId="6511"/>
    <cellStyle name="Comma 3 2 2 4" xfId="6512"/>
    <cellStyle name="Comma 3 2 2 4 2" xfId="6513"/>
    <cellStyle name="Comma 3 2 2 4 2 2" xfId="6514"/>
    <cellStyle name="Comma 3 2 2 4 3" xfId="6515"/>
    <cellStyle name="Comma 3 2 2 5" xfId="6516"/>
    <cellStyle name="Comma 3 2 2 5 2" xfId="6517"/>
    <cellStyle name="Comma 3 2 2 6" xfId="6518"/>
    <cellStyle name="Comma 3 2 2 7" xfId="6519"/>
    <cellStyle name="Comma 3 2 2 8" xfId="6520"/>
    <cellStyle name="Comma 3 2 3" xfId="6521"/>
    <cellStyle name="Comma 3 2 3 2" xfId="6522"/>
    <cellStyle name="Comma 3 2 3 2 2" xfId="6523"/>
    <cellStyle name="Comma 3 2 3 2 2 2" xfId="6524"/>
    <cellStyle name="Comma 3 2 3 2 2 2 2" xfId="6525"/>
    <cellStyle name="Comma 3 2 3 2 2 3" xfId="6526"/>
    <cellStyle name="Comma 3 2 3 2 3" xfId="6527"/>
    <cellStyle name="Comma 3 2 3 2 3 2" xfId="6528"/>
    <cellStyle name="Comma 3 2 3 2 4" xfId="6529"/>
    <cellStyle name="Comma 3 2 3 3" xfId="6530"/>
    <cellStyle name="Comma 3 2 3 3 2" xfId="6531"/>
    <cellStyle name="Comma 3 2 3 3 2 2" xfId="6532"/>
    <cellStyle name="Comma 3 2 3 3 3" xfId="6533"/>
    <cellStyle name="Comma 3 2 3 4" xfId="6534"/>
    <cellStyle name="Comma 3 2 3 4 2" xfId="6535"/>
    <cellStyle name="Comma 3 2 3 5" xfId="6536"/>
    <cellStyle name="Comma 3 2 3 6" xfId="6537"/>
    <cellStyle name="Comma 3 2 3 7" xfId="6538"/>
    <cellStyle name="Comma 3 2 4" xfId="6539"/>
    <cellStyle name="Comma 3 2 4 2" xfId="6540"/>
    <cellStyle name="Comma 3 2 4 2 2" xfId="6541"/>
    <cellStyle name="Comma 3 2 4 2 2 2" xfId="6542"/>
    <cellStyle name="Comma 3 2 4 2 2 2 2" xfId="6543"/>
    <cellStyle name="Comma 3 2 4 2 2 3" xfId="6544"/>
    <cellStyle name="Comma 3 2 4 2 3" xfId="6545"/>
    <cellStyle name="Comma 3 2 4 2 3 2" xfId="6546"/>
    <cellStyle name="Comma 3 2 4 2 4" xfId="6547"/>
    <cellStyle name="Comma 3 2 4 3" xfId="6548"/>
    <cellStyle name="Comma 3 2 4 3 2" xfId="6549"/>
    <cellStyle name="Comma 3 2 4 3 2 2" xfId="6550"/>
    <cellStyle name="Comma 3 2 4 3 3" xfId="6551"/>
    <cellStyle name="Comma 3 2 4 4" xfId="6552"/>
    <cellStyle name="Comma 3 2 4 4 2" xfId="6553"/>
    <cellStyle name="Comma 3 2 4 5" xfId="6554"/>
    <cellStyle name="Comma 3 2 5" xfId="6555"/>
    <cellStyle name="Comma 3 2 5 2" xfId="6556"/>
    <cellStyle name="Comma 3 2 5 2 2" xfId="6557"/>
    <cellStyle name="Comma 3 2 5 2 2 2" xfId="6558"/>
    <cellStyle name="Comma 3 2 5 2 3" xfId="6559"/>
    <cellStyle name="Comma 3 2 5 3" xfId="6560"/>
    <cellStyle name="Comma 3 2 5 3 2" xfId="6561"/>
    <cellStyle name="Comma 3 2 5 4" xfId="6562"/>
    <cellStyle name="Comma 3 2 6" xfId="6563"/>
    <cellStyle name="Comma 3 2 6 2" xfId="6564"/>
    <cellStyle name="Comma 3 2 6 2 2" xfId="6565"/>
    <cellStyle name="Comma 3 2 6 3" xfId="6566"/>
    <cellStyle name="Comma 3 2 7" xfId="6567"/>
    <cellStyle name="Comma 3 2 7 2" xfId="6568"/>
    <cellStyle name="Comma 3 2 8" xfId="6569"/>
    <cellStyle name="Comma 3 3" xfId="1341"/>
    <cellStyle name="Comma 3 3 2" xfId="6570"/>
    <cellStyle name="Comma 3 3 2 2" xfId="6571"/>
    <cellStyle name="Comma 3 3 2 2 2" xfId="6572"/>
    <cellStyle name="Comma 3 3 2 2 2 2" xfId="6573"/>
    <cellStyle name="Comma 3 3 2 2 2 2 2" xfId="6574"/>
    <cellStyle name="Comma 3 3 2 2 2 3" xfId="6575"/>
    <cellStyle name="Comma 3 3 2 2 3" xfId="6576"/>
    <cellStyle name="Comma 3 3 2 2 3 2" xfId="6577"/>
    <cellStyle name="Comma 3 3 2 2 4" xfId="6578"/>
    <cellStyle name="Comma 3 3 2 2 5" xfId="6579"/>
    <cellStyle name="Comma 3 3 2 2 6" xfId="6580"/>
    <cellStyle name="Comma 3 3 2 3" xfId="6581"/>
    <cellStyle name="Comma 3 3 2 3 2" xfId="6582"/>
    <cellStyle name="Comma 3 3 2 3 2 2" xfId="6583"/>
    <cellStyle name="Comma 3 3 2 3 3" xfId="6584"/>
    <cellStyle name="Comma 3 3 2 4" xfId="6585"/>
    <cellStyle name="Comma 3 3 2 4 2" xfId="6586"/>
    <cellStyle name="Comma 3 3 2 5" xfId="6587"/>
    <cellStyle name="Comma 3 3 2 6" xfId="6588"/>
    <cellStyle name="Comma 3 3 2 7" xfId="6589"/>
    <cellStyle name="Comma 3 3 3" xfId="6590"/>
    <cellStyle name="Comma 3 3 3 2" xfId="6591"/>
    <cellStyle name="Comma 3 3 3 2 2" xfId="6592"/>
    <cellStyle name="Comma 3 3 3 2 2 2" xfId="6593"/>
    <cellStyle name="Comma 3 3 3 2 3" xfId="6594"/>
    <cellStyle name="Comma 3 3 3 3" xfId="6595"/>
    <cellStyle name="Comma 3 3 3 3 2" xfId="6596"/>
    <cellStyle name="Comma 3 3 3 4" xfId="6597"/>
    <cellStyle name="Comma 3 3 3 5" xfId="6598"/>
    <cellStyle name="Comma 3 3 3 6" xfId="6599"/>
    <cellStyle name="Comma 3 3 4" xfId="6600"/>
    <cellStyle name="Comma 3 3 4 2" xfId="6601"/>
    <cellStyle name="Comma 3 3 4 2 2" xfId="6602"/>
    <cellStyle name="Comma 3 3 4 3" xfId="6603"/>
    <cellStyle name="Comma 3 3 5" xfId="6604"/>
    <cellStyle name="Comma 3 3 5 2" xfId="6605"/>
    <cellStyle name="Comma 3 3 6" xfId="6606"/>
    <cellStyle name="Comma 3 3 7" xfId="6607"/>
    <cellStyle name="Comma 3 3 8" xfId="6608"/>
    <cellStyle name="Comma 3 4" xfId="1342"/>
    <cellStyle name="Comma 3 4 2" xfId="6609"/>
    <cellStyle name="Comma 3 4 2 2" xfId="6610"/>
    <cellStyle name="Comma 3 4 2 2 2" xfId="6611"/>
    <cellStyle name="Comma 3 4 2 2 2 2" xfId="6612"/>
    <cellStyle name="Comma 3 4 2 2 3" xfId="6613"/>
    <cellStyle name="Comma 3 4 2 2 4" xfId="6614"/>
    <cellStyle name="Comma 3 4 2 3" xfId="6615"/>
    <cellStyle name="Comma 3 4 2 3 2" xfId="6616"/>
    <cellStyle name="Comma 3 4 2 4" xfId="6617"/>
    <cellStyle name="Comma 3 4 2 5" xfId="6618"/>
    <cellStyle name="Comma 3 4 2 6" xfId="6619"/>
    <cellStyle name="Comma 3 4 3" xfId="6620"/>
    <cellStyle name="Comma 3 4 3 2" xfId="6621"/>
    <cellStyle name="Comma 3 4 3 2 2" xfId="6622"/>
    <cellStyle name="Comma 3 4 3 3" xfId="6623"/>
    <cellStyle name="Comma 3 4 3 4" xfId="6624"/>
    <cellStyle name="Comma 3 4 4" xfId="6625"/>
    <cellStyle name="Comma 3 4 4 2" xfId="6626"/>
    <cellStyle name="Comma 3 4 5" xfId="6627"/>
    <cellStyle name="Comma 3 4 5 2" xfId="6628"/>
    <cellStyle name="Comma 3 4 6" xfId="6629"/>
    <cellStyle name="Comma 3 4 7" xfId="6630"/>
    <cellStyle name="Comma 3 4 8" xfId="6631"/>
    <cellStyle name="Comma 3 5" xfId="1343"/>
    <cellStyle name="Comma 3 5 2" xfId="6632"/>
    <cellStyle name="Comma 3 5 2 2" xfId="6633"/>
    <cellStyle name="Comma 3 5 2 2 2" xfId="6634"/>
    <cellStyle name="Comma 3 5 2 2 2 2" xfId="6635"/>
    <cellStyle name="Comma 3 5 2 2 3" xfId="6636"/>
    <cellStyle name="Comma 3 5 2 3" xfId="6637"/>
    <cellStyle name="Comma 3 5 2 3 2" xfId="6638"/>
    <cellStyle name="Comma 3 5 2 4" xfId="6639"/>
    <cellStyle name="Comma 3 5 2 5" xfId="6640"/>
    <cellStyle name="Comma 3 5 3" xfId="6641"/>
    <cellStyle name="Comma 3 5 3 2" xfId="6642"/>
    <cellStyle name="Comma 3 5 3 2 2" xfId="6643"/>
    <cellStyle name="Comma 3 5 3 3" xfId="6644"/>
    <cellStyle name="Comma 3 5 4" xfId="6645"/>
    <cellStyle name="Comma 3 5 4 2" xfId="6646"/>
    <cellStyle name="Comma 3 5 5" xfId="6647"/>
    <cellStyle name="Comma 3 5 6" xfId="6648"/>
    <cellStyle name="Comma 3 5 7" xfId="6649"/>
    <cellStyle name="Comma 3 6" xfId="6650"/>
    <cellStyle name="Comma 3 6 2" xfId="6651"/>
    <cellStyle name="Comma 3 6 2 2" xfId="6652"/>
    <cellStyle name="Comma 3 6 2 2 2" xfId="6653"/>
    <cellStyle name="Comma 3 6 2 3" xfId="6654"/>
    <cellStyle name="Comma 3 6 2 4" xfId="6655"/>
    <cellStyle name="Comma 3 6 3" xfId="6656"/>
    <cellStyle name="Comma 3 6 3 2" xfId="6657"/>
    <cellStyle name="Comma 3 6 4" xfId="6658"/>
    <cellStyle name="Comma 3 6 5" xfId="6659"/>
    <cellStyle name="Comma 3 7" xfId="6660"/>
    <cellStyle name="Comma 3 7 2" xfId="6661"/>
    <cellStyle name="Comma 3 7 2 2" xfId="6662"/>
    <cellStyle name="Comma 3 7 3" xfId="6663"/>
    <cellStyle name="Comma 3 7 4" xfId="6664"/>
    <cellStyle name="Comma 3 8" xfId="6665"/>
    <cellStyle name="Comma 3 8 2" xfId="6666"/>
    <cellStyle name="Comma 3 8 2 2" xfId="6667"/>
    <cellStyle name="Comma 3 8 3" xfId="6668"/>
    <cellStyle name="Comma 3 9" xfId="6669"/>
    <cellStyle name="Comma 3 9 2" xfId="6670"/>
    <cellStyle name="Comma 30" xfId="6671"/>
    <cellStyle name="Comma 30 2" xfId="6672"/>
    <cellStyle name="Comma 30 2 2" xfId="6673"/>
    <cellStyle name="Comma 30 2 2 2" xfId="6674"/>
    <cellStyle name="Comma 30 2 3" xfId="6675"/>
    <cellStyle name="Comma 30 3" xfId="6676"/>
    <cellStyle name="Comma 30 3 2" xfId="6677"/>
    <cellStyle name="Comma 30 4" xfId="6678"/>
    <cellStyle name="Comma 30 5" xfId="6679"/>
    <cellStyle name="Comma 31" xfId="6680"/>
    <cellStyle name="Comma 31 2" xfId="6681"/>
    <cellStyle name="Comma 32" xfId="6682"/>
    <cellStyle name="Comma 33" xfId="6683"/>
    <cellStyle name="Comma 33 2" xfId="6684"/>
    <cellStyle name="Comma 34" xfId="6685"/>
    <cellStyle name="Comma 34 2" xfId="6686"/>
    <cellStyle name="Comma 35" xfId="6687"/>
    <cellStyle name="Comma 35 2" xfId="6688"/>
    <cellStyle name="Comma 36" xfId="6689"/>
    <cellStyle name="Comma 36 2" xfId="6690"/>
    <cellStyle name="Comma 37" xfId="6691"/>
    <cellStyle name="Comma 37 2" xfId="6692"/>
    <cellStyle name="Comma 38" xfId="6693"/>
    <cellStyle name="Comma 39" xfId="6694"/>
    <cellStyle name="Comma 4" xfId="1344"/>
    <cellStyle name="Comma 4 10" xfId="6695"/>
    <cellStyle name="Comma 4 2" xfId="1345"/>
    <cellStyle name="Comma 4 2 2" xfId="6696"/>
    <cellStyle name="Comma 4 2 2 2" xfId="6697"/>
    <cellStyle name="Comma 4 2 2 2 2" xfId="6698"/>
    <cellStyle name="Comma 4 2 2 2 2 2" xfId="6699"/>
    <cellStyle name="Comma 4 2 2 2 3" xfId="6700"/>
    <cellStyle name="Comma 4 2 2 2 4" xfId="6701"/>
    <cellStyle name="Comma 4 2 2 2 5" xfId="6702"/>
    <cellStyle name="Comma 4 2 2 3" xfId="6703"/>
    <cellStyle name="Comma 4 2 2 3 2" xfId="6704"/>
    <cellStyle name="Comma 4 2 2 4" xfId="6705"/>
    <cellStyle name="Comma 4 2 2 4 2" xfId="6706"/>
    <cellStyle name="Comma 4 2 2 5" xfId="6707"/>
    <cellStyle name="Comma 4 2 2 6" xfId="6708"/>
    <cellStyle name="Comma 4 2 3" xfId="6709"/>
    <cellStyle name="Comma 4 2 3 2" xfId="6710"/>
    <cellStyle name="Comma 4 2 3 2 2" xfId="6711"/>
    <cellStyle name="Comma 4 2 3 3" xfId="6712"/>
    <cellStyle name="Comma 4 2 3 3 2" xfId="6713"/>
    <cellStyle name="Comma 4 2 3 4" xfId="6714"/>
    <cellStyle name="Comma 4 2 3 5" xfId="6715"/>
    <cellStyle name="Comma 4 2 4" xfId="6716"/>
    <cellStyle name="Comma 4 2 4 2" xfId="6717"/>
    <cellStyle name="Comma 4 2 4 3" xfId="6718"/>
    <cellStyle name="Comma 4 2 4 4" xfId="6719"/>
    <cellStyle name="Comma 4 2 5" xfId="6720"/>
    <cellStyle name="Comma 4 2 5 2" xfId="6721"/>
    <cellStyle name="Comma 4 2 6" xfId="6722"/>
    <cellStyle name="Comma 4 2 7" xfId="6723"/>
    <cellStyle name="Comma 4 2 8" xfId="6724"/>
    <cellStyle name="Comma 4 2 9" xfId="6725"/>
    <cellStyle name="Comma 4 3" xfId="1346"/>
    <cellStyle name="Comma 4 3 2" xfId="6726"/>
    <cellStyle name="Comma 4 3 2 2" xfId="6727"/>
    <cellStyle name="Comma 4 3 2 2 2" xfId="6728"/>
    <cellStyle name="Comma 4 3 2 2 2 2" xfId="6729"/>
    <cellStyle name="Comma 4 3 2 2 2 2 2" xfId="6730"/>
    <cellStyle name="Comma 4 3 2 2 2 3" xfId="6731"/>
    <cellStyle name="Comma 4 3 2 2 3" xfId="6732"/>
    <cellStyle name="Comma 4 3 2 2 3 2" xfId="6733"/>
    <cellStyle name="Comma 4 3 2 2 4" xfId="6734"/>
    <cellStyle name="Comma 4 3 2 2 5" xfId="6735"/>
    <cellStyle name="Comma 4 3 2 3" xfId="6736"/>
    <cellStyle name="Comma 4 3 2 3 2" xfId="6737"/>
    <cellStyle name="Comma 4 3 2 3 2 2" xfId="6738"/>
    <cellStyle name="Comma 4 3 2 3 3" xfId="6739"/>
    <cellStyle name="Comma 4 3 2 4" xfId="6740"/>
    <cellStyle name="Comma 4 3 2 4 2" xfId="6741"/>
    <cellStyle name="Comma 4 3 2 5" xfId="6742"/>
    <cellStyle name="Comma 4 3 2 6" xfId="6743"/>
    <cellStyle name="Comma 4 3 2 7" xfId="6744"/>
    <cellStyle name="Comma 4 3 3" xfId="6745"/>
    <cellStyle name="Comma 4 3 3 2" xfId="6746"/>
    <cellStyle name="Comma 4 3 3 2 2" xfId="6747"/>
    <cellStyle name="Comma 4 3 3 2 2 2" xfId="6748"/>
    <cellStyle name="Comma 4 3 3 2 3" xfId="6749"/>
    <cellStyle name="Comma 4 3 3 3" xfId="6750"/>
    <cellStyle name="Comma 4 3 3 3 2" xfId="6751"/>
    <cellStyle name="Comma 4 3 3 4" xfId="6752"/>
    <cellStyle name="Comma 4 3 3 5" xfId="6753"/>
    <cellStyle name="Comma 4 3 4" xfId="6754"/>
    <cellStyle name="Comma 4 3 4 2" xfId="6755"/>
    <cellStyle name="Comma 4 3 4 2 2" xfId="6756"/>
    <cellStyle name="Comma 4 3 4 3" xfId="6757"/>
    <cellStyle name="Comma 4 3 5" xfId="6758"/>
    <cellStyle name="Comma 4 3 5 2" xfId="6759"/>
    <cellStyle name="Comma 4 3 6" xfId="6760"/>
    <cellStyle name="Comma 4 3 7" xfId="6761"/>
    <cellStyle name="Comma 4 3 8" xfId="6762"/>
    <cellStyle name="Comma 4 4" xfId="1347"/>
    <cellStyle name="Comma 4 4 2" xfId="6763"/>
    <cellStyle name="Comma 4 4 2 2" xfId="6764"/>
    <cellStyle name="Comma 4 4 2 2 2" xfId="6765"/>
    <cellStyle name="Comma 4 4 2 2 2 2" xfId="6766"/>
    <cellStyle name="Comma 4 4 2 2 3" xfId="6767"/>
    <cellStyle name="Comma 4 4 2 2 4" xfId="6768"/>
    <cellStyle name="Comma 4 4 2 3" xfId="6769"/>
    <cellStyle name="Comma 4 4 2 3 2" xfId="6770"/>
    <cellStyle name="Comma 4 4 2 4" xfId="6771"/>
    <cellStyle name="Comma 4 4 2 5" xfId="6772"/>
    <cellStyle name="Comma 4 4 3" xfId="6773"/>
    <cellStyle name="Comma 4 4 3 2" xfId="6774"/>
    <cellStyle name="Comma 4 4 3 2 2" xfId="6775"/>
    <cellStyle name="Comma 4 4 3 3" xfId="6776"/>
    <cellStyle name="Comma 4 4 3 4" xfId="6777"/>
    <cellStyle name="Comma 4 4 4" xfId="6778"/>
    <cellStyle name="Comma 4 4 4 2" xfId="6779"/>
    <cellStyle name="Comma 4 4 5" xfId="6780"/>
    <cellStyle name="Comma 4 4 6" xfId="6781"/>
    <cellStyle name="Comma 4 4 7" xfId="6782"/>
    <cellStyle name="Comma 4 5" xfId="1348"/>
    <cellStyle name="Comma 4 5 2" xfId="6783"/>
    <cellStyle name="Comma 4 5 2 2" xfId="6784"/>
    <cellStyle name="Comma 4 5 2 2 2" xfId="6785"/>
    <cellStyle name="Comma 4 5 2 3" xfId="6786"/>
    <cellStyle name="Comma 4 5 2 4" xfId="6787"/>
    <cellStyle name="Comma 4 5 3" xfId="6788"/>
    <cellStyle name="Comma 4 5 3 2" xfId="6789"/>
    <cellStyle name="Comma 4 5 4" xfId="6790"/>
    <cellStyle name="Comma 4 5 5" xfId="6791"/>
    <cellStyle name="Comma 4 6" xfId="6792"/>
    <cellStyle name="Comma 4 6 2" xfId="6793"/>
    <cellStyle name="Comma 4 6 2 2" xfId="6794"/>
    <cellStyle name="Comma 4 6 3" xfId="6795"/>
    <cellStyle name="Comma 4 6 4" xfId="6796"/>
    <cellStyle name="Comma 4 7" xfId="6797"/>
    <cellStyle name="Comma 4 7 2" xfId="6798"/>
    <cellStyle name="Comma 4 8" xfId="6799"/>
    <cellStyle name="Comma 4 9" xfId="6800"/>
    <cellStyle name="Comma 40" xfId="6801"/>
    <cellStyle name="Comma 41" xfId="6802"/>
    <cellStyle name="Comma 42" xfId="6803"/>
    <cellStyle name="Comma 43" xfId="6804"/>
    <cellStyle name="Comma 44" xfId="6805"/>
    <cellStyle name="Comma 45" xfId="6806"/>
    <cellStyle name="Comma 46" xfId="6807"/>
    <cellStyle name="Comma 47" xfId="6808"/>
    <cellStyle name="Comma 48" xfId="6809"/>
    <cellStyle name="Comma 49" xfId="6810"/>
    <cellStyle name="Comma 5" xfId="1349"/>
    <cellStyle name="Comma 5 2" xfId="6811"/>
    <cellStyle name="Comma 5 2 2" xfId="6812"/>
    <cellStyle name="Comma 5 2 3" xfId="6813"/>
    <cellStyle name="Comma 5 3" xfId="6814"/>
    <cellStyle name="Comma 50" xfId="6815"/>
    <cellStyle name="Comma 50 2" xfId="6816"/>
    <cellStyle name="Comma 51" xfId="6817"/>
    <cellStyle name="Comma 52" xfId="6818"/>
    <cellStyle name="Comma 53" xfId="6819"/>
    <cellStyle name="Comma 54" xfId="6820"/>
    <cellStyle name="Comma 55" xfId="6821"/>
    <cellStyle name="Comma 56" xfId="6822"/>
    <cellStyle name="Comma 57" xfId="6823"/>
    <cellStyle name="Comma 58" xfId="6824"/>
    <cellStyle name="Comma 59" xfId="6825"/>
    <cellStyle name="Comma 6" xfId="1350"/>
    <cellStyle name="Comma 6 10" xfId="6826"/>
    <cellStyle name="Comma 6 10 2" xfId="6827"/>
    <cellStyle name="Comma 6 11" xfId="6828"/>
    <cellStyle name="Comma 6 12" xfId="6829"/>
    <cellStyle name="Comma 6 13" xfId="6830"/>
    <cellStyle name="Comma 6 2" xfId="6831"/>
    <cellStyle name="Comma 6 2 2" xfId="6832"/>
    <cellStyle name="Comma 6 2 2 2" xfId="6833"/>
    <cellStyle name="Comma 6 2 3" xfId="6834"/>
    <cellStyle name="Comma 6 2 3 2" xfId="6835"/>
    <cellStyle name="Comma 6 2 3 3" xfId="6836"/>
    <cellStyle name="Comma 6 2 3 4" xfId="6837"/>
    <cellStyle name="Comma 6 2 4" xfId="6838"/>
    <cellStyle name="Comma 6 2 4 2" xfId="6839"/>
    <cellStyle name="Comma 6 2 5" xfId="6840"/>
    <cellStyle name="Comma 6 2 6" xfId="6841"/>
    <cellStyle name="Comma 6 2 7" xfId="6842"/>
    <cellStyle name="Comma 6 3" xfId="6843"/>
    <cellStyle name="Comma 6 3 2" xfId="6844"/>
    <cellStyle name="Comma 6 3 2 2" xfId="6845"/>
    <cellStyle name="Comma 6 3 2 2 2" xfId="6846"/>
    <cellStyle name="Comma 6 3 2 2 2 2" xfId="6847"/>
    <cellStyle name="Comma 6 3 2 2 2 3" xfId="6848"/>
    <cellStyle name="Comma 6 3 2 2 3" xfId="6849"/>
    <cellStyle name="Comma 6 3 2 2 3 2" xfId="6850"/>
    <cellStyle name="Comma 6 3 2 2 4" xfId="6851"/>
    <cellStyle name="Comma 6 3 2 2 5" xfId="6852"/>
    <cellStyle name="Comma 6 3 2 3" xfId="6853"/>
    <cellStyle name="Comma 6 3 2 3 2" xfId="6854"/>
    <cellStyle name="Comma 6 3 2 3 3" xfId="6855"/>
    <cellStyle name="Comma 6 3 2 4" xfId="6856"/>
    <cellStyle name="Comma 6 3 2 4 2" xfId="6857"/>
    <cellStyle name="Comma 6 3 2 5" xfId="6858"/>
    <cellStyle name="Comma 6 3 2 6" xfId="6859"/>
    <cellStyle name="Comma 6 3 3" xfId="6860"/>
    <cellStyle name="Comma 6 3 3 2" xfId="6861"/>
    <cellStyle name="Comma 6 3 3 2 2" xfId="6862"/>
    <cellStyle name="Comma 6 3 3 2 2 2" xfId="6863"/>
    <cellStyle name="Comma 6 3 3 2 3" xfId="6864"/>
    <cellStyle name="Comma 6 3 3 2 4" xfId="6865"/>
    <cellStyle name="Comma 6 3 3 2 5" xfId="6866"/>
    <cellStyle name="Comma 6 3 3 3" xfId="6867"/>
    <cellStyle name="Comma 6 3 3 3 2" xfId="6868"/>
    <cellStyle name="Comma 6 3 3 4" xfId="6869"/>
    <cellStyle name="Comma 6 3 3 5" xfId="6870"/>
    <cellStyle name="Comma 6 3 3 6" xfId="6871"/>
    <cellStyle name="Comma 6 3 4" xfId="6872"/>
    <cellStyle name="Comma 6 3 4 2" xfId="6873"/>
    <cellStyle name="Comma 6 3 4 2 2" xfId="6874"/>
    <cellStyle name="Comma 6 3 4 3" xfId="6875"/>
    <cellStyle name="Comma 6 3 4 4" xfId="6876"/>
    <cellStyle name="Comma 6 3 4 5" xfId="6877"/>
    <cellStyle name="Comma 6 3 5" xfId="6878"/>
    <cellStyle name="Comma 6 3 5 2" xfId="6879"/>
    <cellStyle name="Comma 6 3 5 2 2" xfId="6880"/>
    <cellStyle name="Comma 6 3 5 3" xfId="6881"/>
    <cellStyle name="Comma 6 3 5 4" xfId="6882"/>
    <cellStyle name="Comma 6 3 5 5" xfId="6883"/>
    <cellStyle name="Comma 6 3 6" xfId="6884"/>
    <cellStyle name="Comma 6 3 6 2" xfId="6885"/>
    <cellStyle name="Comma 6 3 6 3" xfId="6886"/>
    <cellStyle name="Comma 6 3 7" xfId="6887"/>
    <cellStyle name="Comma 6 3 8" xfId="6888"/>
    <cellStyle name="Comma 6 3 9" xfId="6889"/>
    <cellStyle name="Comma 6 4" xfId="6890"/>
    <cellStyle name="Comma 6 4 2" xfId="6891"/>
    <cellStyle name="Comma 6 4 2 2" xfId="6892"/>
    <cellStyle name="Comma 6 4 2 2 2" xfId="6893"/>
    <cellStyle name="Comma 6 4 2 2 3" xfId="6894"/>
    <cellStyle name="Comma 6 4 2 3" xfId="6895"/>
    <cellStyle name="Comma 6 4 2 3 2" xfId="6896"/>
    <cellStyle name="Comma 6 4 2 4" xfId="6897"/>
    <cellStyle name="Comma 6 4 2 5" xfId="6898"/>
    <cellStyle name="Comma 6 4 3" xfId="6899"/>
    <cellStyle name="Comma 6 4 3 2" xfId="6900"/>
    <cellStyle name="Comma 6 4 3 3" xfId="6901"/>
    <cellStyle name="Comma 6 4 4" xfId="6902"/>
    <cellStyle name="Comma 6 4 4 2" xfId="6903"/>
    <cellStyle name="Comma 6 4 5" xfId="6904"/>
    <cellStyle name="Comma 6 4 6" xfId="6905"/>
    <cellStyle name="Comma 6 5" xfId="6906"/>
    <cellStyle name="Comma 6 5 2" xfId="6907"/>
    <cellStyle name="Comma 6 5 2 2" xfId="6908"/>
    <cellStyle name="Comma 6 5 2 2 2" xfId="6909"/>
    <cellStyle name="Comma 6 5 2 3" xfId="6910"/>
    <cellStyle name="Comma 6 5 2 4" xfId="6911"/>
    <cellStyle name="Comma 6 5 2 5" xfId="6912"/>
    <cellStyle name="Comma 6 5 3" xfId="6913"/>
    <cellStyle name="Comma 6 5 3 2" xfId="6914"/>
    <cellStyle name="Comma 6 5 4" xfId="6915"/>
    <cellStyle name="Comma 6 5 5" xfId="6916"/>
    <cellStyle name="Comma 6 5 6" xfId="6917"/>
    <cellStyle name="Comma 6 6" xfId="6918"/>
    <cellStyle name="Comma 6 6 2" xfId="6919"/>
    <cellStyle name="Comma 6 6 2 2" xfId="6920"/>
    <cellStyle name="Comma 6 6 3" xfId="6921"/>
    <cellStyle name="Comma 6 6 4" xfId="6922"/>
    <cellStyle name="Comma 6 6 5" xfId="6923"/>
    <cellStyle name="Comma 6 7" xfId="6924"/>
    <cellStyle name="Comma 6 7 2" xfId="6925"/>
    <cellStyle name="Comma 6 7 2 2" xfId="6926"/>
    <cellStyle name="Comma 6 7 3" xfId="6927"/>
    <cellStyle name="Comma 6 7 4" xfId="6928"/>
    <cellStyle name="Comma 6 7 5" xfId="6929"/>
    <cellStyle name="Comma 6 8" xfId="6930"/>
    <cellStyle name="Comma 6 8 2" xfId="6931"/>
    <cellStyle name="Comma 6 8 2 2" xfId="6932"/>
    <cellStyle name="Comma 6 8 3" xfId="6933"/>
    <cellStyle name="Comma 6 8 4" xfId="6934"/>
    <cellStyle name="Comma 6 8 5" xfId="6935"/>
    <cellStyle name="Comma 6 9" xfId="6936"/>
    <cellStyle name="Comma 6 9 2" xfId="6937"/>
    <cellStyle name="Comma 6 9 3" xfId="6938"/>
    <cellStyle name="Comma 60" xfId="6939"/>
    <cellStyle name="Comma 61" xfId="6940"/>
    <cellStyle name="Comma 62" xfId="6941"/>
    <cellStyle name="Comma 62 2" xfId="6942"/>
    <cellStyle name="Comma 62 2 2" xfId="6943"/>
    <cellStyle name="Comma 62 3" xfId="6944"/>
    <cellStyle name="Comma 63" xfId="6945"/>
    <cellStyle name="Comma 63 2" xfId="6946"/>
    <cellStyle name="Comma 63 2 2" xfId="6947"/>
    <cellStyle name="Comma 63 3" xfId="6948"/>
    <cellStyle name="Comma 64" xfId="6949"/>
    <cellStyle name="Comma 64 2" xfId="6950"/>
    <cellStyle name="Comma 64 2 2" xfId="6951"/>
    <cellStyle name="Comma 64 3" xfId="6952"/>
    <cellStyle name="Comma 65" xfId="6953"/>
    <cellStyle name="Comma 65 2" xfId="6954"/>
    <cellStyle name="Comma 66" xfId="6955"/>
    <cellStyle name="Comma 66 2" xfId="6956"/>
    <cellStyle name="Comma 67" xfId="6957"/>
    <cellStyle name="Comma 68" xfId="6958"/>
    <cellStyle name="Comma 69" xfId="6959"/>
    <cellStyle name="Comma 7" xfId="1351"/>
    <cellStyle name="Comma 7 2" xfId="6960"/>
    <cellStyle name="Comma 7 2 2" xfId="6961"/>
    <cellStyle name="Comma 7 2 2 2" xfId="6962"/>
    <cellStyle name="Comma 7 2 2 2 2" xfId="6963"/>
    <cellStyle name="Comma 7 2 2 2 2 2" xfId="6964"/>
    <cellStyle name="Comma 7 2 2 2 3" xfId="6965"/>
    <cellStyle name="Comma 7 2 2 2 4" xfId="6966"/>
    <cellStyle name="Comma 7 2 2 2 5" xfId="6967"/>
    <cellStyle name="Comma 7 2 2 3" xfId="6968"/>
    <cellStyle name="Comma 7 2 2 3 2" xfId="6969"/>
    <cellStyle name="Comma 7 2 2 4" xfId="6970"/>
    <cellStyle name="Comma 7 2 2 4 2" xfId="6971"/>
    <cellStyle name="Comma 7 2 2 5" xfId="6972"/>
    <cellStyle name="Comma 7 2 2 6" xfId="6973"/>
    <cellStyle name="Comma 7 2 3" xfId="6974"/>
    <cellStyle name="Comma 7 2 3 2" xfId="6975"/>
    <cellStyle name="Comma 7 2 3 2 2" xfId="6976"/>
    <cellStyle name="Comma 7 2 3 3" xfId="6977"/>
    <cellStyle name="Comma 7 2 3 4" xfId="6978"/>
    <cellStyle name="Comma 7 2 3 5" xfId="6979"/>
    <cellStyle name="Comma 7 2 4" xfId="6980"/>
    <cellStyle name="Comma 7 2 4 2" xfId="6981"/>
    <cellStyle name="Comma 7 2 5" xfId="6982"/>
    <cellStyle name="Comma 7 2 5 2" xfId="6983"/>
    <cellStyle name="Comma 7 2 6" xfId="6984"/>
    <cellStyle name="Comma 7 2 7" xfId="6985"/>
    <cellStyle name="Comma 7 3" xfId="6986"/>
    <cellStyle name="Comma 7 3 2" xfId="6987"/>
    <cellStyle name="Comma 7 3 2 2" xfId="6988"/>
    <cellStyle name="Comma 7 3 2 2 2" xfId="6989"/>
    <cellStyle name="Comma 7 3 2 3" xfId="6990"/>
    <cellStyle name="Comma 7 3 2 4" xfId="6991"/>
    <cellStyle name="Comma 7 3 3" xfId="6992"/>
    <cellStyle name="Comma 7 3 3 2" xfId="6993"/>
    <cellStyle name="Comma 7 3 4" xfId="6994"/>
    <cellStyle name="Comma 7 3 5" xfId="6995"/>
    <cellStyle name="Comma 7 3 6" xfId="6996"/>
    <cellStyle name="Comma 7 4" xfId="6997"/>
    <cellStyle name="Comma 7 4 2" xfId="6998"/>
    <cellStyle name="Comma 7 4 2 2" xfId="6999"/>
    <cellStyle name="Comma 7 4 2 2 2" xfId="7000"/>
    <cellStyle name="Comma 7 4 2 3" xfId="7001"/>
    <cellStyle name="Comma 7 4 2 4" xfId="7002"/>
    <cellStyle name="Comma 7 4 3" xfId="7003"/>
    <cellStyle name="Comma 7 4 3 2" xfId="7004"/>
    <cellStyle name="Comma 7 4 4" xfId="7005"/>
    <cellStyle name="Comma 7 4 5" xfId="7006"/>
    <cellStyle name="Comma 7 5" xfId="7007"/>
    <cellStyle name="Comma 7 5 2" xfId="7008"/>
    <cellStyle name="Comma 7 5 2 2" xfId="7009"/>
    <cellStyle name="Comma 7 5 2 2 2" xfId="7010"/>
    <cellStyle name="Comma 7 5 2 3" xfId="7011"/>
    <cellStyle name="Comma 7 5 2 4" xfId="7012"/>
    <cellStyle name="Comma 7 5 3" xfId="7013"/>
    <cellStyle name="Comma 7 5 3 2" xfId="7014"/>
    <cellStyle name="Comma 7 5 4" xfId="7015"/>
    <cellStyle name="Comma 7 5 5" xfId="7016"/>
    <cellStyle name="Comma 7 6" xfId="7017"/>
    <cellStyle name="Comma 7 6 2" xfId="7018"/>
    <cellStyle name="Comma 7 6 2 2" xfId="7019"/>
    <cellStyle name="Comma 7 6 2 2 2" xfId="7020"/>
    <cellStyle name="Comma 7 6 2 3" xfId="7021"/>
    <cellStyle name="Comma 7 6 2 4" xfId="7022"/>
    <cellStyle name="Comma 7 6 3" xfId="7023"/>
    <cellStyle name="Comma 7 6 3 2" xfId="7024"/>
    <cellStyle name="Comma 7 6 4" xfId="7025"/>
    <cellStyle name="Comma 7 6 5" xfId="7026"/>
    <cellStyle name="Comma 7 7" xfId="7027"/>
    <cellStyle name="Comma 7 7 2" xfId="7028"/>
    <cellStyle name="Comma 7 7 2 2" xfId="7029"/>
    <cellStyle name="Comma 7 7 3" xfId="7030"/>
    <cellStyle name="Comma 7 7 4" xfId="7031"/>
    <cellStyle name="Comma 7 8" xfId="7032"/>
    <cellStyle name="Comma 70" xfId="7033"/>
    <cellStyle name="Comma 71" xfId="7034"/>
    <cellStyle name="Comma 71 2" xfId="7035"/>
    <cellStyle name="Comma 72" xfId="7036"/>
    <cellStyle name="Comma 73" xfId="7037"/>
    <cellStyle name="Comma 73 2" xfId="7038"/>
    <cellStyle name="Comma 73 3" xfId="7039"/>
    <cellStyle name="Comma 74" xfId="7040"/>
    <cellStyle name="Comma 74 2" xfId="7041"/>
    <cellStyle name="Comma 74 3" xfId="7042"/>
    <cellStyle name="Comma 75" xfId="7043"/>
    <cellStyle name="Comma 76" xfId="7044"/>
    <cellStyle name="Comma 77" xfId="7045"/>
    <cellStyle name="Comma 78" xfId="7046"/>
    <cellStyle name="Comma 79" xfId="7047"/>
    <cellStyle name="Comma 8" xfId="1352"/>
    <cellStyle name="Comma 8 2" xfId="7048"/>
    <cellStyle name="Comma 8 2 2" xfId="7049"/>
    <cellStyle name="Comma 8 2 2 2" xfId="7050"/>
    <cellStyle name="Comma 8 2 2 2 2" xfId="7051"/>
    <cellStyle name="Comma 8 2 2 3" xfId="7052"/>
    <cellStyle name="Comma 8 2 2 3 2" xfId="7053"/>
    <cellStyle name="Comma 8 2 2 4" xfId="7054"/>
    <cellStyle name="Comma 8 2 2 5" xfId="7055"/>
    <cellStyle name="Comma 8 2 3" xfId="7056"/>
    <cellStyle name="Comma 8 2 3 2" xfId="7057"/>
    <cellStyle name="Comma 8 2 3 3" xfId="7058"/>
    <cellStyle name="Comma 8 2 3 4" xfId="7059"/>
    <cellStyle name="Comma 8 2 3 5" xfId="7060"/>
    <cellStyle name="Comma 8 2 4" xfId="7061"/>
    <cellStyle name="Comma 8 2 4 2" xfId="7062"/>
    <cellStyle name="Comma 8 2 5" xfId="7063"/>
    <cellStyle name="Comma 8 2 6" xfId="7064"/>
    <cellStyle name="Comma 8 2 7" xfId="7065"/>
    <cellStyle name="Comma 8 2 8" xfId="7066"/>
    <cellStyle name="Comma 8 3" xfId="7067"/>
    <cellStyle name="Comma 8 3 2" xfId="7068"/>
    <cellStyle name="Comma 8 3 2 2" xfId="7069"/>
    <cellStyle name="Comma 8 3 3" xfId="7070"/>
    <cellStyle name="Comma 8 3 3 2" xfId="7071"/>
    <cellStyle name="Comma 8 3 4" xfId="7072"/>
    <cellStyle name="Comma 8 3 5" xfId="7073"/>
    <cellStyle name="Comma 8 4" xfId="7074"/>
    <cellStyle name="Comma 8 4 2" xfId="7075"/>
    <cellStyle name="Comma 8 4 3" xfId="7076"/>
    <cellStyle name="Comma 8 4 3 2" xfId="7077"/>
    <cellStyle name="Comma 8 4 4" xfId="7078"/>
    <cellStyle name="Comma 8 4 5" xfId="7079"/>
    <cellStyle name="Comma 8 5" xfId="7080"/>
    <cellStyle name="Comma 8 5 2" xfId="7081"/>
    <cellStyle name="Comma 8 6" xfId="7082"/>
    <cellStyle name="Comma 8 7" xfId="7083"/>
    <cellStyle name="Comma 8 8" xfId="7084"/>
    <cellStyle name="Comma 8 9" xfId="7085"/>
    <cellStyle name="Comma 80" xfId="7086"/>
    <cellStyle name="Comma 81" xfId="7087"/>
    <cellStyle name="Comma 82" xfId="7088"/>
    <cellStyle name="Comma 83" xfId="7089"/>
    <cellStyle name="Comma 84" xfId="7090"/>
    <cellStyle name="Comma 85" xfId="7091"/>
    <cellStyle name="Comma 86" xfId="7092"/>
    <cellStyle name="Comma 87" xfId="7093"/>
    <cellStyle name="Comma 9" xfId="1353"/>
    <cellStyle name="Comma 9 2" xfId="7094"/>
    <cellStyle name="Comma 9 2 2" xfId="7095"/>
    <cellStyle name="Comma 9 2 2 2" xfId="7096"/>
    <cellStyle name="Comma 9 2 2 2 2" xfId="7097"/>
    <cellStyle name="Comma 9 2 2 2 2 2" xfId="7098"/>
    <cellStyle name="Comma 9 2 2 2 2 2 2" xfId="7099"/>
    <cellStyle name="Comma 9 2 2 2 2 3" xfId="7100"/>
    <cellStyle name="Comma 9 2 2 2 3" xfId="7101"/>
    <cellStyle name="Comma 9 2 2 2 3 2" xfId="7102"/>
    <cellStyle name="Comma 9 2 2 2 4" xfId="7103"/>
    <cellStyle name="Comma 9 2 2 3" xfId="7104"/>
    <cellStyle name="Comma 9 2 2 3 2" xfId="7105"/>
    <cellStyle name="Comma 9 2 2 3 2 2" xfId="7106"/>
    <cellStyle name="Comma 9 2 2 3 3" xfId="7107"/>
    <cellStyle name="Comma 9 2 2 4" xfId="7108"/>
    <cellStyle name="Comma 9 2 2 4 2" xfId="7109"/>
    <cellStyle name="Comma 9 2 2 5" xfId="7110"/>
    <cellStyle name="Comma 9 2 2 6" xfId="7111"/>
    <cellStyle name="Comma 9 2 3" xfId="7112"/>
    <cellStyle name="Comma 9 2 3 2" xfId="7113"/>
    <cellStyle name="Comma 9 2 3 2 2" xfId="7114"/>
    <cellStyle name="Comma 9 2 3 2 2 2" xfId="7115"/>
    <cellStyle name="Comma 9 2 3 2 3" xfId="7116"/>
    <cellStyle name="Comma 9 2 3 3" xfId="7117"/>
    <cellStyle name="Comma 9 2 3 3 2" xfId="7118"/>
    <cellStyle name="Comma 9 2 3 4" xfId="7119"/>
    <cellStyle name="Comma 9 2 4" xfId="7120"/>
    <cellStyle name="Comma 9 2 4 2" xfId="7121"/>
    <cellStyle name="Comma 9 2 4 2 2" xfId="7122"/>
    <cellStyle name="Comma 9 2 4 3" xfId="7123"/>
    <cellStyle name="Comma 9 2 5" xfId="7124"/>
    <cellStyle name="Comma 9 2 5 2" xfId="7125"/>
    <cellStyle name="Comma 9 2 6" xfId="7126"/>
    <cellStyle name="Comma 9 2 7" xfId="7127"/>
    <cellStyle name="Comma 9 3" xfId="7128"/>
    <cellStyle name="Comma 9 3 2" xfId="7129"/>
    <cellStyle name="Comma 9 3 2 2" xfId="7130"/>
    <cellStyle name="Comma 9 3 2 2 2" xfId="7131"/>
    <cellStyle name="Comma 9 3 2 2 2 2" xfId="7132"/>
    <cellStyle name="Comma 9 3 2 2 3" xfId="7133"/>
    <cellStyle name="Comma 9 3 2 3" xfId="7134"/>
    <cellStyle name="Comma 9 3 2 3 2" xfId="7135"/>
    <cellStyle name="Comma 9 3 2 4" xfId="7136"/>
    <cellStyle name="Comma 9 3 3" xfId="7137"/>
    <cellStyle name="Comma 9 3 3 2" xfId="7138"/>
    <cellStyle name="Comma 9 3 3 2 2" xfId="7139"/>
    <cellStyle name="Comma 9 3 3 3" xfId="7140"/>
    <cellStyle name="Comma 9 3 4" xfId="7141"/>
    <cellStyle name="Comma 9 3 4 2" xfId="7142"/>
    <cellStyle name="Comma 9 3 5" xfId="7143"/>
    <cellStyle name="Comma 9 3 6" xfId="7144"/>
    <cellStyle name="Comma 9 4" xfId="7145"/>
    <cellStyle name="Comma 9 4 2" xfId="7146"/>
    <cellStyle name="Comma 9 4 2 2" xfId="7147"/>
    <cellStyle name="Comma 9 4 2 2 2" xfId="7148"/>
    <cellStyle name="Comma 9 4 2 3" xfId="7149"/>
    <cellStyle name="Comma 9 4 3" xfId="7150"/>
    <cellStyle name="Comma 9 4 3 2" xfId="7151"/>
    <cellStyle name="Comma 9 4 4" xfId="7152"/>
    <cellStyle name="Comma 9 5" xfId="7153"/>
    <cellStyle name="Comma 9 5 2" xfId="7154"/>
    <cellStyle name="Comma 9 5 2 2" xfId="7155"/>
    <cellStyle name="Comma 9 5 3" xfId="7156"/>
    <cellStyle name="Comma 9 6" xfId="7157"/>
    <cellStyle name="Comma 9 6 2" xfId="7158"/>
    <cellStyle name="Comma 9 7" xfId="7159"/>
    <cellStyle name="Comma 9 8" xfId="7160"/>
    <cellStyle name="Comma 9 9" xfId="7161"/>
    <cellStyle name="Comma0" xfId="1354"/>
    <cellStyle name="Comma0 2" xfId="7162"/>
    <cellStyle name="Comma0 2 2" xfId="7163"/>
    <cellStyle name="Comma0 2 2 2" xfId="7164"/>
    <cellStyle name="Comma0 2 3" xfId="7165"/>
    <cellStyle name="Comma0 2 4" xfId="7166"/>
    <cellStyle name="Comma0 3" xfId="7167"/>
    <cellStyle name="Comma0 3 2" xfId="7168"/>
    <cellStyle name="Comma0 3 2 2" xfId="7169"/>
    <cellStyle name="Comma0 3 3" xfId="7170"/>
    <cellStyle name="Comma0 3 4" xfId="7171"/>
    <cellStyle name="Comma0 4" xfId="7172"/>
    <cellStyle name="Comma0_SCH11 Not Done" xfId="7173"/>
    <cellStyle name="Currency" xfId="2" builtinId="4"/>
    <cellStyle name="Currency [0] 2" xfId="7174"/>
    <cellStyle name="Currency [0] 2 2" xfId="7175"/>
    <cellStyle name="Currency [0] 2 2 2" xfId="7176"/>
    <cellStyle name="Currency [0] 2 2 2 2" xfId="7177"/>
    <cellStyle name="Currency [0] 2 2 3" xfId="7178"/>
    <cellStyle name="Currency [0] 2 2 4" xfId="7179"/>
    <cellStyle name="Currency [0] 2 3" xfId="7180"/>
    <cellStyle name="Currency [0] 2 3 2" xfId="7181"/>
    <cellStyle name="Currency [0] 2 4" xfId="7182"/>
    <cellStyle name="Currency [0] 2 4 2" xfId="7183"/>
    <cellStyle name="Currency [0] 2 5" xfId="7184"/>
    <cellStyle name="Currency [0] 2 6" xfId="7185"/>
    <cellStyle name="Currency [0] 3" xfId="7186"/>
    <cellStyle name="Currency [0] 3 2" xfId="7187"/>
    <cellStyle name="Currency [0] 3 2 2" xfId="7188"/>
    <cellStyle name="Currency [0] 3 3" xfId="7189"/>
    <cellStyle name="Currency [0] 3 4" xfId="7190"/>
    <cellStyle name="Currency [0] 4" xfId="7191"/>
    <cellStyle name="Currency [0] 4 2" xfId="7192"/>
    <cellStyle name="Currency [0] 5" xfId="7193"/>
    <cellStyle name="Currency [0] 5 2" xfId="7194"/>
    <cellStyle name="Currency 10" xfId="7195"/>
    <cellStyle name="Currency 10 2" xfId="7196"/>
    <cellStyle name="Currency 10 2 2" xfId="7197"/>
    <cellStyle name="Currency 10 2 3" xfId="7198"/>
    <cellStyle name="Currency 10 3" xfId="7199"/>
    <cellStyle name="Currency 10 3 2" xfId="7200"/>
    <cellStyle name="Currency 10 4" xfId="7201"/>
    <cellStyle name="Currency 10 5" xfId="7202"/>
    <cellStyle name="Currency 10 6" xfId="7203"/>
    <cellStyle name="Currency 100" xfId="7204"/>
    <cellStyle name="Currency 101" xfId="7205"/>
    <cellStyle name="Currency 102" xfId="7206"/>
    <cellStyle name="Currency 103" xfId="7207"/>
    <cellStyle name="Currency 104" xfId="7208"/>
    <cellStyle name="Currency 105" xfId="7209"/>
    <cellStyle name="Currency 106" xfId="7210"/>
    <cellStyle name="Currency 107" xfId="7211"/>
    <cellStyle name="Currency 108" xfId="7212"/>
    <cellStyle name="Currency 109" xfId="7213"/>
    <cellStyle name="Currency 11" xfId="7214"/>
    <cellStyle name="Currency 11 2" xfId="7215"/>
    <cellStyle name="Currency 11 2 2" xfId="7216"/>
    <cellStyle name="Currency 11 3" xfId="7217"/>
    <cellStyle name="Currency 11 3 2" xfId="7218"/>
    <cellStyle name="Currency 11 4" xfId="7219"/>
    <cellStyle name="Currency 11 5" xfId="7220"/>
    <cellStyle name="Currency 110" xfId="7221"/>
    <cellStyle name="Currency 111" xfId="7222"/>
    <cellStyle name="Currency 112" xfId="7223"/>
    <cellStyle name="Currency 113" xfId="7224"/>
    <cellStyle name="Currency 114" xfId="7225"/>
    <cellStyle name="Currency 115" xfId="7226"/>
    <cellStyle name="Currency 116" xfId="7227"/>
    <cellStyle name="Currency 117" xfId="7228"/>
    <cellStyle name="Currency 118" xfId="7229"/>
    <cellStyle name="Currency 119" xfId="7230"/>
    <cellStyle name="Currency 12" xfId="7231"/>
    <cellStyle name="Currency 12 2" xfId="7232"/>
    <cellStyle name="Currency 12 2 2" xfId="7233"/>
    <cellStyle name="Currency 12 3" xfId="7234"/>
    <cellStyle name="Currency 12 3 2" xfId="7235"/>
    <cellStyle name="Currency 12 4" xfId="7236"/>
    <cellStyle name="Currency 12 5" xfId="7237"/>
    <cellStyle name="Currency 120" xfId="7238"/>
    <cellStyle name="Currency 120 2" xfId="7239"/>
    <cellStyle name="Currency 120 3" xfId="7240"/>
    <cellStyle name="Currency 121" xfId="7241"/>
    <cellStyle name="Currency 121 2" xfId="7242"/>
    <cellStyle name="Currency 121 3" xfId="7243"/>
    <cellStyle name="Currency 122" xfId="7244"/>
    <cellStyle name="Currency 122 2" xfId="7245"/>
    <cellStyle name="Currency 123" xfId="7246"/>
    <cellStyle name="Currency 123 2" xfId="7247"/>
    <cellStyle name="Currency 124" xfId="7248"/>
    <cellStyle name="Currency 124 2" xfId="7249"/>
    <cellStyle name="Currency 125" xfId="7250"/>
    <cellStyle name="Currency 126" xfId="7251"/>
    <cellStyle name="Currency 127" xfId="7252"/>
    <cellStyle name="Currency 128" xfId="7253"/>
    <cellStyle name="Currency 129" xfId="7254"/>
    <cellStyle name="Currency 13" xfId="7255"/>
    <cellStyle name="Currency 13 2" xfId="7256"/>
    <cellStyle name="Currency 13 2 2" xfId="7257"/>
    <cellStyle name="Currency 13 3" xfId="7258"/>
    <cellStyle name="Currency 13 3 2" xfId="7259"/>
    <cellStyle name="Currency 13 4" xfId="7260"/>
    <cellStyle name="Currency 13 5" xfId="7261"/>
    <cellStyle name="Currency 130" xfId="7262"/>
    <cellStyle name="Currency 131" xfId="7263"/>
    <cellStyle name="Currency 132" xfId="7264"/>
    <cellStyle name="Currency 133" xfId="7265"/>
    <cellStyle name="Currency 134" xfId="7266"/>
    <cellStyle name="Currency 135" xfId="7267"/>
    <cellStyle name="Currency 136" xfId="7268"/>
    <cellStyle name="Currency 136 2" xfId="7269"/>
    <cellStyle name="Currency 137" xfId="7270"/>
    <cellStyle name="Currency 138" xfId="7271"/>
    <cellStyle name="Currency 139" xfId="7272"/>
    <cellStyle name="Currency 14" xfId="7273"/>
    <cellStyle name="Currency 14 2" xfId="7274"/>
    <cellStyle name="Currency 14 2 2" xfId="7275"/>
    <cellStyle name="Currency 14 3" xfId="7276"/>
    <cellStyle name="Currency 14 3 2" xfId="7277"/>
    <cellStyle name="Currency 14 4" xfId="7278"/>
    <cellStyle name="Currency 14 5" xfId="7279"/>
    <cellStyle name="Currency 140" xfId="7280"/>
    <cellStyle name="Currency 141" xfId="7281"/>
    <cellStyle name="Currency 142" xfId="7282"/>
    <cellStyle name="Currency 143" xfId="7283"/>
    <cellStyle name="Currency 144" xfId="7284"/>
    <cellStyle name="Currency 145" xfId="7285"/>
    <cellStyle name="Currency 146" xfId="7286"/>
    <cellStyle name="Currency 147" xfId="7287"/>
    <cellStyle name="Currency 148" xfId="7288"/>
    <cellStyle name="Currency 149" xfId="7289"/>
    <cellStyle name="Currency 15" xfId="7290"/>
    <cellStyle name="Currency 15 2" xfId="7291"/>
    <cellStyle name="Currency 15 2 2" xfId="7292"/>
    <cellStyle name="Currency 15 3" xfId="7293"/>
    <cellStyle name="Currency 15 3 2" xfId="7294"/>
    <cellStyle name="Currency 15 4" xfId="7295"/>
    <cellStyle name="Currency 15 5" xfId="7296"/>
    <cellStyle name="Currency 150" xfId="7297"/>
    <cellStyle name="Currency 150 2" xfId="7298"/>
    <cellStyle name="Currency 151" xfId="7299"/>
    <cellStyle name="Currency 152" xfId="7300"/>
    <cellStyle name="Currency 153" xfId="7301"/>
    <cellStyle name="Currency 154" xfId="7302"/>
    <cellStyle name="Currency 155" xfId="7303"/>
    <cellStyle name="Currency 156" xfId="7304"/>
    <cellStyle name="Currency 157" xfId="7305"/>
    <cellStyle name="Currency 158" xfId="7306"/>
    <cellStyle name="Currency 159" xfId="7307"/>
    <cellStyle name="Currency 16" xfId="7308"/>
    <cellStyle name="Currency 16 2" xfId="7309"/>
    <cellStyle name="Currency 16 2 2" xfId="7310"/>
    <cellStyle name="Currency 16 3" xfId="7311"/>
    <cellStyle name="Currency 16 3 2" xfId="7312"/>
    <cellStyle name="Currency 16 4" xfId="7313"/>
    <cellStyle name="Currency 16 5" xfId="7314"/>
    <cellStyle name="Currency 160" xfId="7315"/>
    <cellStyle name="Currency 161" xfId="7316"/>
    <cellStyle name="Currency 162" xfId="7317"/>
    <cellStyle name="Currency 163" xfId="7318"/>
    <cellStyle name="Currency 17" xfId="7319"/>
    <cellStyle name="Currency 17 2" xfId="7320"/>
    <cellStyle name="Currency 17 2 2" xfId="7321"/>
    <cellStyle name="Currency 17 3" xfId="7322"/>
    <cellStyle name="Currency 17 3 2" xfId="7323"/>
    <cellStyle name="Currency 17 4" xfId="7324"/>
    <cellStyle name="Currency 17 5" xfId="7325"/>
    <cellStyle name="Currency 18" xfId="7326"/>
    <cellStyle name="Currency 18 2" xfId="7327"/>
    <cellStyle name="Currency 18 2 2" xfId="7328"/>
    <cellStyle name="Currency 18 3" xfId="7329"/>
    <cellStyle name="Currency 18 3 2" xfId="7330"/>
    <cellStyle name="Currency 18 4" xfId="7331"/>
    <cellStyle name="Currency 18 5" xfId="7332"/>
    <cellStyle name="Currency 19" xfId="7333"/>
    <cellStyle name="Currency 19 2" xfId="7334"/>
    <cellStyle name="Currency 19 2 2" xfId="7335"/>
    <cellStyle name="Currency 19 3" xfId="7336"/>
    <cellStyle name="Currency 19 3 2" xfId="7337"/>
    <cellStyle name="Currency 19 4" xfId="7338"/>
    <cellStyle name="Currency 19 5" xfId="7339"/>
    <cellStyle name="Currency 2" xfId="1355"/>
    <cellStyle name="Currency 2 2" xfId="1356"/>
    <cellStyle name="Currency 2 2 2" xfId="7340"/>
    <cellStyle name="Currency 2 2 2 2" xfId="7341"/>
    <cellStyle name="Currency 2 2 3" xfId="7342"/>
    <cellStyle name="Currency 2 3" xfId="1357"/>
    <cellStyle name="Currency 2 3 2" xfId="7343"/>
    <cellStyle name="Currency 2 3 2 2" xfId="7344"/>
    <cellStyle name="Currency 2 3 3" xfId="7345"/>
    <cellStyle name="Currency 2 4" xfId="1358"/>
    <cellStyle name="Currency 2 5" xfId="1359"/>
    <cellStyle name="Currency 20" xfId="7346"/>
    <cellStyle name="Currency 20 2" xfId="7347"/>
    <cellStyle name="Currency 20 2 2" xfId="7348"/>
    <cellStyle name="Currency 20 3" xfId="7349"/>
    <cellStyle name="Currency 20 3 2" xfId="7350"/>
    <cellStyle name="Currency 20 4" xfId="7351"/>
    <cellStyle name="Currency 20 5" xfId="7352"/>
    <cellStyle name="Currency 21" xfId="7353"/>
    <cellStyle name="Currency 21 2" xfId="7354"/>
    <cellStyle name="Currency 21 2 2" xfId="7355"/>
    <cellStyle name="Currency 21 3" xfId="7356"/>
    <cellStyle name="Currency 21 3 2" xfId="7357"/>
    <cellStyle name="Currency 21 4" xfId="7358"/>
    <cellStyle name="Currency 21 5" xfId="7359"/>
    <cellStyle name="Currency 22" xfId="7360"/>
    <cellStyle name="Currency 22 2" xfId="7361"/>
    <cellStyle name="Currency 22 2 2" xfId="7362"/>
    <cellStyle name="Currency 22 3" xfId="7363"/>
    <cellStyle name="Currency 22 3 2" xfId="7364"/>
    <cellStyle name="Currency 22 4" xfId="7365"/>
    <cellStyle name="Currency 22 5" xfId="7366"/>
    <cellStyle name="Currency 23" xfId="7367"/>
    <cellStyle name="Currency 23 2" xfId="7368"/>
    <cellStyle name="Currency 23 2 2" xfId="7369"/>
    <cellStyle name="Currency 23 3" xfId="7370"/>
    <cellStyle name="Currency 23 3 2" xfId="7371"/>
    <cellStyle name="Currency 23 4" xfId="7372"/>
    <cellStyle name="Currency 23 5" xfId="7373"/>
    <cellStyle name="Currency 24" xfId="7374"/>
    <cellStyle name="Currency 24 2" xfId="7375"/>
    <cellStyle name="Currency 24 2 2" xfId="7376"/>
    <cellStyle name="Currency 24 3" xfId="7377"/>
    <cellStyle name="Currency 24 3 2" xfId="7378"/>
    <cellStyle name="Currency 24 4" xfId="7379"/>
    <cellStyle name="Currency 24 5" xfId="7380"/>
    <cellStyle name="Currency 25" xfId="7381"/>
    <cellStyle name="Currency 25 2" xfId="7382"/>
    <cellStyle name="Currency 25 2 2" xfId="7383"/>
    <cellStyle name="Currency 25 3" xfId="7384"/>
    <cellStyle name="Currency 25 3 2" xfId="7385"/>
    <cellStyle name="Currency 25 4" xfId="7386"/>
    <cellStyle name="Currency 25 5" xfId="7387"/>
    <cellStyle name="Currency 26" xfId="7388"/>
    <cellStyle name="Currency 26 2" xfId="7389"/>
    <cellStyle name="Currency 26 2 2" xfId="7390"/>
    <cellStyle name="Currency 26 3" xfId="7391"/>
    <cellStyle name="Currency 26 3 2" xfId="7392"/>
    <cellStyle name="Currency 26 4" xfId="7393"/>
    <cellStyle name="Currency 26 5" xfId="7394"/>
    <cellStyle name="Currency 27" xfId="7395"/>
    <cellStyle name="Currency 27 2" xfId="7396"/>
    <cellStyle name="Currency 27 2 2" xfId="7397"/>
    <cellStyle name="Currency 27 2 2 2" xfId="7398"/>
    <cellStyle name="Currency 27 2 3" xfId="7399"/>
    <cellStyle name="Currency 27 2 4" xfId="7400"/>
    <cellStyle name="Currency 27 3" xfId="7401"/>
    <cellStyle name="Currency 27 3 2" xfId="7402"/>
    <cellStyle name="Currency 27 4" xfId="7403"/>
    <cellStyle name="Currency 27 4 2" xfId="7404"/>
    <cellStyle name="Currency 27 5" xfId="7405"/>
    <cellStyle name="Currency 27 6" xfId="7406"/>
    <cellStyle name="Currency 28" xfId="7407"/>
    <cellStyle name="Currency 28 2" xfId="7408"/>
    <cellStyle name="Currency 28 2 2" xfId="7409"/>
    <cellStyle name="Currency 28 3" xfId="7410"/>
    <cellStyle name="Currency 28 3 2" xfId="7411"/>
    <cellStyle name="Currency 28 4" xfId="7412"/>
    <cellStyle name="Currency 28 5" xfId="7413"/>
    <cellStyle name="Currency 29" xfId="7414"/>
    <cellStyle name="Currency 29 2" xfId="7415"/>
    <cellStyle name="Currency 29 2 2" xfId="7416"/>
    <cellStyle name="Currency 29 3" xfId="7417"/>
    <cellStyle name="Currency 29 3 2" xfId="7418"/>
    <cellStyle name="Currency 29 4" xfId="7419"/>
    <cellStyle name="Currency 29 5" xfId="7420"/>
    <cellStyle name="Currency 3" xfId="1360"/>
    <cellStyle name="Currency 3 2" xfId="1361"/>
    <cellStyle name="Currency 3 2 2" xfId="7421"/>
    <cellStyle name="Currency 3 2 2 2" xfId="7422"/>
    <cellStyle name="Currency 3 2 2 2 2" xfId="7423"/>
    <cellStyle name="Currency 3 2 2 3" xfId="7424"/>
    <cellStyle name="Currency 3 2 2 3 2" xfId="7425"/>
    <cellStyle name="Currency 3 2 2 4" xfId="7426"/>
    <cellStyle name="Currency 3 2 2 5" xfId="7427"/>
    <cellStyle name="Currency 3 2 2 6" xfId="7428"/>
    <cellStyle name="Currency 3 2 3" xfId="7429"/>
    <cellStyle name="Currency 3 2 3 2" xfId="7430"/>
    <cellStyle name="Currency 3 2 3 3" xfId="7431"/>
    <cellStyle name="Currency 3 2 3 4" xfId="7432"/>
    <cellStyle name="Currency 3 2 4" xfId="7433"/>
    <cellStyle name="Currency 3 2 5" xfId="7434"/>
    <cellStyle name="Currency 3 3" xfId="1362"/>
    <cellStyle name="Currency 3 3 2" xfId="7435"/>
    <cellStyle name="Currency 3 3 2 2" xfId="7436"/>
    <cellStyle name="Currency 3 3 3" xfId="7437"/>
    <cellStyle name="Currency 3 3 3 2" xfId="7438"/>
    <cellStyle name="Currency 3 3 4" xfId="7439"/>
    <cellStyle name="Currency 3 3 5" xfId="7440"/>
    <cellStyle name="Currency 3 4" xfId="1363"/>
    <cellStyle name="Currency 3 4 2" xfId="7441"/>
    <cellStyle name="Currency 3 4 3" xfId="7442"/>
    <cellStyle name="Currency 3 4 3 2" xfId="7443"/>
    <cellStyle name="Currency 3 4 4" xfId="7444"/>
    <cellStyle name="Currency 3 4 5" xfId="7445"/>
    <cellStyle name="Currency 3 5" xfId="1364"/>
    <cellStyle name="Currency 3 6" xfId="7446"/>
    <cellStyle name="Currency 30" xfId="7447"/>
    <cellStyle name="Currency 30 2" xfId="7448"/>
    <cellStyle name="Currency 30 2 2" xfId="7449"/>
    <cellStyle name="Currency 30 3" xfId="7450"/>
    <cellStyle name="Currency 30 3 2" xfId="7451"/>
    <cellStyle name="Currency 30 4" xfId="7452"/>
    <cellStyle name="Currency 30 5" xfId="7453"/>
    <cellStyle name="Currency 31" xfId="7454"/>
    <cellStyle name="Currency 31 2" xfId="7455"/>
    <cellStyle name="Currency 31 2 2" xfId="7456"/>
    <cellStyle name="Currency 31 3" xfId="7457"/>
    <cellStyle name="Currency 31 3 2" xfId="7458"/>
    <cellStyle name="Currency 31 4" xfId="7459"/>
    <cellStyle name="Currency 31 5" xfId="7460"/>
    <cellStyle name="Currency 32" xfId="7461"/>
    <cellStyle name="Currency 32 2" xfId="7462"/>
    <cellStyle name="Currency 32 2 2" xfId="7463"/>
    <cellStyle name="Currency 32 3" xfId="7464"/>
    <cellStyle name="Currency 32 3 2" xfId="7465"/>
    <cellStyle name="Currency 32 4" xfId="7466"/>
    <cellStyle name="Currency 32 5" xfId="7467"/>
    <cellStyle name="Currency 33" xfId="7468"/>
    <cellStyle name="Currency 34" xfId="7469"/>
    <cellStyle name="Currency 35" xfId="7470"/>
    <cellStyle name="Currency 36" xfId="7471"/>
    <cellStyle name="Currency 37" xfId="7472"/>
    <cellStyle name="Currency 38" xfId="7473"/>
    <cellStyle name="Currency 39" xfId="7474"/>
    <cellStyle name="Currency 4" xfId="1365"/>
    <cellStyle name="Currency 4 2" xfId="7475"/>
    <cellStyle name="Currency 4 2 2" xfId="7476"/>
    <cellStyle name="Currency 4 2 2 2" xfId="7477"/>
    <cellStyle name="Currency 4 2 2 2 2" xfId="7478"/>
    <cellStyle name="Currency 4 2 2 3" xfId="7479"/>
    <cellStyle name="Currency 4 2 2 4" xfId="7480"/>
    <cellStyle name="Currency 4 2 3" xfId="7481"/>
    <cellStyle name="Currency 4 2 3 2" xfId="7482"/>
    <cellStyle name="Currency 4 2 3 2 2" xfId="7483"/>
    <cellStyle name="Currency 4 2 3 3" xfId="7484"/>
    <cellStyle name="Currency 4 2 3 4" xfId="7485"/>
    <cellStyle name="Currency 4 2 4" xfId="7486"/>
    <cellStyle name="Currency 4 2 4 2" xfId="7487"/>
    <cellStyle name="Currency 4 2 4 3" xfId="7488"/>
    <cellStyle name="Currency 4 2 4 4" xfId="7489"/>
    <cellStyle name="Currency 4 2 5" xfId="7490"/>
    <cellStyle name="Currency 4 2 6" xfId="7491"/>
    <cellStyle name="Currency 4 3" xfId="7492"/>
    <cellStyle name="Currency 4 3 2" xfId="7493"/>
    <cellStyle name="Currency 4 3 2 2" xfId="7494"/>
    <cellStyle name="Currency 4 3 3" xfId="7495"/>
    <cellStyle name="Currency 4 3 4" xfId="7496"/>
    <cellStyle name="Currency 4 3 5" xfId="7497"/>
    <cellStyle name="Currency 4 4" xfId="7498"/>
    <cellStyle name="Currency 4 4 2" xfId="7499"/>
    <cellStyle name="Currency 4 4 2 2" xfId="7500"/>
    <cellStyle name="Currency 4 4 3" xfId="7501"/>
    <cellStyle name="Currency 4 4 4" xfId="7502"/>
    <cellStyle name="Currency 4 5" xfId="7503"/>
    <cellStyle name="Currency 40" xfId="7504"/>
    <cellStyle name="Currency 41" xfId="7505"/>
    <cellStyle name="Currency 42" xfId="7506"/>
    <cellStyle name="Currency 43" xfId="7507"/>
    <cellStyle name="Currency 44" xfId="7508"/>
    <cellStyle name="Currency 45" xfId="7509"/>
    <cellStyle name="Currency 46" xfId="7510"/>
    <cellStyle name="Currency 47" xfId="7511"/>
    <cellStyle name="Currency 48" xfId="7512"/>
    <cellStyle name="Currency 49" xfId="7513"/>
    <cellStyle name="Currency 5" xfId="2112"/>
    <cellStyle name="Currency 5 2" xfId="7514"/>
    <cellStyle name="Currency 5 2 2" xfId="7515"/>
    <cellStyle name="Currency 5 2 2 2" xfId="7516"/>
    <cellStyle name="Currency 5 2 2 3" xfId="7517"/>
    <cellStyle name="Currency 5 2 2 4" xfId="7518"/>
    <cellStyle name="Currency 5 2 3" xfId="7519"/>
    <cellStyle name="Currency 5 2 3 2" xfId="7520"/>
    <cellStyle name="Currency 5 2 4" xfId="7521"/>
    <cellStyle name="Currency 5 2 5" xfId="7522"/>
    <cellStyle name="Currency 5 2 6" xfId="7523"/>
    <cellStyle name="Currency 5 2 7" xfId="7524"/>
    <cellStyle name="Currency 5 3" xfId="7525"/>
    <cellStyle name="Currency 5 3 2" xfId="7526"/>
    <cellStyle name="Currency 5 3 3" xfId="7527"/>
    <cellStyle name="Currency 5 3 4" xfId="7528"/>
    <cellStyle name="Currency 5 4" xfId="7529"/>
    <cellStyle name="Currency 5 4 2" xfId="7530"/>
    <cellStyle name="Currency 5 5" xfId="7531"/>
    <cellStyle name="Currency 5 6" xfId="7532"/>
    <cellStyle name="Currency 5 7" xfId="7533"/>
    <cellStyle name="Currency 5 8" xfId="7534"/>
    <cellStyle name="Currency 50" xfId="7535"/>
    <cellStyle name="Currency 51" xfId="7536"/>
    <cellStyle name="Currency 52" xfId="7537"/>
    <cellStyle name="Currency 53" xfId="7538"/>
    <cellStyle name="Currency 54" xfId="7539"/>
    <cellStyle name="Currency 55" xfId="7540"/>
    <cellStyle name="Currency 56" xfId="7541"/>
    <cellStyle name="Currency 56 2" xfId="7542"/>
    <cellStyle name="Currency 57" xfId="7543"/>
    <cellStyle name="Currency 57 2" xfId="7544"/>
    <cellStyle name="Currency 58" xfId="7545"/>
    <cellStyle name="Currency 59" xfId="7546"/>
    <cellStyle name="Currency 6" xfId="7547"/>
    <cellStyle name="Currency 6 2" xfId="7548"/>
    <cellStyle name="Currency 6 2 2" xfId="7549"/>
    <cellStyle name="Currency 6 2 2 2" xfId="7550"/>
    <cellStyle name="Currency 6 2 2 2 2" xfId="7551"/>
    <cellStyle name="Currency 6 2 2 2 3" xfId="7552"/>
    <cellStyle name="Currency 6 2 2 3" xfId="7553"/>
    <cellStyle name="Currency 6 2 2 3 2" xfId="7554"/>
    <cellStyle name="Currency 6 2 2 4" xfId="7555"/>
    <cellStyle name="Currency 6 2 2 5" xfId="7556"/>
    <cellStyle name="Currency 6 2 2 6" xfId="7557"/>
    <cellStyle name="Currency 6 2 3" xfId="7558"/>
    <cellStyle name="Currency 6 2 3 2" xfId="7559"/>
    <cellStyle name="Currency 6 2 3 3" xfId="7560"/>
    <cellStyle name="Currency 6 2 4" xfId="7561"/>
    <cellStyle name="Currency 6 2 4 2" xfId="7562"/>
    <cellStyle name="Currency 6 2 5" xfId="7563"/>
    <cellStyle name="Currency 6 3" xfId="7564"/>
    <cellStyle name="Currency 6 3 2" xfId="7565"/>
    <cellStyle name="Currency 6 3 2 2" xfId="7566"/>
    <cellStyle name="Currency 6 3 2 2 2" xfId="7567"/>
    <cellStyle name="Currency 6 3 2 3" xfId="7568"/>
    <cellStyle name="Currency 6 3 2 4" xfId="7569"/>
    <cellStyle name="Currency 6 3 2 5" xfId="7570"/>
    <cellStyle name="Currency 6 3 3" xfId="7571"/>
    <cellStyle name="Currency 6 3 3 2" xfId="7572"/>
    <cellStyle name="Currency 6 3 4" xfId="7573"/>
    <cellStyle name="Currency 6 3 5" xfId="7574"/>
    <cellStyle name="Currency 6 3 6" xfId="7575"/>
    <cellStyle name="Currency 6 3 7" xfId="7576"/>
    <cellStyle name="Currency 6 4" xfId="7577"/>
    <cellStyle name="Currency 6 4 2" xfId="7578"/>
    <cellStyle name="Currency 6 4 2 2" xfId="7579"/>
    <cellStyle name="Currency 6 4 3" xfId="7580"/>
    <cellStyle name="Currency 6 4 4" xfId="7581"/>
    <cellStyle name="Currency 6 4 5" xfId="7582"/>
    <cellStyle name="Currency 6 5" xfId="7583"/>
    <cellStyle name="Currency 6 5 2" xfId="7584"/>
    <cellStyle name="Currency 6 5 2 2" xfId="7585"/>
    <cellStyle name="Currency 6 5 3" xfId="7586"/>
    <cellStyle name="Currency 6 5 4" xfId="7587"/>
    <cellStyle name="Currency 6 5 5" xfId="7588"/>
    <cellStyle name="Currency 6 6" xfId="7589"/>
    <cellStyle name="Currency 6 6 2" xfId="7590"/>
    <cellStyle name="Currency 6 6 2 2" xfId="7591"/>
    <cellStyle name="Currency 6 6 3" xfId="7592"/>
    <cellStyle name="Currency 6 6 4" xfId="7593"/>
    <cellStyle name="Currency 6 6 5" xfId="7594"/>
    <cellStyle name="Currency 6 7" xfId="7595"/>
    <cellStyle name="Currency 60" xfId="7596"/>
    <cellStyle name="Currency 61" xfId="7597"/>
    <cellStyle name="Currency 62" xfId="7598"/>
    <cellStyle name="Currency 62 2" xfId="7599"/>
    <cellStyle name="Currency 63" xfId="7600"/>
    <cellStyle name="Currency 64" xfId="7601"/>
    <cellStyle name="Currency 65" xfId="7602"/>
    <cellStyle name="Currency 66" xfId="7603"/>
    <cellStyle name="Currency 67" xfId="7604"/>
    <cellStyle name="Currency 68" xfId="7605"/>
    <cellStyle name="Currency 69" xfId="7606"/>
    <cellStyle name="Currency 7" xfId="7607"/>
    <cellStyle name="Currency 7 2" xfId="7608"/>
    <cellStyle name="Currency 7 2 2" xfId="7609"/>
    <cellStyle name="Currency 7 2 2 2" xfId="7610"/>
    <cellStyle name="Currency 7 2 3" xfId="7611"/>
    <cellStyle name="Currency 7 2 4" xfId="7612"/>
    <cellStyle name="Currency 7 3" xfId="7613"/>
    <cellStyle name="Currency 7 3 2" xfId="7614"/>
    <cellStyle name="Currency 7 3 3" xfId="7615"/>
    <cellStyle name="Currency 7 3 4" xfId="7616"/>
    <cellStyle name="Currency 7 4" xfId="7617"/>
    <cellStyle name="Currency 7 4 2" xfId="7618"/>
    <cellStyle name="Currency 7 5" xfId="7619"/>
    <cellStyle name="Currency 7 6" xfId="7620"/>
    <cellStyle name="Currency 7 7" xfId="7621"/>
    <cellStyle name="Currency 7 8" xfId="7622"/>
    <cellStyle name="Currency 70" xfId="7623"/>
    <cellStyle name="Currency 71" xfId="7624"/>
    <cellStyle name="Currency 72" xfId="7625"/>
    <cellStyle name="Currency 73" xfId="7626"/>
    <cellStyle name="Currency 74" xfId="7627"/>
    <cellStyle name="Currency 75" xfId="7628"/>
    <cellStyle name="Currency 76" xfId="7629"/>
    <cellStyle name="Currency 77" xfId="7630"/>
    <cellStyle name="Currency 78" xfId="7631"/>
    <cellStyle name="Currency 79" xfId="7632"/>
    <cellStyle name="Currency 8" xfId="7633"/>
    <cellStyle name="Currency 8 2" xfId="7634"/>
    <cellStyle name="Currency 8 2 2" xfId="7635"/>
    <cellStyle name="Currency 8 2 3" xfId="7636"/>
    <cellStyle name="Currency 8 2 3 2" xfId="7637"/>
    <cellStyle name="Currency 8 2 4" xfId="7638"/>
    <cellStyle name="Currency 8 2 5" xfId="7639"/>
    <cellStyle name="Currency 8 3" xfId="7640"/>
    <cellStyle name="Currency 8 3 2" xfId="7641"/>
    <cellStyle name="Currency 8 3 3" xfId="7642"/>
    <cellStyle name="Currency 8 4" xfId="7643"/>
    <cellStyle name="Currency 8 5" xfId="7644"/>
    <cellStyle name="Currency 8 6" xfId="7645"/>
    <cellStyle name="Currency 8 7" xfId="7646"/>
    <cellStyle name="Currency 80" xfId="7647"/>
    <cellStyle name="Currency 81" xfId="7648"/>
    <cellStyle name="Currency 82" xfId="7649"/>
    <cellStyle name="Currency 83" xfId="7650"/>
    <cellStyle name="Currency 84" xfId="7651"/>
    <cellStyle name="Currency 85" xfId="7652"/>
    <cellStyle name="Currency 86" xfId="7653"/>
    <cellStyle name="Currency 87" xfId="7654"/>
    <cellStyle name="Currency 88" xfId="7655"/>
    <cellStyle name="Currency 89" xfId="7656"/>
    <cellStyle name="Currency 9" xfId="7657"/>
    <cellStyle name="Currency 9 2" xfId="7658"/>
    <cellStyle name="Currency 9 2 2" xfId="7659"/>
    <cellStyle name="Currency 9 2 3" xfId="7660"/>
    <cellStyle name="Currency 9 3" xfId="7661"/>
    <cellStyle name="Currency 9 3 2" xfId="7662"/>
    <cellStyle name="Currency 9 4" xfId="7663"/>
    <cellStyle name="Currency 9 5" xfId="7664"/>
    <cellStyle name="Currency 9 6" xfId="7665"/>
    <cellStyle name="Currency 90" xfId="7666"/>
    <cellStyle name="Currency 91" xfId="7667"/>
    <cellStyle name="Currency 92" xfId="7668"/>
    <cellStyle name="Currency 93" xfId="7669"/>
    <cellStyle name="Currency 94" xfId="7670"/>
    <cellStyle name="Currency 95" xfId="7671"/>
    <cellStyle name="Currency 96" xfId="7672"/>
    <cellStyle name="Currency 97" xfId="7673"/>
    <cellStyle name="Currency 98" xfId="7674"/>
    <cellStyle name="Currency 99" xfId="7675"/>
    <cellStyle name="Currency0" xfId="1366"/>
    <cellStyle name="Currency0 2" xfId="7676"/>
    <cellStyle name="Currency0 2 2" xfId="7677"/>
    <cellStyle name="Currency0 2 3" xfId="7678"/>
    <cellStyle name="Currency0 3" xfId="7679"/>
    <cellStyle name="Currency0 3 2" xfId="7680"/>
    <cellStyle name="Currency0 3 3" xfId="7681"/>
    <cellStyle name="Custom - Style1" xfId="7682"/>
    <cellStyle name="Data   - Style2" xfId="7683"/>
    <cellStyle name="Date" xfId="1367"/>
    <cellStyle name="Date 2" xfId="7684"/>
    <cellStyle name="Date 2 2" xfId="7685"/>
    <cellStyle name="Date 2 3" xfId="7686"/>
    <cellStyle name="Date 3" xfId="7687"/>
    <cellStyle name="Date 3 2" xfId="7688"/>
    <cellStyle name="Date 3 3" xfId="7689"/>
    <cellStyle name="Eingabe" xfId="7690"/>
    <cellStyle name="Eingabe 2" xfId="7691"/>
    <cellStyle name="Euro" xfId="7692"/>
    <cellStyle name="Euro 2" xfId="7693"/>
    <cellStyle name="Euro 2 2" xfId="7694"/>
    <cellStyle name="Euro 2 2 2" xfId="7695"/>
    <cellStyle name="Euro 2 3" xfId="7696"/>
    <cellStyle name="Euro 3" xfId="7697"/>
    <cellStyle name="Euro 3 2" xfId="7698"/>
    <cellStyle name="Euro 3 3" xfId="7699"/>
    <cellStyle name="Explanatory Text 10" xfId="1368"/>
    <cellStyle name="Explanatory Text 11" xfId="1369"/>
    <cellStyle name="Explanatory Text 12" xfId="1370"/>
    <cellStyle name="Explanatory Text 13" xfId="1371"/>
    <cellStyle name="Explanatory Text 14" xfId="1372"/>
    <cellStyle name="Explanatory Text 15" xfId="1373"/>
    <cellStyle name="Explanatory Text 16" xfId="1374"/>
    <cellStyle name="Explanatory Text 17" xfId="1375"/>
    <cellStyle name="Explanatory Text 18" xfId="1376"/>
    <cellStyle name="Explanatory Text 19" xfId="1377"/>
    <cellStyle name="Explanatory Text 2" xfId="1378"/>
    <cellStyle name="Explanatory Text 2 2" xfId="1379"/>
    <cellStyle name="Explanatory Text 2 2 2" xfId="1380"/>
    <cellStyle name="Explanatory Text 2 2 2 2" xfId="1381"/>
    <cellStyle name="Explanatory Text 2 2 2 3" xfId="1382"/>
    <cellStyle name="Explanatory Text 2 2 2 4" xfId="1383"/>
    <cellStyle name="Explanatory Text 2 2 2 5" xfId="1384"/>
    <cellStyle name="Explanatory Text 2 2 3" xfId="1385"/>
    <cellStyle name="Explanatory Text 2 2 4" xfId="1386"/>
    <cellStyle name="Explanatory Text 2 2 5" xfId="1387"/>
    <cellStyle name="Explanatory Text 2 3" xfId="1388"/>
    <cellStyle name="Explanatory Text 2 4" xfId="1389"/>
    <cellStyle name="Explanatory Text 2 5" xfId="1390"/>
    <cellStyle name="Explanatory Text 2 6" xfId="1391"/>
    <cellStyle name="Explanatory Text 2 7" xfId="1392"/>
    <cellStyle name="Explanatory Text 2 8" xfId="1393"/>
    <cellStyle name="Explanatory Text 2 9" xfId="1394"/>
    <cellStyle name="Explanatory Text 20" xfId="1395"/>
    <cellStyle name="Explanatory Text 21" xfId="1396"/>
    <cellStyle name="Explanatory Text 22" xfId="1397"/>
    <cellStyle name="Explanatory Text 3" xfId="1398"/>
    <cellStyle name="Explanatory Text 3 2" xfId="7700"/>
    <cellStyle name="Explanatory Text 4" xfId="1399"/>
    <cellStyle name="Explanatory Text 5" xfId="1400"/>
    <cellStyle name="Explanatory Text 6" xfId="1401"/>
    <cellStyle name="Explanatory Text 7" xfId="1402"/>
    <cellStyle name="Explanatory Text 8" xfId="1403"/>
    <cellStyle name="Explanatory Text 9" xfId="1404"/>
    <cellStyle name="F2" xfId="1405"/>
    <cellStyle name="F2 2" xfId="1406"/>
    <cellStyle name="F2 2 2" xfId="7701"/>
    <cellStyle name="F2 3" xfId="1407"/>
    <cellStyle name="F2 3 2" xfId="7702"/>
    <cellStyle name="F2 4" xfId="1408"/>
    <cellStyle name="F2 5" xfId="1409"/>
    <cellStyle name="F2 6" xfId="1410"/>
    <cellStyle name="F2 7" xfId="1411"/>
    <cellStyle name="F2 8" xfId="7703"/>
    <cellStyle name="F2 9" xfId="7704"/>
    <cellStyle name="F2_Regenerated Revenues LGE Gas 2008-04 with Elec Gen-Seelye final version " xfId="7705"/>
    <cellStyle name="F3" xfId="1412"/>
    <cellStyle name="F3 2" xfId="1413"/>
    <cellStyle name="F3 2 2" xfId="7706"/>
    <cellStyle name="F3 3" xfId="1414"/>
    <cellStyle name="F3 3 2" xfId="7707"/>
    <cellStyle name="F3 4" xfId="1415"/>
    <cellStyle name="F3 5" xfId="1416"/>
    <cellStyle name="F3 6" xfId="1417"/>
    <cellStyle name="F3 7" xfId="1418"/>
    <cellStyle name="F3 8" xfId="7708"/>
    <cellStyle name="F3 9" xfId="7709"/>
    <cellStyle name="F3_Regenerated Revenues LGE Gas 2008-04 with Elec Gen-Seelye final version " xfId="7710"/>
    <cellStyle name="F4" xfId="1419"/>
    <cellStyle name="F4 2" xfId="1420"/>
    <cellStyle name="F4 2 2" xfId="7711"/>
    <cellStyle name="F4 3" xfId="1421"/>
    <cellStyle name="F4 3 2" xfId="7712"/>
    <cellStyle name="F4 4" xfId="1422"/>
    <cellStyle name="F4 5" xfId="1423"/>
    <cellStyle name="F4 6" xfId="1424"/>
    <cellStyle name="F4 7" xfId="1425"/>
    <cellStyle name="F4 8" xfId="7713"/>
    <cellStyle name="F4 9" xfId="7714"/>
    <cellStyle name="F4_Regenerated Revenues LGE Gas 2008-04 with Elec Gen-Seelye final version " xfId="7715"/>
    <cellStyle name="F5" xfId="1426"/>
    <cellStyle name="F5 2" xfId="1427"/>
    <cellStyle name="F5 2 2" xfId="7716"/>
    <cellStyle name="F5 3" xfId="1428"/>
    <cellStyle name="F5 3 2" xfId="7717"/>
    <cellStyle name="F5 4" xfId="1429"/>
    <cellStyle name="F5 5" xfId="1430"/>
    <cellStyle name="F5 6" xfId="1431"/>
    <cellStyle name="F5 7" xfId="1432"/>
    <cellStyle name="F5 8" xfId="7718"/>
    <cellStyle name="F5 9" xfId="7719"/>
    <cellStyle name="F5_Regenerated Revenues LGE Gas 2008-04 with Elec Gen-Seelye final version " xfId="7720"/>
    <cellStyle name="F6" xfId="1433"/>
    <cellStyle name="F6 10" xfId="7721"/>
    <cellStyle name="F6 10 2" xfId="7722"/>
    <cellStyle name="F6 11" xfId="7723"/>
    <cellStyle name="F6 2" xfId="1434"/>
    <cellStyle name="F6 2 2" xfId="7724"/>
    <cellStyle name="F6 2 2 2" xfId="7725"/>
    <cellStyle name="F6 3" xfId="1435"/>
    <cellStyle name="F6 3 2" xfId="7726"/>
    <cellStyle name="F6 4" xfId="1436"/>
    <cellStyle name="F6 5" xfId="1437"/>
    <cellStyle name="F6 6" xfId="1438"/>
    <cellStyle name="F6 7" xfId="1439"/>
    <cellStyle name="F6 8" xfId="7727"/>
    <cellStyle name="F6 9" xfId="7728"/>
    <cellStyle name="F6_Regenerated Revenues LGE Gas 2008-04 with Elec Gen-Seelye final version " xfId="7729"/>
    <cellStyle name="F7" xfId="1440"/>
    <cellStyle name="F7 2" xfId="1441"/>
    <cellStyle name="F7 2 2" xfId="7730"/>
    <cellStyle name="F7 3" xfId="1442"/>
    <cellStyle name="F7 3 2" xfId="7731"/>
    <cellStyle name="F7 4" xfId="1443"/>
    <cellStyle name="F7 5" xfId="1444"/>
    <cellStyle name="F7 6" xfId="1445"/>
    <cellStyle name="F7 7" xfId="1446"/>
    <cellStyle name="F7 8" xfId="7732"/>
    <cellStyle name="F7 9" xfId="7733"/>
    <cellStyle name="F7_Regenerated Revenues LGE Gas 2008-04 with Elec Gen-Seelye final version " xfId="7734"/>
    <cellStyle name="F8" xfId="1447"/>
    <cellStyle name="F8 2" xfId="1448"/>
    <cellStyle name="F8 2 2" xfId="7735"/>
    <cellStyle name="F8 3" xfId="1449"/>
    <cellStyle name="F8 3 2" xfId="7736"/>
    <cellStyle name="F8 4" xfId="1450"/>
    <cellStyle name="F8 5" xfId="1451"/>
    <cellStyle name="F8 6" xfId="1452"/>
    <cellStyle name="F8 7" xfId="1453"/>
    <cellStyle name="F8 8" xfId="7737"/>
    <cellStyle name="F8 9" xfId="7738"/>
    <cellStyle name="F8_Regenerated Revenues LGE Gas 2008-04 with Elec Gen-Seelye final version " xfId="7739"/>
    <cellStyle name="Fixed" xfId="1454"/>
    <cellStyle name="Fixed 2" xfId="7740"/>
    <cellStyle name="Fixed 2 2" xfId="7741"/>
    <cellStyle name="Fixed 2 3" xfId="7742"/>
    <cellStyle name="Fixed 3" xfId="7743"/>
    <cellStyle name="Fixed 3 2" xfId="7744"/>
    <cellStyle name="Fixed 3 3" xfId="7745"/>
    <cellStyle name="Good 10" xfId="1455"/>
    <cellStyle name="Good 11" xfId="1456"/>
    <cellStyle name="Good 12" xfId="1457"/>
    <cellStyle name="Good 13" xfId="1458"/>
    <cellStyle name="Good 14" xfId="1459"/>
    <cellStyle name="Good 15" xfId="1460"/>
    <cellStyle name="Good 16" xfId="1461"/>
    <cellStyle name="Good 17" xfId="1462"/>
    <cellStyle name="Good 17 2" xfId="7746"/>
    <cellStyle name="Good 18" xfId="1463"/>
    <cellStyle name="Good 19" xfId="1464"/>
    <cellStyle name="Good 2" xfId="1465"/>
    <cellStyle name="Good 2 2" xfId="1466"/>
    <cellStyle name="Good 2 2 2" xfId="1467"/>
    <cellStyle name="Good 2 2 2 2" xfId="1468"/>
    <cellStyle name="Good 2 2 2 3" xfId="1469"/>
    <cellStyle name="Good 2 2 2 4" xfId="1470"/>
    <cellStyle name="Good 2 2 2 5" xfId="1471"/>
    <cellStyle name="Good 2 2 3" xfId="1472"/>
    <cellStyle name="Good 2 2 4" xfId="1473"/>
    <cellStyle name="Good 2 2 5" xfId="1474"/>
    <cellStyle name="Good 2 3" xfId="1475"/>
    <cellStyle name="Good 2 4" xfId="1476"/>
    <cellStyle name="Good 2 5" xfId="1477"/>
    <cellStyle name="Good 2 6" xfId="1478"/>
    <cellStyle name="Good 2 7" xfId="1479"/>
    <cellStyle name="Good 2 8" xfId="1480"/>
    <cellStyle name="Good 2 9" xfId="1481"/>
    <cellStyle name="Good 20" xfId="1482"/>
    <cellStyle name="Good 21" xfId="1483"/>
    <cellStyle name="Good 22" xfId="1484"/>
    <cellStyle name="Good 3" xfId="1485"/>
    <cellStyle name="Good 3 2" xfId="7747"/>
    <cellStyle name="Good 4" xfId="1486"/>
    <cellStyle name="Good 5" xfId="1487"/>
    <cellStyle name="Good 6" xfId="1488"/>
    <cellStyle name="Good 7" xfId="1489"/>
    <cellStyle name="Good 8" xfId="1490"/>
    <cellStyle name="Good 9" xfId="1491"/>
    <cellStyle name="Heading 1 10" xfId="1492"/>
    <cellStyle name="Heading 1 11" xfId="1493"/>
    <cellStyle name="Heading 1 12" xfId="1494"/>
    <cellStyle name="Heading 1 13" xfId="1495"/>
    <cellStyle name="Heading 1 14" xfId="1496"/>
    <cellStyle name="Heading 1 15" xfId="1497"/>
    <cellStyle name="Heading 1 16" xfId="1498"/>
    <cellStyle name="Heading 1 17" xfId="1499"/>
    <cellStyle name="Heading 1 17 2" xfId="7748"/>
    <cellStyle name="Heading 1 17 3" xfId="7749"/>
    <cellStyle name="Heading 1 17 4" xfId="7750"/>
    <cellStyle name="Heading 1 18" xfId="1500"/>
    <cellStyle name="Heading 1 19" xfId="1501"/>
    <cellStyle name="Heading 1 2" xfId="1502"/>
    <cellStyle name="Heading 1 2 2" xfId="1503"/>
    <cellStyle name="Heading 1 2 2 2" xfId="1504"/>
    <cellStyle name="Heading 1 2 2 2 2" xfId="1505"/>
    <cellStyle name="Heading 1 2 2 2 3" xfId="1506"/>
    <cellStyle name="Heading 1 2 2 2 4" xfId="1507"/>
    <cellStyle name="Heading 1 2 2 2 5" xfId="1508"/>
    <cellStyle name="Heading 1 2 2 3" xfId="1509"/>
    <cellStyle name="Heading 1 2 2 4" xfId="1510"/>
    <cellStyle name="Heading 1 2 2 5" xfId="1511"/>
    <cellStyle name="Heading 1 2 3" xfId="1512"/>
    <cellStyle name="Heading 1 2 4" xfId="1513"/>
    <cellStyle name="Heading 1 2 5" xfId="1514"/>
    <cellStyle name="Heading 1 2 6" xfId="1515"/>
    <cellStyle name="Heading 1 2 7" xfId="1516"/>
    <cellStyle name="Heading 1 2 8" xfId="1517"/>
    <cellStyle name="Heading 1 2 9" xfId="1518"/>
    <cellStyle name="Heading 1 20" xfId="1519"/>
    <cellStyle name="Heading 1 21" xfId="1520"/>
    <cellStyle name="Heading 1 22" xfId="1521"/>
    <cellStyle name="Heading 1 23" xfId="1522"/>
    <cellStyle name="Heading 1 24" xfId="1523"/>
    <cellStyle name="Heading 1 3" xfId="1524"/>
    <cellStyle name="Heading 1 3 2" xfId="7751"/>
    <cellStyle name="Heading 1 3 2 2" xfId="7752"/>
    <cellStyle name="Heading 1 4" xfId="1525"/>
    <cellStyle name="Heading 1 5" xfId="1526"/>
    <cellStyle name="Heading 1 6" xfId="1527"/>
    <cellStyle name="Heading 1 7" xfId="1528"/>
    <cellStyle name="Heading 1 8" xfId="1529"/>
    <cellStyle name="Heading 1 9" xfId="1530"/>
    <cellStyle name="Heading 2 10" xfId="1531"/>
    <cellStyle name="Heading 2 11" xfId="1532"/>
    <cellStyle name="Heading 2 12" xfId="1533"/>
    <cellStyle name="Heading 2 13" xfId="1534"/>
    <cellStyle name="Heading 2 14" xfId="1535"/>
    <cellStyle name="Heading 2 15" xfId="1536"/>
    <cellStyle name="Heading 2 16" xfId="1537"/>
    <cellStyle name="Heading 2 17" xfId="1538"/>
    <cellStyle name="Heading 2 17 2" xfId="7753"/>
    <cellStyle name="Heading 2 17 3" xfId="7754"/>
    <cellStyle name="Heading 2 17 4" xfId="7755"/>
    <cellStyle name="Heading 2 18" xfId="1539"/>
    <cellStyle name="Heading 2 19" xfId="1540"/>
    <cellStyle name="Heading 2 2" xfId="1541"/>
    <cellStyle name="Heading 2 2 2" xfId="1542"/>
    <cellStyle name="Heading 2 2 2 2" xfId="1543"/>
    <cellStyle name="Heading 2 2 2 2 2" xfId="1544"/>
    <cellStyle name="Heading 2 2 2 2 3" xfId="1545"/>
    <cellStyle name="Heading 2 2 2 2 4" xfId="1546"/>
    <cellStyle name="Heading 2 2 2 2 5" xfId="1547"/>
    <cellStyle name="Heading 2 2 2 3" xfId="1548"/>
    <cellStyle name="Heading 2 2 2 4" xfId="1549"/>
    <cellStyle name="Heading 2 2 2 5" xfId="1550"/>
    <cellStyle name="Heading 2 2 3" xfId="1551"/>
    <cellStyle name="Heading 2 2 4" xfId="1552"/>
    <cellStyle name="Heading 2 2 5" xfId="1553"/>
    <cellStyle name="Heading 2 2 6" xfId="1554"/>
    <cellStyle name="Heading 2 2 7" xfId="1555"/>
    <cellStyle name="Heading 2 2 8" xfId="1556"/>
    <cellStyle name="Heading 2 2 9" xfId="1557"/>
    <cellStyle name="Heading 2 20" xfId="1558"/>
    <cellStyle name="Heading 2 21" xfId="1559"/>
    <cellStyle name="Heading 2 22" xfId="1560"/>
    <cellStyle name="Heading 2 23" xfId="1561"/>
    <cellStyle name="Heading 2 24" xfId="1562"/>
    <cellStyle name="Heading 2 3" xfId="1563"/>
    <cellStyle name="Heading 2 3 2" xfId="7756"/>
    <cellStyle name="Heading 2 3 2 2" xfId="7757"/>
    <cellStyle name="Heading 2 4" xfId="1564"/>
    <cellStyle name="Heading 2 5" xfId="1565"/>
    <cellStyle name="Heading 2 6" xfId="1566"/>
    <cellStyle name="Heading 2 7" xfId="1567"/>
    <cellStyle name="Heading 2 8" xfId="1568"/>
    <cellStyle name="Heading 2 9" xfId="1569"/>
    <cellStyle name="Heading 3 10" xfId="1570"/>
    <cellStyle name="Heading 3 11" xfId="1571"/>
    <cellStyle name="Heading 3 12" xfId="1572"/>
    <cellStyle name="Heading 3 13" xfId="1573"/>
    <cellStyle name="Heading 3 14" xfId="1574"/>
    <cellStyle name="Heading 3 15" xfId="1575"/>
    <cellStyle name="Heading 3 16" xfId="1576"/>
    <cellStyle name="Heading 3 17" xfId="1577"/>
    <cellStyle name="Heading 3 17 2" xfId="7758"/>
    <cellStyle name="Heading 3 18" xfId="1578"/>
    <cellStyle name="Heading 3 19" xfId="1579"/>
    <cellStyle name="Heading 3 2" xfId="1580"/>
    <cellStyle name="Heading 3 2 2" xfId="1581"/>
    <cellStyle name="Heading 3 2 2 2" xfId="1582"/>
    <cellStyle name="Heading 3 2 2 2 2" xfId="1583"/>
    <cellStyle name="Heading 3 2 2 2 3" xfId="1584"/>
    <cellStyle name="Heading 3 2 2 2 4" xfId="1585"/>
    <cellStyle name="Heading 3 2 2 2 5" xfId="1586"/>
    <cellStyle name="Heading 3 2 2 3" xfId="1587"/>
    <cellStyle name="Heading 3 2 2 4" xfId="1588"/>
    <cellStyle name="Heading 3 2 2 5" xfId="1589"/>
    <cellStyle name="Heading 3 2 3" xfId="1590"/>
    <cellStyle name="Heading 3 2 4" xfId="1591"/>
    <cellStyle name="Heading 3 2 5" xfId="1592"/>
    <cellStyle name="Heading 3 2 6" xfId="1593"/>
    <cellStyle name="Heading 3 2 7" xfId="1594"/>
    <cellStyle name="Heading 3 2 8" xfId="1595"/>
    <cellStyle name="Heading 3 2 9" xfId="1596"/>
    <cellStyle name="Heading 3 20" xfId="1597"/>
    <cellStyle name="Heading 3 21" xfId="1598"/>
    <cellStyle name="Heading 3 22" xfId="1599"/>
    <cellStyle name="Heading 3 3" xfId="1600"/>
    <cellStyle name="Heading 3 3 2" xfId="7759"/>
    <cellStyle name="Heading 3 4" xfId="1601"/>
    <cellStyle name="Heading 3 4 2" xfId="7760"/>
    <cellStyle name="Heading 3 5" xfId="1602"/>
    <cellStyle name="Heading 3 5 2" xfId="7761"/>
    <cellStyle name="Heading 3 6" xfId="1603"/>
    <cellStyle name="Heading 3 7" xfId="1604"/>
    <cellStyle name="Heading 3 8" xfId="1605"/>
    <cellStyle name="Heading 3 9" xfId="1606"/>
    <cellStyle name="Heading 4 10" xfId="1607"/>
    <cellStyle name="Heading 4 11" xfId="1608"/>
    <cellStyle name="Heading 4 12" xfId="1609"/>
    <cellStyle name="Heading 4 13" xfId="1610"/>
    <cellStyle name="Heading 4 14" xfId="1611"/>
    <cellStyle name="Heading 4 15" xfId="1612"/>
    <cellStyle name="Heading 4 16" xfId="1613"/>
    <cellStyle name="Heading 4 17" xfId="1614"/>
    <cellStyle name="Heading 4 17 2" xfId="7762"/>
    <cellStyle name="Heading 4 18" xfId="1615"/>
    <cellStyle name="Heading 4 19" xfId="1616"/>
    <cellStyle name="Heading 4 2" xfId="1617"/>
    <cellStyle name="Heading 4 2 2" xfId="1618"/>
    <cellStyle name="Heading 4 2 2 2" xfId="1619"/>
    <cellStyle name="Heading 4 2 2 2 2" xfId="1620"/>
    <cellStyle name="Heading 4 2 2 2 3" xfId="1621"/>
    <cellStyle name="Heading 4 2 2 2 4" xfId="1622"/>
    <cellStyle name="Heading 4 2 2 2 5" xfId="1623"/>
    <cellStyle name="Heading 4 2 2 3" xfId="1624"/>
    <cellStyle name="Heading 4 2 2 4" xfId="1625"/>
    <cellStyle name="Heading 4 2 2 5" xfId="1626"/>
    <cellStyle name="Heading 4 2 3" xfId="1627"/>
    <cellStyle name="Heading 4 2 4" xfId="1628"/>
    <cellStyle name="Heading 4 2 5" xfId="1629"/>
    <cellStyle name="Heading 4 2 6" xfId="1630"/>
    <cellStyle name="Heading 4 2 7" xfId="1631"/>
    <cellStyle name="Heading 4 2 8" xfId="1632"/>
    <cellStyle name="Heading 4 2 9" xfId="1633"/>
    <cellStyle name="Heading 4 20" xfId="1634"/>
    <cellStyle name="Heading 4 21" xfId="1635"/>
    <cellStyle name="Heading 4 22" xfId="1636"/>
    <cellStyle name="Heading 4 3" xfId="1637"/>
    <cellStyle name="Heading 4 3 2" xfId="7763"/>
    <cellStyle name="Heading 4 4" xfId="1638"/>
    <cellStyle name="Heading 4 5" xfId="1639"/>
    <cellStyle name="Heading 4 6" xfId="1640"/>
    <cellStyle name="Heading 4 7" xfId="1641"/>
    <cellStyle name="Heading 4 8" xfId="1642"/>
    <cellStyle name="Heading 4 9" xfId="1643"/>
    <cellStyle name="Hyperlink 2" xfId="7764"/>
    <cellStyle name="Input 10" xfId="1644"/>
    <cellStyle name="Input 10 10" xfId="7765"/>
    <cellStyle name="Input 10 11" xfId="7766"/>
    <cellStyle name="Input 10 12" xfId="7767"/>
    <cellStyle name="Input 10 2" xfId="7768"/>
    <cellStyle name="Input 10 2 2" xfId="7769"/>
    <cellStyle name="Input 10 2 2 2" xfId="7770"/>
    <cellStyle name="Input 10 2 3" xfId="7771"/>
    <cellStyle name="Input 10 2 3 2" xfId="7772"/>
    <cellStyle name="Input 10 2 4" xfId="7773"/>
    <cellStyle name="Input 10 2 4 2" xfId="7774"/>
    <cellStyle name="Input 10 2 5" xfId="7775"/>
    <cellStyle name="Input 10 2 5 2" xfId="7776"/>
    <cellStyle name="Input 10 2 6" xfId="7777"/>
    <cellStyle name="Input 10 2 6 2" xfId="7778"/>
    <cellStyle name="Input 10 2 7" xfId="7779"/>
    <cellStyle name="Input 10 2 7 2" xfId="7780"/>
    <cellStyle name="Input 10 2 8" xfId="7781"/>
    <cellStyle name="Input 10 2 8 2" xfId="7782"/>
    <cellStyle name="Input 10 2 9" xfId="7783"/>
    <cellStyle name="Input 10 3" xfId="7784"/>
    <cellStyle name="Input 10 3 2" xfId="7785"/>
    <cellStyle name="Input 10 4" xfId="7786"/>
    <cellStyle name="Input 10 4 2" xfId="7787"/>
    <cellStyle name="Input 10 5" xfId="7788"/>
    <cellStyle name="Input 10 5 2" xfId="7789"/>
    <cellStyle name="Input 10 6" xfId="7790"/>
    <cellStyle name="Input 10 6 2" xfId="7791"/>
    <cellStyle name="Input 10 7" xfId="7792"/>
    <cellStyle name="Input 10 7 2" xfId="7793"/>
    <cellStyle name="Input 10 8" xfId="7794"/>
    <cellStyle name="Input 10 8 2" xfId="7795"/>
    <cellStyle name="Input 10 9" xfId="7796"/>
    <cellStyle name="Input 10 9 2" xfId="7797"/>
    <cellStyle name="Input 11" xfId="1645"/>
    <cellStyle name="Input 11 10" xfId="7798"/>
    <cellStyle name="Input 11 11" xfId="7799"/>
    <cellStyle name="Input 11 12" xfId="7800"/>
    <cellStyle name="Input 11 2" xfId="7801"/>
    <cellStyle name="Input 11 2 2" xfId="7802"/>
    <cellStyle name="Input 11 2 2 2" xfId="7803"/>
    <cellStyle name="Input 11 2 3" xfId="7804"/>
    <cellStyle name="Input 11 2 3 2" xfId="7805"/>
    <cellStyle name="Input 11 2 4" xfId="7806"/>
    <cellStyle name="Input 11 2 4 2" xfId="7807"/>
    <cellStyle name="Input 11 2 5" xfId="7808"/>
    <cellStyle name="Input 11 2 5 2" xfId="7809"/>
    <cellStyle name="Input 11 2 6" xfId="7810"/>
    <cellStyle name="Input 11 2 6 2" xfId="7811"/>
    <cellStyle name="Input 11 2 7" xfId="7812"/>
    <cellStyle name="Input 11 2 7 2" xfId="7813"/>
    <cellStyle name="Input 11 2 8" xfId="7814"/>
    <cellStyle name="Input 11 2 8 2" xfId="7815"/>
    <cellStyle name="Input 11 2 9" xfId="7816"/>
    <cellStyle name="Input 11 3" xfId="7817"/>
    <cellStyle name="Input 11 3 2" xfId="7818"/>
    <cellStyle name="Input 11 4" xfId="7819"/>
    <cellStyle name="Input 11 4 2" xfId="7820"/>
    <cellStyle name="Input 11 5" xfId="7821"/>
    <cellStyle name="Input 11 5 2" xfId="7822"/>
    <cellStyle name="Input 11 6" xfId="7823"/>
    <cellStyle name="Input 11 6 2" xfId="7824"/>
    <cellStyle name="Input 11 7" xfId="7825"/>
    <cellStyle name="Input 11 7 2" xfId="7826"/>
    <cellStyle name="Input 11 8" xfId="7827"/>
    <cellStyle name="Input 11 8 2" xfId="7828"/>
    <cellStyle name="Input 11 9" xfId="7829"/>
    <cellStyle name="Input 11 9 2" xfId="7830"/>
    <cellStyle name="Input 12" xfId="1646"/>
    <cellStyle name="Input 12 10" xfId="7831"/>
    <cellStyle name="Input 12 11" xfId="7832"/>
    <cellStyle name="Input 12 12" xfId="7833"/>
    <cellStyle name="Input 12 2" xfId="7834"/>
    <cellStyle name="Input 12 2 2" xfId="7835"/>
    <cellStyle name="Input 12 2 2 2" xfId="7836"/>
    <cellStyle name="Input 12 2 3" xfId="7837"/>
    <cellStyle name="Input 12 2 3 2" xfId="7838"/>
    <cellStyle name="Input 12 2 4" xfId="7839"/>
    <cellStyle name="Input 12 2 4 2" xfId="7840"/>
    <cellStyle name="Input 12 2 5" xfId="7841"/>
    <cellStyle name="Input 12 2 5 2" xfId="7842"/>
    <cellStyle name="Input 12 2 6" xfId="7843"/>
    <cellStyle name="Input 12 2 6 2" xfId="7844"/>
    <cellStyle name="Input 12 2 7" xfId="7845"/>
    <cellStyle name="Input 12 2 7 2" xfId="7846"/>
    <cellStyle name="Input 12 2 8" xfId="7847"/>
    <cellStyle name="Input 12 2 8 2" xfId="7848"/>
    <cellStyle name="Input 12 2 9" xfId="7849"/>
    <cellStyle name="Input 12 3" xfId="7850"/>
    <cellStyle name="Input 12 3 2" xfId="7851"/>
    <cellStyle name="Input 12 4" xfId="7852"/>
    <cellStyle name="Input 12 4 2" xfId="7853"/>
    <cellStyle name="Input 12 5" xfId="7854"/>
    <cellStyle name="Input 12 5 2" xfId="7855"/>
    <cellStyle name="Input 12 6" xfId="7856"/>
    <cellStyle name="Input 12 6 2" xfId="7857"/>
    <cellStyle name="Input 12 7" xfId="7858"/>
    <cellStyle name="Input 12 7 2" xfId="7859"/>
    <cellStyle name="Input 12 8" xfId="7860"/>
    <cellStyle name="Input 12 8 2" xfId="7861"/>
    <cellStyle name="Input 12 9" xfId="7862"/>
    <cellStyle name="Input 12 9 2" xfId="7863"/>
    <cellStyle name="Input 13" xfId="1647"/>
    <cellStyle name="Input 13 10" xfId="7864"/>
    <cellStyle name="Input 13 11" xfId="7865"/>
    <cellStyle name="Input 13 12" xfId="7866"/>
    <cellStyle name="Input 13 2" xfId="7867"/>
    <cellStyle name="Input 13 2 2" xfId="7868"/>
    <cellStyle name="Input 13 2 2 2" xfId="7869"/>
    <cellStyle name="Input 13 2 3" xfId="7870"/>
    <cellStyle name="Input 13 2 3 2" xfId="7871"/>
    <cellStyle name="Input 13 2 4" xfId="7872"/>
    <cellStyle name="Input 13 2 4 2" xfId="7873"/>
    <cellStyle name="Input 13 2 5" xfId="7874"/>
    <cellStyle name="Input 13 2 5 2" xfId="7875"/>
    <cellStyle name="Input 13 2 6" xfId="7876"/>
    <cellStyle name="Input 13 2 6 2" xfId="7877"/>
    <cellStyle name="Input 13 2 7" xfId="7878"/>
    <cellStyle name="Input 13 2 7 2" xfId="7879"/>
    <cellStyle name="Input 13 2 8" xfId="7880"/>
    <cellStyle name="Input 13 2 8 2" xfId="7881"/>
    <cellStyle name="Input 13 2 9" xfId="7882"/>
    <cellStyle name="Input 13 3" xfId="7883"/>
    <cellStyle name="Input 13 3 2" xfId="7884"/>
    <cellStyle name="Input 13 4" xfId="7885"/>
    <cellStyle name="Input 13 4 2" xfId="7886"/>
    <cellStyle name="Input 13 5" xfId="7887"/>
    <cellStyle name="Input 13 5 2" xfId="7888"/>
    <cellStyle name="Input 13 6" xfId="7889"/>
    <cellStyle name="Input 13 6 2" xfId="7890"/>
    <cellStyle name="Input 13 7" xfId="7891"/>
    <cellStyle name="Input 13 7 2" xfId="7892"/>
    <cellStyle name="Input 13 8" xfId="7893"/>
    <cellStyle name="Input 13 8 2" xfId="7894"/>
    <cellStyle name="Input 13 9" xfId="7895"/>
    <cellStyle name="Input 13 9 2" xfId="7896"/>
    <cellStyle name="Input 14" xfId="1648"/>
    <cellStyle name="Input 14 10" xfId="7897"/>
    <cellStyle name="Input 14 11" xfId="7898"/>
    <cellStyle name="Input 14 12" xfId="7899"/>
    <cellStyle name="Input 14 2" xfId="7900"/>
    <cellStyle name="Input 14 2 2" xfId="7901"/>
    <cellStyle name="Input 14 2 2 2" xfId="7902"/>
    <cellStyle name="Input 14 2 3" xfId="7903"/>
    <cellStyle name="Input 14 2 3 2" xfId="7904"/>
    <cellStyle name="Input 14 2 4" xfId="7905"/>
    <cellStyle name="Input 14 2 4 2" xfId="7906"/>
    <cellStyle name="Input 14 2 5" xfId="7907"/>
    <cellStyle name="Input 14 2 5 2" xfId="7908"/>
    <cellStyle name="Input 14 2 6" xfId="7909"/>
    <cellStyle name="Input 14 2 6 2" xfId="7910"/>
    <cellStyle name="Input 14 2 7" xfId="7911"/>
    <cellStyle name="Input 14 2 7 2" xfId="7912"/>
    <cellStyle name="Input 14 2 8" xfId="7913"/>
    <cellStyle name="Input 14 2 8 2" xfId="7914"/>
    <cellStyle name="Input 14 2 9" xfId="7915"/>
    <cellStyle name="Input 14 3" xfId="7916"/>
    <cellStyle name="Input 14 3 2" xfId="7917"/>
    <cellStyle name="Input 14 4" xfId="7918"/>
    <cellStyle name="Input 14 4 2" xfId="7919"/>
    <cellStyle name="Input 14 5" xfId="7920"/>
    <cellStyle name="Input 14 5 2" xfId="7921"/>
    <cellStyle name="Input 14 6" xfId="7922"/>
    <cellStyle name="Input 14 6 2" xfId="7923"/>
    <cellStyle name="Input 14 7" xfId="7924"/>
    <cellStyle name="Input 14 7 2" xfId="7925"/>
    <cellStyle name="Input 14 8" xfId="7926"/>
    <cellStyle name="Input 14 8 2" xfId="7927"/>
    <cellStyle name="Input 14 9" xfId="7928"/>
    <cellStyle name="Input 14 9 2" xfId="7929"/>
    <cellStyle name="Input 15" xfId="1649"/>
    <cellStyle name="Input 15 10" xfId="7930"/>
    <cellStyle name="Input 15 11" xfId="7931"/>
    <cellStyle name="Input 15 12" xfId="7932"/>
    <cellStyle name="Input 15 2" xfId="7933"/>
    <cellStyle name="Input 15 2 2" xfId="7934"/>
    <cellStyle name="Input 15 2 2 2" xfId="7935"/>
    <cellStyle name="Input 15 2 3" xfId="7936"/>
    <cellStyle name="Input 15 2 3 2" xfId="7937"/>
    <cellStyle name="Input 15 2 4" xfId="7938"/>
    <cellStyle name="Input 15 2 4 2" xfId="7939"/>
    <cellStyle name="Input 15 2 5" xfId="7940"/>
    <cellStyle name="Input 15 2 5 2" xfId="7941"/>
    <cellStyle name="Input 15 2 6" xfId="7942"/>
    <cellStyle name="Input 15 2 6 2" xfId="7943"/>
    <cellStyle name="Input 15 2 7" xfId="7944"/>
    <cellStyle name="Input 15 2 7 2" xfId="7945"/>
    <cellStyle name="Input 15 2 8" xfId="7946"/>
    <cellStyle name="Input 15 2 8 2" xfId="7947"/>
    <cellStyle name="Input 15 2 9" xfId="7948"/>
    <cellStyle name="Input 15 3" xfId="7949"/>
    <cellStyle name="Input 15 3 2" xfId="7950"/>
    <cellStyle name="Input 15 4" xfId="7951"/>
    <cellStyle name="Input 15 4 2" xfId="7952"/>
    <cellStyle name="Input 15 5" xfId="7953"/>
    <cellStyle name="Input 15 5 2" xfId="7954"/>
    <cellStyle name="Input 15 6" xfId="7955"/>
    <cellStyle name="Input 15 6 2" xfId="7956"/>
    <cellStyle name="Input 15 7" xfId="7957"/>
    <cellStyle name="Input 15 7 2" xfId="7958"/>
    <cellStyle name="Input 15 8" xfId="7959"/>
    <cellStyle name="Input 15 8 2" xfId="7960"/>
    <cellStyle name="Input 15 9" xfId="7961"/>
    <cellStyle name="Input 15 9 2" xfId="7962"/>
    <cellStyle name="Input 16" xfId="1650"/>
    <cellStyle name="Input 16 10" xfId="7963"/>
    <cellStyle name="Input 16 11" xfId="7964"/>
    <cellStyle name="Input 16 12" xfId="7965"/>
    <cellStyle name="Input 16 2" xfId="7966"/>
    <cellStyle name="Input 16 2 2" xfId="7967"/>
    <cellStyle name="Input 16 2 2 2" xfId="7968"/>
    <cellStyle name="Input 16 2 3" xfId="7969"/>
    <cellStyle name="Input 16 2 3 2" xfId="7970"/>
    <cellStyle name="Input 16 2 4" xfId="7971"/>
    <cellStyle name="Input 16 2 4 2" xfId="7972"/>
    <cellStyle name="Input 16 2 5" xfId="7973"/>
    <cellStyle name="Input 16 2 5 2" xfId="7974"/>
    <cellStyle name="Input 16 2 6" xfId="7975"/>
    <cellStyle name="Input 16 2 6 2" xfId="7976"/>
    <cellStyle name="Input 16 2 7" xfId="7977"/>
    <cellStyle name="Input 16 2 7 2" xfId="7978"/>
    <cellStyle name="Input 16 2 8" xfId="7979"/>
    <cellStyle name="Input 16 2 8 2" xfId="7980"/>
    <cellStyle name="Input 16 2 9" xfId="7981"/>
    <cellStyle name="Input 16 3" xfId="7982"/>
    <cellStyle name="Input 16 3 2" xfId="7983"/>
    <cellStyle name="Input 16 4" xfId="7984"/>
    <cellStyle name="Input 16 4 2" xfId="7985"/>
    <cellStyle name="Input 16 5" xfId="7986"/>
    <cellStyle name="Input 16 5 2" xfId="7987"/>
    <cellStyle name="Input 16 6" xfId="7988"/>
    <cellStyle name="Input 16 6 2" xfId="7989"/>
    <cellStyle name="Input 16 7" xfId="7990"/>
    <cellStyle name="Input 16 7 2" xfId="7991"/>
    <cellStyle name="Input 16 8" xfId="7992"/>
    <cellStyle name="Input 16 8 2" xfId="7993"/>
    <cellStyle name="Input 16 9" xfId="7994"/>
    <cellStyle name="Input 16 9 2" xfId="7995"/>
    <cellStyle name="Input 17" xfId="1651"/>
    <cellStyle name="Input 17 10" xfId="7996"/>
    <cellStyle name="Input 17 11" xfId="7997"/>
    <cellStyle name="Input 17 2" xfId="7998"/>
    <cellStyle name="Input 17 2 2" xfId="7999"/>
    <cellStyle name="Input 17 2 2 2" xfId="8000"/>
    <cellStyle name="Input 17 2 3" xfId="8001"/>
    <cellStyle name="Input 17 2 3 2" xfId="8002"/>
    <cellStyle name="Input 17 2 4" xfId="8003"/>
    <cellStyle name="Input 17 2 4 2" xfId="8004"/>
    <cellStyle name="Input 17 2 5" xfId="8005"/>
    <cellStyle name="Input 17 2 5 2" xfId="8006"/>
    <cellStyle name="Input 17 2 6" xfId="8007"/>
    <cellStyle name="Input 17 2 6 2" xfId="8008"/>
    <cellStyle name="Input 17 2 7" xfId="8009"/>
    <cellStyle name="Input 17 2 7 2" xfId="8010"/>
    <cellStyle name="Input 17 2 8" xfId="8011"/>
    <cellStyle name="Input 17 2 8 2" xfId="8012"/>
    <cellStyle name="Input 17 2 9" xfId="8013"/>
    <cellStyle name="Input 17 3" xfId="8014"/>
    <cellStyle name="Input 17 3 2" xfId="8015"/>
    <cellStyle name="Input 17 4" xfId="8016"/>
    <cellStyle name="Input 17 4 2" xfId="8017"/>
    <cellStyle name="Input 17 5" xfId="8018"/>
    <cellStyle name="Input 17 5 2" xfId="8019"/>
    <cellStyle name="Input 17 6" xfId="8020"/>
    <cellStyle name="Input 17 6 2" xfId="8021"/>
    <cellStyle name="Input 17 7" xfId="8022"/>
    <cellStyle name="Input 17 7 2" xfId="8023"/>
    <cellStyle name="Input 17 8" xfId="8024"/>
    <cellStyle name="Input 17 8 2" xfId="8025"/>
    <cellStyle name="Input 17 9" xfId="8026"/>
    <cellStyle name="Input 17 9 2" xfId="8027"/>
    <cellStyle name="Input 18" xfId="1652"/>
    <cellStyle name="Input 18 10" xfId="8028"/>
    <cellStyle name="Input 18 2" xfId="8029"/>
    <cellStyle name="Input 18 2 2" xfId="8030"/>
    <cellStyle name="Input 18 2 2 2" xfId="8031"/>
    <cellStyle name="Input 18 2 3" xfId="8032"/>
    <cellStyle name="Input 18 2 3 2" xfId="8033"/>
    <cellStyle name="Input 18 2 4" xfId="8034"/>
    <cellStyle name="Input 18 2 4 2" xfId="8035"/>
    <cellStyle name="Input 18 2 5" xfId="8036"/>
    <cellStyle name="Input 18 2 5 2" xfId="8037"/>
    <cellStyle name="Input 18 2 6" xfId="8038"/>
    <cellStyle name="Input 18 2 6 2" xfId="8039"/>
    <cellStyle name="Input 18 2 7" xfId="8040"/>
    <cellStyle name="Input 18 2 7 2" xfId="8041"/>
    <cellStyle name="Input 18 2 8" xfId="8042"/>
    <cellStyle name="Input 18 2 8 2" xfId="8043"/>
    <cellStyle name="Input 18 2 9" xfId="8044"/>
    <cellStyle name="Input 18 3" xfId="8045"/>
    <cellStyle name="Input 18 3 2" xfId="8046"/>
    <cellStyle name="Input 18 4" xfId="8047"/>
    <cellStyle name="Input 18 4 2" xfId="8048"/>
    <cellStyle name="Input 18 5" xfId="8049"/>
    <cellStyle name="Input 18 5 2" xfId="8050"/>
    <cellStyle name="Input 18 6" xfId="8051"/>
    <cellStyle name="Input 18 6 2" xfId="8052"/>
    <cellStyle name="Input 18 7" xfId="8053"/>
    <cellStyle name="Input 18 7 2" xfId="8054"/>
    <cellStyle name="Input 18 8" xfId="8055"/>
    <cellStyle name="Input 18 8 2" xfId="8056"/>
    <cellStyle name="Input 18 9" xfId="8057"/>
    <cellStyle name="Input 18 9 2" xfId="8058"/>
    <cellStyle name="Input 19" xfId="1653"/>
    <cellStyle name="Input 19 10" xfId="8059"/>
    <cellStyle name="Input 19 2" xfId="8060"/>
    <cellStyle name="Input 19 2 2" xfId="8061"/>
    <cellStyle name="Input 19 2 2 2" xfId="8062"/>
    <cellStyle name="Input 19 2 3" xfId="8063"/>
    <cellStyle name="Input 19 2 3 2" xfId="8064"/>
    <cellStyle name="Input 19 2 4" xfId="8065"/>
    <cellStyle name="Input 19 2 4 2" xfId="8066"/>
    <cellStyle name="Input 19 2 5" xfId="8067"/>
    <cellStyle name="Input 19 2 5 2" xfId="8068"/>
    <cellStyle name="Input 19 2 6" xfId="8069"/>
    <cellStyle name="Input 19 2 6 2" xfId="8070"/>
    <cellStyle name="Input 19 2 7" xfId="8071"/>
    <cellStyle name="Input 19 2 7 2" xfId="8072"/>
    <cellStyle name="Input 19 2 8" xfId="8073"/>
    <cellStyle name="Input 19 2 8 2" xfId="8074"/>
    <cellStyle name="Input 19 2 9" xfId="8075"/>
    <cellStyle name="Input 19 3" xfId="8076"/>
    <cellStyle name="Input 19 3 2" xfId="8077"/>
    <cellStyle name="Input 19 4" xfId="8078"/>
    <cellStyle name="Input 19 4 2" xfId="8079"/>
    <cellStyle name="Input 19 5" xfId="8080"/>
    <cellStyle name="Input 19 5 2" xfId="8081"/>
    <cellStyle name="Input 19 6" xfId="8082"/>
    <cellStyle name="Input 19 6 2" xfId="8083"/>
    <cellStyle name="Input 19 7" xfId="8084"/>
    <cellStyle name="Input 19 7 2" xfId="8085"/>
    <cellStyle name="Input 19 8" xfId="8086"/>
    <cellStyle name="Input 19 8 2" xfId="8087"/>
    <cellStyle name="Input 19 9" xfId="8088"/>
    <cellStyle name="Input 19 9 2" xfId="8089"/>
    <cellStyle name="Input 2" xfId="1654"/>
    <cellStyle name="Input 2 10" xfId="8090"/>
    <cellStyle name="Input 2 2" xfId="1655"/>
    <cellStyle name="Input 2 2 10" xfId="8091"/>
    <cellStyle name="Input 2 2 11" xfId="8092"/>
    <cellStyle name="Input 2 2 2" xfId="1656"/>
    <cellStyle name="Input 2 2 2 2" xfId="1657"/>
    <cellStyle name="Input 2 2 2 3" xfId="1658"/>
    <cellStyle name="Input 2 2 2 4" xfId="1659"/>
    <cellStyle name="Input 2 2 2 5" xfId="1660"/>
    <cellStyle name="Input 2 2 3" xfId="1661"/>
    <cellStyle name="Input 2 2 3 2" xfId="8093"/>
    <cellStyle name="Input 2 2 4" xfId="1662"/>
    <cellStyle name="Input 2 2 4 2" xfId="8094"/>
    <cellStyle name="Input 2 2 5" xfId="1663"/>
    <cellStyle name="Input 2 2 5 2" xfId="8095"/>
    <cellStyle name="Input 2 2 6" xfId="8096"/>
    <cellStyle name="Input 2 2 6 2" xfId="8097"/>
    <cellStyle name="Input 2 2 7" xfId="8098"/>
    <cellStyle name="Input 2 2 7 2" xfId="8099"/>
    <cellStyle name="Input 2 2 8" xfId="8100"/>
    <cellStyle name="Input 2 2 8 2" xfId="8101"/>
    <cellStyle name="Input 2 2 9" xfId="8102"/>
    <cellStyle name="Input 2 3" xfId="1664"/>
    <cellStyle name="Input 2 3 2" xfId="8103"/>
    <cellStyle name="Input 2 4" xfId="1665"/>
    <cellStyle name="Input 2 4 2" xfId="8104"/>
    <cellStyle name="Input 2 5" xfId="1666"/>
    <cellStyle name="Input 2 5 2" xfId="8105"/>
    <cellStyle name="Input 2 6" xfId="1667"/>
    <cellStyle name="Input 2 6 2" xfId="8106"/>
    <cellStyle name="Input 2 7" xfId="1668"/>
    <cellStyle name="Input 2 7 2" xfId="8107"/>
    <cellStyle name="Input 2 8" xfId="1669"/>
    <cellStyle name="Input 2 8 2" xfId="8108"/>
    <cellStyle name="Input 2 9" xfId="1670"/>
    <cellStyle name="Input 20" xfId="1671"/>
    <cellStyle name="Input 20 10" xfId="8109"/>
    <cellStyle name="Input 20 2" xfId="8110"/>
    <cellStyle name="Input 20 2 2" xfId="8111"/>
    <cellStyle name="Input 20 2 2 2" xfId="8112"/>
    <cellStyle name="Input 20 2 3" xfId="8113"/>
    <cellStyle name="Input 20 2 3 2" xfId="8114"/>
    <cellStyle name="Input 20 2 4" xfId="8115"/>
    <cellStyle name="Input 20 2 4 2" xfId="8116"/>
    <cellStyle name="Input 20 2 5" xfId="8117"/>
    <cellStyle name="Input 20 2 5 2" xfId="8118"/>
    <cellStyle name="Input 20 2 6" xfId="8119"/>
    <cellStyle name="Input 20 2 6 2" xfId="8120"/>
    <cellStyle name="Input 20 2 7" xfId="8121"/>
    <cellStyle name="Input 20 2 7 2" xfId="8122"/>
    <cellStyle name="Input 20 2 8" xfId="8123"/>
    <cellStyle name="Input 20 2 8 2" xfId="8124"/>
    <cellStyle name="Input 20 2 9" xfId="8125"/>
    <cellStyle name="Input 20 3" xfId="8126"/>
    <cellStyle name="Input 20 3 2" xfId="8127"/>
    <cellStyle name="Input 20 4" xfId="8128"/>
    <cellStyle name="Input 20 4 2" xfId="8129"/>
    <cellStyle name="Input 20 5" xfId="8130"/>
    <cellStyle name="Input 20 5 2" xfId="8131"/>
    <cellStyle name="Input 20 6" xfId="8132"/>
    <cellStyle name="Input 20 6 2" xfId="8133"/>
    <cellStyle name="Input 20 7" xfId="8134"/>
    <cellStyle name="Input 20 7 2" xfId="8135"/>
    <cellStyle name="Input 20 8" xfId="8136"/>
    <cellStyle name="Input 20 8 2" xfId="8137"/>
    <cellStyle name="Input 20 9" xfId="8138"/>
    <cellStyle name="Input 20 9 2" xfId="8139"/>
    <cellStyle name="Input 21" xfId="1672"/>
    <cellStyle name="Input 21 10" xfId="8140"/>
    <cellStyle name="Input 21 2" xfId="8141"/>
    <cellStyle name="Input 21 2 2" xfId="8142"/>
    <cellStyle name="Input 21 2 2 2" xfId="8143"/>
    <cellStyle name="Input 21 2 3" xfId="8144"/>
    <cellStyle name="Input 21 2 3 2" xfId="8145"/>
    <cellStyle name="Input 21 2 4" xfId="8146"/>
    <cellStyle name="Input 21 2 4 2" xfId="8147"/>
    <cellStyle name="Input 21 2 5" xfId="8148"/>
    <cellStyle name="Input 21 2 5 2" xfId="8149"/>
    <cellStyle name="Input 21 2 6" xfId="8150"/>
    <cellStyle name="Input 21 2 6 2" xfId="8151"/>
    <cellStyle name="Input 21 2 7" xfId="8152"/>
    <cellStyle name="Input 21 2 7 2" xfId="8153"/>
    <cellStyle name="Input 21 2 8" xfId="8154"/>
    <cellStyle name="Input 21 2 8 2" xfId="8155"/>
    <cellStyle name="Input 21 2 9" xfId="8156"/>
    <cellStyle name="Input 21 3" xfId="8157"/>
    <cellStyle name="Input 21 3 2" xfId="8158"/>
    <cellStyle name="Input 21 4" xfId="8159"/>
    <cellStyle name="Input 21 4 2" xfId="8160"/>
    <cellStyle name="Input 21 5" xfId="8161"/>
    <cellStyle name="Input 21 5 2" xfId="8162"/>
    <cellStyle name="Input 21 6" xfId="8163"/>
    <cellStyle name="Input 21 6 2" xfId="8164"/>
    <cellStyle name="Input 21 7" xfId="8165"/>
    <cellStyle name="Input 21 7 2" xfId="8166"/>
    <cellStyle name="Input 21 8" xfId="8167"/>
    <cellStyle name="Input 21 8 2" xfId="8168"/>
    <cellStyle name="Input 21 9" xfId="8169"/>
    <cellStyle name="Input 21 9 2" xfId="8170"/>
    <cellStyle name="Input 22" xfId="1673"/>
    <cellStyle name="Input 22 2" xfId="8171"/>
    <cellStyle name="Input 22 2 2" xfId="8172"/>
    <cellStyle name="Input 22 3" xfId="8173"/>
    <cellStyle name="Input 22 3 2" xfId="8174"/>
    <cellStyle name="Input 22 4" xfId="8175"/>
    <cellStyle name="Input 22 4 2" xfId="8176"/>
    <cellStyle name="Input 22 5" xfId="8177"/>
    <cellStyle name="Input 22 5 2" xfId="8178"/>
    <cellStyle name="Input 22 6" xfId="8179"/>
    <cellStyle name="Input 22 6 2" xfId="8180"/>
    <cellStyle name="Input 22 7" xfId="8181"/>
    <cellStyle name="Input 22 7 2" xfId="8182"/>
    <cellStyle name="Input 22 8" xfId="8183"/>
    <cellStyle name="Input 22 8 2" xfId="8184"/>
    <cellStyle name="Input 22 9" xfId="8185"/>
    <cellStyle name="Input 3" xfId="1674"/>
    <cellStyle name="Input 3 10" xfId="8186"/>
    <cellStyle name="Input 3 11" xfId="8187"/>
    <cellStyle name="Input 3 2" xfId="8188"/>
    <cellStyle name="Input 3 2 10" xfId="8189"/>
    <cellStyle name="Input 3 2 2" xfId="8190"/>
    <cellStyle name="Input 3 2 2 2" xfId="8191"/>
    <cellStyle name="Input 3 2 3" xfId="8192"/>
    <cellStyle name="Input 3 2 3 2" xfId="8193"/>
    <cellStyle name="Input 3 2 4" xfId="8194"/>
    <cellStyle name="Input 3 2 4 2" xfId="8195"/>
    <cellStyle name="Input 3 2 5" xfId="8196"/>
    <cellStyle name="Input 3 2 5 2" xfId="8197"/>
    <cellStyle name="Input 3 2 6" xfId="8198"/>
    <cellStyle name="Input 3 2 6 2" xfId="8199"/>
    <cellStyle name="Input 3 2 7" xfId="8200"/>
    <cellStyle name="Input 3 2 7 2" xfId="8201"/>
    <cellStyle name="Input 3 2 8" xfId="8202"/>
    <cellStyle name="Input 3 2 8 2" xfId="8203"/>
    <cellStyle name="Input 3 2 9" xfId="8204"/>
    <cellStyle name="Input 3 3" xfId="8205"/>
    <cellStyle name="Input 3 3 2" xfId="8206"/>
    <cellStyle name="Input 3 4" xfId="8207"/>
    <cellStyle name="Input 3 4 2" xfId="8208"/>
    <cellStyle name="Input 3 5" xfId="8209"/>
    <cellStyle name="Input 3 5 2" xfId="8210"/>
    <cellStyle name="Input 3 6" xfId="8211"/>
    <cellStyle name="Input 3 6 2" xfId="8212"/>
    <cellStyle name="Input 3 7" xfId="8213"/>
    <cellStyle name="Input 3 7 2" xfId="8214"/>
    <cellStyle name="Input 3 8" xfId="8215"/>
    <cellStyle name="Input 3 8 2" xfId="8216"/>
    <cellStyle name="Input 3 9" xfId="8217"/>
    <cellStyle name="Input 3 9 2" xfId="8218"/>
    <cellStyle name="Input 4" xfId="1675"/>
    <cellStyle name="Input 4 10" xfId="8219"/>
    <cellStyle name="Input 4 11" xfId="8220"/>
    <cellStyle name="Input 4 12" xfId="8221"/>
    <cellStyle name="Input 4 2" xfId="8222"/>
    <cellStyle name="Input 4 2 2" xfId="8223"/>
    <cellStyle name="Input 4 2 2 2" xfId="8224"/>
    <cellStyle name="Input 4 2 3" xfId="8225"/>
    <cellStyle name="Input 4 2 3 2" xfId="8226"/>
    <cellStyle name="Input 4 2 4" xfId="8227"/>
    <cellStyle name="Input 4 2 4 2" xfId="8228"/>
    <cellStyle name="Input 4 2 5" xfId="8229"/>
    <cellStyle name="Input 4 2 5 2" xfId="8230"/>
    <cellStyle name="Input 4 2 6" xfId="8231"/>
    <cellStyle name="Input 4 2 6 2" xfId="8232"/>
    <cellStyle name="Input 4 2 7" xfId="8233"/>
    <cellStyle name="Input 4 2 7 2" xfId="8234"/>
    <cellStyle name="Input 4 2 8" xfId="8235"/>
    <cellStyle name="Input 4 2 8 2" xfId="8236"/>
    <cellStyle name="Input 4 2 9" xfId="8237"/>
    <cellStyle name="Input 4 3" xfId="8238"/>
    <cellStyle name="Input 4 3 2" xfId="8239"/>
    <cellStyle name="Input 4 4" xfId="8240"/>
    <cellStyle name="Input 4 4 2" xfId="8241"/>
    <cellStyle name="Input 4 5" xfId="8242"/>
    <cellStyle name="Input 4 5 2" xfId="8243"/>
    <cellStyle name="Input 4 6" xfId="8244"/>
    <cellStyle name="Input 4 6 2" xfId="8245"/>
    <cellStyle name="Input 4 7" xfId="8246"/>
    <cellStyle name="Input 4 7 2" xfId="8247"/>
    <cellStyle name="Input 4 8" xfId="8248"/>
    <cellStyle name="Input 4 8 2" xfId="8249"/>
    <cellStyle name="Input 4 9" xfId="8250"/>
    <cellStyle name="Input 4 9 2" xfId="8251"/>
    <cellStyle name="Input 5" xfId="1676"/>
    <cellStyle name="Input 5 10" xfId="8252"/>
    <cellStyle name="Input 5 11" xfId="8253"/>
    <cellStyle name="Input 5 12" xfId="8254"/>
    <cellStyle name="Input 5 2" xfId="8255"/>
    <cellStyle name="Input 5 2 2" xfId="8256"/>
    <cellStyle name="Input 5 2 2 2" xfId="8257"/>
    <cellStyle name="Input 5 2 3" xfId="8258"/>
    <cellStyle name="Input 5 2 3 2" xfId="8259"/>
    <cellStyle name="Input 5 2 4" xfId="8260"/>
    <cellStyle name="Input 5 2 4 2" xfId="8261"/>
    <cellStyle name="Input 5 2 5" xfId="8262"/>
    <cellStyle name="Input 5 2 5 2" xfId="8263"/>
    <cellStyle name="Input 5 2 6" xfId="8264"/>
    <cellStyle name="Input 5 2 6 2" xfId="8265"/>
    <cellStyle name="Input 5 2 7" xfId="8266"/>
    <cellStyle name="Input 5 2 7 2" xfId="8267"/>
    <cellStyle name="Input 5 2 8" xfId="8268"/>
    <cellStyle name="Input 5 2 8 2" xfId="8269"/>
    <cellStyle name="Input 5 2 9" xfId="8270"/>
    <cellStyle name="Input 5 3" xfId="8271"/>
    <cellStyle name="Input 5 3 2" xfId="8272"/>
    <cellStyle name="Input 5 4" xfId="8273"/>
    <cellStyle name="Input 5 4 2" xfId="8274"/>
    <cellStyle name="Input 5 5" xfId="8275"/>
    <cellStyle name="Input 5 5 2" xfId="8276"/>
    <cellStyle name="Input 5 6" xfId="8277"/>
    <cellStyle name="Input 5 6 2" xfId="8278"/>
    <cellStyle name="Input 5 7" xfId="8279"/>
    <cellStyle name="Input 5 7 2" xfId="8280"/>
    <cellStyle name="Input 5 8" xfId="8281"/>
    <cellStyle name="Input 5 8 2" xfId="8282"/>
    <cellStyle name="Input 5 9" xfId="8283"/>
    <cellStyle name="Input 5 9 2" xfId="8284"/>
    <cellStyle name="Input 6" xfId="1677"/>
    <cellStyle name="Input 6 10" xfId="8285"/>
    <cellStyle name="Input 6 11" xfId="8286"/>
    <cellStyle name="Input 6 12" xfId="8287"/>
    <cellStyle name="Input 6 2" xfId="8288"/>
    <cellStyle name="Input 6 2 2" xfId="8289"/>
    <cellStyle name="Input 6 2 2 2" xfId="8290"/>
    <cellStyle name="Input 6 2 3" xfId="8291"/>
    <cellStyle name="Input 6 2 3 2" xfId="8292"/>
    <cellStyle name="Input 6 2 4" xfId="8293"/>
    <cellStyle name="Input 6 2 4 2" xfId="8294"/>
    <cellStyle name="Input 6 2 5" xfId="8295"/>
    <cellStyle name="Input 6 2 5 2" xfId="8296"/>
    <cellStyle name="Input 6 2 6" xfId="8297"/>
    <cellStyle name="Input 6 2 6 2" xfId="8298"/>
    <cellStyle name="Input 6 2 7" xfId="8299"/>
    <cellStyle name="Input 6 2 7 2" xfId="8300"/>
    <cellStyle name="Input 6 2 8" xfId="8301"/>
    <cellStyle name="Input 6 2 8 2" xfId="8302"/>
    <cellStyle name="Input 6 2 9" xfId="8303"/>
    <cellStyle name="Input 6 3" xfId="8304"/>
    <cellStyle name="Input 6 3 2" xfId="8305"/>
    <cellStyle name="Input 6 4" xfId="8306"/>
    <cellStyle name="Input 6 4 2" xfId="8307"/>
    <cellStyle name="Input 6 5" xfId="8308"/>
    <cellStyle name="Input 6 5 2" xfId="8309"/>
    <cellStyle name="Input 6 6" xfId="8310"/>
    <cellStyle name="Input 6 6 2" xfId="8311"/>
    <cellStyle name="Input 6 7" xfId="8312"/>
    <cellStyle name="Input 6 7 2" xfId="8313"/>
    <cellStyle name="Input 6 8" xfId="8314"/>
    <cellStyle name="Input 6 8 2" xfId="8315"/>
    <cellStyle name="Input 6 9" xfId="8316"/>
    <cellStyle name="Input 6 9 2" xfId="8317"/>
    <cellStyle name="Input 7" xfId="1678"/>
    <cellStyle name="Input 7 10" xfId="8318"/>
    <cellStyle name="Input 7 11" xfId="8319"/>
    <cellStyle name="Input 7 12" xfId="8320"/>
    <cellStyle name="Input 7 2" xfId="8321"/>
    <cellStyle name="Input 7 2 2" xfId="8322"/>
    <cellStyle name="Input 7 2 2 2" xfId="8323"/>
    <cellStyle name="Input 7 2 3" xfId="8324"/>
    <cellStyle name="Input 7 2 3 2" xfId="8325"/>
    <cellStyle name="Input 7 2 4" xfId="8326"/>
    <cellStyle name="Input 7 2 4 2" xfId="8327"/>
    <cellStyle name="Input 7 2 5" xfId="8328"/>
    <cellStyle name="Input 7 2 5 2" xfId="8329"/>
    <cellStyle name="Input 7 2 6" xfId="8330"/>
    <cellStyle name="Input 7 2 6 2" xfId="8331"/>
    <cellStyle name="Input 7 2 7" xfId="8332"/>
    <cellStyle name="Input 7 2 7 2" xfId="8333"/>
    <cellStyle name="Input 7 2 8" xfId="8334"/>
    <cellStyle name="Input 7 2 8 2" xfId="8335"/>
    <cellStyle name="Input 7 2 9" xfId="8336"/>
    <cellStyle name="Input 7 3" xfId="8337"/>
    <cellStyle name="Input 7 3 2" xfId="8338"/>
    <cellStyle name="Input 7 4" xfId="8339"/>
    <cellStyle name="Input 7 4 2" xfId="8340"/>
    <cellStyle name="Input 7 5" xfId="8341"/>
    <cellStyle name="Input 7 5 2" xfId="8342"/>
    <cellStyle name="Input 7 6" xfId="8343"/>
    <cellStyle name="Input 7 6 2" xfId="8344"/>
    <cellStyle name="Input 7 7" xfId="8345"/>
    <cellStyle name="Input 7 7 2" xfId="8346"/>
    <cellStyle name="Input 7 8" xfId="8347"/>
    <cellStyle name="Input 7 8 2" xfId="8348"/>
    <cellStyle name="Input 7 9" xfId="8349"/>
    <cellStyle name="Input 7 9 2" xfId="8350"/>
    <cellStyle name="Input 8" xfId="1679"/>
    <cellStyle name="Input 8 10" xfId="8351"/>
    <cellStyle name="Input 8 11" xfId="8352"/>
    <cellStyle name="Input 8 12" xfId="8353"/>
    <cellStyle name="Input 8 2" xfId="8354"/>
    <cellStyle name="Input 8 2 2" xfId="8355"/>
    <cellStyle name="Input 8 2 2 2" xfId="8356"/>
    <cellStyle name="Input 8 2 3" xfId="8357"/>
    <cellStyle name="Input 8 2 3 2" xfId="8358"/>
    <cellStyle name="Input 8 2 4" xfId="8359"/>
    <cellStyle name="Input 8 2 4 2" xfId="8360"/>
    <cellStyle name="Input 8 2 5" xfId="8361"/>
    <cellStyle name="Input 8 2 5 2" xfId="8362"/>
    <cellStyle name="Input 8 2 6" xfId="8363"/>
    <cellStyle name="Input 8 2 6 2" xfId="8364"/>
    <cellStyle name="Input 8 2 7" xfId="8365"/>
    <cellStyle name="Input 8 2 7 2" xfId="8366"/>
    <cellStyle name="Input 8 2 8" xfId="8367"/>
    <cellStyle name="Input 8 2 8 2" xfId="8368"/>
    <cellStyle name="Input 8 2 9" xfId="8369"/>
    <cellStyle name="Input 8 3" xfId="8370"/>
    <cellStyle name="Input 8 3 2" xfId="8371"/>
    <cellStyle name="Input 8 4" xfId="8372"/>
    <cellStyle name="Input 8 4 2" xfId="8373"/>
    <cellStyle name="Input 8 5" xfId="8374"/>
    <cellStyle name="Input 8 5 2" xfId="8375"/>
    <cellStyle name="Input 8 6" xfId="8376"/>
    <cellStyle name="Input 8 6 2" xfId="8377"/>
    <cellStyle name="Input 8 7" xfId="8378"/>
    <cellStyle name="Input 8 7 2" xfId="8379"/>
    <cellStyle name="Input 8 8" xfId="8380"/>
    <cellStyle name="Input 8 8 2" xfId="8381"/>
    <cellStyle name="Input 8 9" xfId="8382"/>
    <cellStyle name="Input 8 9 2" xfId="8383"/>
    <cellStyle name="Input 9" xfId="1680"/>
    <cellStyle name="Input 9 10" xfId="8384"/>
    <cellStyle name="Input 9 11" xfId="8385"/>
    <cellStyle name="Input 9 12" xfId="8386"/>
    <cellStyle name="Input 9 2" xfId="8387"/>
    <cellStyle name="Input 9 2 2" xfId="8388"/>
    <cellStyle name="Input 9 2 2 2" xfId="8389"/>
    <cellStyle name="Input 9 2 3" xfId="8390"/>
    <cellStyle name="Input 9 2 3 2" xfId="8391"/>
    <cellStyle name="Input 9 2 4" xfId="8392"/>
    <cellStyle name="Input 9 2 4 2" xfId="8393"/>
    <cellStyle name="Input 9 2 5" xfId="8394"/>
    <cellStyle name="Input 9 2 5 2" xfId="8395"/>
    <cellStyle name="Input 9 2 6" xfId="8396"/>
    <cellStyle name="Input 9 2 6 2" xfId="8397"/>
    <cellStyle name="Input 9 2 7" xfId="8398"/>
    <cellStyle name="Input 9 2 7 2" xfId="8399"/>
    <cellStyle name="Input 9 2 8" xfId="8400"/>
    <cellStyle name="Input 9 2 8 2" xfId="8401"/>
    <cellStyle name="Input 9 2 9" xfId="8402"/>
    <cellStyle name="Input 9 3" xfId="8403"/>
    <cellStyle name="Input 9 3 2" xfId="8404"/>
    <cellStyle name="Input 9 4" xfId="8405"/>
    <cellStyle name="Input 9 4 2" xfId="8406"/>
    <cellStyle name="Input 9 5" xfId="8407"/>
    <cellStyle name="Input 9 5 2" xfId="8408"/>
    <cellStyle name="Input 9 6" xfId="8409"/>
    <cellStyle name="Input 9 6 2" xfId="8410"/>
    <cellStyle name="Input 9 7" xfId="8411"/>
    <cellStyle name="Input 9 7 2" xfId="8412"/>
    <cellStyle name="Input 9 8" xfId="8413"/>
    <cellStyle name="Input 9 8 2" xfId="8414"/>
    <cellStyle name="Input 9 9" xfId="8415"/>
    <cellStyle name="Input 9 9 2" xfId="8416"/>
    <cellStyle name="Labels - Style3" xfId="8417"/>
    <cellStyle name="LineItemPrompt" xfId="8418"/>
    <cellStyle name="LineItemPrompt 2" xfId="8419"/>
    <cellStyle name="LineItemPrompt 2 2" xfId="8420"/>
    <cellStyle name="LineItemPrompt 2 3" xfId="8421"/>
    <cellStyle name="LineItemPrompt 3" xfId="8422"/>
    <cellStyle name="LineItemValue" xfId="8423"/>
    <cellStyle name="LineItemValue 2" xfId="8424"/>
    <cellStyle name="LineItemValue 2 2" xfId="8425"/>
    <cellStyle name="LineItemValue 2 3" xfId="8426"/>
    <cellStyle name="LineItemValue 3" xfId="8427"/>
    <cellStyle name="LineItemValue 4" xfId="8428"/>
    <cellStyle name="Linked Cell 10" xfId="1681"/>
    <cellStyle name="Linked Cell 11" xfId="1682"/>
    <cellStyle name="Linked Cell 12" xfId="1683"/>
    <cellStyle name="Linked Cell 13" xfId="1684"/>
    <cellStyle name="Linked Cell 14" xfId="1685"/>
    <cellStyle name="Linked Cell 15" xfId="1686"/>
    <cellStyle name="Linked Cell 16" xfId="1687"/>
    <cellStyle name="Linked Cell 17" xfId="1688"/>
    <cellStyle name="Linked Cell 17 2" xfId="8429"/>
    <cellStyle name="Linked Cell 18" xfId="1689"/>
    <cellStyle name="Linked Cell 19" xfId="1690"/>
    <cellStyle name="Linked Cell 2" xfId="1691"/>
    <cellStyle name="Linked Cell 2 2" xfId="1692"/>
    <cellStyle name="Linked Cell 2 2 2" xfId="1693"/>
    <cellStyle name="Linked Cell 2 2 2 2" xfId="1694"/>
    <cellStyle name="Linked Cell 2 2 2 3" xfId="1695"/>
    <cellStyle name="Linked Cell 2 2 2 4" xfId="1696"/>
    <cellStyle name="Linked Cell 2 2 2 5" xfId="1697"/>
    <cellStyle name="Linked Cell 2 2 3" xfId="1698"/>
    <cellStyle name="Linked Cell 2 2 4" xfId="1699"/>
    <cellStyle name="Linked Cell 2 2 5" xfId="1700"/>
    <cellStyle name="Linked Cell 2 3" xfId="1701"/>
    <cellStyle name="Linked Cell 2 4" xfId="1702"/>
    <cellStyle name="Linked Cell 2 5" xfId="1703"/>
    <cellStyle name="Linked Cell 2 6" xfId="1704"/>
    <cellStyle name="Linked Cell 2 7" xfId="1705"/>
    <cellStyle name="Linked Cell 2 8" xfId="1706"/>
    <cellStyle name="Linked Cell 2 9" xfId="1707"/>
    <cellStyle name="Linked Cell 20" xfId="1708"/>
    <cellStyle name="Linked Cell 21" xfId="1709"/>
    <cellStyle name="Linked Cell 22" xfId="1710"/>
    <cellStyle name="Linked Cell 3" xfId="1711"/>
    <cellStyle name="Linked Cell 3 2" xfId="8430"/>
    <cellStyle name="Linked Cell 4" xfId="1712"/>
    <cellStyle name="Linked Cell 5" xfId="1713"/>
    <cellStyle name="Linked Cell 6" xfId="1714"/>
    <cellStyle name="Linked Cell 7" xfId="1715"/>
    <cellStyle name="Linked Cell 8" xfId="1716"/>
    <cellStyle name="Linked Cell 9" xfId="1717"/>
    <cellStyle name="Milliers [0]_EDYAN" xfId="8431"/>
    <cellStyle name="Milliers_EDYAN" xfId="8432"/>
    <cellStyle name="Monétaire [0]_EDYAN" xfId="8433"/>
    <cellStyle name="Monétaire_EDYAN" xfId="8434"/>
    <cellStyle name="Neutral 10" xfId="1718"/>
    <cellStyle name="Neutral 11" xfId="1719"/>
    <cellStyle name="Neutral 12" xfId="1720"/>
    <cellStyle name="Neutral 13" xfId="1721"/>
    <cellStyle name="Neutral 14" xfId="1722"/>
    <cellStyle name="Neutral 15" xfId="1723"/>
    <cellStyle name="Neutral 16" xfId="1724"/>
    <cellStyle name="Neutral 17" xfId="1725"/>
    <cellStyle name="Neutral 17 2" xfId="8435"/>
    <cellStyle name="Neutral 18" xfId="1726"/>
    <cellStyle name="Neutral 19" xfId="1727"/>
    <cellStyle name="Neutral 2" xfId="1728"/>
    <cellStyle name="Neutral 2 2" xfId="1729"/>
    <cellStyle name="Neutral 2 2 2" xfId="1730"/>
    <cellStyle name="Neutral 2 2 2 2" xfId="1731"/>
    <cellStyle name="Neutral 2 2 2 3" xfId="1732"/>
    <cellStyle name="Neutral 2 2 2 4" xfId="1733"/>
    <cellStyle name="Neutral 2 2 2 5" xfId="1734"/>
    <cellStyle name="Neutral 2 2 3" xfId="1735"/>
    <cellStyle name="Neutral 2 2 4" xfId="1736"/>
    <cellStyle name="Neutral 2 2 5" xfId="1737"/>
    <cellStyle name="Neutral 2 3" xfId="1738"/>
    <cellStyle name="Neutral 2 4" xfId="1739"/>
    <cellStyle name="Neutral 2 5" xfId="1740"/>
    <cellStyle name="Neutral 2 6" xfId="1741"/>
    <cellStyle name="Neutral 2 7" xfId="1742"/>
    <cellStyle name="Neutral 2 8" xfId="1743"/>
    <cellStyle name="Neutral 2 9" xfId="1744"/>
    <cellStyle name="Neutral 20" xfId="1745"/>
    <cellStyle name="Neutral 21" xfId="1746"/>
    <cellStyle name="Neutral 22" xfId="1747"/>
    <cellStyle name="Neutral 3" xfId="1748"/>
    <cellStyle name="Neutral 3 2" xfId="8436"/>
    <cellStyle name="Neutral 4" xfId="1749"/>
    <cellStyle name="Neutral 5" xfId="1750"/>
    <cellStyle name="Neutral 6" xfId="1751"/>
    <cellStyle name="Neutral 7" xfId="1752"/>
    <cellStyle name="Neutral 8" xfId="1753"/>
    <cellStyle name="Neutral 9" xfId="1754"/>
    <cellStyle name="Normal" xfId="0" builtinId="0" customBuiltin="1"/>
    <cellStyle name="Normal - Style1" xfId="8437"/>
    <cellStyle name="Normal - Style1 2" xfId="8438"/>
    <cellStyle name="Normal - Style2" xfId="8439"/>
    <cellStyle name="Normal - Style3" xfId="8440"/>
    <cellStyle name="Normal - Style4" xfId="8441"/>
    <cellStyle name="Normal - Style5" xfId="8442"/>
    <cellStyle name="Normal - Style6" xfId="8443"/>
    <cellStyle name="Normal - Style7" xfId="8444"/>
    <cellStyle name="Normal - Style8" xfId="8445"/>
    <cellStyle name="Normal 10" xfId="1755"/>
    <cellStyle name="Normal 10 2" xfId="2106"/>
    <cellStyle name="Normal 10 2 2" xfId="8446"/>
    <cellStyle name="Normal 10 3" xfId="8447"/>
    <cellStyle name="Normal 11" xfId="1756"/>
    <cellStyle name="Normal 11 2" xfId="1757"/>
    <cellStyle name="Normal 11 2 2" xfId="8448"/>
    <cellStyle name="Normal 11 3" xfId="1758"/>
    <cellStyle name="Normal 11 4" xfId="1759"/>
    <cellStyle name="Normal 11 5" xfId="1760"/>
    <cellStyle name="Normal 12" xfId="1761"/>
    <cellStyle name="Normal 12 2" xfId="8449"/>
    <cellStyle name="Normal 12 2 2" xfId="8450"/>
    <cellStyle name="Normal 12 2 2 2" xfId="8451"/>
    <cellStyle name="Normal 12 2 2 2 2" xfId="8452"/>
    <cellStyle name="Normal 12 2 2 2 2 2" xfId="8453"/>
    <cellStyle name="Normal 12 2 2 2 2 2 2" xfId="8454"/>
    <cellStyle name="Normal 12 2 2 2 2 3" xfId="8455"/>
    <cellStyle name="Normal 12 2 2 2 3" xfId="8456"/>
    <cellStyle name="Normal 12 2 2 2 3 2" xfId="8457"/>
    <cellStyle name="Normal 12 2 2 2 4" xfId="8458"/>
    <cellStyle name="Normal 12 2 2 2 5" xfId="8459"/>
    <cellStyle name="Normal 12 2 2 3" xfId="8460"/>
    <cellStyle name="Normal 12 2 2 3 2" xfId="8461"/>
    <cellStyle name="Normal 12 2 2 3 2 2" xfId="8462"/>
    <cellStyle name="Normal 12 2 2 3 3" xfId="8463"/>
    <cellStyle name="Normal 12 2 2 4" xfId="8464"/>
    <cellStyle name="Normal 12 2 2 4 2" xfId="8465"/>
    <cellStyle name="Normal 12 2 2 5" xfId="8466"/>
    <cellStyle name="Normal 12 2 2 6" xfId="8467"/>
    <cellStyle name="Normal 12 2 3" xfId="8468"/>
    <cellStyle name="Normal 12 2 3 2" xfId="8469"/>
    <cellStyle name="Normal 12 2 3 2 2" xfId="8470"/>
    <cellStyle name="Normal 12 2 3 2 2 2" xfId="8471"/>
    <cellStyle name="Normal 12 2 3 2 3" xfId="8472"/>
    <cellStyle name="Normal 12 2 3 3" xfId="8473"/>
    <cellStyle name="Normal 12 2 3 3 2" xfId="8474"/>
    <cellStyle name="Normal 12 2 3 4" xfId="8475"/>
    <cellStyle name="Normal 12 2 3 5" xfId="8476"/>
    <cellStyle name="Normal 12 2 4" xfId="8477"/>
    <cellStyle name="Normal 12 2 4 2" xfId="8478"/>
    <cellStyle name="Normal 12 2 4 2 2" xfId="8479"/>
    <cellStyle name="Normal 12 2 4 3" xfId="8480"/>
    <cellStyle name="Normal 12 2 5" xfId="8481"/>
    <cellStyle name="Normal 12 2 5 2" xfId="8482"/>
    <cellStyle name="Normal 12 2 6" xfId="8483"/>
    <cellStyle name="Normal 12 2 7" xfId="8484"/>
    <cellStyle name="Normal 12 3" xfId="8485"/>
    <cellStyle name="Normal 12 3 2" xfId="8486"/>
    <cellStyle name="Normal 12 3 2 2" xfId="8487"/>
    <cellStyle name="Normal 12 3 2 2 2" xfId="8488"/>
    <cellStyle name="Normal 12 3 2 2 2 2" xfId="8489"/>
    <cellStyle name="Normal 12 3 2 2 3" xfId="8490"/>
    <cellStyle name="Normal 12 3 2 3" xfId="8491"/>
    <cellStyle name="Normal 12 3 2 3 2" xfId="8492"/>
    <cellStyle name="Normal 12 3 2 4" xfId="8493"/>
    <cellStyle name="Normal 12 3 3" xfId="8494"/>
    <cellStyle name="Normal 12 3 3 2" xfId="8495"/>
    <cellStyle name="Normal 12 3 3 2 2" xfId="8496"/>
    <cellStyle name="Normal 12 3 3 3" xfId="8497"/>
    <cellStyle name="Normal 12 3 4" xfId="8498"/>
    <cellStyle name="Normal 12 3 4 2" xfId="8499"/>
    <cellStyle name="Normal 12 3 5" xfId="8500"/>
    <cellStyle name="Normal 12 3 6" xfId="8501"/>
    <cellStyle name="Normal 12 4" xfId="8502"/>
    <cellStyle name="Normal 12 4 2" xfId="8503"/>
    <cellStyle name="Normal 12 4 2 2" xfId="8504"/>
    <cellStyle name="Normal 12 4 2 2 2" xfId="8505"/>
    <cellStyle name="Normal 12 4 2 3" xfId="8506"/>
    <cellStyle name="Normal 12 4 3" xfId="8507"/>
    <cellStyle name="Normal 12 4 3 2" xfId="8508"/>
    <cellStyle name="Normal 12 4 4" xfId="8509"/>
    <cellStyle name="Normal 12 5" xfId="8510"/>
    <cellStyle name="Normal 12 5 2" xfId="8511"/>
    <cellStyle name="Normal 12 5 2 2" xfId="8512"/>
    <cellStyle name="Normal 12 5 3" xfId="8513"/>
    <cellStyle name="Normal 12 6" xfId="8514"/>
    <cellStyle name="Normal 12 6 2" xfId="8515"/>
    <cellStyle name="Normal 12 7" xfId="8516"/>
    <cellStyle name="Normal 12 8" xfId="8517"/>
    <cellStyle name="Normal 13" xfId="1762"/>
    <cellStyle name="Normal 13 2" xfId="1763"/>
    <cellStyle name="Normal 13 2 2" xfId="8518"/>
    <cellStyle name="Normal 13 2 3" xfId="8519"/>
    <cellStyle name="Normal 13 3" xfId="1764"/>
    <cellStyle name="Normal 13 4" xfId="1765"/>
    <cellStyle name="Normal 13 5" xfId="1766"/>
    <cellStyle name="Normal 14" xfId="1767"/>
    <cellStyle name="Normal 14 2" xfId="8520"/>
    <cellStyle name="Normal 14 2 2" xfId="8521"/>
    <cellStyle name="Normal 14 2 2 2" xfId="8522"/>
    <cellStyle name="Normal 14 2 2 2 2" xfId="8523"/>
    <cellStyle name="Normal 14 2 2 3" xfId="8524"/>
    <cellStyle name="Normal 14 2 2 4" xfId="8525"/>
    <cellStyle name="Normal 14 2 3" xfId="8526"/>
    <cellStyle name="Normal 14 2 3 2" xfId="8527"/>
    <cellStyle name="Normal 14 2 4" xfId="8528"/>
    <cellStyle name="Normal 14 2 4 2" xfId="8529"/>
    <cellStyle name="Normal 14 2 5" xfId="8530"/>
    <cellStyle name="Normal 14 2 6" xfId="8531"/>
    <cellStyle name="Normal 14 2 7" xfId="8532"/>
    <cellStyle name="Normal 14 3" xfId="8533"/>
    <cellStyle name="Normal 14 3 2" xfId="8534"/>
    <cellStyle name="Normal 14 3 2 2" xfId="8535"/>
    <cellStyle name="Normal 14 3 3" xfId="8536"/>
    <cellStyle name="Normal 14 3 4" xfId="8537"/>
    <cellStyle name="Normal 14 4" xfId="8538"/>
    <cellStyle name="Normal 14 4 2" xfId="8539"/>
    <cellStyle name="Normal 14 4 3" xfId="8540"/>
    <cellStyle name="Normal 14 4 4" xfId="8541"/>
    <cellStyle name="Normal 14 5" xfId="8542"/>
    <cellStyle name="Normal 15" xfId="1768"/>
    <cellStyle name="Normal 15 2" xfId="8543"/>
    <cellStyle name="Normal 15 2 10" xfId="8544"/>
    <cellStyle name="Normal 15 2 11" xfId="8545"/>
    <cellStyle name="Normal 15 2 2" xfId="8546"/>
    <cellStyle name="Normal 15 2 2 2" xfId="8547"/>
    <cellStyle name="Normal 15 2 2 2 2" xfId="8548"/>
    <cellStyle name="Normal 15 2 2 2 2 2" xfId="8549"/>
    <cellStyle name="Normal 15 2 2 2 2 3" xfId="8550"/>
    <cellStyle name="Normal 15 2 2 2 3" xfId="8551"/>
    <cellStyle name="Normal 15 2 2 2 3 2" xfId="8552"/>
    <cellStyle name="Normal 15 2 2 2 4" xfId="8553"/>
    <cellStyle name="Normal 15 2 2 2 5" xfId="8554"/>
    <cellStyle name="Normal 15 2 2 2 6" xfId="8555"/>
    <cellStyle name="Normal 15 2 2 3" xfId="8556"/>
    <cellStyle name="Normal 15 2 2 3 2" xfId="8557"/>
    <cellStyle name="Normal 15 2 2 3 3" xfId="8558"/>
    <cellStyle name="Normal 15 2 2 4" xfId="8559"/>
    <cellStyle name="Normal 15 2 2 4 2" xfId="8560"/>
    <cellStyle name="Normal 15 2 2 5" xfId="8561"/>
    <cellStyle name="Normal 15 2 2 6" xfId="8562"/>
    <cellStyle name="Normal 15 2 2 7" xfId="8563"/>
    <cellStyle name="Normal 15 2 3" xfId="8564"/>
    <cellStyle name="Normal 15 2 3 2" xfId="8565"/>
    <cellStyle name="Normal 15 2 3 2 2" xfId="8566"/>
    <cellStyle name="Normal 15 2 3 2 2 2" xfId="8567"/>
    <cellStyle name="Normal 15 2 3 2 3" xfId="8568"/>
    <cellStyle name="Normal 15 2 3 2 4" xfId="8569"/>
    <cellStyle name="Normal 15 2 3 2 5" xfId="8570"/>
    <cellStyle name="Normal 15 2 3 2 6" xfId="8571"/>
    <cellStyle name="Normal 15 2 3 3" xfId="8572"/>
    <cellStyle name="Normal 15 2 3 3 2" xfId="8573"/>
    <cellStyle name="Normal 15 2 3 4" xfId="8574"/>
    <cellStyle name="Normal 15 2 3 5" xfId="8575"/>
    <cellStyle name="Normal 15 2 3 6" xfId="8576"/>
    <cellStyle name="Normal 15 2 3 7" xfId="8577"/>
    <cellStyle name="Normal 15 2 4" xfId="8578"/>
    <cellStyle name="Normal 15 2 4 2" xfId="8579"/>
    <cellStyle name="Normal 15 2 4 2 2" xfId="8580"/>
    <cellStyle name="Normal 15 2 4 3" xfId="8581"/>
    <cellStyle name="Normal 15 2 4 4" xfId="8582"/>
    <cellStyle name="Normal 15 2 4 5" xfId="8583"/>
    <cellStyle name="Normal 15 2 4 6" xfId="8584"/>
    <cellStyle name="Normal 15 2 5" xfId="8585"/>
    <cellStyle name="Normal 15 2 5 2" xfId="8586"/>
    <cellStyle name="Normal 15 2 5 2 2" xfId="8587"/>
    <cellStyle name="Normal 15 2 5 3" xfId="8588"/>
    <cellStyle name="Normal 15 2 5 4" xfId="8589"/>
    <cellStyle name="Normal 15 2 5 5" xfId="8590"/>
    <cellStyle name="Normal 15 2 6" xfId="8591"/>
    <cellStyle name="Normal 15 2 6 2" xfId="8592"/>
    <cellStyle name="Normal 15 2 7" xfId="8593"/>
    <cellStyle name="Normal 15 2 8" xfId="8594"/>
    <cellStyle name="Normal 15 2 9" xfId="8595"/>
    <cellStyle name="Normal 15 3" xfId="8596"/>
    <cellStyle name="Normal 15 3 2" xfId="8597"/>
    <cellStyle name="Normal 15 3 2 2" xfId="8598"/>
    <cellStyle name="Normal 15 3 2 2 2" xfId="8599"/>
    <cellStyle name="Normal 15 3 2 2 3" xfId="8600"/>
    <cellStyle name="Normal 15 3 2 3" xfId="8601"/>
    <cellStyle name="Normal 15 3 2 3 2" xfId="8602"/>
    <cellStyle name="Normal 15 3 2 4" xfId="8603"/>
    <cellStyle name="Normal 15 3 2 5" xfId="8604"/>
    <cellStyle name="Normal 15 3 2 6" xfId="8605"/>
    <cellStyle name="Normal 15 3 3" xfId="8606"/>
    <cellStyle name="Normal 15 3 3 2" xfId="8607"/>
    <cellStyle name="Normal 15 3 3 3" xfId="8608"/>
    <cellStyle name="Normal 15 3 4" xfId="8609"/>
    <cellStyle name="Normal 15 3 4 2" xfId="8610"/>
    <cellStyle name="Normal 15 3 5" xfId="8611"/>
    <cellStyle name="Normal 15 3 6" xfId="8612"/>
    <cellStyle name="Normal 15 3 7" xfId="8613"/>
    <cellStyle name="Normal 15 4" xfId="8614"/>
    <cellStyle name="Normal 15 4 2" xfId="8615"/>
    <cellStyle name="Normal 15 4 2 2" xfId="8616"/>
    <cellStyle name="Normal 15 4 2 2 2" xfId="8617"/>
    <cellStyle name="Normal 15 4 2 3" xfId="8618"/>
    <cellStyle name="Normal 15 4 2 4" xfId="8619"/>
    <cellStyle name="Normal 15 4 2 5" xfId="8620"/>
    <cellStyle name="Normal 15 4 2 6" xfId="8621"/>
    <cellStyle name="Normal 15 4 3" xfId="8622"/>
    <cellStyle name="Normal 15 4 3 2" xfId="8623"/>
    <cellStyle name="Normal 15 4 4" xfId="8624"/>
    <cellStyle name="Normal 15 4 5" xfId="8625"/>
    <cellStyle name="Normal 15 4 6" xfId="8626"/>
    <cellStyle name="Normal 15 4 7" xfId="8627"/>
    <cellStyle name="Normal 15 5" xfId="8628"/>
    <cellStyle name="Normal 15 5 2" xfId="8629"/>
    <cellStyle name="Normal 15 5 2 2" xfId="8630"/>
    <cellStyle name="Normal 15 5 2 3" xfId="8631"/>
    <cellStyle name="Normal 15 5 3" xfId="8632"/>
    <cellStyle name="Normal 15 5 4" xfId="8633"/>
    <cellStyle name="Normal 15 5 5" xfId="8634"/>
    <cellStyle name="Normal 15 6" xfId="8635"/>
    <cellStyle name="Normal 15 6 2" xfId="8636"/>
    <cellStyle name="Normal 15 6 2 2" xfId="8637"/>
    <cellStyle name="Normal 15 6 3" xfId="8638"/>
    <cellStyle name="Normal 15 6 4" xfId="8639"/>
    <cellStyle name="Normal 15 6 5" xfId="8640"/>
    <cellStyle name="Normal 15 7" xfId="8641"/>
    <cellStyle name="Normal 15 7 2" xfId="8642"/>
    <cellStyle name="Normal 15 7 2 2" xfId="8643"/>
    <cellStyle name="Normal 15 7 3" xfId="8644"/>
    <cellStyle name="Normal 15 7 4" xfId="8645"/>
    <cellStyle name="Normal 15 7 5" xfId="8646"/>
    <cellStyle name="Normal 16" xfId="1769"/>
    <cellStyle name="Normal 16 2" xfId="8647"/>
    <cellStyle name="Normal 16 2 2" xfId="8648"/>
    <cellStyle name="Normal 17" xfId="1770"/>
    <cellStyle name="Normal 17 2" xfId="8649"/>
    <cellStyle name="Normal 17 2 2" xfId="8650"/>
    <cellStyle name="Normal 17 2 2 2" xfId="8651"/>
    <cellStyle name="Normal 17 2 2 2 2" xfId="8652"/>
    <cellStyle name="Normal 17 2 2 2 3" xfId="8653"/>
    <cellStyle name="Normal 17 2 2 3" xfId="8654"/>
    <cellStyle name="Normal 17 2 2 3 2" xfId="8655"/>
    <cellStyle name="Normal 17 2 2 4" xfId="8656"/>
    <cellStyle name="Normal 17 2 2 5" xfId="8657"/>
    <cellStyle name="Normal 17 2 2 6" xfId="8658"/>
    <cellStyle name="Normal 17 2 3" xfId="8659"/>
    <cellStyle name="Normal 17 2 3 2" xfId="8660"/>
    <cellStyle name="Normal 17 2 3 3" xfId="8661"/>
    <cellStyle name="Normal 17 2 4" xfId="8662"/>
    <cellStyle name="Normal 17 2 4 2" xfId="8663"/>
    <cellStyle name="Normal 17 2 5" xfId="8664"/>
    <cellStyle name="Normal 17 2 6" xfId="8665"/>
    <cellStyle name="Normal 17 2 7" xfId="8666"/>
    <cellStyle name="Normal 17 2 8" xfId="8667"/>
    <cellStyle name="Normal 17 3" xfId="8668"/>
    <cellStyle name="Normal 17 3 2" xfId="8669"/>
    <cellStyle name="Normal 17 3 2 2" xfId="8670"/>
    <cellStyle name="Normal 17 3 2 2 2" xfId="8671"/>
    <cellStyle name="Normal 17 3 2 3" xfId="8672"/>
    <cellStyle name="Normal 17 3 2 4" xfId="8673"/>
    <cellStyle name="Normal 17 3 2 5" xfId="8674"/>
    <cellStyle name="Normal 17 3 3" xfId="8675"/>
    <cellStyle name="Normal 17 3 3 2" xfId="8676"/>
    <cellStyle name="Normal 17 3 4" xfId="8677"/>
    <cellStyle name="Normal 17 3 5" xfId="8678"/>
    <cellStyle name="Normal 17 3 6" xfId="8679"/>
    <cellStyle name="Normal 17 3 7" xfId="8680"/>
    <cellStyle name="Normal 17 4" xfId="8681"/>
    <cellStyle name="Normal 17 4 2" xfId="8682"/>
    <cellStyle name="Normal 17 4 2 2" xfId="8683"/>
    <cellStyle name="Normal 17 4 3" xfId="8684"/>
    <cellStyle name="Normal 17 4 4" xfId="8685"/>
    <cellStyle name="Normal 17 4 5" xfId="8686"/>
    <cellStyle name="Normal 17 5" xfId="8687"/>
    <cellStyle name="Normal 17 5 2" xfId="8688"/>
    <cellStyle name="Normal 17 5 2 2" xfId="8689"/>
    <cellStyle name="Normal 17 5 3" xfId="8690"/>
    <cellStyle name="Normal 17 5 4" xfId="8691"/>
    <cellStyle name="Normal 17 5 5" xfId="8692"/>
    <cellStyle name="Normal 17 6" xfId="8693"/>
    <cellStyle name="Normal 17 6 2" xfId="8694"/>
    <cellStyle name="Normal 17 6 2 2" xfId="8695"/>
    <cellStyle name="Normal 17 6 3" xfId="8696"/>
    <cellStyle name="Normal 17 6 4" xfId="8697"/>
    <cellStyle name="Normal 17 6 5" xfId="8698"/>
    <cellStyle name="Normal 17 7" xfId="8699"/>
    <cellStyle name="Normal 18" xfId="1771"/>
    <cellStyle name="Normal 18 2" xfId="8700"/>
    <cellStyle name="Normal 18 2 2" xfId="8701"/>
    <cellStyle name="Normal 18 2 2 2" xfId="8702"/>
    <cellStyle name="Normal 18 2 2 3" xfId="8703"/>
    <cellStyle name="Normal 18 2 3" xfId="8704"/>
    <cellStyle name="Normal 18 2 4" xfId="8705"/>
    <cellStyle name="Normal 18 2 5" xfId="8706"/>
    <cellStyle name="Normal 18 2 6" xfId="8707"/>
    <cellStyle name="Normal 18 2 7" xfId="8708"/>
    <cellStyle name="Normal 18 3" xfId="8709"/>
    <cellStyle name="Normal 18 3 2" xfId="8710"/>
    <cellStyle name="Normal 18 3 2 2" xfId="8711"/>
    <cellStyle name="Normal 18 3 3" xfId="8712"/>
    <cellStyle name="Normal 18 3 4" xfId="8713"/>
    <cellStyle name="Normal 18 3 5" xfId="8714"/>
    <cellStyle name="Normal 18 3 6" xfId="8715"/>
    <cellStyle name="Normal 18 4" xfId="8716"/>
    <cellStyle name="Normal 19" xfId="1772"/>
    <cellStyle name="Normal 19 2" xfId="8717"/>
    <cellStyle name="Normal 19 2 2" xfId="8718"/>
    <cellStyle name="Normal 19 3" xfId="2110"/>
    <cellStyle name="Normal 2" xfId="5"/>
    <cellStyle name="Normal 2 10" xfId="1773"/>
    <cellStyle name="Normal 2 10 2" xfId="8719"/>
    <cellStyle name="Normal 2 10 2 2" xfId="8720"/>
    <cellStyle name="Normal 2 10 3" xfId="8721"/>
    <cellStyle name="Normal 2 11" xfId="1774"/>
    <cellStyle name="Normal 2 11 2" xfId="8722"/>
    <cellStyle name="Normal 2 11 2 2" xfId="8723"/>
    <cellStyle name="Normal 2 11 3" xfId="8724"/>
    <cellStyle name="Normal 2 12" xfId="1775"/>
    <cellStyle name="Normal 2 12 2" xfId="8725"/>
    <cellStyle name="Normal 2 13" xfId="1776"/>
    <cellStyle name="Normal 2 14" xfId="1777"/>
    <cellStyle name="Normal 2 15" xfId="1778"/>
    <cellStyle name="Normal 2 16" xfId="1779"/>
    <cellStyle name="Normal 2 17" xfId="1780"/>
    <cellStyle name="Normal 2 18" xfId="1781"/>
    <cellStyle name="Normal 2 18 2" xfId="8726"/>
    <cellStyle name="Normal 2 18 2 2" xfId="8727"/>
    <cellStyle name="Normal 2 18 3" xfId="8728"/>
    <cellStyle name="Normal 2 18 4" xfId="8729"/>
    <cellStyle name="Normal 2 19" xfId="1782"/>
    <cellStyle name="Normal 2 19 2" xfId="1783"/>
    <cellStyle name="Normal 2 19 3" xfId="1784"/>
    <cellStyle name="Normal 2 19 4" xfId="1785"/>
    <cellStyle name="Normal 2 19 5" xfId="1786"/>
    <cellStyle name="Normal 2 2" xfId="6"/>
    <cellStyle name="Normal 2 2 2" xfId="1787"/>
    <cellStyle name="Normal 2 2 2 2" xfId="8730"/>
    <cellStyle name="Normal 2 2 2 2 2" xfId="8731"/>
    <cellStyle name="Normal 2 2 2 3" xfId="8732"/>
    <cellStyle name="Normal 2 2 2 3 2" xfId="8733"/>
    <cellStyle name="Normal 2 2 2 4" xfId="8734"/>
    <cellStyle name="Normal 2 2 2 4 2" xfId="8735"/>
    <cellStyle name="Normal 2 2 2 5" xfId="8736"/>
    <cellStyle name="Normal 2 2 3" xfId="8737"/>
    <cellStyle name="Normal 2 2 3 2" xfId="8738"/>
    <cellStyle name="Normal 2 2 3 3" xfId="8739"/>
    <cellStyle name="Normal 2 2 4" xfId="8740"/>
    <cellStyle name="Normal 2 2 4 2" xfId="8741"/>
    <cellStyle name="Normal 2 2 4 2 2" xfId="8742"/>
    <cellStyle name="Normal 2 2 4 2 2 2" xfId="8743"/>
    <cellStyle name="Normal 2 2 4 2 2 2 2" xfId="8744"/>
    <cellStyle name="Normal 2 2 4 2 2 3" xfId="8745"/>
    <cellStyle name="Normal 2 2 4 2 2 4" xfId="8746"/>
    <cellStyle name="Normal 2 2 4 2 3" xfId="8747"/>
    <cellStyle name="Normal 2 2 4 2 3 2" xfId="8748"/>
    <cellStyle name="Normal 2 2 4 2 4" xfId="8749"/>
    <cellStyle name="Normal 2 2 4 2 5" xfId="8750"/>
    <cellStyle name="Normal 2 2 4 3" xfId="8751"/>
    <cellStyle name="Normal 2 2 4 3 2" xfId="8752"/>
    <cellStyle name="Normal 2 2 4 3 2 2" xfId="8753"/>
    <cellStyle name="Normal 2 2 4 3 3" xfId="8754"/>
    <cellStyle name="Normal 2 2 4 3 4" xfId="8755"/>
    <cellStyle name="Normal 2 2 4 4" xfId="8756"/>
    <cellStyle name="Normal 2 2 4 4 2" xfId="8757"/>
    <cellStyle name="Normal 2 2 4 5" xfId="8758"/>
    <cellStyle name="Normal 2 2 4 5 2" xfId="8759"/>
    <cellStyle name="Normal 2 2 4 6" xfId="8760"/>
    <cellStyle name="Normal 2 2 4 7" xfId="8761"/>
    <cellStyle name="Normal 2 2 5" xfId="8762"/>
    <cellStyle name="Normal 2 2 5 2" xfId="8763"/>
    <cellStyle name="Normal 2 2 5 2 2" xfId="8764"/>
    <cellStyle name="Normal 2 2 5 2 3" xfId="8765"/>
    <cellStyle name="Normal 2 2 5 3" xfId="8766"/>
    <cellStyle name="Normal 2 2 5 4" xfId="8767"/>
    <cellStyle name="Normal 2 2 5 5" xfId="8768"/>
    <cellStyle name="Normal 2 2 5 6" xfId="8769"/>
    <cellStyle name="Normal 2 2 6" xfId="8770"/>
    <cellStyle name="Normal 2 2 6 2" xfId="8771"/>
    <cellStyle name="Normal 2 2 6 2 2" xfId="8772"/>
    <cellStyle name="Normal 2 2 6 3" xfId="8773"/>
    <cellStyle name="Normal 2 2 6 4" xfId="8774"/>
    <cellStyle name="Normal 2 2 6 5" xfId="8775"/>
    <cellStyle name="Normal 2 2 7" xfId="8776"/>
    <cellStyle name="Normal 2 2 8" xfId="8777"/>
    <cellStyle name="Normal 2 2 8 2" xfId="8778"/>
    <cellStyle name="Normal 2 2 8 3" xfId="8779"/>
    <cellStyle name="Normal 2 20" xfId="1788"/>
    <cellStyle name="Normal 2 20 2" xfId="8780"/>
    <cellStyle name="Normal 2 20 3" xfId="8781"/>
    <cellStyle name="Normal 2 21" xfId="1789"/>
    <cellStyle name="Normal 2 21 2" xfId="8782"/>
    <cellStyle name="Normal 2 22" xfId="1790"/>
    <cellStyle name="Normal 2 23" xfId="1791"/>
    <cellStyle name="Normal 2 24" xfId="1792"/>
    <cellStyle name="Normal 2 25" xfId="1793"/>
    <cellStyle name="Normal 2 3" xfId="1794"/>
    <cellStyle name="Normal 2 3 2" xfId="8783"/>
    <cellStyle name="Normal 2 3 2 2" xfId="8784"/>
    <cellStyle name="Normal 2 3 2 3" xfId="8785"/>
    <cellStyle name="Normal 2 3 3" xfId="8786"/>
    <cellStyle name="Normal 2 3 4" xfId="8787"/>
    <cellStyle name="Normal 2 3 4 2" xfId="8788"/>
    <cellStyle name="Normal 2 3 4 2 2" xfId="8789"/>
    <cellStyle name="Normal 2 3 4 3" xfId="8790"/>
    <cellStyle name="Normal 2 3 4 4" xfId="8791"/>
    <cellStyle name="Normal 2 3 4 5" xfId="8792"/>
    <cellStyle name="Normal 2 3 5" xfId="8793"/>
    <cellStyle name="Normal 2 3 5 2" xfId="8794"/>
    <cellStyle name="Normal 2 3 5 2 2" xfId="8795"/>
    <cellStyle name="Normal 2 3 5 3" xfId="8796"/>
    <cellStyle name="Normal 2 3 5 4" xfId="8797"/>
    <cellStyle name="Normal 2 3 5 5" xfId="8798"/>
    <cellStyle name="Normal 2 3 6" xfId="8799"/>
    <cellStyle name="Normal 2 3 6 2" xfId="8800"/>
    <cellStyle name="Normal 2 4" xfId="1795"/>
    <cellStyle name="Normal 2 4 2" xfId="8801"/>
    <cellStyle name="Normal 2 4 2 2" xfId="8802"/>
    <cellStyle name="Normal 2 4 2 3" xfId="8803"/>
    <cellStyle name="Normal 2 4 3" xfId="8804"/>
    <cellStyle name="Normal 2 4 3 2" xfId="8805"/>
    <cellStyle name="Normal 2 4 4" xfId="8806"/>
    <cellStyle name="Normal 2 4 4 2" xfId="8807"/>
    <cellStyle name="Normal 2 4 5" xfId="8808"/>
    <cellStyle name="Normal 2 41" xfId="8809"/>
    <cellStyle name="Normal 2 43" xfId="8810"/>
    <cellStyle name="Normal 2 5" xfId="1796"/>
    <cellStyle name="Normal 2 5 2" xfId="8811"/>
    <cellStyle name="Normal 2 5 2 2" xfId="8812"/>
    <cellStyle name="Normal 2 5 2 2 2" xfId="8813"/>
    <cellStyle name="Normal 2 5 2 2 2 2" xfId="8814"/>
    <cellStyle name="Normal 2 5 2 2 3" xfId="8815"/>
    <cellStyle name="Normal 2 5 2 2 4" xfId="8816"/>
    <cellStyle name="Normal 2 5 2 3" xfId="8817"/>
    <cellStyle name="Normal 2 5 2 3 2" xfId="8818"/>
    <cellStyle name="Normal 2 5 2 3 2 2" xfId="8819"/>
    <cellStyle name="Normal 2 5 2 3 3" xfId="8820"/>
    <cellStyle name="Normal 2 5 2 3 4" xfId="8821"/>
    <cellStyle name="Normal 2 5 2 4" xfId="8822"/>
    <cellStyle name="Normal 2 5 2 4 2" xfId="8823"/>
    <cellStyle name="Normal 2 5 2 5" xfId="8824"/>
    <cellStyle name="Normal 2 5 2 6" xfId="8825"/>
    <cellStyle name="Normal 2 5 2 7" xfId="8826"/>
    <cellStyle name="Normal 2 5 3" xfId="8827"/>
    <cellStyle name="Normal 2 5 3 2" xfId="8828"/>
    <cellStyle name="Normal 2 5 3 2 2" xfId="8829"/>
    <cellStyle name="Normal 2 5 3 3" xfId="8830"/>
    <cellStyle name="Normal 2 5 3 4" xfId="8831"/>
    <cellStyle name="Normal 2 5 4" xfId="8832"/>
    <cellStyle name="Normal 2 5 4 2" xfId="8833"/>
    <cellStyle name="Normal 2 5 4 2 2" xfId="8834"/>
    <cellStyle name="Normal 2 5 4 3" xfId="8835"/>
    <cellStyle name="Normal 2 5 4 4" xfId="8836"/>
    <cellStyle name="Normal 2 5 5" xfId="8837"/>
    <cellStyle name="Normal 2 5 6" xfId="8838"/>
    <cellStyle name="Normal 2 6" xfId="1797"/>
    <cellStyle name="Normal 2 6 2" xfId="8839"/>
    <cellStyle name="Normal 2 6 3" xfId="8840"/>
    <cellStyle name="Normal 2 7" xfId="1798"/>
    <cellStyle name="Normal 2 7 2" xfId="8841"/>
    <cellStyle name="Normal 2 7 2 2" xfId="8842"/>
    <cellStyle name="Normal 2 7 2 2 2" xfId="8843"/>
    <cellStyle name="Normal 2 7 2 2 3" xfId="8844"/>
    <cellStyle name="Normal 2 7 2 3" xfId="8845"/>
    <cellStyle name="Normal 2 7 2 3 2" xfId="8846"/>
    <cellStyle name="Normal 2 7 2 4" xfId="8847"/>
    <cellStyle name="Normal 2 7 2 5" xfId="8848"/>
    <cellStyle name="Normal 2 7 3" xfId="8849"/>
    <cellStyle name="Normal 2 7 3 2" xfId="8850"/>
    <cellStyle name="Normal 2 7 3 2 2" xfId="8851"/>
    <cellStyle name="Normal 2 7 3 3" xfId="8852"/>
    <cellStyle name="Normal 2 7 3 4" xfId="8853"/>
    <cellStyle name="Normal 2 7 3 5" xfId="8854"/>
    <cellStyle name="Normal 2 7 4" xfId="8855"/>
    <cellStyle name="Normal 2 7 4 2" xfId="8856"/>
    <cellStyle name="Normal 2 7 4 2 2" xfId="8857"/>
    <cellStyle name="Normal 2 7 4 3" xfId="8858"/>
    <cellStyle name="Normal 2 7 4 4" xfId="8859"/>
    <cellStyle name="Normal 2 7 4 5" xfId="8860"/>
    <cellStyle name="Normal 2 7 5" xfId="8861"/>
    <cellStyle name="Normal 2 8" xfId="1799"/>
    <cellStyle name="Normal 2 8 2" xfId="8862"/>
    <cellStyle name="Normal 2 8 2 2" xfId="8863"/>
    <cellStyle name="Normal 2 8 2 2 2" xfId="8864"/>
    <cellStyle name="Normal 2 8 2 3" xfId="8865"/>
    <cellStyle name="Normal 2 8 2 4" xfId="8866"/>
    <cellStyle name="Normal 2 8 2 5" xfId="8867"/>
    <cellStyle name="Normal 2 8 3" xfId="8868"/>
    <cellStyle name="Normal 2 8 3 2" xfId="8869"/>
    <cellStyle name="Normal 2 8 3 2 2" xfId="8870"/>
    <cellStyle name="Normal 2 8 3 3" xfId="8871"/>
    <cellStyle name="Normal 2 8 3 4" xfId="8872"/>
    <cellStyle name="Normal 2 8 3 5" xfId="8873"/>
    <cellStyle name="Normal 2 8 4" xfId="8874"/>
    <cellStyle name="Normal 2 9" xfId="1800"/>
    <cellStyle name="Normal 2 9 2" xfId="8875"/>
    <cellStyle name="Normal 2 9 2 2" xfId="8876"/>
    <cellStyle name="Normal 2 9 2 2 2" xfId="8877"/>
    <cellStyle name="Normal 2 9 2 3" xfId="8878"/>
    <cellStyle name="Normal 2 9 2 4" xfId="8879"/>
    <cellStyle name="Normal 2 9 2 5" xfId="8880"/>
    <cellStyle name="Normal 2 9 3" xfId="8881"/>
    <cellStyle name="Normal 2_LGEElecBillingDeterminants2009-10" xfId="8882"/>
    <cellStyle name="Normal 20" xfId="1801"/>
    <cellStyle name="Normal 20 2" xfId="1802"/>
    <cellStyle name="Normal 20 2 2" xfId="8883"/>
    <cellStyle name="Normal 20 2 2 2" xfId="8884"/>
    <cellStyle name="Normal 20 2 3" xfId="8885"/>
    <cellStyle name="Normal 20 2 4" xfId="8886"/>
    <cellStyle name="Normal 20 2 5" xfId="8887"/>
    <cellStyle name="Normal 20 3" xfId="1803"/>
    <cellStyle name="Normal 20 3 2" xfId="8888"/>
    <cellStyle name="Normal 20 3 3" xfId="8889"/>
    <cellStyle name="Normal 20 3 4" xfId="8890"/>
    <cellStyle name="Normal 20 4" xfId="1804"/>
    <cellStyle name="Normal 20 5" xfId="1805"/>
    <cellStyle name="Normal 21" xfId="1806"/>
    <cellStyle name="Normal 21 2" xfId="8891"/>
    <cellStyle name="Normal 22" xfId="1807"/>
    <cellStyle name="Normal 22 2" xfId="8892"/>
    <cellStyle name="Normal 22 2 2" xfId="8893"/>
    <cellStyle name="Normal 22 2 3" xfId="8894"/>
    <cellStyle name="Normal 22 2 4" xfId="8895"/>
    <cellStyle name="Normal 22 2 5" xfId="8896"/>
    <cellStyle name="Normal 22 3" xfId="8897"/>
    <cellStyle name="Normal 23" xfId="1808"/>
    <cellStyle name="Normal 23 2" xfId="8898"/>
    <cellStyle name="Normal 23 2 2" xfId="8899"/>
    <cellStyle name="Normal 23 2 3" xfId="8900"/>
    <cellStyle name="Normal 23 2 4" xfId="8901"/>
    <cellStyle name="Normal 23 2 5" xfId="8902"/>
    <cellStyle name="Normal 23 3" xfId="8903"/>
    <cellStyle name="Normal 24" xfId="1809"/>
    <cellStyle name="Normal 24 2" xfId="8904"/>
    <cellStyle name="Normal 24 3" xfId="8905"/>
    <cellStyle name="Normal 25" xfId="1810"/>
    <cellStyle name="Normal 25 2" xfId="8906"/>
    <cellStyle name="Normal 26" xfId="1811"/>
    <cellStyle name="Normal 26 2" xfId="8907"/>
    <cellStyle name="Normal 26 2 2" xfId="8908"/>
    <cellStyle name="Normal 26 3" xfId="8909"/>
    <cellStyle name="Normal 26 3 2" xfId="8910"/>
    <cellStyle name="Normal 26 3 3" xfId="8911"/>
    <cellStyle name="Normal 26 4" xfId="8912"/>
    <cellStyle name="Normal 26 4 2" xfId="8913"/>
    <cellStyle name="Normal 26 4 3" xfId="8914"/>
    <cellStyle name="Normal 26 5" xfId="8915"/>
    <cellStyle name="Normal 26 5 2" xfId="8916"/>
    <cellStyle name="Normal 26 6" xfId="8917"/>
    <cellStyle name="Normal 26 7" xfId="8918"/>
    <cellStyle name="Normal 26 8" xfId="8919"/>
    <cellStyle name="Normal 27" xfId="1812"/>
    <cellStyle name="Normal 27 2" xfId="8920"/>
    <cellStyle name="Normal 27 2 2" xfId="8921"/>
    <cellStyle name="Normal 27 2 2 2" xfId="8922"/>
    <cellStyle name="Normal 27 2 2 3" xfId="8923"/>
    <cellStyle name="Normal 27 2 3" xfId="8924"/>
    <cellStyle name="Normal 27 2 4" xfId="8925"/>
    <cellStyle name="Normal 27 3" xfId="8926"/>
    <cellStyle name="Normal 27 3 2" xfId="8927"/>
    <cellStyle name="Normal 27 3 3" xfId="8928"/>
    <cellStyle name="Normal 27 4" xfId="8929"/>
    <cellStyle name="Normal 27 5" xfId="8930"/>
    <cellStyle name="Normal 28" xfId="1813"/>
    <cellStyle name="Normal 28 2" xfId="8931"/>
    <cellStyle name="Normal 28 2 2" xfId="8932"/>
    <cellStyle name="Normal 28 2 2 2" xfId="8933"/>
    <cellStyle name="Normal 28 2 3" xfId="8934"/>
    <cellStyle name="Normal 28 2 3 2" xfId="8935"/>
    <cellStyle name="Normal 28 2 4" xfId="8936"/>
    <cellStyle name="Normal 28 3" xfId="8937"/>
    <cellStyle name="Normal 28 3 2" xfId="8938"/>
    <cellStyle name="Normal 28 4" xfId="8939"/>
    <cellStyle name="Normal 28 4 2" xfId="8940"/>
    <cellStyle name="Normal 28 4 3" xfId="8941"/>
    <cellStyle name="Normal 28 5" xfId="8942"/>
    <cellStyle name="Normal 28 5 2" xfId="8943"/>
    <cellStyle name="Normal 28 6" xfId="8944"/>
    <cellStyle name="Normal 28 7" xfId="8945"/>
    <cellStyle name="Normal 28 8" xfId="8946"/>
    <cellStyle name="Normal 29" xfId="1814"/>
    <cellStyle name="Normal 29 2" xfId="8947"/>
    <cellStyle name="Normal 29 2 2" xfId="8948"/>
    <cellStyle name="Normal 29 2 3" xfId="8949"/>
    <cellStyle name="Normal 29 2 4" xfId="8950"/>
    <cellStyle name="Normal 29 3" xfId="8951"/>
    <cellStyle name="Normal 29 3 2" xfId="8952"/>
    <cellStyle name="Normal 29 4" xfId="8953"/>
    <cellStyle name="Normal 29 5" xfId="8954"/>
    <cellStyle name="Normal 29 6" xfId="8955"/>
    <cellStyle name="Normal 3" xfId="8"/>
    <cellStyle name="Normal 3 10" xfId="1815"/>
    <cellStyle name="Normal 3 11" xfId="1816"/>
    <cellStyle name="Normal 3 12" xfId="1817"/>
    <cellStyle name="Normal 3 13" xfId="1818"/>
    <cellStyle name="Normal 3 14" xfId="1819"/>
    <cellStyle name="Normal 3 15" xfId="1820"/>
    <cellStyle name="Normal 3 16" xfId="1821"/>
    <cellStyle name="Normal 3 17" xfId="1822"/>
    <cellStyle name="Normal 3 17 2" xfId="8956"/>
    <cellStyle name="Normal 3 17 2 2" xfId="8957"/>
    <cellStyle name="Normal 3 17 3" xfId="8958"/>
    <cellStyle name="Normal 3 18" xfId="1823"/>
    <cellStyle name="Normal 3 18 2" xfId="8959"/>
    <cellStyle name="Normal 3 18 2 2" xfId="8960"/>
    <cellStyle name="Normal 3 18 2 3" xfId="8961"/>
    <cellStyle name="Normal 3 18 3" xfId="8962"/>
    <cellStyle name="Normal 3 18 3 2" xfId="8963"/>
    <cellStyle name="Normal 3 18 4" xfId="8964"/>
    <cellStyle name="Normal 3 18 5" xfId="8965"/>
    <cellStyle name="Normal 3 18 6" xfId="8966"/>
    <cellStyle name="Normal 3 19" xfId="8967"/>
    <cellStyle name="Normal 3 19 2" xfId="8968"/>
    <cellStyle name="Normal 3 19 3" xfId="8969"/>
    <cellStyle name="Normal 3 2" xfId="1824"/>
    <cellStyle name="Normal 3 2 2" xfId="8970"/>
    <cellStyle name="Normal 3 2 2 2" xfId="8971"/>
    <cellStyle name="Normal 3 2 2 3" xfId="8972"/>
    <cellStyle name="Normal 3 2 3" xfId="8973"/>
    <cellStyle name="Normal 3 2 3 2" xfId="8974"/>
    <cellStyle name="Normal 3 2 4" xfId="8975"/>
    <cellStyle name="Normal 3 2 4 2" xfId="8976"/>
    <cellStyle name="Normal 3 2 4 3" xfId="8977"/>
    <cellStyle name="Normal 3 2 4 4" xfId="8978"/>
    <cellStyle name="Normal 3 20" xfId="8979"/>
    <cellStyle name="Normal 3 20 2" xfId="8980"/>
    <cellStyle name="Normal 3 20 3" xfId="8981"/>
    <cellStyle name="Normal 3 21" xfId="8982"/>
    <cellStyle name="Normal 3 22" xfId="8983"/>
    <cellStyle name="Normal 3 23" xfId="8984"/>
    <cellStyle name="Normal 3 3" xfId="1825"/>
    <cellStyle name="Normal 3 3 2" xfId="8985"/>
    <cellStyle name="Normal 3 3 2 2" xfId="8986"/>
    <cellStyle name="Normal 3 3 2 3" xfId="8987"/>
    <cellStyle name="Normal 3 3 3" xfId="8988"/>
    <cellStyle name="Normal 3 3 3 2" xfId="8989"/>
    <cellStyle name="Normal 3 3 4" xfId="8990"/>
    <cellStyle name="Normal 3 3 5" xfId="8991"/>
    <cellStyle name="Normal 3 4" xfId="1826"/>
    <cellStyle name="Normal 3 4 2" xfId="8992"/>
    <cellStyle name="Normal 3 4 3" xfId="8993"/>
    <cellStyle name="Normal 3 4 3 2" xfId="8994"/>
    <cellStyle name="Normal 3 4 4" xfId="8995"/>
    <cellStyle name="Normal 3 4 5" xfId="8996"/>
    <cellStyle name="Normal 3 5" xfId="1827"/>
    <cellStyle name="Normal 3 5 2" xfId="8997"/>
    <cellStyle name="Normal 3 6" xfId="1828"/>
    <cellStyle name="Normal 3 7" xfId="1829"/>
    <cellStyle name="Normal 3 8" xfId="1830"/>
    <cellStyle name="Normal 3 9" xfId="1831"/>
    <cellStyle name="Normal 3_LGEElecBillingDeterminants2009-10" xfId="8998"/>
    <cellStyle name="Normal 30" xfId="1832"/>
    <cellStyle name="Normal 30 2" xfId="8999"/>
    <cellStyle name="Normal 30 2 2" xfId="9000"/>
    <cellStyle name="Normal 30 2 3" xfId="9001"/>
    <cellStyle name="Normal 30 2 4" xfId="9002"/>
    <cellStyle name="Normal 30 3" xfId="9003"/>
    <cellStyle name="Normal 30 3 2" xfId="9004"/>
    <cellStyle name="Normal 30 4" xfId="9005"/>
    <cellStyle name="Normal 30 5" xfId="9006"/>
    <cellStyle name="Normal 30 6" xfId="9007"/>
    <cellStyle name="Normal 30 7" xfId="9008"/>
    <cellStyle name="Normal 31" xfId="1833"/>
    <cellStyle name="Normal 31 2" xfId="1834"/>
    <cellStyle name="Normal 31 2 2" xfId="9009"/>
    <cellStyle name="Normal 31 2 3" xfId="9010"/>
    <cellStyle name="Normal 31 2 4" xfId="9011"/>
    <cellStyle name="Normal 31 3" xfId="1835"/>
    <cellStyle name="Normal 31 3 2" xfId="9012"/>
    <cellStyle name="Normal 31 4" xfId="1836"/>
    <cellStyle name="Normal 31 5" xfId="1837"/>
    <cellStyle name="Normal 31 6" xfId="9013"/>
    <cellStyle name="Normal 31 7" xfId="9014"/>
    <cellStyle name="Normal 32" xfId="1838"/>
    <cellStyle name="Normal 32 2" xfId="9015"/>
    <cellStyle name="Normal 32 2 2" xfId="9016"/>
    <cellStyle name="Normal 32 2 3" xfId="9017"/>
    <cellStyle name="Normal 32 2 4" xfId="9018"/>
    <cellStyle name="Normal 32 3" xfId="9019"/>
    <cellStyle name="Normal 32 3 2" xfId="9020"/>
    <cellStyle name="Normal 32 4" xfId="9021"/>
    <cellStyle name="Normal 32 5" xfId="9022"/>
    <cellStyle name="Normal 32 6" xfId="9023"/>
    <cellStyle name="Normal 32 7" xfId="9024"/>
    <cellStyle name="Normal 33" xfId="1839"/>
    <cellStyle name="Normal 33 2" xfId="9025"/>
    <cellStyle name="Normal 33 2 2" xfId="9026"/>
    <cellStyle name="Normal 33 2 3" xfId="9027"/>
    <cellStyle name="Normal 33 2 4" xfId="9028"/>
    <cellStyle name="Normal 33 3" xfId="9029"/>
    <cellStyle name="Normal 33 4" xfId="9030"/>
    <cellStyle name="Normal 33 5" xfId="9031"/>
    <cellStyle name="Normal 33 6" xfId="9032"/>
    <cellStyle name="Normal 34" xfId="1840"/>
    <cellStyle name="Normal 34 2" xfId="9033"/>
    <cellStyle name="Normal 34 2 2" xfId="9034"/>
    <cellStyle name="Normal 34 3" xfId="9035"/>
    <cellStyle name="Normal 34 4" xfId="9036"/>
    <cellStyle name="Normal 34 4 2" xfId="9037"/>
    <cellStyle name="Normal 34 4 3" xfId="9038"/>
    <cellStyle name="Normal 34 5" xfId="9039"/>
    <cellStyle name="Normal 34 6" xfId="9040"/>
    <cellStyle name="Normal 34 7" xfId="9041"/>
    <cellStyle name="Normal 35" xfId="11"/>
    <cellStyle name="Normal 35 2" xfId="9042"/>
    <cellStyle name="Normal 35 2 2" xfId="9043"/>
    <cellStyle name="Normal 35 2 3" xfId="9044"/>
    <cellStyle name="Normal 35 3" xfId="9045"/>
    <cellStyle name="Normal 35 4" xfId="9046"/>
    <cellStyle name="Normal 35 5" xfId="9047"/>
    <cellStyle name="Normal 36" xfId="2107"/>
    <cellStyle name="Normal 36 2" xfId="1841"/>
    <cellStyle name="Normal 36 2 2" xfId="9048"/>
    <cellStyle name="Normal 36 2 3" xfId="9049"/>
    <cellStyle name="Normal 36 3" xfId="1842"/>
    <cellStyle name="Normal 36 4" xfId="1843"/>
    <cellStyle name="Normal 36 5" xfId="1844"/>
    <cellStyle name="Normal 37" xfId="1845"/>
    <cellStyle name="Normal 37 2" xfId="9050"/>
    <cellStyle name="Normal 37 2 2" xfId="9051"/>
    <cellStyle name="Normal 37 3" xfId="9052"/>
    <cellStyle name="Normal 37 4" xfId="9053"/>
    <cellStyle name="Normal 37 5" xfId="9054"/>
    <cellStyle name="Normal 38" xfId="1846"/>
    <cellStyle name="Normal 38 2" xfId="9055"/>
    <cellStyle name="Normal 38 2 2" xfId="9056"/>
    <cellStyle name="Normal 38 3" xfId="9057"/>
    <cellStyle name="Normal 38 4" xfId="9058"/>
    <cellStyle name="Normal 38 5" xfId="9059"/>
    <cellStyle name="Normal 39" xfId="9060"/>
    <cellStyle name="Normal 39 2" xfId="9061"/>
    <cellStyle name="Normal 39 3" xfId="9062"/>
    <cellStyle name="Normal 4" xfId="9"/>
    <cellStyle name="Normal 4 10" xfId="9063"/>
    <cellStyle name="Normal 4 11" xfId="9064"/>
    <cellStyle name="Normal 4 2" xfId="10"/>
    <cellStyle name="Normal 4 2 10" xfId="9065"/>
    <cellStyle name="Normal 4 2 10 2" xfId="9066"/>
    <cellStyle name="Normal 4 2 10 2 2" xfId="9067"/>
    <cellStyle name="Normal 4 2 10 3" xfId="9068"/>
    <cellStyle name="Normal 4 2 10 4" xfId="9069"/>
    <cellStyle name="Normal 4 2 10 5" xfId="9070"/>
    <cellStyle name="Normal 4 2 11" xfId="9071"/>
    <cellStyle name="Normal 4 2 2" xfId="9072"/>
    <cellStyle name="Normal 4 2 2 10" xfId="9073"/>
    <cellStyle name="Normal 4 2 2 11" xfId="9074"/>
    <cellStyle name="Normal 4 2 2 2" xfId="9075"/>
    <cellStyle name="Normal 4 2 2 2 10" xfId="9076"/>
    <cellStyle name="Normal 4 2 2 2 2" xfId="9077"/>
    <cellStyle name="Normal 4 2 2 2 2 2" xfId="9078"/>
    <cellStyle name="Normal 4 2 2 2 2 2 2" xfId="9079"/>
    <cellStyle name="Normal 4 2 2 2 2 2 2 2" xfId="9080"/>
    <cellStyle name="Normal 4 2 2 2 2 2 2 2 2" xfId="9081"/>
    <cellStyle name="Normal 4 2 2 2 2 2 2 2 3" xfId="9082"/>
    <cellStyle name="Normal 4 2 2 2 2 2 2 3" xfId="9083"/>
    <cellStyle name="Normal 4 2 2 2 2 2 2 3 2" xfId="9084"/>
    <cellStyle name="Normal 4 2 2 2 2 2 2 4" xfId="9085"/>
    <cellStyle name="Normal 4 2 2 2 2 2 2 5" xfId="9086"/>
    <cellStyle name="Normal 4 2 2 2 2 2 3" xfId="9087"/>
    <cellStyle name="Normal 4 2 2 2 2 2 3 2" xfId="9088"/>
    <cellStyle name="Normal 4 2 2 2 2 2 3 3" xfId="9089"/>
    <cellStyle name="Normal 4 2 2 2 2 2 4" xfId="9090"/>
    <cellStyle name="Normal 4 2 2 2 2 2 4 2" xfId="9091"/>
    <cellStyle name="Normal 4 2 2 2 2 2 5" xfId="9092"/>
    <cellStyle name="Normal 4 2 2 2 2 2 6" xfId="9093"/>
    <cellStyle name="Normal 4 2 2 2 2 3" xfId="9094"/>
    <cellStyle name="Normal 4 2 2 2 2 3 2" xfId="9095"/>
    <cellStyle name="Normal 4 2 2 2 2 3 2 2" xfId="9096"/>
    <cellStyle name="Normal 4 2 2 2 2 3 2 2 2" xfId="9097"/>
    <cellStyle name="Normal 4 2 2 2 2 3 2 3" xfId="9098"/>
    <cellStyle name="Normal 4 2 2 2 2 3 2 4" xfId="9099"/>
    <cellStyle name="Normal 4 2 2 2 2 3 2 5" xfId="9100"/>
    <cellStyle name="Normal 4 2 2 2 2 3 3" xfId="9101"/>
    <cellStyle name="Normal 4 2 2 2 2 3 3 2" xfId="9102"/>
    <cellStyle name="Normal 4 2 2 2 2 3 4" xfId="9103"/>
    <cellStyle name="Normal 4 2 2 2 2 3 5" xfId="9104"/>
    <cellStyle name="Normal 4 2 2 2 2 3 6" xfId="9105"/>
    <cellStyle name="Normal 4 2 2 2 2 4" xfId="9106"/>
    <cellStyle name="Normal 4 2 2 2 2 4 2" xfId="9107"/>
    <cellStyle name="Normal 4 2 2 2 2 4 2 2" xfId="9108"/>
    <cellStyle name="Normal 4 2 2 2 2 4 3" xfId="9109"/>
    <cellStyle name="Normal 4 2 2 2 2 4 4" xfId="9110"/>
    <cellStyle name="Normal 4 2 2 2 2 4 5" xfId="9111"/>
    <cellStyle name="Normal 4 2 2 2 2 5" xfId="9112"/>
    <cellStyle name="Normal 4 2 2 2 2 5 2" xfId="9113"/>
    <cellStyle name="Normal 4 2 2 2 2 5 2 2" xfId="9114"/>
    <cellStyle name="Normal 4 2 2 2 2 5 3" xfId="9115"/>
    <cellStyle name="Normal 4 2 2 2 2 5 4" xfId="9116"/>
    <cellStyle name="Normal 4 2 2 2 2 5 5" xfId="9117"/>
    <cellStyle name="Normal 4 2 2 2 2 6" xfId="9118"/>
    <cellStyle name="Normal 4 2 2 2 2 6 2" xfId="9119"/>
    <cellStyle name="Normal 4 2 2 2 2 7" xfId="9120"/>
    <cellStyle name="Normal 4 2 2 2 2 8" xfId="9121"/>
    <cellStyle name="Normal 4 2 2 2 2 9" xfId="9122"/>
    <cellStyle name="Normal 4 2 2 2 3" xfId="9123"/>
    <cellStyle name="Normal 4 2 2 2 3 2" xfId="9124"/>
    <cellStyle name="Normal 4 2 2 2 3 2 2" xfId="9125"/>
    <cellStyle name="Normal 4 2 2 2 3 2 2 2" xfId="9126"/>
    <cellStyle name="Normal 4 2 2 2 3 2 2 3" xfId="9127"/>
    <cellStyle name="Normal 4 2 2 2 3 2 3" xfId="9128"/>
    <cellStyle name="Normal 4 2 2 2 3 2 3 2" xfId="9129"/>
    <cellStyle name="Normal 4 2 2 2 3 2 4" xfId="9130"/>
    <cellStyle name="Normal 4 2 2 2 3 2 5" xfId="9131"/>
    <cellStyle name="Normal 4 2 2 2 3 3" xfId="9132"/>
    <cellStyle name="Normal 4 2 2 2 3 3 2" xfId="9133"/>
    <cellStyle name="Normal 4 2 2 2 3 3 3" xfId="9134"/>
    <cellStyle name="Normal 4 2 2 2 3 4" xfId="9135"/>
    <cellStyle name="Normal 4 2 2 2 3 4 2" xfId="9136"/>
    <cellStyle name="Normal 4 2 2 2 3 5" xfId="9137"/>
    <cellStyle name="Normal 4 2 2 2 3 6" xfId="9138"/>
    <cellStyle name="Normal 4 2 2 2 4" xfId="9139"/>
    <cellStyle name="Normal 4 2 2 2 4 2" xfId="9140"/>
    <cellStyle name="Normal 4 2 2 2 4 2 2" xfId="9141"/>
    <cellStyle name="Normal 4 2 2 2 4 2 2 2" xfId="9142"/>
    <cellStyle name="Normal 4 2 2 2 4 2 3" xfId="9143"/>
    <cellStyle name="Normal 4 2 2 2 4 2 4" xfId="9144"/>
    <cellStyle name="Normal 4 2 2 2 4 2 5" xfId="9145"/>
    <cellStyle name="Normal 4 2 2 2 4 3" xfId="9146"/>
    <cellStyle name="Normal 4 2 2 2 4 3 2" xfId="9147"/>
    <cellStyle name="Normal 4 2 2 2 4 4" xfId="9148"/>
    <cellStyle name="Normal 4 2 2 2 4 5" xfId="9149"/>
    <cellStyle name="Normal 4 2 2 2 4 6" xfId="9150"/>
    <cellStyle name="Normal 4 2 2 2 5" xfId="9151"/>
    <cellStyle name="Normal 4 2 2 2 5 2" xfId="9152"/>
    <cellStyle name="Normal 4 2 2 2 5 2 2" xfId="9153"/>
    <cellStyle name="Normal 4 2 2 2 5 3" xfId="9154"/>
    <cellStyle name="Normal 4 2 2 2 5 4" xfId="9155"/>
    <cellStyle name="Normal 4 2 2 2 5 5" xfId="9156"/>
    <cellStyle name="Normal 4 2 2 2 6" xfId="9157"/>
    <cellStyle name="Normal 4 2 2 2 6 2" xfId="9158"/>
    <cellStyle name="Normal 4 2 2 2 6 2 2" xfId="9159"/>
    <cellStyle name="Normal 4 2 2 2 6 3" xfId="9160"/>
    <cellStyle name="Normal 4 2 2 2 6 4" xfId="9161"/>
    <cellStyle name="Normal 4 2 2 2 6 5" xfId="9162"/>
    <cellStyle name="Normal 4 2 2 2 7" xfId="9163"/>
    <cellStyle name="Normal 4 2 2 2 7 2" xfId="9164"/>
    <cellStyle name="Normal 4 2 2 2 8" xfId="9165"/>
    <cellStyle name="Normal 4 2 2 2 9" xfId="9166"/>
    <cellStyle name="Normal 4 2 2 3" xfId="9167"/>
    <cellStyle name="Normal 4 2 2 3 2" xfId="9168"/>
    <cellStyle name="Normal 4 2 2 3 2 2" xfId="9169"/>
    <cellStyle name="Normal 4 2 2 3 2 2 2" xfId="9170"/>
    <cellStyle name="Normal 4 2 2 3 2 2 2 2" xfId="9171"/>
    <cellStyle name="Normal 4 2 2 3 2 2 2 3" xfId="9172"/>
    <cellStyle name="Normal 4 2 2 3 2 2 3" xfId="9173"/>
    <cellStyle name="Normal 4 2 2 3 2 2 3 2" xfId="9174"/>
    <cellStyle name="Normal 4 2 2 3 2 2 4" xfId="9175"/>
    <cellStyle name="Normal 4 2 2 3 2 2 5" xfId="9176"/>
    <cellStyle name="Normal 4 2 2 3 2 3" xfId="9177"/>
    <cellStyle name="Normal 4 2 2 3 2 3 2" xfId="9178"/>
    <cellStyle name="Normal 4 2 2 3 2 3 3" xfId="9179"/>
    <cellStyle name="Normal 4 2 2 3 2 4" xfId="9180"/>
    <cellStyle name="Normal 4 2 2 3 2 4 2" xfId="9181"/>
    <cellStyle name="Normal 4 2 2 3 2 5" xfId="9182"/>
    <cellStyle name="Normal 4 2 2 3 2 6" xfId="9183"/>
    <cellStyle name="Normal 4 2 2 3 3" xfId="9184"/>
    <cellStyle name="Normal 4 2 2 3 3 2" xfId="9185"/>
    <cellStyle name="Normal 4 2 2 3 3 2 2" xfId="9186"/>
    <cellStyle name="Normal 4 2 2 3 3 2 2 2" xfId="9187"/>
    <cellStyle name="Normal 4 2 2 3 3 2 3" xfId="9188"/>
    <cellStyle name="Normal 4 2 2 3 3 2 4" xfId="9189"/>
    <cellStyle name="Normal 4 2 2 3 3 2 5" xfId="9190"/>
    <cellStyle name="Normal 4 2 2 3 3 3" xfId="9191"/>
    <cellStyle name="Normal 4 2 2 3 3 3 2" xfId="9192"/>
    <cellStyle name="Normal 4 2 2 3 3 4" xfId="9193"/>
    <cellStyle name="Normal 4 2 2 3 3 5" xfId="9194"/>
    <cellStyle name="Normal 4 2 2 3 3 6" xfId="9195"/>
    <cellStyle name="Normal 4 2 2 3 4" xfId="9196"/>
    <cellStyle name="Normal 4 2 2 3 4 2" xfId="9197"/>
    <cellStyle name="Normal 4 2 2 3 4 2 2" xfId="9198"/>
    <cellStyle name="Normal 4 2 2 3 4 3" xfId="9199"/>
    <cellStyle name="Normal 4 2 2 3 4 4" xfId="9200"/>
    <cellStyle name="Normal 4 2 2 3 4 5" xfId="9201"/>
    <cellStyle name="Normal 4 2 2 3 5" xfId="9202"/>
    <cellStyle name="Normal 4 2 2 3 5 2" xfId="9203"/>
    <cellStyle name="Normal 4 2 2 3 5 2 2" xfId="9204"/>
    <cellStyle name="Normal 4 2 2 3 5 3" xfId="9205"/>
    <cellStyle name="Normal 4 2 2 3 5 4" xfId="9206"/>
    <cellStyle name="Normal 4 2 2 3 5 5" xfId="9207"/>
    <cellStyle name="Normal 4 2 2 3 6" xfId="9208"/>
    <cellStyle name="Normal 4 2 2 3 6 2" xfId="9209"/>
    <cellStyle name="Normal 4 2 2 3 7" xfId="9210"/>
    <cellStyle name="Normal 4 2 2 3 8" xfId="9211"/>
    <cellStyle name="Normal 4 2 2 3 9" xfId="9212"/>
    <cellStyle name="Normal 4 2 2 4" xfId="9213"/>
    <cellStyle name="Normal 4 2 2 4 2" xfId="9214"/>
    <cellStyle name="Normal 4 2 2 4 2 2" xfId="9215"/>
    <cellStyle name="Normal 4 2 2 4 2 2 2" xfId="9216"/>
    <cellStyle name="Normal 4 2 2 4 2 2 3" xfId="9217"/>
    <cellStyle name="Normal 4 2 2 4 2 3" xfId="9218"/>
    <cellStyle name="Normal 4 2 2 4 2 3 2" xfId="9219"/>
    <cellStyle name="Normal 4 2 2 4 2 4" xfId="9220"/>
    <cellStyle name="Normal 4 2 2 4 2 5" xfId="9221"/>
    <cellStyle name="Normal 4 2 2 4 3" xfId="9222"/>
    <cellStyle name="Normal 4 2 2 4 3 2" xfId="9223"/>
    <cellStyle name="Normal 4 2 2 4 3 3" xfId="9224"/>
    <cellStyle name="Normal 4 2 2 4 4" xfId="9225"/>
    <cellStyle name="Normal 4 2 2 4 4 2" xfId="9226"/>
    <cellStyle name="Normal 4 2 2 4 5" xfId="9227"/>
    <cellStyle name="Normal 4 2 2 4 6" xfId="9228"/>
    <cellStyle name="Normal 4 2 2 5" xfId="9229"/>
    <cellStyle name="Normal 4 2 2 5 2" xfId="9230"/>
    <cellStyle name="Normal 4 2 2 5 2 2" xfId="9231"/>
    <cellStyle name="Normal 4 2 2 5 2 2 2" xfId="9232"/>
    <cellStyle name="Normal 4 2 2 5 2 3" xfId="9233"/>
    <cellStyle name="Normal 4 2 2 5 2 4" xfId="9234"/>
    <cellStyle name="Normal 4 2 2 5 2 5" xfId="9235"/>
    <cellStyle name="Normal 4 2 2 5 3" xfId="9236"/>
    <cellStyle name="Normal 4 2 2 5 3 2" xfId="9237"/>
    <cellStyle name="Normal 4 2 2 5 4" xfId="9238"/>
    <cellStyle name="Normal 4 2 2 5 5" xfId="9239"/>
    <cellStyle name="Normal 4 2 2 5 6" xfId="9240"/>
    <cellStyle name="Normal 4 2 2 6" xfId="9241"/>
    <cellStyle name="Normal 4 2 2 6 2" xfId="9242"/>
    <cellStyle name="Normal 4 2 2 6 2 2" xfId="9243"/>
    <cellStyle name="Normal 4 2 2 6 3" xfId="9244"/>
    <cellStyle name="Normal 4 2 2 6 4" xfId="9245"/>
    <cellStyle name="Normal 4 2 2 6 5" xfId="9246"/>
    <cellStyle name="Normal 4 2 2 7" xfId="9247"/>
    <cellStyle name="Normal 4 2 2 7 2" xfId="9248"/>
    <cellStyle name="Normal 4 2 2 7 2 2" xfId="9249"/>
    <cellStyle name="Normal 4 2 2 7 3" xfId="9250"/>
    <cellStyle name="Normal 4 2 2 7 4" xfId="9251"/>
    <cellStyle name="Normal 4 2 2 7 5" xfId="9252"/>
    <cellStyle name="Normal 4 2 2 8" xfId="9253"/>
    <cellStyle name="Normal 4 2 2 8 2" xfId="9254"/>
    <cellStyle name="Normal 4 2 2 9" xfId="9255"/>
    <cellStyle name="Normal 4 2 3" xfId="9256"/>
    <cellStyle name="Normal 4 2 3 10" xfId="9257"/>
    <cellStyle name="Normal 4 2 3 11" xfId="9258"/>
    <cellStyle name="Normal 4 2 3 2" xfId="9259"/>
    <cellStyle name="Normal 4 2 3 2 10" xfId="9260"/>
    <cellStyle name="Normal 4 2 3 2 2" xfId="9261"/>
    <cellStyle name="Normal 4 2 3 2 2 2" xfId="9262"/>
    <cellStyle name="Normal 4 2 3 2 2 2 2" xfId="9263"/>
    <cellStyle name="Normal 4 2 3 2 2 2 2 2" xfId="9264"/>
    <cellStyle name="Normal 4 2 3 2 2 2 2 2 2" xfId="9265"/>
    <cellStyle name="Normal 4 2 3 2 2 2 2 2 3" xfId="9266"/>
    <cellStyle name="Normal 4 2 3 2 2 2 2 3" xfId="9267"/>
    <cellStyle name="Normal 4 2 3 2 2 2 2 3 2" xfId="9268"/>
    <cellStyle name="Normal 4 2 3 2 2 2 2 4" xfId="9269"/>
    <cellStyle name="Normal 4 2 3 2 2 2 2 5" xfId="9270"/>
    <cellStyle name="Normal 4 2 3 2 2 2 3" xfId="9271"/>
    <cellStyle name="Normal 4 2 3 2 2 2 3 2" xfId="9272"/>
    <cellStyle name="Normal 4 2 3 2 2 2 3 3" xfId="9273"/>
    <cellStyle name="Normal 4 2 3 2 2 2 4" xfId="9274"/>
    <cellStyle name="Normal 4 2 3 2 2 2 4 2" xfId="9275"/>
    <cellStyle name="Normal 4 2 3 2 2 2 5" xfId="9276"/>
    <cellStyle name="Normal 4 2 3 2 2 2 6" xfId="9277"/>
    <cellStyle name="Normal 4 2 3 2 2 3" xfId="9278"/>
    <cellStyle name="Normal 4 2 3 2 2 3 2" xfId="9279"/>
    <cellStyle name="Normal 4 2 3 2 2 3 2 2" xfId="9280"/>
    <cellStyle name="Normal 4 2 3 2 2 3 2 2 2" xfId="9281"/>
    <cellStyle name="Normal 4 2 3 2 2 3 2 3" xfId="9282"/>
    <cellStyle name="Normal 4 2 3 2 2 3 2 4" xfId="9283"/>
    <cellStyle name="Normal 4 2 3 2 2 3 2 5" xfId="9284"/>
    <cellStyle name="Normal 4 2 3 2 2 3 3" xfId="9285"/>
    <cellStyle name="Normal 4 2 3 2 2 3 3 2" xfId="9286"/>
    <cellStyle name="Normal 4 2 3 2 2 3 4" xfId="9287"/>
    <cellStyle name="Normal 4 2 3 2 2 3 5" xfId="9288"/>
    <cellStyle name="Normal 4 2 3 2 2 3 6" xfId="9289"/>
    <cellStyle name="Normal 4 2 3 2 2 4" xfId="9290"/>
    <cellStyle name="Normal 4 2 3 2 2 4 2" xfId="9291"/>
    <cellStyle name="Normal 4 2 3 2 2 4 2 2" xfId="9292"/>
    <cellStyle name="Normal 4 2 3 2 2 4 3" xfId="9293"/>
    <cellStyle name="Normal 4 2 3 2 2 4 4" xfId="9294"/>
    <cellStyle name="Normal 4 2 3 2 2 4 5" xfId="9295"/>
    <cellStyle name="Normal 4 2 3 2 2 5" xfId="9296"/>
    <cellStyle name="Normal 4 2 3 2 2 5 2" xfId="9297"/>
    <cellStyle name="Normal 4 2 3 2 2 5 2 2" xfId="9298"/>
    <cellStyle name="Normal 4 2 3 2 2 5 3" xfId="9299"/>
    <cellStyle name="Normal 4 2 3 2 2 5 4" xfId="9300"/>
    <cellStyle name="Normal 4 2 3 2 2 5 5" xfId="9301"/>
    <cellStyle name="Normal 4 2 3 2 2 6" xfId="9302"/>
    <cellStyle name="Normal 4 2 3 2 2 6 2" xfId="9303"/>
    <cellStyle name="Normal 4 2 3 2 2 7" xfId="9304"/>
    <cellStyle name="Normal 4 2 3 2 2 8" xfId="9305"/>
    <cellStyle name="Normal 4 2 3 2 2 9" xfId="9306"/>
    <cellStyle name="Normal 4 2 3 2 3" xfId="9307"/>
    <cellStyle name="Normal 4 2 3 2 3 2" xfId="9308"/>
    <cellStyle name="Normal 4 2 3 2 3 2 2" xfId="9309"/>
    <cellStyle name="Normal 4 2 3 2 3 2 2 2" xfId="9310"/>
    <cellStyle name="Normal 4 2 3 2 3 2 2 3" xfId="9311"/>
    <cellStyle name="Normal 4 2 3 2 3 2 3" xfId="9312"/>
    <cellStyle name="Normal 4 2 3 2 3 2 3 2" xfId="9313"/>
    <cellStyle name="Normal 4 2 3 2 3 2 4" xfId="9314"/>
    <cellStyle name="Normal 4 2 3 2 3 2 5" xfId="9315"/>
    <cellStyle name="Normal 4 2 3 2 3 3" xfId="9316"/>
    <cellStyle name="Normal 4 2 3 2 3 3 2" xfId="9317"/>
    <cellStyle name="Normal 4 2 3 2 3 3 3" xfId="9318"/>
    <cellStyle name="Normal 4 2 3 2 3 4" xfId="9319"/>
    <cellStyle name="Normal 4 2 3 2 3 4 2" xfId="9320"/>
    <cellStyle name="Normal 4 2 3 2 3 5" xfId="9321"/>
    <cellStyle name="Normal 4 2 3 2 3 6" xfId="9322"/>
    <cellStyle name="Normal 4 2 3 2 4" xfId="9323"/>
    <cellStyle name="Normal 4 2 3 2 4 2" xfId="9324"/>
    <cellStyle name="Normal 4 2 3 2 4 2 2" xfId="9325"/>
    <cellStyle name="Normal 4 2 3 2 4 2 2 2" xfId="9326"/>
    <cellStyle name="Normal 4 2 3 2 4 2 3" xfId="9327"/>
    <cellStyle name="Normal 4 2 3 2 4 2 4" xfId="9328"/>
    <cellStyle name="Normal 4 2 3 2 4 2 5" xfId="9329"/>
    <cellStyle name="Normal 4 2 3 2 4 3" xfId="9330"/>
    <cellStyle name="Normal 4 2 3 2 4 3 2" xfId="9331"/>
    <cellStyle name="Normal 4 2 3 2 4 4" xfId="9332"/>
    <cellStyle name="Normal 4 2 3 2 4 5" xfId="9333"/>
    <cellStyle name="Normal 4 2 3 2 4 6" xfId="9334"/>
    <cellStyle name="Normal 4 2 3 2 5" xfId="9335"/>
    <cellStyle name="Normal 4 2 3 2 5 2" xfId="9336"/>
    <cellStyle name="Normal 4 2 3 2 5 2 2" xfId="9337"/>
    <cellStyle name="Normal 4 2 3 2 5 3" xfId="9338"/>
    <cellStyle name="Normal 4 2 3 2 5 4" xfId="9339"/>
    <cellStyle name="Normal 4 2 3 2 5 5" xfId="9340"/>
    <cellStyle name="Normal 4 2 3 2 6" xfId="9341"/>
    <cellStyle name="Normal 4 2 3 2 6 2" xfId="9342"/>
    <cellStyle name="Normal 4 2 3 2 6 2 2" xfId="9343"/>
    <cellStyle name="Normal 4 2 3 2 6 3" xfId="9344"/>
    <cellStyle name="Normal 4 2 3 2 6 4" xfId="9345"/>
    <cellStyle name="Normal 4 2 3 2 6 5" xfId="9346"/>
    <cellStyle name="Normal 4 2 3 2 7" xfId="9347"/>
    <cellStyle name="Normal 4 2 3 2 7 2" xfId="9348"/>
    <cellStyle name="Normal 4 2 3 2 8" xfId="9349"/>
    <cellStyle name="Normal 4 2 3 2 9" xfId="9350"/>
    <cellStyle name="Normal 4 2 3 3" xfId="9351"/>
    <cellStyle name="Normal 4 2 3 3 2" xfId="9352"/>
    <cellStyle name="Normal 4 2 3 3 2 2" xfId="9353"/>
    <cellStyle name="Normal 4 2 3 3 2 2 2" xfId="9354"/>
    <cellStyle name="Normal 4 2 3 3 2 2 2 2" xfId="9355"/>
    <cellStyle name="Normal 4 2 3 3 2 2 2 3" xfId="9356"/>
    <cellStyle name="Normal 4 2 3 3 2 2 3" xfId="9357"/>
    <cellStyle name="Normal 4 2 3 3 2 2 3 2" xfId="9358"/>
    <cellStyle name="Normal 4 2 3 3 2 2 4" xfId="9359"/>
    <cellStyle name="Normal 4 2 3 3 2 2 5" xfId="9360"/>
    <cellStyle name="Normal 4 2 3 3 2 3" xfId="9361"/>
    <cellStyle name="Normal 4 2 3 3 2 3 2" xfId="9362"/>
    <cellStyle name="Normal 4 2 3 3 2 3 3" xfId="9363"/>
    <cellStyle name="Normal 4 2 3 3 2 4" xfId="9364"/>
    <cellStyle name="Normal 4 2 3 3 2 4 2" xfId="9365"/>
    <cellStyle name="Normal 4 2 3 3 2 5" xfId="9366"/>
    <cellStyle name="Normal 4 2 3 3 2 6" xfId="9367"/>
    <cellStyle name="Normal 4 2 3 3 3" xfId="9368"/>
    <cellStyle name="Normal 4 2 3 3 3 2" xfId="9369"/>
    <cellStyle name="Normal 4 2 3 3 3 2 2" xfId="9370"/>
    <cellStyle name="Normal 4 2 3 3 3 2 2 2" xfId="9371"/>
    <cellStyle name="Normal 4 2 3 3 3 2 3" xfId="9372"/>
    <cellStyle name="Normal 4 2 3 3 3 2 4" xfId="9373"/>
    <cellStyle name="Normal 4 2 3 3 3 2 5" xfId="9374"/>
    <cellStyle name="Normal 4 2 3 3 3 3" xfId="9375"/>
    <cellStyle name="Normal 4 2 3 3 3 3 2" xfId="9376"/>
    <cellStyle name="Normal 4 2 3 3 3 4" xfId="9377"/>
    <cellStyle name="Normal 4 2 3 3 3 5" xfId="9378"/>
    <cellStyle name="Normal 4 2 3 3 3 6" xfId="9379"/>
    <cellStyle name="Normal 4 2 3 3 4" xfId="9380"/>
    <cellStyle name="Normal 4 2 3 3 4 2" xfId="9381"/>
    <cellStyle name="Normal 4 2 3 3 4 2 2" xfId="9382"/>
    <cellStyle name="Normal 4 2 3 3 4 3" xfId="9383"/>
    <cellStyle name="Normal 4 2 3 3 4 4" xfId="9384"/>
    <cellStyle name="Normal 4 2 3 3 4 5" xfId="9385"/>
    <cellStyle name="Normal 4 2 3 3 5" xfId="9386"/>
    <cellStyle name="Normal 4 2 3 3 5 2" xfId="9387"/>
    <cellStyle name="Normal 4 2 3 3 5 2 2" xfId="9388"/>
    <cellStyle name="Normal 4 2 3 3 5 3" xfId="9389"/>
    <cellStyle name="Normal 4 2 3 3 5 4" xfId="9390"/>
    <cellStyle name="Normal 4 2 3 3 5 5" xfId="9391"/>
    <cellStyle name="Normal 4 2 3 3 6" xfId="9392"/>
    <cellStyle name="Normal 4 2 3 3 6 2" xfId="9393"/>
    <cellStyle name="Normal 4 2 3 3 7" xfId="9394"/>
    <cellStyle name="Normal 4 2 3 3 8" xfId="9395"/>
    <cellStyle name="Normal 4 2 3 3 9" xfId="9396"/>
    <cellStyle name="Normal 4 2 3 4" xfId="9397"/>
    <cellStyle name="Normal 4 2 3 4 2" xfId="9398"/>
    <cellStyle name="Normal 4 2 3 4 2 2" xfId="9399"/>
    <cellStyle name="Normal 4 2 3 4 2 2 2" xfId="9400"/>
    <cellStyle name="Normal 4 2 3 4 2 2 3" xfId="9401"/>
    <cellStyle name="Normal 4 2 3 4 2 3" xfId="9402"/>
    <cellStyle name="Normal 4 2 3 4 2 3 2" xfId="9403"/>
    <cellStyle name="Normal 4 2 3 4 2 4" xfId="9404"/>
    <cellStyle name="Normal 4 2 3 4 2 5" xfId="9405"/>
    <cellStyle name="Normal 4 2 3 4 3" xfId="9406"/>
    <cellStyle name="Normal 4 2 3 4 3 2" xfId="9407"/>
    <cellStyle name="Normal 4 2 3 4 3 3" xfId="9408"/>
    <cellStyle name="Normal 4 2 3 4 4" xfId="9409"/>
    <cellStyle name="Normal 4 2 3 4 4 2" xfId="9410"/>
    <cellStyle name="Normal 4 2 3 4 5" xfId="9411"/>
    <cellStyle name="Normal 4 2 3 4 6" xfId="9412"/>
    <cellStyle name="Normal 4 2 3 5" xfId="9413"/>
    <cellStyle name="Normal 4 2 3 5 2" xfId="9414"/>
    <cellStyle name="Normal 4 2 3 5 2 2" xfId="9415"/>
    <cellStyle name="Normal 4 2 3 5 2 2 2" xfId="9416"/>
    <cellStyle name="Normal 4 2 3 5 2 3" xfId="9417"/>
    <cellStyle name="Normal 4 2 3 5 2 4" xfId="9418"/>
    <cellStyle name="Normal 4 2 3 5 2 5" xfId="9419"/>
    <cellStyle name="Normal 4 2 3 5 3" xfId="9420"/>
    <cellStyle name="Normal 4 2 3 5 3 2" xfId="9421"/>
    <cellStyle name="Normal 4 2 3 5 4" xfId="9422"/>
    <cellStyle name="Normal 4 2 3 5 5" xfId="9423"/>
    <cellStyle name="Normal 4 2 3 5 6" xfId="9424"/>
    <cellStyle name="Normal 4 2 3 6" xfId="9425"/>
    <cellStyle name="Normal 4 2 3 6 2" xfId="9426"/>
    <cellStyle name="Normal 4 2 3 6 2 2" xfId="9427"/>
    <cellStyle name="Normal 4 2 3 6 3" xfId="9428"/>
    <cellStyle name="Normal 4 2 3 6 4" xfId="9429"/>
    <cellStyle name="Normal 4 2 3 6 5" xfId="9430"/>
    <cellStyle name="Normal 4 2 3 7" xfId="9431"/>
    <cellStyle name="Normal 4 2 3 7 2" xfId="9432"/>
    <cellStyle name="Normal 4 2 3 7 2 2" xfId="9433"/>
    <cellStyle name="Normal 4 2 3 7 3" xfId="9434"/>
    <cellStyle name="Normal 4 2 3 7 4" xfId="9435"/>
    <cellStyle name="Normal 4 2 3 7 5" xfId="9436"/>
    <cellStyle name="Normal 4 2 3 8" xfId="9437"/>
    <cellStyle name="Normal 4 2 3 8 2" xfId="9438"/>
    <cellStyle name="Normal 4 2 3 9" xfId="9439"/>
    <cellStyle name="Normal 4 2 4" xfId="9440"/>
    <cellStyle name="Normal 4 2 4 10" xfId="9441"/>
    <cellStyle name="Normal 4 2 4 2" xfId="9442"/>
    <cellStyle name="Normal 4 2 4 2 2" xfId="9443"/>
    <cellStyle name="Normal 4 2 4 2 2 2" xfId="9444"/>
    <cellStyle name="Normal 4 2 4 2 2 2 2" xfId="9445"/>
    <cellStyle name="Normal 4 2 4 2 2 2 2 2" xfId="9446"/>
    <cellStyle name="Normal 4 2 4 2 2 2 2 3" xfId="9447"/>
    <cellStyle name="Normal 4 2 4 2 2 2 3" xfId="9448"/>
    <cellStyle name="Normal 4 2 4 2 2 2 3 2" xfId="9449"/>
    <cellStyle name="Normal 4 2 4 2 2 2 4" xfId="9450"/>
    <cellStyle name="Normal 4 2 4 2 2 2 5" xfId="9451"/>
    <cellStyle name="Normal 4 2 4 2 2 3" xfId="9452"/>
    <cellStyle name="Normal 4 2 4 2 2 3 2" xfId="9453"/>
    <cellStyle name="Normal 4 2 4 2 2 3 3" xfId="9454"/>
    <cellStyle name="Normal 4 2 4 2 2 4" xfId="9455"/>
    <cellStyle name="Normal 4 2 4 2 2 4 2" xfId="9456"/>
    <cellStyle name="Normal 4 2 4 2 2 5" xfId="9457"/>
    <cellStyle name="Normal 4 2 4 2 2 6" xfId="9458"/>
    <cellStyle name="Normal 4 2 4 2 3" xfId="9459"/>
    <cellStyle name="Normal 4 2 4 2 3 2" xfId="9460"/>
    <cellStyle name="Normal 4 2 4 2 3 2 2" xfId="9461"/>
    <cellStyle name="Normal 4 2 4 2 3 2 2 2" xfId="9462"/>
    <cellStyle name="Normal 4 2 4 2 3 2 3" xfId="9463"/>
    <cellStyle name="Normal 4 2 4 2 3 2 4" xfId="9464"/>
    <cellStyle name="Normal 4 2 4 2 3 2 5" xfId="9465"/>
    <cellStyle name="Normal 4 2 4 2 3 3" xfId="9466"/>
    <cellStyle name="Normal 4 2 4 2 3 3 2" xfId="9467"/>
    <cellStyle name="Normal 4 2 4 2 3 4" xfId="9468"/>
    <cellStyle name="Normal 4 2 4 2 3 5" xfId="9469"/>
    <cellStyle name="Normal 4 2 4 2 3 6" xfId="9470"/>
    <cellStyle name="Normal 4 2 4 2 4" xfId="9471"/>
    <cellStyle name="Normal 4 2 4 2 4 2" xfId="9472"/>
    <cellStyle name="Normal 4 2 4 2 4 2 2" xfId="9473"/>
    <cellStyle name="Normal 4 2 4 2 4 3" xfId="9474"/>
    <cellStyle name="Normal 4 2 4 2 4 4" xfId="9475"/>
    <cellStyle name="Normal 4 2 4 2 4 5" xfId="9476"/>
    <cellStyle name="Normal 4 2 4 2 5" xfId="9477"/>
    <cellStyle name="Normal 4 2 4 2 5 2" xfId="9478"/>
    <cellStyle name="Normal 4 2 4 2 5 2 2" xfId="9479"/>
    <cellStyle name="Normal 4 2 4 2 5 3" xfId="9480"/>
    <cellStyle name="Normal 4 2 4 2 5 4" xfId="9481"/>
    <cellStyle name="Normal 4 2 4 2 5 5" xfId="9482"/>
    <cellStyle name="Normal 4 2 4 2 6" xfId="9483"/>
    <cellStyle name="Normal 4 2 4 2 6 2" xfId="9484"/>
    <cellStyle name="Normal 4 2 4 2 7" xfId="9485"/>
    <cellStyle name="Normal 4 2 4 2 8" xfId="9486"/>
    <cellStyle name="Normal 4 2 4 2 9" xfId="9487"/>
    <cellStyle name="Normal 4 2 4 3" xfId="9488"/>
    <cellStyle name="Normal 4 2 4 3 2" xfId="9489"/>
    <cellStyle name="Normal 4 2 4 3 2 2" xfId="9490"/>
    <cellStyle name="Normal 4 2 4 3 2 2 2" xfId="9491"/>
    <cellStyle name="Normal 4 2 4 3 2 2 3" xfId="9492"/>
    <cellStyle name="Normal 4 2 4 3 2 3" xfId="9493"/>
    <cellStyle name="Normal 4 2 4 3 2 3 2" xfId="9494"/>
    <cellStyle name="Normal 4 2 4 3 2 4" xfId="9495"/>
    <cellStyle name="Normal 4 2 4 3 2 5" xfId="9496"/>
    <cellStyle name="Normal 4 2 4 3 3" xfId="9497"/>
    <cellStyle name="Normal 4 2 4 3 3 2" xfId="9498"/>
    <cellStyle name="Normal 4 2 4 3 3 3" xfId="9499"/>
    <cellStyle name="Normal 4 2 4 3 4" xfId="9500"/>
    <cellStyle name="Normal 4 2 4 3 4 2" xfId="9501"/>
    <cellStyle name="Normal 4 2 4 3 5" xfId="9502"/>
    <cellStyle name="Normal 4 2 4 3 6" xfId="9503"/>
    <cellStyle name="Normal 4 2 4 4" xfId="9504"/>
    <cellStyle name="Normal 4 2 4 4 2" xfId="9505"/>
    <cellStyle name="Normal 4 2 4 4 2 2" xfId="9506"/>
    <cellStyle name="Normal 4 2 4 4 2 2 2" xfId="9507"/>
    <cellStyle name="Normal 4 2 4 4 2 3" xfId="9508"/>
    <cellStyle name="Normal 4 2 4 4 2 4" xfId="9509"/>
    <cellStyle name="Normal 4 2 4 4 2 5" xfId="9510"/>
    <cellStyle name="Normal 4 2 4 4 3" xfId="9511"/>
    <cellStyle name="Normal 4 2 4 4 3 2" xfId="9512"/>
    <cellStyle name="Normal 4 2 4 4 4" xfId="9513"/>
    <cellStyle name="Normal 4 2 4 4 5" xfId="9514"/>
    <cellStyle name="Normal 4 2 4 4 6" xfId="9515"/>
    <cellStyle name="Normal 4 2 4 5" xfId="9516"/>
    <cellStyle name="Normal 4 2 4 5 2" xfId="9517"/>
    <cellStyle name="Normal 4 2 4 5 2 2" xfId="9518"/>
    <cellStyle name="Normal 4 2 4 5 3" xfId="9519"/>
    <cellStyle name="Normal 4 2 4 5 4" xfId="9520"/>
    <cellStyle name="Normal 4 2 4 5 5" xfId="9521"/>
    <cellStyle name="Normal 4 2 4 6" xfId="9522"/>
    <cellStyle name="Normal 4 2 4 6 2" xfId="9523"/>
    <cellStyle name="Normal 4 2 4 6 2 2" xfId="9524"/>
    <cellStyle name="Normal 4 2 4 6 3" xfId="9525"/>
    <cellStyle name="Normal 4 2 4 6 4" xfId="9526"/>
    <cellStyle name="Normal 4 2 4 6 5" xfId="9527"/>
    <cellStyle name="Normal 4 2 4 7" xfId="9528"/>
    <cellStyle name="Normal 4 2 4 7 2" xfId="9529"/>
    <cellStyle name="Normal 4 2 4 8" xfId="9530"/>
    <cellStyle name="Normal 4 2 4 9" xfId="9531"/>
    <cellStyle name="Normal 4 2 5" xfId="9532"/>
    <cellStyle name="Normal 4 2 5 2" xfId="9533"/>
    <cellStyle name="Normal 4 2 5 2 2" xfId="9534"/>
    <cellStyle name="Normal 4 2 5 2 2 2" xfId="9535"/>
    <cellStyle name="Normal 4 2 5 2 2 2 2" xfId="9536"/>
    <cellStyle name="Normal 4 2 5 2 2 2 3" xfId="9537"/>
    <cellStyle name="Normal 4 2 5 2 2 3" xfId="9538"/>
    <cellStyle name="Normal 4 2 5 2 2 3 2" xfId="9539"/>
    <cellStyle name="Normal 4 2 5 2 2 4" xfId="9540"/>
    <cellStyle name="Normal 4 2 5 2 2 5" xfId="9541"/>
    <cellStyle name="Normal 4 2 5 2 3" xfId="9542"/>
    <cellStyle name="Normal 4 2 5 2 3 2" xfId="9543"/>
    <cellStyle name="Normal 4 2 5 2 3 3" xfId="9544"/>
    <cellStyle name="Normal 4 2 5 2 4" xfId="9545"/>
    <cellStyle name="Normal 4 2 5 2 4 2" xfId="9546"/>
    <cellStyle name="Normal 4 2 5 2 5" xfId="9547"/>
    <cellStyle name="Normal 4 2 5 2 6" xfId="9548"/>
    <cellStyle name="Normal 4 2 5 3" xfId="9549"/>
    <cellStyle name="Normal 4 2 5 3 2" xfId="9550"/>
    <cellStyle name="Normal 4 2 5 3 2 2" xfId="9551"/>
    <cellStyle name="Normal 4 2 5 3 2 2 2" xfId="9552"/>
    <cellStyle name="Normal 4 2 5 3 2 3" xfId="9553"/>
    <cellStyle name="Normal 4 2 5 3 2 4" xfId="9554"/>
    <cellStyle name="Normal 4 2 5 3 2 5" xfId="9555"/>
    <cellStyle name="Normal 4 2 5 3 3" xfId="9556"/>
    <cellStyle name="Normal 4 2 5 3 3 2" xfId="9557"/>
    <cellStyle name="Normal 4 2 5 3 4" xfId="9558"/>
    <cellStyle name="Normal 4 2 5 3 5" xfId="9559"/>
    <cellStyle name="Normal 4 2 5 3 6" xfId="9560"/>
    <cellStyle name="Normal 4 2 5 4" xfId="9561"/>
    <cellStyle name="Normal 4 2 5 4 2" xfId="9562"/>
    <cellStyle name="Normal 4 2 5 4 2 2" xfId="9563"/>
    <cellStyle name="Normal 4 2 5 4 3" xfId="9564"/>
    <cellStyle name="Normal 4 2 5 4 4" xfId="9565"/>
    <cellStyle name="Normal 4 2 5 4 5" xfId="9566"/>
    <cellStyle name="Normal 4 2 5 5" xfId="9567"/>
    <cellStyle name="Normal 4 2 5 5 2" xfId="9568"/>
    <cellStyle name="Normal 4 2 5 5 2 2" xfId="9569"/>
    <cellStyle name="Normal 4 2 5 5 3" xfId="9570"/>
    <cellStyle name="Normal 4 2 5 5 4" xfId="9571"/>
    <cellStyle name="Normal 4 2 5 5 5" xfId="9572"/>
    <cellStyle name="Normal 4 2 5 6" xfId="9573"/>
    <cellStyle name="Normal 4 2 5 6 2" xfId="9574"/>
    <cellStyle name="Normal 4 2 5 7" xfId="9575"/>
    <cellStyle name="Normal 4 2 5 8" xfId="9576"/>
    <cellStyle name="Normal 4 2 5 9" xfId="9577"/>
    <cellStyle name="Normal 4 2 6" xfId="9578"/>
    <cellStyle name="Normal 4 2 6 2" xfId="9579"/>
    <cellStyle name="Normal 4 2 6 2 2" xfId="9580"/>
    <cellStyle name="Normal 4 2 6 2 2 2" xfId="9581"/>
    <cellStyle name="Normal 4 2 6 2 2 3" xfId="9582"/>
    <cellStyle name="Normal 4 2 6 2 3" xfId="9583"/>
    <cellStyle name="Normal 4 2 6 2 3 2" xfId="9584"/>
    <cellStyle name="Normal 4 2 6 2 4" xfId="9585"/>
    <cellStyle name="Normal 4 2 6 2 5" xfId="9586"/>
    <cellStyle name="Normal 4 2 6 3" xfId="9587"/>
    <cellStyle name="Normal 4 2 6 3 2" xfId="9588"/>
    <cellStyle name="Normal 4 2 6 3 3" xfId="9589"/>
    <cellStyle name="Normal 4 2 6 4" xfId="9590"/>
    <cellStyle name="Normal 4 2 6 4 2" xfId="9591"/>
    <cellStyle name="Normal 4 2 6 5" xfId="9592"/>
    <cellStyle name="Normal 4 2 6 6" xfId="9593"/>
    <cellStyle name="Normal 4 2 7" xfId="9594"/>
    <cellStyle name="Normal 4 2 7 2" xfId="9595"/>
    <cellStyle name="Normal 4 2 7 2 2" xfId="9596"/>
    <cellStyle name="Normal 4 2 7 2 2 2" xfId="9597"/>
    <cellStyle name="Normal 4 2 7 2 3" xfId="9598"/>
    <cellStyle name="Normal 4 2 7 2 4" xfId="9599"/>
    <cellStyle name="Normal 4 2 7 2 5" xfId="9600"/>
    <cellStyle name="Normal 4 2 7 3" xfId="9601"/>
    <cellStyle name="Normal 4 2 7 3 2" xfId="9602"/>
    <cellStyle name="Normal 4 2 7 4" xfId="9603"/>
    <cellStyle name="Normal 4 2 7 5" xfId="9604"/>
    <cellStyle name="Normal 4 2 7 6" xfId="9605"/>
    <cellStyle name="Normal 4 2 8" xfId="9606"/>
    <cellStyle name="Normal 4 2 8 2" xfId="9607"/>
    <cellStyle name="Normal 4 2 8 2 2" xfId="9608"/>
    <cellStyle name="Normal 4 2 8 3" xfId="9609"/>
    <cellStyle name="Normal 4 2 8 4" xfId="9610"/>
    <cellStyle name="Normal 4 2 8 5" xfId="9611"/>
    <cellStyle name="Normal 4 2 9" xfId="9612"/>
    <cellStyle name="Normal 4 2 9 2" xfId="9613"/>
    <cellStyle name="Normal 4 2 9 2 2" xfId="9614"/>
    <cellStyle name="Normal 4 2 9 3" xfId="9615"/>
    <cellStyle name="Normal 4 2 9 4" xfId="9616"/>
    <cellStyle name="Normal 4 2 9 5" xfId="9617"/>
    <cellStyle name="Normal 4 3" xfId="2103"/>
    <cellStyle name="Normal 4 3 2" xfId="9618"/>
    <cellStyle name="Normal 4 3 2 2" xfId="9619"/>
    <cellStyle name="Normal 4 3 2 2 2" xfId="9620"/>
    <cellStyle name="Normal 4 3 2 2 2 2" xfId="9621"/>
    <cellStyle name="Normal 4 3 2 2 3" xfId="9622"/>
    <cellStyle name="Normal 4 3 2 3" xfId="9623"/>
    <cellStyle name="Normal 4 3 2 3 2" xfId="9624"/>
    <cellStyle name="Normal 4 3 2 4" xfId="9625"/>
    <cellStyle name="Normal 4 3 2 5" xfId="9626"/>
    <cellStyle name="Normal 4 3 3" xfId="9627"/>
    <cellStyle name="Normal 4 3 3 2" xfId="9628"/>
    <cellStyle name="Normal 4 3 3 2 2" xfId="9629"/>
    <cellStyle name="Normal 4 3 3 3" xfId="9630"/>
    <cellStyle name="Normal 4 3 4" xfId="9631"/>
    <cellStyle name="Normal 4 3 4 2" xfId="9632"/>
    <cellStyle name="Normal 4 3 5" xfId="9633"/>
    <cellStyle name="Normal 4 3 6" xfId="9634"/>
    <cellStyle name="Normal 4 4" xfId="9635"/>
    <cellStyle name="Normal 4 4 2" xfId="9636"/>
    <cellStyle name="Normal 4 4 2 2" xfId="9637"/>
    <cellStyle name="Normal 4 4 2 2 2" xfId="9638"/>
    <cellStyle name="Normal 4 4 2 2 3" xfId="9639"/>
    <cellStyle name="Normal 4 4 2 3" xfId="9640"/>
    <cellStyle name="Normal 4 4 2 4" xfId="9641"/>
    <cellStyle name="Normal 4 4 3" xfId="9642"/>
    <cellStyle name="Normal 4 4 3 2" xfId="9643"/>
    <cellStyle name="Normal 4 4 3 3" xfId="9644"/>
    <cellStyle name="Normal 4 4 4" xfId="9645"/>
    <cellStyle name="Normal 4 4 5" xfId="9646"/>
    <cellStyle name="Normal 4 4 6" xfId="9647"/>
    <cellStyle name="Normal 4 4 7" xfId="9648"/>
    <cellStyle name="Normal 4 5" xfId="9649"/>
    <cellStyle name="Normal 4 5 2" xfId="9650"/>
    <cellStyle name="Normal 4 5 2 2" xfId="9651"/>
    <cellStyle name="Normal 4 5 2 3" xfId="9652"/>
    <cellStyle name="Normal 4 5 3" xfId="9653"/>
    <cellStyle name="Normal 4 5 4" xfId="9654"/>
    <cellStyle name="Normal 4 6" xfId="9655"/>
    <cellStyle name="Normal 4 6 2" xfId="9656"/>
    <cellStyle name="Normal 4 6 3" xfId="9657"/>
    <cellStyle name="Normal 4 7" xfId="9658"/>
    <cellStyle name="Normal 4 7 2" xfId="9659"/>
    <cellStyle name="Normal 4 8" xfId="9660"/>
    <cellStyle name="Normal 4 9" xfId="9661"/>
    <cellStyle name="Normal 4_Regenerated Revenues LGE Gas 10312009" xfId="9662"/>
    <cellStyle name="Normal 40" xfId="1847"/>
    <cellStyle name="Normal 40 2" xfId="9663"/>
    <cellStyle name="Normal 41" xfId="9664"/>
    <cellStyle name="Normal 41 2" xfId="9665"/>
    <cellStyle name="Normal 42" xfId="1848"/>
    <cellStyle name="Normal 42 2" xfId="9666"/>
    <cellStyle name="Normal 42 3" xfId="9667"/>
    <cellStyle name="Normal 42 4" xfId="9668"/>
    <cellStyle name="Normal 43" xfId="1849"/>
    <cellStyle name="Normal 43 2" xfId="9669"/>
    <cellStyle name="Normal 43 3" xfId="9670"/>
    <cellStyle name="Normal 44" xfId="9671"/>
    <cellStyle name="Normal 44 2" xfId="9672"/>
    <cellStyle name="Normal 44 3" xfId="9673"/>
    <cellStyle name="Normal 45" xfId="1850"/>
    <cellStyle name="Normal 45 2" xfId="9674"/>
    <cellStyle name="Normal 45 3" xfId="9675"/>
    <cellStyle name="Normal 46" xfId="1851"/>
    <cellStyle name="Normal 46 2" xfId="9676"/>
    <cellStyle name="Normal 46 3" xfId="9677"/>
    <cellStyle name="Normal 47" xfId="2113"/>
    <cellStyle name="Normal 47 2" xfId="9678"/>
    <cellStyle name="Normal 47 3" xfId="9679"/>
    <cellStyle name="Normal 48" xfId="1852"/>
    <cellStyle name="Normal 48 2" xfId="9680"/>
    <cellStyle name="Normal 48 3" xfId="9681"/>
    <cellStyle name="Normal 49" xfId="1853"/>
    <cellStyle name="Normal 49 2" xfId="9682"/>
    <cellStyle name="Normal 49 3" xfId="9683"/>
    <cellStyle name="Normal 5" xfId="1854"/>
    <cellStyle name="Normal 5 10" xfId="9684"/>
    <cellStyle name="Normal 5 10 2" xfId="9685"/>
    <cellStyle name="Normal 5 10 2 2" xfId="9686"/>
    <cellStyle name="Normal 5 10 2 2 2" xfId="9687"/>
    <cellStyle name="Normal 5 10 2 3" xfId="9688"/>
    <cellStyle name="Normal 5 10 3" xfId="9689"/>
    <cellStyle name="Normal 5 10 3 2" xfId="9690"/>
    <cellStyle name="Normal 5 10 4" xfId="9691"/>
    <cellStyle name="Normal 5 11" xfId="9692"/>
    <cellStyle name="Normal 5 11 2" xfId="9693"/>
    <cellStyle name="Normal 5 11 2 2" xfId="9694"/>
    <cellStyle name="Normal 5 11 3" xfId="9695"/>
    <cellStyle name="Normal 5 12" xfId="9696"/>
    <cellStyle name="Normal 5 12 2" xfId="9697"/>
    <cellStyle name="Normal 5 2" xfId="9698"/>
    <cellStyle name="Normal 5 2 10" xfId="9699"/>
    <cellStyle name="Normal 5 2 11" xfId="9700"/>
    <cellStyle name="Normal 5 2 2" xfId="9701"/>
    <cellStyle name="Normal 5 2 2 2" xfId="9702"/>
    <cellStyle name="Normal 5 2 2 2 2" xfId="9703"/>
    <cellStyle name="Normal 5 2 2 2 2 2" xfId="9704"/>
    <cellStyle name="Normal 5 2 2 2 2 2 2" xfId="9705"/>
    <cellStyle name="Normal 5 2 2 2 2 2 2 2" xfId="9706"/>
    <cellStyle name="Normal 5 2 2 2 2 2 2 2 2" xfId="9707"/>
    <cellStyle name="Normal 5 2 2 2 2 2 2 3" xfId="9708"/>
    <cellStyle name="Normal 5 2 2 2 2 2 3" xfId="9709"/>
    <cellStyle name="Normal 5 2 2 2 2 2 3 2" xfId="9710"/>
    <cellStyle name="Normal 5 2 2 2 2 2 4" xfId="9711"/>
    <cellStyle name="Normal 5 2 2 2 2 3" xfId="9712"/>
    <cellStyle name="Normal 5 2 2 2 2 3 2" xfId="9713"/>
    <cellStyle name="Normal 5 2 2 2 2 3 2 2" xfId="9714"/>
    <cellStyle name="Normal 5 2 2 2 2 3 3" xfId="9715"/>
    <cellStyle name="Normal 5 2 2 2 2 4" xfId="9716"/>
    <cellStyle name="Normal 5 2 2 2 2 4 2" xfId="9717"/>
    <cellStyle name="Normal 5 2 2 2 2 5" xfId="9718"/>
    <cellStyle name="Normal 5 2 2 2 2 6" xfId="9719"/>
    <cellStyle name="Normal 5 2 2 2 3" xfId="9720"/>
    <cellStyle name="Normal 5 2 2 2 3 2" xfId="9721"/>
    <cellStyle name="Normal 5 2 2 2 3 2 2" xfId="9722"/>
    <cellStyle name="Normal 5 2 2 2 3 2 2 2" xfId="9723"/>
    <cellStyle name="Normal 5 2 2 2 3 2 3" xfId="9724"/>
    <cellStyle name="Normal 5 2 2 2 3 3" xfId="9725"/>
    <cellStyle name="Normal 5 2 2 2 3 3 2" xfId="9726"/>
    <cellStyle name="Normal 5 2 2 2 3 4" xfId="9727"/>
    <cellStyle name="Normal 5 2 2 2 4" xfId="9728"/>
    <cellStyle name="Normal 5 2 2 2 4 2" xfId="9729"/>
    <cellStyle name="Normal 5 2 2 2 4 2 2" xfId="9730"/>
    <cellStyle name="Normal 5 2 2 2 4 3" xfId="9731"/>
    <cellStyle name="Normal 5 2 2 2 5" xfId="9732"/>
    <cellStyle name="Normal 5 2 2 2 5 2" xfId="9733"/>
    <cellStyle name="Normal 5 2 2 2 6" xfId="9734"/>
    <cellStyle name="Normal 5 2 2 2 7" xfId="9735"/>
    <cellStyle name="Normal 5 2 2 3" xfId="9736"/>
    <cellStyle name="Normal 5 2 2 3 2" xfId="9737"/>
    <cellStyle name="Normal 5 2 2 3 2 2" xfId="9738"/>
    <cellStyle name="Normal 5 2 2 3 2 2 2" xfId="9739"/>
    <cellStyle name="Normal 5 2 2 3 2 2 2 2" xfId="9740"/>
    <cellStyle name="Normal 5 2 2 3 2 2 3" xfId="9741"/>
    <cellStyle name="Normal 5 2 2 3 2 3" xfId="9742"/>
    <cellStyle name="Normal 5 2 2 3 2 3 2" xfId="9743"/>
    <cellStyle name="Normal 5 2 2 3 2 4" xfId="9744"/>
    <cellStyle name="Normal 5 2 2 3 3" xfId="9745"/>
    <cellStyle name="Normal 5 2 2 3 3 2" xfId="9746"/>
    <cellStyle name="Normal 5 2 2 3 3 2 2" xfId="9747"/>
    <cellStyle name="Normal 5 2 2 3 3 3" xfId="9748"/>
    <cellStyle name="Normal 5 2 2 3 4" xfId="9749"/>
    <cellStyle name="Normal 5 2 2 3 4 2" xfId="9750"/>
    <cellStyle name="Normal 5 2 2 3 5" xfId="9751"/>
    <cellStyle name="Normal 5 2 2 3 6" xfId="9752"/>
    <cellStyle name="Normal 5 2 2 4" xfId="9753"/>
    <cellStyle name="Normal 5 2 2 4 2" xfId="9754"/>
    <cellStyle name="Normal 5 2 2 4 2 2" xfId="9755"/>
    <cellStyle name="Normal 5 2 2 4 2 2 2" xfId="9756"/>
    <cellStyle name="Normal 5 2 2 4 2 2 2 2" xfId="9757"/>
    <cellStyle name="Normal 5 2 2 4 2 2 3" xfId="9758"/>
    <cellStyle name="Normal 5 2 2 4 2 3" xfId="9759"/>
    <cellStyle name="Normal 5 2 2 4 2 3 2" xfId="9760"/>
    <cellStyle name="Normal 5 2 2 4 2 4" xfId="9761"/>
    <cellStyle name="Normal 5 2 2 4 3" xfId="9762"/>
    <cellStyle name="Normal 5 2 2 4 3 2" xfId="9763"/>
    <cellStyle name="Normal 5 2 2 4 3 2 2" xfId="9764"/>
    <cellStyle name="Normal 5 2 2 4 3 3" xfId="9765"/>
    <cellStyle name="Normal 5 2 2 4 4" xfId="9766"/>
    <cellStyle name="Normal 5 2 2 4 4 2" xfId="9767"/>
    <cellStyle name="Normal 5 2 2 4 5" xfId="9768"/>
    <cellStyle name="Normal 5 2 2 5" xfId="9769"/>
    <cellStyle name="Normal 5 2 2 5 2" xfId="9770"/>
    <cellStyle name="Normal 5 2 2 5 2 2" xfId="9771"/>
    <cellStyle name="Normal 5 2 2 5 2 2 2" xfId="9772"/>
    <cellStyle name="Normal 5 2 2 5 2 3" xfId="9773"/>
    <cellStyle name="Normal 5 2 2 5 3" xfId="9774"/>
    <cellStyle name="Normal 5 2 2 5 3 2" xfId="9775"/>
    <cellStyle name="Normal 5 2 2 5 4" xfId="9776"/>
    <cellStyle name="Normal 5 2 2 6" xfId="9777"/>
    <cellStyle name="Normal 5 2 2 6 2" xfId="9778"/>
    <cellStyle name="Normal 5 2 2 6 2 2" xfId="9779"/>
    <cellStyle name="Normal 5 2 2 6 3" xfId="9780"/>
    <cellStyle name="Normal 5 2 2 7" xfId="9781"/>
    <cellStyle name="Normal 5 2 2 7 2" xfId="9782"/>
    <cellStyle name="Normal 5 2 2 8" xfId="9783"/>
    <cellStyle name="Normal 5 2 2 9" xfId="9784"/>
    <cellStyle name="Normal 5 2 3" xfId="9785"/>
    <cellStyle name="Normal 5 2 3 2" xfId="9786"/>
    <cellStyle name="Normal 5 2 3 2 2" xfId="9787"/>
    <cellStyle name="Normal 5 2 3 2 2 2" xfId="9788"/>
    <cellStyle name="Normal 5 2 3 2 2 2 2" xfId="9789"/>
    <cellStyle name="Normal 5 2 3 2 2 2 2 2" xfId="9790"/>
    <cellStyle name="Normal 5 2 3 2 2 2 3" xfId="9791"/>
    <cellStyle name="Normal 5 2 3 2 2 3" xfId="9792"/>
    <cellStyle name="Normal 5 2 3 2 2 3 2" xfId="9793"/>
    <cellStyle name="Normal 5 2 3 2 2 4" xfId="9794"/>
    <cellStyle name="Normal 5 2 3 2 3" xfId="9795"/>
    <cellStyle name="Normal 5 2 3 2 3 2" xfId="9796"/>
    <cellStyle name="Normal 5 2 3 2 3 2 2" xfId="9797"/>
    <cellStyle name="Normal 5 2 3 2 3 3" xfId="9798"/>
    <cellStyle name="Normal 5 2 3 2 4" xfId="9799"/>
    <cellStyle name="Normal 5 2 3 2 4 2" xfId="9800"/>
    <cellStyle name="Normal 5 2 3 2 5" xfId="9801"/>
    <cellStyle name="Normal 5 2 3 3" xfId="9802"/>
    <cellStyle name="Normal 5 2 3 3 2" xfId="9803"/>
    <cellStyle name="Normal 5 2 3 3 2 2" xfId="9804"/>
    <cellStyle name="Normal 5 2 3 3 2 2 2" xfId="9805"/>
    <cellStyle name="Normal 5 2 3 3 2 3" xfId="9806"/>
    <cellStyle name="Normal 5 2 3 3 3" xfId="9807"/>
    <cellStyle name="Normal 5 2 3 3 3 2" xfId="9808"/>
    <cellStyle name="Normal 5 2 3 3 4" xfId="9809"/>
    <cellStyle name="Normal 5 2 3 4" xfId="9810"/>
    <cellStyle name="Normal 5 2 3 4 2" xfId="9811"/>
    <cellStyle name="Normal 5 2 3 4 2 2" xfId="9812"/>
    <cellStyle name="Normal 5 2 3 4 3" xfId="9813"/>
    <cellStyle name="Normal 5 2 3 5" xfId="9814"/>
    <cellStyle name="Normal 5 2 3 5 2" xfId="9815"/>
    <cellStyle name="Normal 5 2 3 6" xfId="9816"/>
    <cellStyle name="Normal 5 2 3 7" xfId="9817"/>
    <cellStyle name="Normal 5 2 4" xfId="9818"/>
    <cellStyle name="Normal 5 2 4 2" xfId="9819"/>
    <cellStyle name="Normal 5 2 4 2 2" xfId="9820"/>
    <cellStyle name="Normal 5 2 4 2 2 2" xfId="9821"/>
    <cellStyle name="Normal 5 2 4 2 2 2 2" xfId="9822"/>
    <cellStyle name="Normal 5 2 4 2 2 3" xfId="9823"/>
    <cellStyle name="Normal 5 2 4 2 3" xfId="9824"/>
    <cellStyle name="Normal 5 2 4 2 3 2" xfId="9825"/>
    <cellStyle name="Normal 5 2 4 2 4" xfId="9826"/>
    <cellStyle name="Normal 5 2 4 2 5" xfId="9827"/>
    <cellStyle name="Normal 5 2 4 3" xfId="9828"/>
    <cellStyle name="Normal 5 2 4 3 2" xfId="9829"/>
    <cellStyle name="Normal 5 2 4 3 2 2" xfId="9830"/>
    <cellStyle name="Normal 5 2 4 3 3" xfId="9831"/>
    <cellStyle name="Normal 5 2 4 4" xfId="9832"/>
    <cellStyle name="Normal 5 2 4 4 2" xfId="9833"/>
    <cellStyle name="Normal 5 2 4 5" xfId="9834"/>
    <cellStyle name="Normal 5 2 4 6" xfId="9835"/>
    <cellStyle name="Normal 5 2 5" xfId="9836"/>
    <cellStyle name="Normal 5 2 5 2" xfId="9837"/>
    <cellStyle name="Normal 5 2 5 2 2" xfId="9838"/>
    <cellStyle name="Normal 5 2 5 2 2 2" xfId="9839"/>
    <cellStyle name="Normal 5 2 5 2 2 2 2" xfId="9840"/>
    <cellStyle name="Normal 5 2 5 2 2 3" xfId="9841"/>
    <cellStyle name="Normal 5 2 5 2 3" xfId="9842"/>
    <cellStyle name="Normal 5 2 5 2 3 2" xfId="9843"/>
    <cellStyle name="Normal 5 2 5 2 4" xfId="9844"/>
    <cellStyle name="Normal 5 2 5 3" xfId="9845"/>
    <cellStyle name="Normal 5 2 5 3 2" xfId="9846"/>
    <cellStyle name="Normal 5 2 5 3 2 2" xfId="9847"/>
    <cellStyle name="Normal 5 2 5 3 3" xfId="9848"/>
    <cellStyle name="Normal 5 2 5 4" xfId="9849"/>
    <cellStyle name="Normal 5 2 5 4 2" xfId="9850"/>
    <cellStyle name="Normal 5 2 5 5" xfId="9851"/>
    <cellStyle name="Normal 5 2 5 6" xfId="9852"/>
    <cellStyle name="Normal 5 2 6" xfId="9853"/>
    <cellStyle name="Normal 5 2 6 2" xfId="9854"/>
    <cellStyle name="Normal 5 2 6 2 2" xfId="9855"/>
    <cellStyle name="Normal 5 2 6 2 2 2" xfId="9856"/>
    <cellStyle name="Normal 5 2 6 2 3" xfId="9857"/>
    <cellStyle name="Normal 5 2 6 3" xfId="9858"/>
    <cellStyle name="Normal 5 2 6 3 2" xfId="9859"/>
    <cellStyle name="Normal 5 2 6 4" xfId="9860"/>
    <cellStyle name="Normal 5 2 7" xfId="9861"/>
    <cellStyle name="Normal 5 2 7 2" xfId="9862"/>
    <cellStyle name="Normal 5 2 7 2 2" xfId="9863"/>
    <cellStyle name="Normal 5 2 7 3" xfId="9864"/>
    <cellStyle name="Normal 5 2 8" xfId="9865"/>
    <cellStyle name="Normal 5 2 8 2" xfId="9866"/>
    <cellStyle name="Normal 5 2 9" xfId="9867"/>
    <cellStyle name="Normal 5 3" xfId="9868"/>
    <cellStyle name="Normal 5 3 10" xfId="9869"/>
    <cellStyle name="Normal 5 3 11" xfId="9870"/>
    <cellStyle name="Normal 5 3 2" xfId="9871"/>
    <cellStyle name="Normal 5 3 2 2" xfId="9872"/>
    <cellStyle name="Normal 5 3 2 2 2" xfId="9873"/>
    <cellStyle name="Normal 5 3 2 2 2 2" xfId="9874"/>
    <cellStyle name="Normal 5 3 2 2 2 2 2" xfId="9875"/>
    <cellStyle name="Normal 5 3 2 2 2 2 2 2" xfId="9876"/>
    <cellStyle name="Normal 5 3 2 2 2 2 2 2 2" xfId="9877"/>
    <cellStyle name="Normal 5 3 2 2 2 2 2 3" xfId="9878"/>
    <cellStyle name="Normal 5 3 2 2 2 2 3" xfId="9879"/>
    <cellStyle name="Normal 5 3 2 2 2 2 3 2" xfId="9880"/>
    <cellStyle name="Normal 5 3 2 2 2 2 4" xfId="9881"/>
    <cellStyle name="Normal 5 3 2 2 2 3" xfId="9882"/>
    <cellStyle name="Normal 5 3 2 2 2 3 2" xfId="9883"/>
    <cellStyle name="Normal 5 3 2 2 2 3 2 2" xfId="9884"/>
    <cellStyle name="Normal 5 3 2 2 2 3 3" xfId="9885"/>
    <cellStyle name="Normal 5 3 2 2 2 4" xfId="9886"/>
    <cellStyle name="Normal 5 3 2 2 2 4 2" xfId="9887"/>
    <cellStyle name="Normal 5 3 2 2 2 5" xfId="9888"/>
    <cellStyle name="Normal 5 3 2 2 3" xfId="9889"/>
    <cellStyle name="Normal 5 3 2 2 3 2" xfId="9890"/>
    <cellStyle name="Normal 5 3 2 2 3 2 2" xfId="9891"/>
    <cellStyle name="Normal 5 3 2 2 3 2 2 2" xfId="9892"/>
    <cellStyle name="Normal 5 3 2 2 3 2 3" xfId="9893"/>
    <cellStyle name="Normal 5 3 2 2 3 3" xfId="9894"/>
    <cellStyle name="Normal 5 3 2 2 3 3 2" xfId="9895"/>
    <cellStyle name="Normal 5 3 2 2 3 4" xfId="9896"/>
    <cellStyle name="Normal 5 3 2 2 4" xfId="9897"/>
    <cellStyle name="Normal 5 3 2 2 4 2" xfId="9898"/>
    <cellStyle name="Normal 5 3 2 2 4 2 2" xfId="9899"/>
    <cellStyle name="Normal 5 3 2 2 4 3" xfId="9900"/>
    <cellStyle name="Normal 5 3 2 2 5" xfId="9901"/>
    <cellStyle name="Normal 5 3 2 2 5 2" xfId="9902"/>
    <cellStyle name="Normal 5 3 2 2 6" xfId="9903"/>
    <cellStyle name="Normal 5 3 2 3" xfId="9904"/>
    <cellStyle name="Normal 5 3 2 3 2" xfId="9905"/>
    <cellStyle name="Normal 5 3 2 3 2 2" xfId="9906"/>
    <cellStyle name="Normal 5 3 2 3 2 2 2" xfId="9907"/>
    <cellStyle name="Normal 5 3 2 3 2 2 2 2" xfId="9908"/>
    <cellStyle name="Normal 5 3 2 3 2 2 3" xfId="9909"/>
    <cellStyle name="Normal 5 3 2 3 2 3" xfId="9910"/>
    <cellStyle name="Normal 5 3 2 3 2 3 2" xfId="9911"/>
    <cellStyle name="Normal 5 3 2 3 2 4" xfId="9912"/>
    <cellStyle name="Normal 5 3 2 3 3" xfId="9913"/>
    <cellStyle name="Normal 5 3 2 3 3 2" xfId="9914"/>
    <cellStyle name="Normal 5 3 2 3 3 2 2" xfId="9915"/>
    <cellStyle name="Normal 5 3 2 3 3 3" xfId="9916"/>
    <cellStyle name="Normal 5 3 2 3 4" xfId="9917"/>
    <cellStyle name="Normal 5 3 2 3 4 2" xfId="9918"/>
    <cellStyle name="Normal 5 3 2 3 5" xfId="9919"/>
    <cellStyle name="Normal 5 3 2 4" xfId="9920"/>
    <cellStyle name="Normal 5 3 2 4 2" xfId="9921"/>
    <cellStyle name="Normal 5 3 2 4 2 2" xfId="9922"/>
    <cellStyle name="Normal 5 3 2 4 2 2 2" xfId="9923"/>
    <cellStyle name="Normal 5 3 2 4 2 2 2 2" xfId="9924"/>
    <cellStyle name="Normal 5 3 2 4 2 2 3" xfId="9925"/>
    <cellStyle name="Normal 5 3 2 4 2 3" xfId="9926"/>
    <cellStyle name="Normal 5 3 2 4 2 3 2" xfId="9927"/>
    <cellStyle name="Normal 5 3 2 4 2 4" xfId="9928"/>
    <cellStyle name="Normal 5 3 2 4 3" xfId="9929"/>
    <cellStyle name="Normal 5 3 2 4 3 2" xfId="9930"/>
    <cellStyle name="Normal 5 3 2 4 3 2 2" xfId="9931"/>
    <cellStyle name="Normal 5 3 2 4 3 3" xfId="9932"/>
    <cellStyle name="Normal 5 3 2 4 4" xfId="9933"/>
    <cellStyle name="Normal 5 3 2 4 4 2" xfId="9934"/>
    <cellStyle name="Normal 5 3 2 4 5" xfId="9935"/>
    <cellStyle name="Normal 5 3 2 5" xfId="9936"/>
    <cellStyle name="Normal 5 3 2 5 2" xfId="9937"/>
    <cellStyle name="Normal 5 3 2 5 2 2" xfId="9938"/>
    <cellStyle name="Normal 5 3 2 5 2 2 2" xfId="9939"/>
    <cellStyle name="Normal 5 3 2 5 2 3" xfId="9940"/>
    <cellStyle name="Normal 5 3 2 5 3" xfId="9941"/>
    <cellStyle name="Normal 5 3 2 5 3 2" xfId="9942"/>
    <cellStyle name="Normal 5 3 2 5 4" xfId="9943"/>
    <cellStyle name="Normal 5 3 2 6" xfId="9944"/>
    <cellStyle name="Normal 5 3 2 6 2" xfId="9945"/>
    <cellStyle name="Normal 5 3 2 6 2 2" xfId="9946"/>
    <cellStyle name="Normal 5 3 2 6 3" xfId="9947"/>
    <cellStyle name="Normal 5 3 2 7" xfId="9948"/>
    <cellStyle name="Normal 5 3 2 7 2" xfId="9949"/>
    <cellStyle name="Normal 5 3 2 8" xfId="9950"/>
    <cellStyle name="Normal 5 3 3" xfId="9951"/>
    <cellStyle name="Normal 5 3 3 2" xfId="9952"/>
    <cellStyle name="Normal 5 3 3 2 2" xfId="9953"/>
    <cellStyle name="Normal 5 3 3 2 2 2" xfId="9954"/>
    <cellStyle name="Normal 5 3 3 2 2 2 2" xfId="9955"/>
    <cellStyle name="Normal 5 3 3 2 2 2 2 2" xfId="9956"/>
    <cellStyle name="Normal 5 3 3 2 2 2 3" xfId="9957"/>
    <cellStyle name="Normal 5 3 3 2 2 3" xfId="9958"/>
    <cellStyle name="Normal 5 3 3 2 2 3 2" xfId="9959"/>
    <cellStyle name="Normal 5 3 3 2 2 4" xfId="9960"/>
    <cellStyle name="Normal 5 3 3 2 3" xfId="9961"/>
    <cellStyle name="Normal 5 3 3 2 3 2" xfId="9962"/>
    <cellStyle name="Normal 5 3 3 2 3 2 2" xfId="9963"/>
    <cellStyle name="Normal 5 3 3 2 3 3" xfId="9964"/>
    <cellStyle name="Normal 5 3 3 2 4" xfId="9965"/>
    <cellStyle name="Normal 5 3 3 2 4 2" xfId="9966"/>
    <cellStyle name="Normal 5 3 3 2 5" xfId="9967"/>
    <cellStyle name="Normal 5 3 3 3" xfId="9968"/>
    <cellStyle name="Normal 5 3 3 3 2" xfId="9969"/>
    <cellStyle name="Normal 5 3 3 3 2 2" xfId="9970"/>
    <cellStyle name="Normal 5 3 3 3 2 2 2" xfId="9971"/>
    <cellStyle name="Normal 5 3 3 3 2 3" xfId="9972"/>
    <cellStyle name="Normal 5 3 3 3 3" xfId="9973"/>
    <cellStyle name="Normal 5 3 3 3 3 2" xfId="9974"/>
    <cellStyle name="Normal 5 3 3 3 4" xfId="9975"/>
    <cellStyle name="Normal 5 3 3 4" xfId="9976"/>
    <cellStyle name="Normal 5 3 3 4 2" xfId="9977"/>
    <cellStyle name="Normal 5 3 3 4 2 2" xfId="9978"/>
    <cellStyle name="Normal 5 3 3 4 3" xfId="9979"/>
    <cellStyle name="Normal 5 3 3 5" xfId="9980"/>
    <cellStyle name="Normal 5 3 3 5 2" xfId="9981"/>
    <cellStyle name="Normal 5 3 3 6" xfId="9982"/>
    <cellStyle name="Normal 5 3 4" xfId="9983"/>
    <cellStyle name="Normal 5 3 4 2" xfId="9984"/>
    <cellStyle name="Normal 5 3 4 2 2" xfId="9985"/>
    <cellStyle name="Normal 5 3 4 2 2 2" xfId="9986"/>
    <cellStyle name="Normal 5 3 4 2 2 2 2" xfId="9987"/>
    <cellStyle name="Normal 5 3 4 2 2 3" xfId="9988"/>
    <cellStyle name="Normal 5 3 4 2 3" xfId="9989"/>
    <cellStyle name="Normal 5 3 4 2 3 2" xfId="9990"/>
    <cellStyle name="Normal 5 3 4 2 4" xfId="9991"/>
    <cellStyle name="Normal 5 3 4 3" xfId="9992"/>
    <cellStyle name="Normal 5 3 4 3 2" xfId="9993"/>
    <cellStyle name="Normal 5 3 4 3 2 2" xfId="9994"/>
    <cellStyle name="Normal 5 3 4 3 3" xfId="9995"/>
    <cellStyle name="Normal 5 3 4 4" xfId="9996"/>
    <cellStyle name="Normal 5 3 4 4 2" xfId="9997"/>
    <cellStyle name="Normal 5 3 4 5" xfId="9998"/>
    <cellStyle name="Normal 5 3 5" xfId="9999"/>
    <cellStyle name="Normal 5 3 5 2" xfId="10000"/>
    <cellStyle name="Normal 5 3 5 2 2" xfId="10001"/>
    <cellStyle name="Normal 5 3 5 2 2 2" xfId="10002"/>
    <cellStyle name="Normal 5 3 5 2 2 2 2" xfId="10003"/>
    <cellStyle name="Normal 5 3 5 2 2 3" xfId="10004"/>
    <cellStyle name="Normal 5 3 5 2 3" xfId="10005"/>
    <cellStyle name="Normal 5 3 5 2 3 2" xfId="10006"/>
    <cellStyle name="Normal 5 3 5 2 4" xfId="10007"/>
    <cellStyle name="Normal 5 3 5 3" xfId="10008"/>
    <cellStyle name="Normal 5 3 5 3 2" xfId="10009"/>
    <cellStyle name="Normal 5 3 5 3 2 2" xfId="10010"/>
    <cellStyle name="Normal 5 3 5 3 3" xfId="10011"/>
    <cellStyle name="Normal 5 3 5 4" xfId="10012"/>
    <cellStyle name="Normal 5 3 5 4 2" xfId="10013"/>
    <cellStyle name="Normal 5 3 5 5" xfId="10014"/>
    <cellStyle name="Normal 5 3 6" xfId="10015"/>
    <cellStyle name="Normal 5 3 6 2" xfId="10016"/>
    <cellStyle name="Normal 5 3 6 2 2" xfId="10017"/>
    <cellStyle name="Normal 5 3 6 2 2 2" xfId="10018"/>
    <cellStyle name="Normal 5 3 6 2 3" xfId="10019"/>
    <cellStyle name="Normal 5 3 6 3" xfId="10020"/>
    <cellStyle name="Normal 5 3 6 3 2" xfId="10021"/>
    <cellStyle name="Normal 5 3 6 4" xfId="10022"/>
    <cellStyle name="Normal 5 3 7" xfId="10023"/>
    <cellStyle name="Normal 5 3 7 2" xfId="10024"/>
    <cellStyle name="Normal 5 3 7 2 2" xfId="10025"/>
    <cellStyle name="Normal 5 3 7 3" xfId="10026"/>
    <cellStyle name="Normal 5 3 8" xfId="10027"/>
    <cellStyle name="Normal 5 3 8 2" xfId="10028"/>
    <cellStyle name="Normal 5 3 9" xfId="10029"/>
    <cellStyle name="Normal 5 4" xfId="10030"/>
    <cellStyle name="Normal 5 4 10" xfId="10031"/>
    <cellStyle name="Normal 5 4 2" xfId="10032"/>
    <cellStyle name="Normal 5 4 2 2" xfId="10033"/>
    <cellStyle name="Normal 5 4 2 2 2" xfId="10034"/>
    <cellStyle name="Normal 5 4 2 2 2 2" xfId="10035"/>
    <cellStyle name="Normal 5 4 2 2 2 2 2" xfId="10036"/>
    <cellStyle name="Normal 5 4 2 2 2 2 2 2" xfId="10037"/>
    <cellStyle name="Normal 5 4 2 2 2 2 3" xfId="10038"/>
    <cellStyle name="Normal 5 4 2 2 2 3" xfId="10039"/>
    <cellStyle name="Normal 5 4 2 2 2 3 2" xfId="10040"/>
    <cellStyle name="Normal 5 4 2 2 2 4" xfId="10041"/>
    <cellStyle name="Normal 5 4 2 2 3" xfId="10042"/>
    <cellStyle name="Normal 5 4 2 2 3 2" xfId="10043"/>
    <cellStyle name="Normal 5 4 2 2 3 2 2" xfId="10044"/>
    <cellStyle name="Normal 5 4 2 2 3 3" xfId="10045"/>
    <cellStyle name="Normal 5 4 2 2 4" xfId="10046"/>
    <cellStyle name="Normal 5 4 2 2 4 2" xfId="10047"/>
    <cellStyle name="Normal 5 4 2 2 5" xfId="10048"/>
    <cellStyle name="Normal 5 4 2 2 6" xfId="10049"/>
    <cellStyle name="Normal 5 4 2 3" xfId="10050"/>
    <cellStyle name="Normal 5 4 2 3 2" xfId="10051"/>
    <cellStyle name="Normal 5 4 2 3 2 2" xfId="10052"/>
    <cellStyle name="Normal 5 4 2 3 2 2 2" xfId="10053"/>
    <cellStyle name="Normal 5 4 2 3 2 2 2 2" xfId="10054"/>
    <cellStyle name="Normal 5 4 2 3 2 2 3" xfId="10055"/>
    <cellStyle name="Normal 5 4 2 3 2 3" xfId="10056"/>
    <cellStyle name="Normal 5 4 2 3 2 3 2" xfId="10057"/>
    <cellStyle name="Normal 5 4 2 3 2 4" xfId="10058"/>
    <cellStyle name="Normal 5 4 2 3 3" xfId="10059"/>
    <cellStyle name="Normal 5 4 2 3 3 2" xfId="10060"/>
    <cellStyle name="Normal 5 4 2 3 3 2 2" xfId="10061"/>
    <cellStyle name="Normal 5 4 2 3 3 3" xfId="10062"/>
    <cellStyle name="Normal 5 4 2 3 4" xfId="10063"/>
    <cellStyle name="Normal 5 4 2 3 4 2" xfId="10064"/>
    <cellStyle name="Normal 5 4 2 3 5" xfId="10065"/>
    <cellStyle name="Normal 5 4 2 4" xfId="10066"/>
    <cellStyle name="Normal 5 4 2 4 2" xfId="10067"/>
    <cellStyle name="Normal 5 4 2 4 2 2" xfId="10068"/>
    <cellStyle name="Normal 5 4 2 4 2 2 2" xfId="10069"/>
    <cellStyle name="Normal 5 4 2 4 2 3" xfId="10070"/>
    <cellStyle name="Normal 5 4 2 4 3" xfId="10071"/>
    <cellStyle name="Normal 5 4 2 4 3 2" xfId="10072"/>
    <cellStyle name="Normal 5 4 2 4 4" xfId="10073"/>
    <cellStyle name="Normal 5 4 2 5" xfId="10074"/>
    <cellStyle name="Normal 5 4 2 5 2" xfId="10075"/>
    <cellStyle name="Normal 5 4 2 5 2 2" xfId="10076"/>
    <cellStyle name="Normal 5 4 2 5 3" xfId="10077"/>
    <cellStyle name="Normal 5 4 2 6" xfId="10078"/>
    <cellStyle name="Normal 5 4 2 6 2" xfId="10079"/>
    <cellStyle name="Normal 5 4 2 7" xfId="10080"/>
    <cellStyle name="Normal 5 4 2 8" xfId="10081"/>
    <cellStyle name="Normal 5 4 3" xfId="10082"/>
    <cellStyle name="Normal 5 4 3 2" xfId="10083"/>
    <cellStyle name="Normal 5 4 3 2 2" xfId="10084"/>
    <cellStyle name="Normal 5 4 3 2 2 2" xfId="10085"/>
    <cellStyle name="Normal 5 4 3 2 2 2 2" xfId="10086"/>
    <cellStyle name="Normal 5 4 3 2 2 2 2 2" xfId="10087"/>
    <cellStyle name="Normal 5 4 3 2 2 2 3" xfId="10088"/>
    <cellStyle name="Normal 5 4 3 2 2 3" xfId="10089"/>
    <cellStyle name="Normal 5 4 3 2 2 3 2" xfId="10090"/>
    <cellStyle name="Normal 5 4 3 2 2 4" xfId="10091"/>
    <cellStyle name="Normal 5 4 3 2 3" xfId="10092"/>
    <cellStyle name="Normal 5 4 3 2 3 2" xfId="10093"/>
    <cellStyle name="Normal 5 4 3 2 3 2 2" xfId="10094"/>
    <cellStyle name="Normal 5 4 3 2 3 3" xfId="10095"/>
    <cellStyle name="Normal 5 4 3 2 4" xfId="10096"/>
    <cellStyle name="Normal 5 4 3 2 4 2" xfId="10097"/>
    <cellStyle name="Normal 5 4 3 2 5" xfId="10098"/>
    <cellStyle name="Normal 5 4 3 3" xfId="10099"/>
    <cellStyle name="Normal 5 4 3 3 2" xfId="10100"/>
    <cellStyle name="Normal 5 4 3 3 2 2" xfId="10101"/>
    <cellStyle name="Normal 5 4 3 3 2 2 2" xfId="10102"/>
    <cellStyle name="Normal 5 4 3 3 2 3" xfId="10103"/>
    <cellStyle name="Normal 5 4 3 3 3" xfId="10104"/>
    <cellStyle name="Normal 5 4 3 3 3 2" xfId="10105"/>
    <cellStyle name="Normal 5 4 3 3 4" xfId="10106"/>
    <cellStyle name="Normal 5 4 3 4" xfId="10107"/>
    <cellStyle name="Normal 5 4 3 4 2" xfId="10108"/>
    <cellStyle name="Normal 5 4 3 4 2 2" xfId="10109"/>
    <cellStyle name="Normal 5 4 3 4 3" xfId="10110"/>
    <cellStyle name="Normal 5 4 3 5" xfId="10111"/>
    <cellStyle name="Normal 5 4 3 5 2" xfId="10112"/>
    <cellStyle name="Normal 5 4 3 6" xfId="10113"/>
    <cellStyle name="Normal 5 4 3 7" xfId="10114"/>
    <cellStyle name="Normal 5 4 4" xfId="10115"/>
    <cellStyle name="Normal 5 4 4 2" xfId="10116"/>
    <cellStyle name="Normal 5 4 4 2 2" xfId="10117"/>
    <cellStyle name="Normal 5 4 4 2 2 2" xfId="10118"/>
    <cellStyle name="Normal 5 4 4 2 2 2 2" xfId="10119"/>
    <cellStyle name="Normal 5 4 4 2 2 3" xfId="10120"/>
    <cellStyle name="Normal 5 4 4 2 3" xfId="10121"/>
    <cellStyle name="Normal 5 4 4 2 3 2" xfId="10122"/>
    <cellStyle name="Normal 5 4 4 2 4" xfId="10123"/>
    <cellStyle name="Normal 5 4 4 3" xfId="10124"/>
    <cellStyle name="Normal 5 4 4 3 2" xfId="10125"/>
    <cellStyle name="Normal 5 4 4 3 2 2" xfId="10126"/>
    <cellStyle name="Normal 5 4 4 3 3" xfId="10127"/>
    <cellStyle name="Normal 5 4 4 4" xfId="10128"/>
    <cellStyle name="Normal 5 4 4 4 2" xfId="10129"/>
    <cellStyle name="Normal 5 4 4 5" xfId="10130"/>
    <cellStyle name="Normal 5 4 5" xfId="10131"/>
    <cellStyle name="Normal 5 4 5 2" xfId="10132"/>
    <cellStyle name="Normal 5 4 5 2 2" xfId="10133"/>
    <cellStyle name="Normal 5 4 5 2 2 2" xfId="10134"/>
    <cellStyle name="Normal 5 4 5 2 2 2 2" xfId="10135"/>
    <cellStyle name="Normal 5 4 5 2 2 3" xfId="10136"/>
    <cellStyle name="Normal 5 4 5 2 3" xfId="10137"/>
    <cellStyle name="Normal 5 4 5 2 3 2" xfId="10138"/>
    <cellStyle name="Normal 5 4 5 2 4" xfId="10139"/>
    <cellStyle name="Normal 5 4 5 3" xfId="10140"/>
    <cellStyle name="Normal 5 4 5 3 2" xfId="10141"/>
    <cellStyle name="Normal 5 4 5 3 2 2" xfId="10142"/>
    <cellStyle name="Normal 5 4 5 3 3" xfId="10143"/>
    <cellStyle name="Normal 5 4 5 4" xfId="10144"/>
    <cellStyle name="Normal 5 4 5 4 2" xfId="10145"/>
    <cellStyle name="Normal 5 4 5 5" xfId="10146"/>
    <cellStyle name="Normal 5 4 6" xfId="10147"/>
    <cellStyle name="Normal 5 4 6 2" xfId="10148"/>
    <cellStyle name="Normal 5 4 6 2 2" xfId="10149"/>
    <cellStyle name="Normal 5 4 6 2 2 2" xfId="10150"/>
    <cellStyle name="Normal 5 4 6 2 3" xfId="10151"/>
    <cellStyle name="Normal 5 4 6 3" xfId="10152"/>
    <cellStyle name="Normal 5 4 6 3 2" xfId="10153"/>
    <cellStyle name="Normal 5 4 6 4" xfId="10154"/>
    <cellStyle name="Normal 5 4 7" xfId="10155"/>
    <cellStyle name="Normal 5 4 7 2" xfId="10156"/>
    <cellStyle name="Normal 5 4 7 2 2" xfId="10157"/>
    <cellStyle name="Normal 5 4 7 3" xfId="10158"/>
    <cellStyle name="Normal 5 4 8" xfId="10159"/>
    <cellStyle name="Normal 5 4 8 2" xfId="10160"/>
    <cellStyle name="Normal 5 4 9" xfId="10161"/>
    <cellStyle name="Normal 5 5" xfId="10162"/>
    <cellStyle name="Normal 5 5 2" xfId="10163"/>
    <cellStyle name="Normal 5 5 2 2" xfId="10164"/>
    <cellStyle name="Normal 5 5 2 2 2" xfId="10165"/>
    <cellStyle name="Normal 5 5 2 2 2 2" xfId="10166"/>
    <cellStyle name="Normal 5 5 2 2 2 2 2" xfId="10167"/>
    <cellStyle name="Normal 5 5 2 2 2 3" xfId="10168"/>
    <cellStyle name="Normal 5 5 2 2 3" xfId="10169"/>
    <cellStyle name="Normal 5 5 2 2 3 2" xfId="10170"/>
    <cellStyle name="Normal 5 5 2 2 4" xfId="10171"/>
    <cellStyle name="Normal 5 5 2 3" xfId="10172"/>
    <cellStyle name="Normal 5 5 2 3 2" xfId="10173"/>
    <cellStyle name="Normal 5 5 2 3 2 2" xfId="10174"/>
    <cellStyle name="Normal 5 5 2 3 3" xfId="10175"/>
    <cellStyle name="Normal 5 5 2 4" xfId="10176"/>
    <cellStyle name="Normal 5 5 2 4 2" xfId="10177"/>
    <cellStyle name="Normal 5 5 2 5" xfId="10178"/>
    <cellStyle name="Normal 5 5 3" xfId="10179"/>
    <cellStyle name="Normal 5 5 3 2" xfId="10180"/>
    <cellStyle name="Normal 5 5 3 2 2" xfId="10181"/>
    <cellStyle name="Normal 5 5 3 2 2 2" xfId="10182"/>
    <cellStyle name="Normal 5 5 3 2 2 2 2" xfId="10183"/>
    <cellStyle name="Normal 5 5 3 2 2 3" xfId="10184"/>
    <cellStyle name="Normal 5 5 3 2 3" xfId="10185"/>
    <cellStyle name="Normal 5 5 3 2 3 2" xfId="10186"/>
    <cellStyle name="Normal 5 5 3 2 4" xfId="10187"/>
    <cellStyle name="Normal 5 5 3 3" xfId="10188"/>
    <cellStyle name="Normal 5 5 3 3 2" xfId="10189"/>
    <cellStyle name="Normal 5 5 3 3 2 2" xfId="10190"/>
    <cellStyle name="Normal 5 5 3 3 3" xfId="10191"/>
    <cellStyle name="Normal 5 5 3 4" xfId="10192"/>
    <cellStyle name="Normal 5 5 3 4 2" xfId="10193"/>
    <cellStyle name="Normal 5 5 3 5" xfId="10194"/>
    <cellStyle name="Normal 5 5 4" xfId="10195"/>
    <cellStyle name="Normal 5 5 4 2" xfId="10196"/>
    <cellStyle name="Normal 5 5 4 2 2" xfId="10197"/>
    <cellStyle name="Normal 5 5 4 2 2 2" xfId="10198"/>
    <cellStyle name="Normal 5 5 4 2 3" xfId="10199"/>
    <cellStyle name="Normal 5 5 4 3" xfId="10200"/>
    <cellStyle name="Normal 5 5 4 3 2" xfId="10201"/>
    <cellStyle name="Normal 5 5 4 4" xfId="10202"/>
    <cellStyle name="Normal 5 5 5" xfId="10203"/>
    <cellStyle name="Normal 5 5 5 2" xfId="10204"/>
    <cellStyle name="Normal 5 5 5 2 2" xfId="10205"/>
    <cellStyle name="Normal 5 5 5 3" xfId="10206"/>
    <cellStyle name="Normal 5 5 6" xfId="10207"/>
    <cellStyle name="Normal 5 5 6 2" xfId="10208"/>
    <cellStyle name="Normal 5 5 7" xfId="10209"/>
    <cellStyle name="Normal 5 6" xfId="10210"/>
    <cellStyle name="Normal 5 6 2" xfId="10211"/>
    <cellStyle name="Normal 5 6 2 2" xfId="10212"/>
    <cellStyle name="Normal 5 6 2 2 2" xfId="10213"/>
    <cellStyle name="Normal 5 6 2 2 2 2" xfId="10214"/>
    <cellStyle name="Normal 5 6 2 2 2 2 2" xfId="10215"/>
    <cellStyle name="Normal 5 6 2 2 2 3" xfId="10216"/>
    <cellStyle name="Normal 5 6 2 2 3" xfId="10217"/>
    <cellStyle name="Normal 5 6 2 2 3 2" xfId="10218"/>
    <cellStyle name="Normal 5 6 2 2 4" xfId="10219"/>
    <cellStyle name="Normal 5 6 2 3" xfId="10220"/>
    <cellStyle name="Normal 5 6 2 3 2" xfId="10221"/>
    <cellStyle name="Normal 5 6 2 3 2 2" xfId="10222"/>
    <cellStyle name="Normal 5 6 2 3 3" xfId="10223"/>
    <cellStyle name="Normal 5 6 2 4" xfId="10224"/>
    <cellStyle name="Normal 5 6 2 4 2" xfId="10225"/>
    <cellStyle name="Normal 5 6 2 5" xfId="10226"/>
    <cellStyle name="Normal 5 6 3" xfId="10227"/>
    <cellStyle name="Normal 5 6 3 2" xfId="10228"/>
    <cellStyle name="Normal 5 6 3 2 2" xfId="10229"/>
    <cellStyle name="Normal 5 6 3 2 2 2" xfId="10230"/>
    <cellStyle name="Normal 5 6 3 2 3" xfId="10231"/>
    <cellStyle name="Normal 5 6 3 3" xfId="10232"/>
    <cellStyle name="Normal 5 6 3 3 2" xfId="10233"/>
    <cellStyle name="Normal 5 6 3 4" xfId="10234"/>
    <cellStyle name="Normal 5 6 4" xfId="10235"/>
    <cellStyle name="Normal 5 6 4 2" xfId="10236"/>
    <cellStyle name="Normal 5 6 4 2 2" xfId="10237"/>
    <cellStyle name="Normal 5 6 4 3" xfId="10238"/>
    <cellStyle name="Normal 5 6 5" xfId="10239"/>
    <cellStyle name="Normal 5 6 5 2" xfId="10240"/>
    <cellStyle name="Normal 5 6 6" xfId="10241"/>
    <cellStyle name="Normal 5 7" xfId="10242"/>
    <cellStyle name="Normal 5 7 2" xfId="10243"/>
    <cellStyle name="Normal 5 7 2 2" xfId="10244"/>
    <cellStyle name="Normal 5 7 2 2 2" xfId="10245"/>
    <cellStyle name="Normal 5 7 2 2 2 2" xfId="10246"/>
    <cellStyle name="Normal 5 7 2 2 3" xfId="10247"/>
    <cellStyle name="Normal 5 7 2 3" xfId="10248"/>
    <cellStyle name="Normal 5 7 2 3 2" xfId="10249"/>
    <cellStyle name="Normal 5 7 2 4" xfId="10250"/>
    <cellStyle name="Normal 5 7 3" xfId="10251"/>
    <cellStyle name="Normal 5 7 3 2" xfId="10252"/>
    <cellStyle name="Normal 5 7 3 2 2" xfId="10253"/>
    <cellStyle name="Normal 5 7 3 3" xfId="10254"/>
    <cellStyle name="Normal 5 7 4" xfId="10255"/>
    <cellStyle name="Normal 5 7 4 2" xfId="10256"/>
    <cellStyle name="Normal 5 7 5" xfId="10257"/>
    <cellStyle name="Normal 5 8" xfId="10258"/>
    <cellStyle name="Normal 5 8 2" xfId="10259"/>
    <cellStyle name="Normal 5 8 2 2" xfId="10260"/>
    <cellStyle name="Normal 5 8 2 2 2" xfId="10261"/>
    <cellStyle name="Normal 5 8 2 2 2 2" xfId="10262"/>
    <cellStyle name="Normal 5 8 2 2 3" xfId="10263"/>
    <cellStyle name="Normal 5 8 2 3" xfId="10264"/>
    <cellStyle name="Normal 5 8 2 3 2" xfId="10265"/>
    <cellStyle name="Normal 5 8 2 4" xfId="10266"/>
    <cellStyle name="Normal 5 8 3" xfId="10267"/>
    <cellStyle name="Normal 5 8 3 2" xfId="10268"/>
    <cellStyle name="Normal 5 8 3 2 2" xfId="10269"/>
    <cellStyle name="Normal 5 8 3 3" xfId="10270"/>
    <cellStyle name="Normal 5 8 4" xfId="10271"/>
    <cellStyle name="Normal 5 8 4 2" xfId="10272"/>
    <cellStyle name="Normal 5 8 5" xfId="10273"/>
    <cellStyle name="Normal 5 9" xfId="10274"/>
    <cellStyle name="Normal 5 9 2" xfId="10275"/>
    <cellStyle name="Normal 5 9 2 2" xfId="10276"/>
    <cellStyle name="Normal 5 9 2 2 2" xfId="10277"/>
    <cellStyle name="Normal 5 9 2 3" xfId="10278"/>
    <cellStyle name="Normal 5 9 3" xfId="10279"/>
    <cellStyle name="Normal 5 9 3 2" xfId="10280"/>
    <cellStyle name="Normal 5 9 4" xfId="10281"/>
    <cellStyle name="Normal 50" xfId="1855"/>
    <cellStyle name="Normal 50 2" xfId="10282"/>
    <cellStyle name="Normal 50 3" xfId="10283"/>
    <cellStyle name="Normal 51" xfId="1856"/>
    <cellStyle name="Normal 51 2" xfId="10284"/>
    <cellStyle name="Normal 51 3" xfId="10285"/>
    <cellStyle name="Normal 52" xfId="1857"/>
    <cellStyle name="Normal 52 2" xfId="10286"/>
    <cellStyle name="Normal 52 3" xfId="10287"/>
    <cellStyle name="Normal 53" xfId="10288"/>
    <cellStyle name="Normal 53 2" xfId="10289"/>
    <cellStyle name="Normal 53 3" xfId="10290"/>
    <cellStyle name="Normal 54" xfId="10291"/>
    <cellStyle name="Normal 54 2" xfId="10292"/>
    <cellStyle name="Normal 54 3" xfId="10293"/>
    <cellStyle name="Normal 55" xfId="10294"/>
    <cellStyle name="Normal 55 2" xfId="10295"/>
    <cellStyle name="Normal 55 3" xfId="10296"/>
    <cellStyle name="Normal 56" xfId="10297"/>
    <cellStyle name="Normal 56 2" xfId="10298"/>
    <cellStyle name="Normal 57" xfId="10299"/>
    <cellStyle name="Normal 57 2" xfId="10300"/>
    <cellStyle name="Normal 58" xfId="10301"/>
    <cellStyle name="Normal 58 2" xfId="10302"/>
    <cellStyle name="Normal 59" xfId="10303"/>
    <cellStyle name="Normal 6" xfId="1858"/>
    <cellStyle name="Normal 6 10" xfId="10304"/>
    <cellStyle name="Normal 6 11" xfId="10305"/>
    <cellStyle name="Normal 6 2" xfId="10306"/>
    <cellStyle name="Normal 6 2 2" xfId="10307"/>
    <cellStyle name="Normal 6 2 2 2" xfId="10308"/>
    <cellStyle name="Normal 6 2 2 2 2" xfId="10309"/>
    <cellStyle name="Normal 6 2 2 2 2 2" xfId="10310"/>
    <cellStyle name="Normal 6 2 2 2 2 2 2" xfId="10311"/>
    <cellStyle name="Normal 6 2 2 2 2 3" xfId="10312"/>
    <cellStyle name="Normal 6 2 2 2 3" xfId="10313"/>
    <cellStyle name="Normal 6 2 2 2 3 2" xfId="10314"/>
    <cellStyle name="Normal 6 2 2 2 4" xfId="10315"/>
    <cellStyle name="Normal 6 2 2 2 5" xfId="10316"/>
    <cellStyle name="Normal 6 2 2 3" xfId="10317"/>
    <cellStyle name="Normal 6 2 2 3 2" xfId="10318"/>
    <cellStyle name="Normal 6 2 2 3 2 2" xfId="10319"/>
    <cellStyle name="Normal 6 2 2 3 3" xfId="10320"/>
    <cellStyle name="Normal 6 2 2 4" xfId="10321"/>
    <cellStyle name="Normal 6 2 2 4 2" xfId="10322"/>
    <cellStyle name="Normal 6 2 2 5" xfId="10323"/>
    <cellStyle name="Normal 6 2 2 6" xfId="10324"/>
    <cellStyle name="Normal 6 2 3" xfId="10325"/>
    <cellStyle name="Normal 6 2 3 2" xfId="10326"/>
    <cellStyle name="Normal 6 2 3 2 2" xfId="10327"/>
    <cellStyle name="Normal 6 2 3 2 2 2" xfId="10328"/>
    <cellStyle name="Normal 6 2 3 2 3" xfId="10329"/>
    <cellStyle name="Normal 6 2 3 3" xfId="10330"/>
    <cellStyle name="Normal 6 2 3 3 2" xfId="10331"/>
    <cellStyle name="Normal 6 2 3 4" xfId="10332"/>
    <cellStyle name="Normal 6 2 3 5" xfId="10333"/>
    <cellStyle name="Normal 6 2 4" xfId="10334"/>
    <cellStyle name="Normal 6 2 4 2" xfId="10335"/>
    <cellStyle name="Normal 6 2 4 2 2" xfId="10336"/>
    <cellStyle name="Normal 6 2 4 3" xfId="10337"/>
    <cellStyle name="Normal 6 2 5" xfId="10338"/>
    <cellStyle name="Normal 6 2 5 2" xfId="10339"/>
    <cellStyle name="Normal 6 2 6" xfId="10340"/>
    <cellStyle name="Normal 6 2 7" xfId="10341"/>
    <cellStyle name="Normal 6 2 8" xfId="10342"/>
    <cellStyle name="Normal 6 3" xfId="10343"/>
    <cellStyle name="Normal 6 3 2" xfId="10344"/>
    <cellStyle name="Normal 6 3 2 2" xfId="10345"/>
    <cellStyle name="Normal 6 3 2 2 2" xfId="10346"/>
    <cellStyle name="Normal 6 3 2 2 2 2" xfId="10347"/>
    <cellStyle name="Normal 6 3 2 2 3" xfId="10348"/>
    <cellStyle name="Normal 6 3 2 3" xfId="10349"/>
    <cellStyle name="Normal 6 3 2 3 2" xfId="10350"/>
    <cellStyle name="Normal 6 3 2 4" xfId="10351"/>
    <cellStyle name="Normal 6 3 2 5" xfId="10352"/>
    <cellStyle name="Normal 6 3 3" xfId="10353"/>
    <cellStyle name="Normal 6 3 3 2" xfId="10354"/>
    <cellStyle name="Normal 6 3 3 2 2" xfId="10355"/>
    <cellStyle name="Normal 6 3 3 3" xfId="10356"/>
    <cellStyle name="Normal 6 3 4" xfId="10357"/>
    <cellStyle name="Normal 6 3 4 2" xfId="10358"/>
    <cellStyle name="Normal 6 3 5" xfId="10359"/>
    <cellStyle name="Normal 6 3 6" xfId="10360"/>
    <cellStyle name="Normal 6 3 7" xfId="10361"/>
    <cellStyle name="Normal 6 4" xfId="10362"/>
    <cellStyle name="Normal 6 4 2" xfId="10363"/>
    <cellStyle name="Normal 6 4 2 2" xfId="10364"/>
    <cellStyle name="Normal 6 4 2 2 2" xfId="10365"/>
    <cellStyle name="Normal 6 4 2 2 3" xfId="10366"/>
    <cellStyle name="Normal 6 4 2 3" xfId="10367"/>
    <cellStyle name="Normal 6 4 2 3 2" xfId="10368"/>
    <cellStyle name="Normal 6 4 2 4" xfId="10369"/>
    <cellStyle name="Normal 6 4 2 5" xfId="10370"/>
    <cellStyle name="Normal 6 4 2 6" xfId="10371"/>
    <cellStyle name="Normal 6 4 3" xfId="10372"/>
    <cellStyle name="Normal 6 4 3 2" xfId="10373"/>
    <cellStyle name="Normal 6 4 3 3" xfId="10374"/>
    <cellStyle name="Normal 6 4 4" xfId="10375"/>
    <cellStyle name="Normal 6 4 4 2" xfId="10376"/>
    <cellStyle name="Normal 6 4 4 3" xfId="10377"/>
    <cellStyle name="Normal 6 4 5" xfId="10378"/>
    <cellStyle name="Normal 6 4 5 2" xfId="10379"/>
    <cellStyle name="Normal 6 4 6" xfId="10380"/>
    <cellStyle name="Normal 6 4 7" xfId="10381"/>
    <cellStyle name="Normal 6 4 8" xfId="10382"/>
    <cellStyle name="Normal 6 5" xfId="10383"/>
    <cellStyle name="Normal 6 5 2" xfId="10384"/>
    <cellStyle name="Normal 6 5 2 2" xfId="10385"/>
    <cellStyle name="Normal 6 5 2 2 2" xfId="10386"/>
    <cellStyle name="Normal 6 5 2 3" xfId="10387"/>
    <cellStyle name="Normal 6 5 3" xfId="10388"/>
    <cellStyle name="Normal 6 5 3 2" xfId="10389"/>
    <cellStyle name="Normal 6 5 4" xfId="10390"/>
    <cellStyle name="Normal 6 5 5" xfId="10391"/>
    <cellStyle name="Normal 6 5 6" xfId="10392"/>
    <cellStyle name="Normal 6 6" xfId="10393"/>
    <cellStyle name="Normal 6 6 2" xfId="10394"/>
    <cellStyle name="Normal 6 6 2 2" xfId="10395"/>
    <cellStyle name="Normal 6 6 3" xfId="10396"/>
    <cellStyle name="Normal 6 6 4" xfId="10397"/>
    <cellStyle name="Normal 6 6 5" xfId="10398"/>
    <cellStyle name="Normal 6 7" xfId="10399"/>
    <cellStyle name="Normal 6 7 2" xfId="10400"/>
    <cellStyle name="Normal 6 7 3" xfId="10401"/>
    <cellStyle name="Normal 6 8" xfId="10402"/>
    <cellStyle name="Normal 6 8 2" xfId="10403"/>
    <cellStyle name="Normal 6 8 3" xfId="10404"/>
    <cellStyle name="Normal 6 9" xfId="10405"/>
    <cellStyle name="Normal 60" xfId="10406"/>
    <cellStyle name="Normal 61" xfId="10407"/>
    <cellStyle name="Normal 62" xfId="10408"/>
    <cellStyle name="Normal 63" xfId="10409"/>
    <cellStyle name="Normal 64" xfId="10410"/>
    <cellStyle name="Normal 65" xfId="10411"/>
    <cellStyle name="Normal 66" xfId="10412"/>
    <cellStyle name="Normal 67" xfId="10413"/>
    <cellStyle name="Normal 68" xfId="10414"/>
    <cellStyle name="Normal 69" xfId="10415"/>
    <cellStyle name="Normal 7" xfId="1859"/>
    <cellStyle name="Normal 7 10" xfId="10416"/>
    <cellStyle name="Normal 7 11" xfId="10417"/>
    <cellStyle name="Normal 7 2" xfId="10418"/>
    <cellStyle name="Normal 7 2 2" xfId="10419"/>
    <cellStyle name="Normal 7 2 2 2" xfId="10420"/>
    <cellStyle name="Normal 7 2 2 2 2" xfId="10421"/>
    <cellStyle name="Normal 7 2 2 2 2 2" xfId="10422"/>
    <cellStyle name="Normal 7 2 2 2 2 2 2" xfId="10423"/>
    <cellStyle name="Normal 7 2 2 2 2 2 2 2" xfId="10424"/>
    <cellStyle name="Normal 7 2 2 2 2 2 3" xfId="10425"/>
    <cellStyle name="Normal 7 2 2 2 2 3" xfId="10426"/>
    <cellStyle name="Normal 7 2 2 2 2 3 2" xfId="10427"/>
    <cellStyle name="Normal 7 2 2 2 2 4" xfId="10428"/>
    <cellStyle name="Normal 7 2 2 2 3" xfId="10429"/>
    <cellStyle name="Normal 7 2 2 2 3 2" xfId="10430"/>
    <cellStyle name="Normal 7 2 2 2 3 2 2" xfId="10431"/>
    <cellStyle name="Normal 7 2 2 2 3 3" xfId="10432"/>
    <cellStyle name="Normal 7 2 2 2 4" xfId="10433"/>
    <cellStyle name="Normal 7 2 2 2 4 2" xfId="10434"/>
    <cellStyle name="Normal 7 2 2 2 5" xfId="10435"/>
    <cellStyle name="Normal 7 2 2 2 6" xfId="10436"/>
    <cellStyle name="Normal 7 2 2 3" xfId="10437"/>
    <cellStyle name="Normal 7 2 2 3 2" xfId="10438"/>
    <cellStyle name="Normal 7 2 2 3 2 2" xfId="10439"/>
    <cellStyle name="Normal 7 2 2 3 2 2 2" xfId="10440"/>
    <cellStyle name="Normal 7 2 2 3 2 3" xfId="10441"/>
    <cellStyle name="Normal 7 2 2 3 3" xfId="10442"/>
    <cellStyle name="Normal 7 2 2 3 3 2" xfId="10443"/>
    <cellStyle name="Normal 7 2 2 3 4" xfId="10444"/>
    <cellStyle name="Normal 7 2 2 4" xfId="10445"/>
    <cellStyle name="Normal 7 2 2 4 2" xfId="10446"/>
    <cellStyle name="Normal 7 2 2 4 2 2" xfId="10447"/>
    <cellStyle name="Normal 7 2 2 4 3" xfId="10448"/>
    <cellStyle name="Normal 7 2 2 5" xfId="10449"/>
    <cellStyle name="Normal 7 2 2 5 2" xfId="10450"/>
    <cellStyle name="Normal 7 2 2 6" xfId="10451"/>
    <cellStyle name="Normal 7 2 2 7" xfId="10452"/>
    <cellStyle name="Normal 7 2 3" xfId="10453"/>
    <cellStyle name="Normal 7 2 3 2" xfId="10454"/>
    <cellStyle name="Normal 7 2 3 2 2" xfId="10455"/>
    <cellStyle name="Normal 7 2 3 2 2 2" xfId="10456"/>
    <cellStyle name="Normal 7 2 3 2 2 2 2" xfId="10457"/>
    <cellStyle name="Normal 7 2 3 2 2 3" xfId="10458"/>
    <cellStyle name="Normal 7 2 3 2 3" xfId="10459"/>
    <cellStyle name="Normal 7 2 3 2 3 2" xfId="10460"/>
    <cellStyle name="Normal 7 2 3 2 4" xfId="10461"/>
    <cellStyle name="Normal 7 2 3 3" xfId="10462"/>
    <cellStyle name="Normal 7 2 3 3 2" xfId="10463"/>
    <cellStyle name="Normal 7 2 3 3 2 2" xfId="10464"/>
    <cellStyle name="Normal 7 2 3 3 3" xfId="10465"/>
    <cellStyle name="Normal 7 2 3 4" xfId="10466"/>
    <cellStyle name="Normal 7 2 3 4 2" xfId="10467"/>
    <cellStyle name="Normal 7 2 3 5" xfId="10468"/>
    <cellStyle name="Normal 7 2 3 6" xfId="10469"/>
    <cellStyle name="Normal 7 2 4" xfId="10470"/>
    <cellStyle name="Normal 7 2 4 2" xfId="10471"/>
    <cellStyle name="Normal 7 2 4 2 2" xfId="10472"/>
    <cellStyle name="Normal 7 2 4 2 2 2" xfId="10473"/>
    <cellStyle name="Normal 7 2 4 2 2 2 2" xfId="10474"/>
    <cellStyle name="Normal 7 2 4 2 2 3" xfId="10475"/>
    <cellStyle name="Normal 7 2 4 2 3" xfId="10476"/>
    <cellStyle name="Normal 7 2 4 2 3 2" xfId="10477"/>
    <cellStyle name="Normal 7 2 4 2 4" xfId="10478"/>
    <cellStyle name="Normal 7 2 4 3" xfId="10479"/>
    <cellStyle name="Normal 7 2 4 3 2" xfId="10480"/>
    <cellStyle name="Normal 7 2 4 3 2 2" xfId="10481"/>
    <cellStyle name="Normal 7 2 4 3 3" xfId="10482"/>
    <cellStyle name="Normal 7 2 4 4" xfId="10483"/>
    <cellStyle name="Normal 7 2 4 4 2" xfId="10484"/>
    <cellStyle name="Normal 7 2 4 5" xfId="10485"/>
    <cellStyle name="Normal 7 2 5" xfId="10486"/>
    <cellStyle name="Normal 7 2 5 2" xfId="10487"/>
    <cellStyle name="Normal 7 2 5 2 2" xfId="10488"/>
    <cellStyle name="Normal 7 2 5 2 2 2" xfId="10489"/>
    <cellStyle name="Normal 7 2 5 2 3" xfId="10490"/>
    <cellStyle name="Normal 7 2 5 3" xfId="10491"/>
    <cellStyle name="Normal 7 2 5 3 2" xfId="10492"/>
    <cellStyle name="Normal 7 2 5 4" xfId="10493"/>
    <cellStyle name="Normal 7 2 6" xfId="10494"/>
    <cellStyle name="Normal 7 2 6 2" xfId="10495"/>
    <cellStyle name="Normal 7 2 6 2 2" xfId="10496"/>
    <cellStyle name="Normal 7 2 6 3" xfId="10497"/>
    <cellStyle name="Normal 7 2 7" xfId="10498"/>
    <cellStyle name="Normal 7 2 7 2" xfId="10499"/>
    <cellStyle name="Normal 7 2 8" xfId="10500"/>
    <cellStyle name="Normal 7 2 9" xfId="10501"/>
    <cellStyle name="Normal 7 3" xfId="10502"/>
    <cellStyle name="Normal 7 3 2" xfId="10503"/>
    <cellStyle name="Normal 7 3 2 2" xfId="10504"/>
    <cellStyle name="Normal 7 3 2 2 2" xfId="10505"/>
    <cellStyle name="Normal 7 3 2 2 2 2" xfId="10506"/>
    <cellStyle name="Normal 7 3 2 2 2 2 2" xfId="10507"/>
    <cellStyle name="Normal 7 3 2 2 2 3" xfId="10508"/>
    <cellStyle name="Normal 7 3 2 2 3" xfId="10509"/>
    <cellStyle name="Normal 7 3 2 2 3 2" xfId="10510"/>
    <cellStyle name="Normal 7 3 2 2 4" xfId="10511"/>
    <cellStyle name="Normal 7 3 2 3" xfId="10512"/>
    <cellStyle name="Normal 7 3 2 3 2" xfId="10513"/>
    <cellStyle name="Normal 7 3 2 3 2 2" xfId="10514"/>
    <cellStyle name="Normal 7 3 2 3 3" xfId="10515"/>
    <cellStyle name="Normal 7 3 2 4" xfId="10516"/>
    <cellStyle name="Normal 7 3 2 4 2" xfId="10517"/>
    <cellStyle name="Normal 7 3 2 5" xfId="10518"/>
    <cellStyle name="Normal 7 3 2 6" xfId="10519"/>
    <cellStyle name="Normal 7 3 3" xfId="10520"/>
    <cellStyle name="Normal 7 3 3 2" xfId="10521"/>
    <cellStyle name="Normal 7 3 3 2 2" xfId="10522"/>
    <cellStyle name="Normal 7 3 3 2 2 2" xfId="10523"/>
    <cellStyle name="Normal 7 3 3 2 3" xfId="10524"/>
    <cellStyle name="Normal 7 3 3 3" xfId="10525"/>
    <cellStyle name="Normal 7 3 3 3 2" xfId="10526"/>
    <cellStyle name="Normal 7 3 3 4" xfId="10527"/>
    <cellStyle name="Normal 7 3 4" xfId="10528"/>
    <cellStyle name="Normal 7 3 4 2" xfId="10529"/>
    <cellStyle name="Normal 7 3 4 2 2" xfId="10530"/>
    <cellStyle name="Normal 7 3 4 3" xfId="10531"/>
    <cellStyle name="Normal 7 3 5" xfId="10532"/>
    <cellStyle name="Normal 7 3 5 2" xfId="10533"/>
    <cellStyle name="Normal 7 3 6" xfId="10534"/>
    <cellStyle name="Normal 7 3 7" xfId="10535"/>
    <cellStyle name="Normal 7 4" xfId="10536"/>
    <cellStyle name="Normal 7 4 2" xfId="10537"/>
    <cellStyle name="Normal 7 4 2 2" xfId="10538"/>
    <cellStyle name="Normal 7 4 2 2 2" xfId="10539"/>
    <cellStyle name="Normal 7 4 2 2 2 2" xfId="10540"/>
    <cellStyle name="Normal 7 4 2 2 3" xfId="10541"/>
    <cellStyle name="Normal 7 4 2 3" xfId="10542"/>
    <cellStyle name="Normal 7 4 2 3 2" xfId="10543"/>
    <cellStyle name="Normal 7 4 2 4" xfId="10544"/>
    <cellStyle name="Normal 7 4 2 5" xfId="10545"/>
    <cellStyle name="Normal 7 4 3" xfId="10546"/>
    <cellStyle name="Normal 7 4 3 2" xfId="10547"/>
    <cellStyle name="Normal 7 4 3 2 2" xfId="10548"/>
    <cellStyle name="Normal 7 4 3 3" xfId="10549"/>
    <cellStyle name="Normal 7 4 4" xfId="10550"/>
    <cellStyle name="Normal 7 4 4 2" xfId="10551"/>
    <cellStyle name="Normal 7 4 5" xfId="10552"/>
    <cellStyle name="Normal 7 4 6" xfId="10553"/>
    <cellStyle name="Normal 7 4 7" xfId="10554"/>
    <cellStyle name="Normal 7 5" xfId="10555"/>
    <cellStyle name="Normal 7 5 2" xfId="10556"/>
    <cellStyle name="Normal 7 5 2 2" xfId="10557"/>
    <cellStyle name="Normal 7 5 2 2 2" xfId="10558"/>
    <cellStyle name="Normal 7 5 2 2 2 2" xfId="10559"/>
    <cellStyle name="Normal 7 5 2 2 3" xfId="10560"/>
    <cellStyle name="Normal 7 5 2 3" xfId="10561"/>
    <cellStyle name="Normal 7 5 2 3 2" xfId="10562"/>
    <cellStyle name="Normal 7 5 2 4" xfId="10563"/>
    <cellStyle name="Normal 7 5 3" xfId="10564"/>
    <cellStyle name="Normal 7 5 3 2" xfId="10565"/>
    <cellStyle name="Normal 7 5 3 2 2" xfId="10566"/>
    <cellStyle name="Normal 7 5 3 3" xfId="10567"/>
    <cellStyle name="Normal 7 5 4" xfId="10568"/>
    <cellStyle name="Normal 7 5 4 2" xfId="10569"/>
    <cellStyle name="Normal 7 5 5" xfId="10570"/>
    <cellStyle name="Normal 7 5 6" xfId="10571"/>
    <cellStyle name="Normal 7 6" xfId="10572"/>
    <cellStyle name="Normal 7 6 2" xfId="10573"/>
    <cellStyle name="Normal 7 6 2 2" xfId="10574"/>
    <cellStyle name="Normal 7 6 2 2 2" xfId="10575"/>
    <cellStyle name="Normal 7 6 2 3" xfId="10576"/>
    <cellStyle name="Normal 7 6 3" xfId="10577"/>
    <cellStyle name="Normal 7 6 3 2" xfId="10578"/>
    <cellStyle name="Normal 7 6 4" xfId="10579"/>
    <cellStyle name="Normal 7 7" xfId="10580"/>
    <cellStyle name="Normal 7 7 2" xfId="10581"/>
    <cellStyle name="Normal 7 7 2 2" xfId="10582"/>
    <cellStyle name="Normal 7 7 3" xfId="10583"/>
    <cellStyle name="Normal 7 8" xfId="10584"/>
    <cellStyle name="Normal 7 8 2" xfId="10585"/>
    <cellStyle name="Normal 7 8 2 2" xfId="10586"/>
    <cellStyle name="Normal 7 8 3" xfId="10587"/>
    <cellStyle name="Normal 7 9" xfId="10588"/>
    <cellStyle name="Normal 7 9 2" xfId="10589"/>
    <cellStyle name="Normal 70" xfId="10590"/>
    <cellStyle name="Normal 71" xfId="10591"/>
    <cellStyle name="Normal 8" xfId="1860"/>
    <cellStyle name="Normal 8 2" xfId="10592"/>
    <cellStyle name="Normal 8 2 2" xfId="2108"/>
    <cellStyle name="Normal 8 2 2 2" xfId="10593"/>
    <cellStyle name="Normal 8 2 2 2 2" xfId="10594"/>
    <cellStyle name="Normal 8 2 2 2 2 2" xfId="10595"/>
    <cellStyle name="Normal 8 2 2 2 2 2 2" xfId="10596"/>
    <cellStyle name="Normal 8 2 2 2 2 3" xfId="10597"/>
    <cellStyle name="Normal 8 2 2 2 3" xfId="10598"/>
    <cellStyle name="Normal 8 2 2 2 3 2" xfId="10599"/>
    <cellStyle name="Normal 8 2 2 2 4" xfId="10600"/>
    <cellStyle name="Normal 8 2 2 2 5" xfId="10601"/>
    <cellStyle name="Normal 8 2 2 3" xfId="10602"/>
    <cellStyle name="Normal 8 2 2 3 2" xfId="10603"/>
    <cellStyle name="Normal 8 2 2 3 2 2" xfId="10604"/>
    <cellStyle name="Normal 8 2 2 3 3" xfId="10605"/>
    <cellStyle name="Normal 8 2 2 4" xfId="10606"/>
    <cellStyle name="Normal 8 2 2 4 2" xfId="10607"/>
    <cellStyle name="Normal 8 2 2 5" xfId="10608"/>
    <cellStyle name="Normal 8 2 2 6" xfId="10609"/>
    <cellStyle name="Normal 8 2 3" xfId="10610"/>
    <cellStyle name="Normal 8 2 3 2" xfId="10611"/>
    <cellStyle name="Normal 8 2 3 2 2" xfId="10612"/>
    <cellStyle name="Normal 8 2 3 2 2 2" xfId="10613"/>
    <cellStyle name="Normal 8 2 3 2 3" xfId="10614"/>
    <cellStyle name="Normal 8 2 3 3" xfId="10615"/>
    <cellStyle name="Normal 8 2 3 3 2" xfId="10616"/>
    <cellStyle name="Normal 8 2 3 4" xfId="10617"/>
    <cellStyle name="Normal 8 2 3 5" xfId="10618"/>
    <cellStyle name="Normal 8 2 4" xfId="10619"/>
    <cellStyle name="Normal 8 2 4 2" xfId="10620"/>
    <cellStyle name="Normal 8 2 4 2 2" xfId="10621"/>
    <cellStyle name="Normal 8 2 4 3" xfId="10622"/>
    <cellStyle name="Normal 8 2 5" xfId="10623"/>
    <cellStyle name="Normal 8 2 5 2" xfId="10624"/>
    <cellStyle name="Normal 8 2 6" xfId="10625"/>
    <cellStyle name="Normal 8 2 7" xfId="10626"/>
    <cellStyle name="Normal 8 2 8" xfId="10627"/>
    <cellStyle name="Normal 8 3" xfId="2109"/>
    <cellStyle name="Normal 8 3 2" xfId="10628"/>
    <cellStyle name="Normal 8 3 2 2" xfId="10629"/>
    <cellStyle name="Normal 8 3 2 2 2" xfId="10630"/>
    <cellStyle name="Normal 8 3 2 2 2 2" xfId="10631"/>
    <cellStyle name="Normal 8 3 2 2 3" xfId="10632"/>
    <cellStyle name="Normal 8 3 2 3" xfId="10633"/>
    <cellStyle name="Normal 8 3 2 3 2" xfId="10634"/>
    <cellStyle name="Normal 8 3 2 4" xfId="10635"/>
    <cellStyle name="Normal 8 3 2 5" xfId="10636"/>
    <cellStyle name="Normal 8 3 3" xfId="10637"/>
    <cellStyle name="Normal 8 3 3 2" xfId="10638"/>
    <cellStyle name="Normal 8 3 3 2 2" xfId="10639"/>
    <cellStyle name="Normal 8 3 3 3" xfId="10640"/>
    <cellStyle name="Normal 8 3 4" xfId="10641"/>
    <cellStyle name="Normal 8 3 4 2" xfId="10642"/>
    <cellStyle name="Normal 8 3 5" xfId="10643"/>
    <cellStyle name="Normal 8 3 6" xfId="10644"/>
    <cellStyle name="Normal 8 4" xfId="10645"/>
    <cellStyle name="Normal 8 4 2" xfId="10646"/>
    <cellStyle name="Normal 8 4 2 2" xfId="10647"/>
    <cellStyle name="Normal 8 4 2 2 2" xfId="10648"/>
    <cellStyle name="Normal 8 4 2 3" xfId="10649"/>
    <cellStyle name="Normal 8 4 3" xfId="10650"/>
    <cellStyle name="Normal 8 4 3 2" xfId="10651"/>
    <cellStyle name="Normal 8 4 4" xfId="10652"/>
    <cellStyle name="Normal 8 4 5" xfId="10653"/>
    <cellStyle name="Normal 8 5" xfId="10654"/>
    <cellStyle name="Normal 8 5 2" xfId="10655"/>
    <cellStyle name="Normal 8 5 2 2" xfId="10656"/>
    <cellStyle name="Normal 8 5 3" xfId="10657"/>
    <cellStyle name="Normal 8 6" xfId="10658"/>
    <cellStyle name="Normal 8 6 2" xfId="10659"/>
    <cellStyle name="Normal 8 7" xfId="10660"/>
    <cellStyle name="Normal 8 8" xfId="10661"/>
    <cellStyle name="Normal 9" xfId="1861"/>
    <cellStyle name="Normal 9 2" xfId="10662"/>
    <cellStyle name="Normal 9 2 2" xfId="10663"/>
    <cellStyle name="Normal 9 2 2 2" xfId="10664"/>
    <cellStyle name="Normal 9 2 2 2 2" xfId="10665"/>
    <cellStyle name="Normal 9 2 2 2 2 2" xfId="10666"/>
    <cellStyle name="Normal 9 2 2 2 2 2 2" xfId="10667"/>
    <cellStyle name="Normal 9 2 2 2 2 3" xfId="10668"/>
    <cellStyle name="Normal 9 2 2 2 3" xfId="10669"/>
    <cellStyle name="Normal 9 2 2 2 3 2" xfId="10670"/>
    <cellStyle name="Normal 9 2 2 2 4" xfId="10671"/>
    <cellStyle name="Normal 9 2 2 2 5" xfId="10672"/>
    <cellStyle name="Normal 9 2 2 2 6" xfId="10673"/>
    <cellStyle name="Normal 9 2 2 3" xfId="10674"/>
    <cellStyle name="Normal 9 2 2 3 2" xfId="10675"/>
    <cellStyle name="Normal 9 2 2 3 2 2" xfId="10676"/>
    <cellStyle name="Normal 9 2 2 3 3" xfId="10677"/>
    <cellStyle name="Normal 9 2 2 4" xfId="10678"/>
    <cellStyle name="Normal 9 2 2 4 2" xfId="10679"/>
    <cellStyle name="Normal 9 2 2 5" xfId="10680"/>
    <cellStyle name="Normal 9 2 2 6" xfId="10681"/>
    <cellStyle name="Normal 9 2 2 7" xfId="10682"/>
    <cellStyle name="Normal 9 2 3" xfId="10683"/>
    <cellStyle name="Normal 9 2 3 2" xfId="10684"/>
    <cellStyle name="Normal 9 2 3 2 2" xfId="10685"/>
    <cellStyle name="Normal 9 2 3 2 2 2" xfId="10686"/>
    <cellStyle name="Normal 9 2 3 2 3" xfId="10687"/>
    <cellStyle name="Normal 9 2 3 3" xfId="10688"/>
    <cellStyle name="Normal 9 2 3 3 2" xfId="10689"/>
    <cellStyle name="Normal 9 2 3 4" xfId="10690"/>
    <cellStyle name="Normal 9 2 3 5" xfId="10691"/>
    <cellStyle name="Normal 9 2 3 6" xfId="10692"/>
    <cellStyle name="Normal 9 2 4" xfId="10693"/>
    <cellStyle name="Normal 9 2 4 2" xfId="10694"/>
    <cellStyle name="Normal 9 2 4 2 2" xfId="10695"/>
    <cellStyle name="Normal 9 2 4 3" xfId="10696"/>
    <cellStyle name="Normal 9 2 4 4" xfId="10697"/>
    <cellStyle name="Normal 9 2 5" xfId="10698"/>
    <cellStyle name="Normal 9 2 5 2" xfId="10699"/>
    <cellStyle name="Normal 9 2 6" xfId="10700"/>
    <cellStyle name="Normal 9 2 7" xfId="10701"/>
    <cellStyle name="Normal 9 2 8" xfId="10702"/>
    <cellStyle name="Normal 9 3" xfId="10703"/>
    <cellStyle name="Normal 9 3 2" xfId="10704"/>
    <cellStyle name="Normal 9 3 2 2" xfId="10705"/>
    <cellStyle name="Normal 9 3 2 2 2" xfId="10706"/>
    <cellStyle name="Normal 9 3 2 2 2 2" xfId="10707"/>
    <cellStyle name="Normal 9 3 2 2 3" xfId="10708"/>
    <cellStyle name="Normal 9 3 2 3" xfId="10709"/>
    <cellStyle name="Normal 9 3 2 3 2" xfId="10710"/>
    <cellStyle name="Normal 9 3 2 4" xfId="10711"/>
    <cellStyle name="Normal 9 3 2 5" xfId="10712"/>
    <cellStyle name="Normal 9 3 2 6" xfId="10713"/>
    <cellStyle name="Normal 9 3 3" xfId="10714"/>
    <cellStyle name="Normal 9 3 3 2" xfId="10715"/>
    <cellStyle name="Normal 9 3 3 2 2" xfId="10716"/>
    <cellStyle name="Normal 9 3 3 3" xfId="10717"/>
    <cellStyle name="Normal 9 3 3 4" xfId="10718"/>
    <cellStyle name="Normal 9 3 4" xfId="10719"/>
    <cellStyle name="Normal 9 3 4 2" xfId="10720"/>
    <cellStyle name="Normal 9 3 5" xfId="10721"/>
    <cellStyle name="Normal 9 3 6" xfId="10722"/>
    <cellStyle name="Normal 9 3 7" xfId="10723"/>
    <cellStyle name="Normal 9 4" xfId="10724"/>
    <cellStyle name="Normal 9 4 2" xfId="10725"/>
    <cellStyle name="Normal 9 4 2 2" xfId="10726"/>
    <cellStyle name="Normal 9 4 2 2 2" xfId="10727"/>
    <cellStyle name="Normal 9 4 2 3" xfId="10728"/>
    <cellStyle name="Normal 9 4 3" xfId="10729"/>
    <cellStyle name="Normal 9 4 3 2" xfId="10730"/>
    <cellStyle name="Normal 9 4 4" xfId="10731"/>
    <cellStyle name="Normal 9 4 5" xfId="10732"/>
    <cellStyle name="Normal 9 4 6" xfId="10733"/>
    <cellStyle name="Normal 9 5" xfId="10734"/>
    <cellStyle name="Normal 9 5 2" xfId="10735"/>
    <cellStyle name="Normal 9 5 2 2" xfId="10736"/>
    <cellStyle name="Normal 9 5 3" xfId="10737"/>
    <cellStyle name="Normal 9 5 4" xfId="10738"/>
    <cellStyle name="Normal 9 6" xfId="10739"/>
    <cellStyle name="Normal 9 6 2" xfId="10740"/>
    <cellStyle name="Normal 9 7" xfId="10741"/>
    <cellStyle name="Normal 9 8" xfId="10742"/>
    <cellStyle name="Normal 9 9" xfId="10743"/>
    <cellStyle name="Normal_LGE Filed Test Period Billing Exhibits - SBR Summary" xfId="4"/>
    <cellStyle name="Note 10" xfId="1862"/>
    <cellStyle name="Note 10 10" xfId="10744"/>
    <cellStyle name="Note 10 10 2" xfId="10745"/>
    <cellStyle name="Note 10 11" xfId="10746"/>
    <cellStyle name="Note 10 12" xfId="10747"/>
    <cellStyle name="Note 10 13" xfId="10748"/>
    <cellStyle name="Note 10 2" xfId="1863"/>
    <cellStyle name="Note 10 2 10" xfId="10749"/>
    <cellStyle name="Note 10 2 2" xfId="10750"/>
    <cellStyle name="Note 10 2 2 2" xfId="10751"/>
    <cellStyle name="Note 10 2 3" xfId="10752"/>
    <cellStyle name="Note 10 2 3 2" xfId="10753"/>
    <cellStyle name="Note 10 2 4" xfId="10754"/>
    <cellStyle name="Note 10 2 4 2" xfId="10755"/>
    <cellStyle name="Note 10 2 5" xfId="10756"/>
    <cellStyle name="Note 10 2 5 2" xfId="10757"/>
    <cellStyle name="Note 10 2 6" xfId="10758"/>
    <cellStyle name="Note 10 2 6 2" xfId="10759"/>
    <cellStyle name="Note 10 2 7" xfId="10760"/>
    <cellStyle name="Note 10 2 7 2" xfId="10761"/>
    <cellStyle name="Note 10 2 8" xfId="10762"/>
    <cellStyle name="Note 10 2 8 2" xfId="10763"/>
    <cellStyle name="Note 10 2 9" xfId="10764"/>
    <cellStyle name="Note 10 2 9 2" xfId="10765"/>
    <cellStyle name="Note 10 3" xfId="1864"/>
    <cellStyle name="Note 10 3 2" xfId="10766"/>
    <cellStyle name="Note 10 4" xfId="1865"/>
    <cellStyle name="Note 10 4 2" xfId="10767"/>
    <cellStyle name="Note 10 5" xfId="1866"/>
    <cellStyle name="Note 10 5 2" xfId="10768"/>
    <cellStyle name="Note 10 6" xfId="10769"/>
    <cellStyle name="Note 10 6 2" xfId="10770"/>
    <cellStyle name="Note 10 7" xfId="10771"/>
    <cellStyle name="Note 10 7 2" xfId="10772"/>
    <cellStyle name="Note 10 8" xfId="10773"/>
    <cellStyle name="Note 10 8 2" xfId="10774"/>
    <cellStyle name="Note 10 9" xfId="10775"/>
    <cellStyle name="Note 10 9 2" xfId="10776"/>
    <cellStyle name="Note 11" xfId="1867"/>
    <cellStyle name="Note 11 10" xfId="10777"/>
    <cellStyle name="Note 11 10 2" xfId="10778"/>
    <cellStyle name="Note 11 11" xfId="10779"/>
    <cellStyle name="Note 11 12" xfId="10780"/>
    <cellStyle name="Note 11 13" xfId="10781"/>
    <cellStyle name="Note 11 2" xfId="1868"/>
    <cellStyle name="Note 11 2 10" xfId="10782"/>
    <cellStyle name="Note 11 2 2" xfId="10783"/>
    <cellStyle name="Note 11 2 2 2" xfId="10784"/>
    <cellStyle name="Note 11 2 3" xfId="10785"/>
    <cellStyle name="Note 11 2 3 2" xfId="10786"/>
    <cellStyle name="Note 11 2 4" xfId="10787"/>
    <cellStyle name="Note 11 2 4 2" xfId="10788"/>
    <cellStyle name="Note 11 2 5" xfId="10789"/>
    <cellStyle name="Note 11 2 5 2" xfId="10790"/>
    <cellStyle name="Note 11 2 6" xfId="10791"/>
    <cellStyle name="Note 11 2 6 2" xfId="10792"/>
    <cellStyle name="Note 11 2 7" xfId="10793"/>
    <cellStyle name="Note 11 2 7 2" xfId="10794"/>
    <cellStyle name="Note 11 2 8" xfId="10795"/>
    <cellStyle name="Note 11 2 8 2" xfId="10796"/>
    <cellStyle name="Note 11 2 9" xfId="10797"/>
    <cellStyle name="Note 11 2 9 2" xfId="10798"/>
    <cellStyle name="Note 11 3" xfId="1869"/>
    <cellStyle name="Note 11 3 2" xfId="10799"/>
    <cellStyle name="Note 11 4" xfId="1870"/>
    <cellStyle name="Note 11 4 2" xfId="10800"/>
    <cellStyle name="Note 11 5" xfId="1871"/>
    <cellStyle name="Note 11 5 2" xfId="10801"/>
    <cellStyle name="Note 11 6" xfId="10802"/>
    <cellStyle name="Note 11 6 2" xfId="10803"/>
    <cellStyle name="Note 11 7" xfId="10804"/>
    <cellStyle name="Note 11 7 2" xfId="10805"/>
    <cellStyle name="Note 11 8" xfId="10806"/>
    <cellStyle name="Note 11 8 2" xfId="10807"/>
    <cellStyle name="Note 11 9" xfId="10808"/>
    <cellStyle name="Note 11 9 2" xfId="10809"/>
    <cellStyle name="Note 12" xfId="1872"/>
    <cellStyle name="Note 12 10" xfId="10810"/>
    <cellStyle name="Note 12 10 2" xfId="10811"/>
    <cellStyle name="Note 12 11" xfId="10812"/>
    <cellStyle name="Note 12 12" xfId="10813"/>
    <cellStyle name="Note 12 13" xfId="10814"/>
    <cellStyle name="Note 12 2" xfId="10815"/>
    <cellStyle name="Note 12 2 10" xfId="10816"/>
    <cellStyle name="Note 12 2 2" xfId="10817"/>
    <cellStyle name="Note 12 2 2 2" xfId="10818"/>
    <cellStyle name="Note 12 2 3" xfId="10819"/>
    <cellStyle name="Note 12 2 3 2" xfId="10820"/>
    <cellStyle name="Note 12 2 4" xfId="10821"/>
    <cellStyle name="Note 12 2 4 2" xfId="10822"/>
    <cellStyle name="Note 12 2 5" xfId="10823"/>
    <cellStyle name="Note 12 2 5 2" xfId="10824"/>
    <cellStyle name="Note 12 2 6" xfId="10825"/>
    <cellStyle name="Note 12 2 6 2" xfId="10826"/>
    <cellStyle name="Note 12 2 7" xfId="10827"/>
    <cellStyle name="Note 12 2 7 2" xfId="10828"/>
    <cellStyle name="Note 12 2 8" xfId="10829"/>
    <cellStyle name="Note 12 2 8 2" xfId="10830"/>
    <cellStyle name="Note 12 2 9" xfId="10831"/>
    <cellStyle name="Note 12 2 9 2" xfId="10832"/>
    <cellStyle name="Note 12 3" xfId="10833"/>
    <cellStyle name="Note 12 3 2" xfId="10834"/>
    <cellStyle name="Note 12 4" xfId="10835"/>
    <cellStyle name="Note 12 4 2" xfId="10836"/>
    <cellStyle name="Note 12 5" xfId="10837"/>
    <cellStyle name="Note 12 5 2" xfId="10838"/>
    <cellStyle name="Note 12 6" xfId="10839"/>
    <cellStyle name="Note 12 6 2" xfId="10840"/>
    <cellStyle name="Note 12 7" xfId="10841"/>
    <cellStyle name="Note 12 7 2" xfId="10842"/>
    <cellStyle name="Note 12 8" xfId="10843"/>
    <cellStyle name="Note 12 8 2" xfId="10844"/>
    <cellStyle name="Note 12 9" xfId="10845"/>
    <cellStyle name="Note 12 9 2" xfId="10846"/>
    <cellStyle name="Note 13" xfId="1873"/>
    <cellStyle name="Note 13 10" xfId="10847"/>
    <cellStyle name="Note 13 10 2" xfId="10848"/>
    <cellStyle name="Note 13 11" xfId="10849"/>
    <cellStyle name="Note 13 12" xfId="10850"/>
    <cellStyle name="Note 13 13" xfId="10851"/>
    <cellStyle name="Note 13 2" xfId="10852"/>
    <cellStyle name="Note 13 2 10" xfId="10853"/>
    <cellStyle name="Note 13 2 2" xfId="10854"/>
    <cellStyle name="Note 13 2 2 2" xfId="10855"/>
    <cellStyle name="Note 13 2 3" xfId="10856"/>
    <cellStyle name="Note 13 2 3 2" xfId="10857"/>
    <cellStyle name="Note 13 2 4" xfId="10858"/>
    <cellStyle name="Note 13 2 4 2" xfId="10859"/>
    <cellStyle name="Note 13 2 5" xfId="10860"/>
    <cellStyle name="Note 13 2 5 2" xfId="10861"/>
    <cellStyle name="Note 13 2 6" xfId="10862"/>
    <cellStyle name="Note 13 2 6 2" xfId="10863"/>
    <cellStyle name="Note 13 2 7" xfId="10864"/>
    <cellStyle name="Note 13 2 7 2" xfId="10865"/>
    <cellStyle name="Note 13 2 8" xfId="10866"/>
    <cellStyle name="Note 13 2 8 2" xfId="10867"/>
    <cellStyle name="Note 13 2 9" xfId="10868"/>
    <cellStyle name="Note 13 2 9 2" xfId="10869"/>
    <cellStyle name="Note 13 3" xfId="10870"/>
    <cellStyle name="Note 13 3 2" xfId="10871"/>
    <cellStyle name="Note 13 4" xfId="10872"/>
    <cellStyle name="Note 13 4 2" xfId="10873"/>
    <cellStyle name="Note 13 5" xfId="10874"/>
    <cellStyle name="Note 13 5 2" xfId="10875"/>
    <cellStyle name="Note 13 6" xfId="10876"/>
    <cellStyle name="Note 13 6 2" xfId="10877"/>
    <cellStyle name="Note 13 7" xfId="10878"/>
    <cellStyle name="Note 13 7 2" xfId="10879"/>
    <cellStyle name="Note 13 8" xfId="10880"/>
    <cellStyle name="Note 13 8 2" xfId="10881"/>
    <cellStyle name="Note 13 9" xfId="10882"/>
    <cellStyle name="Note 13 9 2" xfId="10883"/>
    <cellStyle name="Note 14" xfId="1874"/>
    <cellStyle name="Note 14 10" xfId="10884"/>
    <cellStyle name="Note 14 10 2" xfId="10885"/>
    <cellStyle name="Note 14 11" xfId="10886"/>
    <cellStyle name="Note 14 12" xfId="10887"/>
    <cellStyle name="Note 14 13" xfId="10888"/>
    <cellStyle name="Note 14 2" xfId="10889"/>
    <cellStyle name="Note 14 2 10" xfId="10890"/>
    <cellStyle name="Note 14 2 2" xfId="10891"/>
    <cellStyle name="Note 14 2 2 2" xfId="10892"/>
    <cellStyle name="Note 14 2 3" xfId="10893"/>
    <cellStyle name="Note 14 2 3 2" xfId="10894"/>
    <cellStyle name="Note 14 2 4" xfId="10895"/>
    <cellStyle name="Note 14 2 4 2" xfId="10896"/>
    <cellStyle name="Note 14 2 5" xfId="10897"/>
    <cellStyle name="Note 14 2 5 2" xfId="10898"/>
    <cellStyle name="Note 14 2 6" xfId="10899"/>
    <cellStyle name="Note 14 2 6 2" xfId="10900"/>
    <cellStyle name="Note 14 2 7" xfId="10901"/>
    <cellStyle name="Note 14 2 7 2" xfId="10902"/>
    <cellStyle name="Note 14 2 8" xfId="10903"/>
    <cellStyle name="Note 14 2 8 2" xfId="10904"/>
    <cellStyle name="Note 14 2 9" xfId="10905"/>
    <cellStyle name="Note 14 2 9 2" xfId="10906"/>
    <cellStyle name="Note 14 3" xfId="10907"/>
    <cellStyle name="Note 14 3 2" xfId="10908"/>
    <cellStyle name="Note 14 4" xfId="10909"/>
    <cellStyle name="Note 14 4 2" xfId="10910"/>
    <cellStyle name="Note 14 5" xfId="10911"/>
    <cellStyle name="Note 14 5 2" xfId="10912"/>
    <cellStyle name="Note 14 6" xfId="10913"/>
    <cellStyle name="Note 14 6 2" xfId="10914"/>
    <cellStyle name="Note 14 7" xfId="10915"/>
    <cellStyle name="Note 14 7 2" xfId="10916"/>
    <cellStyle name="Note 14 8" xfId="10917"/>
    <cellStyle name="Note 14 8 2" xfId="10918"/>
    <cellStyle name="Note 14 9" xfId="10919"/>
    <cellStyle name="Note 14 9 2" xfId="10920"/>
    <cellStyle name="Note 15" xfId="1875"/>
    <cellStyle name="Note 15 10" xfId="10921"/>
    <cellStyle name="Note 15 10 2" xfId="10922"/>
    <cellStyle name="Note 15 11" xfId="10923"/>
    <cellStyle name="Note 15 12" xfId="10924"/>
    <cellStyle name="Note 15 2" xfId="1876"/>
    <cellStyle name="Note 15 2 10" xfId="10925"/>
    <cellStyle name="Note 15 2 2" xfId="10926"/>
    <cellStyle name="Note 15 2 2 2" xfId="10927"/>
    <cellStyle name="Note 15 2 3" xfId="10928"/>
    <cellStyle name="Note 15 2 3 2" xfId="10929"/>
    <cellStyle name="Note 15 2 4" xfId="10930"/>
    <cellStyle name="Note 15 2 4 2" xfId="10931"/>
    <cellStyle name="Note 15 2 5" xfId="10932"/>
    <cellStyle name="Note 15 2 5 2" xfId="10933"/>
    <cellStyle name="Note 15 2 6" xfId="10934"/>
    <cellStyle name="Note 15 2 6 2" xfId="10935"/>
    <cellStyle name="Note 15 2 7" xfId="10936"/>
    <cellStyle name="Note 15 2 7 2" xfId="10937"/>
    <cellStyle name="Note 15 2 8" xfId="10938"/>
    <cellStyle name="Note 15 2 8 2" xfId="10939"/>
    <cellStyle name="Note 15 2 9" xfId="10940"/>
    <cellStyle name="Note 15 2 9 2" xfId="10941"/>
    <cellStyle name="Note 15 3" xfId="1877"/>
    <cellStyle name="Note 15 3 2" xfId="10942"/>
    <cellStyle name="Note 15 4" xfId="1878"/>
    <cellStyle name="Note 15 4 2" xfId="10943"/>
    <cellStyle name="Note 15 5" xfId="1879"/>
    <cellStyle name="Note 15 5 2" xfId="10944"/>
    <cellStyle name="Note 15 6" xfId="10945"/>
    <cellStyle name="Note 15 6 2" xfId="10946"/>
    <cellStyle name="Note 15 7" xfId="10947"/>
    <cellStyle name="Note 15 7 2" xfId="10948"/>
    <cellStyle name="Note 15 8" xfId="10949"/>
    <cellStyle name="Note 15 8 2" xfId="10950"/>
    <cellStyle name="Note 15 9" xfId="10951"/>
    <cellStyle name="Note 15 9 2" xfId="10952"/>
    <cellStyle name="Note 16" xfId="1880"/>
    <cellStyle name="Note 16 10" xfId="10953"/>
    <cellStyle name="Note 16 10 2" xfId="10954"/>
    <cellStyle name="Note 16 11" xfId="10955"/>
    <cellStyle name="Note 16 2" xfId="1881"/>
    <cellStyle name="Note 16 2 10" xfId="10956"/>
    <cellStyle name="Note 16 2 2" xfId="10957"/>
    <cellStyle name="Note 16 2 2 2" xfId="10958"/>
    <cellStyle name="Note 16 2 3" xfId="10959"/>
    <cellStyle name="Note 16 2 3 2" xfId="10960"/>
    <cellStyle name="Note 16 2 4" xfId="10961"/>
    <cellStyle name="Note 16 2 4 2" xfId="10962"/>
    <cellStyle name="Note 16 2 5" xfId="10963"/>
    <cellStyle name="Note 16 2 5 2" xfId="10964"/>
    <cellStyle name="Note 16 2 6" xfId="10965"/>
    <cellStyle name="Note 16 2 6 2" xfId="10966"/>
    <cellStyle name="Note 16 2 7" xfId="10967"/>
    <cellStyle name="Note 16 2 7 2" xfId="10968"/>
    <cellStyle name="Note 16 2 8" xfId="10969"/>
    <cellStyle name="Note 16 2 8 2" xfId="10970"/>
    <cellStyle name="Note 16 2 9" xfId="10971"/>
    <cellStyle name="Note 16 2 9 2" xfId="10972"/>
    <cellStyle name="Note 16 3" xfId="1882"/>
    <cellStyle name="Note 16 3 2" xfId="10973"/>
    <cellStyle name="Note 16 4" xfId="1883"/>
    <cellStyle name="Note 16 4 2" xfId="10974"/>
    <cellStyle name="Note 16 5" xfId="1884"/>
    <cellStyle name="Note 16 5 2" xfId="10975"/>
    <cellStyle name="Note 16 6" xfId="10976"/>
    <cellStyle name="Note 16 6 2" xfId="10977"/>
    <cellStyle name="Note 16 7" xfId="10978"/>
    <cellStyle name="Note 16 7 2" xfId="10979"/>
    <cellStyle name="Note 16 8" xfId="10980"/>
    <cellStyle name="Note 16 8 2" xfId="10981"/>
    <cellStyle name="Note 16 9" xfId="10982"/>
    <cellStyle name="Note 16 9 2" xfId="10983"/>
    <cellStyle name="Note 17" xfId="1885"/>
    <cellStyle name="Note 17 10" xfId="10984"/>
    <cellStyle name="Note 17 10 2" xfId="10985"/>
    <cellStyle name="Note 17 11" xfId="10986"/>
    <cellStyle name="Note 17 2" xfId="10987"/>
    <cellStyle name="Note 17 2 10" xfId="10988"/>
    <cellStyle name="Note 17 2 2" xfId="10989"/>
    <cellStyle name="Note 17 2 2 2" xfId="10990"/>
    <cellStyle name="Note 17 2 3" xfId="10991"/>
    <cellStyle name="Note 17 2 3 2" xfId="10992"/>
    <cellStyle name="Note 17 2 4" xfId="10993"/>
    <cellStyle name="Note 17 2 4 2" xfId="10994"/>
    <cellStyle name="Note 17 2 5" xfId="10995"/>
    <cellStyle name="Note 17 2 5 2" xfId="10996"/>
    <cellStyle name="Note 17 2 6" xfId="10997"/>
    <cellStyle name="Note 17 2 6 2" xfId="10998"/>
    <cellStyle name="Note 17 2 7" xfId="10999"/>
    <cellStyle name="Note 17 2 7 2" xfId="11000"/>
    <cellStyle name="Note 17 2 8" xfId="11001"/>
    <cellStyle name="Note 17 2 8 2" xfId="11002"/>
    <cellStyle name="Note 17 2 9" xfId="11003"/>
    <cellStyle name="Note 17 2 9 2" xfId="11004"/>
    <cellStyle name="Note 17 3" xfId="11005"/>
    <cellStyle name="Note 17 3 2" xfId="11006"/>
    <cellStyle name="Note 17 4" xfId="11007"/>
    <cellStyle name="Note 17 4 2" xfId="11008"/>
    <cellStyle name="Note 17 5" xfId="11009"/>
    <cellStyle name="Note 17 5 2" xfId="11010"/>
    <cellStyle name="Note 17 6" xfId="11011"/>
    <cellStyle name="Note 17 6 2" xfId="11012"/>
    <cellStyle name="Note 17 7" xfId="11013"/>
    <cellStyle name="Note 17 7 2" xfId="11014"/>
    <cellStyle name="Note 17 8" xfId="11015"/>
    <cellStyle name="Note 17 8 2" xfId="11016"/>
    <cellStyle name="Note 17 9" xfId="11017"/>
    <cellStyle name="Note 17 9 2" xfId="11018"/>
    <cellStyle name="Note 18" xfId="1886"/>
    <cellStyle name="Note 18 10" xfId="11019"/>
    <cellStyle name="Note 18 10 2" xfId="11020"/>
    <cellStyle name="Note 18 11" xfId="11021"/>
    <cellStyle name="Note 18 2" xfId="1887"/>
    <cellStyle name="Note 18 2 10" xfId="11022"/>
    <cellStyle name="Note 18 2 2" xfId="11023"/>
    <cellStyle name="Note 18 2 2 2" xfId="11024"/>
    <cellStyle name="Note 18 2 3" xfId="11025"/>
    <cellStyle name="Note 18 2 3 2" xfId="11026"/>
    <cellStyle name="Note 18 2 4" xfId="11027"/>
    <cellStyle name="Note 18 2 4 2" xfId="11028"/>
    <cellStyle name="Note 18 2 5" xfId="11029"/>
    <cellStyle name="Note 18 2 5 2" xfId="11030"/>
    <cellStyle name="Note 18 2 6" xfId="11031"/>
    <cellStyle name="Note 18 2 6 2" xfId="11032"/>
    <cellStyle name="Note 18 2 7" xfId="11033"/>
    <cellStyle name="Note 18 2 7 2" xfId="11034"/>
    <cellStyle name="Note 18 2 8" xfId="11035"/>
    <cellStyle name="Note 18 2 8 2" xfId="11036"/>
    <cellStyle name="Note 18 2 9" xfId="11037"/>
    <cellStyle name="Note 18 2 9 2" xfId="11038"/>
    <cellStyle name="Note 18 3" xfId="1888"/>
    <cellStyle name="Note 18 3 2" xfId="11039"/>
    <cellStyle name="Note 18 4" xfId="1889"/>
    <cellStyle name="Note 18 4 2" xfId="11040"/>
    <cellStyle name="Note 18 5" xfId="1890"/>
    <cellStyle name="Note 18 5 2" xfId="11041"/>
    <cellStyle name="Note 18 6" xfId="11042"/>
    <cellStyle name="Note 18 6 2" xfId="11043"/>
    <cellStyle name="Note 18 7" xfId="11044"/>
    <cellStyle name="Note 18 7 2" xfId="11045"/>
    <cellStyle name="Note 18 8" xfId="11046"/>
    <cellStyle name="Note 18 8 2" xfId="11047"/>
    <cellStyle name="Note 18 9" xfId="11048"/>
    <cellStyle name="Note 18 9 2" xfId="11049"/>
    <cellStyle name="Note 19" xfId="1891"/>
    <cellStyle name="Note 19 10" xfId="11050"/>
    <cellStyle name="Note 19 10 2" xfId="11051"/>
    <cellStyle name="Note 19 11" xfId="11052"/>
    <cellStyle name="Note 19 2" xfId="11053"/>
    <cellStyle name="Note 19 2 10" xfId="11054"/>
    <cellStyle name="Note 19 2 2" xfId="11055"/>
    <cellStyle name="Note 19 2 2 2" xfId="11056"/>
    <cellStyle name="Note 19 2 3" xfId="11057"/>
    <cellStyle name="Note 19 2 3 2" xfId="11058"/>
    <cellStyle name="Note 19 2 4" xfId="11059"/>
    <cellStyle name="Note 19 2 4 2" xfId="11060"/>
    <cellStyle name="Note 19 2 5" xfId="11061"/>
    <cellStyle name="Note 19 2 5 2" xfId="11062"/>
    <cellStyle name="Note 19 2 6" xfId="11063"/>
    <cellStyle name="Note 19 2 6 2" xfId="11064"/>
    <cellStyle name="Note 19 2 7" xfId="11065"/>
    <cellStyle name="Note 19 2 7 2" xfId="11066"/>
    <cellStyle name="Note 19 2 8" xfId="11067"/>
    <cellStyle name="Note 19 2 8 2" xfId="11068"/>
    <cellStyle name="Note 19 2 9" xfId="11069"/>
    <cellStyle name="Note 19 2 9 2" xfId="11070"/>
    <cellStyle name="Note 19 3" xfId="11071"/>
    <cellStyle name="Note 19 3 2" xfId="11072"/>
    <cellStyle name="Note 19 4" xfId="11073"/>
    <cellStyle name="Note 19 4 2" xfId="11074"/>
    <cellStyle name="Note 19 5" xfId="11075"/>
    <cellStyle name="Note 19 5 2" xfId="11076"/>
    <cellStyle name="Note 19 6" xfId="11077"/>
    <cellStyle name="Note 19 6 2" xfId="11078"/>
    <cellStyle name="Note 19 7" xfId="11079"/>
    <cellStyle name="Note 19 7 2" xfId="11080"/>
    <cellStyle name="Note 19 8" xfId="11081"/>
    <cellStyle name="Note 19 8 2" xfId="11082"/>
    <cellStyle name="Note 19 9" xfId="11083"/>
    <cellStyle name="Note 19 9 2" xfId="11084"/>
    <cellStyle name="Note 2" xfId="1892"/>
    <cellStyle name="Note 2 10" xfId="11085"/>
    <cellStyle name="Note 2 10 2" xfId="11086"/>
    <cellStyle name="Note 2 11" xfId="11087"/>
    <cellStyle name="Note 2 12" xfId="11088"/>
    <cellStyle name="Note 2 12 2" xfId="11089"/>
    <cellStyle name="Note 2 12 3" xfId="11090"/>
    <cellStyle name="Note 2 12 4" xfId="11091"/>
    <cellStyle name="Note 2 13" xfId="11092"/>
    <cellStyle name="Note 2 14" xfId="11093"/>
    <cellStyle name="Note 2 15" xfId="11094"/>
    <cellStyle name="Note 2 16" xfId="11095"/>
    <cellStyle name="Note 2 2" xfId="1893"/>
    <cellStyle name="Note 2 2 10" xfId="11096"/>
    <cellStyle name="Note 2 2 11" xfId="11097"/>
    <cellStyle name="Note 2 2 12" xfId="11098"/>
    <cellStyle name="Note 2 2 2" xfId="11099"/>
    <cellStyle name="Note 2 2 2 2" xfId="11100"/>
    <cellStyle name="Note 2 2 2 2 2" xfId="11101"/>
    <cellStyle name="Note 2 2 2 2 2 2" xfId="11102"/>
    <cellStyle name="Note 2 2 2 2 2 2 2" xfId="11103"/>
    <cellStyle name="Note 2 2 2 2 2 3" xfId="11104"/>
    <cellStyle name="Note 2 2 2 2 3" xfId="11105"/>
    <cellStyle name="Note 2 2 2 2 3 2" xfId="11106"/>
    <cellStyle name="Note 2 2 2 2 4" xfId="11107"/>
    <cellStyle name="Note 2 2 2 2 5" xfId="11108"/>
    <cellStyle name="Note 2 2 2 3" xfId="11109"/>
    <cellStyle name="Note 2 2 2 3 2" xfId="11110"/>
    <cellStyle name="Note 2 2 2 3 2 2" xfId="11111"/>
    <cellStyle name="Note 2 2 2 3 3" xfId="11112"/>
    <cellStyle name="Note 2 2 2 3 4" xfId="11113"/>
    <cellStyle name="Note 2 2 2 4" xfId="11114"/>
    <cellStyle name="Note 2 2 2 4 2" xfId="11115"/>
    <cellStyle name="Note 2 2 2 5" xfId="11116"/>
    <cellStyle name="Note 2 2 2 6" xfId="11117"/>
    <cellStyle name="Note 2 2 2 7" xfId="11118"/>
    <cellStyle name="Note 2 2 3" xfId="11119"/>
    <cellStyle name="Note 2 2 3 2" xfId="11120"/>
    <cellStyle name="Note 2 2 3 2 2" xfId="11121"/>
    <cellStyle name="Note 2 2 3 2 2 2" xfId="11122"/>
    <cellStyle name="Note 2 2 3 2 3" xfId="11123"/>
    <cellStyle name="Note 2 2 3 2 4" xfId="11124"/>
    <cellStyle name="Note 2 2 3 2 5" xfId="11125"/>
    <cellStyle name="Note 2 2 3 3" xfId="11126"/>
    <cellStyle name="Note 2 2 3 3 2" xfId="11127"/>
    <cellStyle name="Note 2 2 3 4" xfId="11128"/>
    <cellStyle name="Note 2 2 3 5" xfId="11129"/>
    <cellStyle name="Note 2 2 3 6" xfId="11130"/>
    <cellStyle name="Note 2 2 4" xfId="11131"/>
    <cellStyle name="Note 2 2 4 2" xfId="11132"/>
    <cellStyle name="Note 2 2 4 2 2" xfId="11133"/>
    <cellStyle name="Note 2 2 4 2 3" xfId="11134"/>
    <cellStyle name="Note 2 2 4 2 4" xfId="11135"/>
    <cellStyle name="Note 2 2 4 3" xfId="11136"/>
    <cellStyle name="Note 2 2 4 4" xfId="11137"/>
    <cellStyle name="Note 2 2 4 5" xfId="11138"/>
    <cellStyle name="Note 2 2 5" xfId="11139"/>
    <cellStyle name="Note 2 2 5 2" xfId="11140"/>
    <cellStyle name="Note 2 2 5 3" xfId="11141"/>
    <cellStyle name="Note 2 2 6" xfId="11142"/>
    <cellStyle name="Note 2 2 6 2" xfId="11143"/>
    <cellStyle name="Note 2 2 7" xfId="11144"/>
    <cellStyle name="Note 2 2 7 2" xfId="11145"/>
    <cellStyle name="Note 2 2 8" xfId="11146"/>
    <cellStyle name="Note 2 2 8 2" xfId="11147"/>
    <cellStyle name="Note 2 2 9" xfId="11148"/>
    <cellStyle name="Note 2 2 9 2" xfId="11149"/>
    <cellStyle name="Note 2 3" xfId="11150"/>
    <cellStyle name="Note 2 3 2" xfId="11151"/>
    <cellStyle name="Note 2 3 2 2" xfId="11152"/>
    <cellStyle name="Note 2 3 2 2 2" xfId="11153"/>
    <cellStyle name="Note 2 3 2 2 2 2" xfId="11154"/>
    <cellStyle name="Note 2 3 2 2 3" xfId="11155"/>
    <cellStyle name="Note 2 3 2 2 4" xfId="11156"/>
    <cellStyle name="Note 2 3 2 3" xfId="11157"/>
    <cellStyle name="Note 2 3 2 3 2" xfId="11158"/>
    <cellStyle name="Note 2 3 2 4" xfId="11159"/>
    <cellStyle name="Note 2 3 2 5" xfId="11160"/>
    <cellStyle name="Note 2 3 3" xfId="11161"/>
    <cellStyle name="Note 2 3 3 2" xfId="11162"/>
    <cellStyle name="Note 2 3 3 2 2" xfId="11163"/>
    <cellStyle name="Note 2 3 3 3" xfId="11164"/>
    <cellStyle name="Note 2 3 3 4" xfId="11165"/>
    <cellStyle name="Note 2 3 3 5" xfId="11166"/>
    <cellStyle name="Note 2 3 4" xfId="11167"/>
    <cellStyle name="Note 2 3 4 2" xfId="11168"/>
    <cellStyle name="Note 2 3 5" xfId="11169"/>
    <cellStyle name="Note 2 3 6" xfId="11170"/>
    <cellStyle name="Note 2 3 7" xfId="11171"/>
    <cellStyle name="Note 2 4" xfId="11172"/>
    <cellStyle name="Note 2 4 2" xfId="11173"/>
    <cellStyle name="Note 2 4 2 2" xfId="11174"/>
    <cellStyle name="Note 2 4 2 2 2" xfId="11175"/>
    <cellStyle name="Note 2 4 2 2 3" xfId="11176"/>
    <cellStyle name="Note 2 4 2 3" xfId="11177"/>
    <cellStyle name="Note 2 4 2 4" xfId="11178"/>
    <cellStyle name="Note 2 4 2 5" xfId="11179"/>
    <cellStyle name="Note 2 4 3" xfId="11180"/>
    <cellStyle name="Note 2 4 3 2" xfId="11181"/>
    <cellStyle name="Note 2 4 3 3" xfId="11182"/>
    <cellStyle name="Note 2 4 4" xfId="11183"/>
    <cellStyle name="Note 2 4 4 2" xfId="11184"/>
    <cellStyle name="Note 2 4 5" xfId="11185"/>
    <cellStyle name="Note 2 4 6" xfId="11186"/>
    <cellStyle name="Note 2 4 7" xfId="11187"/>
    <cellStyle name="Note 2 5" xfId="11188"/>
    <cellStyle name="Note 2 5 2" xfId="11189"/>
    <cellStyle name="Note 2 5 2 2" xfId="11190"/>
    <cellStyle name="Note 2 5 2 3" xfId="11191"/>
    <cellStyle name="Note 2 5 2 4" xfId="11192"/>
    <cellStyle name="Note 2 5 2 5" xfId="11193"/>
    <cellStyle name="Note 2 5 3" xfId="11194"/>
    <cellStyle name="Note 2 5 4" xfId="11195"/>
    <cellStyle name="Note 2 5 5" xfId="11196"/>
    <cellStyle name="Note 2 6" xfId="11197"/>
    <cellStyle name="Note 2 6 2" xfId="11198"/>
    <cellStyle name="Note 2 6 2 2" xfId="11199"/>
    <cellStyle name="Note 2 6 2 3" xfId="11200"/>
    <cellStyle name="Note 2 6 2 4" xfId="11201"/>
    <cellStyle name="Note 2 6 3" xfId="11202"/>
    <cellStyle name="Note 2 6 4" xfId="11203"/>
    <cellStyle name="Note 2 6 5" xfId="11204"/>
    <cellStyle name="Note 2 7" xfId="11205"/>
    <cellStyle name="Note 2 7 2" xfId="11206"/>
    <cellStyle name="Note 2 7 2 2" xfId="11207"/>
    <cellStyle name="Note 2 7 2 3" xfId="11208"/>
    <cellStyle name="Note 2 7 2 4" xfId="11209"/>
    <cellStyle name="Note 2 7 3" xfId="11210"/>
    <cellStyle name="Note 2 7 4" xfId="11211"/>
    <cellStyle name="Note 2 7 5" xfId="11212"/>
    <cellStyle name="Note 2 8" xfId="11213"/>
    <cellStyle name="Note 2 8 2" xfId="11214"/>
    <cellStyle name="Note 2 9" xfId="11215"/>
    <cellStyle name="Note 2 9 2" xfId="11216"/>
    <cellStyle name="Note 20" xfId="1894"/>
    <cellStyle name="Note 20 10" xfId="11217"/>
    <cellStyle name="Note 20 10 2" xfId="11218"/>
    <cellStyle name="Note 20 11" xfId="11219"/>
    <cellStyle name="Note 20 2" xfId="11220"/>
    <cellStyle name="Note 20 2 10" xfId="11221"/>
    <cellStyle name="Note 20 2 2" xfId="11222"/>
    <cellStyle name="Note 20 2 2 2" xfId="11223"/>
    <cellStyle name="Note 20 2 3" xfId="11224"/>
    <cellStyle name="Note 20 2 3 2" xfId="11225"/>
    <cellStyle name="Note 20 2 4" xfId="11226"/>
    <cellStyle name="Note 20 2 4 2" xfId="11227"/>
    <cellStyle name="Note 20 2 5" xfId="11228"/>
    <cellStyle name="Note 20 2 5 2" xfId="11229"/>
    <cellStyle name="Note 20 2 6" xfId="11230"/>
    <cellStyle name="Note 20 2 6 2" xfId="11231"/>
    <cellStyle name="Note 20 2 7" xfId="11232"/>
    <cellStyle name="Note 20 2 7 2" xfId="11233"/>
    <cellStyle name="Note 20 2 8" xfId="11234"/>
    <cellStyle name="Note 20 2 8 2" xfId="11235"/>
    <cellStyle name="Note 20 2 9" xfId="11236"/>
    <cellStyle name="Note 20 2 9 2" xfId="11237"/>
    <cellStyle name="Note 20 3" xfId="11238"/>
    <cellStyle name="Note 20 3 2" xfId="11239"/>
    <cellStyle name="Note 20 4" xfId="11240"/>
    <cellStyle name="Note 20 4 2" xfId="11241"/>
    <cellStyle name="Note 20 5" xfId="11242"/>
    <cellStyle name="Note 20 5 2" xfId="11243"/>
    <cellStyle name="Note 20 6" xfId="11244"/>
    <cellStyle name="Note 20 6 2" xfId="11245"/>
    <cellStyle name="Note 20 7" xfId="11246"/>
    <cellStyle name="Note 20 7 2" xfId="11247"/>
    <cellStyle name="Note 20 8" xfId="11248"/>
    <cellStyle name="Note 20 8 2" xfId="11249"/>
    <cellStyle name="Note 20 9" xfId="11250"/>
    <cellStyle name="Note 20 9 2" xfId="11251"/>
    <cellStyle name="Note 21" xfId="1895"/>
    <cellStyle name="Note 21 10" xfId="11252"/>
    <cellStyle name="Note 21 10 2" xfId="11253"/>
    <cellStyle name="Note 21 11" xfId="11254"/>
    <cellStyle name="Note 21 2" xfId="11255"/>
    <cellStyle name="Note 21 2 10" xfId="11256"/>
    <cellStyle name="Note 21 2 2" xfId="11257"/>
    <cellStyle name="Note 21 2 2 2" xfId="11258"/>
    <cellStyle name="Note 21 2 3" xfId="11259"/>
    <cellStyle name="Note 21 2 3 2" xfId="11260"/>
    <cellStyle name="Note 21 2 4" xfId="11261"/>
    <cellStyle name="Note 21 2 4 2" xfId="11262"/>
    <cellStyle name="Note 21 2 5" xfId="11263"/>
    <cellStyle name="Note 21 2 5 2" xfId="11264"/>
    <cellStyle name="Note 21 2 6" xfId="11265"/>
    <cellStyle name="Note 21 2 6 2" xfId="11266"/>
    <cellStyle name="Note 21 2 7" xfId="11267"/>
    <cellStyle name="Note 21 2 7 2" xfId="11268"/>
    <cellStyle name="Note 21 2 8" xfId="11269"/>
    <cellStyle name="Note 21 2 8 2" xfId="11270"/>
    <cellStyle name="Note 21 2 9" xfId="11271"/>
    <cellStyle name="Note 21 2 9 2" xfId="11272"/>
    <cellStyle name="Note 21 3" xfId="11273"/>
    <cellStyle name="Note 21 3 2" xfId="11274"/>
    <cellStyle name="Note 21 4" xfId="11275"/>
    <cellStyle name="Note 21 4 2" xfId="11276"/>
    <cellStyle name="Note 21 5" xfId="11277"/>
    <cellStyle name="Note 21 5 2" xfId="11278"/>
    <cellStyle name="Note 21 6" xfId="11279"/>
    <cellStyle name="Note 21 6 2" xfId="11280"/>
    <cellStyle name="Note 21 7" xfId="11281"/>
    <cellStyle name="Note 21 7 2" xfId="11282"/>
    <cellStyle name="Note 21 8" xfId="11283"/>
    <cellStyle name="Note 21 8 2" xfId="11284"/>
    <cellStyle name="Note 21 9" xfId="11285"/>
    <cellStyle name="Note 21 9 2" xfId="11286"/>
    <cellStyle name="Note 22" xfId="1896"/>
    <cellStyle name="Note 22 10" xfId="11287"/>
    <cellStyle name="Note 22 2" xfId="11288"/>
    <cellStyle name="Note 22 2 2" xfId="11289"/>
    <cellStyle name="Note 22 3" xfId="11290"/>
    <cellStyle name="Note 22 3 2" xfId="11291"/>
    <cellStyle name="Note 22 4" xfId="11292"/>
    <cellStyle name="Note 22 4 2" xfId="11293"/>
    <cellStyle name="Note 22 5" xfId="11294"/>
    <cellStyle name="Note 22 5 2" xfId="11295"/>
    <cellStyle name="Note 22 6" xfId="11296"/>
    <cellStyle name="Note 22 6 2" xfId="11297"/>
    <cellStyle name="Note 22 7" xfId="11298"/>
    <cellStyle name="Note 22 7 2" xfId="11299"/>
    <cellStyle name="Note 22 8" xfId="11300"/>
    <cellStyle name="Note 22 8 2" xfId="11301"/>
    <cellStyle name="Note 22 9" xfId="11302"/>
    <cellStyle name="Note 22 9 2" xfId="11303"/>
    <cellStyle name="Note 23" xfId="1897"/>
    <cellStyle name="Note 23 2" xfId="11304"/>
    <cellStyle name="Note 23 2 2" xfId="11305"/>
    <cellStyle name="Note 23 3" xfId="11306"/>
    <cellStyle name="Note 23 4" xfId="11307"/>
    <cellStyle name="Note 24" xfId="1898"/>
    <cellStyle name="Note 25" xfId="1899"/>
    <cellStyle name="Note 26" xfId="1900"/>
    <cellStyle name="Note 27" xfId="1901"/>
    <cellStyle name="Note 28" xfId="1902"/>
    <cellStyle name="Note 29" xfId="1903"/>
    <cellStyle name="Note 3" xfId="1904"/>
    <cellStyle name="Note 3 10" xfId="11308"/>
    <cellStyle name="Note 3 10 2" xfId="11309"/>
    <cellStyle name="Note 3 11" xfId="11310"/>
    <cellStyle name="Note 3 12" xfId="11311"/>
    <cellStyle name="Note 3 2" xfId="11312"/>
    <cellStyle name="Note 3 2 10" xfId="11313"/>
    <cellStyle name="Note 3 2 11" xfId="11314"/>
    <cellStyle name="Note 3 2 12" xfId="11315"/>
    <cellStyle name="Note 3 2 2" xfId="11316"/>
    <cellStyle name="Note 3 2 2 2" xfId="11317"/>
    <cellStyle name="Note 3 2 2 2 2" xfId="11318"/>
    <cellStyle name="Note 3 2 2 2 2 2" xfId="11319"/>
    <cellStyle name="Note 3 2 2 2 2 2 2" xfId="11320"/>
    <cellStyle name="Note 3 2 2 2 2 3" xfId="11321"/>
    <cellStyle name="Note 3 2 2 2 3" xfId="11322"/>
    <cellStyle name="Note 3 2 2 2 3 2" xfId="11323"/>
    <cellStyle name="Note 3 2 2 2 4" xfId="11324"/>
    <cellStyle name="Note 3 2 2 3" xfId="11325"/>
    <cellStyle name="Note 3 2 2 3 2" xfId="11326"/>
    <cellStyle name="Note 3 2 2 3 2 2" xfId="11327"/>
    <cellStyle name="Note 3 2 2 3 3" xfId="11328"/>
    <cellStyle name="Note 3 2 2 4" xfId="11329"/>
    <cellStyle name="Note 3 2 2 4 2" xfId="11330"/>
    <cellStyle name="Note 3 2 2 5" xfId="11331"/>
    <cellStyle name="Note 3 2 2 6" xfId="11332"/>
    <cellStyle name="Note 3 2 3" xfId="11333"/>
    <cellStyle name="Note 3 2 3 2" xfId="11334"/>
    <cellStyle name="Note 3 2 3 2 2" xfId="11335"/>
    <cellStyle name="Note 3 2 3 2 2 2" xfId="11336"/>
    <cellStyle name="Note 3 2 3 2 3" xfId="11337"/>
    <cellStyle name="Note 3 2 3 3" xfId="11338"/>
    <cellStyle name="Note 3 2 3 3 2" xfId="11339"/>
    <cellStyle name="Note 3 2 3 4" xfId="11340"/>
    <cellStyle name="Note 3 2 3 5" xfId="11341"/>
    <cellStyle name="Note 3 2 4" xfId="11342"/>
    <cellStyle name="Note 3 2 4 2" xfId="11343"/>
    <cellStyle name="Note 3 2 4 2 2" xfId="11344"/>
    <cellStyle name="Note 3 2 4 3" xfId="11345"/>
    <cellStyle name="Note 3 2 4 4" xfId="11346"/>
    <cellStyle name="Note 3 2 5" xfId="11347"/>
    <cellStyle name="Note 3 2 5 2" xfId="11348"/>
    <cellStyle name="Note 3 2 5 3" xfId="11349"/>
    <cellStyle name="Note 3 2 6" xfId="11350"/>
    <cellStyle name="Note 3 2 6 2" xfId="11351"/>
    <cellStyle name="Note 3 2 7" xfId="11352"/>
    <cellStyle name="Note 3 2 7 2" xfId="11353"/>
    <cellStyle name="Note 3 2 8" xfId="11354"/>
    <cellStyle name="Note 3 2 8 2" xfId="11355"/>
    <cellStyle name="Note 3 2 9" xfId="11356"/>
    <cellStyle name="Note 3 2 9 2" xfId="11357"/>
    <cellStyle name="Note 3 3" xfId="11358"/>
    <cellStyle name="Note 3 3 2" xfId="11359"/>
    <cellStyle name="Note 3 3 2 2" xfId="11360"/>
    <cellStyle name="Note 3 3 2 2 2" xfId="11361"/>
    <cellStyle name="Note 3 3 2 2 2 2" xfId="11362"/>
    <cellStyle name="Note 3 3 2 2 3" xfId="11363"/>
    <cellStyle name="Note 3 3 2 3" xfId="11364"/>
    <cellStyle name="Note 3 3 2 3 2" xfId="11365"/>
    <cellStyle name="Note 3 3 2 4" xfId="11366"/>
    <cellStyle name="Note 3 3 3" xfId="11367"/>
    <cellStyle name="Note 3 3 3 2" xfId="11368"/>
    <cellStyle name="Note 3 3 3 2 2" xfId="11369"/>
    <cellStyle name="Note 3 3 3 3" xfId="11370"/>
    <cellStyle name="Note 3 3 4" xfId="11371"/>
    <cellStyle name="Note 3 3 4 2" xfId="11372"/>
    <cellStyle name="Note 3 3 5" xfId="11373"/>
    <cellStyle name="Note 3 3 6" xfId="11374"/>
    <cellStyle name="Note 3 3 7" xfId="11375"/>
    <cellStyle name="Note 3 4" xfId="11376"/>
    <cellStyle name="Note 3 4 2" xfId="11377"/>
    <cellStyle name="Note 3 4 2 2" xfId="11378"/>
    <cellStyle name="Note 3 4 2 2 2" xfId="11379"/>
    <cellStyle name="Note 3 4 2 3" xfId="11380"/>
    <cellStyle name="Note 3 4 2 4" xfId="11381"/>
    <cellStyle name="Note 3 4 3" xfId="11382"/>
    <cellStyle name="Note 3 4 3 2" xfId="11383"/>
    <cellStyle name="Note 3 4 4" xfId="11384"/>
    <cellStyle name="Note 3 4 5" xfId="11385"/>
    <cellStyle name="Note 3 5" xfId="11386"/>
    <cellStyle name="Note 3 5 2" xfId="11387"/>
    <cellStyle name="Note 3 5 2 2" xfId="11388"/>
    <cellStyle name="Note 3 5 3" xfId="11389"/>
    <cellStyle name="Note 3 5 4" xfId="11390"/>
    <cellStyle name="Note 3 6" xfId="11391"/>
    <cellStyle name="Note 3 6 2" xfId="11392"/>
    <cellStyle name="Note 3 6 3" xfId="11393"/>
    <cellStyle name="Note 3 7" xfId="11394"/>
    <cellStyle name="Note 3 7 2" xfId="11395"/>
    <cellStyle name="Note 3 8" xfId="11396"/>
    <cellStyle name="Note 3 8 2" xfId="11397"/>
    <cellStyle name="Note 3 9" xfId="11398"/>
    <cellStyle name="Note 3 9 2" xfId="11399"/>
    <cellStyle name="Note 30" xfId="1905"/>
    <cellStyle name="Note 31" xfId="1906"/>
    <cellStyle name="Note 32" xfId="1907"/>
    <cellStyle name="Note 33" xfId="1908"/>
    <cellStyle name="Note 34" xfId="1909"/>
    <cellStyle name="Note 4" xfId="1910"/>
    <cellStyle name="Note 4 10" xfId="11400"/>
    <cellStyle name="Note 4 10 2" xfId="11401"/>
    <cellStyle name="Note 4 11" xfId="11402"/>
    <cellStyle name="Note 4 12" xfId="11403"/>
    <cellStyle name="Note 4 13" xfId="11404"/>
    <cellStyle name="Note 4 2" xfId="11405"/>
    <cellStyle name="Note 4 2 10" xfId="11406"/>
    <cellStyle name="Note 4 2 11" xfId="11407"/>
    <cellStyle name="Note 4 2 12" xfId="11408"/>
    <cellStyle name="Note 4 2 2" xfId="11409"/>
    <cellStyle name="Note 4 2 2 2" xfId="11410"/>
    <cellStyle name="Note 4 2 2 2 2" xfId="11411"/>
    <cellStyle name="Note 4 2 2 2 2 2" xfId="11412"/>
    <cellStyle name="Note 4 2 2 2 2 2 2" xfId="11413"/>
    <cellStyle name="Note 4 2 2 2 2 3" xfId="11414"/>
    <cellStyle name="Note 4 2 2 2 3" xfId="11415"/>
    <cellStyle name="Note 4 2 2 2 3 2" xfId="11416"/>
    <cellStyle name="Note 4 2 2 2 4" xfId="11417"/>
    <cellStyle name="Note 4 2 2 3" xfId="11418"/>
    <cellStyle name="Note 4 2 2 3 2" xfId="11419"/>
    <cellStyle name="Note 4 2 2 3 2 2" xfId="11420"/>
    <cellStyle name="Note 4 2 2 3 3" xfId="11421"/>
    <cellStyle name="Note 4 2 2 4" xfId="11422"/>
    <cellStyle name="Note 4 2 2 4 2" xfId="11423"/>
    <cellStyle name="Note 4 2 2 5" xfId="11424"/>
    <cellStyle name="Note 4 2 2 6" xfId="11425"/>
    <cellStyle name="Note 4 2 3" xfId="11426"/>
    <cellStyle name="Note 4 2 3 2" xfId="11427"/>
    <cellStyle name="Note 4 2 3 2 2" xfId="11428"/>
    <cellStyle name="Note 4 2 3 2 2 2" xfId="11429"/>
    <cellStyle name="Note 4 2 3 2 3" xfId="11430"/>
    <cellStyle name="Note 4 2 3 3" xfId="11431"/>
    <cellStyle name="Note 4 2 3 3 2" xfId="11432"/>
    <cellStyle name="Note 4 2 3 4" xfId="11433"/>
    <cellStyle name="Note 4 2 3 5" xfId="11434"/>
    <cellStyle name="Note 4 2 4" xfId="11435"/>
    <cellStyle name="Note 4 2 4 2" xfId="11436"/>
    <cellStyle name="Note 4 2 4 2 2" xfId="11437"/>
    <cellStyle name="Note 4 2 4 3" xfId="11438"/>
    <cellStyle name="Note 4 2 4 4" xfId="11439"/>
    <cellStyle name="Note 4 2 5" xfId="11440"/>
    <cellStyle name="Note 4 2 5 2" xfId="11441"/>
    <cellStyle name="Note 4 2 5 3" xfId="11442"/>
    <cellStyle name="Note 4 2 6" xfId="11443"/>
    <cellStyle name="Note 4 2 6 2" xfId="11444"/>
    <cellStyle name="Note 4 2 7" xfId="11445"/>
    <cellStyle name="Note 4 2 7 2" xfId="11446"/>
    <cellStyle name="Note 4 2 8" xfId="11447"/>
    <cellStyle name="Note 4 2 8 2" xfId="11448"/>
    <cellStyle name="Note 4 2 9" xfId="11449"/>
    <cellStyle name="Note 4 2 9 2" xfId="11450"/>
    <cellStyle name="Note 4 3" xfId="11451"/>
    <cellStyle name="Note 4 3 2" xfId="11452"/>
    <cellStyle name="Note 4 3 2 2" xfId="11453"/>
    <cellStyle name="Note 4 3 2 2 2" xfId="11454"/>
    <cellStyle name="Note 4 3 2 2 2 2" xfId="11455"/>
    <cellStyle name="Note 4 3 2 2 3" xfId="11456"/>
    <cellStyle name="Note 4 3 2 3" xfId="11457"/>
    <cellStyle name="Note 4 3 2 3 2" xfId="11458"/>
    <cellStyle name="Note 4 3 2 4" xfId="11459"/>
    <cellStyle name="Note 4 3 3" xfId="11460"/>
    <cellStyle name="Note 4 3 3 2" xfId="11461"/>
    <cellStyle name="Note 4 3 3 2 2" xfId="11462"/>
    <cellStyle name="Note 4 3 3 3" xfId="11463"/>
    <cellStyle name="Note 4 3 4" xfId="11464"/>
    <cellStyle name="Note 4 3 4 2" xfId="11465"/>
    <cellStyle name="Note 4 3 5" xfId="11466"/>
    <cellStyle name="Note 4 3 6" xfId="11467"/>
    <cellStyle name="Note 4 3 7" xfId="11468"/>
    <cellStyle name="Note 4 4" xfId="11469"/>
    <cellStyle name="Note 4 4 2" xfId="11470"/>
    <cellStyle name="Note 4 4 2 2" xfId="11471"/>
    <cellStyle name="Note 4 4 2 2 2" xfId="11472"/>
    <cellStyle name="Note 4 4 2 3" xfId="11473"/>
    <cellStyle name="Note 4 4 3" xfId="11474"/>
    <cellStyle name="Note 4 4 3 2" xfId="11475"/>
    <cellStyle name="Note 4 4 4" xfId="11476"/>
    <cellStyle name="Note 4 4 5" xfId="11477"/>
    <cellStyle name="Note 4 5" xfId="11478"/>
    <cellStyle name="Note 4 5 2" xfId="11479"/>
    <cellStyle name="Note 4 5 2 2" xfId="11480"/>
    <cellStyle name="Note 4 5 3" xfId="11481"/>
    <cellStyle name="Note 4 5 4" xfId="11482"/>
    <cellStyle name="Note 4 6" xfId="11483"/>
    <cellStyle name="Note 4 6 2" xfId="11484"/>
    <cellStyle name="Note 4 6 3" xfId="11485"/>
    <cellStyle name="Note 4 7" xfId="11486"/>
    <cellStyle name="Note 4 7 2" xfId="11487"/>
    <cellStyle name="Note 4 8" xfId="11488"/>
    <cellStyle name="Note 4 8 2" xfId="11489"/>
    <cellStyle name="Note 4 9" xfId="11490"/>
    <cellStyle name="Note 4 9 2" xfId="11491"/>
    <cellStyle name="Note 5" xfId="1911"/>
    <cellStyle name="Note 5 10" xfId="11492"/>
    <cellStyle name="Note 5 10 2" xfId="11493"/>
    <cellStyle name="Note 5 11" xfId="11494"/>
    <cellStyle name="Note 5 12" xfId="11495"/>
    <cellStyle name="Note 5 13" xfId="11496"/>
    <cellStyle name="Note 5 2" xfId="11497"/>
    <cellStyle name="Note 5 2 10" xfId="11498"/>
    <cellStyle name="Note 5 2 11" xfId="11499"/>
    <cellStyle name="Note 5 2 12" xfId="11500"/>
    <cellStyle name="Note 5 2 2" xfId="11501"/>
    <cellStyle name="Note 5 2 2 2" xfId="11502"/>
    <cellStyle name="Note 5 2 2 3" xfId="11503"/>
    <cellStyle name="Note 5 2 3" xfId="11504"/>
    <cellStyle name="Note 5 2 3 2" xfId="11505"/>
    <cellStyle name="Note 5 2 4" xfId="11506"/>
    <cellStyle name="Note 5 2 4 2" xfId="11507"/>
    <cellStyle name="Note 5 2 5" xfId="11508"/>
    <cellStyle name="Note 5 2 5 2" xfId="11509"/>
    <cellStyle name="Note 5 2 6" xfId="11510"/>
    <cellStyle name="Note 5 2 6 2" xfId="11511"/>
    <cellStyle name="Note 5 2 7" xfId="11512"/>
    <cellStyle name="Note 5 2 7 2" xfId="11513"/>
    <cellStyle name="Note 5 2 8" xfId="11514"/>
    <cellStyle name="Note 5 2 8 2" xfId="11515"/>
    <cellStyle name="Note 5 2 9" xfId="11516"/>
    <cellStyle name="Note 5 2 9 2" xfId="11517"/>
    <cellStyle name="Note 5 3" xfId="11518"/>
    <cellStyle name="Note 5 3 2" xfId="11519"/>
    <cellStyle name="Note 5 3 3" xfId="11520"/>
    <cellStyle name="Note 5 3 4" xfId="11521"/>
    <cellStyle name="Note 5 4" xfId="11522"/>
    <cellStyle name="Note 5 4 2" xfId="11523"/>
    <cellStyle name="Note 5 5" xfId="11524"/>
    <cellStyle name="Note 5 5 2" xfId="11525"/>
    <cellStyle name="Note 5 6" xfId="11526"/>
    <cellStyle name="Note 5 6 2" xfId="11527"/>
    <cellStyle name="Note 5 7" xfId="11528"/>
    <cellStyle name="Note 5 7 2" xfId="11529"/>
    <cellStyle name="Note 5 8" xfId="11530"/>
    <cellStyle name="Note 5 8 2" xfId="11531"/>
    <cellStyle name="Note 5 9" xfId="11532"/>
    <cellStyle name="Note 5 9 2" xfId="11533"/>
    <cellStyle name="Note 6" xfId="1912"/>
    <cellStyle name="Note 6 10" xfId="11534"/>
    <cellStyle name="Note 6 10 2" xfId="11535"/>
    <cellStyle name="Note 6 11" xfId="11536"/>
    <cellStyle name="Note 6 12" xfId="11537"/>
    <cellStyle name="Note 6 13" xfId="11538"/>
    <cellStyle name="Note 6 2" xfId="11539"/>
    <cellStyle name="Note 6 2 10" xfId="11540"/>
    <cellStyle name="Note 6 2 11" xfId="11541"/>
    <cellStyle name="Note 6 2 12" xfId="11542"/>
    <cellStyle name="Note 6 2 2" xfId="11543"/>
    <cellStyle name="Note 6 2 2 2" xfId="11544"/>
    <cellStyle name="Note 6 2 2 3" xfId="11545"/>
    <cellStyle name="Note 6 2 3" xfId="11546"/>
    <cellStyle name="Note 6 2 3 2" xfId="11547"/>
    <cellStyle name="Note 6 2 4" xfId="11548"/>
    <cellStyle name="Note 6 2 4 2" xfId="11549"/>
    <cellStyle name="Note 6 2 5" xfId="11550"/>
    <cellStyle name="Note 6 2 5 2" xfId="11551"/>
    <cellStyle name="Note 6 2 6" xfId="11552"/>
    <cellStyle name="Note 6 2 6 2" xfId="11553"/>
    <cellStyle name="Note 6 2 7" xfId="11554"/>
    <cellStyle name="Note 6 2 7 2" xfId="11555"/>
    <cellStyle name="Note 6 2 8" xfId="11556"/>
    <cellStyle name="Note 6 2 8 2" xfId="11557"/>
    <cellStyle name="Note 6 2 9" xfId="11558"/>
    <cellStyle name="Note 6 2 9 2" xfId="11559"/>
    <cellStyle name="Note 6 3" xfId="11560"/>
    <cellStyle name="Note 6 3 2" xfId="11561"/>
    <cellStyle name="Note 6 3 3" xfId="11562"/>
    <cellStyle name="Note 6 3 4" xfId="11563"/>
    <cellStyle name="Note 6 4" xfId="11564"/>
    <cellStyle name="Note 6 4 2" xfId="11565"/>
    <cellStyle name="Note 6 5" xfId="11566"/>
    <cellStyle name="Note 6 5 2" xfId="11567"/>
    <cellStyle name="Note 6 6" xfId="11568"/>
    <cellStyle name="Note 6 6 2" xfId="11569"/>
    <cellStyle name="Note 6 7" xfId="11570"/>
    <cellStyle name="Note 6 7 2" xfId="11571"/>
    <cellStyle name="Note 6 8" xfId="11572"/>
    <cellStyle name="Note 6 8 2" xfId="11573"/>
    <cellStyle name="Note 6 9" xfId="11574"/>
    <cellStyle name="Note 6 9 2" xfId="11575"/>
    <cellStyle name="Note 7" xfId="1913"/>
    <cellStyle name="Note 7 10" xfId="11576"/>
    <cellStyle name="Note 7 10 2" xfId="11577"/>
    <cellStyle name="Note 7 11" xfId="11578"/>
    <cellStyle name="Note 7 12" xfId="11579"/>
    <cellStyle name="Note 7 13" xfId="11580"/>
    <cellStyle name="Note 7 2" xfId="11581"/>
    <cellStyle name="Note 7 2 10" xfId="11582"/>
    <cellStyle name="Note 7 2 11" xfId="11583"/>
    <cellStyle name="Note 7 2 12" xfId="11584"/>
    <cellStyle name="Note 7 2 2" xfId="11585"/>
    <cellStyle name="Note 7 2 2 2" xfId="11586"/>
    <cellStyle name="Note 7 2 3" xfId="11587"/>
    <cellStyle name="Note 7 2 3 2" xfId="11588"/>
    <cellStyle name="Note 7 2 4" xfId="11589"/>
    <cellStyle name="Note 7 2 4 2" xfId="11590"/>
    <cellStyle name="Note 7 2 5" xfId="11591"/>
    <cellStyle name="Note 7 2 5 2" xfId="11592"/>
    <cellStyle name="Note 7 2 6" xfId="11593"/>
    <cellStyle name="Note 7 2 6 2" xfId="11594"/>
    <cellStyle name="Note 7 2 7" xfId="11595"/>
    <cellStyle name="Note 7 2 7 2" xfId="11596"/>
    <cellStyle name="Note 7 2 8" xfId="11597"/>
    <cellStyle name="Note 7 2 8 2" xfId="11598"/>
    <cellStyle name="Note 7 2 9" xfId="11599"/>
    <cellStyle name="Note 7 2 9 2" xfId="11600"/>
    <cellStyle name="Note 7 3" xfId="11601"/>
    <cellStyle name="Note 7 3 2" xfId="11602"/>
    <cellStyle name="Note 7 3 3" xfId="11603"/>
    <cellStyle name="Note 7 4" xfId="11604"/>
    <cellStyle name="Note 7 4 2" xfId="11605"/>
    <cellStyle name="Note 7 5" xfId="11606"/>
    <cellStyle name="Note 7 5 2" xfId="11607"/>
    <cellStyle name="Note 7 6" xfId="11608"/>
    <cellStyle name="Note 7 6 2" xfId="11609"/>
    <cellStyle name="Note 7 7" xfId="11610"/>
    <cellStyle name="Note 7 7 2" xfId="11611"/>
    <cellStyle name="Note 7 8" xfId="11612"/>
    <cellStyle name="Note 7 8 2" xfId="11613"/>
    <cellStyle name="Note 7 9" xfId="11614"/>
    <cellStyle name="Note 7 9 2" xfId="11615"/>
    <cellStyle name="Note 8" xfId="1914"/>
    <cellStyle name="Note 8 10" xfId="11616"/>
    <cellStyle name="Note 8 10 2" xfId="11617"/>
    <cellStyle name="Note 8 11" xfId="11618"/>
    <cellStyle name="Note 8 12" xfId="11619"/>
    <cellStyle name="Note 8 13" xfId="11620"/>
    <cellStyle name="Note 8 2" xfId="11621"/>
    <cellStyle name="Note 8 2 10" xfId="11622"/>
    <cellStyle name="Note 8 2 11" xfId="11623"/>
    <cellStyle name="Note 8 2 12" xfId="11624"/>
    <cellStyle name="Note 8 2 2" xfId="11625"/>
    <cellStyle name="Note 8 2 2 2" xfId="11626"/>
    <cellStyle name="Note 8 2 3" xfId="11627"/>
    <cellStyle name="Note 8 2 3 2" xfId="11628"/>
    <cellStyle name="Note 8 2 4" xfId="11629"/>
    <cellStyle name="Note 8 2 4 2" xfId="11630"/>
    <cellStyle name="Note 8 2 5" xfId="11631"/>
    <cellStyle name="Note 8 2 5 2" xfId="11632"/>
    <cellStyle name="Note 8 2 6" xfId="11633"/>
    <cellStyle name="Note 8 2 6 2" xfId="11634"/>
    <cellStyle name="Note 8 2 7" xfId="11635"/>
    <cellStyle name="Note 8 2 7 2" xfId="11636"/>
    <cellStyle name="Note 8 2 8" xfId="11637"/>
    <cellStyle name="Note 8 2 8 2" xfId="11638"/>
    <cellStyle name="Note 8 2 9" xfId="11639"/>
    <cellStyle name="Note 8 2 9 2" xfId="11640"/>
    <cellStyle name="Note 8 3" xfId="11641"/>
    <cellStyle name="Note 8 3 2" xfId="11642"/>
    <cellStyle name="Note 8 3 3" xfId="11643"/>
    <cellStyle name="Note 8 4" xfId="11644"/>
    <cellStyle name="Note 8 4 2" xfId="11645"/>
    <cellStyle name="Note 8 5" xfId="11646"/>
    <cellStyle name="Note 8 5 2" xfId="11647"/>
    <cellStyle name="Note 8 6" xfId="11648"/>
    <cellStyle name="Note 8 6 2" xfId="11649"/>
    <cellStyle name="Note 8 7" xfId="11650"/>
    <cellStyle name="Note 8 7 2" xfId="11651"/>
    <cellStyle name="Note 8 8" xfId="11652"/>
    <cellStyle name="Note 8 8 2" xfId="11653"/>
    <cellStyle name="Note 8 9" xfId="11654"/>
    <cellStyle name="Note 8 9 2" xfId="11655"/>
    <cellStyle name="Note 9" xfId="1915"/>
    <cellStyle name="Note 9 10" xfId="11656"/>
    <cellStyle name="Note 9 10 2" xfId="11657"/>
    <cellStyle name="Note 9 11" xfId="11658"/>
    <cellStyle name="Note 9 12" xfId="11659"/>
    <cellStyle name="Note 9 13" xfId="11660"/>
    <cellStyle name="Note 9 2" xfId="1916"/>
    <cellStyle name="Note 9 2 10" xfId="11661"/>
    <cellStyle name="Note 9 2 11" xfId="11662"/>
    <cellStyle name="Note 9 2 2" xfId="11663"/>
    <cellStyle name="Note 9 2 2 2" xfId="11664"/>
    <cellStyle name="Note 9 2 3" xfId="11665"/>
    <cellStyle name="Note 9 2 3 2" xfId="11666"/>
    <cellStyle name="Note 9 2 4" xfId="11667"/>
    <cellStyle name="Note 9 2 4 2" xfId="11668"/>
    <cellStyle name="Note 9 2 5" xfId="11669"/>
    <cellStyle name="Note 9 2 5 2" xfId="11670"/>
    <cellStyle name="Note 9 2 6" xfId="11671"/>
    <cellStyle name="Note 9 2 6 2" xfId="11672"/>
    <cellStyle name="Note 9 2 7" xfId="11673"/>
    <cellStyle name="Note 9 2 7 2" xfId="11674"/>
    <cellStyle name="Note 9 2 8" xfId="11675"/>
    <cellStyle name="Note 9 2 8 2" xfId="11676"/>
    <cellStyle name="Note 9 2 9" xfId="11677"/>
    <cellStyle name="Note 9 2 9 2" xfId="11678"/>
    <cellStyle name="Note 9 3" xfId="1917"/>
    <cellStyle name="Note 9 3 2" xfId="11679"/>
    <cellStyle name="Note 9 4" xfId="1918"/>
    <cellStyle name="Note 9 4 2" xfId="11680"/>
    <cellStyle name="Note 9 5" xfId="1919"/>
    <cellStyle name="Note 9 5 2" xfId="11681"/>
    <cellStyle name="Note 9 6" xfId="11682"/>
    <cellStyle name="Note 9 6 2" xfId="11683"/>
    <cellStyle name="Note 9 7" xfId="11684"/>
    <cellStyle name="Note 9 7 2" xfId="11685"/>
    <cellStyle name="Note 9 8" xfId="11686"/>
    <cellStyle name="Note 9 8 2" xfId="11687"/>
    <cellStyle name="Note 9 9" xfId="11688"/>
    <cellStyle name="Note 9 9 2" xfId="11689"/>
    <cellStyle name="Output 10" xfId="1920"/>
    <cellStyle name="Output 11" xfId="1921"/>
    <cellStyle name="Output 12" xfId="1922"/>
    <cellStyle name="Output 13" xfId="1923"/>
    <cellStyle name="Output 14" xfId="1924"/>
    <cellStyle name="Output 15" xfId="1925"/>
    <cellStyle name="Output 16" xfId="1926"/>
    <cellStyle name="Output 17" xfId="1927"/>
    <cellStyle name="Output 17 2" xfId="11690"/>
    <cellStyle name="Output 18" xfId="1928"/>
    <cellStyle name="Output 19" xfId="1929"/>
    <cellStyle name="Output 2" xfId="1930"/>
    <cellStyle name="Output 2 2" xfId="1931"/>
    <cellStyle name="Output 2 2 2" xfId="1932"/>
    <cellStyle name="Output 2 2 2 2" xfId="1933"/>
    <cellStyle name="Output 2 2 2 3" xfId="1934"/>
    <cellStyle name="Output 2 2 2 4" xfId="1935"/>
    <cellStyle name="Output 2 2 2 5" xfId="1936"/>
    <cellStyle name="Output 2 2 3" xfId="1937"/>
    <cellStyle name="Output 2 2 4" xfId="1938"/>
    <cellStyle name="Output 2 2 5" xfId="1939"/>
    <cellStyle name="Output 2 3" xfId="1940"/>
    <cellStyle name="Output 2 3 2" xfId="11691"/>
    <cellStyle name="Output 2 4" xfId="1941"/>
    <cellStyle name="Output 2 4 2" xfId="11692"/>
    <cellStyle name="Output 2 5" xfId="1942"/>
    <cellStyle name="Output 2 5 2" xfId="11693"/>
    <cellStyle name="Output 2 6" xfId="1943"/>
    <cellStyle name="Output 2 6 2" xfId="11694"/>
    <cellStyle name="Output 2 7" xfId="1944"/>
    <cellStyle name="Output 2 8" xfId="1945"/>
    <cellStyle name="Output 2 9" xfId="1946"/>
    <cellStyle name="Output 20" xfId="1947"/>
    <cellStyle name="Output 21" xfId="1948"/>
    <cellStyle name="Output 22" xfId="1949"/>
    <cellStyle name="Output 3" xfId="1950"/>
    <cellStyle name="Output 3 2" xfId="11695"/>
    <cellStyle name="Output 3 3" xfId="11696"/>
    <cellStyle name="Output 4" xfId="1951"/>
    <cellStyle name="Output 5" xfId="1952"/>
    <cellStyle name="Output 6" xfId="1953"/>
    <cellStyle name="Output 7" xfId="1954"/>
    <cellStyle name="Output 8" xfId="1955"/>
    <cellStyle name="Output 9" xfId="1956"/>
    <cellStyle name="Output Amounts" xfId="1957"/>
    <cellStyle name="OUTPUT AMOUNTS 10" xfId="11697"/>
    <cellStyle name="Output Amounts 11" xfId="11698"/>
    <cellStyle name="Output Amounts 2" xfId="11699"/>
    <cellStyle name="Output Amounts 2 10" xfId="11700"/>
    <cellStyle name="OUTPUT AMOUNTS 2 11" xfId="11701"/>
    <cellStyle name="OUTPUT AMOUNTS 2 2" xfId="11702"/>
    <cellStyle name="OUTPUT AMOUNTS 2 3" xfId="11703"/>
    <cellStyle name="Output Amounts 2 3 2" xfId="11704"/>
    <cellStyle name="Output Amounts 2 4" xfId="11705"/>
    <cellStyle name="Output Amounts 2 5" xfId="11706"/>
    <cellStyle name="Output Amounts 2 6" xfId="11707"/>
    <cellStyle name="Output Amounts 2 7" xfId="11708"/>
    <cellStyle name="Output Amounts 2 8" xfId="11709"/>
    <cellStyle name="Output Amounts 2 9" xfId="11710"/>
    <cellStyle name="Output Amounts 3" xfId="11711"/>
    <cellStyle name="OUTPUT AMOUNTS 3 2" xfId="11712"/>
    <cellStyle name="Output Amounts 3 3" xfId="11713"/>
    <cellStyle name="Output Amounts 3 4" xfId="11714"/>
    <cellStyle name="Output Amounts 3 5" xfId="11715"/>
    <cellStyle name="Output Amounts 3 6" xfId="11716"/>
    <cellStyle name="Output Amounts 3 7" xfId="11717"/>
    <cellStyle name="Output Amounts 3 8" xfId="11718"/>
    <cellStyle name="Output Amounts 3 9" xfId="11719"/>
    <cellStyle name="Output Amounts 4" xfId="11720"/>
    <cellStyle name="OUTPUT AMOUNTS 5" xfId="11721"/>
    <cellStyle name="OUTPUT AMOUNTS 6" xfId="11722"/>
    <cellStyle name="OUTPUT AMOUNTS 7" xfId="11723"/>
    <cellStyle name="OUTPUT AMOUNTS 8" xfId="11724"/>
    <cellStyle name="OUTPUT AMOUNTS 9" xfId="11725"/>
    <cellStyle name="Output Amounts_d1" xfId="11726"/>
    <cellStyle name="Output Column Headings" xfId="1958"/>
    <cellStyle name="OUTPUT COLUMN HEADINGS 10" xfId="11727"/>
    <cellStyle name="OUTPUT COLUMN HEADINGS 10 2" xfId="11728"/>
    <cellStyle name="OUTPUT COLUMN HEADINGS 10 3" xfId="11729"/>
    <cellStyle name="Output Column Headings 11" xfId="11730"/>
    <cellStyle name="Output Column Headings 2" xfId="1959"/>
    <cellStyle name="Output Column Headings 2 2" xfId="11731"/>
    <cellStyle name="OUTPUT COLUMN HEADINGS 2 2 2" xfId="11732"/>
    <cellStyle name="Output Column Headings 2 2 3" xfId="11733"/>
    <cellStyle name="Output Column Headings 2 2 4" xfId="11734"/>
    <cellStyle name="Output Column Headings 2 2 5" xfId="11735"/>
    <cellStyle name="Output Column Headings 2 2 6" xfId="11736"/>
    <cellStyle name="Output Column Headings 2 2 7" xfId="11737"/>
    <cellStyle name="OUTPUT COLUMN HEADINGS 2 3" xfId="11738"/>
    <cellStyle name="OUTPUT COLUMN HEADINGS 2 3 2" xfId="11739"/>
    <cellStyle name="Output Column Headings 2 4" xfId="11740"/>
    <cellStyle name="Output Column Headings 2 5" xfId="11741"/>
    <cellStyle name="Output Column Headings 2 6" xfId="11742"/>
    <cellStyle name="Output Column Headings 3" xfId="1960"/>
    <cellStyle name="Output Column Headings 4" xfId="1961"/>
    <cellStyle name="Output Column Headings 4 2" xfId="11743"/>
    <cellStyle name="Output Column Headings 5" xfId="1962"/>
    <cellStyle name="Output Column Headings 6" xfId="1963"/>
    <cellStyle name="Output Column Headings 7" xfId="1964"/>
    <cellStyle name="Output Column Headings 8" xfId="11744"/>
    <cellStyle name="Output Column Headings 9" xfId="11745"/>
    <cellStyle name="Output Column Headings_d1" xfId="11746"/>
    <cellStyle name="Output Line Items" xfId="1965"/>
    <cellStyle name="OUTPUT LINE ITEMS 10" xfId="11747"/>
    <cellStyle name="OUTPUT LINE ITEMS 10 2" xfId="11748"/>
    <cellStyle name="OUTPUT LINE ITEMS 10 3" xfId="11749"/>
    <cellStyle name="Output Line Items 11" xfId="11750"/>
    <cellStyle name="Output Line Items 2" xfId="1966"/>
    <cellStyle name="Output Line Items 2 2" xfId="11751"/>
    <cellStyle name="Output Line Items 2 2 2" xfId="11752"/>
    <cellStyle name="Output Line Items 2 2 3" xfId="11753"/>
    <cellStyle name="Output Line Items 2 3" xfId="11754"/>
    <cellStyle name="OUTPUT LINE ITEMS 2 3 2" xfId="11755"/>
    <cellStyle name="Output Line Items 2 3 3" xfId="11756"/>
    <cellStyle name="Output Line Items 2 3 4" xfId="11757"/>
    <cellStyle name="Output Line Items 2 3 5" xfId="11758"/>
    <cellStyle name="Output Line Items 2 3 6" xfId="11759"/>
    <cellStyle name="Output Line Items 2 3 7" xfId="11760"/>
    <cellStyle name="OUTPUT LINE ITEMS 2 4" xfId="11761"/>
    <cellStyle name="Output Line Items 2 5" xfId="11762"/>
    <cellStyle name="Output Line Items 2 6" xfId="11763"/>
    <cellStyle name="Output Line Items 2 7" xfId="11764"/>
    <cellStyle name="Output Line Items 3" xfId="1967"/>
    <cellStyle name="Output Line Items 4" xfId="1968"/>
    <cellStyle name="Output Line Items 4 2" xfId="11765"/>
    <cellStyle name="Output Line Items 5" xfId="1969"/>
    <cellStyle name="Output Line Items 6" xfId="1970"/>
    <cellStyle name="Output Line Items 7" xfId="1971"/>
    <cellStyle name="Output Line Items 8" xfId="11766"/>
    <cellStyle name="Output Line Items 9" xfId="11767"/>
    <cellStyle name="Output Line Items_d1" xfId="11768"/>
    <cellStyle name="Output Report Heading" xfId="1972"/>
    <cellStyle name="OUTPUT REPORT HEADING 10" xfId="11769"/>
    <cellStyle name="OUTPUT REPORT HEADING 10 2" xfId="11770"/>
    <cellStyle name="OUTPUT REPORT HEADING 10 3" xfId="11771"/>
    <cellStyle name="Output Report Heading 11" xfId="11772"/>
    <cellStyle name="Output Report Heading 2" xfId="1973"/>
    <cellStyle name="Output Report Heading 2 2" xfId="11773"/>
    <cellStyle name="OUTPUT REPORT HEADING 2 2 2" xfId="11774"/>
    <cellStyle name="Output Report Heading 2 2 3" xfId="11775"/>
    <cellStyle name="Output Report Heading 2 2 4" xfId="11776"/>
    <cellStyle name="Output Report Heading 2 2 5" xfId="11777"/>
    <cellStyle name="Output Report Heading 2 2 6" xfId="11778"/>
    <cellStyle name="Output Report Heading 2 2 7" xfId="11779"/>
    <cellStyle name="OUTPUT REPORT HEADING 2 3" xfId="11780"/>
    <cellStyle name="OUTPUT REPORT HEADING 2 3 2" xfId="11781"/>
    <cellStyle name="Output Report Heading 2 4" xfId="11782"/>
    <cellStyle name="Output Report Heading 2 5" xfId="11783"/>
    <cellStyle name="Output Report Heading 2 6" xfId="11784"/>
    <cellStyle name="Output Report Heading 3" xfId="1974"/>
    <cellStyle name="Output Report Heading 4" xfId="1975"/>
    <cellStyle name="Output Report Heading 4 2" xfId="11785"/>
    <cellStyle name="Output Report Heading 5" xfId="1976"/>
    <cellStyle name="Output Report Heading 6" xfId="1977"/>
    <cellStyle name="Output Report Heading 7" xfId="1978"/>
    <cellStyle name="Output Report Heading 8" xfId="11786"/>
    <cellStyle name="Output Report Heading 9" xfId="11787"/>
    <cellStyle name="Output Report Heading_d1" xfId="11788"/>
    <cellStyle name="Output Report Title" xfId="1979"/>
    <cellStyle name="OUTPUT REPORT TITLE 10" xfId="11789"/>
    <cellStyle name="OUTPUT REPORT TITLE 10 2" xfId="11790"/>
    <cellStyle name="OUTPUT REPORT TITLE 10 3" xfId="11791"/>
    <cellStyle name="OUTPUT REPORT TITLE 11" xfId="11792"/>
    <cellStyle name="Output Report Title 12" xfId="11793"/>
    <cellStyle name="Output Report Title 2" xfId="1980"/>
    <cellStyle name="Output Report Title 2 2" xfId="11794"/>
    <cellStyle name="OUTPUT REPORT TITLE 2 2 2" xfId="11795"/>
    <cellStyle name="Output Report Title 2 2 3" xfId="11796"/>
    <cellStyle name="Output Report Title 2 2 4" xfId="11797"/>
    <cellStyle name="Output Report Title 2 2 5" xfId="11798"/>
    <cellStyle name="Output Report Title 2 2 6" xfId="11799"/>
    <cellStyle name="Output Report Title 2 2 7" xfId="11800"/>
    <cellStyle name="OUTPUT REPORT TITLE 2 3" xfId="11801"/>
    <cellStyle name="OUTPUT REPORT TITLE 2 3 2" xfId="11802"/>
    <cellStyle name="Output Report Title 2 4" xfId="11803"/>
    <cellStyle name="Output Report Title 2 5" xfId="11804"/>
    <cellStyle name="Output Report Title 2 6" xfId="11805"/>
    <cellStyle name="Output Report Title 3" xfId="1981"/>
    <cellStyle name="Output Report Title 4" xfId="1982"/>
    <cellStyle name="Output Report Title 4 2" xfId="11806"/>
    <cellStyle name="Output Report Title 5" xfId="1983"/>
    <cellStyle name="Output Report Title 6" xfId="1984"/>
    <cellStyle name="Output Report Title 7" xfId="1985"/>
    <cellStyle name="Output Report Title 8" xfId="11807"/>
    <cellStyle name="Output Report Title 9" xfId="11808"/>
    <cellStyle name="Output Report Title_d1" xfId="11809"/>
    <cellStyle name="Percent" xfId="3" builtinId="5"/>
    <cellStyle name="Percent 10" xfId="11810"/>
    <cellStyle name="Percent 10 2" xfId="11811"/>
    <cellStyle name="Percent 10 2 2" xfId="11812"/>
    <cellStyle name="Percent 10 2 3" xfId="11813"/>
    <cellStyle name="Percent 10 3" xfId="11814"/>
    <cellStyle name="Percent 10 3 2" xfId="11815"/>
    <cellStyle name="Percent 10 4" xfId="11816"/>
    <cellStyle name="Percent 10 5" xfId="11817"/>
    <cellStyle name="Percent 10 6" xfId="11818"/>
    <cellStyle name="Percent 11" xfId="11819"/>
    <cellStyle name="Percent 11 2" xfId="11820"/>
    <cellStyle name="Percent 11 3" xfId="11821"/>
    <cellStyle name="Percent 12" xfId="11822"/>
    <cellStyle name="Percent 13" xfId="11823"/>
    <cellStyle name="Percent 13 2" xfId="11824"/>
    <cellStyle name="Percent 14" xfId="11825"/>
    <cellStyle name="Percent 15" xfId="11826"/>
    <cellStyle name="Percent 2" xfId="1986"/>
    <cellStyle name="Percent 2 2" xfId="1987"/>
    <cellStyle name="Percent 2 2 2" xfId="11827"/>
    <cellStyle name="Percent 2 2 2 2" xfId="11828"/>
    <cellStyle name="Percent 2 2 2 2 2" xfId="11829"/>
    <cellStyle name="Percent 2 2 2 2 2 2" xfId="11830"/>
    <cellStyle name="Percent 2 2 2 2 2 2 2" xfId="11831"/>
    <cellStyle name="Percent 2 2 2 2 2 3" xfId="11832"/>
    <cellStyle name="Percent 2 2 2 2 3" xfId="11833"/>
    <cellStyle name="Percent 2 2 2 2 3 2" xfId="11834"/>
    <cellStyle name="Percent 2 2 2 2 4" xfId="11835"/>
    <cellStyle name="Percent 2 2 2 3" xfId="11836"/>
    <cellStyle name="Percent 2 2 2 3 2" xfId="11837"/>
    <cellStyle name="Percent 2 2 2 3 2 2" xfId="11838"/>
    <cellStyle name="Percent 2 2 2 3 3" xfId="11839"/>
    <cellStyle name="Percent 2 2 2 4" xfId="11840"/>
    <cellStyle name="Percent 2 2 2 4 2" xfId="11841"/>
    <cellStyle name="Percent 2 2 2 5" xfId="11842"/>
    <cellStyle name="Percent 2 2 3" xfId="11843"/>
    <cellStyle name="Percent 2 2 3 2" xfId="11844"/>
    <cellStyle name="Percent 2 2 3 2 2" xfId="11845"/>
    <cellStyle name="Percent 2 2 3 2 2 2" xfId="11846"/>
    <cellStyle name="Percent 2 2 3 2 3" xfId="11847"/>
    <cellStyle name="Percent 2 2 3 3" xfId="11848"/>
    <cellStyle name="Percent 2 2 3 3 2" xfId="11849"/>
    <cellStyle name="Percent 2 2 3 4" xfId="11850"/>
    <cellStyle name="Percent 2 2 4" xfId="11851"/>
    <cellStyle name="Percent 2 2 4 2" xfId="11852"/>
    <cellStyle name="Percent 2 2 4 2 2" xfId="11853"/>
    <cellStyle name="Percent 2 2 4 3" xfId="11854"/>
    <cellStyle name="Percent 2 2 5" xfId="11855"/>
    <cellStyle name="Percent 2 2 5 2" xfId="11856"/>
    <cellStyle name="Percent 2 2 6" xfId="11857"/>
    <cellStyle name="Percent 2 2 7" xfId="11858"/>
    <cellStyle name="Percent 2 3" xfId="1988"/>
    <cellStyle name="Percent 2 3 2" xfId="11859"/>
    <cellStyle name="Percent 2 3 2 2" xfId="11860"/>
    <cellStyle name="Percent 2 3 2 2 2" xfId="11861"/>
    <cellStyle name="Percent 2 3 2 3" xfId="11862"/>
    <cellStyle name="Percent 2 3 2 4" xfId="11863"/>
    <cellStyle name="Percent 2 3 3" xfId="11864"/>
    <cellStyle name="Percent 2 3 3 2" xfId="11865"/>
    <cellStyle name="Percent 2 3 4" xfId="11866"/>
    <cellStyle name="Percent 2 3 5" xfId="11867"/>
    <cellStyle name="Percent 2 4" xfId="1989"/>
    <cellStyle name="Percent 2 4 2" xfId="11868"/>
    <cellStyle name="Percent 2 5" xfId="1990"/>
    <cellStyle name="Percent 3" xfId="2104"/>
    <cellStyle name="Percent 3 10" xfId="11869"/>
    <cellStyle name="Percent 3 2" xfId="11870"/>
    <cellStyle name="Percent 3 2 2" xfId="11871"/>
    <cellStyle name="Percent 3 2 2 2" xfId="11872"/>
    <cellStyle name="Percent 3 2 2 2 2" xfId="11873"/>
    <cellStyle name="Percent 3 2 2 2 2 2" xfId="11874"/>
    <cellStyle name="Percent 3 2 2 2 2 2 2" xfId="11875"/>
    <cellStyle name="Percent 3 2 2 2 2 2 2 2" xfId="11876"/>
    <cellStyle name="Percent 3 2 2 2 2 2 3" xfId="11877"/>
    <cellStyle name="Percent 3 2 2 2 2 3" xfId="11878"/>
    <cellStyle name="Percent 3 2 2 2 2 3 2" xfId="11879"/>
    <cellStyle name="Percent 3 2 2 2 2 4" xfId="11880"/>
    <cellStyle name="Percent 3 2 2 2 3" xfId="11881"/>
    <cellStyle name="Percent 3 2 2 2 3 2" xfId="11882"/>
    <cellStyle name="Percent 3 2 2 2 3 2 2" xfId="11883"/>
    <cellStyle name="Percent 3 2 2 2 3 3" xfId="11884"/>
    <cellStyle name="Percent 3 2 2 2 4" xfId="11885"/>
    <cellStyle name="Percent 3 2 2 2 4 2" xfId="11886"/>
    <cellStyle name="Percent 3 2 2 2 5" xfId="11887"/>
    <cellStyle name="Percent 3 2 2 2 6" xfId="11888"/>
    <cellStyle name="Percent 3 2 2 3" xfId="11889"/>
    <cellStyle name="Percent 3 2 2 3 2" xfId="11890"/>
    <cellStyle name="Percent 3 2 2 3 2 2" xfId="11891"/>
    <cellStyle name="Percent 3 2 2 3 2 2 2" xfId="11892"/>
    <cellStyle name="Percent 3 2 2 3 2 3" xfId="11893"/>
    <cellStyle name="Percent 3 2 2 3 3" xfId="11894"/>
    <cellStyle name="Percent 3 2 2 3 3 2" xfId="11895"/>
    <cellStyle name="Percent 3 2 2 3 4" xfId="11896"/>
    <cellStyle name="Percent 3 2 2 4" xfId="11897"/>
    <cellStyle name="Percent 3 2 2 4 2" xfId="11898"/>
    <cellStyle name="Percent 3 2 2 4 2 2" xfId="11899"/>
    <cellStyle name="Percent 3 2 2 4 3" xfId="11900"/>
    <cellStyle name="Percent 3 2 2 5" xfId="11901"/>
    <cellStyle name="Percent 3 2 2 5 2" xfId="11902"/>
    <cellStyle name="Percent 3 2 2 6" xfId="11903"/>
    <cellStyle name="Percent 3 2 2 7" xfId="11904"/>
    <cellStyle name="Percent 3 2 3" xfId="11905"/>
    <cellStyle name="Percent 3 2 3 2" xfId="11906"/>
    <cellStyle name="Percent 3 2 3 2 2" xfId="11907"/>
    <cellStyle name="Percent 3 2 3 2 2 2" xfId="11908"/>
    <cellStyle name="Percent 3 2 3 2 2 2 2" xfId="11909"/>
    <cellStyle name="Percent 3 2 3 2 2 3" xfId="11910"/>
    <cellStyle name="Percent 3 2 3 2 3" xfId="11911"/>
    <cellStyle name="Percent 3 2 3 2 3 2" xfId="11912"/>
    <cellStyle name="Percent 3 2 3 2 4" xfId="11913"/>
    <cellStyle name="Percent 3 2 3 3" xfId="11914"/>
    <cellStyle name="Percent 3 2 3 3 2" xfId="11915"/>
    <cellStyle name="Percent 3 2 3 3 2 2" xfId="11916"/>
    <cellStyle name="Percent 3 2 3 3 3" xfId="11917"/>
    <cellStyle name="Percent 3 2 3 4" xfId="11918"/>
    <cellStyle name="Percent 3 2 3 4 2" xfId="11919"/>
    <cellStyle name="Percent 3 2 3 5" xfId="11920"/>
    <cellStyle name="Percent 3 2 3 6" xfId="11921"/>
    <cellStyle name="Percent 3 2 4" xfId="11922"/>
    <cellStyle name="Percent 3 2 4 2" xfId="11923"/>
    <cellStyle name="Percent 3 2 4 2 2" xfId="11924"/>
    <cellStyle name="Percent 3 2 4 2 2 2" xfId="11925"/>
    <cellStyle name="Percent 3 2 4 2 2 2 2" xfId="11926"/>
    <cellStyle name="Percent 3 2 4 2 2 3" xfId="11927"/>
    <cellStyle name="Percent 3 2 4 2 3" xfId="11928"/>
    <cellStyle name="Percent 3 2 4 2 3 2" xfId="11929"/>
    <cellStyle name="Percent 3 2 4 2 4" xfId="11930"/>
    <cellStyle name="Percent 3 2 4 3" xfId="11931"/>
    <cellStyle name="Percent 3 2 4 3 2" xfId="11932"/>
    <cellStyle name="Percent 3 2 4 3 2 2" xfId="11933"/>
    <cellStyle name="Percent 3 2 4 3 3" xfId="11934"/>
    <cellStyle name="Percent 3 2 4 4" xfId="11935"/>
    <cellStyle name="Percent 3 2 4 4 2" xfId="11936"/>
    <cellStyle name="Percent 3 2 4 5" xfId="11937"/>
    <cellStyle name="Percent 3 2 5" xfId="11938"/>
    <cellStyle name="Percent 3 2 5 2" xfId="11939"/>
    <cellStyle name="Percent 3 2 5 2 2" xfId="11940"/>
    <cellStyle name="Percent 3 2 5 2 2 2" xfId="11941"/>
    <cellStyle name="Percent 3 2 5 2 3" xfId="11942"/>
    <cellStyle name="Percent 3 2 5 3" xfId="11943"/>
    <cellStyle name="Percent 3 2 5 3 2" xfId="11944"/>
    <cellStyle name="Percent 3 2 5 4" xfId="11945"/>
    <cellStyle name="Percent 3 2 6" xfId="11946"/>
    <cellStyle name="Percent 3 2 6 2" xfId="11947"/>
    <cellStyle name="Percent 3 2 6 2 2" xfId="11948"/>
    <cellStyle name="Percent 3 2 6 3" xfId="11949"/>
    <cellStyle name="Percent 3 2 7" xfId="11950"/>
    <cellStyle name="Percent 3 2 7 2" xfId="11951"/>
    <cellStyle name="Percent 3 2 8" xfId="11952"/>
    <cellStyle name="Percent 3 2 9" xfId="11953"/>
    <cellStyle name="Percent 3 3" xfId="11954"/>
    <cellStyle name="Percent 3 3 2" xfId="11955"/>
    <cellStyle name="Percent 3 3 2 2" xfId="11956"/>
    <cellStyle name="Percent 3 3 2 2 2" xfId="11957"/>
    <cellStyle name="Percent 3 3 2 2 2 2" xfId="11958"/>
    <cellStyle name="Percent 3 3 2 2 2 2 2" xfId="11959"/>
    <cellStyle name="Percent 3 3 2 2 2 3" xfId="11960"/>
    <cellStyle name="Percent 3 3 2 2 3" xfId="11961"/>
    <cellStyle name="Percent 3 3 2 2 3 2" xfId="11962"/>
    <cellStyle name="Percent 3 3 2 2 4" xfId="11963"/>
    <cellStyle name="Percent 3 3 2 3" xfId="11964"/>
    <cellStyle name="Percent 3 3 2 3 2" xfId="11965"/>
    <cellStyle name="Percent 3 3 2 3 2 2" xfId="11966"/>
    <cellStyle name="Percent 3 3 2 3 3" xfId="11967"/>
    <cellStyle name="Percent 3 3 2 4" xfId="11968"/>
    <cellStyle name="Percent 3 3 2 4 2" xfId="11969"/>
    <cellStyle name="Percent 3 3 2 5" xfId="11970"/>
    <cellStyle name="Percent 3 3 3" xfId="11971"/>
    <cellStyle name="Percent 3 3 3 2" xfId="11972"/>
    <cellStyle name="Percent 3 3 3 2 2" xfId="11973"/>
    <cellStyle name="Percent 3 3 3 2 2 2" xfId="11974"/>
    <cellStyle name="Percent 3 3 3 2 3" xfId="11975"/>
    <cellStyle name="Percent 3 3 3 3" xfId="11976"/>
    <cellStyle name="Percent 3 3 3 3 2" xfId="11977"/>
    <cellStyle name="Percent 3 3 3 4" xfId="11978"/>
    <cellStyle name="Percent 3 3 4" xfId="11979"/>
    <cellStyle name="Percent 3 3 4 2" xfId="11980"/>
    <cellStyle name="Percent 3 3 4 2 2" xfId="11981"/>
    <cellStyle name="Percent 3 3 4 3" xfId="11982"/>
    <cellStyle name="Percent 3 3 5" xfId="11983"/>
    <cellStyle name="Percent 3 3 5 2" xfId="11984"/>
    <cellStyle name="Percent 3 3 6" xfId="11985"/>
    <cellStyle name="Percent 3 3 7" xfId="11986"/>
    <cellStyle name="Percent 3 4" xfId="11987"/>
    <cellStyle name="Percent 3 4 2" xfId="11988"/>
    <cellStyle name="Percent 3 4 2 2" xfId="11989"/>
    <cellStyle name="Percent 3 4 2 2 2" xfId="11990"/>
    <cellStyle name="Percent 3 4 2 2 2 2" xfId="11991"/>
    <cellStyle name="Percent 3 4 2 2 3" xfId="11992"/>
    <cellStyle name="Percent 3 4 2 3" xfId="11993"/>
    <cellStyle name="Percent 3 4 2 3 2" xfId="11994"/>
    <cellStyle name="Percent 3 4 2 4" xfId="11995"/>
    <cellStyle name="Percent 3 4 2 5" xfId="11996"/>
    <cellStyle name="Percent 3 4 3" xfId="11997"/>
    <cellStyle name="Percent 3 4 3 2" xfId="11998"/>
    <cellStyle name="Percent 3 4 3 2 2" xfId="11999"/>
    <cellStyle name="Percent 3 4 3 3" xfId="12000"/>
    <cellStyle name="Percent 3 4 4" xfId="12001"/>
    <cellStyle name="Percent 3 4 4 2" xfId="12002"/>
    <cellStyle name="Percent 3 4 5" xfId="12003"/>
    <cellStyle name="Percent 3 4 6" xfId="12004"/>
    <cellStyle name="Percent 3 5" xfId="12005"/>
    <cellStyle name="Percent 3 5 2" xfId="12006"/>
    <cellStyle name="Percent 3 5 2 2" xfId="12007"/>
    <cellStyle name="Percent 3 5 2 2 2" xfId="12008"/>
    <cellStyle name="Percent 3 5 2 2 2 2" xfId="12009"/>
    <cellStyle name="Percent 3 5 2 2 3" xfId="12010"/>
    <cellStyle name="Percent 3 5 2 3" xfId="12011"/>
    <cellStyle name="Percent 3 5 2 3 2" xfId="12012"/>
    <cellStyle name="Percent 3 5 2 4" xfId="12013"/>
    <cellStyle name="Percent 3 5 3" xfId="12014"/>
    <cellStyle name="Percent 3 5 3 2" xfId="12015"/>
    <cellStyle name="Percent 3 5 3 2 2" xfId="12016"/>
    <cellStyle name="Percent 3 5 3 3" xfId="12017"/>
    <cellStyle name="Percent 3 5 4" xfId="12018"/>
    <cellStyle name="Percent 3 5 4 2" xfId="12019"/>
    <cellStyle name="Percent 3 5 5" xfId="12020"/>
    <cellStyle name="Percent 3 5 6" xfId="12021"/>
    <cellStyle name="Percent 3 6" xfId="12022"/>
    <cellStyle name="Percent 3 6 2" xfId="12023"/>
    <cellStyle name="Percent 3 6 2 2" xfId="12024"/>
    <cellStyle name="Percent 3 6 2 2 2" xfId="12025"/>
    <cellStyle name="Percent 3 6 2 3" xfId="12026"/>
    <cellStyle name="Percent 3 6 3" xfId="12027"/>
    <cellStyle name="Percent 3 6 3 2" xfId="12028"/>
    <cellStyle name="Percent 3 6 4" xfId="12029"/>
    <cellStyle name="Percent 3 7" xfId="12030"/>
    <cellStyle name="Percent 3 7 2" xfId="12031"/>
    <cellStyle name="Percent 3 7 2 2" xfId="12032"/>
    <cellStyle name="Percent 3 7 3" xfId="12033"/>
    <cellStyle name="Percent 3 8" xfId="12034"/>
    <cellStyle name="Percent 3 8 2" xfId="12035"/>
    <cellStyle name="Percent 3 9" xfId="12036"/>
    <cellStyle name="Percent 4" xfId="12037"/>
    <cellStyle name="Percent 4 2" xfId="12038"/>
    <cellStyle name="Percent 4 2 2" xfId="12039"/>
    <cellStyle name="Percent 4 2 2 2" xfId="12040"/>
    <cellStyle name="Percent 4 2 2 2 2" xfId="12041"/>
    <cellStyle name="Percent 4 2 2 2 2 2" xfId="12042"/>
    <cellStyle name="Percent 4 2 2 2 3" xfId="12043"/>
    <cellStyle name="Percent 4 2 2 2 4" xfId="12044"/>
    <cellStyle name="Percent 4 2 2 3" xfId="12045"/>
    <cellStyle name="Percent 4 2 2 3 2" xfId="12046"/>
    <cellStyle name="Percent 4 2 2 4" xfId="12047"/>
    <cellStyle name="Percent 4 2 2 5" xfId="12048"/>
    <cellStyle name="Percent 4 2 3" xfId="12049"/>
    <cellStyle name="Percent 4 2 3 2" xfId="12050"/>
    <cellStyle name="Percent 4 2 3 2 2" xfId="12051"/>
    <cellStyle name="Percent 4 2 3 3" xfId="12052"/>
    <cellStyle name="Percent 4 2 3 4" xfId="12053"/>
    <cellStyle name="Percent 4 2 4" xfId="12054"/>
    <cellStyle name="Percent 4 2 4 2" xfId="12055"/>
    <cellStyle name="Percent 4 2 5" xfId="12056"/>
    <cellStyle name="Percent 4 2 6" xfId="12057"/>
    <cellStyle name="Percent 4 3" xfId="12058"/>
    <cellStyle name="Percent 4 3 2" xfId="12059"/>
    <cellStyle name="Percent 4 3 2 2" xfId="12060"/>
    <cellStyle name="Percent 4 3 2 2 2" xfId="12061"/>
    <cellStyle name="Percent 4 3 2 3" xfId="12062"/>
    <cellStyle name="Percent 4 3 3" xfId="12063"/>
    <cellStyle name="Percent 4 3 3 2" xfId="12064"/>
    <cellStyle name="Percent 4 3 4" xfId="12065"/>
    <cellStyle name="Percent 4 3 5" xfId="12066"/>
    <cellStyle name="Percent 4 4" xfId="12067"/>
    <cellStyle name="Percent 4 4 2" xfId="12068"/>
    <cellStyle name="Percent 4 4 2 2" xfId="12069"/>
    <cellStyle name="Percent 4 4 3" xfId="12070"/>
    <cellStyle name="Percent 4 5" xfId="12071"/>
    <cellStyle name="Percent 4 5 2" xfId="12072"/>
    <cellStyle name="Percent 4 6" xfId="12073"/>
    <cellStyle name="Percent 4 7" xfId="12074"/>
    <cellStyle name="Percent 4 8" xfId="12075"/>
    <cellStyle name="Percent 5" xfId="12076"/>
    <cellStyle name="Percent 5 2" xfId="12077"/>
    <cellStyle name="Percent 5 2 2" xfId="12078"/>
    <cellStyle name="Percent 5 3" xfId="12079"/>
    <cellStyle name="Percent 6" xfId="12080"/>
    <cellStyle name="Percent 6 2" xfId="12081"/>
    <cellStyle name="Percent 6 3" xfId="12082"/>
    <cellStyle name="Percent 7" xfId="12083"/>
    <cellStyle name="Percent 7 2" xfId="12084"/>
    <cellStyle name="Percent 7 2 2" xfId="12085"/>
    <cellStyle name="Percent 7 2 2 2" xfId="12086"/>
    <cellStyle name="Percent 7 2 2 3" xfId="12087"/>
    <cellStyle name="Percent 7 2 3" xfId="12088"/>
    <cellStyle name="Percent 7 2 4" xfId="12089"/>
    <cellStyle name="Percent 7 3" xfId="12090"/>
    <cellStyle name="Percent 7 3 2" xfId="12091"/>
    <cellStyle name="Percent 7 3 3" xfId="12092"/>
    <cellStyle name="Percent 7 4" xfId="12093"/>
    <cellStyle name="Percent 7 5" xfId="12094"/>
    <cellStyle name="Percent 7 6" xfId="12095"/>
    <cellStyle name="Percent 8" xfId="12096"/>
    <cellStyle name="Percent 8 2" xfId="12097"/>
    <cellStyle name="Percent 8 2 2" xfId="12098"/>
    <cellStyle name="Percent 8 2 2 2" xfId="12099"/>
    <cellStyle name="Percent 8 2 3" xfId="12100"/>
    <cellStyle name="Percent 8 3" xfId="12101"/>
    <cellStyle name="Percent 8 3 2" xfId="12102"/>
    <cellStyle name="Percent 8 4" xfId="12103"/>
    <cellStyle name="Percent 8 5" xfId="12104"/>
    <cellStyle name="Percent 8 6" xfId="12105"/>
    <cellStyle name="Percent 9" xfId="12106"/>
    <cellStyle name="Percent 9 2" xfId="12107"/>
    <cellStyle name="Percent 9 2 2" xfId="12108"/>
    <cellStyle name="Percent 9 2 3" xfId="12109"/>
    <cellStyle name="Percent 9 3" xfId="12110"/>
    <cellStyle name="Percent 9 3 2" xfId="12111"/>
    <cellStyle name="Percent 9 4" xfId="12112"/>
    <cellStyle name="Percent 9 5" xfId="12113"/>
    <cellStyle name="Percent 9 6" xfId="12114"/>
    <cellStyle name="Project Overview Data Entry" xfId="12115"/>
    <cellStyle name="Project Overview Data Entry 2" xfId="12116"/>
    <cellStyle name="PSChar" xfId="12117"/>
    <cellStyle name="PSDate" xfId="12118"/>
    <cellStyle name="PSDec" xfId="12119"/>
    <cellStyle name="PSHeading" xfId="12120"/>
    <cellStyle name="PSInt" xfId="12121"/>
    <cellStyle name="PSSpacer" xfId="12122"/>
    <cellStyle name="ReportTitlePrompt" xfId="12123"/>
    <cellStyle name="ReportTitlePrompt 2" xfId="12124"/>
    <cellStyle name="ReportTitlePrompt 2 2" xfId="12125"/>
    <cellStyle name="ReportTitlePrompt 2 3" xfId="12126"/>
    <cellStyle name="ReportTitlePrompt 3" xfId="12127"/>
    <cellStyle name="ReportTitlePrompt 4" xfId="12128"/>
    <cellStyle name="ReportTitleValue" xfId="12129"/>
    <cellStyle name="ReportTitleValue 2" xfId="12130"/>
    <cellStyle name="ReportTitleValue 2 2" xfId="12131"/>
    <cellStyle name="Reset  - Style4" xfId="12132"/>
    <cellStyle name="RowAcctAbovePrompt" xfId="12133"/>
    <cellStyle name="RowAcctAbovePrompt 2" xfId="12134"/>
    <cellStyle name="RowAcctAbovePrompt 2 2" xfId="12135"/>
    <cellStyle name="RowAcctAbovePrompt 2 3" xfId="12136"/>
    <cellStyle name="RowAcctAbovePrompt 3" xfId="12137"/>
    <cellStyle name="RowAcctSOBAbovePrompt" xfId="12138"/>
    <cellStyle name="RowAcctSOBAbovePrompt 2" xfId="12139"/>
    <cellStyle name="RowAcctSOBAbovePrompt 2 2" xfId="12140"/>
    <cellStyle name="RowAcctSOBAbovePrompt 2 3" xfId="12141"/>
    <cellStyle name="RowAcctSOBAbovePrompt 3" xfId="12142"/>
    <cellStyle name="RowAcctSOBValue" xfId="12143"/>
    <cellStyle name="RowAcctSOBValue 2" xfId="12144"/>
    <cellStyle name="RowAcctSOBValue 2 2" xfId="12145"/>
    <cellStyle name="RowAcctSOBValue 2 3" xfId="12146"/>
    <cellStyle name="RowAcctSOBValue 3" xfId="12147"/>
    <cellStyle name="RowAcctValue" xfId="12148"/>
    <cellStyle name="RowAcctValue 2" xfId="12149"/>
    <cellStyle name="RowAcctValue 2 2" xfId="12150"/>
    <cellStyle name="RowAttrAbovePrompt" xfId="12151"/>
    <cellStyle name="RowAttrAbovePrompt 2" xfId="12152"/>
    <cellStyle name="RowAttrAbovePrompt 2 2" xfId="12153"/>
    <cellStyle name="RowAttrAbovePrompt 2 3" xfId="12154"/>
    <cellStyle name="RowAttrAbovePrompt 3" xfId="12155"/>
    <cellStyle name="RowAttrValue" xfId="12156"/>
    <cellStyle name="RowAttrValue 2" xfId="12157"/>
    <cellStyle name="RowAttrValue 2 2" xfId="12158"/>
    <cellStyle name="RowColSetAbovePrompt" xfId="12159"/>
    <cellStyle name="RowColSetAbovePrompt 2" xfId="12160"/>
    <cellStyle name="RowColSetAbovePrompt 2 2" xfId="12161"/>
    <cellStyle name="RowColSetAbovePrompt 2 3" xfId="12162"/>
    <cellStyle name="RowColSetAbovePrompt 3" xfId="12163"/>
    <cellStyle name="RowColSetLeftPrompt" xfId="12164"/>
    <cellStyle name="RowColSetLeftPrompt 2" xfId="12165"/>
    <cellStyle name="RowColSetLeftPrompt 2 2" xfId="12166"/>
    <cellStyle name="RowColSetLeftPrompt 2 3" xfId="12167"/>
    <cellStyle name="RowColSetLeftPrompt 3" xfId="12168"/>
    <cellStyle name="RowColSetValue" xfId="12169"/>
    <cellStyle name="RowColSetValue 2" xfId="12170"/>
    <cellStyle name="RowColSetValue 2 2" xfId="12171"/>
    <cellStyle name="RowColSetValue 3" xfId="12172"/>
    <cellStyle name="RowLeftPrompt" xfId="12173"/>
    <cellStyle name="RowLeftPrompt 2" xfId="12174"/>
    <cellStyle name="RowLeftPrompt 2 2" xfId="12175"/>
    <cellStyle name="RowLeftPrompt 2 3" xfId="12176"/>
    <cellStyle name="RowLeftPrompt 3" xfId="12177"/>
    <cellStyle name="SampleUsingFormatMask" xfId="12178"/>
    <cellStyle name="SampleUsingFormatMask 2" xfId="12179"/>
    <cellStyle name="SampleUsingFormatMask 2 2" xfId="12180"/>
    <cellStyle name="SampleUsingFormatMask 2 3" xfId="12181"/>
    <cellStyle name="SampleUsingFormatMask 3" xfId="12182"/>
    <cellStyle name="SampleWithNoFormatMask" xfId="12183"/>
    <cellStyle name="SampleWithNoFormatMask 2" xfId="12184"/>
    <cellStyle name="SampleWithNoFormatMask 2 2" xfId="12185"/>
    <cellStyle name="SampleWithNoFormatMask 2 3" xfId="12186"/>
    <cellStyle name="SampleWithNoFormatMask 3" xfId="12187"/>
    <cellStyle name="SAPBEXaggData" xfId="12188"/>
    <cellStyle name="SAPBEXaggData 10" xfId="12189"/>
    <cellStyle name="SAPBEXaggData 10 2" xfId="12190"/>
    <cellStyle name="SAPBEXaggData 11" xfId="12191"/>
    <cellStyle name="SAPBEXaggData 11 2" xfId="12192"/>
    <cellStyle name="SAPBEXaggData 12" xfId="12193"/>
    <cellStyle name="SAPBEXaggData 2" xfId="12194"/>
    <cellStyle name="SAPBEXaggData 2 10" xfId="12195"/>
    <cellStyle name="SAPBEXaggData 2 10 2" xfId="12196"/>
    <cellStyle name="SAPBEXaggData 2 11" xfId="12197"/>
    <cellStyle name="SAPBEXaggData 2 2" xfId="12198"/>
    <cellStyle name="SAPBEXaggData 2 2 2" xfId="12199"/>
    <cellStyle name="SAPBEXaggData 2 3" xfId="12200"/>
    <cellStyle name="SAPBEXaggData 2 3 2" xfId="12201"/>
    <cellStyle name="SAPBEXaggData 2 4" xfId="12202"/>
    <cellStyle name="SAPBEXaggData 2 4 2" xfId="12203"/>
    <cellStyle name="SAPBEXaggData 2 5" xfId="12204"/>
    <cellStyle name="SAPBEXaggData 2 5 2" xfId="12205"/>
    <cellStyle name="SAPBEXaggData 2 6" xfId="12206"/>
    <cellStyle name="SAPBEXaggData 2 6 2" xfId="12207"/>
    <cellStyle name="SAPBEXaggData 2 7" xfId="12208"/>
    <cellStyle name="SAPBEXaggData 2 7 2" xfId="12209"/>
    <cellStyle name="SAPBEXaggData 2 8" xfId="12210"/>
    <cellStyle name="SAPBEXaggData 2 8 2" xfId="12211"/>
    <cellStyle name="SAPBEXaggData 2 9" xfId="12212"/>
    <cellStyle name="SAPBEXaggData 2 9 2" xfId="12213"/>
    <cellStyle name="SAPBEXaggData 3" xfId="12214"/>
    <cellStyle name="SAPBEXaggData 3 2" xfId="12215"/>
    <cellStyle name="SAPBEXaggData 4" xfId="12216"/>
    <cellStyle name="SAPBEXaggData 4 2" xfId="12217"/>
    <cellStyle name="SAPBEXaggData 5" xfId="12218"/>
    <cellStyle name="SAPBEXaggData 5 2" xfId="12219"/>
    <cellStyle name="SAPBEXaggData 6" xfId="12220"/>
    <cellStyle name="SAPBEXaggData 6 2" xfId="12221"/>
    <cellStyle name="SAPBEXaggData 7" xfId="12222"/>
    <cellStyle name="SAPBEXaggData 7 2" xfId="12223"/>
    <cellStyle name="SAPBEXaggData 8" xfId="12224"/>
    <cellStyle name="SAPBEXaggData 8 2" xfId="12225"/>
    <cellStyle name="SAPBEXaggData 9" xfId="12226"/>
    <cellStyle name="SAPBEXaggData 9 2" xfId="12227"/>
    <cellStyle name="SAPBEXaggDataEmph" xfId="12228"/>
    <cellStyle name="SAPBEXaggDataEmph 10" xfId="12229"/>
    <cellStyle name="SAPBEXaggDataEmph 10 2" xfId="12230"/>
    <cellStyle name="SAPBEXaggDataEmph 11" xfId="12231"/>
    <cellStyle name="SAPBEXaggDataEmph 2" xfId="12232"/>
    <cellStyle name="SAPBEXaggDataEmph 2 2" xfId="12233"/>
    <cellStyle name="SAPBEXaggDataEmph 3" xfId="12234"/>
    <cellStyle name="SAPBEXaggDataEmph 3 2" xfId="12235"/>
    <cellStyle name="SAPBEXaggDataEmph 4" xfId="12236"/>
    <cellStyle name="SAPBEXaggDataEmph 4 2" xfId="12237"/>
    <cellStyle name="SAPBEXaggDataEmph 5" xfId="12238"/>
    <cellStyle name="SAPBEXaggDataEmph 5 2" xfId="12239"/>
    <cellStyle name="SAPBEXaggDataEmph 6" xfId="12240"/>
    <cellStyle name="SAPBEXaggDataEmph 6 2" xfId="12241"/>
    <cellStyle name="SAPBEXaggDataEmph 7" xfId="12242"/>
    <cellStyle name="SAPBEXaggDataEmph 7 2" xfId="12243"/>
    <cellStyle name="SAPBEXaggDataEmph 8" xfId="12244"/>
    <cellStyle name="SAPBEXaggDataEmph 8 2" xfId="12245"/>
    <cellStyle name="SAPBEXaggDataEmph 9" xfId="12246"/>
    <cellStyle name="SAPBEXaggDataEmph 9 2" xfId="12247"/>
    <cellStyle name="SAPBEXaggItem" xfId="12248"/>
    <cellStyle name="SAPBEXaggItem 10" xfId="12249"/>
    <cellStyle name="SAPBEXaggItem 10 2" xfId="12250"/>
    <cellStyle name="SAPBEXaggItem 11" xfId="12251"/>
    <cellStyle name="SAPBEXaggItem 11 2" xfId="12252"/>
    <cellStyle name="SAPBEXaggItem 12" xfId="12253"/>
    <cellStyle name="SAPBEXaggItem 2" xfId="12254"/>
    <cellStyle name="SAPBEXaggItem 2 10" xfId="12255"/>
    <cellStyle name="SAPBEXaggItem 2 10 2" xfId="12256"/>
    <cellStyle name="SAPBEXaggItem 2 11" xfId="12257"/>
    <cellStyle name="SAPBEXaggItem 2 2" xfId="12258"/>
    <cellStyle name="SAPBEXaggItem 2 2 2" xfId="12259"/>
    <cellStyle name="SAPBEXaggItem 2 3" xfId="12260"/>
    <cellStyle name="SAPBEXaggItem 2 3 2" xfId="12261"/>
    <cellStyle name="SAPBEXaggItem 2 4" xfId="12262"/>
    <cellStyle name="SAPBEXaggItem 2 4 2" xfId="12263"/>
    <cellStyle name="SAPBEXaggItem 2 5" xfId="12264"/>
    <cellStyle name="SAPBEXaggItem 2 5 2" xfId="12265"/>
    <cellStyle name="SAPBEXaggItem 2 6" xfId="12266"/>
    <cellStyle name="SAPBEXaggItem 2 6 2" xfId="12267"/>
    <cellStyle name="SAPBEXaggItem 2 7" xfId="12268"/>
    <cellStyle name="SAPBEXaggItem 2 7 2" xfId="12269"/>
    <cellStyle name="SAPBEXaggItem 2 8" xfId="12270"/>
    <cellStyle name="SAPBEXaggItem 2 8 2" xfId="12271"/>
    <cellStyle name="SAPBEXaggItem 2 9" xfId="12272"/>
    <cellStyle name="SAPBEXaggItem 2 9 2" xfId="12273"/>
    <cellStyle name="SAPBEXaggItem 3" xfId="12274"/>
    <cellStyle name="SAPBEXaggItem 3 2" xfId="12275"/>
    <cellStyle name="SAPBEXaggItem 4" xfId="12276"/>
    <cellStyle name="SAPBEXaggItem 4 2" xfId="12277"/>
    <cellStyle name="SAPBEXaggItem 5" xfId="12278"/>
    <cellStyle name="SAPBEXaggItem 5 2" xfId="12279"/>
    <cellStyle name="SAPBEXaggItem 6" xfId="12280"/>
    <cellStyle name="SAPBEXaggItem 6 2" xfId="12281"/>
    <cellStyle name="SAPBEXaggItem 7" xfId="12282"/>
    <cellStyle name="SAPBEXaggItem 7 2" xfId="12283"/>
    <cellStyle name="SAPBEXaggItem 8" xfId="12284"/>
    <cellStyle name="SAPBEXaggItem 8 2" xfId="12285"/>
    <cellStyle name="SAPBEXaggItem 9" xfId="12286"/>
    <cellStyle name="SAPBEXaggItem 9 2" xfId="12287"/>
    <cellStyle name="SAPBEXaggItemX" xfId="12288"/>
    <cellStyle name="SAPBEXaggItemX 10" xfId="12289"/>
    <cellStyle name="SAPBEXaggItemX 10 2" xfId="12290"/>
    <cellStyle name="SAPBEXaggItemX 11" xfId="12291"/>
    <cellStyle name="SAPBEXaggItemX 11 2" xfId="12292"/>
    <cellStyle name="SAPBEXaggItemX 12" xfId="12293"/>
    <cellStyle name="SAPBEXaggItemX 2" xfId="12294"/>
    <cellStyle name="SAPBEXaggItemX 2 10" xfId="12295"/>
    <cellStyle name="SAPBEXaggItemX 2 10 2" xfId="12296"/>
    <cellStyle name="SAPBEXaggItemX 2 11" xfId="12297"/>
    <cellStyle name="SAPBEXaggItemX 2 2" xfId="12298"/>
    <cellStyle name="SAPBEXaggItemX 2 2 2" xfId="12299"/>
    <cellStyle name="SAPBEXaggItemX 2 3" xfId="12300"/>
    <cellStyle name="SAPBEXaggItemX 2 3 2" xfId="12301"/>
    <cellStyle name="SAPBEXaggItemX 2 4" xfId="12302"/>
    <cellStyle name="SAPBEXaggItemX 2 4 2" xfId="12303"/>
    <cellStyle name="SAPBEXaggItemX 2 5" xfId="12304"/>
    <cellStyle name="SAPBEXaggItemX 2 5 2" xfId="12305"/>
    <cellStyle name="SAPBEXaggItemX 2 6" xfId="12306"/>
    <cellStyle name="SAPBEXaggItemX 2 6 2" xfId="12307"/>
    <cellStyle name="SAPBEXaggItemX 2 7" xfId="12308"/>
    <cellStyle name="SAPBEXaggItemX 2 7 2" xfId="12309"/>
    <cellStyle name="SAPBEXaggItemX 2 8" xfId="12310"/>
    <cellStyle name="SAPBEXaggItemX 2 8 2" xfId="12311"/>
    <cellStyle name="SAPBEXaggItemX 2 9" xfId="12312"/>
    <cellStyle name="SAPBEXaggItemX 2 9 2" xfId="12313"/>
    <cellStyle name="SAPBEXaggItemX 3" xfId="12314"/>
    <cellStyle name="SAPBEXaggItemX 3 2" xfId="12315"/>
    <cellStyle name="SAPBEXaggItemX 4" xfId="12316"/>
    <cellStyle name="SAPBEXaggItemX 4 2" xfId="12317"/>
    <cellStyle name="SAPBEXaggItemX 5" xfId="12318"/>
    <cellStyle name="SAPBEXaggItemX 5 2" xfId="12319"/>
    <cellStyle name="SAPBEXaggItemX 6" xfId="12320"/>
    <cellStyle name="SAPBEXaggItemX 6 2" xfId="12321"/>
    <cellStyle name="SAPBEXaggItemX 7" xfId="12322"/>
    <cellStyle name="SAPBEXaggItemX 7 2" xfId="12323"/>
    <cellStyle name="SAPBEXaggItemX 8" xfId="12324"/>
    <cellStyle name="SAPBEXaggItemX 8 2" xfId="12325"/>
    <cellStyle name="SAPBEXaggItemX 9" xfId="12326"/>
    <cellStyle name="SAPBEXaggItemX 9 2" xfId="12327"/>
    <cellStyle name="SAPBEXchaText" xfId="12328"/>
    <cellStyle name="SAPBEXchaText 2" xfId="12329"/>
    <cellStyle name="SAPBEXexcBad7" xfId="12330"/>
    <cellStyle name="SAPBEXexcBad7 10" xfId="12331"/>
    <cellStyle name="SAPBEXexcBad7 10 2" xfId="12332"/>
    <cellStyle name="SAPBEXexcBad7 11" xfId="12333"/>
    <cellStyle name="SAPBEXexcBad7 11 2" xfId="12334"/>
    <cellStyle name="SAPBEXexcBad7 12" xfId="12335"/>
    <cellStyle name="SAPBEXexcBad7 2" xfId="12336"/>
    <cellStyle name="SAPBEXexcBad7 2 10" xfId="12337"/>
    <cellStyle name="SAPBEXexcBad7 2 10 2" xfId="12338"/>
    <cellStyle name="SAPBEXexcBad7 2 11" xfId="12339"/>
    <cellStyle name="SAPBEXexcBad7 2 2" xfId="12340"/>
    <cellStyle name="SAPBEXexcBad7 2 2 2" xfId="12341"/>
    <cellStyle name="SAPBEXexcBad7 2 3" xfId="12342"/>
    <cellStyle name="SAPBEXexcBad7 2 3 2" xfId="12343"/>
    <cellStyle name="SAPBEXexcBad7 2 4" xfId="12344"/>
    <cellStyle name="SAPBEXexcBad7 2 4 2" xfId="12345"/>
    <cellStyle name="SAPBEXexcBad7 2 5" xfId="12346"/>
    <cellStyle name="SAPBEXexcBad7 2 5 2" xfId="12347"/>
    <cellStyle name="SAPBEXexcBad7 2 6" xfId="12348"/>
    <cellStyle name="SAPBEXexcBad7 2 6 2" xfId="12349"/>
    <cellStyle name="SAPBEXexcBad7 2 7" xfId="12350"/>
    <cellStyle name="SAPBEXexcBad7 2 7 2" xfId="12351"/>
    <cellStyle name="SAPBEXexcBad7 2 8" xfId="12352"/>
    <cellStyle name="SAPBEXexcBad7 2 8 2" xfId="12353"/>
    <cellStyle name="SAPBEXexcBad7 2 9" xfId="12354"/>
    <cellStyle name="SAPBEXexcBad7 2 9 2" xfId="12355"/>
    <cellStyle name="SAPBEXexcBad7 3" xfId="12356"/>
    <cellStyle name="SAPBEXexcBad7 3 2" xfId="12357"/>
    <cellStyle name="SAPBEXexcBad7 4" xfId="12358"/>
    <cellStyle name="SAPBEXexcBad7 4 2" xfId="12359"/>
    <cellStyle name="SAPBEXexcBad7 5" xfId="12360"/>
    <cellStyle name="SAPBEXexcBad7 5 2" xfId="12361"/>
    <cellStyle name="SAPBEXexcBad7 6" xfId="12362"/>
    <cellStyle name="SAPBEXexcBad7 6 2" xfId="12363"/>
    <cellStyle name="SAPBEXexcBad7 7" xfId="12364"/>
    <cellStyle name="SAPBEXexcBad7 7 2" xfId="12365"/>
    <cellStyle name="SAPBEXexcBad7 8" xfId="12366"/>
    <cellStyle name="SAPBEXexcBad7 8 2" xfId="12367"/>
    <cellStyle name="SAPBEXexcBad7 9" xfId="12368"/>
    <cellStyle name="SAPBEXexcBad7 9 2" xfId="12369"/>
    <cellStyle name="SAPBEXexcBad8" xfId="12370"/>
    <cellStyle name="SAPBEXexcBad8 10" xfId="12371"/>
    <cellStyle name="SAPBEXexcBad8 10 2" xfId="12372"/>
    <cellStyle name="SAPBEXexcBad8 11" xfId="12373"/>
    <cellStyle name="SAPBEXexcBad8 2" xfId="12374"/>
    <cellStyle name="SAPBEXexcBad8 2 2" xfId="12375"/>
    <cellStyle name="SAPBEXexcBad8 3" xfId="12376"/>
    <cellStyle name="SAPBEXexcBad8 3 2" xfId="12377"/>
    <cellStyle name="SAPBEXexcBad8 4" xfId="12378"/>
    <cellStyle name="SAPBEXexcBad8 4 2" xfId="12379"/>
    <cellStyle name="SAPBEXexcBad8 5" xfId="12380"/>
    <cellStyle name="SAPBEXexcBad8 5 2" xfId="12381"/>
    <cellStyle name="SAPBEXexcBad8 6" xfId="12382"/>
    <cellStyle name="SAPBEXexcBad8 6 2" xfId="12383"/>
    <cellStyle name="SAPBEXexcBad8 7" xfId="12384"/>
    <cellStyle name="SAPBEXexcBad8 7 2" xfId="12385"/>
    <cellStyle name="SAPBEXexcBad8 8" xfId="12386"/>
    <cellStyle name="SAPBEXexcBad8 8 2" xfId="12387"/>
    <cellStyle name="SAPBEXexcBad8 9" xfId="12388"/>
    <cellStyle name="SAPBEXexcBad8 9 2" xfId="12389"/>
    <cellStyle name="SAPBEXexcBad9" xfId="12390"/>
    <cellStyle name="SAPBEXexcBad9 10" xfId="12391"/>
    <cellStyle name="SAPBEXexcBad9 10 2" xfId="12392"/>
    <cellStyle name="SAPBEXexcBad9 11" xfId="12393"/>
    <cellStyle name="SAPBEXexcBad9 2" xfId="12394"/>
    <cellStyle name="SAPBEXexcBad9 2 2" xfId="12395"/>
    <cellStyle name="SAPBEXexcBad9 3" xfId="12396"/>
    <cellStyle name="SAPBEXexcBad9 3 2" xfId="12397"/>
    <cellStyle name="SAPBEXexcBad9 4" xfId="12398"/>
    <cellStyle name="SAPBEXexcBad9 4 2" xfId="12399"/>
    <cellStyle name="SAPBEXexcBad9 5" xfId="12400"/>
    <cellStyle name="SAPBEXexcBad9 5 2" xfId="12401"/>
    <cellStyle name="SAPBEXexcBad9 6" xfId="12402"/>
    <cellStyle name="SAPBEXexcBad9 6 2" xfId="12403"/>
    <cellStyle name="SAPBEXexcBad9 7" xfId="12404"/>
    <cellStyle name="SAPBEXexcBad9 7 2" xfId="12405"/>
    <cellStyle name="SAPBEXexcBad9 8" xfId="12406"/>
    <cellStyle name="SAPBEXexcBad9 8 2" xfId="12407"/>
    <cellStyle name="SAPBEXexcBad9 9" xfId="12408"/>
    <cellStyle name="SAPBEXexcBad9 9 2" xfId="12409"/>
    <cellStyle name="SAPBEXexcCritical4" xfId="12410"/>
    <cellStyle name="SAPBEXexcCritical4 10" xfId="12411"/>
    <cellStyle name="SAPBEXexcCritical4 10 2" xfId="12412"/>
    <cellStyle name="SAPBEXexcCritical4 11" xfId="12413"/>
    <cellStyle name="SAPBEXexcCritical4 11 2" xfId="12414"/>
    <cellStyle name="SAPBEXexcCritical4 12" xfId="12415"/>
    <cellStyle name="SAPBEXexcCritical4 2" xfId="12416"/>
    <cellStyle name="SAPBEXexcCritical4 2 10" xfId="12417"/>
    <cellStyle name="SAPBEXexcCritical4 2 10 2" xfId="12418"/>
    <cellStyle name="SAPBEXexcCritical4 2 11" xfId="12419"/>
    <cellStyle name="SAPBEXexcCritical4 2 2" xfId="12420"/>
    <cellStyle name="SAPBEXexcCritical4 2 2 2" xfId="12421"/>
    <cellStyle name="SAPBEXexcCritical4 2 3" xfId="12422"/>
    <cellStyle name="SAPBEXexcCritical4 2 3 2" xfId="12423"/>
    <cellStyle name="SAPBEXexcCritical4 2 4" xfId="12424"/>
    <cellStyle name="SAPBEXexcCritical4 2 4 2" xfId="12425"/>
    <cellStyle name="SAPBEXexcCritical4 2 5" xfId="12426"/>
    <cellStyle name="SAPBEXexcCritical4 2 5 2" xfId="12427"/>
    <cellStyle name="SAPBEXexcCritical4 2 6" xfId="12428"/>
    <cellStyle name="SAPBEXexcCritical4 2 6 2" xfId="12429"/>
    <cellStyle name="SAPBEXexcCritical4 2 7" xfId="12430"/>
    <cellStyle name="SAPBEXexcCritical4 2 7 2" xfId="12431"/>
    <cellStyle name="SAPBEXexcCritical4 2 8" xfId="12432"/>
    <cellStyle name="SAPBEXexcCritical4 2 8 2" xfId="12433"/>
    <cellStyle name="SAPBEXexcCritical4 2 9" xfId="12434"/>
    <cellStyle name="SAPBEXexcCritical4 2 9 2" xfId="12435"/>
    <cellStyle name="SAPBEXexcCritical4 3" xfId="12436"/>
    <cellStyle name="SAPBEXexcCritical4 3 2" xfId="12437"/>
    <cellStyle name="SAPBEXexcCritical4 4" xfId="12438"/>
    <cellStyle name="SAPBEXexcCritical4 4 2" xfId="12439"/>
    <cellStyle name="SAPBEXexcCritical4 5" xfId="12440"/>
    <cellStyle name="SAPBEXexcCritical4 5 2" xfId="12441"/>
    <cellStyle name="SAPBEXexcCritical4 6" xfId="12442"/>
    <cellStyle name="SAPBEXexcCritical4 6 2" xfId="12443"/>
    <cellStyle name="SAPBEXexcCritical4 7" xfId="12444"/>
    <cellStyle name="SAPBEXexcCritical4 7 2" xfId="12445"/>
    <cellStyle name="SAPBEXexcCritical4 8" xfId="12446"/>
    <cellStyle name="SAPBEXexcCritical4 8 2" xfId="12447"/>
    <cellStyle name="SAPBEXexcCritical4 9" xfId="12448"/>
    <cellStyle name="SAPBEXexcCritical4 9 2" xfId="12449"/>
    <cellStyle name="SAPBEXexcCritical5" xfId="12450"/>
    <cellStyle name="SAPBEXexcCritical5 10" xfId="12451"/>
    <cellStyle name="SAPBEXexcCritical5 10 2" xfId="12452"/>
    <cellStyle name="SAPBEXexcCritical5 11" xfId="12453"/>
    <cellStyle name="SAPBEXexcCritical5 11 2" xfId="12454"/>
    <cellStyle name="SAPBEXexcCritical5 12" xfId="12455"/>
    <cellStyle name="SAPBEXexcCritical5 2" xfId="12456"/>
    <cellStyle name="SAPBEXexcCritical5 2 10" xfId="12457"/>
    <cellStyle name="SAPBEXexcCritical5 2 10 2" xfId="12458"/>
    <cellStyle name="SAPBEXexcCritical5 2 11" xfId="12459"/>
    <cellStyle name="SAPBEXexcCritical5 2 2" xfId="12460"/>
    <cellStyle name="SAPBEXexcCritical5 2 2 2" xfId="12461"/>
    <cellStyle name="SAPBEXexcCritical5 2 3" xfId="12462"/>
    <cellStyle name="SAPBEXexcCritical5 2 3 2" xfId="12463"/>
    <cellStyle name="SAPBEXexcCritical5 2 4" xfId="12464"/>
    <cellStyle name="SAPBEXexcCritical5 2 4 2" xfId="12465"/>
    <cellStyle name="SAPBEXexcCritical5 2 5" xfId="12466"/>
    <cellStyle name="SAPBEXexcCritical5 2 5 2" xfId="12467"/>
    <cellStyle name="SAPBEXexcCritical5 2 6" xfId="12468"/>
    <cellStyle name="SAPBEXexcCritical5 2 6 2" xfId="12469"/>
    <cellStyle name="SAPBEXexcCritical5 2 7" xfId="12470"/>
    <cellStyle name="SAPBEXexcCritical5 2 7 2" xfId="12471"/>
    <cellStyle name="SAPBEXexcCritical5 2 8" xfId="12472"/>
    <cellStyle name="SAPBEXexcCritical5 2 8 2" xfId="12473"/>
    <cellStyle name="SAPBEXexcCritical5 2 9" xfId="12474"/>
    <cellStyle name="SAPBEXexcCritical5 2 9 2" xfId="12475"/>
    <cellStyle name="SAPBEXexcCritical5 3" xfId="12476"/>
    <cellStyle name="SAPBEXexcCritical5 3 2" xfId="12477"/>
    <cellStyle name="SAPBEXexcCritical5 4" xfId="12478"/>
    <cellStyle name="SAPBEXexcCritical5 4 2" xfId="12479"/>
    <cellStyle name="SAPBEXexcCritical5 5" xfId="12480"/>
    <cellStyle name="SAPBEXexcCritical5 5 2" xfId="12481"/>
    <cellStyle name="SAPBEXexcCritical5 6" xfId="12482"/>
    <cellStyle name="SAPBEXexcCritical5 6 2" xfId="12483"/>
    <cellStyle name="SAPBEXexcCritical5 7" xfId="12484"/>
    <cellStyle name="SAPBEXexcCritical5 7 2" xfId="12485"/>
    <cellStyle name="SAPBEXexcCritical5 8" xfId="12486"/>
    <cellStyle name="SAPBEXexcCritical5 8 2" xfId="12487"/>
    <cellStyle name="SAPBEXexcCritical5 9" xfId="12488"/>
    <cellStyle name="SAPBEXexcCritical5 9 2" xfId="12489"/>
    <cellStyle name="SAPBEXexcCritical6" xfId="12490"/>
    <cellStyle name="SAPBEXexcCritical6 10" xfId="12491"/>
    <cellStyle name="SAPBEXexcCritical6 10 2" xfId="12492"/>
    <cellStyle name="SAPBEXexcCritical6 11" xfId="12493"/>
    <cellStyle name="SAPBEXexcCritical6 11 2" xfId="12494"/>
    <cellStyle name="SAPBEXexcCritical6 12" xfId="12495"/>
    <cellStyle name="SAPBEXexcCritical6 2" xfId="12496"/>
    <cellStyle name="SAPBEXexcCritical6 2 10" xfId="12497"/>
    <cellStyle name="SAPBEXexcCritical6 2 10 2" xfId="12498"/>
    <cellStyle name="SAPBEXexcCritical6 2 11" xfId="12499"/>
    <cellStyle name="SAPBEXexcCritical6 2 2" xfId="12500"/>
    <cellStyle name="SAPBEXexcCritical6 2 2 2" xfId="12501"/>
    <cellStyle name="SAPBEXexcCritical6 2 3" xfId="12502"/>
    <cellStyle name="SAPBEXexcCritical6 2 3 2" xfId="12503"/>
    <cellStyle name="SAPBEXexcCritical6 2 4" xfId="12504"/>
    <cellStyle name="SAPBEXexcCritical6 2 4 2" xfId="12505"/>
    <cellStyle name="SAPBEXexcCritical6 2 5" xfId="12506"/>
    <cellStyle name="SAPBEXexcCritical6 2 5 2" xfId="12507"/>
    <cellStyle name="SAPBEXexcCritical6 2 6" xfId="12508"/>
    <cellStyle name="SAPBEXexcCritical6 2 6 2" xfId="12509"/>
    <cellStyle name="SAPBEXexcCritical6 2 7" xfId="12510"/>
    <cellStyle name="SAPBEXexcCritical6 2 7 2" xfId="12511"/>
    <cellStyle name="SAPBEXexcCritical6 2 8" xfId="12512"/>
    <cellStyle name="SAPBEXexcCritical6 2 8 2" xfId="12513"/>
    <cellStyle name="SAPBEXexcCritical6 2 9" xfId="12514"/>
    <cellStyle name="SAPBEXexcCritical6 2 9 2" xfId="12515"/>
    <cellStyle name="SAPBEXexcCritical6 3" xfId="12516"/>
    <cellStyle name="SAPBEXexcCritical6 3 2" xfId="12517"/>
    <cellStyle name="SAPBEXexcCritical6 4" xfId="12518"/>
    <cellStyle name="SAPBEXexcCritical6 4 2" xfId="12519"/>
    <cellStyle name="SAPBEXexcCritical6 5" xfId="12520"/>
    <cellStyle name="SAPBEXexcCritical6 5 2" xfId="12521"/>
    <cellStyle name="SAPBEXexcCritical6 6" xfId="12522"/>
    <cellStyle name="SAPBEXexcCritical6 6 2" xfId="12523"/>
    <cellStyle name="SAPBEXexcCritical6 7" xfId="12524"/>
    <cellStyle name="SAPBEXexcCritical6 7 2" xfId="12525"/>
    <cellStyle name="SAPBEXexcCritical6 8" xfId="12526"/>
    <cellStyle name="SAPBEXexcCritical6 8 2" xfId="12527"/>
    <cellStyle name="SAPBEXexcCritical6 9" xfId="12528"/>
    <cellStyle name="SAPBEXexcCritical6 9 2" xfId="12529"/>
    <cellStyle name="SAPBEXexcGood1" xfId="12530"/>
    <cellStyle name="SAPBEXexcGood1 10" xfId="12531"/>
    <cellStyle name="SAPBEXexcGood1 10 2" xfId="12532"/>
    <cellStyle name="SAPBEXexcGood1 11" xfId="12533"/>
    <cellStyle name="SAPBEXexcGood1 2" xfId="12534"/>
    <cellStyle name="SAPBEXexcGood1 2 2" xfId="12535"/>
    <cellStyle name="SAPBEXexcGood1 3" xfId="12536"/>
    <cellStyle name="SAPBEXexcGood1 3 2" xfId="12537"/>
    <cellStyle name="SAPBEXexcGood1 4" xfId="12538"/>
    <cellStyle name="SAPBEXexcGood1 4 2" xfId="12539"/>
    <cellStyle name="SAPBEXexcGood1 5" xfId="12540"/>
    <cellStyle name="SAPBEXexcGood1 5 2" xfId="12541"/>
    <cellStyle name="SAPBEXexcGood1 6" xfId="12542"/>
    <cellStyle name="SAPBEXexcGood1 6 2" xfId="12543"/>
    <cellStyle name="SAPBEXexcGood1 7" xfId="12544"/>
    <cellStyle name="SAPBEXexcGood1 7 2" xfId="12545"/>
    <cellStyle name="SAPBEXexcGood1 8" xfId="12546"/>
    <cellStyle name="SAPBEXexcGood1 8 2" xfId="12547"/>
    <cellStyle name="SAPBEXexcGood1 9" xfId="12548"/>
    <cellStyle name="SAPBEXexcGood1 9 2" xfId="12549"/>
    <cellStyle name="SAPBEXexcGood2" xfId="12550"/>
    <cellStyle name="SAPBEXexcGood2 10" xfId="12551"/>
    <cellStyle name="SAPBEXexcGood2 10 2" xfId="12552"/>
    <cellStyle name="SAPBEXexcGood2 11" xfId="12553"/>
    <cellStyle name="SAPBEXexcGood2 2" xfId="12554"/>
    <cellStyle name="SAPBEXexcGood2 2 2" xfId="12555"/>
    <cellStyle name="SAPBEXexcGood2 3" xfId="12556"/>
    <cellStyle name="SAPBEXexcGood2 3 2" xfId="12557"/>
    <cellStyle name="SAPBEXexcGood2 4" xfId="12558"/>
    <cellStyle name="SAPBEXexcGood2 4 2" xfId="12559"/>
    <cellStyle name="SAPBEXexcGood2 5" xfId="12560"/>
    <cellStyle name="SAPBEXexcGood2 5 2" xfId="12561"/>
    <cellStyle name="SAPBEXexcGood2 6" xfId="12562"/>
    <cellStyle name="SAPBEXexcGood2 6 2" xfId="12563"/>
    <cellStyle name="SAPBEXexcGood2 7" xfId="12564"/>
    <cellStyle name="SAPBEXexcGood2 7 2" xfId="12565"/>
    <cellStyle name="SAPBEXexcGood2 8" xfId="12566"/>
    <cellStyle name="SAPBEXexcGood2 8 2" xfId="12567"/>
    <cellStyle name="SAPBEXexcGood2 9" xfId="12568"/>
    <cellStyle name="SAPBEXexcGood2 9 2" xfId="12569"/>
    <cellStyle name="SAPBEXexcGood3" xfId="12570"/>
    <cellStyle name="SAPBEXexcGood3 10" xfId="12571"/>
    <cellStyle name="SAPBEXexcGood3 10 2" xfId="12572"/>
    <cellStyle name="SAPBEXexcGood3 11" xfId="12573"/>
    <cellStyle name="SAPBEXexcGood3 11 2" xfId="12574"/>
    <cellStyle name="SAPBEXexcGood3 12" xfId="12575"/>
    <cellStyle name="SAPBEXexcGood3 2" xfId="12576"/>
    <cellStyle name="SAPBEXexcGood3 2 10" xfId="12577"/>
    <cellStyle name="SAPBEXexcGood3 2 10 2" xfId="12578"/>
    <cellStyle name="SAPBEXexcGood3 2 11" xfId="12579"/>
    <cellStyle name="SAPBEXexcGood3 2 2" xfId="12580"/>
    <cellStyle name="SAPBEXexcGood3 2 2 2" xfId="12581"/>
    <cellStyle name="SAPBEXexcGood3 2 3" xfId="12582"/>
    <cellStyle name="SAPBEXexcGood3 2 3 2" xfId="12583"/>
    <cellStyle name="SAPBEXexcGood3 2 4" xfId="12584"/>
    <cellStyle name="SAPBEXexcGood3 2 4 2" xfId="12585"/>
    <cellStyle name="SAPBEXexcGood3 2 5" xfId="12586"/>
    <cellStyle name="SAPBEXexcGood3 2 5 2" xfId="12587"/>
    <cellStyle name="SAPBEXexcGood3 2 6" xfId="12588"/>
    <cellStyle name="SAPBEXexcGood3 2 6 2" xfId="12589"/>
    <cellStyle name="SAPBEXexcGood3 2 7" xfId="12590"/>
    <cellStyle name="SAPBEXexcGood3 2 7 2" xfId="12591"/>
    <cellStyle name="SAPBEXexcGood3 2 8" xfId="12592"/>
    <cellStyle name="SAPBEXexcGood3 2 8 2" xfId="12593"/>
    <cellStyle name="SAPBEXexcGood3 2 9" xfId="12594"/>
    <cellStyle name="SAPBEXexcGood3 2 9 2" xfId="12595"/>
    <cellStyle name="SAPBEXexcGood3 3" xfId="12596"/>
    <cellStyle name="SAPBEXexcGood3 3 2" xfId="12597"/>
    <cellStyle name="SAPBEXexcGood3 4" xfId="12598"/>
    <cellStyle name="SAPBEXexcGood3 4 2" xfId="12599"/>
    <cellStyle name="SAPBEXexcGood3 5" xfId="12600"/>
    <cellStyle name="SAPBEXexcGood3 5 2" xfId="12601"/>
    <cellStyle name="SAPBEXexcGood3 6" xfId="12602"/>
    <cellStyle name="SAPBEXexcGood3 6 2" xfId="12603"/>
    <cellStyle name="SAPBEXexcGood3 7" xfId="12604"/>
    <cellStyle name="SAPBEXexcGood3 7 2" xfId="12605"/>
    <cellStyle name="SAPBEXexcGood3 8" xfId="12606"/>
    <cellStyle name="SAPBEXexcGood3 8 2" xfId="12607"/>
    <cellStyle name="SAPBEXexcGood3 9" xfId="12608"/>
    <cellStyle name="SAPBEXexcGood3 9 2" xfId="12609"/>
    <cellStyle name="SAPBEXfilterDrill" xfId="12610"/>
    <cellStyle name="SAPBEXfilterDrill 2" xfId="12611"/>
    <cellStyle name="SAPBEXfilterItem" xfId="12612"/>
    <cellStyle name="SAPBEXfilterItem 2" xfId="12613"/>
    <cellStyle name="SAPBEXfilterText" xfId="12614"/>
    <cellStyle name="SAPBEXfilterText 2" xfId="12615"/>
    <cellStyle name="SAPBEXformats" xfId="12616"/>
    <cellStyle name="SAPBEXformats 10" xfId="12617"/>
    <cellStyle name="SAPBEXformats 10 2" xfId="12618"/>
    <cellStyle name="SAPBEXformats 11" xfId="12619"/>
    <cellStyle name="SAPBEXformats 11 2" xfId="12620"/>
    <cellStyle name="SAPBEXformats 12" xfId="12621"/>
    <cellStyle name="SAPBEXformats 2" xfId="12622"/>
    <cellStyle name="SAPBEXformats 2 10" xfId="12623"/>
    <cellStyle name="SAPBEXformats 2 10 2" xfId="12624"/>
    <cellStyle name="SAPBEXformats 2 11" xfId="12625"/>
    <cellStyle name="SAPBEXformats 2 2" xfId="12626"/>
    <cellStyle name="SAPBEXformats 2 2 2" xfId="12627"/>
    <cellStyle name="SAPBEXformats 2 3" xfId="12628"/>
    <cellStyle name="SAPBEXformats 2 3 2" xfId="12629"/>
    <cellStyle name="SAPBEXformats 2 4" xfId="12630"/>
    <cellStyle name="SAPBEXformats 2 4 2" xfId="12631"/>
    <cellStyle name="SAPBEXformats 2 5" xfId="12632"/>
    <cellStyle name="SAPBEXformats 2 5 2" xfId="12633"/>
    <cellStyle name="SAPBEXformats 2 6" xfId="12634"/>
    <cellStyle name="SAPBEXformats 2 6 2" xfId="12635"/>
    <cellStyle name="SAPBEXformats 2 7" xfId="12636"/>
    <cellStyle name="SAPBEXformats 2 7 2" xfId="12637"/>
    <cellStyle name="SAPBEXformats 2 8" xfId="12638"/>
    <cellStyle name="SAPBEXformats 2 8 2" xfId="12639"/>
    <cellStyle name="SAPBEXformats 2 9" xfId="12640"/>
    <cellStyle name="SAPBEXformats 2 9 2" xfId="12641"/>
    <cellStyle name="SAPBEXformats 3" xfId="12642"/>
    <cellStyle name="SAPBEXformats 3 2" xfId="12643"/>
    <cellStyle name="SAPBEXformats 4" xfId="12644"/>
    <cellStyle name="SAPBEXformats 4 2" xfId="12645"/>
    <cellStyle name="SAPBEXformats 5" xfId="12646"/>
    <cellStyle name="SAPBEXformats 5 2" xfId="12647"/>
    <cellStyle name="SAPBEXformats 6" xfId="12648"/>
    <cellStyle name="SAPBEXformats 6 2" xfId="12649"/>
    <cellStyle name="SAPBEXformats 7" xfId="12650"/>
    <cellStyle name="SAPBEXformats 7 2" xfId="12651"/>
    <cellStyle name="SAPBEXformats 8" xfId="12652"/>
    <cellStyle name="SAPBEXformats 8 2" xfId="12653"/>
    <cellStyle name="SAPBEXformats 9" xfId="12654"/>
    <cellStyle name="SAPBEXformats 9 2" xfId="12655"/>
    <cellStyle name="SAPBEXheaderItem" xfId="12656"/>
    <cellStyle name="SAPBEXheaderItem 2" xfId="12657"/>
    <cellStyle name="SAPBEXheaderText" xfId="12658"/>
    <cellStyle name="SAPBEXheaderText 2" xfId="12659"/>
    <cellStyle name="SAPBEXHLevel0" xfId="12660"/>
    <cellStyle name="SAPBEXHLevel0 10" xfId="12661"/>
    <cellStyle name="SAPBEXHLevel0 10 2" xfId="12662"/>
    <cellStyle name="SAPBEXHLevel0 11" xfId="12663"/>
    <cellStyle name="SAPBEXHLevel0 11 2" xfId="12664"/>
    <cellStyle name="SAPBEXHLevel0 12" xfId="12665"/>
    <cellStyle name="SAPBEXHLevel0 2" xfId="12666"/>
    <cellStyle name="SAPBEXHLevel0 2 10" xfId="12667"/>
    <cellStyle name="SAPBEXHLevel0 2 10 2" xfId="12668"/>
    <cellStyle name="SAPBEXHLevel0 2 11" xfId="12669"/>
    <cellStyle name="SAPBEXHLevel0 2 2" xfId="12670"/>
    <cellStyle name="SAPBEXHLevel0 2 2 2" xfId="12671"/>
    <cellStyle name="SAPBEXHLevel0 2 3" xfId="12672"/>
    <cellStyle name="SAPBEXHLevel0 2 3 2" xfId="12673"/>
    <cellStyle name="SAPBEXHLevel0 2 4" xfId="12674"/>
    <cellStyle name="SAPBEXHLevel0 2 4 2" xfId="12675"/>
    <cellStyle name="SAPBEXHLevel0 2 5" xfId="12676"/>
    <cellStyle name="SAPBEXHLevel0 2 5 2" xfId="12677"/>
    <cellStyle name="SAPBEXHLevel0 2 6" xfId="12678"/>
    <cellStyle name="SAPBEXHLevel0 2 6 2" xfId="12679"/>
    <cellStyle name="SAPBEXHLevel0 2 7" xfId="12680"/>
    <cellStyle name="SAPBEXHLevel0 2 7 2" xfId="12681"/>
    <cellStyle name="SAPBEXHLevel0 2 8" xfId="12682"/>
    <cellStyle name="SAPBEXHLevel0 2 8 2" xfId="12683"/>
    <cellStyle name="SAPBEXHLevel0 2 9" xfId="12684"/>
    <cellStyle name="SAPBEXHLevel0 2 9 2" xfId="12685"/>
    <cellStyle name="SAPBEXHLevel0 3" xfId="12686"/>
    <cellStyle name="SAPBEXHLevel0 3 2" xfId="12687"/>
    <cellStyle name="SAPBEXHLevel0 4" xfId="12688"/>
    <cellStyle name="SAPBEXHLevel0 4 2" xfId="12689"/>
    <cellStyle name="SAPBEXHLevel0 5" xfId="12690"/>
    <cellStyle name="SAPBEXHLevel0 5 2" xfId="12691"/>
    <cellStyle name="SAPBEXHLevel0 6" xfId="12692"/>
    <cellStyle name="SAPBEXHLevel0 6 2" xfId="12693"/>
    <cellStyle name="SAPBEXHLevel0 7" xfId="12694"/>
    <cellStyle name="SAPBEXHLevel0 7 2" xfId="12695"/>
    <cellStyle name="SAPBEXHLevel0 8" xfId="12696"/>
    <cellStyle name="SAPBEXHLevel0 8 2" xfId="12697"/>
    <cellStyle name="SAPBEXHLevel0 9" xfId="12698"/>
    <cellStyle name="SAPBEXHLevel0 9 2" xfId="12699"/>
    <cellStyle name="SAPBEXHLevel0X" xfId="12700"/>
    <cellStyle name="SAPBEXHLevel0X 10" xfId="12701"/>
    <cellStyle name="SAPBEXHLevel0X 10 2" xfId="12702"/>
    <cellStyle name="SAPBEXHLevel0X 11" xfId="12703"/>
    <cellStyle name="SAPBEXHLevel0X 11 2" xfId="12704"/>
    <cellStyle name="SAPBEXHLevel0X 12" xfId="12705"/>
    <cellStyle name="SAPBEXHLevel0X 2" xfId="12706"/>
    <cellStyle name="SAPBEXHLevel0X 2 10" xfId="12707"/>
    <cellStyle name="SAPBEXHLevel0X 2 10 2" xfId="12708"/>
    <cellStyle name="SAPBEXHLevel0X 2 11" xfId="12709"/>
    <cellStyle name="SAPBEXHLevel0X 2 2" xfId="12710"/>
    <cellStyle name="SAPBEXHLevel0X 2 2 2" xfId="12711"/>
    <cellStyle name="SAPBEXHLevel0X 2 3" xfId="12712"/>
    <cellStyle name="SAPBEXHLevel0X 2 3 2" xfId="12713"/>
    <cellStyle name="SAPBEXHLevel0X 2 4" xfId="12714"/>
    <cellStyle name="SAPBEXHLevel0X 2 4 2" xfId="12715"/>
    <cellStyle name="SAPBEXHLevel0X 2 5" xfId="12716"/>
    <cellStyle name="SAPBEXHLevel0X 2 5 2" xfId="12717"/>
    <cellStyle name="SAPBEXHLevel0X 2 6" xfId="12718"/>
    <cellStyle name="SAPBEXHLevel0X 2 6 2" xfId="12719"/>
    <cellStyle name="SAPBEXHLevel0X 2 7" xfId="12720"/>
    <cellStyle name="SAPBEXHLevel0X 2 7 2" xfId="12721"/>
    <cellStyle name="SAPBEXHLevel0X 2 8" xfId="12722"/>
    <cellStyle name="SAPBEXHLevel0X 2 8 2" xfId="12723"/>
    <cellStyle name="SAPBEXHLevel0X 2 9" xfId="12724"/>
    <cellStyle name="SAPBEXHLevel0X 2 9 2" xfId="12725"/>
    <cellStyle name="SAPBEXHLevel0X 3" xfId="12726"/>
    <cellStyle name="SAPBEXHLevel0X 3 2" xfId="12727"/>
    <cellStyle name="SAPBEXHLevel0X 4" xfId="12728"/>
    <cellStyle name="SAPBEXHLevel0X 4 2" xfId="12729"/>
    <cellStyle name="SAPBEXHLevel0X 5" xfId="12730"/>
    <cellStyle name="SAPBEXHLevel0X 5 2" xfId="12731"/>
    <cellStyle name="SAPBEXHLevel0X 6" xfId="12732"/>
    <cellStyle name="SAPBEXHLevel0X 6 2" xfId="12733"/>
    <cellStyle name="SAPBEXHLevel0X 7" xfId="12734"/>
    <cellStyle name="SAPBEXHLevel0X 7 2" xfId="12735"/>
    <cellStyle name="SAPBEXHLevel0X 8" xfId="12736"/>
    <cellStyle name="SAPBEXHLevel0X 8 2" xfId="12737"/>
    <cellStyle name="SAPBEXHLevel0X 9" xfId="12738"/>
    <cellStyle name="SAPBEXHLevel0X 9 2" xfId="12739"/>
    <cellStyle name="SAPBEXHLevel1" xfId="12740"/>
    <cellStyle name="SAPBEXHLevel1 10" xfId="12741"/>
    <cellStyle name="SAPBEXHLevel1 10 2" xfId="12742"/>
    <cellStyle name="SAPBEXHLevel1 11" xfId="12743"/>
    <cellStyle name="SAPBEXHLevel1 11 2" xfId="12744"/>
    <cellStyle name="SAPBEXHLevel1 12" xfId="12745"/>
    <cellStyle name="SAPBEXHLevel1 2" xfId="12746"/>
    <cellStyle name="SAPBEXHLevel1 2 10" xfId="12747"/>
    <cellStyle name="SAPBEXHLevel1 2 10 2" xfId="12748"/>
    <cellStyle name="SAPBEXHLevel1 2 11" xfId="12749"/>
    <cellStyle name="SAPBEXHLevel1 2 2" xfId="12750"/>
    <cellStyle name="SAPBEXHLevel1 2 2 2" xfId="12751"/>
    <cellStyle name="SAPBEXHLevel1 2 3" xfId="12752"/>
    <cellStyle name="SAPBEXHLevel1 2 3 2" xfId="12753"/>
    <cellStyle name="SAPBEXHLevel1 2 4" xfId="12754"/>
    <cellStyle name="SAPBEXHLevel1 2 4 2" xfId="12755"/>
    <cellStyle name="SAPBEXHLevel1 2 5" xfId="12756"/>
    <cellStyle name="SAPBEXHLevel1 2 5 2" xfId="12757"/>
    <cellStyle name="SAPBEXHLevel1 2 6" xfId="12758"/>
    <cellStyle name="SAPBEXHLevel1 2 6 2" xfId="12759"/>
    <cellStyle name="SAPBEXHLevel1 2 7" xfId="12760"/>
    <cellStyle name="SAPBEXHLevel1 2 7 2" xfId="12761"/>
    <cellStyle name="SAPBEXHLevel1 2 8" xfId="12762"/>
    <cellStyle name="SAPBEXHLevel1 2 8 2" xfId="12763"/>
    <cellStyle name="SAPBEXHLevel1 2 9" xfId="12764"/>
    <cellStyle name="SAPBEXHLevel1 2 9 2" xfId="12765"/>
    <cellStyle name="SAPBEXHLevel1 3" xfId="12766"/>
    <cellStyle name="SAPBEXHLevel1 3 2" xfId="12767"/>
    <cellStyle name="SAPBEXHLevel1 4" xfId="12768"/>
    <cellStyle name="SAPBEXHLevel1 4 2" xfId="12769"/>
    <cellStyle name="SAPBEXHLevel1 5" xfId="12770"/>
    <cellStyle name="SAPBEXHLevel1 5 2" xfId="12771"/>
    <cellStyle name="SAPBEXHLevel1 6" xfId="12772"/>
    <cellStyle name="SAPBEXHLevel1 6 2" xfId="12773"/>
    <cellStyle name="SAPBEXHLevel1 7" xfId="12774"/>
    <cellStyle name="SAPBEXHLevel1 7 2" xfId="12775"/>
    <cellStyle name="SAPBEXHLevel1 8" xfId="12776"/>
    <cellStyle name="SAPBEXHLevel1 8 2" xfId="12777"/>
    <cellStyle name="SAPBEXHLevel1 9" xfId="12778"/>
    <cellStyle name="SAPBEXHLevel1 9 2" xfId="12779"/>
    <cellStyle name="SAPBEXHLevel1X" xfId="12780"/>
    <cellStyle name="SAPBEXHLevel1X 10" xfId="12781"/>
    <cellStyle name="SAPBEXHLevel1X 10 2" xfId="12782"/>
    <cellStyle name="SAPBEXHLevel1X 11" xfId="12783"/>
    <cellStyle name="SAPBEXHLevel1X 11 2" xfId="12784"/>
    <cellStyle name="SAPBEXHLevel1X 12" xfId="12785"/>
    <cellStyle name="SAPBEXHLevel1X 2" xfId="12786"/>
    <cellStyle name="SAPBEXHLevel1X 2 10" xfId="12787"/>
    <cellStyle name="SAPBEXHLevel1X 2 10 2" xfId="12788"/>
    <cellStyle name="SAPBEXHLevel1X 2 11" xfId="12789"/>
    <cellStyle name="SAPBEXHLevel1X 2 2" xfId="12790"/>
    <cellStyle name="SAPBEXHLevel1X 2 2 2" xfId="12791"/>
    <cellStyle name="SAPBEXHLevel1X 2 3" xfId="12792"/>
    <cellStyle name="SAPBEXHLevel1X 2 3 2" xfId="12793"/>
    <cellStyle name="SAPBEXHLevel1X 2 4" xfId="12794"/>
    <cellStyle name="SAPBEXHLevel1X 2 4 2" xfId="12795"/>
    <cellStyle name="SAPBEXHLevel1X 2 5" xfId="12796"/>
    <cellStyle name="SAPBEXHLevel1X 2 5 2" xfId="12797"/>
    <cellStyle name="SAPBEXHLevel1X 2 6" xfId="12798"/>
    <cellStyle name="SAPBEXHLevel1X 2 6 2" xfId="12799"/>
    <cellStyle name="SAPBEXHLevel1X 2 7" xfId="12800"/>
    <cellStyle name="SAPBEXHLevel1X 2 7 2" xfId="12801"/>
    <cellStyle name="SAPBEXHLevel1X 2 8" xfId="12802"/>
    <cellStyle name="SAPBEXHLevel1X 2 8 2" xfId="12803"/>
    <cellStyle name="SAPBEXHLevel1X 2 9" xfId="12804"/>
    <cellStyle name="SAPBEXHLevel1X 2 9 2" xfId="12805"/>
    <cellStyle name="SAPBEXHLevel1X 3" xfId="12806"/>
    <cellStyle name="SAPBEXHLevel1X 3 2" xfId="12807"/>
    <cellStyle name="SAPBEXHLevel1X 4" xfId="12808"/>
    <cellStyle name="SAPBEXHLevel1X 4 2" xfId="12809"/>
    <cellStyle name="SAPBEXHLevel1X 5" xfId="12810"/>
    <cellStyle name="SAPBEXHLevel1X 5 2" xfId="12811"/>
    <cellStyle name="SAPBEXHLevel1X 6" xfId="12812"/>
    <cellStyle name="SAPBEXHLevel1X 6 2" xfId="12813"/>
    <cellStyle name="SAPBEXHLevel1X 7" xfId="12814"/>
    <cellStyle name="SAPBEXHLevel1X 7 2" xfId="12815"/>
    <cellStyle name="SAPBEXHLevel1X 8" xfId="12816"/>
    <cellStyle name="SAPBEXHLevel1X 8 2" xfId="12817"/>
    <cellStyle name="SAPBEXHLevel1X 9" xfId="12818"/>
    <cellStyle name="SAPBEXHLevel1X 9 2" xfId="12819"/>
    <cellStyle name="SAPBEXHLevel2" xfId="12820"/>
    <cellStyle name="SAPBEXHLevel2 10" xfId="12821"/>
    <cellStyle name="SAPBEXHLevel2 10 2" xfId="12822"/>
    <cellStyle name="SAPBEXHLevel2 11" xfId="12823"/>
    <cellStyle name="SAPBEXHLevel2 11 2" xfId="12824"/>
    <cellStyle name="SAPBEXHLevel2 12" xfId="12825"/>
    <cellStyle name="SAPBEXHLevel2 2" xfId="12826"/>
    <cellStyle name="SAPBEXHLevel2 2 10" xfId="12827"/>
    <cellStyle name="SAPBEXHLevel2 2 10 2" xfId="12828"/>
    <cellStyle name="SAPBEXHLevel2 2 11" xfId="12829"/>
    <cellStyle name="SAPBEXHLevel2 2 2" xfId="12830"/>
    <cellStyle name="SAPBEXHLevel2 2 2 2" xfId="12831"/>
    <cellStyle name="SAPBEXHLevel2 2 3" xfId="12832"/>
    <cellStyle name="SAPBEXHLevel2 2 3 2" xfId="12833"/>
    <cellStyle name="SAPBEXHLevel2 2 4" xfId="12834"/>
    <cellStyle name="SAPBEXHLevel2 2 4 2" xfId="12835"/>
    <cellStyle name="SAPBEXHLevel2 2 5" xfId="12836"/>
    <cellStyle name="SAPBEXHLevel2 2 5 2" xfId="12837"/>
    <cellStyle name="SAPBEXHLevel2 2 6" xfId="12838"/>
    <cellStyle name="SAPBEXHLevel2 2 6 2" xfId="12839"/>
    <cellStyle name="SAPBEXHLevel2 2 7" xfId="12840"/>
    <cellStyle name="SAPBEXHLevel2 2 7 2" xfId="12841"/>
    <cellStyle name="SAPBEXHLevel2 2 8" xfId="12842"/>
    <cellStyle name="SAPBEXHLevel2 2 8 2" xfId="12843"/>
    <cellStyle name="SAPBEXHLevel2 2 9" xfId="12844"/>
    <cellStyle name="SAPBEXHLevel2 2 9 2" xfId="12845"/>
    <cellStyle name="SAPBEXHLevel2 3" xfId="12846"/>
    <cellStyle name="SAPBEXHLevel2 3 2" xfId="12847"/>
    <cellStyle name="SAPBEXHLevel2 4" xfId="12848"/>
    <cellStyle name="SAPBEXHLevel2 4 2" xfId="12849"/>
    <cellStyle name="SAPBEXHLevel2 5" xfId="12850"/>
    <cellStyle name="SAPBEXHLevel2 5 2" xfId="12851"/>
    <cellStyle name="SAPBEXHLevel2 6" xfId="12852"/>
    <cellStyle name="SAPBEXHLevel2 6 2" xfId="12853"/>
    <cellStyle name="SAPBEXHLevel2 7" xfId="12854"/>
    <cellStyle name="SAPBEXHLevel2 7 2" xfId="12855"/>
    <cellStyle name="SAPBEXHLevel2 8" xfId="12856"/>
    <cellStyle name="SAPBEXHLevel2 8 2" xfId="12857"/>
    <cellStyle name="SAPBEXHLevel2 9" xfId="12858"/>
    <cellStyle name="SAPBEXHLevel2 9 2" xfId="12859"/>
    <cellStyle name="SAPBEXHLevel2X" xfId="12860"/>
    <cellStyle name="SAPBEXHLevel2X 10" xfId="12861"/>
    <cellStyle name="SAPBEXHLevel2X 10 2" xfId="12862"/>
    <cellStyle name="SAPBEXHLevel2X 11" xfId="12863"/>
    <cellStyle name="SAPBEXHLevel2X 11 2" xfId="12864"/>
    <cellStyle name="SAPBEXHLevel2X 12" xfId="12865"/>
    <cellStyle name="SAPBEXHLevel2X 2" xfId="12866"/>
    <cellStyle name="SAPBEXHLevel2X 2 10" xfId="12867"/>
    <cellStyle name="SAPBEXHLevel2X 2 10 2" xfId="12868"/>
    <cellStyle name="SAPBEXHLevel2X 2 11" xfId="12869"/>
    <cellStyle name="SAPBEXHLevel2X 2 2" xfId="12870"/>
    <cellStyle name="SAPBEXHLevel2X 2 2 2" xfId="12871"/>
    <cellStyle name="SAPBEXHLevel2X 2 3" xfId="12872"/>
    <cellStyle name="SAPBEXHLevel2X 2 3 2" xfId="12873"/>
    <cellStyle name="SAPBEXHLevel2X 2 4" xfId="12874"/>
    <cellStyle name="SAPBEXHLevel2X 2 4 2" xfId="12875"/>
    <cellStyle name="SAPBEXHLevel2X 2 5" xfId="12876"/>
    <cellStyle name="SAPBEXHLevel2X 2 5 2" xfId="12877"/>
    <cellStyle name="SAPBEXHLevel2X 2 6" xfId="12878"/>
    <cellStyle name="SAPBEXHLevel2X 2 6 2" xfId="12879"/>
    <cellStyle name="SAPBEXHLevel2X 2 7" xfId="12880"/>
    <cellStyle name="SAPBEXHLevel2X 2 7 2" xfId="12881"/>
    <cellStyle name="SAPBEXHLevel2X 2 8" xfId="12882"/>
    <cellStyle name="SAPBEXHLevel2X 2 8 2" xfId="12883"/>
    <cellStyle name="SAPBEXHLevel2X 2 9" xfId="12884"/>
    <cellStyle name="SAPBEXHLevel2X 2 9 2" xfId="12885"/>
    <cellStyle name="SAPBEXHLevel2X 3" xfId="12886"/>
    <cellStyle name="SAPBEXHLevel2X 3 2" xfId="12887"/>
    <cellStyle name="SAPBEXHLevel2X 4" xfId="12888"/>
    <cellStyle name="SAPBEXHLevel2X 4 2" xfId="12889"/>
    <cellStyle name="SAPBEXHLevel2X 5" xfId="12890"/>
    <cellStyle name="SAPBEXHLevel2X 5 2" xfId="12891"/>
    <cellStyle name="SAPBEXHLevel2X 6" xfId="12892"/>
    <cellStyle name="SAPBEXHLevel2X 6 2" xfId="12893"/>
    <cellStyle name="SAPBEXHLevel2X 7" xfId="12894"/>
    <cellStyle name="SAPBEXHLevel2X 7 2" xfId="12895"/>
    <cellStyle name="SAPBEXHLevel2X 8" xfId="12896"/>
    <cellStyle name="SAPBEXHLevel2X 8 2" xfId="12897"/>
    <cellStyle name="SAPBEXHLevel2X 9" xfId="12898"/>
    <cellStyle name="SAPBEXHLevel2X 9 2" xfId="12899"/>
    <cellStyle name="SAPBEXHLevel3" xfId="12900"/>
    <cellStyle name="SAPBEXHLevel3 10" xfId="12901"/>
    <cellStyle name="SAPBEXHLevel3 10 2" xfId="12902"/>
    <cellStyle name="SAPBEXHLevel3 11" xfId="12903"/>
    <cellStyle name="SAPBEXHLevel3 11 2" xfId="12904"/>
    <cellStyle name="SAPBEXHLevel3 12" xfId="12905"/>
    <cellStyle name="SAPBEXHLevel3 2" xfId="12906"/>
    <cellStyle name="SAPBEXHLevel3 2 10" xfId="12907"/>
    <cellStyle name="SAPBEXHLevel3 2 10 2" xfId="12908"/>
    <cellStyle name="SAPBEXHLevel3 2 11" xfId="12909"/>
    <cellStyle name="SAPBEXHLevel3 2 2" xfId="12910"/>
    <cellStyle name="SAPBEXHLevel3 2 2 2" xfId="12911"/>
    <cellStyle name="SAPBEXHLevel3 2 3" xfId="12912"/>
    <cellStyle name="SAPBEXHLevel3 2 3 2" xfId="12913"/>
    <cellStyle name="SAPBEXHLevel3 2 4" xfId="12914"/>
    <cellStyle name="SAPBEXHLevel3 2 4 2" xfId="12915"/>
    <cellStyle name="SAPBEXHLevel3 2 5" xfId="12916"/>
    <cellStyle name="SAPBEXHLevel3 2 5 2" xfId="12917"/>
    <cellStyle name="SAPBEXHLevel3 2 6" xfId="12918"/>
    <cellStyle name="SAPBEXHLevel3 2 6 2" xfId="12919"/>
    <cellStyle name="SAPBEXHLevel3 2 7" xfId="12920"/>
    <cellStyle name="SAPBEXHLevel3 2 7 2" xfId="12921"/>
    <cellStyle name="SAPBEXHLevel3 2 8" xfId="12922"/>
    <cellStyle name="SAPBEXHLevel3 2 8 2" xfId="12923"/>
    <cellStyle name="SAPBEXHLevel3 2 9" xfId="12924"/>
    <cellStyle name="SAPBEXHLevel3 2 9 2" xfId="12925"/>
    <cellStyle name="SAPBEXHLevel3 3" xfId="12926"/>
    <cellStyle name="SAPBEXHLevel3 3 2" xfId="12927"/>
    <cellStyle name="SAPBEXHLevel3 4" xfId="12928"/>
    <cellStyle name="SAPBEXHLevel3 4 2" xfId="12929"/>
    <cellStyle name="SAPBEXHLevel3 5" xfId="12930"/>
    <cellStyle name="SAPBEXHLevel3 5 2" xfId="12931"/>
    <cellStyle name="SAPBEXHLevel3 6" xfId="12932"/>
    <cellStyle name="SAPBEXHLevel3 6 2" xfId="12933"/>
    <cellStyle name="SAPBEXHLevel3 7" xfId="12934"/>
    <cellStyle name="SAPBEXHLevel3 7 2" xfId="12935"/>
    <cellStyle name="SAPBEXHLevel3 8" xfId="12936"/>
    <cellStyle name="SAPBEXHLevel3 8 2" xfId="12937"/>
    <cellStyle name="SAPBEXHLevel3 9" xfId="12938"/>
    <cellStyle name="SAPBEXHLevel3 9 2" xfId="12939"/>
    <cellStyle name="SAPBEXHLevel3X" xfId="12940"/>
    <cellStyle name="SAPBEXHLevel3X 10" xfId="12941"/>
    <cellStyle name="SAPBEXHLevel3X 10 2" xfId="12942"/>
    <cellStyle name="SAPBEXHLevel3X 11" xfId="12943"/>
    <cellStyle name="SAPBEXHLevel3X 11 2" xfId="12944"/>
    <cellStyle name="SAPBEXHLevel3X 12" xfId="12945"/>
    <cellStyle name="SAPBEXHLevel3X 2" xfId="12946"/>
    <cellStyle name="SAPBEXHLevel3X 2 10" xfId="12947"/>
    <cellStyle name="SAPBEXHLevel3X 2 10 2" xfId="12948"/>
    <cellStyle name="SAPBEXHLevel3X 2 11" xfId="12949"/>
    <cellStyle name="SAPBEXHLevel3X 2 2" xfId="12950"/>
    <cellStyle name="SAPBEXHLevel3X 2 2 2" xfId="12951"/>
    <cellStyle name="SAPBEXHLevel3X 2 3" xfId="12952"/>
    <cellStyle name="SAPBEXHLevel3X 2 3 2" xfId="12953"/>
    <cellStyle name="SAPBEXHLevel3X 2 4" xfId="12954"/>
    <cellStyle name="SAPBEXHLevel3X 2 4 2" xfId="12955"/>
    <cellStyle name="SAPBEXHLevel3X 2 5" xfId="12956"/>
    <cellStyle name="SAPBEXHLevel3X 2 5 2" xfId="12957"/>
    <cellStyle name="SAPBEXHLevel3X 2 6" xfId="12958"/>
    <cellStyle name="SAPBEXHLevel3X 2 6 2" xfId="12959"/>
    <cellStyle name="SAPBEXHLevel3X 2 7" xfId="12960"/>
    <cellStyle name="SAPBEXHLevel3X 2 7 2" xfId="12961"/>
    <cellStyle name="SAPBEXHLevel3X 2 8" xfId="12962"/>
    <cellStyle name="SAPBEXHLevel3X 2 8 2" xfId="12963"/>
    <cellStyle name="SAPBEXHLevel3X 2 9" xfId="12964"/>
    <cellStyle name="SAPBEXHLevel3X 2 9 2" xfId="12965"/>
    <cellStyle name="SAPBEXHLevel3X 3" xfId="12966"/>
    <cellStyle name="SAPBEXHLevel3X 3 2" xfId="12967"/>
    <cellStyle name="SAPBEXHLevel3X 4" xfId="12968"/>
    <cellStyle name="SAPBEXHLevel3X 4 2" xfId="12969"/>
    <cellStyle name="SAPBEXHLevel3X 5" xfId="12970"/>
    <cellStyle name="SAPBEXHLevel3X 5 2" xfId="12971"/>
    <cellStyle name="SAPBEXHLevel3X 6" xfId="12972"/>
    <cellStyle name="SAPBEXHLevel3X 6 2" xfId="12973"/>
    <cellStyle name="SAPBEXHLevel3X 7" xfId="12974"/>
    <cellStyle name="SAPBEXHLevel3X 7 2" xfId="12975"/>
    <cellStyle name="SAPBEXHLevel3X 8" xfId="12976"/>
    <cellStyle name="SAPBEXHLevel3X 8 2" xfId="12977"/>
    <cellStyle name="SAPBEXHLevel3X 9" xfId="12978"/>
    <cellStyle name="SAPBEXHLevel3X 9 2" xfId="12979"/>
    <cellStyle name="SAPBEXresData" xfId="12980"/>
    <cellStyle name="SAPBEXresData 10" xfId="12981"/>
    <cellStyle name="SAPBEXresData 10 2" xfId="12982"/>
    <cellStyle name="SAPBEXresData 11" xfId="12983"/>
    <cellStyle name="SAPBEXresData 2" xfId="12984"/>
    <cellStyle name="SAPBEXresData 2 2" xfId="12985"/>
    <cellStyle name="SAPBEXresData 3" xfId="12986"/>
    <cellStyle name="SAPBEXresData 3 2" xfId="12987"/>
    <cellStyle name="SAPBEXresData 4" xfId="12988"/>
    <cellStyle name="SAPBEXresData 4 2" xfId="12989"/>
    <cellStyle name="SAPBEXresData 5" xfId="12990"/>
    <cellStyle name="SAPBEXresData 5 2" xfId="12991"/>
    <cellStyle name="SAPBEXresData 6" xfId="12992"/>
    <cellStyle name="SAPBEXresData 6 2" xfId="12993"/>
    <cellStyle name="SAPBEXresData 7" xfId="12994"/>
    <cellStyle name="SAPBEXresData 7 2" xfId="12995"/>
    <cellStyle name="SAPBEXresData 8" xfId="12996"/>
    <cellStyle name="SAPBEXresData 8 2" xfId="12997"/>
    <cellStyle name="SAPBEXresData 9" xfId="12998"/>
    <cellStyle name="SAPBEXresData 9 2" xfId="12999"/>
    <cellStyle name="SAPBEXresDataEmph" xfId="13000"/>
    <cellStyle name="SAPBEXresDataEmph 10" xfId="13001"/>
    <cellStyle name="SAPBEXresDataEmph 10 2" xfId="13002"/>
    <cellStyle name="SAPBEXresDataEmph 11" xfId="13003"/>
    <cellStyle name="SAPBEXresDataEmph 2" xfId="13004"/>
    <cellStyle name="SAPBEXresDataEmph 2 2" xfId="13005"/>
    <cellStyle name="SAPBEXresDataEmph 3" xfId="13006"/>
    <cellStyle name="SAPBEXresDataEmph 3 2" xfId="13007"/>
    <cellStyle name="SAPBEXresDataEmph 4" xfId="13008"/>
    <cellStyle name="SAPBEXresDataEmph 4 2" xfId="13009"/>
    <cellStyle name="SAPBEXresDataEmph 5" xfId="13010"/>
    <cellStyle name="SAPBEXresDataEmph 5 2" xfId="13011"/>
    <cellStyle name="SAPBEXresDataEmph 6" xfId="13012"/>
    <cellStyle name="SAPBEXresDataEmph 6 2" xfId="13013"/>
    <cellStyle name="SAPBEXresDataEmph 7" xfId="13014"/>
    <cellStyle name="SAPBEXresDataEmph 7 2" xfId="13015"/>
    <cellStyle name="SAPBEXresDataEmph 8" xfId="13016"/>
    <cellStyle name="SAPBEXresDataEmph 8 2" xfId="13017"/>
    <cellStyle name="SAPBEXresDataEmph 9" xfId="13018"/>
    <cellStyle name="SAPBEXresDataEmph 9 2" xfId="13019"/>
    <cellStyle name="SAPBEXresItem" xfId="13020"/>
    <cellStyle name="SAPBEXresItem 10" xfId="13021"/>
    <cellStyle name="SAPBEXresItem 10 2" xfId="13022"/>
    <cellStyle name="SAPBEXresItem 11" xfId="13023"/>
    <cellStyle name="SAPBEXresItem 11 2" xfId="13024"/>
    <cellStyle name="SAPBEXresItem 12" xfId="13025"/>
    <cellStyle name="SAPBEXresItem 2" xfId="13026"/>
    <cellStyle name="SAPBEXresItem 2 10" xfId="13027"/>
    <cellStyle name="SAPBEXresItem 2 10 2" xfId="13028"/>
    <cellStyle name="SAPBEXresItem 2 11" xfId="13029"/>
    <cellStyle name="SAPBEXresItem 2 2" xfId="13030"/>
    <cellStyle name="SAPBEXresItem 2 2 2" xfId="13031"/>
    <cellStyle name="SAPBEXresItem 2 3" xfId="13032"/>
    <cellStyle name="SAPBEXresItem 2 3 2" xfId="13033"/>
    <cellStyle name="SAPBEXresItem 2 4" xfId="13034"/>
    <cellStyle name="SAPBEXresItem 2 4 2" xfId="13035"/>
    <cellStyle name="SAPBEXresItem 2 5" xfId="13036"/>
    <cellStyle name="SAPBEXresItem 2 5 2" xfId="13037"/>
    <cellStyle name="SAPBEXresItem 2 6" xfId="13038"/>
    <cellStyle name="SAPBEXresItem 2 6 2" xfId="13039"/>
    <cellStyle name="SAPBEXresItem 2 7" xfId="13040"/>
    <cellStyle name="SAPBEXresItem 2 7 2" xfId="13041"/>
    <cellStyle name="SAPBEXresItem 2 8" xfId="13042"/>
    <cellStyle name="SAPBEXresItem 2 8 2" xfId="13043"/>
    <cellStyle name="SAPBEXresItem 2 9" xfId="13044"/>
    <cellStyle name="SAPBEXresItem 2 9 2" xfId="13045"/>
    <cellStyle name="SAPBEXresItem 3" xfId="13046"/>
    <cellStyle name="SAPBEXresItem 3 2" xfId="13047"/>
    <cellStyle name="SAPBEXresItem 4" xfId="13048"/>
    <cellStyle name="SAPBEXresItem 4 2" xfId="13049"/>
    <cellStyle name="SAPBEXresItem 5" xfId="13050"/>
    <cellStyle name="SAPBEXresItem 5 2" xfId="13051"/>
    <cellStyle name="SAPBEXresItem 6" xfId="13052"/>
    <cellStyle name="SAPBEXresItem 6 2" xfId="13053"/>
    <cellStyle name="SAPBEXresItem 7" xfId="13054"/>
    <cellStyle name="SAPBEXresItem 7 2" xfId="13055"/>
    <cellStyle name="SAPBEXresItem 8" xfId="13056"/>
    <cellStyle name="SAPBEXresItem 8 2" xfId="13057"/>
    <cellStyle name="SAPBEXresItem 9" xfId="13058"/>
    <cellStyle name="SAPBEXresItem 9 2" xfId="13059"/>
    <cellStyle name="SAPBEXresItemX" xfId="13060"/>
    <cellStyle name="SAPBEXresItemX 10" xfId="13061"/>
    <cellStyle name="SAPBEXresItemX 10 2" xfId="13062"/>
    <cellStyle name="SAPBEXresItemX 11" xfId="13063"/>
    <cellStyle name="SAPBEXresItemX 11 2" xfId="13064"/>
    <cellStyle name="SAPBEXresItemX 12" xfId="13065"/>
    <cellStyle name="SAPBEXresItemX 2" xfId="13066"/>
    <cellStyle name="SAPBEXresItemX 2 10" xfId="13067"/>
    <cellStyle name="SAPBEXresItemX 2 10 2" xfId="13068"/>
    <cellStyle name="SAPBEXresItemX 2 11" xfId="13069"/>
    <cellStyle name="SAPBEXresItemX 2 2" xfId="13070"/>
    <cellStyle name="SAPBEXresItemX 2 2 2" xfId="13071"/>
    <cellStyle name="SAPBEXresItemX 2 3" xfId="13072"/>
    <cellStyle name="SAPBEXresItemX 2 3 2" xfId="13073"/>
    <cellStyle name="SAPBEXresItemX 2 4" xfId="13074"/>
    <cellStyle name="SAPBEXresItemX 2 4 2" xfId="13075"/>
    <cellStyle name="SAPBEXresItemX 2 5" xfId="13076"/>
    <cellStyle name="SAPBEXresItemX 2 5 2" xfId="13077"/>
    <cellStyle name="SAPBEXresItemX 2 6" xfId="13078"/>
    <cellStyle name="SAPBEXresItemX 2 6 2" xfId="13079"/>
    <cellStyle name="SAPBEXresItemX 2 7" xfId="13080"/>
    <cellStyle name="SAPBEXresItemX 2 7 2" xfId="13081"/>
    <cellStyle name="SAPBEXresItemX 2 8" xfId="13082"/>
    <cellStyle name="SAPBEXresItemX 2 8 2" xfId="13083"/>
    <cellStyle name="SAPBEXresItemX 2 9" xfId="13084"/>
    <cellStyle name="SAPBEXresItemX 2 9 2" xfId="13085"/>
    <cellStyle name="SAPBEXresItemX 3" xfId="13086"/>
    <cellStyle name="SAPBEXresItemX 3 2" xfId="13087"/>
    <cellStyle name="SAPBEXresItemX 4" xfId="13088"/>
    <cellStyle name="SAPBEXresItemX 4 2" xfId="13089"/>
    <cellStyle name="SAPBEXresItemX 5" xfId="13090"/>
    <cellStyle name="SAPBEXresItemX 5 2" xfId="13091"/>
    <cellStyle name="SAPBEXresItemX 6" xfId="13092"/>
    <cellStyle name="SAPBEXresItemX 6 2" xfId="13093"/>
    <cellStyle name="SAPBEXresItemX 7" xfId="13094"/>
    <cellStyle name="SAPBEXresItemX 7 2" xfId="13095"/>
    <cellStyle name="SAPBEXresItemX 8" xfId="13096"/>
    <cellStyle name="SAPBEXresItemX 8 2" xfId="13097"/>
    <cellStyle name="SAPBEXresItemX 9" xfId="13098"/>
    <cellStyle name="SAPBEXresItemX 9 2" xfId="13099"/>
    <cellStyle name="SAPBEXstdData" xfId="13100"/>
    <cellStyle name="SAPBEXstdData 10" xfId="13101"/>
    <cellStyle name="SAPBEXstdData 10 2" xfId="13102"/>
    <cellStyle name="SAPBEXstdData 11" xfId="13103"/>
    <cellStyle name="SAPBEXstdData 11 2" xfId="13104"/>
    <cellStyle name="SAPBEXstdData 12" xfId="13105"/>
    <cellStyle name="SAPBEXstdData 2" xfId="13106"/>
    <cellStyle name="SAPBEXstdData 2 10" xfId="13107"/>
    <cellStyle name="SAPBEXstdData 2 10 2" xfId="13108"/>
    <cellStyle name="SAPBEXstdData 2 11" xfId="13109"/>
    <cellStyle name="SAPBEXstdData 2 2" xfId="13110"/>
    <cellStyle name="SAPBEXstdData 2 2 2" xfId="13111"/>
    <cellStyle name="SAPBEXstdData 2 3" xfId="13112"/>
    <cellStyle name="SAPBEXstdData 2 3 2" xfId="13113"/>
    <cellStyle name="SAPBEXstdData 2 4" xfId="13114"/>
    <cellStyle name="SAPBEXstdData 2 4 2" xfId="13115"/>
    <cellStyle name="SAPBEXstdData 2 5" xfId="13116"/>
    <cellStyle name="SAPBEXstdData 2 5 2" xfId="13117"/>
    <cellStyle name="SAPBEXstdData 2 6" xfId="13118"/>
    <cellStyle name="SAPBEXstdData 2 6 2" xfId="13119"/>
    <cellStyle name="SAPBEXstdData 2 7" xfId="13120"/>
    <cellStyle name="SAPBEXstdData 2 7 2" xfId="13121"/>
    <cellStyle name="SAPBEXstdData 2 8" xfId="13122"/>
    <cellStyle name="SAPBEXstdData 2 8 2" xfId="13123"/>
    <cellStyle name="SAPBEXstdData 2 9" xfId="13124"/>
    <cellStyle name="SAPBEXstdData 2 9 2" xfId="13125"/>
    <cellStyle name="SAPBEXstdData 3" xfId="13126"/>
    <cellStyle name="SAPBEXstdData 3 2" xfId="13127"/>
    <cellStyle name="SAPBEXstdData 4" xfId="13128"/>
    <cellStyle name="SAPBEXstdData 4 2" xfId="13129"/>
    <cellStyle name="SAPBEXstdData 5" xfId="13130"/>
    <cellStyle name="SAPBEXstdData 5 2" xfId="13131"/>
    <cellStyle name="SAPBEXstdData 6" xfId="13132"/>
    <cellStyle name="SAPBEXstdData 6 2" xfId="13133"/>
    <cellStyle name="SAPBEXstdData 7" xfId="13134"/>
    <cellStyle name="SAPBEXstdData 7 2" xfId="13135"/>
    <cellStyle name="SAPBEXstdData 8" xfId="13136"/>
    <cellStyle name="SAPBEXstdData 8 2" xfId="13137"/>
    <cellStyle name="SAPBEXstdData 9" xfId="13138"/>
    <cellStyle name="SAPBEXstdData 9 2" xfId="13139"/>
    <cellStyle name="SAPBEXstdDataEmph" xfId="13140"/>
    <cellStyle name="SAPBEXstdDataEmph 10" xfId="13141"/>
    <cellStyle name="SAPBEXstdDataEmph 10 2" xfId="13142"/>
    <cellStyle name="SAPBEXstdDataEmph 11" xfId="13143"/>
    <cellStyle name="SAPBEXstdDataEmph 11 2" xfId="13144"/>
    <cellStyle name="SAPBEXstdDataEmph 12" xfId="13145"/>
    <cellStyle name="SAPBEXstdDataEmph 2" xfId="13146"/>
    <cellStyle name="SAPBEXstdDataEmph 2 10" xfId="13147"/>
    <cellStyle name="SAPBEXstdDataEmph 2 10 2" xfId="13148"/>
    <cellStyle name="SAPBEXstdDataEmph 2 11" xfId="13149"/>
    <cellStyle name="SAPBEXstdDataEmph 2 2" xfId="13150"/>
    <cellStyle name="SAPBEXstdDataEmph 2 2 2" xfId="13151"/>
    <cellStyle name="SAPBEXstdDataEmph 2 3" xfId="13152"/>
    <cellStyle name="SAPBEXstdDataEmph 2 3 2" xfId="13153"/>
    <cellStyle name="SAPBEXstdDataEmph 2 4" xfId="13154"/>
    <cellStyle name="SAPBEXstdDataEmph 2 4 2" xfId="13155"/>
    <cellStyle name="SAPBEXstdDataEmph 2 5" xfId="13156"/>
    <cellStyle name="SAPBEXstdDataEmph 2 5 2" xfId="13157"/>
    <cellStyle name="SAPBEXstdDataEmph 2 6" xfId="13158"/>
    <cellStyle name="SAPBEXstdDataEmph 2 6 2" xfId="13159"/>
    <cellStyle name="SAPBEXstdDataEmph 2 7" xfId="13160"/>
    <cellStyle name="SAPBEXstdDataEmph 2 7 2" xfId="13161"/>
    <cellStyle name="SAPBEXstdDataEmph 2 8" xfId="13162"/>
    <cellStyle name="SAPBEXstdDataEmph 2 8 2" xfId="13163"/>
    <cellStyle name="SAPBEXstdDataEmph 2 9" xfId="13164"/>
    <cellStyle name="SAPBEXstdDataEmph 2 9 2" xfId="13165"/>
    <cellStyle name="SAPBEXstdDataEmph 3" xfId="13166"/>
    <cellStyle name="SAPBEXstdDataEmph 3 2" xfId="13167"/>
    <cellStyle name="SAPBEXstdDataEmph 4" xfId="13168"/>
    <cellStyle name="SAPBEXstdDataEmph 4 2" xfId="13169"/>
    <cellStyle name="SAPBEXstdDataEmph 5" xfId="13170"/>
    <cellStyle name="SAPBEXstdDataEmph 5 2" xfId="13171"/>
    <cellStyle name="SAPBEXstdDataEmph 6" xfId="13172"/>
    <cellStyle name="SAPBEXstdDataEmph 6 2" xfId="13173"/>
    <cellStyle name="SAPBEXstdDataEmph 7" xfId="13174"/>
    <cellStyle name="SAPBEXstdDataEmph 7 2" xfId="13175"/>
    <cellStyle name="SAPBEXstdDataEmph 8" xfId="13176"/>
    <cellStyle name="SAPBEXstdDataEmph 8 2" xfId="13177"/>
    <cellStyle name="SAPBEXstdDataEmph 9" xfId="13178"/>
    <cellStyle name="SAPBEXstdDataEmph 9 2" xfId="13179"/>
    <cellStyle name="SAPBEXstdItem" xfId="13180"/>
    <cellStyle name="SAPBEXstdItem 10" xfId="13181"/>
    <cellStyle name="SAPBEXstdItem 10 2" xfId="13182"/>
    <cellStyle name="SAPBEXstdItem 11" xfId="13183"/>
    <cellStyle name="SAPBEXstdItem 11 2" xfId="13184"/>
    <cellStyle name="SAPBEXstdItem 12" xfId="13185"/>
    <cellStyle name="SAPBEXstdItem 2" xfId="13186"/>
    <cellStyle name="SAPBEXstdItem 2 10" xfId="13187"/>
    <cellStyle name="SAPBEXstdItem 2 10 2" xfId="13188"/>
    <cellStyle name="SAPBEXstdItem 2 11" xfId="13189"/>
    <cellStyle name="SAPBEXstdItem 2 2" xfId="13190"/>
    <cellStyle name="SAPBEXstdItem 2 2 2" xfId="13191"/>
    <cellStyle name="SAPBEXstdItem 2 3" xfId="13192"/>
    <cellStyle name="SAPBEXstdItem 2 3 2" xfId="13193"/>
    <cellStyle name="SAPBEXstdItem 2 4" xfId="13194"/>
    <cellStyle name="SAPBEXstdItem 2 4 2" xfId="13195"/>
    <cellStyle name="SAPBEXstdItem 2 5" xfId="13196"/>
    <cellStyle name="SAPBEXstdItem 2 5 2" xfId="13197"/>
    <cellStyle name="SAPBEXstdItem 2 6" xfId="13198"/>
    <cellStyle name="SAPBEXstdItem 2 6 2" xfId="13199"/>
    <cellStyle name="SAPBEXstdItem 2 7" xfId="13200"/>
    <cellStyle name="SAPBEXstdItem 2 7 2" xfId="13201"/>
    <cellStyle name="SAPBEXstdItem 2 8" xfId="13202"/>
    <cellStyle name="SAPBEXstdItem 2 8 2" xfId="13203"/>
    <cellStyle name="SAPBEXstdItem 2 9" xfId="13204"/>
    <cellStyle name="SAPBEXstdItem 2 9 2" xfId="13205"/>
    <cellStyle name="SAPBEXstdItem 3" xfId="13206"/>
    <cellStyle name="SAPBEXstdItem 3 2" xfId="13207"/>
    <cellStyle name="SAPBEXstdItem 4" xfId="13208"/>
    <cellStyle name="SAPBEXstdItem 4 2" xfId="13209"/>
    <cellStyle name="SAPBEXstdItem 5" xfId="13210"/>
    <cellStyle name="SAPBEXstdItem 5 2" xfId="13211"/>
    <cellStyle name="SAPBEXstdItem 6" xfId="13212"/>
    <cellStyle name="SAPBEXstdItem 6 2" xfId="13213"/>
    <cellStyle name="SAPBEXstdItem 7" xfId="13214"/>
    <cellStyle name="SAPBEXstdItem 7 2" xfId="13215"/>
    <cellStyle name="SAPBEXstdItem 8" xfId="13216"/>
    <cellStyle name="SAPBEXstdItem 8 2" xfId="13217"/>
    <cellStyle name="SAPBEXstdItem 9" xfId="13218"/>
    <cellStyle name="SAPBEXstdItem 9 2" xfId="13219"/>
    <cellStyle name="SAPBEXstdItemX" xfId="13220"/>
    <cellStyle name="SAPBEXstdItemX 10" xfId="13221"/>
    <cellStyle name="SAPBEXstdItemX 10 2" xfId="13222"/>
    <cellStyle name="SAPBEXstdItemX 11" xfId="13223"/>
    <cellStyle name="SAPBEXstdItemX 11 2" xfId="13224"/>
    <cellStyle name="SAPBEXstdItemX 12" xfId="13225"/>
    <cellStyle name="SAPBEXstdItemX 2" xfId="13226"/>
    <cellStyle name="SAPBEXstdItemX 2 10" xfId="13227"/>
    <cellStyle name="SAPBEXstdItemX 2 10 2" xfId="13228"/>
    <cellStyle name="SAPBEXstdItemX 2 11" xfId="13229"/>
    <cellStyle name="SAPBEXstdItemX 2 2" xfId="13230"/>
    <cellStyle name="SAPBEXstdItemX 2 2 2" xfId="13231"/>
    <cellStyle name="SAPBEXstdItemX 2 3" xfId="13232"/>
    <cellStyle name="SAPBEXstdItemX 2 3 2" xfId="13233"/>
    <cellStyle name="SAPBEXstdItemX 2 4" xfId="13234"/>
    <cellStyle name="SAPBEXstdItemX 2 4 2" xfId="13235"/>
    <cellStyle name="SAPBEXstdItemX 2 5" xfId="13236"/>
    <cellStyle name="SAPBEXstdItemX 2 5 2" xfId="13237"/>
    <cellStyle name="SAPBEXstdItemX 2 6" xfId="13238"/>
    <cellStyle name="SAPBEXstdItemX 2 6 2" xfId="13239"/>
    <cellStyle name="SAPBEXstdItemX 2 7" xfId="13240"/>
    <cellStyle name="SAPBEXstdItemX 2 7 2" xfId="13241"/>
    <cellStyle name="SAPBEXstdItemX 2 8" xfId="13242"/>
    <cellStyle name="SAPBEXstdItemX 2 8 2" xfId="13243"/>
    <cellStyle name="SAPBEXstdItemX 2 9" xfId="13244"/>
    <cellStyle name="SAPBEXstdItemX 2 9 2" xfId="13245"/>
    <cellStyle name="SAPBEXstdItemX 3" xfId="13246"/>
    <cellStyle name="SAPBEXstdItemX 3 2" xfId="13247"/>
    <cellStyle name="SAPBEXstdItemX 4" xfId="13248"/>
    <cellStyle name="SAPBEXstdItemX 4 2" xfId="13249"/>
    <cellStyle name="SAPBEXstdItemX 5" xfId="13250"/>
    <cellStyle name="SAPBEXstdItemX 5 2" xfId="13251"/>
    <cellStyle name="SAPBEXstdItemX 6" xfId="13252"/>
    <cellStyle name="SAPBEXstdItemX 6 2" xfId="13253"/>
    <cellStyle name="SAPBEXstdItemX 7" xfId="13254"/>
    <cellStyle name="SAPBEXstdItemX 7 2" xfId="13255"/>
    <cellStyle name="SAPBEXstdItemX 8" xfId="13256"/>
    <cellStyle name="SAPBEXstdItemX 8 2" xfId="13257"/>
    <cellStyle name="SAPBEXstdItemX 9" xfId="13258"/>
    <cellStyle name="SAPBEXstdItemX 9 2" xfId="13259"/>
    <cellStyle name="SAPBEXtitle" xfId="13260"/>
    <cellStyle name="SAPBEXundefined" xfId="13261"/>
    <cellStyle name="SAPBEXundefined 10" xfId="13262"/>
    <cellStyle name="SAPBEXundefined 10 2" xfId="13263"/>
    <cellStyle name="SAPBEXundefined 11" xfId="13264"/>
    <cellStyle name="SAPBEXundefined 11 2" xfId="13265"/>
    <cellStyle name="SAPBEXundefined 12" xfId="13266"/>
    <cellStyle name="SAPBEXundefined 2" xfId="13267"/>
    <cellStyle name="SAPBEXundefined 2 10" xfId="13268"/>
    <cellStyle name="SAPBEXundefined 2 10 2" xfId="13269"/>
    <cellStyle name="SAPBEXundefined 2 11" xfId="13270"/>
    <cellStyle name="SAPBEXundefined 2 2" xfId="13271"/>
    <cellStyle name="SAPBEXundefined 2 2 2" xfId="13272"/>
    <cellStyle name="SAPBEXundefined 2 3" xfId="13273"/>
    <cellStyle name="SAPBEXundefined 2 3 2" xfId="13274"/>
    <cellStyle name="SAPBEXundefined 2 4" xfId="13275"/>
    <cellStyle name="SAPBEXundefined 2 4 2" xfId="13276"/>
    <cellStyle name="SAPBEXundefined 2 5" xfId="13277"/>
    <cellStyle name="SAPBEXundefined 2 5 2" xfId="13278"/>
    <cellStyle name="SAPBEXundefined 2 6" xfId="13279"/>
    <cellStyle name="SAPBEXundefined 2 6 2" xfId="13280"/>
    <cellStyle name="SAPBEXundefined 2 7" xfId="13281"/>
    <cellStyle name="SAPBEXundefined 2 7 2" xfId="13282"/>
    <cellStyle name="SAPBEXundefined 2 8" xfId="13283"/>
    <cellStyle name="SAPBEXundefined 2 8 2" xfId="13284"/>
    <cellStyle name="SAPBEXundefined 2 9" xfId="13285"/>
    <cellStyle name="SAPBEXundefined 2 9 2" xfId="13286"/>
    <cellStyle name="SAPBEXundefined 3" xfId="13287"/>
    <cellStyle name="SAPBEXundefined 3 2" xfId="13288"/>
    <cellStyle name="SAPBEXundefined 4" xfId="13289"/>
    <cellStyle name="SAPBEXundefined 4 2" xfId="13290"/>
    <cellStyle name="SAPBEXundefined 5" xfId="13291"/>
    <cellStyle name="SAPBEXundefined 5 2" xfId="13292"/>
    <cellStyle name="SAPBEXundefined 6" xfId="13293"/>
    <cellStyle name="SAPBEXundefined 6 2" xfId="13294"/>
    <cellStyle name="SAPBEXundefined 7" xfId="13295"/>
    <cellStyle name="SAPBEXundefined 7 2" xfId="13296"/>
    <cellStyle name="SAPBEXundefined 8" xfId="13297"/>
    <cellStyle name="SAPBEXundefined 8 2" xfId="13298"/>
    <cellStyle name="SAPBEXundefined 9" xfId="13299"/>
    <cellStyle name="SAPBEXundefined 9 2" xfId="13300"/>
    <cellStyle name="SAPDataCell" xfId="13301"/>
    <cellStyle name="SAPDataTotalCell" xfId="13302"/>
    <cellStyle name="SAPDimensionCell" xfId="13303"/>
    <cellStyle name="SAPEmphasized" xfId="13304"/>
    <cellStyle name="SAPHierarchyCell0" xfId="13305"/>
    <cellStyle name="SAPHierarchyCell1" xfId="13306"/>
    <cellStyle name="SAPHierarchyCell2" xfId="13307"/>
    <cellStyle name="SAPHierarchyCell3" xfId="13308"/>
    <cellStyle name="SAPHierarchyCell4" xfId="13309"/>
    <cellStyle name="SAPLocked" xfId="13310"/>
    <cellStyle name="SAPLocked 10" xfId="13311"/>
    <cellStyle name="SAPLocked 10 10" xfId="13312"/>
    <cellStyle name="SAPLocked 10 10 2" xfId="13313"/>
    <cellStyle name="SAPLocked 10 11" xfId="13314"/>
    <cellStyle name="SAPLocked 10 11 2" xfId="13315"/>
    <cellStyle name="SAPLocked 10 12" xfId="13316"/>
    <cellStyle name="SAPLocked 10 12 2" xfId="13317"/>
    <cellStyle name="SAPLocked 10 13" xfId="13318"/>
    <cellStyle name="SAPLocked 10 2" xfId="13319"/>
    <cellStyle name="SAPLocked 10 2 10" xfId="13320"/>
    <cellStyle name="SAPLocked 10 2 10 2" xfId="13321"/>
    <cellStyle name="SAPLocked 10 2 11" xfId="13322"/>
    <cellStyle name="SAPLocked 10 2 11 2" xfId="13323"/>
    <cellStyle name="SAPLocked 10 2 12" xfId="13324"/>
    <cellStyle name="SAPLocked 10 2 2" xfId="13325"/>
    <cellStyle name="SAPLocked 10 2 2 2" xfId="13326"/>
    <cellStyle name="SAPLocked 10 2 3" xfId="13327"/>
    <cellStyle name="SAPLocked 10 2 3 2" xfId="13328"/>
    <cellStyle name="SAPLocked 10 2 4" xfId="13329"/>
    <cellStyle name="SAPLocked 10 2 4 2" xfId="13330"/>
    <cellStyle name="SAPLocked 10 2 5" xfId="13331"/>
    <cellStyle name="SAPLocked 10 2 5 2" xfId="13332"/>
    <cellStyle name="SAPLocked 10 2 6" xfId="13333"/>
    <cellStyle name="SAPLocked 10 2 6 2" xfId="13334"/>
    <cellStyle name="SAPLocked 10 2 7" xfId="13335"/>
    <cellStyle name="SAPLocked 10 2 7 2" xfId="13336"/>
    <cellStyle name="SAPLocked 10 2 8" xfId="13337"/>
    <cellStyle name="SAPLocked 10 2 8 2" xfId="13338"/>
    <cellStyle name="SAPLocked 10 2 9" xfId="13339"/>
    <cellStyle name="SAPLocked 10 2 9 2" xfId="13340"/>
    <cellStyle name="SAPLocked 10 3" xfId="13341"/>
    <cellStyle name="SAPLocked 10 3 2" xfId="13342"/>
    <cellStyle name="SAPLocked 10 4" xfId="13343"/>
    <cellStyle name="SAPLocked 10 4 2" xfId="13344"/>
    <cellStyle name="SAPLocked 10 5" xfId="13345"/>
    <cellStyle name="SAPLocked 10 5 2" xfId="13346"/>
    <cellStyle name="SAPLocked 10 6" xfId="13347"/>
    <cellStyle name="SAPLocked 10 6 2" xfId="13348"/>
    <cellStyle name="SAPLocked 10 7" xfId="13349"/>
    <cellStyle name="SAPLocked 10 7 2" xfId="13350"/>
    <cellStyle name="SAPLocked 10 8" xfId="13351"/>
    <cellStyle name="SAPLocked 10 8 2" xfId="13352"/>
    <cellStyle name="SAPLocked 10 9" xfId="13353"/>
    <cellStyle name="SAPLocked 10 9 2" xfId="13354"/>
    <cellStyle name="SAPLocked 11" xfId="13355"/>
    <cellStyle name="SAPLocked 11 10" xfId="13356"/>
    <cellStyle name="SAPLocked 11 10 2" xfId="13357"/>
    <cellStyle name="SAPLocked 11 11" xfId="13358"/>
    <cellStyle name="SAPLocked 11 11 2" xfId="13359"/>
    <cellStyle name="SAPLocked 11 12" xfId="13360"/>
    <cellStyle name="SAPLocked 11 12 2" xfId="13361"/>
    <cellStyle name="SAPLocked 11 13" xfId="13362"/>
    <cellStyle name="SAPLocked 11 2" xfId="13363"/>
    <cellStyle name="SAPLocked 11 2 10" xfId="13364"/>
    <cellStyle name="SAPLocked 11 2 10 2" xfId="13365"/>
    <cellStyle name="SAPLocked 11 2 11" xfId="13366"/>
    <cellStyle name="SAPLocked 11 2 11 2" xfId="13367"/>
    <cellStyle name="SAPLocked 11 2 12" xfId="13368"/>
    <cellStyle name="SAPLocked 11 2 2" xfId="13369"/>
    <cellStyle name="SAPLocked 11 2 2 2" xfId="13370"/>
    <cellStyle name="SAPLocked 11 2 3" xfId="13371"/>
    <cellStyle name="SAPLocked 11 2 3 2" xfId="13372"/>
    <cellStyle name="SAPLocked 11 2 4" xfId="13373"/>
    <cellStyle name="SAPLocked 11 2 4 2" xfId="13374"/>
    <cellStyle name="SAPLocked 11 2 5" xfId="13375"/>
    <cellStyle name="SAPLocked 11 2 5 2" xfId="13376"/>
    <cellStyle name="SAPLocked 11 2 6" xfId="13377"/>
    <cellStyle name="SAPLocked 11 2 6 2" xfId="13378"/>
    <cellStyle name="SAPLocked 11 2 7" xfId="13379"/>
    <cellStyle name="SAPLocked 11 2 7 2" xfId="13380"/>
    <cellStyle name="SAPLocked 11 2 8" xfId="13381"/>
    <cellStyle name="SAPLocked 11 2 8 2" xfId="13382"/>
    <cellStyle name="SAPLocked 11 2 9" xfId="13383"/>
    <cellStyle name="SAPLocked 11 2 9 2" xfId="13384"/>
    <cellStyle name="SAPLocked 11 3" xfId="13385"/>
    <cellStyle name="SAPLocked 11 3 2" xfId="13386"/>
    <cellStyle name="SAPLocked 11 4" xfId="13387"/>
    <cellStyle name="SAPLocked 11 4 2" xfId="13388"/>
    <cellStyle name="SAPLocked 11 5" xfId="13389"/>
    <cellStyle name="SAPLocked 11 5 2" xfId="13390"/>
    <cellStyle name="SAPLocked 11 6" xfId="13391"/>
    <cellStyle name="SAPLocked 11 6 2" xfId="13392"/>
    <cellStyle name="SAPLocked 11 7" xfId="13393"/>
    <cellStyle name="SAPLocked 11 7 2" xfId="13394"/>
    <cellStyle name="SAPLocked 11 8" xfId="13395"/>
    <cellStyle name="SAPLocked 11 8 2" xfId="13396"/>
    <cellStyle name="SAPLocked 11 9" xfId="13397"/>
    <cellStyle name="SAPLocked 11 9 2" xfId="13398"/>
    <cellStyle name="SAPLocked 12" xfId="13399"/>
    <cellStyle name="SAPLocked 12 10" xfId="13400"/>
    <cellStyle name="SAPLocked 12 10 2" xfId="13401"/>
    <cellStyle name="SAPLocked 12 11" xfId="13402"/>
    <cellStyle name="SAPLocked 12 11 2" xfId="13403"/>
    <cellStyle name="SAPLocked 12 12" xfId="13404"/>
    <cellStyle name="SAPLocked 12 12 2" xfId="13405"/>
    <cellStyle name="SAPLocked 12 13" xfId="13406"/>
    <cellStyle name="SAPLocked 12 2" xfId="13407"/>
    <cellStyle name="SAPLocked 12 2 10" xfId="13408"/>
    <cellStyle name="SAPLocked 12 2 10 2" xfId="13409"/>
    <cellStyle name="SAPLocked 12 2 11" xfId="13410"/>
    <cellStyle name="SAPLocked 12 2 11 2" xfId="13411"/>
    <cellStyle name="SAPLocked 12 2 12" xfId="13412"/>
    <cellStyle name="SAPLocked 12 2 2" xfId="13413"/>
    <cellStyle name="SAPLocked 12 2 2 2" xfId="13414"/>
    <cellStyle name="SAPLocked 12 2 3" xfId="13415"/>
    <cellStyle name="SAPLocked 12 2 3 2" xfId="13416"/>
    <cellStyle name="SAPLocked 12 2 4" xfId="13417"/>
    <cellStyle name="SAPLocked 12 2 4 2" xfId="13418"/>
    <cellStyle name="SAPLocked 12 2 5" xfId="13419"/>
    <cellStyle name="SAPLocked 12 2 5 2" xfId="13420"/>
    <cellStyle name="SAPLocked 12 2 6" xfId="13421"/>
    <cellStyle name="SAPLocked 12 2 6 2" xfId="13422"/>
    <cellStyle name="SAPLocked 12 2 7" xfId="13423"/>
    <cellStyle name="SAPLocked 12 2 7 2" xfId="13424"/>
    <cellStyle name="SAPLocked 12 2 8" xfId="13425"/>
    <cellStyle name="SAPLocked 12 2 8 2" xfId="13426"/>
    <cellStyle name="SAPLocked 12 2 9" xfId="13427"/>
    <cellStyle name="SAPLocked 12 2 9 2" xfId="13428"/>
    <cellStyle name="SAPLocked 12 3" xfId="13429"/>
    <cellStyle name="SAPLocked 12 3 2" xfId="13430"/>
    <cellStyle name="SAPLocked 12 4" xfId="13431"/>
    <cellStyle name="SAPLocked 12 4 2" xfId="13432"/>
    <cellStyle name="SAPLocked 12 5" xfId="13433"/>
    <cellStyle name="SAPLocked 12 5 2" xfId="13434"/>
    <cellStyle name="SAPLocked 12 6" xfId="13435"/>
    <cellStyle name="SAPLocked 12 6 2" xfId="13436"/>
    <cellStyle name="SAPLocked 12 7" xfId="13437"/>
    <cellStyle name="SAPLocked 12 7 2" xfId="13438"/>
    <cellStyle name="SAPLocked 12 8" xfId="13439"/>
    <cellStyle name="SAPLocked 12 8 2" xfId="13440"/>
    <cellStyle name="SAPLocked 12 9" xfId="13441"/>
    <cellStyle name="SAPLocked 12 9 2" xfId="13442"/>
    <cellStyle name="SAPLocked 13" xfId="13443"/>
    <cellStyle name="SAPLocked 13 10" xfId="13444"/>
    <cellStyle name="SAPLocked 13 10 2" xfId="13445"/>
    <cellStyle name="SAPLocked 13 11" xfId="13446"/>
    <cellStyle name="SAPLocked 13 11 2" xfId="13447"/>
    <cellStyle name="SAPLocked 13 12" xfId="13448"/>
    <cellStyle name="SAPLocked 13 12 2" xfId="13449"/>
    <cellStyle name="SAPLocked 13 13" xfId="13450"/>
    <cellStyle name="SAPLocked 13 2" xfId="13451"/>
    <cellStyle name="SAPLocked 13 2 10" xfId="13452"/>
    <cellStyle name="SAPLocked 13 2 10 2" xfId="13453"/>
    <cellStyle name="SAPLocked 13 2 11" xfId="13454"/>
    <cellStyle name="SAPLocked 13 2 11 2" xfId="13455"/>
    <cellStyle name="SAPLocked 13 2 12" xfId="13456"/>
    <cellStyle name="SAPLocked 13 2 2" xfId="13457"/>
    <cellStyle name="SAPLocked 13 2 2 2" xfId="13458"/>
    <cellStyle name="SAPLocked 13 2 3" xfId="13459"/>
    <cellStyle name="SAPLocked 13 2 3 2" xfId="13460"/>
    <cellStyle name="SAPLocked 13 2 4" xfId="13461"/>
    <cellStyle name="SAPLocked 13 2 4 2" xfId="13462"/>
    <cellStyle name="SAPLocked 13 2 5" xfId="13463"/>
    <cellStyle name="SAPLocked 13 2 5 2" xfId="13464"/>
    <cellStyle name="SAPLocked 13 2 6" xfId="13465"/>
    <cellStyle name="SAPLocked 13 2 6 2" xfId="13466"/>
    <cellStyle name="SAPLocked 13 2 7" xfId="13467"/>
    <cellStyle name="SAPLocked 13 2 7 2" xfId="13468"/>
    <cellStyle name="SAPLocked 13 2 8" xfId="13469"/>
    <cellStyle name="SAPLocked 13 2 8 2" xfId="13470"/>
    <cellStyle name="SAPLocked 13 2 9" xfId="13471"/>
    <cellStyle name="SAPLocked 13 2 9 2" xfId="13472"/>
    <cellStyle name="SAPLocked 13 3" xfId="13473"/>
    <cellStyle name="SAPLocked 13 3 2" xfId="13474"/>
    <cellStyle name="SAPLocked 13 4" xfId="13475"/>
    <cellStyle name="SAPLocked 13 4 2" xfId="13476"/>
    <cellStyle name="SAPLocked 13 5" xfId="13477"/>
    <cellStyle name="SAPLocked 13 5 2" xfId="13478"/>
    <cellStyle name="SAPLocked 13 6" xfId="13479"/>
    <cellStyle name="SAPLocked 13 6 2" xfId="13480"/>
    <cellStyle name="SAPLocked 13 7" xfId="13481"/>
    <cellStyle name="SAPLocked 13 7 2" xfId="13482"/>
    <cellStyle name="SAPLocked 13 8" xfId="13483"/>
    <cellStyle name="SAPLocked 13 8 2" xfId="13484"/>
    <cellStyle name="SAPLocked 13 9" xfId="13485"/>
    <cellStyle name="SAPLocked 13 9 2" xfId="13486"/>
    <cellStyle name="SAPLocked 14" xfId="13487"/>
    <cellStyle name="SAPLocked 14 10" xfId="13488"/>
    <cellStyle name="SAPLocked 14 10 2" xfId="13489"/>
    <cellStyle name="SAPLocked 14 11" xfId="13490"/>
    <cellStyle name="SAPLocked 14 11 2" xfId="13491"/>
    <cellStyle name="SAPLocked 14 12" xfId="13492"/>
    <cellStyle name="SAPLocked 14 12 2" xfId="13493"/>
    <cellStyle name="SAPLocked 14 13" xfId="13494"/>
    <cellStyle name="SAPLocked 14 2" xfId="13495"/>
    <cellStyle name="SAPLocked 14 2 10" xfId="13496"/>
    <cellStyle name="SAPLocked 14 2 10 2" xfId="13497"/>
    <cellStyle name="SAPLocked 14 2 11" xfId="13498"/>
    <cellStyle name="SAPLocked 14 2 11 2" xfId="13499"/>
    <cellStyle name="SAPLocked 14 2 12" xfId="13500"/>
    <cellStyle name="SAPLocked 14 2 2" xfId="13501"/>
    <cellStyle name="SAPLocked 14 2 2 2" xfId="13502"/>
    <cellStyle name="SAPLocked 14 2 3" xfId="13503"/>
    <cellStyle name="SAPLocked 14 2 3 2" xfId="13504"/>
    <cellStyle name="SAPLocked 14 2 4" xfId="13505"/>
    <cellStyle name="SAPLocked 14 2 4 2" xfId="13506"/>
    <cellStyle name="SAPLocked 14 2 5" xfId="13507"/>
    <cellStyle name="SAPLocked 14 2 5 2" xfId="13508"/>
    <cellStyle name="SAPLocked 14 2 6" xfId="13509"/>
    <cellStyle name="SAPLocked 14 2 6 2" xfId="13510"/>
    <cellStyle name="SAPLocked 14 2 7" xfId="13511"/>
    <cellStyle name="SAPLocked 14 2 7 2" xfId="13512"/>
    <cellStyle name="SAPLocked 14 2 8" xfId="13513"/>
    <cellStyle name="SAPLocked 14 2 8 2" xfId="13514"/>
    <cellStyle name="SAPLocked 14 2 9" xfId="13515"/>
    <cellStyle name="SAPLocked 14 2 9 2" xfId="13516"/>
    <cellStyle name="SAPLocked 14 3" xfId="13517"/>
    <cellStyle name="SAPLocked 14 3 2" xfId="13518"/>
    <cellStyle name="SAPLocked 14 4" xfId="13519"/>
    <cellStyle name="SAPLocked 14 4 2" xfId="13520"/>
    <cellStyle name="SAPLocked 14 5" xfId="13521"/>
    <cellStyle name="SAPLocked 14 5 2" xfId="13522"/>
    <cellStyle name="SAPLocked 14 6" xfId="13523"/>
    <cellStyle name="SAPLocked 14 6 2" xfId="13524"/>
    <cellStyle name="SAPLocked 14 7" xfId="13525"/>
    <cellStyle name="SAPLocked 14 7 2" xfId="13526"/>
    <cellStyle name="SAPLocked 14 8" xfId="13527"/>
    <cellStyle name="SAPLocked 14 8 2" xfId="13528"/>
    <cellStyle name="SAPLocked 14 9" xfId="13529"/>
    <cellStyle name="SAPLocked 14 9 2" xfId="13530"/>
    <cellStyle name="SAPLocked 15" xfId="13531"/>
    <cellStyle name="SAPLocked 15 10" xfId="13532"/>
    <cellStyle name="SAPLocked 15 10 2" xfId="13533"/>
    <cellStyle name="SAPLocked 15 11" xfId="13534"/>
    <cellStyle name="SAPLocked 15 11 2" xfId="13535"/>
    <cellStyle name="SAPLocked 15 12" xfId="13536"/>
    <cellStyle name="SAPLocked 15 12 2" xfId="13537"/>
    <cellStyle name="SAPLocked 15 13" xfId="13538"/>
    <cellStyle name="SAPLocked 15 2" xfId="13539"/>
    <cellStyle name="SAPLocked 15 2 10" xfId="13540"/>
    <cellStyle name="SAPLocked 15 2 10 2" xfId="13541"/>
    <cellStyle name="SAPLocked 15 2 11" xfId="13542"/>
    <cellStyle name="SAPLocked 15 2 11 2" xfId="13543"/>
    <cellStyle name="SAPLocked 15 2 12" xfId="13544"/>
    <cellStyle name="SAPLocked 15 2 2" xfId="13545"/>
    <cellStyle name="SAPLocked 15 2 2 2" xfId="13546"/>
    <cellStyle name="SAPLocked 15 2 3" xfId="13547"/>
    <cellStyle name="SAPLocked 15 2 3 2" xfId="13548"/>
    <cellStyle name="SAPLocked 15 2 4" xfId="13549"/>
    <cellStyle name="SAPLocked 15 2 4 2" xfId="13550"/>
    <cellStyle name="SAPLocked 15 2 5" xfId="13551"/>
    <cellStyle name="SAPLocked 15 2 5 2" xfId="13552"/>
    <cellStyle name="SAPLocked 15 2 6" xfId="13553"/>
    <cellStyle name="SAPLocked 15 2 6 2" xfId="13554"/>
    <cellStyle name="SAPLocked 15 2 7" xfId="13555"/>
    <cellStyle name="SAPLocked 15 2 7 2" xfId="13556"/>
    <cellStyle name="SAPLocked 15 2 8" xfId="13557"/>
    <cellStyle name="SAPLocked 15 2 8 2" xfId="13558"/>
    <cellStyle name="SAPLocked 15 2 9" xfId="13559"/>
    <cellStyle name="SAPLocked 15 2 9 2" xfId="13560"/>
    <cellStyle name="SAPLocked 15 3" xfId="13561"/>
    <cellStyle name="SAPLocked 15 3 2" xfId="13562"/>
    <cellStyle name="SAPLocked 15 4" xfId="13563"/>
    <cellStyle name="SAPLocked 15 4 2" xfId="13564"/>
    <cellStyle name="SAPLocked 15 5" xfId="13565"/>
    <cellStyle name="SAPLocked 15 5 2" xfId="13566"/>
    <cellStyle name="SAPLocked 15 6" xfId="13567"/>
    <cellStyle name="SAPLocked 15 6 2" xfId="13568"/>
    <cellStyle name="SAPLocked 15 7" xfId="13569"/>
    <cellStyle name="SAPLocked 15 7 2" xfId="13570"/>
    <cellStyle name="SAPLocked 15 8" xfId="13571"/>
    <cellStyle name="SAPLocked 15 8 2" xfId="13572"/>
    <cellStyle name="SAPLocked 15 9" xfId="13573"/>
    <cellStyle name="SAPLocked 15 9 2" xfId="13574"/>
    <cellStyle name="SAPLocked 16" xfId="13575"/>
    <cellStyle name="SAPLocked 16 10" xfId="13576"/>
    <cellStyle name="SAPLocked 16 10 2" xfId="13577"/>
    <cellStyle name="SAPLocked 16 11" xfId="13578"/>
    <cellStyle name="SAPLocked 16 11 2" xfId="13579"/>
    <cellStyle name="SAPLocked 16 12" xfId="13580"/>
    <cellStyle name="SAPLocked 16 12 2" xfId="13581"/>
    <cellStyle name="SAPLocked 16 13" xfId="13582"/>
    <cellStyle name="SAPLocked 16 2" xfId="13583"/>
    <cellStyle name="SAPLocked 16 2 10" xfId="13584"/>
    <cellStyle name="SAPLocked 16 2 10 2" xfId="13585"/>
    <cellStyle name="SAPLocked 16 2 11" xfId="13586"/>
    <cellStyle name="SAPLocked 16 2 11 2" xfId="13587"/>
    <cellStyle name="SAPLocked 16 2 12" xfId="13588"/>
    <cellStyle name="SAPLocked 16 2 2" xfId="13589"/>
    <cellStyle name="SAPLocked 16 2 2 2" xfId="13590"/>
    <cellStyle name="SAPLocked 16 2 3" xfId="13591"/>
    <cellStyle name="SAPLocked 16 2 3 2" xfId="13592"/>
    <cellStyle name="SAPLocked 16 2 4" xfId="13593"/>
    <cellStyle name="SAPLocked 16 2 4 2" xfId="13594"/>
    <cellStyle name="SAPLocked 16 2 5" xfId="13595"/>
    <cellStyle name="SAPLocked 16 2 5 2" xfId="13596"/>
    <cellStyle name="SAPLocked 16 2 6" xfId="13597"/>
    <cellStyle name="SAPLocked 16 2 6 2" xfId="13598"/>
    <cellStyle name="SAPLocked 16 2 7" xfId="13599"/>
    <cellStyle name="SAPLocked 16 2 7 2" xfId="13600"/>
    <cellStyle name="SAPLocked 16 2 8" xfId="13601"/>
    <cellStyle name="SAPLocked 16 2 8 2" xfId="13602"/>
    <cellStyle name="SAPLocked 16 2 9" xfId="13603"/>
    <cellStyle name="SAPLocked 16 2 9 2" xfId="13604"/>
    <cellStyle name="SAPLocked 16 3" xfId="13605"/>
    <cellStyle name="SAPLocked 16 3 2" xfId="13606"/>
    <cellStyle name="SAPLocked 16 4" xfId="13607"/>
    <cellStyle name="SAPLocked 16 4 2" xfId="13608"/>
    <cellStyle name="SAPLocked 16 5" xfId="13609"/>
    <cellStyle name="SAPLocked 16 5 2" xfId="13610"/>
    <cellStyle name="SAPLocked 16 6" xfId="13611"/>
    <cellStyle name="SAPLocked 16 6 2" xfId="13612"/>
    <cellStyle name="SAPLocked 16 7" xfId="13613"/>
    <cellStyle name="SAPLocked 16 7 2" xfId="13614"/>
    <cellStyle name="SAPLocked 16 8" xfId="13615"/>
    <cellStyle name="SAPLocked 16 8 2" xfId="13616"/>
    <cellStyle name="SAPLocked 16 9" xfId="13617"/>
    <cellStyle name="SAPLocked 16 9 2" xfId="13618"/>
    <cellStyle name="SAPLocked 17" xfId="13619"/>
    <cellStyle name="SAPLocked 17 10" xfId="13620"/>
    <cellStyle name="SAPLocked 17 10 2" xfId="13621"/>
    <cellStyle name="SAPLocked 17 11" xfId="13622"/>
    <cellStyle name="SAPLocked 17 11 2" xfId="13623"/>
    <cellStyle name="SAPLocked 17 12" xfId="13624"/>
    <cellStyle name="SAPLocked 17 12 2" xfId="13625"/>
    <cellStyle name="SAPLocked 17 13" xfId="13626"/>
    <cellStyle name="SAPLocked 17 2" xfId="13627"/>
    <cellStyle name="SAPLocked 17 2 10" xfId="13628"/>
    <cellStyle name="SAPLocked 17 2 10 2" xfId="13629"/>
    <cellStyle name="SAPLocked 17 2 11" xfId="13630"/>
    <cellStyle name="SAPLocked 17 2 11 2" xfId="13631"/>
    <cellStyle name="SAPLocked 17 2 12" xfId="13632"/>
    <cellStyle name="SAPLocked 17 2 2" xfId="13633"/>
    <cellStyle name="SAPLocked 17 2 2 2" xfId="13634"/>
    <cellStyle name="SAPLocked 17 2 3" xfId="13635"/>
    <cellStyle name="SAPLocked 17 2 3 2" xfId="13636"/>
    <cellStyle name="SAPLocked 17 2 4" xfId="13637"/>
    <cellStyle name="SAPLocked 17 2 4 2" xfId="13638"/>
    <cellStyle name="SAPLocked 17 2 5" xfId="13639"/>
    <cellStyle name="SAPLocked 17 2 5 2" xfId="13640"/>
    <cellStyle name="SAPLocked 17 2 6" xfId="13641"/>
    <cellStyle name="SAPLocked 17 2 6 2" xfId="13642"/>
    <cellStyle name="SAPLocked 17 2 7" xfId="13643"/>
    <cellStyle name="SAPLocked 17 2 7 2" xfId="13644"/>
    <cellStyle name="SAPLocked 17 2 8" xfId="13645"/>
    <cellStyle name="SAPLocked 17 2 8 2" xfId="13646"/>
    <cellStyle name="SAPLocked 17 2 9" xfId="13647"/>
    <cellStyle name="SAPLocked 17 2 9 2" xfId="13648"/>
    <cellStyle name="SAPLocked 17 3" xfId="13649"/>
    <cellStyle name="SAPLocked 17 3 2" xfId="13650"/>
    <cellStyle name="SAPLocked 17 4" xfId="13651"/>
    <cellStyle name="SAPLocked 17 4 2" xfId="13652"/>
    <cellStyle name="SAPLocked 17 5" xfId="13653"/>
    <cellStyle name="SAPLocked 17 5 2" xfId="13654"/>
    <cellStyle name="SAPLocked 17 6" xfId="13655"/>
    <cellStyle name="SAPLocked 17 6 2" xfId="13656"/>
    <cellStyle name="SAPLocked 17 7" xfId="13657"/>
    <cellStyle name="SAPLocked 17 7 2" xfId="13658"/>
    <cellStyle name="SAPLocked 17 8" xfId="13659"/>
    <cellStyle name="SAPLocked 17 8 2" xfId="13660"/>
    <cellStyle name="SAPLocked 17 9" xfId="13661"/>
    <cellStyle name="SAPLocked 17 9 2" xfId="13662"/>
    <cellStyle name="SAPLocked 18" xfId="13663"/>
    <cellStyle name="SAPLocked 18 10" xfId="13664"/>
    <cellStyle name="SAPLocked 18 10 2" xfId="13665"/>
    <cellStyle name="SAPLocked 18 11" xfId="13666"/>
    <cellStyle name="SAPLocked 18 11 2" xfId="13667"/>
    <cellStyle name="SAPLocked 18 12" xfId="13668"/>
    <cellStyle name="SAPLocked 18 12 2" xfId="13669"/>
    <cellStyle name="SAPLocked 18 13" xfId="13670"/>
    <cellStyle name="SAPLocked 18 2" xfId="13671"/>
    <cellStyle name="SAPLocked 18 2 10" xfId="13672"/>
    <cellStyle name="SAPLocked 18 2 10 2" xfId="13673"/>
    <cellStyle name="SAPLocked 18 2 11" xfId="13674"/>
    <cellStyle name="SAPLocked 18 2 11 2" xfId="13675"/>
    <cellStyle name="SAPLocked 18 2 12" xfId="13676"/>
    <cellStyle name="SAPLocked 18 2 2" xfId="13677"/>
    <cellStyle name="SAPLocked 18 2 2 2" xfId="13678"/>
    <cellStyle name="SAPLocked 18 2 3" xfId="13679"/>
    <cellStyle name="SAPLocked 18 2 3 2" xfId="13680"/>
    <cellStyle name="SAPLocked 18 2 4" xfId="13681"/>
    <cellStyle name="SAPLocked 18 2 4 2" xfId="13682"/>
    <cellStyle name="SAPLocked 18 2 5" xfId="13683"/>
    <cellStyle name="SAPLocked 18 2 5 2" xfId="13684"/>
    <cellStyle name="SAPLocked 18 2 6" xfId="13685"/>
    <cellStyle name="SAPLocked 18 2 6 2" xfId="13686"/>
    <cellStyle name="SAPLocked 18 2 7" xfId="13687"/>
    <cellStyle name="SAPLocked 18 2 7 2" xfId="13688"/>
    <cellStyle name="SAPLocked 18 2 8" xfId="13689"/>
    <cellStyle name="SAPLocked 18 2 8 2" xfId="13690"/>
    <cellStyle name="SAPLocked 18 2 9" xfId="13691"/>
    <cellStyle name="SAPLocked 18 2 9 2" xfId="13692"/>
    <cellStyle name="SAPLocked 18 3" xfId="13693"/>
    <cellStyle name="SAPLocked 18 3 2" xfId="13694"/>
    <cellStyle name="SAPLocked 18 4" xfId="13695"/>
    <cellStyle name="SAPLocked 18 4 2" xfId="13696"/>
    <cellStyle name="SAPLocked 18 5" xfId="13697"/>
    <cellStyle name="SAPLocked 18 5 2" xfId="13698"/>
    <cellStyle name="SAPLocked 18 6" xfId="13699"/>
    <cellStyle name="SAPLocked 18 6 2" xfId="13700"/>
    <cellStyle name="SAPLocked 18 7" xfId="13701"/>
    <cellStyle name="SAPLocked 18 7 2" xfId="13702"/>
    <cellStyle name="SAPLocked 18 8" xfId="13703"/>
    <cellStyle name="SAPLocked 18 8 2" xfId="13704"/>
    <cellStyle name="SAPLocked 18 9" xfId="13705"/>
    <cellStyle name="SAPLocked 18 9 2" xfId="13706"/>
    <cellStyle name="SAPLocked 19" xfId="13707"/>
    <cellStyle name="SAPLocked 19 10" xfId="13708"/>
    <cellStyle name="SAPLocked 19 10 2" xfId="13709"/>
    <cellStyle name="SAPLocked 19 11" xfId="13710"/>
    <cellStyle name="SAPLocked 19 11 2" xfId="13711"/>
    <cellStyle name="SAPLocked 19 12" xfId="13712"/>
    <cellStyle name="SAPLocked 19 12 2" xfId="13713"/>
    <cellStyle name="SAPLocked 19 13" xfId="13714"/>
    <cellStyle name="SAPLocked 19 2" xfId="13715"/>
    <cellStyle name="SAPLocked 19 2 10" xfId="13716"/>
    <cellStyle name="SAPLocked 19 2 10 2" xfId="13717"/>
    <cellStyle name="SAPLocked 19 2 11" xfId="13718"/>
    <cellStyle name="SAPLocked 19 2 11 2" xfId="13719"/>
    <cellStyle name="SAPLocked 19 2 12" xfId="13720"/>
    <cellStyle name="SAPLocked 19 2 2" xfId="13721"/>
    <cellStyle name="SAPLocked 19 2 2 2" xfId="13722"/>
    <cellStyle name="SAPLocked 19 2 3" xfId="13723"/>
    <cellStyle name="SAPLocked 19 2 3 2" xfId="13724"/>
    <cellStyle name="SAPLocked 19 2 4" xfId="13725"/>
    <cellStyle name="SAPLocked 19 2 4 2" xfId="13726"/>
    <cellStyle name="SAPLocked 19 2 5" xfId="13727"/>
    <cellStyle name="SAPLocked 19 2 5 2" xfId="13728"/>
    <cellStyle name="SAPLocked 19 2 6" xfId="13729"/>
    <cellStyle name="SAPLocked 19 2 6 2" xfId="13730"/>
    <cellStyle name="SAPLocked 19 2 7" xfId="13731"/>
    <cellStyle name="SAPLocked 19 2 7 2" xfId="13732"/>
    <cellStyle name="SAPLocked 19 2 8" xfId="13733"/>
    <cellStyle name="SAPLocked 19 2 8 2" xfId="13734"/>
    <cellStyle name="SAPLocked 19 2 9" xfId="13735"/>
    <cellStyle name="SAPLocked 19 2 9 2" xfId="13736"/>
    <cellStyle name="SAPLocked 19 3" xfId="13737"/>
    <cellStyle name="SAPLocked 19 3 2" xfId="13738"/>
    <cellStyle name="SAPLocked 19 4" xfId="13739"/>
    <cellStyle name="SAPLocked 19 4 2" xfId="13740"/>
    <cellStyle name="SAPLocked 19 5" xfId="13741"/>
    <cellStyle name="SAPLocked 19 5 2" xfId="13742"/>
    <cellStyle name="SAPLocked 19 6" xfId="13743"/>
    <cellStyle name="SAPLocked 19 6 2" xfId="13744"/>
    <cellStyle name="SAPLocked 19 7" xfId="13745"/>
    <cellStyle name="SAPLocked 19 7 2" xfId="13746"/>
    <cellStyle name="SAPLocked 19 8" xfId="13747"/>
    <cellStyle name="SAPLocked 19 8 2" xfId="13748"/>
    <cellStyle name="SAPLocked 19 9" xfId="13749"/>
    <cellStyle name="SAPLocked 19 9 2" xfId="13750"/>
    <cellStyle name="SAPLocked 2" xfId="13751"/>
    <cellStyle name="SAPLocked 2 10" xfId="13752"/>
    <cellStyle name="SAPLocked 2 10 10" xfId="13753"/>
    <cellStyle name="SAPLocked 2 10 10 2" xfId="13754"/>
    <cellStyle name="SAPLocked 2 10 11" xfId="13755"/>
    <cellStyle name="SAPLocked 2 10 11 2" xfId="13756"/>
    <cellStyle name="SAPLocked 2 10 12" xfId="13757"/>
    <cellStyle name="SAPLocked 2 10 12 2" xfId="13758"/>
    <cellStyle name="SAPLocked 2 10 13" xfId="13759"/>
    <cellStyle name="SAPLocked 2 10 2" xfId="13760"/>
    <cellStyle name="SAPLocked 2 10 2 10" xfId="13761"/>
    <cellStyle name="SAPLocked 2 10 2 10 2" xfId="13762"/>
    <cellStyle name="SAPLocked 2 10 2 11" xfId="13763"/>
    <cellStyle name="SAPLocked 2 10 2 11 2" xfId="13764"/>
    <cellStyle name="SAPLocked 2 10 2 12" xfId="13765"/>
    <cellStyle name="SAPLocked 2 10 2 2" xfId="13766"/>
    <cellStyle name="SAPLocked 2 10 2 2 2" xfId="13767"/>
    <cellStyle name="SAPLocked 2 10 2 3" xfId="13768"/>
    <cellStyle name="SAPLocked 2 10 2 3 2" xfId="13769"/>
    <cellStyle name="SAPLocked 2 10 2 4" xfId="13770"/>
    <cellStyle name="SAPLocked 2 10 2 4 2" xfId="13771"/>
    <cellStyle name="SAPLocked 2 10 2 5" xfId="13772"/>
    <cellStyle name="SAPLocked 2 10 2 5 2" xfId="13773"/>
    <cellStyle name="SAPLocked 2 10 2 6" xfId="13774"/>
    <cellStyle name="SAPLocked 2 10 2 6 2" xfId="13775"/>
    <cellStyle name="SAPLocked 2 10 2 7" xfId="13776"/>
    <cellStyle name="SAPLocked 2 10 2 7 2" xfId="13777"/>
    <cellStyle name="SAPLocked 2 10 2 8" xfId="13778"/>
    <cellStyle name="SAPLocked 2 10 2 8 2" xfId="13779"/>
    <cellStyle name="SAPLocked 2 10 2 9" xfId="13780"/>
    <cellStyle name="SAPLocked 2 10 2 9 2" xfId="13781"/>
    <cellStyle name="SAPLocked 2 10 3" xfId="13782"/>
    <cellStyle name="SAPLocked 2 10 3 2" xfId="13783"/>
    <cellStyle name="SAPLocked 2 10 4" xfId="13784"/>
    <cellStyle name="SAPLocked 2 10 4 2" xfId="13785"/>
    <cellStyle name="SAPLocked 2 10 5" xfId="13786"/>
    <cellStyle name="SAPLocked 2 10 5 2" xfId="13787"/>
    <cellStyle name="SAPLocked 2 10 6" xfId="13788"/>
    <cellStyle name="SAPLocked 2 10 6 2" xfId="13789"/>
    <cellStyle name="SAPLocked 2 10 7" xfId="13790"/>
    <cellStyle name="SAPLocked 2 10 7 2" xfId="13791"/>
    <cellStyle name="SAPLocked 2 10 8" xfId="13792"/>
    <cellStyle name="SAPLocked 2 10 8 2" xfId="13793"/>
    <cellStyle name="SAPLocked 2 10 9" xfId="13794"/>
    <cellStyle name="SAPLocked 2 10 9 2" xfId="13795"/>
    <cellStyle name="SAPLocked 2 11" xfId="13796"/>
    <cellStyle name="SAPLocked 2 11 10" xfId="13797"/>
    <cellStyle name="SAPLocked 2 11 10 2" xfId="13798"/>
    <cellStyle name="SAPLocked 2 11 11" xfId="13799"/>
    <cellStyle name="SAPLocked 2 11 11 2" xfId="13800"/>
    <cellStyle name="SAPLocked 2 11 12" xfId="13801"/>
    <cellStyle name="SAPLocked 2 11 12 2" xfId="13802"/>
    <cellStyle name="SAPLocked 2 11 13" xfId="13803"/>
    <cellStyle name="SAPLocked 2 11 2" xfId="13804"/>
    <cellStyle name="SAPLocked 2 11 2 10" xfId="13805"/>
    <cellStyle name="SAPLocked 2 11 2 10 2" xfId="13806"/>
    <cellStyle name="SAPLocked 2 11 2 11" xfId="13807"/>
    <cellStyle name="SAPLocked 2 11 2 11 2" xfId="13808"/>
    <cellStyle name="SAPLocked 2 11 2 12" xfId="13809"/>
    <cellStyle name="SAPLocked 2 11 2 2" xfId="13810"/>
    <cellStyle name="SAPLocked 2 11 2 2 2" xfId="13811"/>
    <cellStyle name="SAPLocked 2 11 2 3" xfId="13812"/>
    <cellStyle name="SAPLocked 2 11 2 3 2" xfId="13813"/>
    <cellStyle name="SAPLocked 2 11 2 4" xfId="13814"/>
    <cellStyle name="SAPLocked 2 11 2 4 2" xfId="13815"/>
    <cellStyle name="SAPLocked 2 11 2 5" xfId="13816"/>
    <cellStyle name="SAPLocked 2 11 2 5 2" xfId="13817"/>
    <cellStyle name="SAPLocked 2 11 2 6" xfId="13818"/>
    <cellStyle name="SAPLocked 2 11 2 6 2" xfId="13819"/>
    <cellStyle name="SAPLocked 2 11 2 7" xfId="13820"/>
    <cellStyle name="SAPLocked 2 11 2 7 2" xfId="13821"/>
    <cellStyle name="SAPLocked 2 11 2 8" xfId="13822"/>
    <cellStyle name="SAPLocked 2 11 2 8 2" xfId="13823"/>
    <cellStyle name="SAPLocked 2 11 2 9" xfId="13824"/>
    <cellStyle name="SAPLocked 2 11 2 9 2" xfId="13825"/>
    <cellStyle name="SAPLocked 2 11 3" xfId="13826"/>
    <cellStyle name="SAPLocked 2 11 3 2" xfId="13827"/>
    <cellStyle name="SAPLocked 2 11 4" xfId="13828"/>
    <cellStyle name="SAPLocked 2 11 4 2" xfId="13829"/>
    <cellStyle name="SAPLocked 2 11 5" xfId="13830"/>
    <cellStyle name="SAPLocked 2 11 5 2" xfId="13831"/>
    <cellStyle name="SAPLocked 2 11 6" xfId="13832"/>
    <cellStyle name="SAPLocked 2 11 6 2" xfId="13833"/>
    <cellStyle name="SAPLocked 2 11 7" xfId="13834"/>
    <cellStyle name="SAPLocked 2 11 7 2" xfId="13835"/>
    <cellStyle name="SAPLocked 2 11 8" xfId="13836"/>
    <cellStyle name="SAPLocked 2 11 8 2" xfId="13837"/>
    <cellStyle name="SAPLocked 2 11 9" xfId="13838"/>
    <cellStyle name="SAPLocked 2 11 9 2" xfId="13839"/>
    <cellStyle name="SAPLocked 2 12" xfId="13840"/>
    <cellStyle name="SAPLocked 2 12 10" xfId="13841"/>
    <cellStyle name="SAPLocked 2 12 10 2" xfId="13842"/>
    <cellStyle name="SAPLocked 2 12 11" xfId="13843"/>
    <cellStyle name="SAPLocked 2 12 11 2" xfId="13844"/>
    <cellStyle name="SAPLocked 2 12 12" xfId="13845"/>
    <cellStyle name="SAPLocked 2 12 12 2" xfId="13846"/>
    <cellStyle name="SAPLocked 2 12 13" xfId="13847"/>
    <cellStyle name="SAPLocked 2 12 2" xfId="13848"/>
    <cellStyle name="SAPLocked 2 12 2 10" xfId="13849"/>
    <cellStyle name="SAPLocked 2 12 2 10 2" xfId="13850"/>
    <cellStyle name="SAPLocked 2 12 2 11" xfId="13851"/>
    <cellStyle name="SAPLocked 2 12 2 11 2" xfId="13852"/>
    <cellStyle name="SAPLocked 2 12 2 12" xfId="13853"/>
    <cellStyle name="SAPLocked 2 12 2 2" xfId="13854"/>
    <cellStyle name="SAPLocked 2 12 2 2 2" xfId="13855"/>
    <cellStyle name="SAPLocked 2 12 2 3" xfId="13856"/>
    <cellStyle name="SAPLocked 2 12 2 3 2" xfId="13857"/>
    <cellStyle name="SAPLocked 2 12 2 4" xfId="13858"/>
    <cellStyle name="SAPLocked 2 12 2 4 2" xfId="13859"/>
    <cellStyle name="SAPLocked 2 12 2 5" xfId="13860"/>
    <cellStyle name="SAPLocked 2 12 2 5 2" xfId="13861"/>
    <cellStyle name="SAPLocked 2 12 2 6" xfId="13862"/>
    <cellStyle name="SAPLocked 2 12 2 6 2" xfId="13863"/>
    <cellStyle name="SAPLocked 2 12 2 7" xfId="13864"/>
    <cellStyle name="SAPLocked 2 12 2 7 2" xfId="13865"/>
    <cellStyle name="SAPLocked 2 12 2 8" xfId="13866"/>
    <cellStyle name="SAPLocked 2 12 2 8 2" xfId="13867"/>
    <cellStyle name="SAPLocked 2 12 2 9" xfId="13868"/>
    <cellStyle name="SAPLocked 2 12 2 9 2" xfId="13869"/>
    <cellStyle name="SAPLocked 2 12 3" xfId="13870"/>
    <cellStyle name="SAPLocked 2 12 3 2" xfId="13871"/>
    <cellStyle name="SAPLocked 2 12 4" xfId="13872"/>
    <cellStyle name="SAPLocked 2 12 4 2" xfId="13873"/>
    <cellStyle name="SAPLocked 2 12 5" xfId="13874"/>
    <cellStyle name="SAPLocked 2 12 5 2" xfId="13875"/>
    <cellStyle name="SAPLocked 2 12 6" xfId="13876"/>
    <cellStyle name="SAPLocked 2 12 6 2" xfId="13877"/>
    <cellStyle name="SAPLocked 2 12 7" xfId="13878"/>
    <cellStyle name="SAPLocked 2 12 7 2" xfId="13879"/>
    <cellStyle name="SAPLocked 2 12 8" xfId="13880"/>
    <cellStyle name="SAPLocked 2 12 8 2" xfId="13881"/>
    <cellStyle name="SAPLocked 2 12 9" xfId="13882"/>
    <cellStyle name="SAPLocked 2 12 9 2" xfId="13883"/>
    <cellStyle name="SAPLocked 2 13" xfId="13884"/>
    <cellStyle name="SAPLocked 2 13 10" xfId="13885"/>
    <cellStyle name="SAPLocked 2 13 10 2" xfId="13886"/>
    <cellStyle name="SAPLocked 2 13 11" xfId="13887"/>
    <cellStyle name="SAPLocked 2 13 11 2" xfId="13888"/>
    <cellStyle name="SAPLocked 2 13 12" xfId="13889"/>
    <cellStyle name="SAPLocked 2 13 12 2" xfId="13890"/>
    <cellStyle name="SAPLocked 2 13 13" xfId="13891"/>
    <cellStyle name="SAPLocked 2 13 2" xfId="13892"/>
    <cellStyle name="SAPLocked 2 13 2 10" xfId="13893"/>
    <cellStyle name="SAPLocked 2 13 2 10 2" xfId="13894"/>
    <cellStyle name="SAPLocked 2 13 2 11" xfId="13895"/>
    <cellStyle name="SAPLocked 2 13 2 11 2" xfId="13896"/>
    <cellStyle name="SAPLocked 2 13 2 12" xfId="13897"/>
    <cellStyle name="SAPLocked 2 13 2 2" xfId="13898"/>
    <cellStyle name="SAPLocked 2 13 2 2 2" xfId="13899"/>
    <cellStyle name="SAPLocked 2 13 2 3" xfId="13900"/>
    <cellStyle name="SAPLocked 2 13 2 3 2" xfId="13901"/>
    <cellStyle name="SAPLocked 2 13 2 4" xfId="13902"/>
    <cellStyle name="SAPLocked 2 13 2 4 2" xfId="13903"/>
    <cellStyle name="SAPLocked 2 13 2 5" xfId="13904"/>
    <cellStyle name="SAPLocked 2 13 2 5 2" xfId="13905"/>
    <cellStyle name="SAPLocked 2 13 2 6" xfId="13906"/>
    <cellStyle name="SAPLocked 2 13 2 6 2" xfId="13907"/>
    <cellStyle name="SAPLocked 2 13 2 7" xfId="13908"/>
    <cellStyle name="SAPLocked 2 13 2 7 2" xfId="13909"/>
    <cellStyle name="SAPLocked 2 13 2 8" xfId="13910"/>
    <cellStyle name="SAPLocked 2 13 2 8 2" xfId="13911"/>
    <cellStyle name="SAPLocked 2 13 2 9" xfId="13912"/>
    <cellStyle name="SAPLocked 2 13 2 9 2" xfId="13913"/>
    <cellStyle name="SAPLocked 2 13 3" xfId="13914"/>
    <cellStyle name="SAPLocked 2 13 3 2" xfId="13915"/>
    <cellStyle name="SAPLocked 2 13 4" xfId="13916"/>
    <cellStyle name="SAPLocked 2 13 4 2" xfId="13917"/>
    <cellStyle name="SAPLocked 2 13 5" xfId="13918"/>
    <cellStyle name="SAPLocked 2 13 5 2" xfId="13919"/>
    <cellStyle name="SAPLocked 2 13 6" xfId="13920"/>
    <cellStyle name="SAPLocked 2 13 6 2" xfId="13921"/>
    <cellStyle name="SAPLocked 2 13 7" xfId="13922"/>
    <cellStyle name="SAPLocked 2 13 7 2" xfId="13923"/>
    <cellStyle name="SAPLocked 2 13 8" xfId="13924"/>
    <cellStyle name="SAPLocked 2 13 8 2" xfId="13925"/>
    <cellStyle name="SAPLocked 2 13 9" xfId="13926"/>
    <cellStyle name="SAPLocked 2 13 9 2" xfId="13927"/>
    <cellStyle name="SAPLocked 2 14" xfId="13928"/>
    <cellStyle name="SAPLocked 2 14 10" xfId="13929"/>
    <cellStyle name="SAPLocked 2 14 10 2" xfId="13930"/>
    <cellStyle name="SAPLocked 2 14 11" xfId="13931"/>
    <cellStyle name="SAPLocked 2 14 11 2" xfId="13932"/>
    <cellStyle name="SAPLocked 2 14 12" xfId="13933"/>
    <cellStyle name="SAPLocked 2 14 12 2" xfId="13934"/>
    <cellStyle name="SAPLocked 2 14 13" xfId="13935"/>
    <cellStyle name="SAPLocked 2 14 2" xfId="13936"/>
    <cellStyle name="SAPLocked 2 14 2 10" xfId="13937"/>
    <cellStyle name="SAPLocked 2 14 2 10 2" xfId="13938"/>
    <cellStyle name="SAPLocked 2 14 2 11" xfId="13939"/>
    <cellStyle name="SAPLocked 2 14 2 11 2" xfId="13940"/>
    <cellStyle name="SAPLocked 2 14 2 12" xfId="13941"/>
    <cellStyle name="SAPLocked 2 14 2 2" xfId="13942"/>
    <cellStyle name="SAPLocked 2 14 2 2 2" xfId="13943"/>
    <cellStyle name="SAPLocked 2 14 2 3" xfId="13944"/>
    <cellStyle name="SAPLocked 2 14 2 3 2" xfId="13945"/>
    <cellStyle name="SAPLocked 2 14 2 4" xfId="13946"/>
    <cellStyle name="SAPLocked 2 14 2 4 2" xfId="13947"/>
    <cellStyle name="SAPLocked 2 14 2 5" xfId="13948"/>
    <cellStyle name="SAPLocked 2 14 2 5 2" xfId="13949"/>
    <cellStyle name="SAPLocked 2 14 2 6" xfId="13950"/>
    <cellStyle name="SAPLocked 2 14 2 6 2" xfId="13951"/>
    <cellStyle name="SAPLocked 2 14 2 7" xfId="13952"/>
    <cellStyle name="SAPLocked 2 14 2 7 2" xfId="13953"/>
    <cellStyle name="SAPLocked 2 14 2 8" xfId="13954"/>
    <cellStyle name="SAPLocked 2 14 2 8 2" xfId="13955"/>
    <cellStyle name="SAPLocked 2 14 2 9" xfId="13956"/>
    <cellStyle name="SAPLocked 2 14 2 9 2" xfId="13957"/>
    <cellStyle name="SAPLocked 2 14 3" xfId="13958"/>
    <cellStyle name="SAPLocked 2 14 3 2" xfId="13959"/>
    <cellStyle name="SAPLocked 2 14 4" xfId="13960"/>
    <cellStyle name="SAPLocked 2 14 4 2" xfId="13961"/>
    <cellStyle name="SAPLocked 2 14 5" xfId="13962"/>
    <cellStyle name="SAPLocked 2 14 5 2" xfId="13963"/>
    <cellStyle name="SAPLocked 2 14 6" xfId="13964"/>
    <cellStyle name="SAPLocked 2 14 6 2" xfId="13965"/>
    <cellStyle name="SAPLocked 2 14 7" xfId="13966"/>
    <cellStyle name="SAPLocked 2 14 7 2" xfId="13967"/>
    <cellStyle name="SAPLocked 2 14 8" xfId="13968"/>
    <cellStyle name="SAPLocked 2 14 8 2" xfId="13969"/>
    <cellStyle name="SAPLocked 2 14 9" xfId="13970"/>
    <cellStyle name="SAPLocked 2 14 9 2" xfId="13971"/>
    <cellStyle name="SAPLocked 2 15" xfId="13972"/>
    <cellStyle name="SAPLocked 2 15 10" xfId="13973"/>
    <cellStyle name="SAPLocked 2 15 10 2" xfId="13974"/>
    <cellStyle name="SAPLocked 2 15 11" xfId="13975"/>
    <cellStyle name="SAPLocked 2 15 11 2" xfId="13976"/>
    <cellStyle name="SAPLocked 2 15 12" xfId="13977"/>
    <cellStyle name="SAPLocked 2 15 12 2" xfId="13978"/>
    <cellStyle name="SAPLocked 2 15 13" xfId="13979"/>
    <cellStyle name="SAPLocked 2 15 2" xfId="13980"/>
    <cellStyle name="SAPLocked 2 15 2 10" xfId="13981"/>
    <cellStyle name="SAPLocked 2 15 2 10 2" xfId="13982"/>
    <cellStyle name="SAPLocked 2 15 2 11" xfId="13983"/>
    <cellStyle name="SAPLocked 2 15 2 11 2" xfId="13984"/>
    <cellStyle name="SAPLocked 2 15 2 12" xfId="13985"/>
    <cellStyle name="SAPLocked 2 15 2 2" xfId="13986"/>
    <cellStyle name="SAPLocked 2 15 2 2 2" xfId="13987"/>
    <cellStyle name="SAPLocked 2 15 2 3" xfId="13988"/>
    <cellStyle name="SAPLocked 2 15 2 3 2" xfId="13989"/>
    <cellStyle name="SAPLocked 2 15 2 4" xfId="13990"/>
    <cellStyle name="SAPLocked 2 15 2 4 2" xfId="13991"/>
    <cellStyle name="SAPLocked 2 15 2 5" xfId="13992"/>
    <cellStyle name="SAPLocked 2 15 2 5 2" xfId="13993"/>
    <cellStyle name="SAPLocked 2 15 2 6" xfId="13994"/>
    <cellStyle name="SAPLocked 2 15 2 6 2" xfId="13995"/>
    <cellStyle name="SAPLocked 2 15 2 7" xfId="13996"/>
    <cellStyle name="SAPLocked 2 15 2 7 2" xfId="13997"/>
    <cellStyle name="SAPLocked 2 15 2 8" xfId="13998"/>
    <cellStyle name="SAPLocked 2 15 2 8 2" xfId="13999"/>
    <cellStyle name="SAPLocked 2 15 2 9" xfId="14000"/>
    <cellStyle name="SAPLocked 2 15 2 9 2" xfId="14001"/>
    <cellStyle name="SAPLocked 2 15 3" xfId="14002"/>
    <cellStyle name="SAPLocked 2 15 3 2" xfId="14003"/>
    <cellStyle name="SAPLocked 2 15 4" xfId="14004"/>
    <cellStyle name="SAPLocked 2 15 4 2" xfId="14005"/>
    <cellStyle name="SAPLocked 2 15 5" xfId="14006"/>
    <cellStyle name="SAPLocked 2 15 5 2" xfId="14007"/>
    <cellStyle name="SAPLocked 2 15 6" xfId="14008"/>
    <cellStyle name="SAPLocked 2 15 6 2" xfId="14009"/>
    <cellStyle name="SAPLocked 2 15 7" xfId="14010"/>
    <cellStyle name="SAPLocked 2 15 7 2" xfId="14011"/>
    <cellStyle name="SAPLocked 2 15 8" xfId="14012"/>
    <cellStyle name="SAPLocked 2 15 8 2" xfId="14013"/>
    <cellStyle name="SAPLocked 2 15 9" xfId="14014"/>
    <cellStyle name="SAPLocked 2 15 9 2" xfId="14015"/>
    <cellStyle name="SAPLocked 2 16" xfId="14016"/>
    <cellStyle name="SAPLocked 2 16 10" xfId="14017"/>
    <cellStyle name="SAPLocked 2 16 10 2" xfId="14018"/>
    <cellStyle name="SAPLocked 2 16 11" xfId="14019"/>
    <cellStyle name="SAPLocked 2 16 11 2" xfId="14020"/>
    <cellStyle name="SAPLocked 2 16 12" xfId="14021"/>
    <cellStyle name="SAPLocked 2 16 12 2" xfId="14022"/>
    <cellStyle name="SAPLocked 2 16 13" xfId="14023"/>
    <cellStyle name="SAPLocked 2 16 2" xfId="14024"/>
    <cellStyle name="SAPLocked 2 16 2 10" xfId="14025"/>
    <cellStyle name="SAPLocked 2 16 2 10 2" xfId="14026"/>
    <cellStyle name="SAPLocked 2 16 2 11" xfId="14027"/>
    <cellStyle name="SAPLocked 2 16 2 11 2" xfId="14028"/>
    <cellStyle name="SAPLocked 2 16 2 12" xfId="14029"/>
    <cellStyle name="SAPLocked 2 16 2 2" xfId="14030"/>
    <cellStyle name="SAPLocked 2 16 2 2 2" xfId="14031"/>
    <cellStyle name="SAPLocked 2 16 2 3" xfId="14032"/>
    <cellStyle name="SAPLocked 2 16 2 3 2" xfId="14033"/>
    <cellStyle name="SAPLocked 2 16 2 4" xfId="14034"/>
    <cellStyle name="SAPLocked 2 16 2 4 2" xfId="14035"/>
    <cellStyle name="SAPLocked 2 16 2 5" xfId="14036"/>
    <cellStyle name="SAPLocked 2 16 2 5 2" xfId="14037"/>
    <cellStyle name="SAPLocked 2 16 2 6" xfId="14038"/>
    <cellStyle name="SAPLocked 2 16 2 6 2" xfId="14039"/>
    <cellStyle name="SAPLocked 2 16 2 7" xfId="14040"/>
    <cellStyle name="SAPLocked 2 16 2 7 2" xfId="14041"/>
    <cellStyle name="SAPLocked 2 16 2 8" xfId="14042"/>
    <cellStyle name="SAPLocked 2 16 2 8 2" xfId="14043"/>
    <cellStyle name="SAPLocked 2 16 2 9" xfId="14044"/>
    <cellStyle name="SAPLocked 2 16 2 9 2" xfId="14045"/>
    <cellStyle name="SAPLocked 2 16 3" xfId="14046"/>
    <cellStyle name="SAPLocked 2 16 3 2" xfId="14047"/>
    <cellStyle name="SAPLocked 2 16 4" xfId="14048"/>
    <cellStyle name="SAPLocked 2 16 4 2" xfId="14049"/>
    <cellStyle name="SAPLocked 2 16 5" xfId="14050"/>
    <cellStyle name="SAPLocked 2 16 5 2" xfId="14051"/>
    <cellStyle name="SAPLocked 2 16 6" xfId="14052"/>
    <cellStyle name="SAPLocked 2 16 6 2" xfId="14053"/>
    <cellStyle name="SAPLocked 2 16 7" xfId="14054"/>
    <cellStyle name="SAPLocked 2 16 7 2" xfId="14055"/>
    <cellStyle name="SAPLocked 2 16 8" xfId="14056"/>
    <cellStyle name="SAPLocked 2 16 8 2" xfId="14057"/>
    <cellStyle name="SAPLocked 2 16 9" xfId="14058"/>
    <cellStyle name="SAPLocked 2 16 9 2" xfId="14059"/>
    <cellStyle name="SAPLocked 2 17" xfId="14060"/>
    <cellStyle name="SAPLocked 2 17 10" xfId="14061"/>
    <cellStyle name="SAPLocked 2 17 10 2" xfId="14062"/>
    <cellStyle name="SAPLocked 2 17 11" xfId="14063"/>
    <cellStyle name="SAPLocked 2 17 11 2" xfId="14064"/>
    <cellStyle name="SAPLocked 2 17 12" xfId="14065"/>
    <cellStyle name="SAPLocked 2 17 12 2" xfId="14066"/>
    <cellStyle name="SAPLocked 2 17 13" xfId="14067"/>
    <cellStyle name="SAPLocked 2 17 2" xfId="14068"/>
    <cellStyle name="SAPLocked 2 17 2 10" xfId="14069"/>
    <cellStyle name="SAPLocked 2 17 2 10 2" xfId="14070"/>
    <cellStyle name="SAPLocked 2 17 2 11" xfId="14071"/>
    <cellStyle name="SAPLocked 2 17 2 11 2" xfId="14072"/>
    <cellStyle name="SAPLocked 2 17 2 12" xfId="14073"/>
    <cellStyle name="SAPLocked 2 17 2 2" xfId="14074"/>
    <cellStyle name="SAPLocked 2 17 2 2 2" xfId="14075"/>
    <cellStyle name="SAPLocked 2 17 2 3" xfId="14076"/>
    <cellStyle name="SAPLocked 2 17 2 3 2" xfId="14077"/>
    <cellStyle name="SAPLocked 2 17 2 4" xfId="14078"/>
    <cellStyle name="SAPLocked 2 17 2 4 2" xfId="14079"/>
    <cellStyle name="SAPLocked 2 17 2 5" xfId="14080"/>
    <cellStyle name="SAPLocked 2 17 2 5 2" xfId="14081"/>
    <cellStyle name="SAPLocked 2 17 2 6" xfId="14082"/>
    <cellStyle name="SAPLocked 2 17 2 6 2" xfId="14083"/>
    <cellStyle name="SAPLocked 2 17 2 7" xfId="14084"/>
    <cellStyle name="SAPLocked 2 17 2 7 2" xfId="14085"/>
    <cellStyle name="SAPLocked 2 17 2 8" xfId="14086"/>
    <cellStyle name="SAPLocked 2 17 2 8 2" xfId="14087"/>
    <cellStyle name="SAPLocked 2 17 2 9" xfId="14088"/>
    <cellStyle name="SAPLocked 2 17 2 9 2" xfId="14089"/>
    <cellStyle name="SAPLocked 2 17 3" xfId="14090"/>
    <cellStyle name="SAPLocked 2 17 3 2" xfId="14091"/>
    <cellStyle name="SAPLocked 2 17 4" xfId="14092"/>
    <cellStyle name="SAPLocked 2 17 4 2" xfId="14093"/>
    <cellStyle name="SAPLocked 2 17 5" xfId="14094"/>
    <cellStyle name="SAPLocked 2 17 5 2" xfId="14095"/>
    <cellStyle name="SAPLocked 2 17 6" xfId="14096"/>
    <cellStyle name="SAPLocked 2 17 6 2" xfId="14097"/>
    <cellStyle name="SAPLocked 2 17 7" xfId="14098"/>
    <cellStyle name="SAPLocked 2 17 7 2" xfId="14099"/>
    <cellStyle name="SAPLocked 2 17 8" xfId="14100"/>
    <cellStyle name="SAPLocked 2 17 8 2" xfId="14101"/>
    <cellStyle name="SAPLocked 2 17 9" xfId="14102"/>
    <cellStyle name="SAPLocked 2 17 9 2" xfId="14103"/>
    <cellStyle name="SAPLocked 2 18" xfId="14104"/>
    <cellStyle name="SAPLocked 2 18 10" xfId="14105"/>
    <cellStyle name="SAPLocked 2 18 10 2" xfId="14106"/>
    <cellStyle name="SAPLocked 2 18 11" xfId="14107"/>
    <cellStyle name="SAPLocked 2 18 11 2" xfId="14108"/>
    <cellStyle name="SAPLocked 2 18 12" xfId="14109"/>
    <cellStyle name="SAPLocked 2 18 12 2" xfId="14110"/>
    <cellStyle name="SAPLocked 2 18 13" xfId="14111"/>
    <cellStyle name="SAPLocked 2 18 2" xfId="14112"/>
    <cellStyle name="SAPLocked 2 18 2 10" xfId="14113"/>
    <cellStyle name="SAPLocked 2 18 2 10 2" xfId="14114"/>
    <cellStyle name="SAPLocked 2 18 2 11" xfId="14115"/>
    <cellStyle name="SAPLocked 2 18 2 11 2" xfId="14116"/>
    <cellStyle name="SAPLocked 2 18 2 12" xfId="14117"/>
    <cellStyle name="SAPLocked 2 18 2 2" xfId="14118"/>
    <cellStyle name="SAPLocked 2 18 2 2 2" xfId="14119"/>
    <cellStyle name="SAPLocked 2 18 2 3" xfId="14120"/>
    <cellStyle name="SAPLocked 2 18 2 3 2" xfId="14121"/>
    <cellStyle name="SAPLocked 2 18 2 4" xfId="14122"/>
    <cellStyle name="SAPLocked 2 18 2 4 2" xfId="14123"/>
    <cellStyle name="SAPLocked 2 18 2 5" xfId="14124"/>
    <cellStyle name="SAPLocked 2 18 2 5 2" xfId="14125"/>
    <cellStyle name="SAPLocked 2 18 2 6" xfId="14126"/>
    <cellStyle name="SAPLocked 2 18 2 6 2" xfId="14127"/>
    <cellStyle name="SAPLocked 2 18 2 7" xfId="14128"/>
    <cellStyle name="SAPLocked 2 18 2 7 2" xfId="14129"/>
    <cellStyle name="SAPLocked 2 18 2 8" xfId="14130"/>
    <cellStyle name="SAPLocked 2 18 2 8 2" xfId="14131"/>
    <cellStyle name="SAPLocked 2 18 2 9" xfId="14132"/>
    <cellStyle name="SAPLocked 2 18 2 9 2" xfId="14133"/>
    <cellStyle name="SAPLocked 2 18 3" xfId="14134"/>
    <cellStyle name="SAPLocked 2 18 3 2" xfId="14135"/>
    <cellStyle name="SAPLocked 2 18 4" xfId="14136"/>
    <cellStyle name="SAPLocked 2 18 4 2" xfId="14137"/>
    <cellStyle name="SAPLocked 2 18 5" xfId="14138"/>
    <cellStyle name="SAPLocked 2 18 5 2" xfId="14139"/>
    <cellStyle name="SAPLocked 2 18 6" xfId="14140"/>
    <cellStyle name="SAPLocked 2 18 6 2" xfId="14141"/>
    <cellStyle name="SAPLocked 2 18 7" xfId="14142"/>
    <cellStyle name="SAPLocked 2 18 7 2" xfId="14143"/>
    <cellStyle name="SAPLocked 2 18 8" xfId="14144"/>
    <cellStyle name="SAPLocked 2 18 8 2" xfId="14145"/>
    <cellStyle name="SAPLocked 2 18 9" xfId="14146"/>
    <cellStyle name="SAPLocked 2 18 9 2" xfId="14147"/>
    <cellStyle name="SAPLocked 2 19" xfId="14148"/>
    <cellStyle name="SAPLocked 2 19 10" xfId="14149"/>
    <cellStyle name="SAPLocked 2 19 10 2" xfId="14150"/>
    <cellStyle name="SAPLocked 2 19 11" xfId="14151"/>
    <cellStyle name="SAPLocked 2 19 11 2" xfId="14152"/>
    <cellStyle name="SAPLocked 2 19 12" xfId="14153"/>
    <cellStyle name="SAPLocked 2 19 12 2" xfId="14154"/>
    <cellStyle name="SAPLocked 2 19 13" xfId="14155"/>
    <cellStyle name="SAPLocked 2 19 2" xfId="14156"/>
    <cellStyle name="SAPLocked 2 19 2 10" xfId="14157"/>
    <cellStyle name="SAPLocked 2 19 2 10 2" xfId="14158"/>
    <cellStyle name="SAPLocked 2 19 2 11" xfId="14159"/>
    <cellStyle name="SAPLocked 2 19 2 11 2" xfId="14160"/>
    <cellStyle name="SAPLocked 2 19 2 12" xfId="14161"/>
    <cellStyle name="SAPLocked 2 19 2 2" xfId="14162"/>
    <cellStyle name="SAPLocked 2 19 2 2 2" xfId="14163"/>
    <cellStyle name="SAPLocked 2 19 2 3" xfId="14164"/>
    <cellStyle name="SAPLocked 2 19 2 3 2" xfId="14165"/>
    <cellStyle name="SAPLocked 2 19 2 4" xfId="14166"/>
    <cellStyle name="SAPLocked 2 19 2 4 2" xfId="14167"/>
    <cellStyle name="SAPLocked 2 19 2 5" xfId="14168"/>
    <cellStyle name="SAPLocked 2 19 2 5 2" xfId="14169"/>
    <cellStyle name="SAPLocked 2 19 2 6" xfId="14170"/>
    <cellStyle name="SAPLocked 2 19 2 6 2" xfId="14171"/>
    <cellStyle name="SAPLocked 2 19 2 7" xfId="14172"/>
    <cellStyle name="SAPLocked 2 19 2 7 2" xfId="14173"/>
    <cellStyle name="SAPLocked 2 19 2 8" xfId="14174"/>
    <cellStyle name="SAPLocked 2 19 2 8 2" xfId="14175"/>
    <cellStyle name="SAPLocked 2 19 2 9" xfId="14176"/>
    <cellStyle name="SAPLocked 2 19 2 9 2" xfId="14177"/>
    <cellStyle name="SAPLocked 2 19 3" xfId="14178"/>
    <cellStyle name="SAPLocked 2 19 3 2" xfId="14179"/>
    <cellStyle name="SAPLocked 2 19 4" xfId="14180"/>
    <cellStyle name="SAPLocked 2 19 4 2" xfId="14181"/>
    <cellStyle name="SAPLocked 2 19 5" xfId="14182"/>
    <cellStyle name="SAPLocked 2 19 5 2" xfId="14183"/>
    <cellStyle name="SAPLocked 2 19 6" xfId="14184"/>
    <cellStyle name="SAPLocked 2 19 6 2" xfId="14185"/>
    <cellStyle name="SAPLocked 2 19 7" xfId="14186"/>
    <cellStyle name="SAPLocked 2 19 7 2" xfId="14187"/>
    <cellStyle name="SAPLocked 2 19 8" xfId="14188"/>
    <cellStyle name="SAPLocked 2 19 8 2" xfId="14189"/>
    <cellStyle name="SAPLocked 2 19 9" xfId="14190"/>
    <cellStyle name="SAPLocked 2 19 9 2" xfId="14191"/>
    <cellStyle name="SAPLocked 2 2" xfId="14192"/>
    <cellStyle name="SAPLocked 2 2 10" xfId="14193"/>
    <cellStyle name="SAPLocked 2 2 10 2" xfId="14194"/>
    <cellStyle name="SAPLocked 2 2 11" xfId="14195"/>
    <cellStyle name="SAPLocked 2 2 11 2" xfId="14196"/>
    <cellStyle name="SAPLocked 2 2 12" xfId="14197"/>
    <cellStyle name="SAPLocked 2 2 12 2" xfId="14198"/>
    <cellStyle name="SAPLocked 2 2 13" xfId="14199"/>
    <cellStyle name="SAPLocked 2 2 2" xfId="14200"/>
    <cellStyle name="SAPLocked 2 2 2 10" xfId="14201"/>
    <cellStyle name="SAPLocked 2 2 2 10 2" xfId="14202"/>
    <cellStyle name="SAPLocked 2 2 2 11" xfId="14203"/>
    <cellStyle name="SAPLocked 2 2 2 11 2" xfId="14204"/>
    <cellStyle name="SAPLocked 2 2 2 12" xfId="14205"/>
    <cellStyle name="SAPLocked 2 2 2 2" xfId="14206"/>
    <cellStyle name="SAPLocked 2 2 2 2 2" xfId="14207"/>
    <cellStyle name="SAPLocked 2 2 2 3" xfId="14208"/>
    <cellStyle name="SAPLocked 2 2 2 3 2" xfId="14209"/>
    <cellStyle name="SAPLocked 2 2 2 4" xfId="14210"/>
    <cellStyle name="SAPLocked 2 2 2 4 2" xfId="14211"/>
    <cellStyle name="SAPLocked 2 2 2 5" xfId="14212"/>
    <cellStyle name="SAPLocked 2 2 2 5 2" xfId="14213"/>
    <cellStyle name="SAPLocked 2 2 2 6" xfId="14214"/>
    <cellStyle name="SAPLocked 2 2 2 6 2" xfId="14215"/>
    <cellStyle name="SAPLocked 2 2 2 7" xfId="14216"/>
    <cellStyle name="SAPLocked 2 2 2 7 2" xfId="14217"/>
    <cellStyle name="SAPLocked 2 2 2 8" xfId="14218"/>
    <cellStyle name="SAPLocked 2 2 2 8 2" xfId="14219"/>
    <cellStyle name="SAPLocked 2 2 2 9" xfId="14220"/>
    <cellStyle name="SAPLocked 2 2 2 9 2" xfId="14221"/>
    <cellStyle name="SAPLocked 2 2 3" xfId="14222"/>
    <cellStyle name="SAPLocked 2 2 3 2" xfId="14223"/>
    <cellStyle name="SAPLocked 2 2 4" xfId="14224"/>
    <cellStyle name="SAPLocked 2 2 4 2" xfId="14225"/>
    <cellStyle name="SAPLocked 2 2 5" xfId="14226"/>
    <cellStyle name="SAPLocked 2 2 5 2" xfId="14227"/>
    <cellStyle name="SAPLocked 2 2 6" xfId="14228"/>
    <cellStyle name="SAPLocked 2 2 6 2" xfId="14229"/>
    <cellStyle name="SAPLocked 2 2 7" xfId="14230"/>
    <cellStyle name="SAPLocked 2 2 7 2" xfId="14231"/>
    <cellStyle name="SAPLocked 2 2 8" xfId="14232"/>
    <cellStyle name="SAPLocked 2 2 8 2" xfId="14233"/>
    <cellStyle name="SAPLocked 2 2 9" xfId="14234"/>
    <cellStyle name="SAPLocked 2 2 9 2" xfId="14235"/>
    <cellStyle name="SAPLocked 2 20" xfId="14236"/>
    <cellStyle name="SAPLocked 2 20 10" xfId="14237"/>
    <cellStyle name="SAPLocked 2 20 10 2" xfId="14238"/>
    <cellStyle name="SAPLocked 2 20 11" xfId="14239"/>
    <cellStyle name="SAPLocked 2 20 11 2" xfId="14240"/>
    <cellStyle name="SAPLocked 2 20 12" xfId="14241"/>
    <cellStyle name="SAPLocked 2 20 12 2" xfId="14242"/>
    <cellStyle name="SAPLocked 2 20 13" xfId="14243"/>
    <cellStyle name="SAPLocked 2 20 2" xfId="14244"/>
    <cellStyle name="SAPLocked 2 20 2 10" xfId="14245"/>
    <cellStyle name="SAPLocked 2 20 2 10 2" xfId="14246"/>
    <cellStyle name="SAPLocked 2 20 2 11" xfId="14247"/>
    <cellStyle name="SAPLocked 2 20 2 11 2" xfId="14248"/>
    <cellStyle name="SAPLocked 2 20 2 12" xfId="14249"/>
    <cellStyle name="SAPLocked 2 20 2 2" xfId="14250"/>
    <cellStyle name="SAPLocked 2 20 2 2 2" xfId="14251"/>
    <cellStyle name="SAPLocked 2 20 2 3" xfId="14252"/>
    <cellStyle name="SAPLocked 2 20 2 3 2" xfId="14253"/>
    <cellStyle name="SAPLocked 2 20 2 4" xfId="14254"/>
    <cellStyle name="SAPLocked 2 20 2 4 2" xfId="14255"/>
    <cellStyle name="SAPLocked 2 20 2 5" xfId="14256"/>
    <cellStyle name="SAPLocked 2 20 2 5 2" xfId="14257"/>
    <cellStyle name="SAPLocked 2 20 2 6" xfId="14258"/>
    <cellStyle name="SAPLocked 2 20 2 6 2" xfId="14259"/>
    <cellStyle name="SAPLocked 2 20 2 7" xfId="14260"/>
    <cellStyle name="SAPLocked 2 20 2 7 2" xfId="14261"/>
    <cellStyle name="SAPLocked 2 20 2 8" xfId="14262"/>
    <cellStyle name="SAPLocked 2 20 2 8 2" xfId="14263"/>
    <cellStyle name="SAPLocked 2 20 2 9" xfId="14264"/>
    <cellStyle name="SAPLocked 2 20 2 9 2" xfId="14265"/>
    <cellStyle name="SAPLocked 2 20 3" xfId="14266"/>
    <cellStyle name="SAPLocked 2 20 3 2" xfId="14267"/>
    <cellStyle name="SAPLocked 2 20 4" xfId="14268"/>
    <cellStyle name="SAPLocked 2 20 4 2" xfId="14269"/>
    <cellStyle name="SAPLocked 2 20 5" xfId="14270"/>
    <cellStyle name="SAPLocked 2 20 5 2" xfId="14271"/>
    <cellStyle name="SAPLocked 2 20 6" xfId="14272"/>
    <cellStyle name="SAPLocked 2 20 6 2" xfId="14273"/>
    <cellStyle name="SAPLocked 2 20 7" xfId="14274"/>
    <cellStyle name="SAPLocked 2 20 7 2" xfId="14275"/>
    <cellStyle name="SAPLocked 2 20 8" xfId="14276"/>
    <cellStyle name="SAPLocked 2 20 8 2" xfId="14277"/>
    <cellStyle name="SAPLocked 2 20 9" xfId="14278"/>
    <cellStyle name="SAPLocked 2 20 9 2" xfId="14279"/>
    <cellStyle name="SAPLocked 2 21" xfId="14280"/>
    <cellStyle name="SAPLocked 2 21 10" xfId="14281"/>
    <cellStyle name="SAPLocked 2 21 10 2" xfId="14282"/>
    <cellStyle name="SAPLocked 2 21 11" xfId="14283"/>
    <cellStyle name="SAPLocked 2 21 11 2" xfId="14284"/>
    <cellStyle name="SAPLocked 2 21 12" xfId="14285"/>
    <cellStyle name="SAPLocked 2 21 2" xfId="14286"/>
    <cellStyle name="SAPLocked 2 21 2 2" xfId="14287"/>
    <cellStyle name="SAPLocked 2 21 3" xfId="14288"/>
    <cellStyle name="SAPLocked 2 21 3 2" xfId="14289"/>
    <cellStyle name="SAPLocked 2 21 4" xfId="14290"/>
    <cellStyle name="SAPLocked 2 21 4 2" xfId="14291"/>
    <cellStyle name="SAPLocked 2 21 5" xfId="14292"/>
    <cellStyle name="SAPLocked 2 21 5 2" xfId="14293"/>
    <cellStyle name="SAPLocked 2 21 6" xfId="14294"/>
    <cellStyle name="SAPLocked 2 21 6 2" xfId="14295"/>
    <cellStyle name="SAPLocked 2 21 7" xfId="14296"/>
    <cellStyle name="SAPLocked 2 21 7 2" xfId="14297"/>
    <cellStyle name="SAPLocked 2 21 8" xfId="14298"/>
    <cellStyle name="SAPLocked 2 21 8 2" xfId="14299"/>
    <cellStyle name="SAPLocked 2 21 9" xfId="14300"/>
    <cellStyle name="SAPLocked 2 21 9 2" xfId="14301"/>
    <cellStyle name="SAPLocked 2 22" xfId="14302"/>
    <cellStyle name="SAPLocked 2 22 2" xfId="14303"/>
    <cellStyle name="SAPLocked 2 23" xfId="14304"/>
    <cellStyle name="SAPLocked 2 23 2" xfId="14305"/>
    <cellStyle name="SAPLocked 2 24" xfId="14306"/>
    <cellStyle name="SAPLocked 2 24 2" xfId="14307"/>
    <cellStyle name="SAPLocked 2 25" xfId="14308"/>
    <cellStyle name="SAPLocked 2 25 2" xfId="14309"/>
    <cellStyle name="SAPLocked 2 26" xfId="14310"/>
    <cellStyle name="SAPLocked 2 26 2" xfId="14311"/>
    <cellStyle name="SAPLocked 2 27" xfId="14312"/>
    <cellStyle name="SAPLocked 2 27 2" xfId="14313"/>
    <cellStyle name="SAPLocked 2 28" xfId="14314"/>
    <cellStyle name="SAPLocked 2 28 2" xfId="14315"/>
    <cellStyle name="SAPLocked 2 29" xfId="14316"/>
    <cellStyle name="SAPLocked 2 29 2" xfId="14317"/>
    <cellStyle name="SAPLocked 2 3" xfId="14318"/>
    <cellStyle name="SAPLocked 2 3 10" xfId="14319"/>
    <cellStyle name="SAPLocked 2 3 10 2" xfId="14320"/>
    <cellStyle name="SAPLocked 2 3 11" xfId="14321"/>
    <cellStyle name="SAPLocked 2 3 11 2" xfId="14322"/>
    <cellStyle name="SAPLocked 2 3 12" xfId="14323"/>
    <cellStyle name="SAPLocked 2 3 12 2" xfId="14324"/>
    <cellStyle name="SAPLocked 2 3 13" xfId="14325"/>
    <cellStyle name="SAPLocked 2 3 2" xfId="14326"/>
    <cellStyle name="SAPLocked 2 3 2 10" xfId="14327"/>
    <cellStyle name="SAPLocked 2 3 2 10 2" xfId="14328"/>
    <cellStyle name="SAPLocked 2 3 2 11" xfId="14329"/>
    <cellStyle name="SAPLocked 2 3 2 11 2" xfId="14330"/>
    <cellStyle name="SAPLocked 2 3 2 12" xfId="14331"/>
    <cellStyle name="SAPLocked 2 3 2 2" xfId="14332"/>
    <cellStyle name="SAPLocked 2 3 2 2 2" xfId="14333"/>
    <cellStyle name="SAPLocked 2 3 2 3" xfId="14334"/>
    <cellStyle name="SAPLocked 2 3 2 3 2" xfId="14335"/>
    <cellStyle name="SAPLocked 2 3 2 4" xfId="14336"/>
    <cellStyle name="SAPLocked 2 3 2 4 2" xfId="14337"/>
    <cellStyle name="SAPLocked 2 3 2 5" xfId="14338"/>
    <cellStyle name="SAPLocked 2 3 2 5 2" xfId="14339"/>
    <cellStyle name="SAPLocked 2 3 2 6" xfId="14340"/>
    <cellStyle name="SAPLocked 2 3 2 6 2" xfId="14341"/>
    <cellStyle name="SAPLocked 2 3 2 7" xfId="14342"/>
    <cellStyle name="SAPLocked 2 3 2 7 2" xfId="14343"/>
    <cellStyle name="SAPLocked 2 3 2 8" xfId="14344"/>
    <cellStyle name="SAPLocked 2 3 2 8 2" xfId="14345"/>
    <cellStyle name="SAPLocked 2 3 2 9" xfId="14346"/>
    <cellStyle name="SAPLocked 2 3 2 9 2" xfId="14347"/>
    <cellStyle name="SAPLocked 2 3 3" xfId="14348"/>
    <cellStyle name="SAPLocked 2 3 3 2" xfId="14349"/>
    <cellStyle name="SAPLocked 2 3 4" xfId="14350"/>
    <cellStyle name="SAPLocked 2 3 4 2" xfId="14351"/>
    <cellStyle name="SAPLocked 2 3 5" xfId="14352"/>
    <cellStyle name="SAPLocked 2 3 5 2" xfId="14353"/>
    <cellStyle name="SAPLocked 2 3 6" xfId="14354"/>
    <cellStyle name="SAPLocked 2 3 6 2" xfId="14355"/>
    <cellStyle name="SAPLocked 2 3 7" xfId="14356"/>
    <cellStyle name="SAPLocked 2 3 7 2" xfId="14357"/>
    <cellStyle name="SAPLocked 2 3 8" xfId="14358"/>
    <cellStyle name="SAPLocked 2 3 8 2" xfId="14359"/>
    <cellStyle name="SAPLocked 2 3 9" xfId="14360"/>
    <cellStyle name="SAPLocked 2 3 9 2" xfId="14361"/>
    <cellStyle name="SAPLocked 2 30" xfId="14362"/>
    <cellStyle name="SAPLocked 2 4" xfId="14363"/>
    <cellStyle name="SAPLocked 2 4 10" xfId="14364"/>
    <cellStyle name="SAPLocked 2 4 10 2" xfId="14365"/>
    <cellStyle name="SAPLocked 2 4 11" xfId="14366"/>
    <cellStyle name="SAPLocked 2 4 11 2" xfId="14367"/>
    <cellStyle name="SAPLocked 2 4 12" xfId="14368"/>
    <cellStyle name="SAPLocked 2 4 12 2" xfId="14369"/>
    <cellStyle name="SAPLocked 2 4 13" xfId="14370"/>
    <cellStyle name="SAPLocked 2 4 2" xfId="14371"/>
    <cellStyle name="SAPLocked 2 4 2 10" xfId="14372"/>
    <cellStyle name="SAPLocked 2 4 2 10 2" xfId="14373"/>
    <cellStyle name="SAPLocked 2 4 2 11" xfId="14374"/>
    <cellStyle name="SAPLocked 2 4 2 11 2" xfId="14375"/>
    <cellStyle name="SAPLocked 2 4 2 12" xfId="14376"/>
    <cellStyle name="SAPLocked 2 4 2 2" xfId="14377"/>
    <cellStyle name="SAPLocked 2 4 2 2 2" xfId="14378"/>
    <cellStyle name="SAPLocked 2 4 2 3" xfId="14379"/>
    <cellStyle name="SAPLocked 2 4 2 3 2" xfId="14380"/>
    <cellStyle name="SAPLocked 2 4 2 4" xfId="14381"/>
    <cellStyle name="SAPLocked 2 4 2 4 2" xfId="14382"/>
    <cellStyle name="SAPLocked 2 4 2 5" xfId="14383"/>
    <cellStyle name="SAPLocked 2 4 2 5 2" xfId="14384"/>
    <cellStyle name="SAPLocked 2 4 2 6" xfId="14385"/>
    <cellStyle name="SAPLocked 2 4 2 6 2" xfId="14386"/>
    <cellStyle name="SAPLocked 2 4 2 7" xfId="14387"/>
    <cellStyle name="SAPLocked 2 4 2 7 2" xfId="14388"/>
    <cellStyle name="SAPLocked 2 4 2 8" xfId="14389"/>
    <cellStyle name="SAPLocked 2 4 2 8 2" xfId="14390"/>
    <cellStyle name="SAPLocked 2 4 2 9" xfId="14391"/>
    <cellStyle name="SAPLocked 2 4 2 9 2" xfId="14392"/>
    <cellStyle name="SAPLocked 2 4 3" xfId="14393"/>
    <cellStyle name="SAPLocked 2 4 3 2" xfId="14394"/>
    <cellStyle name="SAPLocked 2 4 4" xfId="14395"/>
    <cellStyle name="SAPLocked 2 4 4 2" xfId="14396"/>
    <cellStyle name="SAPLocked 2 4 5" xfId="14397"/>
    <cellStyle name="SAPLocked 2 4 5 2" xfId="14398"/>
    <cellStyle name="SAPLocked 2 4 6" xfId="14399"/>
    <cellStyle name="SAPLocked 2 4 6 2" xfId="14400"/>
    <cellStyle name="SAPLocked 2 4 7" xfId="14401"/>
    <cellStyle name="SAPLocked 2 4 7 2" xfId="14402"/>
    <cellStyle name="SAPLocked 2 4 8" xfId="14403"/>
    <cellStyle name="SAPLocked 2 4 8 2" xfId="14404"/>
    <cellStyle name="SAPLocked 2 4 9" xfId="14405"/>
    <cellStyle name="SAPLocked 2 4 9 2" xfId="14406"/>
    <cellStyle name="SAPLocked 2 5" xfId="14407"/>
    <cellStyle name="SAPLocked 2 5 10" xfId="14408"/>
    <cellStyle name="SAPLocked 2 5 10 2" xfId="14409"/>
    <cellStyle name="SAPLocked 2 5 11" xfId="14410"/>
    <cellStyle name="SAPLocked 2 5 11 2" xfId="14411"/>
    <cellStyle name="SAPLocked 2 5 12" xfId="14412"/>
    <cellStyle name="SAPLocked 2 5 12 2" xfId="14413"/>
    <cellStyle name="SAPLocked 2 5 13" xfId="14414"/>
    <cellStyle name="SAPLocked 2 5 2" xfId="14415"/>
    <cellStyle name="SAPLocked 2 5 2 10" xfId="14416"/>
    <cellStyle name="SAPLocked 2 5 2 10 2" xfId="14417"/>
    <cellStyle name="SAPLocked 2 5 2 11" xfId="14418"/>
    <cellStyle name="SAPLocked 2 5 2 11 2" xfId="14419"/>
    <cellStyle name="SAPLocked 2 5 2 12" xfId="14420"/>
    <cellStyle name="SAPLocked 2 5 2 2" xfId="14421"/>
    <cellStyle name="SAPLocked 2 5 2 2 2" xfId="14422"/>
    <cellStyle name="SAPLocked 2 5 2 3" xfId="14423"/>
    <cellStyle name="SAPLocked 2 5 2 3 2" xfId="14424"/>
    <cellStyle name="SAPLocked 2 5 2 4" xfId="14425"/>
    <cellStyle name="SAPLocked 2 5 2 4 2" xfId="14426"/>
    <cellStyle name="SAPLocked 2 5 2 5" xfId="14427"/>
    <cellStyle name="SAPLocked 2 5 2 5 2" xfId="14428"/>
    <cellStyle name="SAPLocked 2 5 2 6" xfId="14429"/>
    <cellStyle name="SAPLocked 2 5 2 6 2" xfId="14430"/>
    <cellStyle name="SAPLocked 2 5 2 7" xfId="14431"/>
    <cellStyle name="SAPLocked 2 5 2 7 2" xfId="14432"/>
    <cellStyle name="SAPLocked 2 5 2 8" xfId="14433"/>
    <cellStyle name="SAPLocked 2 5 2 8 2" xfId="14434"/>
    <cellStyle name="SAPLocked 2 5 2 9" xfId="14435"/>
    <cellStyle name="SAPLocked 2 5 2 9 2" xfId="14436"/>
    <cellStyle name="SAPLocked 2 5 3" xfId="14437"/>
    <cellStyle name="SAPLocked 2 5 3 2" xfId="14438"/>
    <cellStyle name="SAPLocked 2 5 4" xfId="14439"/>
    <cellStyle name="SAPLocked 2 5 4 2" xfId="14440"/>
    <cellStyle name="SAPLocked 2 5 5" xfId="14441"/>
    <cellStyle name="SAPLocked 2 5 5 2" xfId="14442"/>
    <cellStyle name="SAPLocked 2 5 6" xfId="14443"/>
    <cellStyle name="SAPLocked 2 5 6 2" xfId="14444"/>
    <cellStyle name="SAPLocked 2 5 7" xfId="14445"/>
    <cellStyle name="SAPLocked 2 5 7 2" xfId="14446"/>
    <cellStyle name="SAPLocked 2 5 8" xfId="14447"/>
    <cellStyle name="SAPLocked 2 5 8 2" xfId="14448"/>
    <cellStyle name="SAPLocked 2 5 9" xfId="14449"/>
    <cellStyle name="SAPLocked 2 5 9 2" xfId="14450"/>
    <cellStyle name="SAPLocked 2 6" xfId="14451"/>
    <cellStyle name="SAPLocked 2 6 10" xfId="14452"/>
    <cellStyle name="SAPLocked 2 6 10 2" xfId="14453"/>
    <cellStyle name="SAPLocked 2 6 11" xfId="14454"/>
    <cellStyle name="SAPLocked 2 6 11 2" xfId="14455"/>
    <cellStyle name="SAPLocked 2 6 12" xfId="14456"/>
    <cellStyle name="SAPLocked 2 6 12 2" xfId="14457"/>
    <cellStyle name="SAPLocked 2 6 13" xfId="14458"/>
    <cellStyle name="SAPLocked 2 6 2" xfId="14459"/>
    <cellStyle name="SAPLocked 2 6 2 10" xfId="14460"/>
    <cellStyle name="SAPLocked 2 6 2 10 2" xfId="14461"/>
    <cellStyle name="SAPLocked 2 6 2 11" xfId="14462"/>
    <cellStyle name="SAPLocked 2 6 2 11 2" xfId="14463"/>
    <cellStyle name="SAPLocked 2 6 2 12" xfId="14464"/>
    <cellStyle name="SAPLocked 2 6 2 2" xfId="14465"/>
    <cellStyle name="SAPLocked 2 6 2 2 2" xfId="14466"/>
    <cellStyle name="SAPLocked 2 6 2 3" xfId="14467"/>
    <cellStyle name="SAPLocked 2 6 2 3 2" xfId="14468"/>
    <cellStyle name="SAPLocked 2 6 2 4" xfId="14469"/>
    <cellStyle name="SAPLocked 2 6 2 4 2" xfId="14470"/>
    <cellStyle name="SAPLocked 2 6 2 5" xfId="14471"/>
    <cellStyle name="SAPLocked 2 6 2 5 2" xfId="14472"/>
    <cellStyle name="SAPLocked 2 6 2 6" xfId="14473"/>
    <cellStyle name="SAPLocked 2 6 2 6 2" xfId="14474"/>
    <cellStyle name="SAPLocked 2 6 2 7" xfId="14475"/>
    <cellStyle name="SAPLocked 2 6 2 7 2" xfId="14476"/>
    <cellStyle name="SAPLocked 2 6 2 8" xfId="14477"/>
    <cellStyle name="SAPLocked 2 6 2 8 2" xfId="14478"/>
    <cellStyle name="SAPLocked 2 6 2 9" xfId="14479"/>
    <cellStyle name="SAPLocked 2 6 2 9 2" xfId="14480"/>
    <cellStyle name="SAPLocked 2 6 3" xfId="14481"/>
    <cellStyle name="SAPLocked 2 6 3 2" xfId="14482"/>
    <cellStyle name="SAPLocked 2 6 4" xfId="14483"/>
    <cellStyle name="SAPLocked 2 6 4 2" xfId="14484"/>
    <cellStyle name="SAPLocked 2 6 5" xfId="14485"/>
    <cellStyle name="SAPLocked 2 6 5 2" xfId="14486"/>
    <cellStyle name="SAPLocked 2 6 6" xfId="14487"/>
    <cellStyle name="SAPLocked 2 6 6 2" xfId="14488"/>
    <cellStyle name="SAPLocked 2 6 7" xfId="14489"/>
    <cellStyle name="SAPLocked 2 6 7 2" xfId="14490"/>
    <cellStyle name="SAPLocked 2 6 8" xfId="14491"/>
    <cellStyle name="SAPLocked 2 6 8 2" xfId="14492"/>
    <cellStyle name="SAPLocked 2 6 9" xfId="14493"/>
    <cellStyle name="SAPLocked 2 6 9 2" xfId="14494"/>
    <cellStyle name="SAPLocked 2 7" xfId="14495"/>
    <cellStyle name="SAPLocked 2 7 10" xfId="14496"/>
    <cellStyle name="SAPLocked 2 7 10 2" xfId="14497"/>
    <cellStyle name="SAPLocked 2 7 11" xfId="14498"/>
    <cellStyle name="SAPLocked 2 7 11 2" xfId="14499"/>
    <cellStyle name="SAPLocked 2 7 12" xfId="14500"/>
    <cellStyle name="SAPLocked 2 7 12 2" xfId="14501"/>
    <cellStyle name="SAPLocked 2 7 13" xfId="14502"/>
    <cellStyle name="SAPLocked 2 7 2" xfId="14503"/>
    <cellStyle name="SAPLocked 2 7 2 10" xfId="14504"/>
    <cellStyle name="SAPLocked 2 7 2 10 2" xfId="14505"/>
    <cellStyle name="SAPLocked 2 7 2 11" xfId="14506"/>
    <cellStyle name="SAPLocked 2 7 2 11 2" xfId="14507"/>
    <cellStyle name="SAPLocked 2 7 2 12" xfId="14508"/>
    <cellStyle name="SAPLocked 2 7 2 2" xfId="14509"/>
    <cellStyle name="SAPLocked 2 7 2 2 2" xfId="14510"/>
    <cellStyle name="SAPLocked 2 7 2 3" xfId="14511"/>
    <cellStyle name="SAPLocked 2 7 2 3 2" xfId="14512"/>
    <cellStyle name="SAPLocked 2 7 2 4" xfId="14513"/>
    <cellStyle name="SAPLocked 2 7 2 4 2" xfId="14514"/>
    <cellStyle name="SAPLocked 2 7 2 5" xfId="14515"/>
    <cellStyle name="SAPLocked 2 7 2 5 2" xfId="14516"/>
    <cellStyle name="SAPLocked 2 7 2 6" xfId="14517"/>
    <cellStyle name="SAPLocked 2 7 2 6 2" xfId="14518"/>
    <cellStyle name="SAPLocked 2 7 2 7" xfId="14519"/>
    <cellStyle name="SAPLocked 2 7 2 7 2" xfId="14520"/>
    <cellStyle name="SAPLocked 2 7 2 8" xfId="14521"/>
    <cellStyle name="SAPLocked 2 7 2 8 2" xfId="14522"/>
    <cellStyle name="SAPLocked 2 7 2 9" xfId="14523"/>
    <cellStyle name="SAPLocked 2 7 2 9 2" xfId="14524"/>
    <cellStyle name="SAPLocked 2 7 3" xfId="14525"/>
    <cellStyle name="SAPLocked 2 7 3 2" xfId="14526"/>
    <cellStyle name="SAPLocked 2 7 4" xfId="14527"/>
    <cellStyle name="SAPLocked 2 7 4 2" xfId="14528"/>
    <cellStyle name="SAPLocked 2 7 5" xfId="14529"/>
    <cellStyle name="SAPLocked 2 7 5 2" xfId="14530"/>
    <cellStyle name="SAPLocked 2 7 6" xfId="14531"/>
    <cellStyle name="SAPLocked 2 7 6 2" xfId="14532"/>
    <cellStyle name="SAPLocked 2 7 7" xfId="14533"/>
    <cellStyle name="SAPLocked 2 7 7 2" xfId="14534"/>
    <cellStyle name="SAPLocked 2 7 8" xfId="14535"/>
    <cellStyle name="SAPLocked 2 7 8 2" xfId="14536"/>
    <cellStyle name="SAPLocked 2 7 9" xfId="14537"/>
    <cellStyle name="SAPLocked 2 7 9 2" xfId="14538"/>
    <cellStyle name="SAPLocked 2 8" xfId="14539"/>
    <cellStyle name="SAPLocked 2 8 10" xfId="14540"/>
    <cellStyle name="SAPLocked 2 8 10 2" xfId="14541"/>
    <cellStyle name="SAPLocked 2 8 11" xfId="14542"/>
    <cellStyle name="SAPLocked 2 8 11 2" xfId="14543"/>
    <cellStyle name="SAPLocked 2 8 12" xfId="14544"/>
    <cellStyle name="SAPLocked 2 8 12 2" xfId="14545"/>
    <cellStyle name="SAPLocked 2 8 13" xfId="14546"/>
    <cellStyle name="SAPLocked 2 8 2" xfId="14547"/>
    <cellStyle name="SAPLocked 2 8 2 10" xfId="14548"/>
    <cellStyle name="SAPLocked 2 8 2 10 2" xfId="14549"/>
    <cellStyle name="SAPLocked 2 8 2 11" xfId="14550"/>
    <cellStyle name="SAPLocked 2 8 2 11 2" xfId="14551"/>
    <cellStyle name="SAPLocked 2 8 2 12" xfId="14552"/>
    <cellStyle name="SAPLocked 2 8 2 2" xfId="14553"/>
    <cellStyle name="SAPLocked 2 8 2 2 2" xfId="14554"/>
    <cellStyle name="SAPLocked 2 8 2 3" xfId="14555"/>
    <cellStyle name="SAPLocked 2 8 2 3 2" xfId="14556"/>
    <cellStyle name="SAPLocked 2 8 2 4" xfId="14557"/>
    <cellStyle name="SAPLocked 2 8 2 4 2" xfId="14558"/>
    <cellStyle name="SAPLocked 2 8 2 5" xfId="14559"/>
    <cellStyle name="SAPLocked 2 8 2 5 2" xfId="14560"/>
    <cellStyle name="SAPLocked 2 8 2 6" xfId="14561"/>
    <cellStyle name="SAPLocked 2 8 2 6 2" xfId="14562"/>
    <cellStyle name="SAPLocked 2 8 2 7" xfId="14563"/>
    <cellStyle name="SAPLocked 2 8 2 7 2" xfId="14564"/>
    <cellStyle name="SAPLocked 2 8 2 8" xfId="14565"/>
    <cellStyle name="SAPLocked 2 8 2 8 2" xfId="14566"/>
    <cellStyle name="SAPLocked 2 8 2 9" xfId="14567"/>
    <cellStyle name="SAPLocked 2 8 2 9 2" xfId="14568"/>
    <cellStyle name="SAPLocked 2 8 3" xfId="14569"/>
    <cellStyle name="SAPLocked 2 8 3 2" xfId="14570"/>
    <cellStyle name="SAPLocked 2 8 4" xfId="14571"/>
    <cellStyle name="SAPLocked 2 8 4 2" xfId="14572"/>
    <cellStyle name="SAPLocked 2 8 5" xfId="14573"/>
    <cellStyle name="SAPLocked 2 8 5 2" xfId="14574"/>
    <cellStyle name="SAPLocked 2 8 6" xfId="14575"/>
    <cellStyle name="SAPLocked 2 8 6 2" xfId="14576"/>
    <cellStyle name="SAPLocked 2 8 7" xfId="14577"/>
    <cellStyle name="SAPLocked 2 8 7 2" xfId="14578"/>
    <cellStyle name="SAPLocked 2 8 8" xfId="14579"/>
    <cellStyle name="SAPLocked 2 8 8 2" xfId="14580"/>
    <cellStyle name="SAPLocked 2 8 9" xfId="14581"/>
    <cellStyle name="SAPLocked 2 8 9 2" xfId="14582"/>
    <cellStyle name="SAPLocked 2 9" xfId="14583"/>
    <cellStyle name="SAPLocked 2 9 10" xfId="14584"/>
    <cellStyle name="SAPLocked 2 9 10 2" xfId="14585"/>
    <cellStyle name="SAPLocked 2 9 11" xfId="14586"/>
    <cellStyle name="SAPLocked 2 9 11 2" xfId="14587"/>
    <cellStyle name="SAPLocked 2 9 12" xfId="14588"/>
    <cellStyle name="SAPLocked 2 9 12 2" xfId="14589"/>
    <cellStyle name="SAPLocked 2 9 13" xfId="14590"/>
    <cellStyle name="SAPLocked 2 9 2" xfId="14591"/>
    <cellStyle name="SAPLocked 2 9 2 10" xfId="14592"/>
    <cellStyle name="SAPLocked 2 9 2 10 2" xfId="14593"/>
    <cellStyle name="SAPLocked 2 9 2 11" xfId="14594"/>
    <cellStyle name="SAPLocked 2 9 2 11 2" xfId="14595"/>
    <cellStyle name="SAPLocked 2 9 2 12" xfId="14596"/>
    <cellStyle name="SAPLocked 2 9 2 2" xfId="14597"/>
    <cellStyle name="SAPLocked 2 9 2 2 2" xfId="14598"/>
    <cellStyle name="SAPLocked 2 9 2 3" xfId="14599"/>
    <cellStyle name="SAPLocked 2 9 2 3 2" xfId="14600"/>
    <cellStyle name="SAPLocked 2 9 2 4" xfId="14601"/>
    <cellStyle name="SAPLocked 2 9 2 4 2" xfId="14602"/>
    <cellStyle name="SAPLocked 2 9 2 5" xfId="14603"/>
    <cellStyle name="SAPLocked 2 9 2 5 2" xfId="14604"/>
    <cellStyle name="SAPLocked 2 9 2 6" xfId="14605"/>
    <cellStyle name="SAPLocked 2 9 2 6 2" xfId="14606"/>
    <cellStyle name="SAPLocked 2 9 2 7" xfId="14607"/>
    <cellStyle name="SAPLocked 2 9 2 7 2" xfId="14608"/>
    <cellStyle name="SAPLocked 2 9 2 8" xfId="14609"/>
    <cellStyle name="SAPLocked 2 9 2 8 2" xfId="14610"/>
    <cellStyle name="SAPLocked 2 9 2 9" xfId="14611"/>
    <cellStyle name="SAPLocked 2 9 2 9 2" xfId="14612"/>
    <cellStyle name="SAPLocked 2 9 3" xfId="14613"/>
    <cellStyle name="SAPLocked 2 9 3 2" xfId="14614"/>
    <cellStyle name="SAPLocked 2 9 4" xfId="14615"/>
    <cellStyle name="SAPLocked 2 9 4 2" xfId="14616"/>
    <cellStyle name="SAPLocked 2 9 5" xfId="14617"/>
    <cellStyle name="SAPLocked 2 9 5 2" xfId="14618"/>
    <cellStyle name="SAPLocked 2 9 6" xfId="14619"/>
    <cellStyle name="SAPLocked 2 9 6 2" xfId="14620"/>
    <cellStyle name="SAPLocked 2 9 7" xfId="14621"/>
    <cellStyle name="SAPLocked 2 9 7 2" xfId="14622"/>
    <cellStyle name="SAPLocked 2 9 8" xfId="14623"/>
    <cellStyle name="SAPLocked 2 9 8 2" xfId="14624"/>
    <cellStyle name="SAPLocked 2 9 9" xfId="14625"/>
    <cellStyle name="SAPLocked 2 9 9 2" xfId="14626"/>
    <cellStyle name="SAPLocked 20" xfId="14627"/>
    <cellStyle name="SAPLocked 20 10" xfId="14628"/>
    <cellStyle name="SAPLocked 20 10 2" xfId="14629"/>
    <cellStyle name="SAPLocked 20 11" xfId="14630"/>
    <cellStyle name="SAPLocked 20 11 2" xfId="14631"/>
    <cellStyle name="SAPLocked 20 12" xfId="14632"/>
    <cellStyle name="SAPLocked 20 12 2" xfId="14633"/>
    <cellStyle name="SAPLocked 20 13" xfId="14634"/>
    <cellStyle name="SAPLocked 20 2" xfId="14635"/>
    <cellStyle name="SAPLocked 20 2 10" xfId="14636"/>
    <cellStyle name="SAPLocked 20 2 10 2" xfId="14637"/>
    <cellStyle name="SAPLocked 20 2 11" xfId="14638"/>
    <cellStyle name="SAPLocked 20 2 11 2" xfId="14639"/>
    <cellStyle name="SAPLocked 20 2 12" xfId="14640"/>
    <cellStyle name="SAPLocked 20 2 2" xfId="14641"/>
    <cellStyle name="SAPLocked 20 2 2 2" xfId="14642"/>
    <cellStyle name="SAPLocked 20 2 3" xfId="14643"/>
    <cellStyle name="SAPLocked 20 2 3 2" xfId="14644"/>
    <cellStyle name="SAPLocked 20 2 4" xfId="14645"/>
    <cellStyle name="SAPLocked 20 2 4 2" xfId="14646"/>
    <cellStyle name="SAPLocked 20 2 5" xfId="14647"/>
    <cellStyle name="SAPLocked 20 2 5 2" xfId="14648"/>
    <cellStyle name="SAPLocked 20 2 6" xfId="14649"/>
    <cellStyle name="SAPLocked 20 2 6 2" xfId="14650"/>
    <cellStyle name="SAPLocked 20 2 7" xfId="14651"/>
    <cellStyle name="SAPLocked 20 2 7 2" xfId="14652"/>
    <cellStyle name="SAPLocked 20 2 8" xfId="14653"/>
    <cellStyle name="SAPLocked 20 2 8 2" xfId="14654"/>
    <cellStyle name="SAPLocked 20 2 9" xfId="14655"/>
    <cellStyle name="SAPLocked 20 2 9 2" xfId="14656"/>
    <cellStyle name="SAPLocked 20 3" xfId="14657"/>
    <cellStyle name="SAPLocked 20 3 2" xfId="14658"/>
    <cellStyle name="SAPLocked 20 4" xfId="14659"/>
    <cellStyle name="SAPLocked 20 4 2" xfId="14660"/>
    <cellStyle name="SAPLocked 20 5" xfId="14661"/>
    <cellStyle name="SAPLocked 20 5 2" xfId="14662"/>
    <cellStyle name="SAPLocked 20 6" xfId="14663"/>
    <cellStyle name="SAPLocked 20 6 2" xfId="14664"/>
    <cellStyle name="SAPLocked 20 7" xfId="14665"/>
    <cellStyle name="SAPLocked 20 7 2" xfId="14666"/>
    <cellStyle name="SAPLocked 20 8" xfId="14667"/>
    <cellStyle name="SAPLocked 20 8 2" xfId="14668"/>
    <cellStyle name="SAPLocked 20 9" xfId="14669"/>
    <cellStyle name="SAPLocked 20 9 2" xfId="14670"/>
    <cellStyle name="SAPLocked 21" xfId="14671"/>
    <cellStyle name="SAPLocked 21 10" xfId="14672"/>
    <cellStyle name="SAPLocked 21 10 2" xfId="14673"/>
    <cellStyle name="SAPLocked 21 11" xfId="14674"/>
    <cellStyle name="SAPLocked 21 11 2" xfId="14675"/>
    <cellStyle name="SAPLocked 21 12" xfId="14676"/>
    <cellStyle name="SAPLocked 21 12 2" xfId="14677"/>
    <cellStyle name="SAPLocked 21 13" xfId="14678"/>
    <cellStyle name="SAPLocked 21 2" xfId="14679"/>
    <cellStyle name="SAPLocked 21 2 10" xfId="14680"/>
    <cellStyle name="SAPLocked 21 2 10 2" xfId="14681"/>
    <cellStyle name="SAPLocked 21 2 11" xfId="14682"/>
    <cellStyle name="SAPLocked 21 2 11 2" xfId="14683"/>
    <cellStyle name="SAPLocked 21 2 12" xfId="14684"/>
    <cellStyle name="SAPLocked 21 2 2" xfId="14685"/>
    <cellStyle name="SAPLocked 21 2 2 2" xfId="14686"/>
    <cellStyle name="SAPLocked 21 2 3" xfId="14687"/>
    <cellStyle name="SAPLocked 21 2 3 2" xfId="14688"/>
    <cellStyle name="SAPLocked 21 2 4" xfId="14689"/>
    <cellStyle name="SAPLocked 21 2 4 2" xfId="14690"/>
    <cellStyle name="SAPLocked 21 2 5" xfId="14691"/>
    <cellStyle name="SAPLocked 21 2 5 2" xfId="14692"/>
    <cellStyle name="SAPLocked 21 2 6" xfId="14693"/>
    <cellStyle name="SAPLocked 21 2 6 2" xfId="14694"/>
    <cellStyle name="SAPLocked 21 2 7" xfId="14695"/>
    <cellStyle name="SAPLocked 21 2 7 2" xfId="14696"/>
    <cellStyle name="SAPLocked 21 2 8" xfId="14697"/>
    <cellStyle name="SAPLocked 21 2 8 2" xfId="14698"/>
    <cellStyle name="SAPLocked 21 2 9" xfId="14699"/>
    <cellStyle name="SAPLocked 21 2 9 2" xfId="14700"/>
    <cellStyle name="SAPLocked 21 3" xfId="14701"/>
    <cellStyle name="SAPLocked 21 3 2" xfId="14702"/>
    <cellStyle name="SAPLocked 21 4" xfId="14703"/>
    <cellStyle name="SAPLocked 21 4 2" xfId="14704"/>
    <cellStyle name="SAPLocked 21 5" xfId="14705"/>
    <cellStyle name="SAPLocked 21 5 2" xfId="14706"/>
    <cellStyle name="SAPLocked 21 6" xfId="14707"/>
    <cellStyle name="SAPLocked 21 6 2" xfId="14708"/>
    <cellStyle name="SAPLocked 21 7" xfId="14709"/>
    <cellStyle name="SAPLocked 21 7 2" xfId="14710"/>
    <cellStyle name="SAPLocked 21 8" xfId="14711"/>
    <cellStyle name="SAPLocked 21 8 2" xfId="14712"/>
    <cellStyle name="SAPLocked 21 9" xfId="14713"/>
    <cellStyle name="SAPLocked 21 9 2" xfId="14714"/>
    <cellStyle name="SAPLocked 22" xfId="14715"/>
    <cellStyle name="SAPLocked 22 10" xfId="14716"/>
    <cellStyle name="SAPLocked 22 10 2" xfId="14717"/>
    <cellStyle name="SAPLocked 22 11" xfId="14718"/>
    <cellStyle name="SAPLocked 22 11 2" xfId="14719"/>
    <cellStyle name="SAPLocked 22 12" xfId="14720"/>
    <cellStyle name="SAPLocked 22 2" xfId="14721"/>
    <cellStyle name="SAPLocked 22 2 2" xfId="14722"/>
    <cellStyle name="SAPLocked 22 3" xfId="14723"/>
    <cellStyle name="SAPLocked 22 3 2" xfId="14724"/>
    <cellStyle name="SAPLocked 22 4" xfId="14725"/>
    <cellStyle name="SAPLocked 22 4 2" xfId="14726"/>
    <cellStyle name="SAPLocked 22 5" xfId="14727"/>
    <cellStyle name="SAPLocked 22 5 2" xfId="14728"/>
    <cellStyle name="SAPLocked 22 6" xfId="14729"/>
    <cellStyle name="SAPLocked 22 6 2" xfId="14730"/>
    <cellStyle name="SAPLocked 22 7" xfId="14731"/>
    <cellStyle name="SAPLocked 22 7 2" xfId="14732"/>
    <cellStyle name="SAPLocked 22 8" xfId="14733"/>
    <cellStyle name="SAPLocked 22 8 2" xfId="14734"/>
    <cellStyle name="SAPLocked 22 9" xfId="14735"/>
    <cellStyle name="SAPLocked 22 9 2" xfId="14736"/>
    <cellStyle name="SAPLocked 23" xfId="14737"/>
    <cellStyle name="SAPLocked 23 2" xfId="14738"/>
    <cellStyle name="SAPLocked 24" xfId="14739"/>
    <cellStyle name="SAPLocked 24 2" xfId="14740"/>
    <cellStyle name="SAPLocked 25" xfId="14741"/>
    <cellStyle name="SAPLocked 25 2" xfId="14742"/>
    <cellStyle name="SAPLocked 26" xfId="14743"/>
    <cellStyle name="SAPLocked 26 2" xfId="14744"/>
    <cellStyle name="SAPLocked 27" xfId="14745"/>
    <cellStyle name="SAPLocked 27 2" xfId="14746"/>
    <cellStyle name="SAPLocked 28" xfId="14747"/>
    <cellStyle name="SAPLocked 28 2" xfId="14748"/>
    <cellStyle name="SAPLocked 29" xfId="14749"/>
    <cellStyle name="SAPLocked 29 2" xfId="14750"/>
    <cellStyle name="SAPLocked 3" xfId="14751"/>
    <cellStyle name="SAPLocked 3 10" xfId="14752"/>
    <cellStyle name="SAPLocked 3 10 2" xfId="14753"/>
    <cellStyle name="SAPLocked 3 11" xfId="14754"/>
    <cellStyle name="SAPLocked 3 11 2" xfId="14755"/>
    <cellStyle name="SAPLocked 3 12" xfId="14756"/>
    <cellStyle name="SAPLocked 3 12 2" xfId="14757"/>
    <cellStyle name="SAPLocked 3 13" xfId="14758"/>
    <cellStyle name="SAPLocked 3 2" xfId="14759"/>
    <cellStyle name="SAPLocked 3 2 10" xfId="14760"/>
    <cellStyle name="SAPLocked 3 2 10 2" xfId="14761"/>
    <cellStyle name="SAPLocked 3 2 11" xfId="14762"/>
    <cellStyle name="SAPLocked 3 2 11 2" xfId="14763"/>
    <cellStyle name="SAPLocked 3 2 12" xfId="14764"/>
    <cellStyle name="SAPLocked 3 2 2" xfId="14765"/>
    <cellStyle name="SAPLocked 3 2 2 2" xfId="14766"/>
    <cellStyle name="SAPLocked 3 2 3" xfId="14767"/>
    <cellStyle name="SAPLocked 3 2 3 2" xfId="14768"/>
    <cellStyle name="SAPLocked 3 2 4" xfId="14769"/>
    <cellStyle name="SAPLocked 3 2 4 2" xfId="14770"/>
    <cellStyle name="SAPLocked 3 2 5" xfId="14771"/>
    <cellStyle name="SAPLocked 3 2 5 2" xfId="14772"/>
    <cellStyle name="SAPLocked 3 2 6" xfId="14773"/>
    <cellStyle name="SAPLocked 3 2 6 2" xfId="14774"/>
    <cellStyle name="SAPLocked 3 2 7" xfId="14775"/>
    <cellStyle name="SAPLocked 3 2 7 2" xfId="14776"/>
    <cellStyle name="SAPLocked 3 2 8" xfId="14777"/>
    <cellStyle name="SAPLocked 3 2 8 2" xfId="14778"/>
    <cellStyle name="SAPLocked 3 2 9" xfId="14779"/>
    <cellStyle name="SAPLocked 3 2 9 2" xfId="14780"/>
    <cellStyle name="SAPLocked 3 3" xfId="14781"/>
    <cellStyle name="SAPLocked 3 3 2" xfId="14782"/>
    <cellStyle name="SAPLocked 3 4" xfId="14783"/>
    <cellStyle name="SAPLocked 3 4 2" xfId="14784"/>
    <cellStyle name="SAPLocked 3 5" xfId="14785"/>
    <cellStyle name="SAPLocked 3 5 2" xfId="14786"/>
    <cellStyle name="SAPLocked 3 6" xfId="14787"/>
    <cellStyle name="SAPLocked 3 6 2" xfId="14788"/>
    <cellStyle name="SAPLocked 3 7" xfId="14789"/>
    <cellStyle name="SAPLocked 3 7 2" xfId="14790"/>
    <cellStyle name="SAPLocked 3 8" xfId="14791"/>
    <cellStyle name="SAPLocked 3 8 2" xfId="14792"/>
    <cellStyle name="SAPLocked 3 9" xfId="14793"/>
    <cellStyle name="SAPLocked 3 9 2" xfId="14794"/>
    <cellStyle name="SAPLocked 30" xfId="14795"/>
    <cellStyle name="SAPLocked 30 2" xfId="14796"/>
    <cellStyle name="SAPLocked 31" xfId="14797"/>
    <cellStyle name="SAPLocked 4" xfId="14798"/>
    <cellStyle name="SAPLocked 4 10" xfId="14799"/>
    <cellStyle name="SAPLocked 4 10 2" xfId="14800"/>
    <cellStyle name="SAPLocked 4 11" xfId="14801"/>
    <cellStyle name="SAPLocked 4 11 2" xfId="14802"/>
    <cellStyle name="SAPLocked 4 12" xfId="14803"/>
    <cellStyle name="SAPLocked 4 12 2" xfId="14804"/>
    <cellStyle name="SAPLocked 4 13" xfId="14805"/>
    <cellStyle name="SAPLocked 4 2" xfId="14806"/>
    <cellStyle name="SAPLocked 4 2 10" xfId="14807"/>
    <cellStyle name="SAPLocked 4 2 10 2" xfId="14808"/>
    <cellStyle name="SAPLocked 4 2 11" xfId="14809"/>
    <cellStyle name="SAPLocked 4 2 11 2" xfId="14810"/>
    <cellStyle name="SAPLocked 4 2 12" xfId="14811"/>
    <cellStyle name="SAPLocked 4 2 2" xfId="14812"/>
    <cellStyle name="SAPLocked 4 2 2 2" xfId="14813"/>
    <cellStyle name="SAPLocked 4 2 3" xfId="14814"/>
    <cellStyle name="SAPLocked 4 2 3 2" xfId="14815"/>
    <cellStyle name="SAPLocked 4 2 4" xfId="14816"/>
    <cellStyle name="SAPLocked 4 2 4 2" xfId="14817"/>
    <cellStyle name="SAPLocked 4 2 5" xfId="14818"/>
    <cellStyle name="SAPLocked 4 2 5 2" xfId="14819"/>
    <cellStyle name="SAPLocked 4 2 6" xfId="14820"/>
    <cellStyle name="SAPLocked 4 2 6 2" xfId="14821"/>
    <cellStyle name="SAPLocked 4 2 7" xfId="14822"/>
    <cellStyle name="SAPLocked 4 2 7 2" xfId="14823"/>
    <cellStyle name="SAPLocked 4 2 8" xfId="14824"/>
    <cellStyle name="SAPLocked 4 2 8 2" xfId="14825"/>
    <cellStyle name="SAPLocked 4 2 9" xfId="14826"/>
    <cellStyle name="SAPLocked 4 2 9 2" xfId="14827"/>
    <cellStyle name="SAPLocked 4 3" xfId="14828"/>
    <cellStyle name="SAPLocked 4 3 2" xfId="14829"/>
    <cellStyle name="SAPLocked 4 4" xfId="14830"/>
    <cellStyle name="SAPLocked 4 4 2" xfId="14831"/>
    <cellStyle name="SAPLocked 4 5" xfId="14832"/>
    <cellStyle name="SAPLocked 4 5 2" xfId="14833"/>
    <cellStyle name="SAPLocked 4 6" xfId="14834"/>
    <cellStyle name="SAPLocked 4 6 2" xfId="14835"/>
    <cellStyle name="SAPLocked 4 7" xfId="14836"/>
    <cellStyle name="SAPLocked 4 7 2" xfId="14837"/>
    <cellStyle name="SAPLocked 4 8" xfId="14838"/>
    <cellStyle name="SAPLocked 4 8 2" xfId="14839"/>
    <cellStyle name="SAPLocked 4 9" xfId="14840"/>
    <cellStyle name="SAPLocked 4 9 2" xfId="14841"/>
    <cellStyle name="SAPLocked 5" xfId="14842"/>
    <cellStyle name="SAPLocked 5 10" xfId="14843"/>
    <cellStyle name="SAPLocked 5 10 2" xfId="14844"/>
    <cellStyle name="SAPLocked 5 11" xfId="14845"/>
    <cellStyle name="SAPLocked 5 11 2" xfId="14846"/>
    <cellStyle name="SAPLocked 5 12" xfId="14847"/>
    <cellStyle name="SAPLocked 5 12 2" xfId="14848"/>
    <cellStyle name="SAPLocked 5 13" xfId="14849"/>
    <cellStyle name="SAPLocked 5 2" xfId="14850"/>
    <cellStyle name="SAPLocked 5 2 10" xfId="14851"/>
    <cellStyle name="SAPLocked 5 2 10 2" xfId="14852"/>
    <cellStyle name="SAPLocked 5 2 11" xfId="14853"/>
    <cellStyle name="SAPLocked 5 2 11 2" xfId="14854"/>
    <cellStyle name="SAPLocked 5 2 12" xfId="14855"/>
    <cellStyle name="SAPLocked 5 2 2" xfId="14856"/>
    <cellStyle name="SAPLocked 5 2 2 2" xfId="14857"/>
    <cellStyle name="SAPLocked 5 2 3" xfId="14858"/>
    <cellStyle name="SAPLocked 5 2 3 2" xfId="14859"/>
    <cellStyle name="SAPLocked 5 2 4" xfId="14860"/>
    <cellStyle name="SAPLocked 5 2 4 2" xfId="14861"/>
    <cellStyle name="SAPLocked 5 2 5" xfId="14862"/>
    <cellStyle name="SAPLocked 5 2 5 2" xfId="14863"/>
    <cellStyle name="SAPLocked 5 2 6" xfId="14864"/>
    <cellStyle name="SAPLocked 5 2 6 2" xfId="14865"/>
    <cellStyle name="SAPLocked 5 2 7" xfId="14866"/>
    <cellStyle name="SAPLocked 5 2 7 2" xfId="14867"/>
    <cellStyle name="SAPLocked 5 2 8" xfId="14868"/>
    <cellStyle name="SAPLocked 5 2 8 2" xfId="14869"/>
    <cellStyle name="SAPLocked 5 2 9" xfId="14870"/>
    <cellStyle name="SAPLocked 5 2 9 2" xfId="14871"/>
    <cellStyle name="SAPLocked 5 3" xfId="14872"/>
    <cellStyle name="SAPLocked 5 3 2" xfId="14873"/>
    <cellStyle name="SAPLocked 5 4" xfId="14874"/>
    <cellStyle name="SAPLocked 5 4 2" xfId="14875"/>
    <cellStyle name="SAPLocked 5 5" xfId="14876"/>
    <cellStyle name="SAPLocked 5 5 2" xfId="14877"/>
    <cellStyle name="SAPLocked 5 6" xfId="14878"/>
    <cellStyle name="SAPLocked 5 6 2" xfId="14879"/>
    <cellStyle name="SAPLocked 5 7" xfId="14880"/>
    <cellStyle name="SAPLocked 5 7 2" xfId="14881"/>
    <cellStyle name="SAPLocked 5 8" xfId="14882"/>
    <cellStyle name="SAPLocked 5 8 2" xfId="14883"/>
    <cellStyle name="SAPLocked 5 9" xfId="14884"/>
    <cellStyle name="SAPLocked 5 9 2" xfId="14885"/>
    <cellStyle name="SAPLocked 6" xfId="14886"/>
    <cellStyle name="SAPLocked 6 10" xfId="14887"/>
    <cellStyle name="SAPLocked 6 10 2" xfId="14888"/>
    <cellStyle name="SAPLocked 6 11" xfId="14889"/>
    <cellStyle name="SAPLocked 6 11 2" xfId="14890"/>
    <cellStyle name="SAPLocked 6 12" xfId="14891"/>
    <cellStyle name="SAPLocked 6 12 2" xfId="14892"/>
    <cellStyle name="SAPLocked 6 13" xfId="14893"/>
    <cellStyle name="SAPLocked 6 2" xfId="14894"/>
    <cellStyle name="SAPLocked 6 2 10" xfId="14895"/>
    <cellStyle name="SAPLocked 6 2 10 2" xfId="14896"/>
    <cellStyle name="SAPLocked 6 2 11" xfId="14897"/>
    <cellStyle name="SAPLocked 6 2 11 2" xfId="14898"/>
    <cellStyle name="SAPLocked 6 2 12" xfId="14899"/>
    <cellStyle name="SAPLocked 6 2 2" xfId="14900"/>
    <cellStyle name="SAPLocked 6 2 2 2" xfId="14901"/>
    <cellStyle name="SAPLocked 6 2 3" xfId="14902"/>
    <cellStyle name="SAPLocked 6 2 3 2" xfId="14903"/>
    <cellStyle name="SAPLocked 6 2 4" xfId="14904"/>
    <cellStyle name="SAPLocked 6 2 4 2" xfId="14905"/>
    <cellStyle name="SAPLocked 6 2 5" xfId="14906"/>
    <cellStyle name="SAPLocked 6 2 5 2" xfId="14907"/>
    <cellStyle name="SAPLocked 6 2 6" xfId="14908"/>
    <cellStyle name="SAPLocked 6 2 6 2" xfId="14909"/>
    <cellStyle name="SAPLocked 6 2 7" xfId="14910"/>
    <cellStyle name="SAPLocked 6 2 7 2" xfId="14911"/>
    <cellStyle name="SAPLocked 6 2 8" xfId="14912"/>
    <cellStyle name="SAPLocked 6 2 8 2" xfId="14913"/>
    <cellStyle name="SAPLocked 6 2 9" xfId="14914"/>
    <cellStyle name="SAPLocked 6 2 9 2" xfId="14915"/>
    <cellStyle name="SAPLocked 6 3" xfId="14916"/>
    <cellStyle name="SAPLocked 6 3 2" xfId="14917"/>
    <cellStyle name="SAPLocked 6 4" xfId="14918"/>
    <cellStyle name="SAPLocked 6 4 2" xfId="14919"/>
    <cellStyle name="SAPLocked 6 5" xfId="14920"/>
    <cellStyle name="SAPLocked 6 5 2" xfId="14921"/>
    <cellStyle name="SAPLocked 6 6" xfId="14922"/>
    <cellStyle name="SAPLocked 6 6 2" xfId="14923"/>
    <cellStyle name="SAPLocked 6 7" xfId="14924"/>
    <cellStyle name="SAPLocked 6 7 2" xfId="14925"/>
    <cellStyle name="SAPLocked 6 8" xfId="14926"/>
    <cellStyle name="SAPLocked 6 8 2" xfId="14927"/>
    <cellStyle name="SAPLocked 6 9" xfId="14928"/>
    <cellStyle name="SAPLocked 6 9 2" xfId="14929"/>
    <cellStyle name="SAPLocked 7" xfId="14930"/>
    <cellStyle name="SAPLocked 7 10" xfId="14931"/>
    <cellStyle name="SAPLocked 7 10 2" xfId="14932"/>
    <cellStyle name="SAPLocked 7 11" xfId="14933"/>
    <cellStyle name="SAPLocked 7 11 2" xfId="14934"/>
    <cellStyle name="SAPLocked 7 12" xfId="14935"/>
    <cellStyle name="SAPLocked 7 12 2" xfId="14936"/>
    <cellStyle name="SAPLocked 7 13" xfId="14937"/>
    <cellStyle name="SAPLocked 7 2" xfId="14938"/>
    <cellStyle name="SAPLocked 7 2 10" xfId="14939"/>
    <cellStyle name="SAPLocked 7 2 10 2" xfId="14940"/>
    <cellStyle name="SAPLocked 7 2 11" xfId="14941"/>
    <cellStyle name="SAPLocked 7 2 11 2" xfId="14942"/>
    <cellStyle name="SAPLocked 7 2 12" xfId="14943"/>
    <cellStyle name="SAPLocked 7 2 2" xfId="14944"/>
    <cellStyle name="SAPLocked 7 2 2 2" xfId="14945"/>
    <cellStyle name="SAPLocked 7 2 3" xfId="14946"/>
    <cellStyle name="SAPLocked 7 2 3 2" xfId="14947"/>
    <cellStyle name="SAPLocked 7 2 4" xfId="14948"/>
    <cellStyle name="SAPLocked 7 2 4 2" xfId="14949"/>
    <cellStyle name="SAPLocked 7 2 5" xfId="14950"/>
    <cellStyle name="SAPLocked 7 2 5 2" xfId="14951"/>
    <cellStyle name="SAPLocked 7 2 6" xfId="14952"/>
    <cellStyle name="SAPLocked 7 2 6 2" xfId="14953"/>
    <cellStyle name="SAPLocked 7 2 7" xfId="14954"/>
    <cellStyle name="SAPLocked 7 2 7 2" xfId="14955"/>
    <cellStyle name="SAPLocked 7 2 8" xfId="14956"/>
    <cellStyle name="SAPLocked 7 2 8 2" xfId="14957"/>
    <cellStyle name="SAPLocked 7 2 9" xfId="14958"/>
    <cellStyle name="SAPLocked 7 2 9 2" xfId="14959"/>
    <cellStyle name="SAPLocked 7 3" xfId="14960"/>
    <cellStyle name="SAPLocked 7 3 2" xfId="14961"/>
    <cellStyle name="SAPLocked 7 4" xfId="14962"/>
    <cellStyle name="SAPLocked 7 4 2" xfId="14963"/>
    <cellStyle name="SAPLocked 7 5" xfId="14964"/>
    <cellStyle name="SAPLocked 7 5 2" xfId="14965"/>
    <cellStyle name="SAPLocked 7 6" xfId="14966"/>
    <cellStyle name="SAPLocked 7 6 2" xfId="14967"/>
    <cellStyle name="SAPLocked 7 7" xfId="14968"/>
    <cellStyle name="SAPLocked 7 7 2" xfId="14969"/>
    <cellStyle name="SAPLocked 7 8" xfId="14970"/>
    <cellStyle name="SAPLocked 7 8 2" xfId="14971"/>
    <cellStyle name="SAPLocked 7 9" xfId="14972"/>
    <cellStyle name="SAPLocked 7 9 2" xfId="14973"/>
    <cellStyle name="SAPLocked 8" xfId="14974"/>
    <cellStyle name="SAPLocked 8 10" xfId="14975"/>
    <cellStyle name="SAPLocked 8 10 2" xfId="14976"/>
    <cellStyle name="SAPLocked 8 11" xfId="14977"/>
    <cellStyle name="SAPLocked 8 11 2" xfId="14978"/>
    <cellStyle name="SAPLocked 8 12" xfId="14979"/>
    <cellStyle name="SAPLocked 8 12 2" xfId="14980"/>
    <cellStyle name="SAPLocked 8 13" xfId="14981"/>
    <cellStyle name="SAPLocked 8 2" xfId="14982"/>
    <cellStyle name="SAPLocked 8 2 10" xfId="14983"/>
    <cellStyle name="SAPLocked 8 2 10 2" xfId="14984"/>
    <cellStyle name="SAPLocked 8 2 11" xfId="14985"/>
    <cellStyle name="SAPLocked 8 2 11 2" xfId="14986"/>
    <cellStyle name="SAPLocked 8 2 12" xfId="14987"/>
    <cellStyle name="SAPLocked 8 2 2" xfId="14988"/>
    <cellStyle name="SAPLocked 8 2 2 2" xfId="14989"/>
    <cellStyle name="SAPLocked 8 2 3" xfId="14990"/>
    <cellStyle name="SAPLocked 8 2 3 2" xfId="14991"/>
    <cellStyle name="SAPLocked 8 2 4" xfId="14992"/>
    <cellStyle name="SAPLocked 8 2 4 2" xfId="14993"/>
    <cellStyle name="SAPLocked 8 2 5" xfId="14994"/>
    <cellStyle name="SAPLocked 8 2 5 2" xfId="14995"/>
    <cellStyle name="SAPLocked 8 2 6" xfId="14996"/>
    <cellStyle name="SAPLocked 8 2 6 2" xfId="14997"/>
    <cellStyle name="SAPLocked 8 2 7" xfId="14998"/>
    <cellStyle name="SAPLocked 8 2 7 2" xfId="14999"/>
    <cellStyle name="SAPLocked 8 2 8" xfId="15000"/>
    <cellStyle name="SAPLocked 8 2 8 2" xfId="15001"/>
    <cellStyle name="SAPLocked 8 2 9" xfId="15002"/>
    <cellStyle name="SAPLocked 8 2 9 2" xfId="15003"/>
    <cellStyle name="SAPLocked 8 3" xfId="15004"/>
    <cellStyle name="SAPLocked 8 3 2" xfId="15005"/>
    <cellStyle name="SAPLocked 8 4" xfId="15006"/>
    <cellStyle name="SAPLocked 8 4 2" xfId="15007"/>
    <cellStyle name="SAPLocked 8 5" xfId="15008"/>
    <cellStyle name="SAPLocked 8 5 2" xfId="15009"/>
    <cellStyle name="SAPLocked 8 6" xfId="15010"/>
    <cellStyle name="SAPLocked 8 6 2" xfId="15011"/>
    <cellStyle name="SAPLocked 8 7" xfId="15012"/>
    <cellStyle name="SAPLocked 8 7 2" xfId="15013"/>
    <cellStyle name="SAPLocked 8 8" xfId="15014"/>
    <cellStyle name="SAPLocked 8 8 2" xfId="15015"/>
    <cellStyle name="SAPLocked 8 9" xfId="15016"/>
    <cellStyle name="SAPLocked 8 9 2" xfId="15017"/>
    <cellStyle name="SAPLocked 9" xfId="15018"/>
    <cellStyle name="SAPLocked 9 10" xfId="15019"/>
    <cellStyle name="SAPLocked 9 10 2" xfId="15020"/>
    <cellStyle name="SAPLocked 9 11" xfId="15021"/>
    <cellStyle name="SAPLocked 9 11 2" xfId="15022"/>
    <cellStyle name="SAPLocked 9 12" xfId="15023"/>
    <cellStyle name="SAPLocked 9 12 2" xfId="15024"/>
    <cellStyle name="SAPLocked 9 13" xfId="15025"/>
    <cellStyle name="SAPLocked 9 2" xfId="15026"/>
    <cellStyle name="SAPLocked 9 2 10" xfId="15027"/>
    <cellStyle name="SAPLocked 9 2 10 2" xfId="15028"/>
    <cellStyle name="SAPLocked 9 2 11" xfId="15029"/>
    <cellStyle name="SAPLocked 9 2 11 2" xfId="15030"/>
    <cellStyle name="SAPLocked 9 2 12" xfId="15031"/>
    <cellStyle name="SAPLocked 9 2 2" xfId="15032"/>
    <cellStyle name="SAPLocked 9 2 2 2" xfId="15033"/>
    <cellStyle name="SAPLocked 9 2 3" xfId="15034"/>
    <cellStyle name="SAPLocked 9 2 3 2" xfId="15035"/>
    <cellStyle name="SAPLocked 9 2 4" xfId="15036"/>
    <cellStyle name="SAPLocked 9 2 4 2" xfId="15037"/>
    <cellStyle name="SAPLocked 9 2 5" xfId="15038"/>
    <cellStyle name="SAPLocked 9 2 5 2" xfId="15039"/>
    <cellStyle name="SAPLocked 9 2 6" xfId="15040"/>
    <cellStyle name="SAPLocked 9 2 6 2" xfId="15041"/>
    <cellStyle name="SAPLocked 9 2 7" xfId="15042"/>
    <cellStyle name="SAPLocked 9 2 7 2" xfId="15043"/>
    <cellStyle name="SAPLocked 9 2 8" xfId="15044"/>
    <cellStyle name="SAPLocked 9 2 8 2" xfId="15045"/>
    <cellStyle name="SAPLocked 9 2 9" xfId="15046"/>
    <cellStyle name="SAPLocked 9 2 9 2" xfId="15047"/>
    <cellStyle name="SAPLocked 9 3" xfId="15048"/>
    <cellStyle name="SAPLocked 9 3 2" xfId="15049"/>
    <cellStyle name="SAPLocked 9 4" xfId="15050"/>
    <cellStyle name="SAPLocked 9 4 2" xfId="15051"/>
    <cellStyle name="SAPLocked 9 5" xfId="15052"/>
    <cellStyle name="SAPLocked 9 5 2" xfId="15053"/>
    <cellStyle name="SAPLocked 9 6" xfId="15054"/>
    <cellStyle name="SAPLocked 9 6 2" xfId="15055"/>
    <cellStyle name="SAPLocked 9 7" xfId="15056"/>
    <cellStyle name="SAPLocked 9 7 2" xfId="15057"/>
    <cellStyle name="SAPLocked 9 8" xfId="15058"/>
    <cellStyle name="SAPLocked 9 8 2" xfId="15059"/>
    <cellStyle name="SAPLocked 9 9" xfId="15060"/>
    <cellStyle name="SAPLocked 9 9 2" xfId="15061"/>
    <cellStyle name="SAPMemberCell" xfId="15062"/>
    <cellStyle name="SAPMemberTotalCell" xfId="15063"/>
    <cellStyle name="Standard_CORE_20040805_Movement types_Sets_V0.1_e" xfId="15064"/>
    <cellStyle name="STYL5 - Style5" xfId="15065"/>
    <cellStyle name="STYL5 - Style5 2" xfId="15066"/>
    <cellStyle name="STYL5 - Style5 2 2" xfId="15067"/>
    <cellStyle name="STYL5 - Style5 3" xfId="15068"/>
    <cellStyle name="STYL5 - Style5 3 2" xfId="15069"/>
    <cellStyle name="STYL6 - Style6" xfId="15070"/>
    <cellStyle name="STYL6 - Style6 2" xfId="15071"/>
    <cellStyle name="STYL6 - Style6 2 2" xfId="15072"/>
    <cellStyle name="STYL6 - Style6 3" xfId="15073"/>
    <cellStyle name="STYL6 - Style6 3 2" xfId="15074"/>
    <cellStyle name="STYLE1 - Style1" xfId="15075"/>
    <cellStyle name="STYLE1 - Style1 2" xfId="15076"/>
    <cellStyle name="STYLE1 - Style1 2 2" xfId="15077"/>
    <cellStyle name="STYLE1 - Style1 3" xfId="15078"/>
    <cellStyle name="STYLE1 - Style1 3 2" xfId="15079"/>
    <cellStyle name="STYLE2 - Style2" xfId="15080"/>
    <cellStyle name="STYLE2 - Style2 2" xfId="15081"/>
    <cellStyle name="STYLE2 - Style2 2 2" xfId="15082"/>
    <cellStyle name="STYLE2 - Style2 3" xfId="15083"/>
    <cellStyle name="STYLE2 - Style2 3 2" xfId="15084"/>
    <cellStyle name="STYLE3 - Style3" xfId="15085"/>
    <cellStyle name="STYLE3 - Style3 2" xfId="15086"/>
    <cellStyle name="STYLE3 - Style3 2 2" xfId="15087"/>
    <cellStyle name="STYLE3 - Style3 3" xfId="15088"/>
    <cellStyle name="STYLE3 - Style3 3 2" xfId="15089"/>
    <cellStyle name="STYLE4 - Style4" xfId="15090"/>
    <cellStyle name="STYLE4 - Style4 2" xfId="15091"/>
    <cellStyle name="STYLE4 - Style4 2 2" xfId="15092"/>
    <cellStyle name="STYLE4 - Style4 3" xfId="15093"/>
    <cellStyle name="STYLE4 - Style4 3 2" xfId="15094"/>
    <cellStyle name="Table  - Style5" xfId="15095"/>
    <cellStyle name="Text" xfId="15096"/>
    <cellStyle name="Title  - Style6" xfId="15097"/>
    <cellStyle name="Title 10" xfId="1991"/>
    <cellStyle name="Title 11" xfId="1992"/>
    <cellStyle name="Title 12" xfId="1993"/>
    <cellStyle name="Title 13" xfId="1994"/>
    <cellStyle name="Title 14" xfId="1995"/>
    <cellStyle name="Title 15" xfId="1996"/>
    <cellStyle name="Title 16" xfId="1997"/>
    <cellStyle name="Title 17" xfId="1998"/>
    <cellStyle name="Title 17 2" xfId="1999"/>
    <cellStyle name="Title 17 3" xfId="2000"/>
    <cellStyle name="Title 17 4" xfId="2001"/>
    <cellStyle name="Title 17 5" xfId="2002"/>
    <cellStyle name="Title 18" xfId="2003"/>
    <cellStyle name="Title 19" xfId="2004"/>
    <cellStyle name="Title 2" xfId="2005"/>
    <cellStyle name="Title 2 2" xfId="2006"/>
    <cellStyle name="Title 2 2 2" xfId="2007"/>
    <cellStyle name="Title 2 2 3" xfId="2008"/>
    <cellStyle name="Title 2 2 4" xfId="2009"/>
    <cellStyle name="Title 2 2 5" xfId="2010"/>
    <cellStyle name="Title 2 3" xfId="2011"/>
    <cellStyle name="Title 2 4" xfId="2012"/>
    <cellStyle name="Title 2 5" xfId="2013"/>
    <cellStyle name="Title 2 6" xfId="2014"/>
    <cellStyle name="Title 2 7" xfId="2015"/>
    <cellStyle name="Title 2 8" xfId="2016"/>
    <cellStyle name="Title 20" xfId="2017"/>
    <cellStyle name="Title 21" xfId="2018"/>
    <cellStyle name="Title 22" xfId="2019"/>
    <cellStyle name="Title 3" xfId="2020"/>
    <cellStyle name="Title 3 2" xfId="15098"/>
    <cellStyle name="Title 4" xfId="2021"/>
    <cellStyle name="Title 5" xfId="2022"/>
    <cellStyle name="Title 6" xfId="2023"/>
    <cellStyle name="Title 7" xfId="2024"/>
    <cellStyle name="Title 8" xfId="2025"/>
    <cellStyle name="Title 9" xfId="2026"/>
    <cellStyle name="Total 10" xfId="2027"/>
    <cellStyle name="Total 11" xfId="2028"/>
    <cellStyle name="Total 12" xfId="2029"/>
    <cellStyle name="Total 13" xfId="2030"/>
    <cellStyle name="Total 14" xfId="2031"/>
    <cellStyle name="Total 15" xfId="2032"/>
    <cellStyle name="Total 16" xfId="2033"/>
    <cellStyle name="Total 17" xfId="2034"/>
    <cellStyle name="Total 17 2" xfId="15099"/>
    <cellStyle name="Total 17 3" xfId="15100"/>
    <cellStyle name="Total 17 4" xfId="15101"/>
    <cellStyle name="Total 18" xfId="2035"/>
    <cellStyle name="Total 19" xfId="2036"/>
    <cellStyle name="Total 2" xfId="2037"/>
    <cellStyle name="Total 2 2" xfId="2038"/>
    <cellStyle name="Total 2 2 2" xfId="2039"/>
    <cellStyle name="Total 2 2 2 2" xfId="2040"/>
    <cellStyle name="Total 2 2 2 3" xfId="2041"/>
    <cellStyle name="Total 2 2 2 4" xfId="2042"/>
    <cellStyle name="Total 2 2 2 5" xfId="2043"/>
    <cellStyle name="Total 2 2 3" xfId="2044"/>
    <cellStyle name="Total 2 2 4" xfId="2045"/>
    <cellStyle name="Total 2 2 5" xfId="2046"/>
    <cellStyle name="Total 2 3" xfId="2047"/>
    <cellStyle name="Total 2 3 2" xfId="15102"/>
    <cellStyle name="Total 2 4" xfId="2048"/>
    <cellStyle name="Total 2 4 2" xfId="15103"/>
    <cellStyle name="Total 2 5" xfId="2049"/>
    <cellStyle name="Total 2 5 2" xfId="15104"/>
    <cellStyle name="Total 2 6" xfId="2050"/>
    <cellStyle name="Total 2 6 2" xfId="15105"/>
    <cellStyle name="Total 2 7" xfId="2051"/>
    <cellStyle name="Total 2 7 2" xfId="15106"/>
    <cellStyle name="Total 2 8" xfId="2052"/>
    <cellStyle name="Total 2 9" xfId="2053"/>
    <cellStyle name="Total 20" xfId="2054"/>
    <cellStyle name="Total 21" xfId="2055"/>
    <cellStyle name="Total 22" xfId="2056"/>
    <cellStyle name="Total 23" xfId="2057"/>
    <cellStyle name="Total 24" xfId="2058"/>
    <cellStyle name="Total 3" xfId="2059"/>
    <cellStyle name="Total 3 2" xfId="15107"/>
    <cellStyle name="Total 3 2 2" xfId="15108"/>
    <cellStyle name="Total 3 3" xfId="15109"/>
    <cellStyle name="Total 4" xfId="2060"/>
    <cellStyle name="Total 4 2" xfId="15110"/>
    <cellStyle name="Total 5" xfId="2061"/>
    <cellStyle name="Total 6" xfId="2062"/>
    <cellStyle name="Total 7" xfId="2063"/>
    <cellStyle name="Total 8" xfId="2064"/>
    <cellStyle name="Total 9" xfId="2065"/>
    <cellStyle name="TotCol - Style7" xfId="15111"/>
    <cellStyle name="TotRow - Style8" xfId="15112"/>
    <cellStyle name="Undefiniert" xfId="15113"/>
    <cellStyle name="Undefiniert 2" xfId="15114"/>
    <cellStyle name="UploadThisRowValue" xfId="15115"/>
    <cellStyle name="UploadThisRowValue 2" xfId="15116"/>
    <cellStyle name="UploadThisRowValue 2 2" xfId="15117"/>
    <cellStyle name="UploadThisRowValue 3" xfId="15118"/>
    <cellStyle name="Warning Text 10" xfId="2066"/>
    <cellStyle name="Warning Text 11" xfId="2067"/>
    <cellStyle name="Warning Text 12" xfId="2068"/>
    <cellStyle name="Warning Text 13" xfId="2069"/>
    <cellStyle name="Warning Text 14" xfId="2070"/>
    <cellStyle name="Warning Text 15" xfId="2071"/>
    <cellStyle name="Warning Text 16" xfId="2072"/>
    <cellStyle name="Warning Text 17" xfId="2073"/>
    <cellStyle name="Warning Text 18" xfId="2074"/>
    <cellStyle name="Warning Text 19" xfId="2075"/>
    <cellStyle name="Warning Text 2" xfId="2076"/>
    <cellStyle name="Warning Text 2 2" xfId="2077"/>
    <cellStyle name="Warning Text 2 2 2" xfId="2078"/>
    <cellStyle name="Warning Text 2 2 2 2" xfId="2079"/>
    <cellStyle name="Warning Text 2 2 2 3" xfId="2080"/>
    <cellStyle name="Warning Text 2 2 2 4" xfId="2081"/>
    <cellStyle name="Warning Text 2 2 2 5" xfId="2082"/>
    <cellStyle name="Warning Text 2 2 3" xfId="2083"/>
    <cellStyle name="Warning Text 2 2 4" xfId="2084"/>
    <cellStyle name="Warning Text 2 2 5" xfId="2085"/>
    <cellStyle name="Warning Text 2 3" xfId="2086"/>
    <cellStyle name="Warning Text 2 4" xfId="2087"/>
    <cellStyle name="Warning Text 2 5" xfId="2088"/>
    <cellStyle name="Warning Text 2 6" xfId="2089"/>
    <cellStyle name="Warning Text 2 7" xfId="2090"/>
    <cellStyle name="Warning Text 2 8" xfId="2091"/>
    <cellStyle name="Warning Text 2 9" xfId="2092"/>
    <cellStyle name="Warning Text 20" xfId="2093"/>
    <cellStyle name="Warning Text 21" xfId="2094"/>
    <cellStyle name="Warning Text 22" xfId="2095"/>
    <cellStyle name="Warning Text 3" xfId="2096"/>
    <cellStyle name="Warning Text 3 2" xfId="15119"/>
    <cellStyle name="Warning Text 4" xfId="2097"/>
    <cellStyle name="Warning Text 4 2" xfId="15120"/>
    <cellStyle name="Warning Text 5" xfId="2098"/>
    <cellStyle name="Warning Text 6" xfId="2099"/>
    <cellStyle name="Warning Text 7" xfId="2100"/>
    <cellStyle name="Warning Text 8" xfId="2101"/>
    <cellStyle name="Warning Text 9" xfId="2102"/>
  </cellStyles>
  <dxfs count="45">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FFF99"/>
      <color rgb="FFB7DEFF"/>
      <color rgb="FFEEF0A8"/>
      <color rgb="FFC7DCEF"/>
      <color rgb="FFCCFFCC"/>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20Case%202014\Billing%20Determinants\KU\KU%20Test%20Year%20Forecast%20Period%20Calend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2.1"/>
      <sheetName val="Sch M-2.2-pg 1"/>
      <sheetName val="Sch M-2.2-pg2-15"/>
      <sheetName val="Sch M-2.2-pg 16-20"/>
      <sheetName val="Conroy Exhibit P2"/>
      <sheetName val="Yr End Cust Adj"/>
      <sheetName val="Rate Switch"/>
      <sheetName val="Sch M-2.3 pg 1-2"/>
      <sheetName val="Sch M-2.3 pgs 3-17"/>
      <sheetName val="Sch M-2.3.1 pgs 18-23"/>
      <sheetName val="Analyses ==&gt;"/>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Sources ==&gt;"/>
      <sheetName val="Rates"/>
      <sheetName val="Rates-Lights"/>
      <sheetName val="1022"/>
      <sheetName val="1055"/>
      <sheetName val="SBR"/>
      <sheetName val="GranVille"/>
      <sheetName val="MiscData"/>
      <sheetName val="ECR in Base Rates"/>
      <sheetName val="Power Factor"/>
      <sheetName val="LEV"/>
      <sheetName val="Standby Rate"/>
      <sheetName val="Lighting"/>
      <sheetName val="C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Jan 2016</v>
          </cell>
          <cell r="C4" t="str">
            <v>RTS</v>
          </cell>
          <cell r="D4" t="str">
            <v>RTS</v>
          </cell>
          <cell r="E4" t="str">
            <v>KUCIE550</v>
          </cell>
          <cell r="F4">
            <v>32</v>
          </cell>
          <cell r="G4">
            <v>0</v>
          </cell>
          <cell r="H4">
            <v>0</v>
          </cell>
          <cell r="I4">
            <v>0</v>
          </cell>
          <cell r="J4">
            <v>138414540</v>
          </cell>
          <cell r="K4">
            <v>307323</v>
          </cell>
          <cell r="L4">
            <v>296170</v>
          </cell>
          <cell r="M4">
            <v>284455</v>
          </cell>
          <cell r="AE4">
            <v>7445091.4500000011</v>
          </cell>
          <cell r="AF4">
            <v>7445093</v>
          </cell>
          <cell r="AH4">
            <v>438340</v>
          </cell>
          <cell r="AI4">
            <v>0</v>
          </cell>
          <cell r="AJ4">
            <v>635559</v>
          </cell>
          <cell r="AK4">
            <v>0</v>
          </cell>
          <cell r="AL4">
            <v>0</v>
          </cell>
          <cell r="AM4">
            <v>8518992</v>
          </cell>
          <cell r="AP4">
            <v>4002948.5</v>
          </cell>
        </row>
        <row r="5">
          <cell r="B5" t="str">
            <v>Jan 2016</v>
          </cell>
          <cell r="C5" t="str">
            <v>PSP</v>
          </cell>
          <cell r="D5" t="str">
            <v>PSP</v>
          </cell>
          <cell r="E5" t="str">
            <v>KUCIE561</v>
          </cell>
          <cell r="F5">
            <v>195</v>
          </cell>
          <cell r="G5">
            <v>0</v>
          </cell>
          <cell r="H5">
            <v>0</v>
          </cell>
          <cell r="I5">
            <v>0</v>
          </cell>
          <cell r="J5">
            <v>18906207</v>
          </cell>
          <cell r="K5">
            <v>0</v>
          </cell>
          <cell r="L5">
            <v>54537</v>
          </cell>
          <cell r="M5">
            <v>0</v>
          </cell>
          <cell r="AE5">
            <v>1425386.75</v>
          </cell>
          <cell r="AF5">
            <v>1425387</v>
          </cell>
          <cell r="AH5">
            <v>59873</v>
          </cell>
          <cell r="AI5">
            <v>15638</v>
          </cell>
          <cell r="AJ5">
            <v>86812</v>
          </cell>
          <cell r="AK5">
            <v>0</v>
          </cell>
          <cell r="AL5">
            <v>0</v>
          </cell>
          <cell r="AM5">
            <v>1587710</v>
          </cell>
          <cell r="AP5">
            <v>546767.51</v>
          </cell>
        </row>
        <row r="6">
          <cell r="B6" t="str">
            <v>Jan 2016</v>
          </cell>
          <cell r="C6" t="str">
            <v>PSS</v>
          </cell>
          <cell r="D6" t="str">
            <v>PSS</v>
          </cell>
          <cell r="E6" t="str">
            <v>KUCIE562</v>
          </cell>
          <cell r="F6">
            <v>4650</v>
          </cell>
          <cell r="G6">
            <v>0</v>
          </cell>
          <cell r="H6">
            <v>0</v>
          </cell>
          <cell r="I6">
            <v>0</v>
          </cell>
          <cell r="J6">
            <v>174767461</v>
          </cell>
          <cell r="K6">
            <v>0</v>
          </cell>
          <cell r="L6">
            <v>568331</v>
          </cell>
          <cell r="M6">
            <v>0</v>
          </cell>
          <cell r="AE6">
            <v>14149181.51</v>
          </cell>
          <cell r="AF6">
            <v>14149187</v>
          </cell>
          <cell r="AH6">
            <v>553465</v>
          </cell>
          <cell r="AI6">
            <v>144553</v>
          </cell>
          <cell r="AJ6">
            <v>802481</v>
          </cell>
          <cell r="AK6">
            <v>0</v>
          </cell>
          <cell r="AL6">
            <v>0</v>
          </cell>
          <cell r="AM6">
            <v>15649686</v>
          </cell>
          <cell r="AP6">
            <v>5054274.97</v>
          </cell>
        </row>
        <row r="7">
          <cell r="B7" t="str">
            <v>Jan 2016</v>
          </cell>
          <cell r="C7" t="str">
            <v>TODP</v>
          </cell>
          <cell r="D7" t="str">
            <v>TODP</v>
          </cell>
          <cell r="E7" t="str">
            <v>KUCIE563</v>
          </cell>
          <cell r="F7">
            <v>52</v>
          </cell>
          <cell r="G7">
            <v>0</v>
          </cell>
          <cell r="H7">
            <v>0</v>
          </cell>
          <cell r="I7">
            <v>0</v>
          </cell>
          <cell r="J7">
            <v>243518261</v>
          </cell>
          <cell r="K7">
            <v>498857</v>
          </cell>
          <cell r="L7">
            <v>463847</v>
          </cell>
          <cell r="M7">
            <v>457227</v>
          </cell>
          <cell r="AE7">
            <v>13265112.74</v>
          </cell>
          <cell r="AF7">
            <v>13265113</v>
          </cell>
          <cell r="AH7">
            <v>771189</v>
          </cell>
          <cell r="AI7">
            <v>201417</v>
          </cell>
          <cell r="AJ7">
            <v>1118165</v>
          </cell>
          <cell r="AK7">
            <v>0</v>
          </cell>
          <cell r="AL7">
            <v>0</v>
          </cell>
          <cell r="AM7">
            <v>15355884</v>
          </cell>
          <cell r="AP7">
            <v>7042548.1100000003</v>
          </cell>
        </row>
        <row r="8">
          <cell r="B8" t="str">
            <v>Jan 2016</v>
          </cell>
          <cell r="C8" t="str">
            <v>PSP</v>
          </cell>
          <cell r="D8" t="str">
            <v>PSP</v>
          </cell>
          <cell r="E8" t="str">
            <v>KUCIE566</v>
          </cell>
          <cell r="F8">
            <v>0</v>
          </cell>
          <cell r="G8">
            <v>0</v>
          </cell>
          <cell r="H8">
            <v>0</v>
          </cell>
          <cell r="I8">
            <v>0</v>
          </cell>
          <cell r="J8">
            <v>0</v>
          </cell>
          <cell r="K8">
            <v>0</v>
          </cell>
          <cell r="L8">
            <v>0</v>
          </cell>
          <cell r="M8">
            <v>0</v>
          </cell>
          <cell r="AE8">
            <v>0</v>
          </cell>
          <cell r="AF8">
            <v>0</v>
          </cell>
          <cell r="AH8">
            <v>0</v>
          </cell>
          <cell r="AI8">
            <v>0</v>
          </cell>
          <cell r="AJ8">
            <v>0</v>
          </cell>
          <cell r="AK8">
            <v>0</v>
          </cell>
          <cell r="AL8">
            <v>0</v>
          </cell>
          <cell r="AM8">
            <v>0</v>
          </cell>
          <cell r="AP8">
            <v>0</v>
          </cell>
        </row>
        <row r="9">
          <cell r="B9" t="str">
            <v>Jan 2016</v>
          </cell>
          <cell r="C9" t="str">
            <v>PSS</v>
          </cell>
          <cell r="D9" t="str">
            <v>PSS</v>
          </cell>
          <cell r="E9" t="str">
            <v>KUCIE568</v>
          </cell>
          <cell r="F9">
            <v>0</v>
          </cell>
          <cell r="G9">
            <v>0</v>
          </cell>
          <cell r="H9">
            <v>0</v>
          </cell>
          <cell r="I9">
            <v>0</v>
          </cell>
          <cell r="J9">
            <v>0</v>
          </cell>
          <cell r="K9">
            <v>0</v>
          </cell>
          <cell r="L9">
            <v>0</v>
          </cell>
          <cell r="M9">
            <v>0</v>
          </cell>
          <cell r="AE9">
            <v>0</v>
          </cell>
          <cell r="AF9">
            <v>0</v>
          </cell>
          <cell r="AH9">
            <v>0</v>
          </cell>
          <cell r="AI9">
            <v>0</v>
          </cell>
          <cell r="AJ9">
            <v>0</v>
          </cell>
          <cell r="AK9">
            <v>0</v>
          </cell>
          <cell r="AL9">
            <v>0</v>
          </cell>
          <cell r="AM9">
            <v>0</v>
          </cell>
          <cell r="AP9">
            <v>0</v>
          </cell>
        </row>
        <row r="10">
          <cell r="B10" t="str">
            <v>Jan 2016</v>
          </cell>
          <cell r="C10" t="str">
            <v>TODP</v>
          </cell>
          <cell r="D10" t="str">
            <v>TODP</v>
          </cell>
          <cell r="E10" t="str">
            <v>KUCIE571</v>
          </cell>
          <cell r="F10">
            <v>203</v>
          </cell>
          <cell r="G10">
            <v>0</v>
          </cell>
          <cell r="H10">
            <v>0</v>
          </cell>
          <cell r="I10">
            <v>0</v>
          </cell>
          <cell r="J10">
            <v>102170247</v>
          </cell>
          <cell r="K10">
            <v>258078</v>
          </cell>
          <cell r="L10">
            <v>245778</v>
          </cell>
          <cell r="M10">
            <v>241292</v>
          </cell>
          <cell r="AE10">
            <v>6055174.3799999999</v>
          </cell>
          <cell r="AF10">
            <v>6055174</v>
          </cell>
          <cell r="AH10">
            <v>323559</v>
          </cell>
          <cell r="AI10">
            <v>84506</v>
          </cell>
          <cell r="AJ10">
            <v>469136</v>
          </cell>
          <cell r="AK10">
            <v>0</v>
          </cell>
          <cell r="AL10">
            <v>0</v>
          </cell>
          <cell r="AM10">
            <v>6932375</v>
          </cell>
          <cell r="AP10">
            <v>2954763.54</v>
          </cell>
        </row>
        <row r="11">
          <cell r="B11" t="str">
            <v>Jan 2016</v>
          </cell>
          <cell r="C11" t="str">
            <v>TODS</v>
          </cell>
          <cell r="D11" t="str">
            <v>TODS</v>
          </cell>
          <cell r="E11" t="str">
            <v>KUCIE572</v>
          </cell>
          <cell r="F11">
            <v>467</v>
          </cell>
          <cell r="G11">
            <v>0</v>
          </cell>
          <cell r="H11">
            <v>0</v>
          </cell>
          <cell r="I11">
            <v>0</v>
          </cell>
          <cell r="J11">
            <v>133726084</v>
          </cell>
          <cell r="K11">
            <v>326881</v>
          </cell>
          <cell r="L11">
            <v>297724</v>
          </cell>
          <cell r="M11">
            <v>291055</v>
          </cell>
          <cell r="AE11">
            <v>8524780.4199999999</v>
          </cell>
          <cell r="AF11">
            <v>8524780</v>
          </cell>
          <cell r="AH11">
            <v>423492</v>
          </cell>
          <cell r="AI11">
            <v>110607</v>
          </cell>
          <cell r="AJ11">
            <v>614031</v>
          </cell>
          <cell r="AK11">
            <v>0</v>
          </cell>
          <cell r="AL11">
            <v>0</v>
          </cell>
          <cell r="AM11">
            <v>9672910</v>
          </cell>
          <cell r="AP11">
            <v>3867358.35</v>
          </cell>
        </row>
        <row r="12">
          <cell r="B12" t="str">
            <v>Jan 2016</v>
          </cell>
          <cell r="C12" t="str">
            <v>PSS</v>
          </cell>
          <cell r="D12" t="str">
            <v>PSS</v>
          </cell>
          <cell r="E12" t="str">
            <v>KUCIE717</v>
          </cell>
          <cell r="F12">
            <v>0</v>
          </cell>
          <cell r="G12">
            <v>0</v>
          </cell>
          <cell r="H12">
            <v>0</v>
          </cell>
          <cell r="I12">
            <v>0</v>
          </cell>
          <cell r="J12">
            <v>0</v>
          </cell>
          <cell r="K12">
            <v>0</v>
          </cell>
          <cell r="L12">
            <v>0</v>
          </cell>
          <cell r="M12">
            <v>0</v>
          </cell>
          <cell r="AE12">
            <v>0</v>
          </cell>
          <cell r="AF12">
            <v>0</v>
          </cell>
          <cell r="AH12">
            <v>0</v>
          </cell>
          <cell r="AI12">
            <v>0</v>
          </cell>
          <cell r="AJ12">
            <v>0</v>
          </cell>
          <cell r="AK12">
            <v>0</v>
          </cell>
          <cell r="AL12">
            <v>0</v>
          </cell>
          <cell r="AM12">
            <v>0</v>
          </cell>
          <cell r="AP12">
            <v>0</v>
          </cell>
        </row>
        <row r="13">
          <cell r="B13" t="str">
            <v>Jan 2016</v>
          </cell>
          <cell r="C13" t="str">
            <v>GS</v>
          </cell>
          <cell r="D13" t="str">
            <v>GS</v>
          </cell>
          <cell r="E13" t="str">
            <v>KUCME110</v>
          </cell>
          <cell r="F13">
            <v>63537</v>
          </cell>
          <cell r="G13">
            <v>0</v>
          </cell>
          <cell r="H13">
            <v>0</v>
          </cell>
          <cell r="I13">
            <v>0</v>
          </cell>
          <cell r="J13">
            <v>75764744</v>
          </cell>
          <cell r="K13">
            <v>0</v>
          </cell>
          <cell r="L13">
            <v>0</v>
          </cell>
          <cell r="M13">
            <v>0</v>
          </cell>
          <cell r="AE13">
            <v>8260037.6299999999</v>
          </cell>
          <cell r="AF13">
            <v>8260039</v>
          </cell>
          <cell r="AH13">
            <v>239937</v>
          </cell>
          <cell r="AI13">
            <v>62666</v>
          </cell>
          <cell r="AJ13">
            <v>347890</v>
          </cell>
          <cell r="AK13">
            <v>0</v>
          </cell>
          <cell r="AL13">
            <v>0</v>
          </cell>
          <cell r="AM13">
            <v>8910532</v>
          </cell>
          <cell r="AP13">
            <v>2191116.4</v>
          </cell>
        </row>
        <row r="14">
          <cell r="B14" t="str">
            <v>Jan 2016</v>
          </cell>
          <cell r="C14" t="str">
            <v>GS</v>
          </cell>
          <cell r="D14" t="str">
            <v>GS</v>
          </cell>
          <cell r="E14" t="str">
            <v>KUCME112</v>
          </cell>
          <cell r="F14">
            <v>0</v>
          </cell>
          <cell r="G14">
            <v>0</v>
          </cell>
          <cell r="H14">
            <v>0</v>
          </cell>
          <cell r="I14">
            <v>0</v>
          </cell>
          <cell r="J14">
            <v>0</v>
          </cell>
          <cell r="K14">
            <v>0</v>
          </cell>
          <cell r="L14">
            <v>0</v>
          </cell>
          <cell r="M14">
            <v>0</v>
          </cell>
          <cell r="AE14">
            <v>0</v>
          </cell>
          <cell r="AF14">
            <v>0</v>
          </cell>
          <cell r="AH14">
            <v>0</v>
          </cell>
          <cell r="AI14">
            <v>0</v>
          </cell>
          <cell r="AJ14">
            <v>0</v>
          </cell>
          <cell r="AK14">
            <v>0</v>
          </cell>
          <cell r="AL14">
            <v>0</v>
          </cell>
          <cell r="AM14">
            <v>0</v>
          </cell>
          <cell r="AP14">
            <v>0</v>
          </cell>
        </row>
        <row r="15">
          <cell r="B15" t="str">
            <v>Jan 2016</v>
          </cell>
          <cell r="C15" t="str">
            <v>GS3</v>
          </cell>
          <cell r="D15" t="str">
            <v>GS3</v>
          </cell>
          <cell r="E15" t="str">
            <v>KUCME113</v>
          </cell>
          <cell r="F15">
            <v>18573</v>
          </cell>
          <cell r="G15">
            <v>0</v>
          </cell>
          <cell r="H15">
            <v>0</v>
          </cell>
          <cell r="I15">
            <v>0</v>
          </cell>
          <cell r="J15">
            <v>111271196</v>
          </cell>
          <cell r="K15">
            <v>421326</v>
          </cell>
          <cell r="L15">
            <v>0</v>
          </cell>
          <cell r="M15">
            <v>0</v>
          </cell>
          <cell r="AE15">
            <v>10914822.83</v>
          </cell>
          <cell r="AF15">
            <v>10914819</v>
          </cell>
          <cell r="AH15">
            <v>352381</v>
          </cell>
          <cell r="AI15">
            <v>92034</v>
          </cell>
          <cell r="AJ15">
            <v>510925</v>
          </cell>
          <cell r="AK15">
            <v>0</v>
          </cell>
          <cell r="AL15">
            <v>0</v>
          </cell>
          <cell r="AM15">
            <v>11870159</v>
          </cell>
          <cell r="AP15">
            <v>3217962.99</v>
          </cell>
        </row>
        <row r="16">
          <cell r="B16" t="str">
            <v>Jan 2016</v>
          </cell>
          <cell r="C16" t="str">
            <v>AES</v>
          </cell>
          <cell r="D16" t="str">
            <v>AES</v>
          </cell>
          <cell r="E16" t="str">
            <v>KUCME220</v>
          </cell>
          <cell r="F16">
            <v>374</v>
          </cell>
          <cell r="G16">
            <v>0</v>
          </cell>
          <cell r="H16">
            <v>0</v>
          </cell>
          <cell r="I16">
            <v>0</v>
          </cell>
          <cell r="J16">
            <v>784373</v>
          </cell>
          <cell r="K16">
            <v>0</v>
          </cell>
          <cell r="L16">
            <v>0</v>
          </cell>
          <cell r="M16">
            <v>0</v>
          </cell>
          <cell r="AE16">
            <v>65837.350000000006</v>
          </cell>
          <cell r="AF16">
            <v>65837</v>
          </cell>
          <cell r="AH16">
            <v>2484</v>
          </cell>
          <cell r="AI16">
            <v>649</v>
          </cell>
          <cell r="AJ16">
            <v>3602</v>
          </cell>
          <cell r="AK16">
            <v>0</v>
          </cell>
          <cell r="AL16">
            <v>0</v>
          </cell>
          <cell r="AM16">
            <v>72572</v>
          </cell>
          <cell r="AP16">
            <v>22684.07</v>
          </cell>
        </row>
        <row r="17">
          <cell r="B17" t="str">
            <v>Jan 2016</v>
          </cell>
          <cell r="C17" t="str">
            <v>AES</v>
          </cell>
          <cell r="D17" t="str">
            <v>AES</v>
          </cell>
          <cell r="E17" t="str">
            <v>KUCME221</v>
          </cell>
          <cell r="F17">
            <v>0</v>
          </cell>
          <cell r="G17">
            <v>0</v>
          </cell>
          <cell r="H17">
            <v>0</v>
          </cell>
          <cell r="I17">
            <v>0</v>
          </cell>
          <cell r="J17">
            <v>0</v>
          </cell>
          <cell r="K17">
            <v>0</v>
          </cell>
          <cell r="L17">
            <v>0</v>
          </cell>
          <cell r="M17">
            <v>0</v>
          </cell>
          <cell r="AE17">
            <v>0</v>
          </cell>
          <cell r="AF17">
            <v>0</v>
          </cell>
          <cell r="AH17">
            <v>0</v>
          </cell>
          <cell r="AI17">
            <v>0</v>
          </cell>
          <cell r="AJ17">
            <v>0</v>
          </cell>
          <cell r="AK17">
            <v>0</v>
          </cell>
          <cell r="AL17">
            <v>0</v>
          </cell>
          <cell r="AM17">
            <v>0</v>
          </cell>
          <cell r="AP17">
            <v>0</v>
          </cell>
        </row>
        <row r="18">
          <cell r="B18" t="str">
            <v>Jan 2016</v>
          </cell>
          <cell r="C18" t="str">
            <v>AES3</v>
          </cell>
          <cell r="D18" t="str">
            <v>AES3</v>
          </cell>
          <cell r="E18" t="str">
            <v>KUCME223</v>
          </cell>
          <cell r="F18">
            <v>0</v>
          </cell>
          <cell r="G18">
            <v>0</v>
          </cell>
          <cell r="H18">
            <v>0</v>
          </cell>
          <cell r="I18">
            <v>0</v>
          </cell>
          <cell r="J18">
            <v>0</v>
          </cell>
          <cell r="K18">
            <v>0</v>
          </cell>
          <cell r="L18">
            <v>0</v>
          </cell>
          <cell r="M18">
            <v>0</v>
          </cell>
          <cell r="AE18">
            <v>0</v>
          </cell>
          <cell r="AF18">
            <v>0</v>
          </cell>
          <cell r="AH18">
            <v>0</v>
          </cell>
          <cell r="AI18">
            <v>0</v>
          </cell>
          <cell r="AJ18">
            <v>0</v>
          </cell>
          <cell r="AK18">
            <v>0</v>
          </cell>
          <cell r="AL18">
            <v>0</v>
          </cell>
          <cell r="AM18">
            <v>0</v>
          </cell>
          <cell r="AP18">
            <v>0</v>
          </cell>
        </row>
        <row r="19">
          <cell r="B19" t="str">
            <v>Jan 2016</v>
          </cell>
          <cell r="C19" t="str">
            <v>AES3</v>
          </cell>
          <cell r="D19" t="str">
            <v>AES3</v>
          </cell>
          <cell r="E19" t="str">
            <v>KUCME224</v>
          </cell>
          <cell r="F19">
            <v>260</v>
          </cell>
          <cell r="G19">
            <v>0</v>
          </cell>
          <cell r="H19">
            <v>0</v>
          </cell>
          <cell r="I19">
            <v>0</v>
          </cell>
          <cell r="J19">
            <v>14537966</v>
          </cell>
          <cell r="K19">
            <v>55540</v>
          </cell>
          <cell r="L19">
            <v>0</v>
          </cell>
          <cell r="M19">
            <v>0</v>
          </cell>
          <cell r="AE19">
            <v>1090724.67</v>
          </cell>
          <cell r="AF19">
            <v>1090724</v>
          </cell>
          <cell r="AH19">
            <v>46040</v>
          </cell>
          <cell r="AI19">
            <v>12025</v>
          </cell>
          <cell r="AJ19">
            <v>66754</v>
          </cell>
          <cell r="AK19">
            <v>0</v>
          </cell>
          <cell r="AL19">
            <v>0</v>
          </cell>
          <cell r="AM19">
            <v>1215543</v>
          </cell>
          <cell r="AP19">
            <v>420437.98</v>
          </cell>
        </row>
        <row r="20">
          <cell r="B20" t="str">
            <v>Jan 2016</v>
          </cell>
          <cell r="C20" t="str">
            <v>AES3</v>
          </cell>
          <cell r="D20" t="str">
            <v>AES3</v>
          </cell>
          <cell r="E20" t="str">
            <v>KUCME225</v>
          </cell>
          <cell r="F20">
            <v>0</v>
          </cell>
          <cell r="G20">
            <v>0</v>
          </cell>
          <cell r="H20">
            <v>0</v>
          </cell>
          <cell r="I20">
            <v>0</v>
          </cell>
          <cell r="J20">
            <v>0</v>
          </cell>
          <cell r="K20">
            <v>0</v>
          </cell>
          <cell r="L20">
            <v>0</v>
          </cell>
          <cell r="M20">
            <v>0</v>
          </cell>
          <cell r="AE20">
            <v>0</v>
          </cell>
          <cell r="AF20">
            <v>0</v>
          </cell>
          <cell r="AH20">
            <v>0</v>
          </cell>
          <cell r="AI20">
            <v>0</v>
          </cell>
          <cell r="AJ20">
            <v>0</v>
          </cell>
          <cell r="AK20">
            <v>0</v>
          </cell>
          <cell r="AL20">
            <v>0</v>
          </cell>
          <cell r="AM20">
            <v>0</v>
          </cell>
          <cell r="AP20">
            <v>0</v>
          </cell>
        </row>
        <row r="21">
          <cell r="B21" t="str">
            <v>Jan 2016</v>
          </cell>
          <cell r="C21" t="str">
            <v>AES</v>
          </cell>
          <cell r="D21" t="str">
            <v>AES</v>
          </cell>
          <cell r="E21" t="str">
            <v>KUCME226</v>
          </cell>
          <cell r="F21">
            <v>0</v>
          </cell>
          <cell r="G21">
            <v>0</v>
          </cell>
          <cell r="H21">
            <v>0</v>
          </cell>
          <cell r="I21">
            <v>0</v>
          </cell>
          <cell r="J21">
            <v>0</v>
          </cell>
          <cell r="K21">
            <v>0</v>
          </cell>
          <cell r="L21">
            <v>0</v>
          </cell>
          <cell r="M21">
            <v>0</v>
          </cell>
          <cell r="AE21">
            <v>0</v>
          </cell>
          <cell r="AF21">
            <v>0</v>
          </cell>
          <cell r="AH21">
            <v>0</v>
          </cell>
          <cell r="AI21">
            <v>0</v>
          </cell>
          <cell r="AJ21">
            <v>0</v>
          </cell>
          <cell r="AK21">
            <v>0</v>
          </cell>
          <cell r="AL21">
            <v>0</v>
          </cell>
          <cell r="AM21">
            <v>0</v>
          </cell>
          <cell r="AP21">
            <v>0</v>
          </cell>
        </row>
        <row r="22">
          <cell r="B22" t="str">
            <v>Jan 2016</v>
          </cell>
          <cell r="C22" t="str">
            <v>AES3</v>
          </cell>
          <cell r="D22" t="str">
            <v>AES3</v>
          </cell>
          <cell r="E22" t="str">
            <v>KUCME227</v>
          </cell>
          <cell r="F22">
            <v>0</v>
          </cell>
          <cell r="G22">
            <v>0</v>
          </cell>
          <cell r="H22">
            <v>0</v>
          </cell>
          <cell r="I22">
            <v>0</v>
          </cell>
          <cell r="J22">
            <v>0</v>
          </cell>
          <cell r="K22">
            <v>0</v>
          </cell>
          <cell r="L22">
            <v>0</v>
          </cell>
          <cell r="M22">
            <v>0</v>
          </cell>
          <cell r="AE22">
            <v>0</v>
          </cell>
          <cell r="AF22">
            <v>0</v>
          </cell>
          <cell r="AH22">
            <v>0</v>
          </cell>
          <cell r="AI22">
            <v>0</v>
          </cell>
          <cell r="AJ22">
            <v>0</v>
          </cell>
          <cell r="AK22">
            <v>0</v>
          </cell>
          <cell r="AL22">
            <v>0</v>
          </cell>
          <cell r="AM22">
            <v>0</v>
          </cell>
          <cell r="AP22">
            <v>0</v>
          </cell>
        </row>
        <row r="23">
          <cell r="B23" t="str">
            <v>Jan 2016</v>
          </cell>
          <cell r="C23" t="str">
            <v>LE</v>
          </cell>
          <cell r="D23" t="str">
            <v>LE</v>
          </cell>
          <cell r="E23" t="str">
            <v>KUCME290</v>
          </cell>
          <cell r="F23">
            <v>2</v>
          </cell>
          <cell r="G23">
            <v>0</v>
          </cell>
          <cell r="H23">
            <v>0</v>
          </cell>
          <cell r="I23">
            <v>0</v>
          </cell>
          <cell r="J23">
            <v>20881</v>
          </cell>
          <cell r="K23">
            <v>0</v>
          </cell>
          <cell r="L23">
            <v>0</v>
          </cell>
          <cell r="M23">
            <v>0</v>
          </cell>
          <cell r="AE23">
            <v>1332.21</v>
          </cell>
          <cell r="AF23">
            <v>0</v>
          </cell>
          <cell r="AH23">
            <v>0</v>
          </cell>
          <cell r="AI23">
            <v>0</v>
          </cell>
          <cell r="AJ23">
            <v>0</v>
          </cell>
          <cell r="AK23">
            <v>0</v>
          </cell>
          <cell r="AL23">
            <v>0</v>
          </cell>
          <cell r="AM23">
            <v>0</v>
          </cell>
          <cell r="AP23">
            <v>603.88</v>
          </cell>
        </row>
        <row r="24">
          <cell r="B24" t="str">
            <v>Jan 2016</v>
          </cell>
          <cell r="C24" t="str">
            <v>LE</v>
          </cell>
          <cell r="D24" t="str">
            <v>LE</v>
          </cell>
          <cell r="E24" t="str">
            <v>KUCME291</v>
          </cell>
          <cell r="F24">
            <v>0</v>
          </cell>
          <cell r="G24">
            <v>0</v>
          </cell>
          <cell r="H24">
            <v>0</v>
          </cell>
          <cell r="I24">
            <v>0</v>
          </cell>
          <cell r="J24">
            <v>0</v>
          </cell>
          <cell r="K24">
            <v>0</v>
          </cell>
          <cell r="L24">
            <v>0</v>
          </cell>
          <cell r="M24">
            <v>0</v>
          </cell>
          <cell r="AE24">
            <v>0</v>
          </cell>
          <cell r="AF24">
            <v>0</v>
          </cell>
          <cell r="AH24">
            <v>0</v>
          </cell>
          <cell r="AI24">
            <v>0</v>
          </cell>
          <cell r="AJ24">
            <v>0</v>
          </cell>
          <cell r="AK24">
            <v>0</v>
          </cell>
          <cell r="AL24">
            <v>0</v>
          </cell>
          <cell r="AM24">
            <v>0</v>
          </cell>
          <cell r="AP24">
            <v>0</v>
          </cell>
        </row>
        <row r="25">
          <cell r="B25" t="str">
            <v>Jan 2016</v>
          </cell>
          <cell r="C25" t="str">
            <v>TE</v>
          </cell>
          <cell r="D25" t="str">
            <v>TE</v>
          </cell>
          <cell r="E25" t="str">
            <v>KUCME295</v>
          </cell>
          <cell r="F25">
            <v>747</v>
          </cell>
          <cell r="G25">
            <v>0</v>
          </cell>
          <cell r="H25">
            <v>0</v>
          </cell>
          <cell r="I25">
            <v>0</v>
          </cell>
          <cell r="J25">
            <v>121966</v>
          </cell>
          <cell r="K25">
            <v>0</v>
          </cell>
          <cell r="L25">
            <v>0</v>
          </cell>
          <cell r="M25">
            <v>0</v>
          </cell>
          <cell r="AE25">
            <v>12158.2</v>
          </cell>
          <cell r="AF25">
            <v>0</v>
          </cell>
          <cell r="AH25">
            <v>0</v>
          </cell>
          <cell r="AI25">
            <v>0</v>
          </cell>
          <cell r="AJ25">
            <v>0</v>
          </cell>
          <cell r="AK25">
            <v>0</v>
          </cell>
          <cell r="AL25">
            <v>0</v>
          </cell>
          <cell r="AM25">
            <v>0</v>
          </cell>
          <cell r="AP25">
            <v>3527.26</v>
          </cell>
        </row>
        <row r="26">
          <cell r="B26" t="str">
            <v>Jan 2016</v>
          </cell>
          <cell r="C26" t="str">
            <v>TE</v>
          </cell>
          <cell r="D26" t="str">
            <v>TE</v>
          </cell>
          <cell r="E26" t="str">
            <v>KUCME297</v>
          </cell>
          <cell r="F26">
            <v>0</v>
          </cell>
          <cell r="G26">
            <v>0</v>
          </cell>
          <cell r="H26">
            <v>0</v>
          </cell>
          <cell r="I26">
            <v>0</v>
          </cell>
          <cell r="J26">
            <v>0</v>
          </cell>
          <cell r="K26">
            <v>0</v>
          </cell>
          <cell r="L26">
            <v>0</v>
          </cell>
          <cell r="M26">
            <v>0</v>
          </cell>
          <cell r="AE26">
            <v>0</v>
          </cell>
          <cell r="AF26">
            <v>0</v>
          </cell>
          <cell r="AH26">
            <v>0</v>
          </cell>
          <cell r="AI26">
            <v>0</v>
          </cell>
          <cell r="AJ26">
            <v>0</v>
          </cell>
          <cell r="AK26">
            <v>0</v>
          </cell>
          <cell r="AL26">
            <v>0</v>
          </cell>
          <cell r="AM26">
            <v>0</v>
          </cell>
          <cell r="AP26">
            <v>0</v>
          </cell>
        </row>
        <row r="27">
          <cell r="B27" t="str">
            <v>Jan 2016</v>
          </cell>
          <cell r="C27" t="str">
            <v>SQF</v>
          </cell>
          <cell r="D27" t="str">
            <v>SQF</v>
          </cell>
          <cell r="E27" t="str">
            <v>KUCME705</v>
          </cell>
          <cell r="F27">
            <v>0</v>
          </cell>
          <cell r="G27">
            <v>0</v>
          </cell>
          <cell r="H27">
            <v>0</v>
          </cell>
          <cell r="I27">
            <v>0</v>
          </cell>
          <cell r="J27">
            <v>0</v>
          </cell>
          <cell r="K27">
            <v>0</v>
          </cell>
          <cell r="L27">
            <v>0</v>
          </cell>
          <cell r="M27">
            <v>0</v>
          </cell>
          <cell r="AE27">
            <v>0</v>
          </cell>
          <cell r="AF27">
            <v>0</v>
          </cell>
          <cell r="AH27">
            <v>0</v>
          </cell>
          <cell r="AI27">
            <v>0</v>
          </cell>
          <cell r="AJ27">
            <v>0</v>
          </cell>
          <cell r="AK27">
            <v>0</v>
          </cell>
          <cell r="AL27">
            <v>0</v>
          </cell>
          <cell r="AM27">
            <v>0</v>
          </cell>
          <cell r="AP27">
            <v>0</v>
          </cell>
        </row>
        <row r="28">
          <cell r="B28" t="str">
            <v>Jan 2016</v>
          </cell>
          <cell r="C28" t="str">
            <v>LQF</v>
          </cell>
          <cell r="D28" t="str">
            <v>LQF</v>
          </cell>
          <cell r="E28" t="str">
            <v>KUCME707</v>
          </cell>
          <cell r="F28">
            <v>0</v>
          </cell>
          <cell r="G28">
            <v>0</v>
          </cell>
          <cell r="H28">
            <v>0</v>
          </cell>
          <cell r="I28">
            <v>0</v>
          </cell>
          <cell r="J28">
            <v>0</v>
          </cell>
          <cell r="K28">
            <v>0</v>
          </cell>
          <cell r="L28">
            <v>0</v>
          </cell>
          <cell r="M28">
            <v>0</v>
          </cell>
          <cell r="AE28">
            <v>0</v>
          </cell>
          <cell r="AF28">
            <v>0</v>
          </cell>
          <cell r="AH28">
            <v>0</v>
          </cell>
          <cell r="AI28">
            <v>0</v>
          </cell>
          <cell r="AJ28">
            <v>0</v>
          </cell>
          <cell r="AK28">
            <v>0</v>
          </cell>
          <cell r="AL28">
            <v>0</v>
          </cell>
          <cell r="AM28">
            <v>0</v>
          </cell>
          <cell r="AP28">
            <v>0</v>
          </cell>
        </row>
        <row r="29">
          <cell r="B29" t="str">
            <v>Jan 2016</v>
          </cell>
          <cell r="C29" t="str">
            <v>GS</v>
          </cell>
          <cell r="D29" t="str">
            <v>GS</v>
          </cell>
          <cell r="E29" t="str">
            <v>KUCME710</v>
          </cell>
          <cell r="F29">
            <v>0</v>
          </cell>
          <cell r="G29">
            <v>0</v>
          </cell>
          <cell r="H29">
            <v>0</v>
          </cell>
          <cell r="I29">
            <v>0</v>
          </cell>
          <cell r="J29">
            <v>0</v>
          </cell>
          <cell r="K29">
            <v>0</v>
          </cell>
          <cell r="L29">
            <v>0</v>
          </cell>
          <cell r="M29">
            <v>0</v>
          </cell>
          <cell r="AE29">
            <v>0</v>
          </cell>
          <cell r="AF29">
            <v>0</v>
          </cell>
          <cell r="AH29">
            <v>0</v>
          </cell>
          <cell r="AI29">
            <v>0</v>
          </cell>
          <cell r="AJ29">
            <v>0</v>
          </cell>
          <cell r="AK29">
            <v>0</v>
          </cell>
          <cell r="AL29">
            <v>0</v>
          </cell>
          <cell r="AM29">
            <v>0</v>
          </cell>
          <cell r="AP29">
            <v>0</v>
          </cell>
        </row>
        <row r="30">
          <cell r="B30" t="str">
            <v>Jan 2016</v>
          </cell>
          <cell r="C30" t="str">
            <v>GS3</v>
          </cell>
          <cell r="D30" t="str">
            <v>GS3</v>
          </cell>
          <cell r="E30" t="str">
            <v>KUCME713</v>
          </cell>
          <cell r="F30">
            <v>0</v>
          </cell>
          <cell r="G30">
            <v>0</v>
          </cell>
          <cell r="H30">
            <v>0</v>
          </cell>
          <cell r="I30">
            <v>0</v>
          </cell>
          <cell r="J30">
            <v>0</v>
          </cell>
          <cell r="K30">
            <v>0</v>
          </cell>
          <cell r="L30">
            <v>0</v>
          </cell>
          <cell r="M30">
            <v>0</v>
          </cell>
          <cell r="AE30">
            <v>0</v>
          </cell>
          <cell r="AF30">
            <v>0</v>
          </cell>
          <cell r="AH30">
            <v>0</v>
          </cell>
          <cell r="AI30">
            <v>0</v>
          </cell>
          <cell r="AJ30">
            <v>0</v>
          </cell>
          <cell r="AK30">
            <v>0</v>
          </cell>
          <cell r="AL30">
            <v>0</v>
          </cell>
          <cell r="AM30">
            <v>0</v>
          </cell>
          <cell r="AP30">
            <v>0</v>
          </cell>
        </row>
        <row r="31">
          <cell r="B31" t="str">
            <v>Jan 2016</v>
          </cell>
          <cell r="C31" t="str">
            <v>CSR10</v>
          </cell>
          <cell r="D31" t="str">
            <v>CSR10</v>
          </cell>
          <cell r="E31" t="str">
            <v>KUCSR760</v>
          </cell>
          <cell r="F31">
            <v>0</v>
          </cell>
          <cell r="G31">
            <v>0</v>
          </cell>
          <cell r="H31">
            <v>0</v>
          </cell>
          <cell r="I31">
            <v>0</v>
          </cell>
          <cell r="J31">
            <v>0</v>
          </cell>
          <cell r="K31">
            <v>0</v>
          </cell>
          <cell r="L31">
            <v>0</v>
          </cell>
          <cell r="M31">
            <v>0</v>
          </cell>
          <cell r="AE31">
            <v>0</v>
          </cell>
          <cell r="AF31">
            <v>0</v>
          </cell>
          <cell r="AH31">
            <v>0</v>
          </cell>
          <cell r="AI31">
            <v>0</v>
          </cell>
          <cell r="AJ31">
            <v>0</v>
          </cell>
          <cell r="AK31">
            <v>0</v>
          </cell>
          <cell r="AL31">
            <v>-989829</v>
          </cell>
          <cell r="AM31">
            <v>-989829</v>
          </cell>
          <cell r="AP31">
            <v>0</v>
          </cell>
        </row>
        <row r="32">
          <cell r="B32" t="str">
            <v>Jan 2016</v>
          </cell>
          <cell r="C32" t="str">
            <v>CSR10</v>
          </cell>
          <cell r="D32" t="str">
            <v>CSR10</v>
          </cell>
          <cell r="E32" t="str">
            <v>KUCSR761</v>
          </cell>
          <cell r="F32">
            <v>0</v>
          </cell>
          <cell r="G32">
            <v>0</v>
          </cell>
          <cell r="H32">
            <v>0</v>
          </cell>
          <cell r="I32">
            <v>0</v>
          </cell>
          <cell r="J32">
            <v>0</v>
          </cell>
          <cell r="K32">
            <v>0</v>
          </cell>
          <cell r="L32">
            <v>0</v>
          </cell>
          <cell r="M32">
            <v>0</v>
          </cell>
          <cell r="AE32">
            <v>0</v>
          </cell>
          <cell r="AF32">
            <v>0</v>
          </cell>
          <cell r="AH32">
            <v>0</v>
          </cell>
          <cell r="AI32">
            <v>0</v>
          </cell>
          <cell r="AJ32">
            <v>0</v>
          </cell>
          <cell r="AK32">
            <v>0</v>
          </cell>
          <cell r="AL32">
            <v>0</v>
          </cell>
          <cell r="AM32">
            <v>0</v>
          </cell>
          <cell r="AP32">
            <v>0</v>
          </cell>
        </row>
        <row r="33">
          <cell r="B33" t="str">
            <v>Jan 2016</v>
          </cell>
          <cell r="C33" t="str">
            <v>CSR30</v>
          </cell>
          <cell r="D33" t="str">
            <v>CSR30</v>
          </cell>
          <cell r="E33" t="str">
            <v>KUCSR780</v>
          </cell>
          <cell r="F33">
            <v>0</v>
          </cell>
          <cell r="G33">
            <v>0</v>
          </cell>
          <cell r="H33">
            <v>0</v>
          </cell>
          <cell r="I33">
            <v>0</v>
          </cell>
          <cell r="J33">
            <v>0</v>
          </cell>
          <cell r="K33">
            <v>0</v>
          </cell>
          <cell r="L33">
            <v>0</v>
          </cell>
          <cell r="M33">
            <v>0</v>
          </cell>
          <cell r="AE33">
            <v>0</v>
          </cell>
          <cell r="AF33">
            <v>0</v>
          </cell>
          <cell r="AH33">
            <v>0</v>
          </cell>
          <cell r="AI33">
            <v>0</v>
          </cell>
          <cell r="AJ33">
            <v>0</v>
          </cell>
          <cell r="AK33">
            <v>0</v>
          </cell>
          <cell r="AL33">
            <v>0</v>
          </cell>
          <cell r="AM33">
            <v>0</v>
          </cell>
          <cell r="AP33">
            <v>0</v>
          </cell>
        </row>
        <row r="34">
          <cell r="B34" t="str">
            <v>Jan 2016</v>
          </cell>
          <cell r="C34" t="str">
            <v>CSR30</v>
          </cell>
          <cell r="D34" t="str">
            <v>CSR30</v>
          </cell>
          <cell r="E34" t="str">
            <v>KUCSR781</v>
          </cell>
          <cell r="F34">
            <v>0</v>
          </cell>
          <cell r="G34">
            <v>0</v>
          </cell>
          <cell r="H34">
            <v>0</v>
          </cell>
          <cell r="I34">
            <v>0</v>
          </cell>
          <cell r="J34">
            <v>0</v>
          </cell>
          <cell r="K34">
            <v>0</v>
          </cell>
          <cell r="L34">
            <v>0</v>
          </cell>
          <cell r="M34">
            <v>0</v>
          </cell>
          <cell r="AE34">
            <v>0</v>
          </cell>
          <cell r="AF34">
            <v>0</v>
          </cell>
          <cell r="AH34">
            <v>0</v>
          </cell>
          <cell r="AI34">
            <v>0</v>
          </cell>
          <cell r="AJ34">
            <v>0</v>
          </cell>
          <cell r="AK34">
            <v>0</v>
          </cell>
          <cell r="AL34">
            <v>0</v>
          </cell>
          <cell r="AM34">
            <v>0</v>
          </cell>
          <cell r="AP34">
            <v>0</v>
          </cell>
        </row>
        <row r="35">
          <cell r="B35" t="str">
            <v>Jan 2016</v>
          </cell>
          <cell r="C35" t="str">
            <v>CSR30</v>
          </cell>
          <cell r="D35" t="str">
            <v>CSR30</v>
          </cell>
          <cell r="E35" t="str">
            <v>KUCSR783</v>
          </cell>
          <cell r="F35">
            <v>0</v>
          </cell>
          <cell r="G35">
            <v>0</v>
          </cell>
          <cell r="H35">
            <v>0</v>
          </cell>
          <cell r="I35">
            <v>0</v>
          </cell>
          <cell r="J35">
            <v>0</v>
          </cell>
          <cell r="K35">
            <v>0</v>
          </cell>
          <cell r="L35">
            <v>0</v>
          </cell>
          <cell r="M35">
            <v>0</v>
          </cell>
          <cell r="AE35">
            <v>0</v>
          </cell>
          <cell r="AF35">
            <v>0</v>
          </cell>
          <cell r="AH35">
            <v>0</v>
          </cell>
          <cell r="AI35">
            <v>0</v>
          </cell>
          <cell r="AJ35">
            <v>0</v>
          </cell>
          <cell r="AK35">
            <v>0</v>
          </cell>
          <cell r="AL35">
            <v>0</v>
          </cell>
          <cell r="AM35">
            <v>0</v>
          </cell>
          <cell r="AP35">
            <v>0</v>
          </cell>
        </row>
        <row r="36">
          <cell r="B36" t="str">
            <v>Jan 2016</v>
          </cell>
          <cell r="C36" t="str">
            <v>FLS</v>
          </cell>
          <cell r="D36" t="str">
            <v>FLST</v>
          </cell>
          <cell r="E36" t="str">
            <v>KUINE730</v>
          </cell>
          <cell r="F36">
            <v>1</v>
          </cell>
          <cell r="G36">
            <v>0</v>
          </cell>
          <cell r="H36">
            <v>0</v>
          </cell>
          <cell r="I36">
            <v>0</v>
          </cell>
          <cell r="J36">
            <v>48922696</v>
          </cell>
          <cell r="K36">
            <v>185158</v>
          </cell>
          <cell r="L36">
            <v>185158</v>
          </cell>
          <cell r="M36">
            <v>101388</v>
          </cell>
          <cell r="AE36">
            <v>2316320.2599999998</v>
          </cell>
          <cell r="AF36">
            <v>2316318</v>
          </cell>
          <cell r="AH36">
            <v>154932</v>
          </cell>
          <cell r="AI36">
            <v>0</v>
          </cell>
          <cell r="AJ36">
            <v>224639</v>
          </cell>
          <cell r="AK36">
            <v>0</v>
          </cell>
          <cell r="AL36">
            <v>0</v>
          </cell>
          <cell r="AM36">
            <v>2695889</v>
          </cell>
          <cell r="AP36">
            <v>1414844.37</v>
          </cell>
        </row>
        <row r="37">
          <cell r="B37" t="str">
            <v>Jan 2016</v>
          </cell>
          <cell r="C37" t="str">
            <v>RS</v>
          </cell>
          <cell r="D37" t="str">
            <v>RS</v>
          </cell>
          <cell r="E37" t="str">
            <v>KURSE010</v>
          </cell>
          <cell r="F37">
            <v>430268</v>
          </cell>
          <cell r="G37">
            <v>0</v>
          </cell>
          <cell r="H37">
            <v>0</v>
          </cell>
          <cell r="I37">
            <v>0</v>
          </cell>
          <cell r="J37">
            <v>742959056</v>
          </cell>
          <cell r="K37">
            <v>0</v>
          </cell>
          <cell r="L37">
            <v>0</v>
          </cell>
          <cell r="M37">
            <v>0</v>
          </cell>
          <cell r="AE37">
            <v>62160130.299999997</v>
          </cell>
          <cell r="AF37">
            <v>62160893</v>
          </cell>
          <cell r="AH37">
            <v>2352878</v>
          </cell>
          <cell r="AI37">
            <v>614519</v>
          </cell>
          <cell r="AJ37">
            <v>3411491</v>
          </cell>
          <cell r="AK37">
            <v>0</v>
          </cell>
          <cell r="AL37">
            <v>0</v>
          </cell>
          <cell r="AM37">
            <v>68539781</v>
          </cell>
          <cell r="AP37">
            <v>21486375.899999999</v>
          </cell>
        </row>
        <row r="38">
          <cell r="B38" t="str">
            <v>Jan 2016</v>
          </cell>
          <cell r="C38" t="str">
            <v>RS</v>
          </cell>
          <cell r="D38" t="str">
            <v>RS</v>
          </cell>
          <cell r="E38" t="str">
            <v>KURSE020</v>
          </cell>
          <cell r="F38">
            <v>0</v>
          </cell>
          <cell r="G38">
            <v>0</v>
          </cell>
          <cell r="H38">
            <v>0</v>
          </cell>
          <cell r="I38">
            <v>0</v>
          </cell>
          <cell r="J38">
            <v>0</v>
          </cell>
          <cell r="K38">
            <v>0</v>
          </cell>
          <cell r="L38">
            <v>0</v>
          </cell>
          <cell r="M38">
            <v>0</v>
          </cell>
          <cell r="AE38">
            <v>0</v>
          </cell>
          <cell r="AF38">
            <v>0</v>
          </cell>
          <cell r="AH38">
            <v>0</v>
          </cell>
          <cell r="AI38">
            <v>0</v>
          </cell>
          <cell r="AJ38">
            <v>0</v>
          </cell>
          <cell r="AK38">
            <v>0</v>
          </cell>
          <cell r="AL38">
            <v>0</v>
          </cell>
          <cell r="AM38">
            <v>0</v>
          </cell>
          <cell r="AP38">
            <v>0</v>
          </cell>
        </row>
        <row r="39">
          <cell r="B39" t="str">
            <v>Jan 2016</v>
          </cell>
          <cell r="C39" t="str">
            <v>RS</v>
          </cell>
          <cell r="D39" t="str">
            <v>RS</v>
          </cell>
          <cell r="E39" t="str">
            <v>KURSE025</v>
          </cell>
          <cell r="F39">
            <v>0</v>
          </cell>
          <cell r="G39">
            <v>0</v>
          </cell>
          <cell r="H39">
            <v>0</v>
          </cell>
          <cell r="I39">
            <v>0</v>
          </cell>
          <cell r="J39">
            <v>0</v>
          </cell>
          <cell r="K39">
            <v>0</v>
          </cell>
          <cell r="L39">
            <v>0</v>
          </cell>
          <cell r="M39">
            <v>0</v>
          </cell>
          <cell r="AE39">
            <v>0</v>
          </cell>
          <cell r="AF39">
            <v>0</v>
          </cell>
          <cell r="AH39">
            <v>0</v>
          </cell>
          <cell r="AI39">
            <v>0</v>
          </cell>
          <cell r="AJ39">
            <v>0</v>
          </cell>
          <cell r="AK39">
            <v>0</v>
          </cell>
          <cell r="AL39">
            <v>0</v>
          </cell>
          <cell r="AM39">
            <v>0</v>
          </cell>
          <cell r="AP39">
            <v>0</v>
          </cell>
        </row>
        <row r="40">
          <cell r="B40" t="str">
            <v>Jan 2016</v>
          </cell>
          <cell r="C40" t="str">
            <v>LEV</v>
          </cell>
          <cell r="D40" t="str">
            <v>RSLEV</v>
          </cell>
          <cell r="E40" t="str">
            <v>KURSE040</v>
          </cell>
          <cell r="F40">
            <v>7</v>
          </cell>
          <cell r="G40">
            <v>5322</v>
          </cell>
          <cell r="H40">
            <v>2200</v>
          </cell>
          <cell r="I40">
            <v>1323</v>
          </cell>
          <cell r="J40">
            <v>8845</v>
          </cell>
          <cell r="K40">
            <v>0</v>
          </cell>
          <cell r="L40">
            <v>0</v>
          </cell>
          <cell r="M40">
            <v>0</v>
          </cell>
          <cell r="AE40">
            <v>732.53</v>
          </cell>
          <cell r="AF40">
            <v>0</v>
          </cell>
          <cell r="AH40">
            <v>0</v>
          </cell>
          <cell r="AI40">
            <v>0</v>
          </cell>
          <cell r="AJ40">
            <v>0</v>
          </cell>
          <cell r="AK40">
            <v>0</v>
          </cell>
          <cell r="AL40">
            <v>0</v>
          </cell>
          <cell r="AM40">
            <v>0</v>
          </cell>
          <cell r="AP40">
            <v>255.8</v>
          </cell>
        </row>
        <row r="41">
          <cell r="B41" t="str">
            <v>Jan 2016</v>
          </cell>
          <cell r="C41" t="str">
            <v>RS</v>
          </cell>
          <cell r="D41" t="str">
            <v>RSVFD</v>
          </cell>
          <cell r="E41" t="str">
            <v>KURSE080</v>
          </cell>
          <cell r="F41">
            <v>0</v>
          </cell>
          <cell r="G41">
            <v>0</v>
          </cell>
          <cell r="H41">
            <v>0</v>
          </cell>
          <cell r="I41">
            <v>0</v>
          </cell>
          <cell r="J41">
            <v>0</v>
          </cell>
          <cell r="K41">
            <v>0</v>
          </cell>
          <cell r="L41">
            <v>0</v>
          </cell>
          <cell r="M41">
            <v>0</v>
          </cell>
          <cell r="AE41">
            <v>0</v>
          </cell>
          <cell r="AF41">
            <v>0</v>
          </cell>
          <cell r="AH41">
            <v>0</v>
          </cell>
          <cell r="AI41">
            <v>0</v>
          </cell>
          <cell r="AJ41">
            <v>0</v>
          </cell>
          <cell r="AK41">
            <v>0</v>
          </cell>
          <cell r="AL41">
            <v>0</v>
          </cell>
          <cell r="AM41">
            <v>0</v>
          </cell>
          <cell r="AP41">
            <v>0</v>
          </cell>
        </row>
        <row r="42">
          <cell r="B42" t="str">
            <v>Jan 2016</v>
          </cell>
          <cell r="C42" t="str">
            <v>RS</v>
          </cell>
          <cell r="D42" t="str">
            <v>RS</v>
          </cell>
          <cell r="E42" t="str">
            <v>KURSE715</v>
          </cell>
          <cell r="F42">
            <v>0</v>
          </cell>
          <cell r="G42">
            <v>0</v>
          </cell>
          <cell r="H42">
            <v>0</v>
          </cell>
          <cell r="I42">
            <v>0</v>
          </cell>
          <cell r="J42">
            <v>0</v>
          </cell>
          <cell r="K42">
            <v>0</v>
          </cell>
          <cell r="L42">
            <v>0</v>
          </cell>
          <cell r="M42">
            <v>0</v>
          </cell>
          <cell r="AE42">
            <v>0</v>
          </cell>
          <cell r="AF42">
            <v>0</v>
          </cell>
          <cell r="AH42">
            <v>0</v>
          </cell>
          <cell r="AI42">
            <v>0</v>
          </cell>
          <cell r="AJ42">
            <v>0</v>
          </cell>
          <cell r="AK42">
            <v>0</v>
          </cell>
          <cell r="AL42">
            <v>0</v>
          </cell>
          <cell r="AM42">
            <v>0</v>
          </cell>
          <cell r="AP42">
            <v>0</v>
          </cell>
        </row>
        <row r="43">
          <cell r="B43" t="str">
            <v>Feb 2016</v>
          </cell>
          <cell r="C43" t="str">
            <v>RTS</v>
          </cell>
          <cell r="D43" t="str">
            <v>RTS</v>
          </cell>
          <cell r="E43" t="str">
            <v>KUCIE550</v>
          </cell>
          <cell r="F43">
            <v>32</v>
          </cell>
          <cell r="G43">
            <v>0</v>
          </cell>
          <cell r="H43">
            <v>0</v>
          </cell>
          <cell r="I43">
            <v>0</v>
          </cell>
          <cell r="J43">
            <v>130048832</v>
          </cell>
          <cell r="K43">
            <v>313852</v>
          </cell>
          <cell r="L43">
            <v>298405</v>
          </cell>
          <cell r="M43">
            <v>290558</v>
          </cell>
          <cell r="AE43">
            <v>7180473.8399999989</v>
          </cell>
          <cell r="AF43">
            <v>7180474</v>
          </cell>
          <cell r="AH43">
            <v>559286</v>
          </cell>
          <cell r="AI43">
            <v>0</v>
          </cell>
          <cell r="AJ43">
            <v>705527</v>
          </cell>
          <cell r="AK43">
            <v>0</v>
          </cell>
          <cell r="AL43">
            <v>0</v>
          </cell>
          <cell r="AM43">
            <v>8445287</v>
          </cell>
          <cell r="AP43">
            <v>3761012.22</v>
          </cell>
        </row>
        <row r="44">
          <cell r="B44" t="str">
            <v>Feb 2016</v>
          </cell>
          <cell r="C44" t="str">
            <v>PSP</v>
          </cell>
          <cell r="D44" t="str">
            <v>PSP</v>
          </cell>
          <cell r="E44" t="str">
            <v>KUCIE561</v>
          </cell>
          <cell r="F44">
            <v>195</v>
          </cell>
          <cell r="G44">
            <v>0</v>
          </cell>
          <cell r="H44">
            <v>0</v>
          </cell>
          <cell r="I44">
            <v>0</v>
          </cell>
          <cell r="J44">
            <v>17683176</v>
          </cell>
          <cell r="K44">
            <v>0</v>
          </cell>
          <cell r="L44">
            <v>54613</v>
          </cell>
          <cell r="M44">
            <v>0</v>
          </cell>
          <cell r="AE44">
            <v>1382824.0699999998</v>
          </cell>
          <cell r="AF44">
            <v>1382826</v>
          </cell>
          <cell r="AH44">
            <v>76048</v>
          </cell>
          <cell r="AI44">
            <v>16967</v>
          </cell>
          <cell r="AJ44">
            <v>95933</v>
          </cell>
          <cell r="AK44">
            <v>0</v>
          </cell>
          <cell r="AL44">
            <v>0</v>
          </cell>
          <cell r="AM44">
            <v>1571774</v>
          </cell>
          <cell r="AP44">
            <v>511397.45</v>
          </cell>
        </row>
        <row r="45">
          <cell r="B45" t="str">
            <v>Feb 2016</v>
          </cell>
          <cell r="C45" t="str">
            <v>PSS</v>
          </cell>
          <cell r="D45" t="str">
            <v>PSS</v>
          </cell>
          <cell r="E45" t="str">
            <v>KUCIE562</v>
          </cell>
          <cell r="F45">
            <v>4640</v>
          </cell>
          <cell r="G45">
            <v>0</v>
          </cell>
          <cell r="H45">
            <v>0</v>
          </cell>
          <cell r="I45">
            <v>0</v>
          </cell>
          <cell r="J45">
            <v>153360986</v>
          </cell>
          <cell r="K45">
            <v>0</v>
          </cell>
          <cell r="L45">
            <v>526967</v>
          </cell>
          <cell r="M45">
            <v>0</v>
          </cell>
          <cell r="AE45">
            <v>12839349.940000001</v>
          </cell>
          <cell r="AF45">
            <v>12839352</v>
          </cell>
          <cell r="AH45">
            <v>659542</v>
          </cell>
          <cell r="AI45">
            <v>147146</v>
          </cell>
          <cell r="AJ45">
            <v>831998</v>
          </cell>
          <cell r="AK45">
            <v>0</v>
          </cell>
          <cell r="AL45">
            <v>0</v>
          </cell>
          <cell r="AM45">
            <v>14478038</v>
          </cell>
          <cell r="AP45">
            <v>4435199.72</v>
          </cell>
        </row>
        <row r="46">
          <cell r="B46" t="str">
            <v>Feb 2016</v>
          </cell>
          <cell r="C46" t="str">
            <v>TODP</v>
          </cell>
          <cell r="D46" t="str">
            <v>TODP</v>
          </cell>
          <cell r="E46" t="str">
            <v>KUCIE563</v>
          </cell>
          <cell r="F46">
            <v>52</v>
          </cell>
          <cell r="G46">
            <v>0</v>
          </cell>
          <cell r="H46">
            <v>0</v>
          </cell>
          <cell r="I46">
            <v>0</v>
          </cell>
          <cell r="J46">
            <v>231780500</v>
          </cell>
          <cell r="K46">
            <v>519785</v>
          </cell>
          <cell r="L46">
            <v>486707</v>
          </cell>
          <cell r="M46">
            <v>480301</v>
          </cell>
          <cell r="AE46">
            <v>13020361.76</v>
          </cell>
          <cell r="AF46">
            <v>13020365</v>
          </cell>
          <cell r="AH46">
            <v>996792</v>
          </cell>
          <cell r="AI46">
            <v>222388</v>
          </cell>
          <cell r="AJ46">
            <v>1257431</v>
          </cell>
          <cell r="AK46">
            <v>0</v>
          </cell>
          <cell r="AL46">
            <v>0</v>
          </cell>
          <cell r="AM46">
            <v>15496976</v>
          </cell>
          <cell r="AP46">
            <v>6703092.0599999996</v>
          </cell>
        </row>
        <row r="47">
          <cell r="B47" t="str">
            <v>Feb 2016</v>
          </cell>
          <cell r="C47" t="str">
            <v>PSP</v>
          </cell>
          <cell r="D47" t="str">
            <v>PSP</v>
          </cell>
          <cell r="E47" t="str">
            <v>KUCIE566</v>
          </cell>
          <cell r="F47">
            <v>0</v>
          </cell>
          <cell r="G47">
            <v>0</v>
          </cell>
          <cell r="H47">
            <v>0</v>
          </cell>
          <cell r="I47">
            <v>0</v>
          </cell>
          <cell r="J47">
            <v>0</v>
          </cell>
          <cell r="K47">
            <v>0</v>
          </cell>
          <cell r="L47">
            <v>0</v>
          </cell>
          <cell r="M47">
            <v>0</v>
          </cell>
          <cell r="AE47">
            <v>0</v>
          </cell>
          <cell r="AF47">
            <v>0</v>
          </cell>
          <cell r="AH47">
            <v>0</v>
          </cell>
          <cell r="AI47">
            <v>0</v>
          </cell>
          <cell r="AJ47">
            <v>0</v>
          </cell>
          <cell r="AK47">
            <v>0</v>
          </cell>
          <cell r="AL47">
            <v>0</v>
          </cell>
          <cell r="AM47">
            <v>0</v>
          </cell>
          <cell r="AP47">
            <v>0</v>
          </cell>
        </row>
        <row r="48">
          <cell r="B48" t="str">
            <v>Feb 2016</v>
          </cell>
          <cell r="C48" t="str">
            <v>PSS</v>
          </cell>
          <cell r="D48" t="str">
            <v>PSS</v>
          </cell>
          <cell r="E48" t="str">
            <v>KUCIE568</v>
          </cell>
          <cell r="F48">
            <v>0</v>
          </cell>
          <cell r="G48">
            <v>0</v>
          </cell>
          <cell r="H48">
            <v>0</v>
          </cell>
          <cell r="I48">
            <v>0</v>
          </cell>
          <cell r="J48">
            <v>0</v>
          </cell>
          <cell r="K48">
            <v>0</v>
          </cell>
          <cell r="L48">
            <v>0</v>
          </cell>
          <cell r="M48">
            <v>0</v>
          </cell>
          <cell r="AE48">
            <v>0</v>
          </cell>
          <cell r="AF48">
            <v>0</v>
          </cell>
          <cell r="AH48">
            <v>0</v>
          </cell>
          <cell r="AI48">
            <v>0</v>
          </cell>
          <cell r="AJ48">
            <v>0</v>
          </cell>
          <cell r="AK48">
            <v>0</v>
          </cell>
          <cell r="AL48">
            <v>0</v>
          </cell>
          <cell r="AM48">
            <v>0</v>
          </cell>
          <cell r="AP48">
            <v>0</v>
          </cell>
        </row>
        <row r="49">
          <cell r="B49" t="str">
            <v>Feb 2016</v>
          </cell>
          <cell r="C49" t="str">
            <v>TODP</v>
          </cell>
          <cell r="D49" t="str">
            <v>TODP</v>
          </cell>
          <cell r="E49" t="str">
            <v>KUCIE571</v>
          </cell>
          <cell r="F49">
            <v>205</v>
          </cell>
          <cell r="G49">
            <v>0</v>
          </cell>
          <cell r="H49">
            <v>0</v>
          </cell>
          <cell r="I49">
            <v>0</v>
          </cell>
          <cell r="J49">
            <v>97557303</v>
          </cell>
          <cell r="K49">
            <v>263568</v>
          </cell>
          <cell r="L49">
            <v>249792</v>
          </cell>
          <cell r="M49">
            <v>246265</v>
          </cell>
          <cell r="AE49">
            <v>5923748.5600000005</v>
          </cell>
          <cell r="AF49">
            <v>5923746</v>
          </cell>
          <cell r="AH49">
            <v>419554</v>
          </cell>
          <cell r="AI49">
            <v>93604</v>
          </cell>
          <cell r="AJ49">
            <v>529257</v>
          </cell>
          <cell r="AK49">
            <v>0</v>
          </cell>
          <cell r="AL49">
            <v>0</v>
          </cell>
          <cell r="AM49">
            <v>6966161</v>
          </cell>
          <cell r="AP49">
            <v>2821357.2</v>
          </cell>
        </row>
        <row r="50">
          <cell r="B50" t="str">
            <v>Feb 2016</v>
          </cell>
          <cell r="C50" t="str">
            <v>TODS</v>
          </cell>
          <cell r="D50" t="str">
            <v>TODS</v>
          </cell>
          <cell r="E50" t="str">
            <v>KUCIE572</v>
          </cell>
          <cell r="F50">
            <v>468</v>
          </cell>
          <cell r="G50">
            <v>0</v>
          </cell>
          <cell r="H50">
            <v>0</v>
          </cell>
          <cell r="I50">
            <v>0</v>
          </cell>
          <cell r="J50">
            <v>120135692</v>
          </cell>
          <cell r="K50">
            <v>307137</v>
          </cell>
          <cell r="L50">
            <v>279740</v>
          </cell>
          <cell r="M50">
            <v>273474</v>
          </cell>
          <cell r="AE50">
            <v>7807695.2999999998</v>
          </cell>
          <cell r="AF50">
            <v>7807695</v>
          </cell>
          <cell r="AH50">
            <v>516654</v>
          </cell>
          <cell r="AI50">
            <v>115267</v>
          </cell>
          <cell r="AJ50">
            <v>651747</v>
          </cell>
          <cell r="AK50">
            <v>0</v>
          </cell>
          <cell r="AL50">
            <v>0</v>
          </cell>
          <cell r="AM50">
            <v>9091363</v>
          </cell>
          <cell r="AP50">
            <v>3474324.21</v>
          </cell>
        </row>
        <row r="51">
          <cell r="B51" t="str">
            <v>Feb 2016</v>
          </cell>
          <cell r="C51" t="str">
            <v>PSS</v>
          </cell>
          <cell r="D51" t="str">
            <v>PSS</v>
          </cell>
          <cell r="E51" t="str">
            <v>KUCIE717</v>
          </cell>
          <cell r="F51">
            <v>0</v>
          </cell>
          <cell r="G51">
            <v>0</v>
          </cell>
          <cell r="H51">
            <v>0</v>
          </cell>
          <cell r="I51">
            <v>0</v>
          </cell>
          <cell r="J51">
            <v>0</v>
          </cell>
          <cell r="K51">
            <v>0</v>
          </cell>
          <cell r="L51">
            <v>0</v>
          </cell>
          <cell r="M51">
            <v>0</v>
          </cell>
          <cell r="AE51">
            <v>0</v>
          </cell>
          <cell r="AF51">
            <v>0</v>
          </cell>
          <cell r="AH51">
            <v>0</v>
          </cell>
          <cell r="AI51">
            <v>0</v>
          </cell>
          <cell r="AJ51">
            <v>0</v>
          </cell>
          <cell r="AK51">
            <v>0</v>
          </cell>
          <cell r="AL51">
            <v>0</v>
          </cell>
          <cell r="AM51">
            <v>0</v>
          </cell>
          <cell r="AP51">
            <v>0</v>
          </cell>
        </row>
        <row r="52">
          <cell r="B52" t="str">
            <v>Feb 2016</v>
          </cell>
          <cell r="C52" t="str">
            <v>GS</v>
          </cell>
          <cell r="D52" t="str">
            <v>GS</v>
          </cell>
          <cell r="E52" t="str">
            <v>KUCME110</v>
          </cell>
          <cell r="F52">
            <v>63545</v>
          </cell>
          <cell r="G52">
            <v>0</v>
          </cell>
          <cell r="H52">
            <v>0</v>
          </cell>
          <cell r="I52">
            <v>0</v>
          </cell>
          <cell r="J52">
            <v>68222048</v>
          </cell>
          <cell r="K52">
            <v>0</v>
          </cell>
          <cell r="L52">
            <v>0</v>
          </cell>
          <cell r="M52">
            <v>0</v>
          </cell>
          <cell r="AE52">
            <v>7564383.9299999997</v>
          </cell>
          <cell r="AF52">
            <v>7564381</v>
          </cell>
          <cell r="AH52">
            <v>293395</v>
          </cell>
          <cell r="AI52">
            <v>65457</v>
          </cell>
          <cell r="AJ52">
            <v>370111</v>
          </cell>
          <cell r="AK52">
            <v>0</v>
          </cell>
          <cell r="AL52">
            <v>0</v>
          </cell>
          <cell r="AM52">
            <v>8293344</v>
          </cell>
          <cell r="AP52">
            <v>1972981.63</v>
          </cell>
        </row>
        <row r="53">
          <cell r="B53" t="str">
            <v>Feb 2016</v>
          </cell>
          <cell r="C53" t="str">
            <v>GS</v>
          </cell>
          <cell r="D53" t="str">
            <v>GS</v>
          </cell>
          <cell r="E53" t="str">
            <v>KUCME112</v>
          </cell>
          <cell r="F53">
            <v>0</v>
          </cell>
          <cell r="G53">
            <v>0</v>
          </cell>
          <cell r="H53">
            <v>0</v>
          </cell>
          <cell r="I53">
            <v>0</v>
          </cell>
          <cell r="J53">
            <v>0</v>
          </cell>
          <cell r="K53">
            <v>0</v>
          </cell>
          <cell r="L53">
            <v>0</v>
          </cell>
          <cell r="M53">
            <v>0</v>
          </cell>
          <cell r="AE53">
            <v>0</v>
          </cell>
          <cell r="AF53">
            <v>0</v>
          </cell>
          <cell r="AH53">
            <v>0</v>
          </cell>
          <cell r="AI53">
            <v>0</v>
          </cell>
          <cell r="AJ53">
            <v>0</v>
          </cell>
          <cell r="AK53">
            <v>0</v>
          </cell>
          <cell r="AL53">
            <v>0</v>
          </cell>
          <cell r="AM53">
            <v>0</v>
          </cell>
          <cell r="AP53">
            <v>0</v>
          </cell>
        </row>
        <row r="54">
          <cell r="B54" t="str">
            <v>Feb 2016</v>
          </cell>
          <cell r="C54" t="str">
            <v>GS3</v>
          </cell>
          <cell r="D54" t="str">
            <v>GS3</v>
          </cell>
          <cell r="E54" t="str">
            <v>KUCME113</v>
          </cell>
          <cell r="F54">
            <v>18575</v>
          </cell>
          <cell r="G54">
            <v>0</v>
          </cell>
          <cell r="H54">
            <v>0</v>
          </cell>
          <cell r="I54">
            <v>0</v>
          </cell>
          <cell r="J54">
            <v>99957153</v>
          </cell>
          <cell r="K54">
            <v>412611</v>
          </cell>
          <cell r="L54">
            <v>0</v>
          </cell>
          <cell r="M54">
            <v>0</v>
          </cell>
          <cell r="AE54">
            <v>9871172.3599999994</v>
          </cell>
          <cell r="AF54">
            <v>9871177</v>
          </cell>
          <cell r="AH54">
            <v>429875</v>
          </cell>
          <cell r="AI54">
            <v>95907</v>
          </cell>
          <cell r="AJ54">
            <v>542277</v>
          </cell>
          <cell r="AK54">
            <v>0</v>
          </cell>
          <cell r="AL54">
            <v>0</v>
          </cell>
          <cell r="AM54">
            <v>10939236</v>
          </cell>
          <cell r="AP54">
            <v>2890760.86</v>
          </cell>
        </row>
        <row r="55">
          <cell r="B55" t="str">
            <v>Feb 2016</v>
          </cell>
          <cell r="C55" t="str">
            <v>AES</v>
          </cell>
          <cell r="D55" t="str">
            <v>AES</v>
          </cell>
          <cell r="E55" t="str">
            <v>KUCME220</v>
          </cell>
          <cell r="F55">
            <v>373</v>
          </cell>
          <cell r="G55">
            <v>0</v>
          </cell>
          <cell r="H55">
            <v>0</v>
          </cell>
          <cell r="I55">
            <v>0</v>
          </cell>
          <cell r="J55">
            <v>719702</v>
          </cell>
          <cell r="K55">
            <v>0</v>
          </cell>
          <cell r="L55">
            <v>0</v>
          </cell>
          <cell r="M55">
            <v>0</v>
          </cell>
          <cell r="AE55">
            <v>61005.83</v>
          </cell>
          <cell r="AF55">
            <v>61006</v>
          </cell>
          <cell r="AH55">
            <v>3095</v>
          </cell>
          <cell r="AI55">
            <v>691</v>
          </cell>
          <cell r="AJ55">
            <v>3904</v>
          </cell>
          <cell r="AK55">
            <v>0</v>
          </cell>
          <cell r="AL55">
            <v>0</v>
          </cell>
          <cell r="AM55">
            <v>68696</v>
          </cell>
          <cell r="AP55">
            <v>20813.78</v>
          </cell>
        </row>
        <row r="56">
          <cell r="B56" t="str">
            <v>Feb 2016</v>
          </cell>
          <cell r="C56" t="str">
            <v>AES</v>
          </cell>
          <cell r="D56" t="str">
            <v>AES</v>
          </cell>
          <cell r="E56" t="str">
            <v>KUCME221</v>
          </cell>
          <cell r="F56">
            <v>0</v>
          </cell>
          <cell r="G56">
            <v>0</v>
          </cell>
          <cell r="H56">
            <v>0</v>
          </cell>
          <cell r="I56">
            <v>0</v>
          </cell>
          <cell r="J56">
            <v>0</v>
          </cell>
          <cell r="K56">
            <v>0</v>
          </cell>
          <cell r="L56">
            <v>0</v>
          </cell>
          <cell r="M56">
            <v>0</v>
          </cell>
          <cell r="AE56">
            <v>0</v>
          </cell>
          <cell r="AF56">
            <v>0</v>
          </cell>
          <cell r="AH56">
            <v>0</v>
          </cell>
          <cell r="AI56">
            <v>0</v>
          </cell>
          <cell r="AJ56">
            <v>0</v>
          </cell>
          <cell r="AK56">
            <v>0</v>
          </cell>
          <cell r="AL56">
            <v>0</v>
          </cell>
          <cell r="AM56">
            <v>0</v>
          </cell>
          <cell r="AP56">
            <v>0</v>
          </cell>
        </row>
        <row r="57">
          <cell r="B57" t="str">
            <v>Feb 2016</v>
          </cell>
          <cell r="C57" t="str">
            <v>AES3</v>
          </cell>
          <cell r="D57" t="str">
            <v>AES3</v>
          </cell>
          <cell r="E57" t="str">
            <v>KUCME223</v>
          </cell>
          <cell r="F57">
            <v>0</v>
          </cell>
          <cell r="G57">
            <v>0</v>
          </cell>
          <cell r="H57">
            <v>0</v>
          </cell>
          <cell r="I57">
            <v>0</v>
          </cell>
          <cell r="J57">
            <v>0</v>
          </cell>
          <cell r="K57">
            <v>0</v>
          </cell>
          <cell r="L57">
            <v>0</v>
          </cell>
          <cell r="M57">
            <v>0</v>
          </cell>
          <cell r="AE57">
            <v>0</v>
          </cell>
          <cell r="AF57">
            <v>0</v>
          </cell>
          <cell r="AH57">
            <v>0</v>
          </cell>
          <cell r="AI57">
            <v>0</v>
          </cell>
          <cell r="AJ57">
            <v>0</v>
          </cell>
          <cell r="AK57">
            <v>0</v>
          </cell>
          <cell r="AL57">
            <v>0</v>
          </cell>
          <cell r="AM57">
            <v>0</v>
          </cell>
          <cell r="AP57">
            <v>0</v>
          </cell>
        </row>
        <row r="58">
          <cell r="B58" t="str">
            <v>Feb 2016</v>
          </cell>
          <cell r="C58" t="str">
            <v>AES3</v>
          </cell>
          <cell r="D58" t="str">
            <v>AES3</v>
          </cell>
          <cell r="E58" t="str">
            <v>KUCME224</v>
          </cell>
          <cell r="F58">
            <v>260</v>
          </cell>
          <cell r="G58">
            <v>0</v>
          </cell>
          <cell r="H58">
            <v>0</v>
          </cell>
          <cell r="I58">
            <v>0</v>
          </cell>
          <cell r="J58">
            <v>13339327</v>
          </cell>
          <cell r="K58">
            <v>55251</v>
          </cell>
          <cell r="L58">
            <v>0</v>
          </cell>
          <cell r="M58">
            <v>0</v>
          </cell>
          <cell r="AE58">
            <v>1001545.93</v>
          </cell>
          <cell r="AF58">
            <v>1001546</v>
          </cell>
          <cell r="AH58">
            <v>57367</v>
          </cell>
          <cell r="AI58">
            <v>12799</v>
          </cell>
          <cell r="AJ58">
            <v>72367</v>
          </cell>
          <cell r="AK58">
            <v>0</v>
          </cell>
          <cell r="AL58">
            <v>0</v>
          </cell>
          <cell r="AM58">
            <v>1144079</v>
          </cell>
          <cell r="AP58">
            <v>385773.34</v>
          </cell>
        </row>
        <row r="59">
          <cell r="B59" t="str">
            <v>Feb 2016</v>
          </cell>
          <cell r="C59" t="str">
            <v>AES3</v>
          </cell>
          <cell r="D59" t="str">
            <v>AES3</v>
          </cell>
          <cell r="E59" t="str">
            <v>KUCME225</v>
          </cell>
          <cell r="F59">
            <v>0</v>
          </cell>
          <cell r="G59">
            <v>0</v>
          </cell>
          <cell r="H59">
            <v>0</v>
          </cell>
          <cell r="I59">
            <v>0</v>
          </cell>
          <cell r="J59">
            <v>0</v>
          </cell>
          <cell r="K59">
            <v>0</v>
          </cell>
          <cell r="L59">
            <v>0</v>
          </cell>
          <cell r="M59">
            <v>0</v>
          </cell>
          <cell r="AE59">
            <v>0</v>
          </cell>
          <cell r="AF59">
            <v>0</v>
          </cell>
          <cell r="AH59">
            <v>0</v>
          </cell>
          <cell r="AI59">
            <v>0</v>
          </cell>
          <cell r="AJ59">
            <v>0</v>
          </cell>
          <cell r="AK59">
            <v>0</v>
          </cell>
          <cell r="AL59">
            <v>0</v>
          </cell>
          <cell r="AM59">
            <v>0</v>
          </cell>
          <cell r="AP59">
            <v>0</v>
          </cell>
        </row>
        <row r="60">
          <cell r="B60" t="str">
            <v>Feb 2016</v>
          </cell>
          <cell r="C60" t="str">
            <v>AES</v>
          </cell>
          <cell r="D60" t="str">
            <v>AES</v>
          </cell>
          <cell r="E60" t="str">
            <v>KUCME226</v>
          </cell>
          <cell r="F60">
            <v>0</v>
          </cell>
          <cell r="G60">
            <v>0</v>
          </cell>
          <cell r="H60">
            <v>0</v>
          </cell>
          <cell r="I60">
            <v>0</v>
          </cell>
          <cell r="J60">
            <v>0</v>
          </cell>
          <cell r="K60">
            <v>0</v>
          </cell>
          <cell r="L60">
            <v>0</v>
          </cell>
          <cell r="M60">
            <v>0</v>
          </cell>
          <cell r="AE60">
            <v>0</v>
          </cell>
          <cell r="AF60">
            <v>0</v>
          </cell>
          <cell r="AH60">
            <v>0</v>
          </cell>
          <cell r="AI60">
            <v>0</v>
          </cell>
          <cell r="AJ60">
            <v>0</v>
          </cell>
          <cell r="AK60">
            <v>0</v>
          </cell>
          <cell r="AL60">
            <v>0</v>
          </cell>
          <cell r="AM60">
            <v>0</v>
          </cell>
          <cell r="AP60">
            <v>0</v>
          </cell>
        </row>
        <row r="61">
          <cell r="B61" t="str">
            <v>Feb 2016</v>
          </cell>
          <cell r="C61" t="str">
            <v>AES3</v>
          </cell>
          <cell r="D61" t="str">
            <v>AES3</v>
          </cell>
          <cell r="E61" t="str">
            <v>KUCME227</v>
          </cell>
          <cell r="F61">
            <v>0</v>
          </cell>
          <cell r="G61">
            <v>0</v>
          </cell>
          <cell r="H61">
            <v>0</v>
          </cell>
          <cell r="I61">
            <v>0</v>
          </cell>
          <cell r="J61">
            <v>0</v>
          </cell>
          <cell r="K61">
            <v>0</v>
          </cell>
          <cell r="L61">
            <v>0</v>
          </cell>
          <cell r="M61">
            <v>0</v>
          </cell>
          <cell r="AE61">
            <v>0</v>
          </cell>
          <cell r="AF61">
            <v>0</v>
          </cell>
          <cell r="AH61">
            <v>0</v>
          </cell>
          <cell r="AI61">
            <v>0</v>
          </cell>
          <cell r="AJ61">
            <v>0</v>
          </cell>
          <cell r="AK61">
            <v>0</v>
          </cell>
          <cell r="AL61">
            <v>0</v>
          </cell>
          <cell r="AM61">
            <v>0</v>
          </cell>
          <cell r="AP61">
            <v>0</v>
          </cell>
        </row>
        <row r="62">
          <cell r="B62" t="str">
            <v>Feb 2016</v>
          </cell>
          <cell r="C62" t="str">
            <v>LE</v>
          </cell>
          <cell r="D62" t="str">
            <v>LE</v>
          </cell>
          <cell r="E62" t="str">
            <v>KUCME290</v>
          </cell>
          <cell r="F62">
            <v>2</v>
          </cell>
          <cell r="G62">
            <v>0</v>
          </cell>
          <cell r="H62">
            <v>0</v>
          </cell>
          <cell r="I62">
            <v>0</v>
          </cell>
          <cell r="J62">
            <v>11656</v>
          </cell>
          <cell r="K62">
            <v>0</v>
          </cell>
          <cell r="L62">
            <v>0</v>
          </cell>
          <cell r="M62">
            <v>0</v>
          </cell>
          <cell r="AE62">
            <v>743.65</v>
          </cell>
          <cell r="AF62">
            <v>0</v>
          </cell>
          <cell r="AH62">
            <v>0</v>
          </cell>
          <cell r="AI62">
            <v>0</v>
          </cell>
          <cell r="AJ62">
            <v>0</v>
          </cell>
          <cell r="AK62">
            <v>0</v>
          </cell>
          <cell r="AL62">
            <v>0</v>
          </cell>
          <cell r="AM62">
            <v>0</v>
          </cell>
          <cell r="AP62">
            <v>337.09</v>
          </cell>
        </row>
        <row r="63">
          <cell r="B63" t="str">
            <v>Feb 2016</v>
          </cell>
          <cell r="C63" t="str">
            <v>LE</v>
          </cell>
          <cell r="D63" t="str">
            <v>LE</v>
          </cell>
          <cell r="E63" t="str">
            <v>KUCME291</v>
          </cell>
          <cell r="F63">
            <v>0</v>
          </cell>
          <cell r="G63">
            <v>0</v>
          </cell>
          <cell r="H63">
            <v>0</v>
          </cell>
          <cell r="I63">
            <v>0</v>
          </cell>
          <cell r="J63">
            <v>0</v>
          </cell>
          <cell r="K63">
            <v>0</v>
          </cell>
          <cell r="L63">
            <v>0</v>
          </cell>
          <cell r="M63">
            <v>0</v>
          </cell>
          <cell r="AE63">
            <v>0</v>
          </cell>
          <cell r="AF63">
            <v>0</v>
          </cell>
          <cell r="AH63">
            <v>0</v>
          </cell>
          <cell r="AI63">
            <v>0</v>
          </cell>
          <cell r="AJ63">
            <v>0</v>
          </cell>
          <cell r="AK63">
            <v>0</v>
          </cell>
          <cell r="AL63">
            <v>0</v>
          </cell>
          <cell r="AM63">
            <v>0</v>
          </cell>
          <cell r="AP63">
            <v>0</v>
          </cell>
        </row>
        <row r="64">
          <cell r="B64" t="str">
            <v>Feb 2016</v>
          </cell>
          <cell r="C64" t="str">
            <v>TE</v>
          </cell>
          <cell r="D64" t="str">
            <v>TE</v>
          </cell>
          <cell r="E64" t="str">
            <v>KUCME295</v>
          </cell>
          <cell r="F64">
            <v>747</v>
          </cell>
          <cell r="G64">
            <v>0</v>
          </cell>
          <cell r="H64">
            <v>0</v>
          </cell>
          <cell r="I64">
            <v>0</v>
          </cell>
          <cell r="J64">
            <v>104312</v>
          </cell>
          <cell r="K64">
            <v>0</v>
          </cell>
          <cell r="L64">
            <v>0</v>
          </cell>
          <cell r="M64">
            <v>0</v>
          </cell>
          <cell r="AE64">
            <v>10749.76</v>
          </cell>
          <cell r="AF64">
            <v>0</v>
          </cell>
          <cell r="AH64">
            <v>0</v>
          </cell>
          <cell r="AI64">
            <v>0</v>
          </cell>
          <cell r="AJ64">
            <v>0</v>
          </cell>
          <cell r="AK64">
            <v>0</v>
          </cell>
          <cell r="AL64">
            <v>0</v>
          </cell>
          <cell r="AM64">
            <v>0</v>
          </cell>
          <cell r="AP64">
            <v>3016.7</v>
          </cell>
        </row>
        <row r="65">
          <cell r="B65" t="str">
            <v>Feb 2016</v>
          </cell>
          <cell r="C65" t="str">
            <v>TE</v>
          </cell>
          <cell r="D65" t="str">
            <v>TE</v>
          </cell>
          <cell r="E65" t="str">
            <v>KUCME297</v>
          </cell>
          <cell r="F65">
            <v>0</v>
          </cell>
          <cell r="G65">
            <v>0</v>
          </cell>
          <cell r="H65">
            <v>0</v>
          </cell>
          <cell r="I65">
            <v>0</v>
          </cell>
          <cell r="J65">
            <v>0</v>
          </cell>
          <cell r="K65">
            <v>0</v>
          </cell>
          <cell r="L65">
            <v>0</v>
          </cell>
          <cell r="M65">
            <v>0</v>
          </cell>
          <cell r="AE65">
            <v>0</v>
          </cell>
          <cell r="AF65">
            <v>0</v>
          </cell>
          <cell r="AH65">
            <v>0</v>
          </cell>
          <cell r="AI65">
            <v>0</v>
          </cell>
          <cell r="AJ65">
            <v>0</v>
          </cell>
          <cell r="AK65">
            <v>0</v>
          </cell>
          <cell r="AL65">
            <v>0</v>
          </cell>
          <cell r="AM65">
            <v>0</v>
          </cell>
          <cell r="AP65">
            <v>0</v>
          </cell>
        </row>
        <row r="66">
          <cell r="B66" t="str">
            <v>Feb 2016</v>
          </cell>
          <cell r="C66" t="str">
            <v>SQF</v>
          </cell>
          <cell r="D66" t="str">
            <v>SQF</v>
          </cell>
          <cell r="E66" t="str">
            <v>KUCME705</v>
          </cell>
          <cell r="F66">
            <v>0</v>
          </cell>
          <cell r="G66">
            <v>0</v>
          </cell>
          <cell r="H66">
            <v>0</v>
          </cell>
          <cell r="I66">
            <v>0</v>
          </cell>
          <cell r="J66">
            <v>0</v>
          </cell>
          <cell r="K66">
            <v>0</v>
          </cell>
          <cell r="L66">
            <v>0</v>
          </cell>
          <cell r="M66">
            <v>0</v>
          </cell>
          <cell r="AE66">
            <v>0</v>
          </cell>
          <cell r="AF66">
            <v>0</v>
          </cell>
          <cell r="AH66">
            <v>0</v>
          </cell>
          <cell r="AI66">
            <v>0</v>
          </cell>
          <cell r="AJ66">
            <v>0</v>
          </cell>
          <cell r="AK66">
            <v>0</v>
          </cell>
          <cell r="AL66">
            <v>0</v>
          </cell>
          <cell r="AM66">
            <v>0</v>
          </cell>
          <cell r="AP66">
            <v>0</v>
          </cell>
        </row>
        <row r="67">
          <cell r="B67" t="str">
            <v>Feb 2016</v>
          </cell>
          <cell r="C67" t="str">
            <v>LQF</v>
          </cell>
          <cell r="D67" t="str">
            <v>LQF</v>
          </cell>
          <cell r="E67" t="str">
            <v>KUCME707</v>
          </cell>
          <cell r="F67">
            <v>0</v>
          </cell>
          <cell r="G67">
            <v>0</v>
          </cell>
          <cell r="H67">
            <v>0</v>
          </cell>
          <cell r="I67">
            <v>0</v>
          </cell>
          <cell r="J67">
            <v>0</v>
          </cell>
          <cell r="K67">
            <v>0</v>
          </cell>
          <cell r="L67">
            <v>0</v>
          </cell>
          <cell r="M67">
            <v>0</v>
          </cell>
          <cell r="AE67">
            <v>0</v>
          </cell>
          <cell r="AF67">
            <v>0</v>
          </cell>
          <cell r="AH67">
            <v>0</v>
          </cell>
          <cell r="AI67">
            <v>0</v>
          </cell>
          <cell r="AJ67">
            <v>0</v>
          </cell>
          <cell r="AK67">
            <v>0</v>
          </cell>
          <cell r="AL67">
            <v>0</v>
          </cell>
          <cell r="AM67">
            <v>0</v>
          </cell>
          <cell r="AP67">
            <v>0</v>
          </cell>
        </row>
        <row r="68">
          <cell r="B68" t="str">
            <v>Feb 2016</v>
          </cell>
          <cell r="C68" t="str">
            <v>GS</v>
          </cell>
          <cell r="D68" t="str">
            <v>GS</v>
          </cell>
          <cell r="E68" t="str">
            <v>KUCME710</v>
          </cell>
          <cell r="F68">
            <v>0</v>
          </cell>
          <cell r="G68">
            <v>0</v>
          </cell>
          <cell r="H68">
            <v>0</v>
          </cell>
          <cell r="I68">
            <v>0</v>
          </cell>
          <cell r="J68">
            <v>0</v>
          </cell>
          <cell r="K68">
            <v>0</v>
          </cell>
          <cell r="L68">
            <v>0</v>
          </cell>
          <cell r="M68">
            <v>0</v>
          </cell>
          <cell r="AE68">
            <v>0</v>
          </cell>
          <cell r="AF68">
            <v>0</v>
          </cell>
          <cell r="AH68">
            <v>0</v>
          </cell>
          <cell r="AI68">
            <v>0</v>
          </cell>
          <cell r="AJ68">
            <v>0</v>
          </cell>
          <cell r="AK68">
            <v>0</v>
          </cell>
          <cell r="AL68">
            <v>0</v>
          </cell>
          <cell r="AM68">
            <v>0</v>
          </cell>
          <cell r="AP68">
            <v>0</v>
          </cell>
        </row>
        <row r="69">
          <cell r="B69" t="str">
            <v>Feb 2016</v>
          </cell>
          <cell r="C69" t="str">
            <v>GS3</v>
          </cell>
          <cell r="D69" t="str">
            <v>GS3</v>
          </cell>
          <cell r="E69" t="str">
            <v>KUCME713</v>
          </cell>
          <cell r="F69">
            <v>0</v>
          </cell>
          <cell r="G69">
            <v>0</v>
          </cell>
          <cell r="H69">
            <v>0</v>
          </cell>
          <cell r="I69">
            <v>0</v>
          </cell>
          <cell r="J69">
            <v>0</v>
          </cell>
          <cell r="K69">
            <v>0</v>
          </cell>
          <cell r="L69">
            <v>0</v>
          </cell>
          <cell r="M69">
            <v>0</v>
          </cell>
          <cell r="AE69">
            <v>0</v>
          </cell>
          <cell r="AF69">
            <v>0</v>
          </cell>
          <cell r="AH69">
            <v>0</v>
          </cell>
          <cell r="AI69">
            <v>0</v>
          </cell>
          <cell r="AJ69">
            <v>0</v>
          </cell>
          <cell r="AK69">
            <v>0</v>
          </cell>
          <cell r="AL69">
            <v>0</v>
          </cell>
          <cell r="AM69">
            <v>0</v>
          </cell>
          <cell r="AP69">
            <v>0</v>
          </cell>
        </row>
        <row r="70">
          <cell r="B70" t="str">
            <v>Feb 2016</v>
          </cell>
          <cell r="C70" t="str">
            <v>CSR10</v>
          </cell>
          <cell r="D70" t="str">
            <v>CSR10</v>
          </cell>
          <cell r="E70" t="str">
            <v>KUCSR760</v>
          </cell>
          <cell r="F70">
            <v>0</v>
          </cell>
          <cell r="G70">
            <v>0</v>
          </cell>
          <cell r="H70">
            <v>0</v>
          </cell>
          <cell r="I70">
            <v>0</v>
          </cell>
          <cell r="J70">
            <v>0</v>
          </cell>
          <cell r="K70">
            <v>0</v>
          </cell>
          <cell r="L70">
            <v>0</v>
          </cell>
          <cell r="M70">
            <v>0</v>
          </cell>
          <cell r="AE70">
            <v>0</v>
          </cell>
          <cell r="AF70">
            <v>0</v>
          </cell>
          <cell r="AH70">
            <v>0</v>
          </cell>
          <cell r="AI70">
            <v>0</v>
          </cell>
          <cell r="AJ70">
            <v>0</v>
          </cell>
          <cell r="AK70">
            <v>0</v>
          </cell>
          <cell r="AL70">
            <v>-989829</v>
          </cell>
          <cell r="AM70">
            <v>-989829</v>
          </cell>
          <cell r="AP70">
            <v>0</v>
          </cell>
        </row>
        <row r="71">
          <cell r="B71" t="str">
            <v>Feb 2016</v>
          </cell>
          <cell r="C71" t="str">
            <v>CSR10</v>
          </cell>
          <cell r="D71" t="str">
            <v>CSR10</v>
          </cell>
          <cell r="E71" t="str">
            <v>KUCSR761</v>
          </cell>
          <cell r="F71">
            <v>0</v>
          </cell>
          <cell r="G71">
            <v>0</v>
          </cell>
          <cell r="H71">
            <v>0</v>
          </cell>
          <cell r="I71">
            <v>0</v>
          </cell>
          <cell r="J71">
            <v>0</v>
          </cell>
          <cell r="K71">
            <v>0</v>
          </cell>
          <cell r="L71">
            <v>0</v>
          </cell>
          <cell r="M71">
            <v>0</v>
          </cell>
          <cell r="AE71">
            <v>0</v>
          </cell>
          <cell r="AF71">
            <v>0</v>
          </cell>
          <cell r="AH71">
            <v>0</v>
          </cell>
          <cell r="AI71">
            <v>0</v>
          </cell>
          <cell r="AJ71">
            <v>0</v>
          </cell>
          <cell r="AK71">
            <v>0</v>
          </cell>
          <cell r="AL71">
            <v>0</v>
          </cell>
          <cell r="AM71">
            <v>0</v>
          </cell>
          <cell r="AP71">
            <v>0</v>
          </cell>
        </row>
        <row r="72">
          <cell r="B72" t="str">
            <v>Feb 2016</v>
          </cell>
          <cell r="C72" t="str">
            <v>CSR30</v>
          </cell>
          <cell r="D72" t="str">
            <v>CSR30</v>
          </cell>
          <cell r="E72" t="str">
            <v>KUCSR780</v>
          </cell>
          <cell r="F72">
            <v>0</v>
          </cell>
          <cell r="G72">
            <v>0</v>
          </cell>
          <cell r="H72">
            <v>0</v>
          </cell>
          <cell r="I72">
            <v>0</v>
          </cell>
          <cell r="J72">
            <v>0</v>
          </cell>
          <cell r="K72">
            <v>0</v>
          </cell>
          <cell r="L72">
            <v>0</v>
          </cell>
          <cell r="M72">
            <v>0</v>
          </cell>
          <cell r="AE72">
            <v>0</v>
          </cell>
          <cell r="AF72">
            <v>0</v>
          </cell>
          <cell r="AH72">
            <v>0</v>
          </cell>
          <cell r="AI72">
            <v>0</v>
          </cell>
          <cell r="AJ72">
            <v>0</v>
          </cell>
          <cell r="AK72">
            <v>0</v>
          </cell>
          <cell r="AL72">
            <v>0</v>
          </cell>
          <cell r="AM72">
            <v>0</v>
          </cell>
          <cell r="AP72">
            <v>0</v>
          </cell>
        </row>
        <row r="73">
          <cell r="B73" t="str">
            <v>Feb 2016</v>
          </cell>
          <cell r="C73" t="str">
            <v>CSR30</v>
          </cell>
          <cell r="D73" t="str">
            <v>CSR30</v>
          </cell>
          <cell r="E73" t="str">
            <v>KUCSR781</v>
          </cell>
          <cell r="F73">
            <v>0</v>
          </cell>
          <cell r="G73">
            <v>0</v>
          </cell>
          <cell r="H73">
            <v>0</v>
          </cell>
          <cell r="I73">
            <v>0</v>
          </cell>
          <cell r="J73">
            <v>0</v>
          </cell>
          <cell r="K73">
            <v>0</v>
          </cell>
          <cell r="L73">
            <v>0</v>
          </cell>
          <cell r="M73">
            <v>0</v>
          </cell>
          <cell r="AE73">
            <v>0</v>
          </cell>
          <cell r="AF73">
            <v>0</v>
          </cell>
          <cell r="AH73">
            <v>0</v>
          </cell>
          <cell r="AI73">
            <v>0</v>
          </cell>
          <cell r="AJ73">
            <v>0</v>
          </cell>
          <cell r="AK73">
            <v>0</v>
          </cell>
          <cell r="AL73">
            <v>0</v>
          </cell>
          <cell r="AM73">
            <v>0</v>
          </cell>
          <cell r="AP73">
            <v>0</v>
          </cell>
        </row>
        <row r="74">
          <cell r="B74" t="str">
            <v>Feb 2016</v>
          </cell>
          <cell r="C74" t="str">
            <v>CSR30</v>
          </cell>
          <cell r="D74" t="str">
            <v>CSR30</v>
          </cell>
          <cell r="E74" t="str">
            <v>KUCSR783</v>
          </cell>
          <cell r="F74">
            <v>0</v>
          </cell>
          <cell r="G74">
            <v>0</v>
          </cell>
          <cell r="H74">
            <v>0</v>
          </cell>
          <cell r="I74">
            <v>0</v>
          </cell>
          <cell r="J74">
            <v>0</v>
          </cell>
          <cell r="K74">
            <v>0</v>
          </cell>
          <cell r="L74">
            <v>0</v>
          </cell>
          <cell r="M74">
            <v>0</v>
          </cell>
          <cell r="AE74">
            <v>0</v>
          </cell>
          <cell r="AF74">
            <v>0</v>
          </cell>
          <cell r="AH74">
            <v>0</v>
          </cell>
          <cell r="AI74">
            <v>0</v>
          </cell>
          <cell r="AJ74">
            <v>0</v>
          </cell>
          <cell r="AK74">
            <v>0</v>
          </cell>
          <cell r="AL74">
            <v>0</v>
          </cell>
          <cell r="AM74">
            <v>0</v>
          </cell>
          <cell r="AP74">
            <v>0</v>
          </cell>
        </row>
        <row r="75">
          <cell r="B75" t="str">
            <v>Feb 2016</v>
          </cell>
          <cell r="C75" t="str">
            <v>FLS</v>
          </cell>
          <cell r="D75" t="str">
            <v>FLST</v>
          </cell>
          <cell r="E75" t="str">
            <v>KUINE730</v>
          </cell>
          <cell r="F75">
            <v>1</v>
          </cell>
          <cell r="G75">
            <v>0</v>
          </cell>
          <cell r="H75">
            <v>0</v>
          </cell>
          <cell r="I75">
            <v>0</v>
          </cell>
          <cell r="J75">
            <v>46508169</v>
          </cell>
          <cell r="K75">
            <v>185158</v>
          </cell>
          <cell r="L75">
            <v>185158</v>
          </cell>
          <cell r="M75">
            <v>101388</v>
          </cell>
          <cell r="AE75">
            <v>2237582.5299999998</v>
          </cell>
          <cell r="AF75">
            <v>2237581</v>
          </cell>
          <cell r="AH75">
            <v>200012</v>
          </cell>
          <cell r="AI75">
            <v>0</v>
          </cell>
          <cell r="AJ75">
            <v>252311</v>
          </cell>
          <cell r="AK75">
            <v>0</v>
          </cell>
          <cell r="AL75">
            <v>0</v>
          </cell>
          <cell r="AM75">
            <v>2689904</v>
          </cell>
          <cell r="AP75">
            <v>1345016.25</v>
          </cell>
        </row>
        <row r="76">
          <cell r="B76" t="str">
            <v>Feb 2016</v>
          </cell>
          <cell r="C76" t="str">
            <v>RS</v>
          </cell>
          <cell r="D76" t="str">
            <v>RS</v>
          </cell>
          <cell r="E76" t="str">
            <v>KURSE010</v>
          </cell>
          <cell r="F76">
            <v>430450</v>
          </cell>
          <cell r="G76">
            <v>0</v>
          </cell>
          <cell r="H76">
            <v>0</v>
          </cell>
          <cell r="I76">
            <v>0</v>
          </cell>
          <cell r="J76">
            <v>640535387</v>
          </cell>
          <cell r="K76">
            <v>0</v>
          </cell>
          <cell r="L76">
            <v>0</v>
          </cell>
          <cell r="M76">
            <v>0</v>
          </cell>
          <cell r="AE76">
            <v>54230397.869999997</v>
          </cell>
          <cell r="AF76">
            <v>54230983</v>
          </cell>
          <cell r="AH76">
            <v>2754707</v>
          </cell>
          <cell r="AI76">
            <v>614585</v>
          </cell>
          <cell r="AJ76">
            <v>3475000</v>
          </cell>
          <cell r="AK76">
            <v>0</v>
          </cell>
          <cell r="AL76">
            <v>0</v>
          </cell>
          <cell r="AM76">
            <v>61075275</v>
          </cell>
          <cell r="AP76">
            <v>18524283.390000001</v>
          </cell>
        </row>
        <row r="77">
          <cell r="B77" t="str">
            <v>Feb 2016</v>
          </cell>
          <cell r="C77" t="str">
            <v>RS</v>
          </cell>
          <cell r="D77" t="str">
            <v>RS</v>
          </cell>
          <cell r="E77" t="str">
            <v>KURSE020</v>
          </cell>
          <cell r="F77">
            <v>0</v>
          </cell>
          <cell r="G77">
            <v>0</v>
          </cell>
          <cell r="H77">
            <v>0</v>
          </cell>
          <cell r="I77">
            <v>0</v>
          </cell>
          <cell r="J77">
            <v>0</v>
          </cell>
          <cell r="K77">
            <v>0</v>
          </cell>
          <cell r="L77">
            <v>0</v>
          </cell>
          <cell r="M77">
            <v>0</v>
          </cell>
          <cell r="AE77">
            <v>0</v>
          </cell>
          <cell r="AF77">
            <v>0</v>
          </cell>
          <cell r="AH77">
            <v>0</v>
          </cell>
          <cell r="AI77">
            <v>0</v>
          </cell>
          <cell r="AJ77">
            <v>0</v>
          </cell>
          <cell r="AK77">
            <v>0</v>
          </cell>
          <cell r="AL77">
            <v>0</v>
          </cell>
          <cell r="AM77">
            <v>0</v>
          </cell>
          <cell r="AP77">
            <v>0</v>
          </cell>
        </row>
        <row r="78">
          <cell r="B78" t="str">
            <v>Feb 2016</v>
          </cell>
          <cell r="C78" t="str">
            <v>RS</v>
          </cell>
          <cell r="D78" t="str">
            <v>RS</v>
          </cell>
          <cell r="E78" t="str">
            <v>KURSE025</v>
          </cell>
          <cell r="F78">
            <v>0</v>
          </cell>
          <cell r="G78">
            <v>0</v>
          </cell>
          <cell r="H78">
            <v>0</v>
          </cell>
          <cell r="I78">
            <v>0</v>
          </cell>
          <cell r="J78">
            <v>0</v>
          </cell>
          <cell r="K78">
            <v>0</v>
          </cell>
          <cell r="L78">
            <v>0</v>
          </cell>
          <cell r="M78">
            <v>0</v>
          </cell>
          <cell r="AE78">
            <v>0</v>
          </cell>
          <cell r="AF78">
            <v>0</v>
          </cell>
          <cell r="AH78">
            <v>0</v>
          </cell>
          <cell r="AI78">
            <v>0</v>
          </cell>
          <cell r="AJ78">
            <v>0</v>
          </cell>
          <cell r="AK78">
            <v>0</v>
          </cell>
          <cell r="AL78">
            <v>0</v>
          </cell>
          <cell r="AM78">
            <v>0</v>
          </cell>
          <cell r="AP78">
            <v>0</v>
          </cell>
        </row>
        <row r="79">
          <cell r="B79" t="str">
            <v>Feb 2016</v>
          </cell>
          <cell r="C79" t="str">
            <v>LEV</v>
          </cell>
          <cell r="D79" t="str">
            <v>RSLEV</v>
          </cell>
          <cell r="E79" t="str">
            <v>KURSE040</v>
          </cell>
          <cell r="F79">
            <v>7</v>
          </cell>
          <cell r="G79">
            <v>4008</v>
          </cell>
          <cell r="H79">
            <v>1620</v>
          </cell>
          <cell r="I79">
            <v>908</v>
          </cell>
          <cell r="J79">
            <v>6536</v>
          </cell>
          <cell r="K79">
            <v>0</v>
          </cell>
          <cell r="L79">
            <v>0</v>
          </cell>
          <cell r="M79">
            <v>0</v>
          </cell>
          <cell r="AE79">
            <v>554.75</v>
          </cell>
          <cell r="AF79">
            <v>0</v>
          </cell>
          <cell r="AH79">
            <v>0</v>
          </cell>
          <cell r="AI79">
            <v>0</v>
          </cell>
          <cell r="AJ79">
            <v>0</v>
          </cell>
          <cell r="AK79">
            <v>0</v>
          </cell>
          <cell r="AL79">
            <v>0</v>
          </cell>
          <cell r="AM79">
            <v>0</v>
          </cell>
          <cell r="AP79">
            <v>189.02</v>
          </cell>
        </row>
        <row r="80">
          <cell r="B80" t="str">
            <v>Feb 2016</v>
          </cell>
          <cell r="C80" t="str">
            <v>RS</v>
          </cell>
          <cell r="D80" t="str">
            <v>RSVFD</v>
          </cell>
          <cell r="E80" t="str">
            <v>KURSE080</v>
          </cell>
          <cell r="F80">
            <v>0</v>
          </cell>
          <cell r="G80">
            <v>0</v>
          </cell>
          <cell r="H80">
            <v>0</v>
          </cell>
          <cell r="I80">
            <v>0</v>
          </cell>
          <cell r="J80">
            <v>0</v>
          </cell>
          <cell r="K80">
            <v>0</v>
          </cell>
          <cell r="L80">
            <v>0</v>
          </cell>
          <cell r="M80">
            <v>0</v>
          </cell>
          <cell r="AE80">
            <v>0</v>
          </cell>
          <cell r="AF80">
            <v>0</v>
          </cell>
          <cell r="AH80">
            <v>0</v>
          </cell>
          <cell r="AI80">
            <v>0</v>
          </cell>
          <cell r="AJ80">
            <v>0</v>
          </cell>
          <cell r="AK80">
            <v>0</v>
          </cell>
          <cell r="AL80">
            <v>0</v>
          </cell>
          <cell r="AM80">
            <v>0</v>
          </cell>
          <cell r="AP80">
            <v>0</v>
          </cell>
        </row>
        <row r="81">
          <cell r="B81" t="str">
            <v>Feb 2016</v>
          </cell>
          <cell r="C81" t="str">
            <v>RS</v>
          </cell>
          <cell r="D81" t="str">
            <v>RS</v>
          </cell>
          <cell r="E81" t="str">
            <v>KURSE715</v>
          </cell>
          <cell r="F81">
            <v>0</v>
          </cell>
          <cell r="G81">
            <v>0</v>
          </cell>
          <cell r="H81">
            <v>0</v>
          </cell>
          <cell r="I81">
            <v>0</v>
          </cell>
          <cell r="J81">
            <v>0</v>
          </cell>
          <cell r="K81">
            <v>0</v>
          </cell>
          <cell r="L81">
            <v>0</v>
          </cell>
          <cell r="M81">
            <v>0</v>
          </cell>
          <cell r="AE81">
            <v>0</v>
          </cell>
          <cell r="AF81">
            <v>0</v>
          </cell>
          <cell r="AH81">
            <v>0</v>
          </cell>
          <cell r="AI81">
            <v>0</v>
          </cell>
          <cell r="AJ81">
            <v>0</v>
          </cell>
          <cell r="AK81">
            <v>0</v>
          </cell>
          <cell r="AL81">
            <v>0</v>
          </cell>
          <cell r="AM81">
            <v>0</v>
          </cell>
          <cell r="AP81">
            <v>0</v>
          </cell>
        </row>
        <row r="82">
          <cell r="B82" t="str">
            <v>Mar 2016</v>
          </cell>
          <cell r="C82" t="str">
            <v>RTS</v>
          </cell>
          <cell r="D82" t="str">
            <v>RTS</v>
          </cell>
          <cell r="E82" t="str">
            <v>KUCIE550</v>
          </cell>
          <cell r="F82">
            <v>32</v>
          </cell>
          <cell r="G82">
            <v>0</v>
          </cell>
          <cell r="H82">
            <v>0</v>
          </cell>
          <cell r="I82">
            <v>0</v>
          </cell>
          <cell r="J82">
            <v>134527236</v>
          </cell>
          <cell r="K82">
            <v>301107</v>
          </cell>
          <cell r="L82">
            <v>289470</v>
          </cell>
          <cell r="M82">
            <v>284158</v>
          </cell>
          <cell r="AE82">
            <v>7275089.2999999998</v>
          </cell>
          <cell r="AF82">
            <v>7275090</v>
          </cell>
          <cell r="AH82">
            <v>327305</v>
          </cell>
          <cell r="AI82">
            <v>0</v>
          </cell>
          <cell r="AJ82">
            <v>775280</v>
          </cell>
          <cell r="AK82">
            <v>0</v>
          </cell>
          <cell r="AL82">
            <v>0</v>
          </cell>
          <cell r="AM82">
            <v>8377675</v>
          </cell>
          <cell r="AP82">
            <v>3890527.67</v>
          </cell>
        </row>
        <row r="83">
          <cell r="B83" t="str">
            <v>Mar 2016</v>
          </cell>
          <cell r="C83" t="str">
            <v>PSP</v>
          </cell>
          <cell r="D83" t="str">
            <v>PSP</v>
          </cell>
          <cell r="E83" t="str">
            <v>KUCIE561</v>
          </cell>
          <cell r="F83">
            <v>195</v>
          </cell>
          <cell r="G83">
            <v>0</v>
          </cell>
          <cell r="H83">
            <v>0</v>
          </cell>
          <cell r="I83">
            <v>0</v>
          </cell>
          <cell r="J83">
            <v>18258219</v>
          </cell>
          <cell r="K83">
            <v>0</v>
          </cell>
          <cell r="L83">
            <v>54711</v>
          </cell>
          <cell r="M83">
            <v>0</v>
          </cell>
          <cell r="AE83">
            <v>1404598.74</v>
          </cell>
          <cell r="AF83">
            <v>1404594</v>
          </cell>
          <cell r="AH83">
            <v>44422</v>
          </cell>
          <cell r="AI83">
            <v>22436</v>
          </cell>
          <cell r="AJ83">
            <v>105222</v>
          </cell>
          <cell r="AK83">
            <v>0</v>
          </cell>
          <cell r="AL83">
            <v>0</v>
          </cell>
          <cell r="AM83">
            <v>1576674</v>
          </cell>
          <cell r="AP83">
            <v>528027.68999999994</v>
          </cell>
        </row>
        <row r="84">
          <cell r="B84" t="str">
            <v>Mar 2016</v>
          </cell>
          <cell r="C84" t="str">
            <v>PSS</v>
          </cell>
          <cell r="D84" t="str">
            <v>PSS</v>
          </cell>
          <cell r="E84" t="str">
            <v>KUCIE562</v>
          </cell>
          <cell r="F84">
            <v>4630</v>
          </cell>
          <cell r="G84">
            <v>0</v>
          </cell>
          <cell r="H84">
            <v>0</v>
          </cell>
          <cell r="I84">
            <v>0</v>
          </cell>
          <cell r="J84">
            <v>154898630</v>
          </cell>
          <cell r="K84">
            <v>0</v>
          </cell>
          <cell r="L84">
            <v>519914</v>
          </cell>
          <cell r="M84">
            <v>0</v>
          </cell>
          <cell r="AE84">
            <v>12800151.969999999</v>
          </cell>
          <cell r="AF84">
            <v>12800154</v>
          </cell>
          <cell r="AH84">
            <v>376869</v>
          </cell>
          <cell r="AI84">
            <v>190344</v>
          </cell>
          <cell r="AJ84">
            <v>892681</v>
          </cell>
          <cell r="AK84">
            <v>0</v>
          </cell>
          <cell r="AL84">
            <v>0</v>
          </cell>
          <cell r="AM84">
            <v>14260048</v>
          </cell>
          <cell r="AP84">
            <v>4479668.38</v>
          </cell>
        </row>
        <row r="85">
          <cell r="B85" t="str">
            <v>Mar 2016</v>
          </cell>
          <cell r="C85" t="str">
            <v>TODP</v>
          </cell>
          <cell r="D85" t="str">
            <v>TODP</v>
          </cell>
          <cell r="E85" t="str">
            <v>KUCIE563</v>
          </cell>
          <cell r="F85">
            <v>52</v>
          </cell>
          <cell r="G85">
            <v>0</v>
          </cell>
          <cell r="H85">
            <v>0</v>
          </cell>
          <cell r="I85">
            <v>0</v>
          </cell>
          <cell r="J85">
            <v>237299344</v>
          </cell>
          <cell r="K85">
            <v>520468</v>
          </cell>
          <cell r="L85">
            <v>486706</v>
          </cell>
          <cell r="M85">
            <v>481058</v>
          </cell>
          <cell r="AE85">
            <v>13232536.220000001</v>
          </cell>
          <cell r="AF85">
            <v>13232533</v>
          </cell>
          <cell r="AH85">
            <v>577350</v>
          </cell>
          <cell r="AI85">
            <v>291601</v>
          </cell>
          <cell r="AJ85">
            <v>1367556</v>
          </cell>
          <cell r="AK85">
            <v>0</v>
          </cell>
          <cell r="AL85">
            <v>0</v>
          </cell>
          <cell r="AM85">
            <v>15469040</v>
          </cell>
          <cell r="AP85">
            <v>6862697.0300000003</v>
          </cell>
        </row>
        <row r="86">
          <cell r="B86" t="str">
            <v>Mar 2016</v>
          </cell>
          <cell r="C86" t="str">
            <v>PSP</v>
          </cell>
          <cell r="D86" t="str">
            <v>PSP</v>
          </cell>
          <cell r="E86" t="str">
            <v>KUCIE566</v>
          </cell>
          <cell r="F86">
            <v>0</v>
          </cell>
          <cell r="G86">
            <v>0</v>
          </cell>
          <cell r="H86">
            <v>0</v>
          </cell>
          <cell r="I86">
            <v>0</v>
          </cell>
          <cell r="J86">
            <v>0</v>
          </cell>
          <cell r="K86">
            <v>0</v>
          </cell>
          <cell r="L86">
            <v>0</v>
          </cell>
          <cell r="M86">
            <v>0</v>
          </cell>
          <cell r="AE86">
            <v>0</v>
          </cell>
          <cell r="AF86">
            <v>0</v>
          </cell>
          <cell r="AH86">
            <v>0</v>
          </cell>
          <cell r="AI86">
            <v>0</v>
          </cell>
          <cell r="AJ86">
            <v>0</v>
          </cell>
          <cell r="AK86">
            <v>0</v>
          </cell>
          <cell r="AL86">
            <v>0</v>
          </cell>
          <cell r="AM86">
            <v>0</v>
          </cell>
          <cell r="AP86">
            <v>0</v>
          </cell>
        </row>
        <row r="87">
          <cell r="B87" t="str">
            <v>Mar 2016</v>
          </cell>
          <cell r="C87" t="str">
            <v>PSS</v>
          </cell>
          <cell r="D87" t="str">
            <v>PSS</v>
          </cell>
          <cell r="E87" t="str">
            <v>KUCIE568</v>
          </cell>
          <cell r="F87">
            <v>0</v>
          </cell>
          <cell r="G87">
            <v>0</v>
          </cell>
          <cell r="H87">
            <v>0</v>
          </cell>
          <cell r="I87">
            <v>0</v>
          </cell>
          <cell r="J87">
            <v>0</v>
          </cell>
          <cell r="K87">
            <v>0</v>
          </cell>
          <cell r="L87">
            <v>0</v>
          </cell>
          <cell r="M87">
            <v>0</v>
          </cell>
          <cell r="AE87">
            <v>0</v>
          </cell>
          <cell r="AF87">
            <v>0</v>
          </cell>
          <cell r="AH87">
            <v>0</v>
          </cell>
          <cell r="AI87">
            <v>0</v>
          </cell>
          <cell r="AJ87">
            <v>0</v>
          </cell>
          <cell r="AK87">
            <v>0</v>
          </cell>
          <cell r="AL87">
            <v>0</v>
          </cell>
          <cell r="AM87">
            <v>0</v>
          </cell>
          <cell r="AP87">
            <v>0</v>
          </cell>
        </row>
        <row r="88">
          <cell r="B88" t="str">
            <v>Mar 2016</v>
          </cell>
          <cell r="C88" t="str">
            <v>TODP</v>
          </cell>
          <cell r="D88" t="str">
            <v>TODP</v>
          </cell>
          <cell r="E88" t="str">
            <v>KUCIE571</v>
          </cell>
          <cell r="F88">
            <v>206</v>
          </cell>
          <cell r="G88">
            <v>0</v>
          </cell>
          <cell r="H88">
            <v>0</v>
          </cell>
          <cell r="I88">
            <v>0</v>
          </cell>
          <cell r="J88">
            <v>99726211</v>
          </cell>
          <cell r="K88">
            <v>260749</v>
          </cell>
          <cell r="L88">
            <v>247849</v>
          </cell>
          <cell r="M88">
            <v>243450</v>
          </cell>
          <cell r="AE88">
            <v>5983532.8700000001</v>
          </cell>
          <cell r="AF88">
            <v>5983534</v>
          </cell>
          <cell r="AH88">
            <v>242634</v>
          </cell>
          <cell r="AI88">
            <v>122547</v>
          </cell>
          <cell r="AJ88">
            <v>574722</v>
          </cell>
          <cell r="AK88">
            <v>0</v>
          </cell>
          <cell r="AL88">
            <v>0</v>
          </cell>
          <cell r="AM88">
            <v>6923437</v>
          </cell>
          <cell r="AP88">
            <v>2884082.02</v>
          </cell>
        </row>
        <row r="89">
          <cell r="B89" t="str">
            <v>Mar 2016</v>
          </cell>
          <cell r="C89" t="str">
            <v>TODS</v>
          </cell>
          <cell r="D89" t="str">
            <v>TODS</v>
          </cell>
          <cell r="E89" t="str">
            <v>KUCIE572</v>
          </cell>
          <cell r="F89">
            <v>469</v>
          </cell>
          <cell r="G89">
            <v>0</v>
          </cell>
          <cell r="H89">
            <v>0</v>
          </cell>
          <cell r="I89">
            <v>0</v>
          </cell>
          <cell r="J89">
            <v>121409593</v>
          </cell>
          <cell r="K89">
            <v>304335</v>
          </cell>
          <cell r="L89">
            <v>277188</v>
          </cell>
          <cell r="M89">
            <v>270979</v>
          </cell>
          <cell r="AE89">
            <v>7826935.6900000004</v>
          </cell>
          <cell r="AF89">
            <v>7826936</v>
          </cell>
          <cell r="AH89">
            <v>295390</v>
          </cell>
          <cell r="AI89">
            <v>149192</v>
          </cell>
          <cell r="AJ89">
            <v>699683</v>
          </cell>
          <cell r="AK89">
            <v>0</v>
          </cell>
          <cell r="AL89">
            <v>0</v>
          </cell>
          <cell r="AM89">
            <v>8971201</v>
          </cell>
          <cell r="AP89">
            <v>3511165.43</v>
          </cell>
        </row>
        <row r="90">
          <cell r="B90" t="str">
            <v>Mar 2016</v>
          </cell>
          <cell r="C90" t="str">
            <v>PSS</v>
          </cell>
          <cell r="D90" t="str">
            <v>PSS</v>
          </cell>
          <cell r="E90" t="str">
            <v>KUCIE717</v>
          </cell>
          <cell r="F90">
            <v>0</v>
          </cell>
          <cell r="G90">
            <v>0</v>
          </cell>
          <cell r="H90">
            <v>0</v>
          </cell>
          <cell r="I90">
            <v>0</v>
          </cell>
          <cell r="J90">
            <v>0</v>
          </cell>
          <cell r="K90">
            <v>0</v>
          </cell>
          <cell r="L90">
            <v>0</v>
          </cell>
          <cell r="M90">
            <v>0</v>
          </cell>
          <cell r="AE90">
            <v>0</v>
          </cell>
          <cell r="AF90">
            <v>0</v>
          </cell>
          <cell r="AH90">
            <v>0</v>
          </cell>
          <cell r="AI90">
            <v>0</v>
          </cell>
          <cell r="AJ90">
            <v>0</v>
          </cell>
          <cell r="AK90">
            <v>0</v>
          </cell>
          <cell r="AL90">
            <v>0</v>
          </cell>
          <cell r="AM90">
            <v>0</v>
          </cell>
          <cell r="AP90">
            <v>0</v>
          </cell>
        </row>
        <row r="91">
          <cell r="B91" t="str">
            <v>Mar 2016</v>
          </cell>
          <cell r="C91" t="str">
            <v>GS</v>
          </cell>
          <cell r="D91" t="str">
            <v>GS</v>
          </cell>
          <cell r="E91" t="str">
            <v>KUCME110</v>
          </cell>
          <cell r="F91">
            <v>63553</v>
          </cell>
          <cell r="G91">
            <v>0</v>
          </cell>
          <cell r="H91">
            <v>0</v>
          </cell>
          <cell r="I91">
            <v>0</v>
          </cell>
          <cell r="J91">
            <v>62577001</v>
          </cell>
          <cell r="K91">
            <v>0</v>
          </cell>
          <cell r="L91">
            <v>0</v>
          </cell>
          <cell r="M91">
            <v>0</v>
          </cell>
          <cell r="AE91">
            <v>7043788.3399999999</v>
          </cell>
          <cell r="AF91">
            <v>7043780</v>
          </cell>
          <cell r="AH91">
            <v>152250</v>
          </cell>
          <cell r="AI91">
            <v>76897</v>
          </cell>
          <cell r="AJ91">
            <v>360631</v>
          </cell>
          <cell r="AK91">
            <v>0</v>
          </cell>
          <cell r="AL91">
            <v>0</v>
          </cell>
          <cell r="AM91">
            <v>7633558</v>
          </cell>
          <cell r="AP91">
            <v>1809726.87</v>
          </cell>
        </row>
        <row r="92">
          <cell r="B92" t="str">
            <v>Mar 2016</v>
          </cell>
          <cell r="C92" t="str">
            <v>GS</v>
          </cell>
          <cell r="D92" t="str">
            <v>GS</v>
          </cell>
          <cell r="E92" t="str">
            <v>KUCME112</v>
          </cell>
          <cell r="F92">
            <v>0</v>
          </cell>
          <cell r="G92">
            <v>0</v>
          </cell>
          <cell r="H92">
            <v>0</v>
          </cell>
          <cell r="I92">
            <v>0</v>
          </cell>
          <cell r="J92">
            <v>0</v>
          </cell>
          <cell r="K92">
            <v>0</v>
          </cell>
          <cell r="L92">
            <v>0</v>
          </cell>
          <cell r="M92">
            <v>0</v>
          </cell>
          <cell r="AE92">
            <v>0</v>
          </cell>
          <cell r="AF92">
            <v>0</v>
          </cell>
          <cell r="AH92">
            <v>0</v>
          </cell>
          <cell r="AI92">
            <v>0</v>
          </cell>
          <cell r="AJ92">
            <v>0</v>
          </cell>
          <cell r="AK92">
            <v>0</v>
          </cell>
          <cell r="AL92">
            <v>0</v>
          </cell>
          <cell r="AM92">
            <v>0</v>
          </cell>
          <cell r="AP92">
            <v>0</v>
          </cell>
        </row>
        <row r="93">
          <cell r="B93" t="str">
            <v>Mar 2016</v>
          </cell>
          <cell r="C93" t="str">
            <v>GS3</v>
          </cell>
          <cell r="D93" t="str">
            <v>GS3</v>
          </cell>
          <cell r="E93" t="str">
            <v>KUCME113</v>
          </cell>
          <cell r="F93">
            <v>18577</v>
          </cell>
          <cell r="G93">
            <v>0</v>
          </cell>
          <cell r="H93">
            <v>0</v>
          </cell>
          <cell r="I93">
            <v>0</v>
          </cell>
          <cell r="J93">
            <v>91489582</v>
          </cell>
          <cell r="K93">
            <v>377207</v>
          </cell>
          <cell r="L93">
            <v>0</v>
          </cell>
          <cell r="M93">
            <v>0</v>
          </cell>
          <cell r="AE93">
            <v>9090108.9399999995</v>
          </cell>
          <cell r="AF93">
            <v>9090123</v>
          </cell>
          <cell r="AH93">
            <v>222595</v>
          </cell>
          <cell r="AI93">
            <v>112425</v>
          </cell>
          <cell r="AJ93">
            <v>527254</v>
          </cell>
          <cell r="AK93">
            <v>0</v>
          </cell>
          <cell r="AL93">
            <v>0</v>
          </cell>
          <cell r="AM93">
            <v>9952397</v>
          </cell>
          <cell r="AP93">
            <v>2645878.71</v>
          </cell>
        </row>
        <row r="94">
          <cell r="B94" t="str">
            <v>Mar 2016</v>
          </cell>
          <cell r="C94" t="str">
            <v>AES</v>
          </cell>
          <cell r="D94" t="str">
            <v>AES</v>
          </cell>
          <cell r="E94" t="str">
            <v>KUCME220</v>
          </cell>
          <cell r="F94">
            <v>371</v>
          </cell>
          <cell r="G94">
            <v>0</v>
          </cell>
          <cell r="H94">
            <v>0</v>
          </cell>
          <cell r="I94">
            <v>0</v>
          </cell>
          <cell r="J94">
            <v>688333</v>
          </cell>
          <cell r="K94">
            <v>0</v>
          </cell>
          <cell r="L94">
            <v>0</v>
          </cell>
          <cell r="M94">
            <v>0</v>
          </cell>
          <cell r="AE94">
            <v>58631.98</v>
          </cell>
          <cell r="AF94">
            <v>58631</v>
          </cell>
          <cell r="AH94">
            <v>1675</v>
          </cell>
          <cell r="AI94">
            <v>846</v>
          </cell>
          <cell r="AJ94">
            <v>3967</v>
          </cell>
          <cell r="AK94">
            <v>0</v>
          </cell>
          <cell r="AL94">
            <v>0</v>
          </cell>
          <cell r="AM94">
            <v>65119</v>
          </cell>
          <cell r="AP94">
            <v>19906.59</v>
          </cell>
        </row>
        <row r="95">
          <cell r="B95" t="str">
            <v>Mar 2016</v>
          </cell>
          <cell r="C95" t="str">
            <v>AES</v>
          </cell>
          <cell r="D95" t="str">
            <v>AES</v>
          </cell>
          <cell r="E95" t="str">
            <v>KUCME221</v>
          </cell>
          <cell r="F95">
            <v>0</v>
          </cell>
          <cell r="G95">
            <v>0</v>
          </cell>
          <cell r="H95">
            <v>0</v>
          </cell>
          <cell r="I95">
            <v>0</v>
          </cell>
          <cell r="J95">
            <v>0</v>
          </cell>
          <cell r="K95">
            <v>0</v>
          </cell>
          <cell r="L95">
            <v>0</v>
          </cell>
          <cell r="M95">
            <v>0</v>
          </cell>
          <cell r="AE95">
            <v>0</v>
          </cell>
          <cell r="AF95">
            <v>0</v>
          </cell>
          <cell r="AH95">
            <v>0</v>
          </cell>
          <cell r="AI95">
            <v>0</v>
          </cell>
          <cell r="AJ95">
            <v>0</v>
          </cell>
          <cell r="AK95">
            <v>0</v>
          </cell>
          <cell r="AL95">
            <v>0</v>
          </cell>
          <cell r="AM95">
            <v>0</v>
          </cell>
          <cell r="AP95">
            <v>0</v>
          </cell>
        </row>
        <row r="96">
          <cell r="B96" t="str">
            <v>Mar 2016</v>
          </cell>
          <cell r="C96" t="str">
            <v>AES3</v>
          </cell>
          <cell r="D96" t="str">
            <v>AES3</v>
          </cell>
          <cell r="E96" t="str">
            <v>KUCME223</v>
          </cell>
          <cell r="F96">
            <v>0</v>
          </cell>
          <cell r="G96">
            <v>0</v>
          </cell>
          <cell r="H96">
            <v>0</v>
          </cell>
          <cell r="I96">
            <v>0</v>
          </cell>
          <cell r="J96">
            <v>0</v>
          </cell>
          <cell r="K96">
            <v>0</v>
          </cell>
          <cell r="L96">
            <v>0</v>
          </cell>
          <cell r="M96">
            <v>0</v>
          </cell>
          <cell r="AE96">
            <v>0</v>
          </cell>
          <cell r="AF96">
            <v>0</v>
          </cell>
          <cell r="AH96">
            <v>0</v>
          </cell>
          <cell r="AI96">
            <v>0</v>
          </cell>
          <cell r="AJ96">
            <v>0</v>
          </cell>
          <cell r="AK96">
            <v>0</v>
          </cell>
          <cell r="AL96">
            <v>0</v>
          </cell>
          <cell r="AM96">
            <v>0</v>
          </cell>
          <cell r="AP96">
            <v>0</v>
          </cell>
        </row>
        <row r="97">
          <cell r="B97" t="str">
            <v>Mar 2016</v>
          </cell>
          <cell r="C97" t="str">
            <v>AES3</v>
          </cell>
          <cell r="D97" t="str">
            <v>AES3</v>
          </cell>
          <cell r="E97" t="str">
            <v>KUCME224</v>
          </cell>
          <cell r="F97">
            <v>257</v>
          </cell>
          <cell r="G97">
            <v>0</v>
          </cell>
          <cell r="H97">
            <v>0</v>
          </cell>
          <cell r="I97">
            <v>0</v>
          </cell>
          <cell r="J97">
            <v>12757916</v>
          </cell>
          <cell r="K97">
            <v>54529</v>
          </cell>
          <cell r="L97">
            <v>0</v>
          </cell>
          <cell r="M97">
            <v>0</v>
          </cell>
          <cell r="AE97">
            <v>958183.95</v>
          </cell>
          <cell r="AF97">
            <v>958184</v>
          </cell>
          <cell r="AH97">
            <v>31040</v>
          </cell>
          <cell r="AI97">
            <v>15677</v>
          </cell>
          <cell r="AJ97">
            <v>73524</v>
          </cell>
          <cell r="AK97">
            <v>0</v>
          </cell>
          <cell r="AL97">
            <v>0</v>
          </cell>
          <cell r="AM97">
            <v>1078425</v>
          </cell>
          <cell r="AP97">
            <v>368958.93</v>
          </cell>
        </row>
        <row r="98">
          <cell r="B98" t="str">
            <v>Mar 2016</v>
          </cell>
          <cell r="C98" t="str">
            <v>AES3</v>
          </cell>
          <cell r="D98" t="str">
            <v>AES3</v>
          </cell>
          <cell r="E98" t="str">
            <v>KUCME225</v>
          </cell>
          <cell r="F98">
            <v>0</v>
          </cell>
          <cell r="G98">
            <v>0</v>
          </cell>
          <cell r="H98">
            <v>0</v>
          </cell>
          <cell r="I98">
            <v>0</v>
          </cell>
          <cell r="J98">
            <v>0</v>
          </cell>
          <cell r="K98">
            <v>0</v>
          </cell>
          <cell r="L98">
            <v>0</v>
          </cell>
          <cell r="M98">
            <v>0</v>
          </cell>
          <cell r="AE98">
            <v>0</v>
          </cell>
          <cell r="AF98">
            <v>0</v>
          </cell>
          <cell r="AH98">
            <v>0</v>
          </cell>
          <cell r="AI98">
            <v>0</v>
          </cell>
          <cell r="AJ98">
            <v>0</v>
          </cell>
          <cell r="AK98">
            <v>0</v>
          </cell>
          <cell r="AL98">
            <v>0</v>
          </cell>
          <cell r="AM98">
            <v>0</v>
          </cell>
          <cell r="AP98">
            <v>0</v>
          </cell>
        </row>
        <row r="99">
          <cell r="B99" t="str">
            <v>Mar 2016</v>
          </cell>
          <cell r="C99" t="str">
            <v>AES</v>
          </cell>
          <cell r="D99" t="str">
            <v>AES</v>
          </cell>
          <cell r="E99" t="str">
            <v>KUCME226</v>
          </cell>
          <cell r="F99">
            <v>0</v>
          </cell>
          <cell r="G99">
            <v>0</v>
          </cell>
          <cell r="H99">
            <v>0</v>
          </cell>
          <cell r="I99">
            <v>0</v>
          </cell>
          <cell r="J99">
            <v>0</v>
          </cell>
          <cell r="K99">
            <v>0</v>
          </cell>
          <cell r="L99">
            <v>0</v>
          </cell>
          <cell r="M99">
            <v>0</v>
          </cell>
          <cell r="AE99">
            <v>0</v>
          </cell>
          <cell r="AF99">
            <v>0</v>
          </cell>
          <cell r="AH99">
            <v>0</v>
          </cell>
          <cell r="AI99">
            <v>0</v>
          </cell>
          <cell r="AJ99">
            <v>0</v>
          </cell>
          <cell r="AK99">
            <v>0</v>
          </cell>
          <cell r="AL99">
            <v>0</v>
          </cell>
          <cell r="AM99">
            <v>0</v>
          </cell>
          <cell r="AP99">
            <v>0</v>
          </cell>
        </row>
        <row r="100">
          <cell r="B100" t="str">
            <v>Mar 2016</v>
          </cell>
          <cell r="C100" t="str">
            <v>AES3</v>
          </cell>
          <cell r="D100" t="str">
            <v>AES3</v>
          </cell>
          <cell r="E100" t="str">
            <v>KUCME227</v>
          </cell>
          <cell r="F100">
            <v>0</v>
          </cell>
          <cell r="G100">
            <v>0</v>
          </cell>
          <cell r="H100">
            <v>0</v>
          </cell>
          <cell r="I100">
            <v>0</v>
          </cell>
          <cell r="J100">
            <v>0</v>
          </cell>
          <cell r="K100">
            <v>0</v>
          </cell>
          <cell r="L100">
            <v>0</v>
          </cell>
          <cell r="M100">
            <v>0</v>
          </cell>
          <cell r="AE100">
            <v>0</v>
          </cell>
          <cell r="AF100">
            <v>0</v>
          </cell>
          <cell r="AH100">
            <v>0</v>
          </cell>
          <cell r="AI100">
            <v>0</v>
          </cell>
          <cell r="AJ100">
            <v>0</v>
          </cell>
          <cell r="AK100">
            <v>0</v>
          </cell>
          <cell r="AL100">
            <v>0</v>
          </cell>
          <cell r="AM100">
            <v>0</v>
          </cell>
          <cell r="AP100">
            <v>0</v>
          </cell>
        </row>
        <row r="101">
          <cell r="B101" t="str">
            <v>Mar 2016</v>
          </cell>
          <cell r="C101" t="str">
            <v>LE</v>
          </cell>
          <cell r="D101" t="str">
            <v>LE</v>
          </cell>
          <cell r="E101" t="str">
            <v>KUCME290</v>
          </cell>
          <cell r="F101">
            <v>2</v>
          </cell>
          <cell r="G101">
            <v>0</v>
          </cell>
          <cell r="H101">
            <v>0</v>
          </cell>
          <cell r="I101">
            <v>0</v>
          </cell>
          <cell r="J101">
            <v>12796</v>
          </cell>
          <cell r="K101">
            <v>0</v>
          </cell>
          <cell r="L101">
            <v>0</v>
          </cell>
          <cell r="M101">
            <v>0</v>
          </cell>
          <cell r="AE101">
            <v>816.38</v>
          </cell>
          <cell r="AF101">
            <v>0</v>
          </cell>
          <cell r="AH101">
            <v>0</v>
          </cell>
          <cell r="AI101">
            <v>0</v>
          </cell>
          <cell r="AJ101">
            <v>0</v>
          </cell>
          <cell r="AK101">
            <v>0</v>
          </cell>
          <cell r="AL101">
            <v>0</v>
          </cell>
          <cell r="AM101">
            <v>0</v>
          </cell>
          <cell r="AP101">
            <v>370.06</v>
          </cell>
        </row>
        <row r="102">
          <cell r="B102" t="str">
            <v>Mar 2016</v>
          </cell>
          <cell r="C102" t="str">
            <v>LE</v>
          </cell>
          <cell r="D102" t="str">
            <v>LE</v>
          </cell>
          <cell r="E102" t="str">
            <v>KUCME291</v>
          </cell>
          <cell r="F102">
            <v>0</v>
          </cell>
          <cell r="G102">
            <v>0</v>
          </cell>
          <cell r="H102">
            <v>0</v>
          </cell>
          <cell r="I102">
            <v>0</v>
          </cell>
          <cell r="J102">
            <v>0</v>
          </cell>
          <cell r="K102">
            <v>0</v>
          </cell>
          <cell r="L102">
            <v>0</v>
          </cell>
          <cell r="M102">
            <v>0</v>
          </cell>
          <cell r="AE102">
            <v>0</v>
          </cell>
          <cell r="AF102">
            <v>0</v>
          </cell>
          <cell r="AH102">
            <v>0</v>
          </cell>
          <cell r="AI102">
            <v>0</v>
          </cell>
          <cell r="AJ102">
            <v>0</v>
          </cell>
          <cell r="AK102">
            <v>0</v>
          </cell>
          <cell r="AL102">
            <v>0</v>
          </cell>
          <cell r="AM102">
            <v>0</v>
          </cell>
          <cell r="AP102">
            <v>0</v>
          </cell>
        </row>
        <row r="103">
          <cell r="B103" t="str">
            <v>Mar 2016</v>
          </cell>
          <cell r="C103" t="str">
            <v>TE</v>
          </cell>
          <cell r="D103" t="str">
            <v>TE</v>
          </cell>
          <cell r="E103" t="str">
            <v>KUCME295</v>
          </cell>
          <cell r="F103">
            <v>747</v>
          </cell>
          <cell r="G103">
            <v>0</v>
          </cell>
          <cell r="H103">
            <v>0</v>
          </cell>
          <cell r="I103">
            <v>0</v>
          </cell>
          <cell r="J103">
            <v>104309</v>
          </cell>
          <cell r="K103">
            <v>0</v>
          </cell>
          <cell r="L103">
            <v>0</v>
          </cell>
          <cell r="M103">
            <v>0</v>
          </cell>
          <cell r="AE103">
            <v>10749.52</v>
          </cell>
          <cell r="AF103">
            <v>0</v>
          </cell>
          <cell r="AH103">
            <v>0</v>
          </cell>
          <cell r="AI103">
            <v>0</v>
          </cell>
          <cell r="AJ103">
            <v>0</v>
          </cell>
          <cell r="AK103">
            <v>0</v>
          </cell>
          <cell r="AL103">
            <v>0</v>
          </cell>
          <cell r="AM103">
            <v>0</v>
          </cell>
          <cell r="AP103">
            <v>3016.62</v>
          </cell>
        </row>
        <row r="104">
          <cell r="B104" t="str">
            <v>Mar 2016</v>
          </cell>
          <cell r="C104" t="str">
            <v>TE</v>
          </cell>
          <cell r="D104" t="str">
            <v>TE</v>
          </cell>
          <cell r="E104" t="str">
            <v>KUCME297</v>
          </cell>
          <cell r="F104">
            <v>0</v>
          </cell>
          <cell r="G104">
            <v>0</v>
          </cell>
          <cell r="H104">
            <v>0</v>
          </cell>
          <cell r="I104">
            <v>0</v>
          </cell>
          <cell r="J104">
            <v>0</v>
          </cell>
          <cell r="K104">
            <v>0</v>
          </cell>
          <cell r="L104">
            <v>0</v>
          </cell>
          <cell r="M104">
            <v>0</v>
          </cell>
          <cell r="AE104">
            <v>0</v>
          </cell>
          <cell r="AF104">
            <v>0</v>
          </cell>
          <cell r="AH104">
            <v>0</v>
          </cell>
          <cell r="AI104">
            <v>0</v>
          </cell>
          <cell r="AJ104">
            <v>0</v>
          </cell>
          <cell r="AK104">
            <v>0</v>
          </cell>
          <cell r="AL104">
            <v>0</v>
          </cell>
          <cell r="AM104">
            <v>0</v>
          </cell>
          <cell r="AP104">
            <v>0</v>
          </cell>
        </row>
        <row r="105">
          <cell r="B105" t="str">
            <v>Mar 2016</v>
          </cell>
          <cell r="C105" t="str">
            <v>SQF</v>
          </cell>
          <cell r="D105" t="str">
            <v>SQF</v>
          </cell>
          <cell r="E105" t="str">
            <v>KUCME705</v>
          </cell>
          <cell r="F105">
            <v>0</v>
          </cell>
          <cell r="G105">
            <v>0</v>
          </cell>
          <cell r="H105">
            <v>0</v>
          </cell>
          <cell r="I105">
            <v>0</v>
          </cell>
          <cell r="J105">
            <v>0</v>
          </cell>
          <cell r="K105">
            <v>0</v>
          </cell>
          <cell r="L105">
            <v>0</v>
          </cell>
          <cell r="M105">
            <v>0</v>
          </cell>
          <cell r="AE105">
            <v>0</v>
          </cell>
          <cell r="AF105">
            <v>0</v>
          </cell>
          <cell r="AH105">
            <v>0</v>
          </cell>
          <cell r="AI105">
            <v>0</v>
          </cell>
          <cell r="AJ105">
            <v>0</v>
          </cell>
          <cell r="AK105">
            <v>0</v>
          </cell>
          <cell r="AL105">
            <v>0</v>
          </cell>
          <cell r="AM105">
            <v>0</v>
          </cell>
          <cell r="AP105">
            <v>0</v>
          </cell>
        </row>
        <row r="106">
          <cell r="B106" t="str">
            <v>Mar 2016</v>
          </cell>
          <cell r="C106" t="str">
            <v>LQF</v>
          </cell>
          <cell r="D106" t="str">
            <v>LQF</v>
          </cell>
          <cell r="E106" t="str">
            <v>KUCME707</v>
          </cell>
          <cell r="F106">
            <v>0</v>
          </cell>
          <cell r="G106">
            <v>0</v>
          </cell>
          <cell r="H106">
            <v>0</v>
          </cell>
          <cell r="I106">
            <v>0</v>
          </cell>
          <cell r="J106">
            <v>0</v>
          </cell>
          <cell r="K106">
            <v>0</v>
          </cell>
          <cell r="L106">
            <v>0</v>
          </cell>
          <cell r="M106">
            <v>0</v>
          </cell>
          <cell r="AE106">
            <v>0</v>
          </cell>
          <cell r="AF106">
            <v>0</v>
          </cell>
          <cell r="AH106">
            <v>0</v>
          </cell>
          <cell r="AI106">
            <v>0</v>
          </cell>
          <cell r="AJ106">
            <v>0</v>
          </cell>
          <cell r="AK106">
            <v>0</v>
          </cell>
          <cell r="AL106">
            <v>0</v>
          </cell>
          <cell r="AM106">
            <v>0</v>
          </cell>
          <cell r="AP106">
            <v>0</v>
          </cell>
        </row>
        <row r="107">
          <cell r="B107" t="str">
            <v>Mar 2016</v>
          </cell>
          <cell r="C107" t="str">
            <v>GS</v>
          </cell>
          <cell r="D107" t="str">
            <v>GS</v>
          </cell>
          <cell r="E107" t="str">
            <v>KUCME710</v>
          </cell>
          <cell r="F107">
            <v>0</v>
          </cell>
          <cell r="G107">
            <v>0</v>
          </cell>
          <cell r="H107">
            <v>0</v>
          </cell>
          <cell r="I107">
            <v>0</v>
          </cell>
          <cell r="J107">
            <v>0</v>
          </cell>
          <cell r="K107">
            <v>0</v>
          </cell>
          <cell r="L107">
            <v>0</v>
          </cell>
          <cell r="M107">
            <v>0</v>
          </cell>
          <cell r="AE107">
            <v>0</v>
          </cell>
          <cell r="AF107">
            <v>0</v>
          </cell>
          <cell r="AH107">
            <v>0</v>
          </cell>
          <cell r="AI107">
            <v>0</v>
          </cell>
          <cell r="AJ107">
            <v>0</v>
          </cell>
          <cell r="AK107">
            <v>0</v>
          </cell>
          <cell r="AL107">
            <v>0</v>
          </cell>
          <cell r="AM107">
            <v>0</v>
          </cell>
          <cell r="AP107">
            <v>0</v>
          </cell>
        </row>
        <row r="108">
          <cell r="B108" t="str">
            <v>Mar 2016</v>
          </cell>
          <cell r="C108" t="str">
            <v>GS3</v>
          </cell>
          <cell r="D108" t="str">
            <v>GS3</v>
          </cell>
          <cell r="E108" t="str">
            <v>KUCME713</v>
          </cell>
          <cell r="F108">
            <v>0</v>
          </cell>
          <cell r="G108">
            <v>0</v>
          </cell>
          <cell r="H108">
            <v>0</v>
          </cell>
          <cell r="I108">
            <v>0</v>
          </cell>
          <cell r="J108">
            <v>0</v>
          </cell>
          <cell r="K108">
            <v>0</v>
          </cell>
          <cell r="L108">
            <v>0</v>
          </cell>
          <cell r="M108">
            <v>0</v>
          </cell>
          <cell r="AE108">
            <v>0</v>
          </cell>
          <cell r="AF108">
            <v>0</v>
          </cell>
          <cell r="AH108">
            <v>0</v>
          </cell>
          <cell r="AI108">
            <v>0</v>
          </cell>
          <cell r="AJ108">
            <v>0</v>
          </cell>
          <cell r="AK108">
            <v>0</v>
          </cell>
          <cell r="AL108">
            <v>0</v>
          </cell>
          <cell r="AM108">
            <v>0</v>
          </cell>
          <cell r="AP108">
            <v>0</v>
          </cell>
        </row>
        <row r="109">
          <cell r="B109" t="str">
            <v>Mar 2016</v>
          </cell>
          <cell r="C109" t="str">
            <v>CSR10</v>
          </cell>
          <cell r="D109" t="str">
            <v>CSR10</v>
          </cell>
          <cell r="E109" t="str">
            <v>KUCSR760</v>
          </cell>
          <cell r="F109">
            <v>0</v>
          </cell>
          <cell r="G109">
            <v>0</v>
          </cell>
          <cell r="H109">
            <v>0</v>
          </cell>
          <cell r="I109">
            <v>0</v>
          </cell>
          <cell r="J109">
            <v>0</v>
          </cell>
          <cell r="K109">
            <v>0</v>
          </cell>
          <cell r="L109">
            <v>0</v>
          </cell>
          <cell r="M109">
            <v>0</v>
          </cell>
          <cell r="AE109">
            <v>0</v>
          </cell>
          <cell r="AF109">
            <v>0</v>
          </cell>
          <cell r="AH109">
            <v>0</v>
          </cell>
          <cell r="AI109">
            <v>0</v>
          </cell>
          <cell r="AJ109">
            <v>0</v>
          </cell>
          <cell r="AK109">
            <v>0</v>
          </cell>
          <cell r="AL109">
            <v>-989829</v>
          </cell>
          <cell r="AM109">
            <v>-989829</v>
          </cell>
          <cell r="AP109">
            <v>0</v>
          </cell>
        </row>
        <row r="110">
          <cell r="B110" t="str">
            <v>Mar 2016</v>
          </cell>
          <cell r="C110" t="str">
            <v>CSR10</v>
          </cell>
          <cell r="D110" t="str">
            <v>CSR10</v>
          </cell>
          <cell r="E110" t="str">
            <v>KUCSR761</v>
          </cell>
          <cell r="F110">
            <v>0</v>
          </cell>
          <cell r="G110">
            <v>0</v>
          </cell>
          <cell r="H110">
            <v>0</v>
          </cell>
          <cell r="I110">
            <v>0</v>
          </cell>
          <cell r="J110">
            <v>0</v>
          </cell>
          <cell r="K110">
            <v>0</v>
          </cell>
          <cell r="L110">
            <v>0</v>
          </cell>
          <cell r="M110">
            <v>0</v>
          </cell>
          <cell r="AE110">
            <v>0</v>
          </cell>
          <cell r="AF110">
            <v>0</v>
          </cell>
          <cell r="AH110">
            <v>0</v>
          </cell>
          <cell r="AI110">
            <v>0</v>
          </cell>
          <cell r="AJ110">
            <v>0</v>
          </cell>
          <cell r="AK110">
            <v>0</v>
          </cell>
          <cell r="AL110">
            <v>0</v>
          </cell>
          <cell r="AM110">
            <v>0</v>
          </cell>
          <cell r="AP110">
            <v>0</v>
          </cell>
        </row>
        <row r="111">
          <cell r="B111" t="str">
            <v>Mar 2016</v>
          </cell>
          <cell r="C111" t="str">
            <v>CSR30</v>
          </cell>
          <cell r="D111" t="str">
            <v>CSR30</v>
          </cell>
          <cell r="E111" t="str">
            <v>KUCSR780</v>
          </cell>
          <cell r="F111">
            <v>0</v>
          </cell>
          <cell r="G111">
            <v>0</v>
          </cell>
          <cell r="H111">
            <v>0</v>
          </cell>
          <cell r="I111">
            <v>0</v>
          </cell>
          <cell r="J111">
            <v>0</v>
          </cell>
          <cell r="K111">
            <v>0</v>
          </cell>
          <cell r="L111">
            <v>0</v>
          </cell>
          <cell r="M111">
            <v>0</v>
          </cell>
          <cell r="AE111">
            <v>0</v>
          </cell>
          <cell r="AF111">
            <v>0</v>
          </cell>
          <cell r="AH111">
            <v>0</v>
          </cell>
          <cell r="AI111">
            <v>0</v>
          </cell>
          <cell r="AJ111">
            <v>0</v>
          </cell>
          <cell r="AK111">
            <v>0</v>
          </cell>
          <cell r="AL111">
            <v>0</v>
          </cell>
          <cell r="AM111">
            <v>0</v>
          </cell>
          <cell r="AP111">
            <v>0</v>
          </cell>
        </row>
        <row r="112">
          <cell r="B112" t="str">
            <v>Mar 2016</v>
          </cell>
          <cell r="C112" t="str">
            <v>CSR30</v>
          </cell>
          <cell r="D112" t="str">
            <v>CSR30</v>
          </cell>
          <cell r="E112" t="str">
            <v>KUCSR781</v>
          </cell>
          <cell r="F112">
            <v>0</v>
          </cell>
          <cell r="G112">
            <v>0</v>
          </cell>
          <cell r="H112">
            <v>0</v>
          </cell>
          <cell r="I112">
            <v>0</v>
          </cell>
          <cell r="J112">
            <v>0</v>
          </cell>
          <cell r="K112">
            <v>0</v>
          </cell>
          <cell r="L112">
            <v>0</v>
          </cell>
          <cell r="M112">
            <v>0</v>
          </cell>
          <cell r="AE112">
            <v>0</v>
          </cell>
          <cell r="AF112">
            <v>0</v>
          </cell>
          <cell r="AH112">
            <v>0</v>
          </cell>
          <cell r="AI112">
            <v>0</v>
          </cell>
          <cell r="AJ112">
            <v>0</v>
          </cell>
          <cell r="AK112">
            <v>0</v>
          </cell>
          <cell r="AL112">
            <v>0</v>
          </cell>
          <cell r="AM112">
            <v>0</v>
          </cell>
          <cell r="AP112">
            <v>0</v>
          </cell>
        </row>
        <row r="113">
          <cell r="B113" t="str">
            <v>Mar 2016</v>
          </cell>
          <cell r="C113" t="str">
            <v>CSR30</v>
          </cell>
          <cell r="D113" t="str">
            <v>CSR30</v>
          </cell>
          <cell r="E113" t="str">
            <v>KUCSR783</v>
          </cell>
          <cell r="F113">
            <v>0</v>
          </cell>
          <cell r="G113">
            <v>0</v>
          </cell>
          <cell r="H113">
            <v>0</v>
          </cell>
          <cell r="I113">
            <v>0</v>
          </cell>
          <cell r="J113">
            <v>0</v>
          </cell>
          <cell r="K113">
            <v>0</v>
          </cell>
          <cell r="L113">
            <v>0</v>
          </cell>
          <cell r="M113">
            <v>0</v>
          </cell>
          <cell r="AE113">
            <v>0</v>
          </cell>
          <cell r="AF113">
            <v>0</v>
          </cell>
          <cell r="AH113">
            <v>0</v>
          </cell>
          <cell r="AI113">
            <v>0</v>
          </cell>
          <cell r="AJ113">
            <v>0</v>
          </cell>
          <cell r="AK113">
            <v>0</v>
          </cell>
          <cell r="AL113">
            <v>0</v>
          </cell>
          <cell r="AM113">
            <v>0</v>
          </cell>
          <cell r="AP113">
            <v>0</v>
          </cell>
        </row>
        <row r="114">
          <cell r="B114" t="str">
            <v>Mar 2016</v>
          </cell>
          <cell r="C114" t="str">
            <v>FLS</v>
          </cell>
          <cell r="D114" t="str">
            <v>FLST</v>
          </cell>
          <cell r="E114" t="str">
            <v>KUINE730</v>
          </cell>
          <cell r="F114">
            <v>1</v>
          </cell>
          <cell r="G114">
            <v>0</v>
          </cell>
          <cell r="H114">
            <v>0</v>
          </cell>
          <cell r="I114">
            <v>0</v>
          </cell>
          <cell r="J114">
            <v>48339184</v>
          </cell>
          <cell r="K114">
            <v>185158</v>
          </cell>
          <cell r="L114">
            <v>185158</v>
          </cell>
          <cell r="M114">
            <v>101388</v>
          </cell>
          <cell r="AE114">
            <v>2297291.9299999997</v>
          </cell>
          <cell r="AF114">
            <v>2297290</v>
          </cell>
          <cell r="AH114">
            <v>117609</v>
          </cell>
          <cell r="AI114">
            <v>0</v>
          </cell>
          <cell r="AJ114">
            <v>278579</v>
          </cell>
          <cell r="AK114">
            <v>0</v>
          </cell>
          <cell r="AL114">
            <v>0</v>
          </cell>
          <cell r="AM114">
            <v>2693478</v>
          </cell>
          <cell r="AP114">
            <v>1397969.2</v>
          </cell>
        </row>
        <row r="115">
          <cell r="B115" t="str">
            <v>Mar 2016</v>
          </cell>
          <cell r="C115" t="str">
            <v>RS</v>
          </cell>
          <cell r="D115" t="str">
            <v>RS</v>
          </cell>
          <cell r="E115" t="str">
            <v>KURSE010</v>
          </cell>
          <cell r="F115">
            <v>430997</v>
          </cell>
          <cell r="G115">
            <v>0</v>
          </cell>
          <cell r="H115">
            <v>0</v>
          </cell>
          <cell r="I115">
            <v>0</v>
          </cell>
          <cell r="J115">
            <v>556774760</v>
          </cell>
          <cell r="K115">
            <v>0</v>
          </cell>
          <cell r="L115">
            <v>0</v>
          </cell>
          <cell r="M115">
            <v>0</v>
          </cell>
          <cell r="AE115">
            <v>47749855.159999996</v>
          </cell>
          <cell r="AF115">
            <v>47750381</v>
          </cell>
          <cell r="AH115">
            <v>1354650</v>
          </cell>
          <cell r="AI115">
            <v>684189</v>
          </cell>
          <cell r="AJ115">
            <v>3208726</v>
          </cell>
          <cell r="AK115">
            <v>0</v>
          </cell>
          <cell r="AL115">
            <v>0</v>
          </cell>
          <cell r="AM115">
            <v>52997946</v>
          </cell>
          <cell r="AP115">
            <v>16101926.060000001</v>
          </cell>
        </row>
        <row r="116">
          <cell r="B116" t="str">
            <v>Mar 2016</v>
          </cell>
          <cell r="C116" t="str">
            <v>RS</v>
          </cell>
          <cell r="D116" t="str">
            <v>RS</v>
          </cell>
          <cell r="E116" t="str">
            <v>KURSE020</v>
          </cell>
          <cell r="F116">
            <v>0</v>
          </cell>
          <cell r="G116">
            <v>0</v>
          </cell>
          <cell r="H116">
            <v>0</v>
          </cell>
          <cell r="I116">
            <v>0</v>
          </cell>
          <cell r="J116">
            <v>0</v>
          </cell>
          <cell r="K116">
            <v>0</v>
          </cell>
          <cell r="L116">
            <v>0</v>
          </cell>
          <cell r="M116">
            <v>0</v>
          </cell>
          <cell r="AE116">
            <v>0</v>
          </cell>
          <cell r="AF116">
            <v>0</v>
          </cell>
          <cell r="AH116">
            <v>0</v>
          </cell>
          <cell r="AI116">
            <v>0</v>
          </cell>
          <cell r="AJ116">
            <v>0</v>
          </cell>
          <cell r="AK116">
            <v>0</v>
          </cell>
          <cell r="AL116">
            <v>0</v>
          </cell>
          <cell r="AM116">
            <v>0</v>
          </cell>
          <cell r="AP116">
            <v>0</v>
          </cell>
        </row>
        <row r="117">
          <cell r="B117" t="str">
            <v>Mar 2016</v>
          </cell>
          <cell r="C117" t="str">
            <v>RS</v>
          </cell>
          <cell r="D117" t="str">
            <v>RS</v>
          </cell>
          <cell r="E117" t="str">
            <v>KURSE025</v>
          </cell>
          <cell r="F117">
            <v>0</v>
          </cell>
          <cell r="G117">
            <v>0</v>
          </cell>
          <cell r="H117">
            <v>0</v>
          </cell>
          <cell r="I117">
            <v>0</v>
          </cell>
          <cell r="J117">
            <v>0</v>
          </cell>
          <cell r="K117">
            <v>0</v>
          </cell>
          <cell r="L117">
            <v>0</v>
          </cell>
          <cell r="M117">
            <v>0</v>
          </cell>
          <cell r="AE117">
            <v>0</v>
          </cell>
          <cell r="AF117">
            <v>0</v>
          </cell>
          <cell r="AH117">
            <v>0</v>
          </cell>
          <cell r="AI117">
            <v>0</v>
          </cell>
          <cell r="AJ117">
            <v>0</v>
          </cell>
          <cell r="AK117">
            <v>0</v>
          </cell>
          <cell r="AL117">
            <v>0</v>
          </cell>
          <cell r="AM117">
            <v>0</v>
          </cell>
          <cell r="AP117">
            <v>0</v>
          </cell>
        </row>
        <row r="118">
          <cell r="B118" t="str">
            <v>Mar 2016</v>
          </cell>
          <cell r="C118" t="str">
            <v>LEV</v>
          </cell>
          <cell r="D118" t="str">
            <v>RSLEV</v>
          </cell>
          <cell r="E118" t="str">
            <v>KURSE040</v>
          </cell>
          <cell r="F118">
            <v>7</v>
          </cell>
          <cell r="G118">
            <v>3962</v>
          </cell>
          <cell r="H118">
            <v>1210</v>
          </cell>
          <cell r="I118">
            <v>703</v>
          </cell>
          <cell r="J118">
            <v>5875</v>
          </cell>
          <cell r="K118">
            <v>0</v>
          </cell>
          <cell r="L118">
            <v>0</v>
          </cell>
          <cell r="M118">
            <v>0</v>
          </cell>
          <cell r="AE118">
            <v>491.05</v>
          </cell>
          <cell r="AF118">
            <v>0</v>
          </cell>
          <cell r="AH118">
            <v>0</v>
          </cell>
          <cell r="AI118">
            <v>0</v>
          </cell>
          <cell r="AJ118">
            <v>0</v>
          </cell>
          <cell r="AK118">
            <v>0</v>
          </cell>
          <cell r="AL118">
            <v>0</v>
          </cell>
          <cell r="AM118">
            <v>0</v>
          </cell>
          <cell r="AP118">
            <v>169.91</v>
          </cell>
        </row>
        <row r="119">
          <cell r="B119" t="str">
            <v>Mar 2016</v>
          </cell>
          <cell r="C119" t="str">
            <v>RS</v>
          </cell>
          <cell r="D119" t="str">
            <v>RSVFD</v>
          </cell>
          <cell r="E119" t="str">
            <v>KURSE080</v>
          </cell>
          <cell r="F119">
            <v>0</v>
          </cell>
          <cell r="G119">
            <v>0</v>
          </cell>
          <cell r="H119">
            <v>0</v>
          </cell>
          <cell r="I119">
            <v>0</v>
          </cell>
          <cell r="J119">
            <v>0</v>
          </cell>
          <cell r="K119">
            <v>0</v>
          </cell>
          <cell r="L119">
            <v>0</v>
          </cell>
          <cell r="M119">
            <v>0</v>
          </cell>
          <cell r="AE119">
            <v>0</v>
          </cell>
          <cell r="AF119">
            <v>0</v>
          </cell>
          <cell r="AH119">
            <v>0</v>
          </cell>
          <cell r="AI119">
            <v>0</v>
          </cell>
          <cell r="AJ119">
            <v>0</v>
          </cell>
          <cell r="AK119">
            <v>0</v>
          </cell>
          <cell r="AL119">
            <v>0</v>
          </cell>
          <cell r="AM119">
            <v>0</v>
          </cell>
          <cell r="AP119">
            <v>0</v>
          </cell>
        </row>
        <row r="120">
          <cell r="B120" t="str">
            <v>Mar 2016</v>
          </cell>
          <cell r="C120" t="str">
            <v>RS</v>
          </cell>
          <cell r="D120" t="str">
            <v>RS</v>
          </cell>
          <cell r="E120" t="str">
            <v>KURSE715</v>
          </cell>
          <cell r="F120">
            <v>0</v>
          </cell>
          <cell r="G120">
            <v>0</v>
          </cell>
          <cell r="H120">
            <v>0</v>
          </cell>
          <cell r="I120">
            <v>0</v>
          </cell>
          <cell r="J120">
            <v>0</v>
          </cell>
          <cell r="K120">
            <v>0</v>
          </cell>
          <cell r="L120">
            <v>0</v>
          </cell>
          <cell r="M120">
            <v>0</v>
          </cell>
          <cell r="AE120">
            <v>0</v>
          </cell>
          <cell r="AF120">
            <v>0</v>
          </cell>
          <cell r="AH120">
            <v>0</v>
          </cell>
          <cell r="AI120">
            <v>0</v>
          </cell>
          <cell r="AJ120">
            <v>0</v>
          </cell>
          <cell r="AK120">
            <v>0</v>
          </cell>
          <cell r="AL120">
            <v>0</v>
          </cell>
          <cell r="AM120">
            <v>0</v>
          </cell>
          <cell r="AP120">
            <v>0</v>
          </cell>
        </row>
        <row r="121">
          <cell r="B121" t="str">
            <v>Apr 2016</v>
          </cell>
          <cell r="C121" t="str">
            <v>RTS</v>
          </cell>
          <cell r="D121" t="str">
            <v>RTS</v>
          </cell>
          <cell r="E121" t="str">
            <v>KUCIE550</v>
          </cell>
          <cell r="F121">
            <v>32</v>
          </cell>
          <cell r="G121">
            <v>0</v>
          </cell>
          <cell r="H121">
            <v>0</v>
          </cell>
          <cell r="I121">
            <v>0</v>
          </cell>
          <cell r="J121">
            <v>125338353</v>
          </cell>
          <cell r="K121">
            <v>306602</v>
          </cell>
          <cell r="L121">
            <v>296919</v>
          </cell>
          <cell r="M121">
            <v>283381</v>
          </cell>
          <cell r="AE121">
            <v>6966822.5300000003</v>
          </cell>
          <cell r="AF121">
            <v>6966823</v>
          </cell>
          <cell r="AH121">
            <v>485740</v>
          </cell>
          <cell r="AI121">
            <v>0</v>
          </cell>
          <cell r="AJ121">
            <v>940480</v>
          </cell>
          <cell r="AK121">
            <v>0</v>
          </cell>
          <cell r="AL121">
            <v>0</v>
          </cell>
          <cell r="AM121">
            <v>8393043</v>
          </cell>
          <cell r="AP121">
            <v>3624785.17</v>
          </cell>
        </row>
        <row r="122">
          <cell r="B122" t="str">
            <v>Apr 2016</v>
          </cell>
          <cell r="C122" t="str">
            <v>PSP</v>
          </cell>
          <cell r="D122" t="str">
            <v>PSP</v>
          </cell>
          <cell r="E122" t="str">
            <v>KUCIE561</v>
          </cell>
          <cell r="F122">
            <v>195</v>
          </cell>
          <cell r="G122">
            <v>0</v>
          </cell>
          <cell r="H122">
            <v>0</v>
          </cell>
          <cell r="I122">
            <v>0</v>
          </cell>
          <cell r="J122">
            <v>17125531</v>
          </cell>
          <cell r="K122">
            <v>0</v>
          </cell>
          <cell r="L122">
            <v>55075</v>
          </cell>
          <cell r="M122">
            <v>0</v>
          </cell>
          <cell r="AE122">
            <v>1369049.9100000001</v>
          </cell>
          <cell r="AF122">
            <v>1369049</v>
          </cell>
          <cell r="AH122">
            <v>66369</v>
          </cell>
          <cell r="AI122">
            <v>22447</v>
          </cell>
          <cell r="AJ122">
            <v>128502</v>
          </cell>
          <cell r="AK122">
            <v>0</v>
          </cell>
          <cell r="AL122">
            <v>0</v>
          </cell>
          <cell r="AM122">
            <v>1586367</v>
          </cell>
          <cell r="AP122">
            <v>495270.36</v>
          </cell>
        </row>
        <row r="123">
          <cell r="B123" t="str">
            <v>Apr 2016</v>
          </cell>
          <cell r="C123" t="str">
            <v>PSS</v>
          </cell>
          <cell r="D123" t="str">
            <v>PSS</v>
          </cell>
          <cell r="E123" t="str">
            <v>KUCIE562</v>
          </cell>
          <cell r="F123">
            <v>4620</v>
          </cell>
          <cell r="G123">
            <v>0</v>
          </cell>
          <cell r="H123">
            <v>0</v>
          </cell>
          <cell r="I123">
            <v>0</v>
          </cell>
          <cell r="J123">
            <v>148653381</v>
          </cell>
          <cell r="K123">
            <v>0</v>
          </cell>
          <cell r="L123">
            <v>527559</v>
          </cell>
          <cell r="M123">
            <v>0</v>
          </cell>
          <cell r="AE123">
            <v>12677585.300000001</v>
          </cell>
          <cell r="AF123">
            <v>12677591</v>
          </cell>
          <cell r="AH123">
            <v>576096</v>
          </cell>
          <cell r="AI123">
            <v>194841</v>
          </cell>
          <cell r="AJ123">
            <v>1115425</v>
          </cell>
          <cell r="AK123">
            <v>0</v>
          </cell>
          <cell r="AL123">
            <v>0</v>
          </cell>
          <cell r="AM123">
            <v>14563953</v>
          </cell>
          <cell r="AP123">
            <v>4299055.78</v>
          </cell>
        </row>
        <row r="124">
          <cell r="B124" t="str">
            <v>Apr 2016</v>
          </cell>
          <cell r="C124" t="str">
            <v>TODP</v>
          </cell>
          <cell r="D124" t="str">
            <v>TODP</v>
          </cell>
          <cell r="E124" t="str">
            <v>KUCIE563</v>
          </cell>
          <cell r="F124">
            <v>52</v>
          </cell>
          <cell r="G124">
            <v>0</v>
          </cell>
          <cell r="H124">
            <v>0</v>
          </cell>
          <cell r="I124">
            <v>0</v>
          </cell>
          <cell r="J124">
            <v>226428621</v>
          </cell>
          <cell r="K124">
            <v>512309</v>
          </cell>
          <cell r="L124">
            <v>488087</v>
          </cell>
          <cell r="M124">
            <v>484789</v>
          </cell>
          <cell r="AE124">
            <v>12829007.23</v>
          </cell>
          <cell r="AF124">
            <v>12829008</v>
          </cell>
          <cell r="AH124">
            <v>877509</v>
          </cell>
          <cell r="AI124">
            <v>296781</v>
          </cell>
          <cell r="AJ124">
            <v>1699013</v>
          </cell>
          <cell r="AK124">
            <v>0</v>
          </cell>
          <cell r="AL124">
            <v>0</v>
          </cell>
          <cell r="AM124">
            <v>15702311</v>
          </cell>
          <cell r="AP124">
            <v>6548315.7199999997</v>
          </cell>
        </row>
        <row r="125">
          <cell r="B125" t="str">
            <v>Apr 2016</v>
          </cell>
          <cell r="C125" t="str">
            <v>PSP</v>
          </cell>
          <cell r="D125" t="str">
            <v>PSP</v>
          </cell>
          <cell r="E125" t="str">
            <v>KUCIE566</v>
          </cell>
          <cell r="F125">
            <v>0</v>
          </cell>
          <cell r="G125">
            <v>0</v>
          </cell>
          <cell r="H125">
            <v>0</v>
          </cell>
          <cell r="I125">
            <v>0</v>
          </cell>
          <cell r="J125">
            <v>0</v>
          </cell>
          <cell r="K125">
            <v>0</v>
          </cell>
          <cell r="L125">
            <v>0</v>
          </cell>
          <cell r="M125">
            <v>0</v>
          </cell>
          <cell r="AE125">
            <v>0</v>
          </cell>
          <cell r="AF125">
            <v>0</v>
          </cell>
          <cell r="AH125">
            <v>0</v>
          </cell>
          <cell r="AI125">
            <v>0</v>
          </cell>
          <cell r="AJ125">
            <v>0</v>
          </cell>
          <cell r="AK125">
            <v>0</v>
          </cell>
          <cell r="AL125">
            <v>0</v>
          </cell>
          <cell r="AM125">
            <v>0</v>
          </cell>
          <cell r="AP125">
            <v>0</v>
          </cell>
        </row>
        <row r="126">
          <cell r="B126" t="str">
            <v>Apr 2016</v>
          </cell>
          <cell r="C126" t="str">
            <v>PSS</v>
          </cell>
          <cell r="D126" t="str">
            <v>PSS</v>
          </cell>
          <cell r="E126" t="str">
            <v>KUCIE568</v>
          </cell>
          <cell r="F126">
            <v>0</v>
          </cell>
          <cell r="G126">
            <v>0</v>
          </cell>
          <cell r="H126">
            <v>0</v>
          </cell>
          <cell r="I126">
            <v>0</v>
          </cell>
          <cell r="J126">
            <v>0</v>
          </cell>
          <cell r="K126">
            <v>0</v>
          </cell>
          <cell r="L126">
            <v>0</v>
          </cell>
          <cell r="M126">
            <v>0</v>
          </cell>
          <cell r="AE126">
            <v>0</v>
          </cell>
          <cell r="AF126">
            <v>0</v>
          </cell>
          <cell r="AH126">
            <v>0</v>
          </cell>
          <cell r="AI126">
            <v>0</v>
          </cell>
          <cell r="AJ126">
            <v>0</v>
          </cell>
          <cell r="AK126">
            <v>0</v>
          </cell>
          <cell r="AL126">
            <v>0</v>
          </cell>
          <cell r="AM126">
            <v>0</v>
          </cell>
          <cell r="AP126">
            <v>0</v>
          </cell>
        </row>
        <row r="127">
          <cell r="B127" t="str">
            <v>Apr 2016</v>
          </cell>
          <cell r="C127" t="str">
            <v>TODP</v>
          </cell>
          <cell r="D127" t="str">
            <v>TODP</v>
          </cell>
          <cell r="E127" t="str">
            <v>KUCIE571</v>
          </cell>
          <cell r="F127">
            <v>208</v>
          </cell>
          <cell r="G127">
            <v>0</v>
          </cell>
          <cell r="H127">
            <v>0</v>
          </cell>
          <cell r="I127">
            <v>0</v>
          </cell>
          <cell r="J127">
            <v>95454013</v>
          </cell>
          <cell r="K127">
            <v>278232</v>
          </cell>
          <cell r="L127">
            <v>266025</v>
          </cell>
          <cell r="M127">
            <v>260651</v>
          </cell>
          <cell r="AE127">
            <v>5976622.5699999994</v>
          </cell>
          <cell r="AF127">
            <v>5976621</v>
          </cell>
          <cell r="AH127">
            <v>369926</v>
          </cell>
          <cell r="AI127">
            <v>125112</v>
          </cell>
          <cell r="AJ127">
            <v>716242</v>
          </cell>
          <cell r="AK127">
            <v>0</v>
          </cell>
          <cell r="AL127">
            <v>0</v>
          </cell>
          <cell r="AM127">
            <v>7187901</v>
          </cell>
          <cell r="AP127">
            <v>2760530.06</v>
          </cell>
        </row>
        <row r="128">
          <cell r="B128" t="str">
            <v>Apr 2016</v>
          </cell>
          <cell r="C128" t="str">
            <v>TODS</v>
          </cell>
          <cell r="D128" t="str">
            <v>TODS</v>
          </cell>
          <cell r="E128" t="str">
            <v>KUCIE572</v>
          </cell>
          <cell r="F128">
            <v>470</v>
          </cell>
          <cell r="G128">
            <v>0</v>
          </cell>
          <cell r="H128">
            <v>0</v>
          </cell>
          <cell r="I128">
            <v>0</v>
          </cell>
          <cell r="J128">
            <v>117607497</v>
          </cell>
          <cell r="K128">
            <v>308834</v>
          </cell>
          <cell r="L128">
            <v>281287</v>
          </cell>
          <cell r="M128">
            <v>274986</v>
          </cell>
          <cell r="AE128">
            <v>7730292.8900000006</v>
          </cell>
          <cell r="AF128">
            <v>7730292</v>
          </cell>
          <cell r="AH128">
            <v>455780</v>
          </cell>
          <cell r="AI128">
            <v>154149</v>
          </cell>
          <cell r="AJ128">
            <v>882471</v>
          </cell>
          <cell r="AK128">
            <v>0</v>
          </cell>
          <cell r="AL128">
            <v>0</v>
          </cell>
          <cell r="AM128">
            <v>9222692</v>
          </cell>
          <cell r="AP128">
            <v>3401208.81</v>
          </cell>
        </row>
        <row r="129">
          <cell r="B129" t="str">
            <v>Apr 2016</v>
          </cell>
          <cell r="C129" t="str">
            <v>PSS</v>
          </cell>
          <cell r="D129" t="str">
            <v>PSS</v>
          </cell>
          <cell r="E129" t="str">
            <v>KUCIE717</v>
          </cell>
          <cell r="F129">
            <v>0</v>
          </cell>
          <cell r="G129">
            <v>0</v>
          </cell>
          <cell r="H129">
            <v>0</v>
          </cell>
          <cell r="I129">
            <v>0</v>
          </cell>
          <cell r="J129">
            <v>0</v>
          </cell>
          <cell r="K129">
            <v>0</v>
          </cell>
          <cell r="L129">
            <v>0</v>
          </cell>
          <cell r="M129">
            <v>0</v>
          </cell>
          <cell r="AE129">
            <v>0</v>
          </cell>
          <cell r="AF129">
            <v>0</v>
          </cell>
          <cell r="AH129">
            <v>0</v>
          </cell>
          <cell r="AI129">
            <v>0</v>
          </cell>
          <cell r="AJ129">
            <v>0</v>
          </cell>
          <cell r="AK129">
            <v>0</v>
          </cell>
          <cell r="AL129">
            <v>0</v>
          </cell>
          <cell r="AM129">
            <v>0</v>
          </cell>
          <cell r="AP129">
            <v>0</v>
          </cell>
        </row>
        <row r="130">
          <cell r="B130" t="str">
            <v>Apr 2016</v>
          </cell>
          <cell r="C130" t="str">
            <v>GS</v>
          </cell>
          <cell r="D130" t="str">
            <v>GS</v>
          </cell>
          <cell r="E130" t="str">
            <v>KUCME110</v>
          </cell>
          <cell r="F130">
            <v>63560</v>
          </cell>
          <cell r="G130">
            <v>0</v>
          </cell>
          <cell r="H130">
            <v>0</v>
          </cell>
          <cell r="I130">
            <v>0</v>
          </cell>
          <cell r="J130">
            <v>53952631</v>
          </cell>
          <cell r="K130">
            <v>0</v>
          </cell>
          <cell r="L130">
            <v>0</v>
          </cell>
          <cell r="M130">
            <v>0</v>
          </cell>
          <cell r="AE130">
            <v>6248330.21</v>
          </cell>
          <cell r="AF130">
            <v>6248337</v>
          </cell>
          <cell r="AH130">
            <v>209090</v>
          </cell>
          <cell r="AI130">
            <v>70716</v>
          </cell>
          <cell r="AJ130">
            <v>404835</v>
          </cell>
          <cell r="AK130">
            <v>0</v>
          </cell>
          <cell r="AL130">
            <v>0</v>
          </cell>
          <cell r="AM130">
            <v>6932978</v>
          </cell>
          <cell r="AP130">
            <v>1560310.09</v>
          </cell>
        </row>
        <row r="131">
          <cell r="B131" t="str">
            <v>Apr 2016</v>
          </cell>
          <cell r="C131" t="str">
            <v>GS</v>
          </cell>
          <cell r="D131" t="str">
            <v>GS</v>
          </cell>
          <cell r="E131" t="str">
            <v>KUCME112</v>
          </cell>
          <cell r="F131">
            <v>0</v>
          </cell>
          <cell r="G131">
            <v>0</v>
          </cell>
          <cell r="H131">
            <v>0</v>
          </cell>
          <cell r="I131">
            <v>0</v>
          </cell>
          <cell r="J131">
            <v>0</v>
          </cell>
          <cell r="K131">
            <v>0</v>
          </cell>
          <cell r="L131">
            <v>0</v>
          </cell>
          <cell r="M131">
            <v>0</v>
          </cell>
          <cell r="AE131">
            <v>0</v>
          </cell>
          <cell r="AF131">
            <v>0</v>
          </cell>
          <cell r="AH131">
            <v>0</v>
          </cell>
          <cell r="AI131">
            <v>0</v>
          </cell>
          <cell r="AJ131">
            <v>0</v>
          </cell>
          <cell r="AK131">
            <v>0</v>
          </cell>
          <cell r="AL131">
            <v>0</v>
          </cell>
          <cell r="AM131">
            <v>0</v>
          </cell>
          <cell r="AP131">
            <v>0</v>
          </cell>
        </row>
        <row r="132">
          <cell r="B132" t="str">
            <v>Apr 2016</v>
          </cell>
          <cell r="C132" t="str">
            <v>GS3</v>
          </cell>
          <cell r="D132" t="str">
            <v>GS3</v>
          </cell>
          <cell r="E132" t="str">
            <v>KUCME113</v>
          </cell>
          <cell r="F132">
            <v>18580</v>
          </cell>
          <cell r="G132">
            <v>0</v>
          </cell>
          <cell r="H132">
            <v>0</v>
          </cell>
          <cell r="I132">
            <v>0</v>
          </cell>
          <cell r="J132">
            <v>78553027</v>
          </cell>
          <cell r="K132">
            <v>371834</v>
          </cell>
          <cell r="L132">
            <v>0</v>
          </cell>
          <cell r="M132">
            <v>0</v>
          </cell>
          <cell r="AE132">
            <v>7896816.7400000002</v>
          </cell>
          <cell r="AF132">
            <v>7896804</v>
          </cell>
          <cell r="AH132">
            <v>304427</v>
          </cell>
          <cell r="AI132">
            <v>102960</v>
          </cell>
          <cell r="AJ132">
            <v>589425</v>
          </cell>
          <cell r="AK132">
            <v>0</v>
          </cell>
          <cell r="AL132">
            <v>0</v>
          </cell>
          <cell r="AM132">
            <v>8893616</v>
          </cell>
          <cell r="AP132">
            <v>2271753.54</v>
          </cell>
        </row>
        <row r="133">
          <cell r="B133" t="str">
            <v>Apr 2016</v>
          </cell>
          <cell r="C133" t="str">
            <v>AES</v>
          </cell>
          <cell r="D133" t="str">
            <v>AES</v>
          </cell>
          <cell r="E133" t="str">
            <v>KUCME220</v>
          </cell>
          <cell r="F133">
            <v>359</v>
          </cell>
          <cell r="G133">
            <v>0</v>
          </cell>
          <cell r="H133">
            <v>0</v>
          </cell>
          <cell r="I133">
            <v>0</v>
          </cell>
          <cell r="J133">
            <v>567977</v>
          </cell>
          <cell r="K133">
            <v>0</v>
          </cell>
          <cell r="L133">
            <v>0</v>
          </cell>
          <cell r="M133">
            <v>0</v>
          </cell>
          <cell r="AE133">
            <v>49437.49</v>
          </cell>
          <cell r="AF133">
            <v>49438</v>
          </cell>
          <cell r="AH133">
            <v>2201</v>
          </cell>
          <cell r="AI133">
            <v>744</v>
          </cell>
          <cell r="AJ133">
            <v>4262</v>
          </cell>
          <cell r="AK133">
            <v>0</v>
          </cell>
          <cell r="AL133">
            <v>0</v>
          </cell>
          <cell r="AM133">
            <v>56645</v>
          </cell>
          <cell r="AP133">
            <v>16425.89</v>
          </cell>
        </row>
        <row r="134">
          <cell r="B134" t="str">
            <v>Apr 2016</v>
          </cell>
          <cell r="C134" t="str">
            <v>AES</v>
          </cell>
          <cell r="D134" t="str">
            <v>AES</v>
          </cell>
          <cell r="E134" t="str">
            <v>KUCME221</v>
          </cell>
          <cell r="F134">
            <v>0</v>
          </cell>
          <cell r="G134">
            <v>0</v>
          </cell>
          <cell r="H134">
            <v>0</v>
          </cell>
          <cell r="I134">
            <v>0</v>
          </cell>
          <cell r="J134">
            <v>0</v>
          </cell>
          <cell r="K134">
            <v>0</v>
          </cell>
          <cell r="L134">
            <v>0</v>
          </cell>
          <cell r="M134">
            <v>0</v>
          </cell>
          <cell r="AE134">
            <v>0</v>
          </cell>
          <cell r="AF134">
            <v>0</v>
          </cell>
          <cell r="AH134">
            <v>0</v>
          </cell>
          <cell r="AI134">
            <v>0</v>
          </cell>
          <cell r="AJ134">
            <v>0</v>
          </cell>
          <cell r="AK134">
            <v>0</v>
          </cell>
          <cell r="AL134">
            <v>0</v>
          </cell>
          <cell r="AM134">
            <v>0</v>
          </cell>
          <cell r="AP134">
            <v>0</v>
          </cell>
        </row>
        <row r="135">
          <cell r="B135" t="str">
            <v>Apr 2016</v>
          </cell>
          <cell r="C135" t="str">
            <v>AES3</v>
          </cell>
          <cell r="D135" t="str">
            <v>AES3</v>
          </cell>
          <cell r="E135" t="str">
            <v>KUCME223</v>
          </cell>
          <cell r="F135">
            <v>0</v>
          </cell>
          <cell r="G135">
            <v>0</v>
          </cell>
          <cell r="H135">
            <v>0</v>
          </cell>
          <cell r="I135">
            <v>0</v>
          </cell>
          <cell r="J135">
            <v>0</v>
          </cell>
          <cell r="K135">
            <v>0</v>
          </cell>
          <cell r="L135">
            <v>0</v>
          </cell>
          <cell r="M135">
            <v>0</v>
          </cell>
          <cell r="AE135">
            <v>0</v>
          </cell>
          <cell r="AF135">
            <v>0</v>
          </cell>
          <cell r="AH135">
            <v>0</v>
          </cell>
          <cell r="AI135">
            <v>0</v>
          </cell>
          <cell r="AJ135">
            <v>0</v>
          </cell>
          <cell r="AK135">
            <v>0</v>
          </cell>
          <cell r="AL135">
            <v>0</v>
          </cell>
          <cell r="AM135">
            <v>0</v>
          </cell>
          <cell r="AP135">
            <v>0</v>
          </cell>
        </row>
        <row r="136">
          <cell r="B136" t="str">
            <v>Apr 2016</v>
          </cell>
          <cell r="C136" t="str">
            <v>AES3</v>
          </cell>
          <cell r="D136" t="str">
            <v>AES3</v>
          </cell>
          <cell r="E136" t="str">
            <v>KUCME224</v>
          </cell>
          <cell r="F136">
            <v>249</v>
          </cell>
          <cell r="G136">
            <v>0</v>
          </cell>
          <cell r="H136">
            <v>0</v>
          </cell>
          <cell r="I136">
            <v>0</v>
          </cell>
          <cell r="J136">
            <v>10527179</v>
          </cell>
          <cell r="K136">
            <v>53729</v>
          </cell>
          <cell r="L136">
            <v>0</v>
          </cell>
          <cell r="M136">
            <v>0</v>
          </cell>
          <cell r="AE136">
            <v>791937.12</v>
          </cell>
          <cell r="AF136">
            <v>791938</v>
          </cell>
          <cell r="AH136">
            <v>40797</v>
          </cell>
          <cell r="AI136">
            <v>13798</v>
          </cell>
          <cell r="AJ136">
            <v>78991</v>
          </cell>
          <cell r="AK136">
            <v>0</v>
          </cell>
          <cell r="AL136">
            <v>0</v>
          </cell>
          <cell r="AM136">
            <v>925524</v>
          </cell>
          <cell r="AP136">
            <v>304446.02</v>
          </cell>
        </row>
        <row r="137">
          <cell r="B137" t="str">
            <v>Apr 2016</v>
          </cell>
          <cell r="C137" t="str">
            <v>AES3</v>
          </cell>
          <cell r="D137" t="str">
            <v>AES3</v>
          </cell>
          <cell r="E137" t="str">
            <v>KUCME225</v>
          </cell>
          <cell r="F137">
            <v>0</v>
          </cell>
          <cell r="G137">
            <v>0</v>
          </cell>
          <cell r="H137">
            <v>0</v>
          </cell>
          <cell r="I137">
            <v>0</v>
          </cell>
          <cell r="J137">
            <v>0</v>
          </cell>
          <cell r="K137">
            <v>0</v>
          </cell>
          <cell r="L137">
            <v>0</v>
          </cell>
          <cell r="M137">
            <v>0</v>
          </cell>
          <cell r="AE137">
            <v>0</v>
          </cell>
          <cell r="AF137">
            <v>0</v>
          </cell>
          <cell r="AH137">
            <v>0</v>
          </cell>
          <cell r="AI137">
            <v>0</v>
          </cell>
          <cell r="AJ137">
            <v>0</v>
          </cell>
          <cell r="AK137">
            <v>0</v>
          </cell>
          <cell r="AL137">
            <v>0</v>
          </cell>
          <cell r="AM137">
            <v>0</v>
          </cell>
          <cell r="AP137">
            <v>0</v>
          </cell>
        </row>
        <row r="138">
          <cell r="B138" t="str">
            <v>Apr 2016</v>
          </cell>
          <cell r="C138" t="str">
            <v>AES</v>
          </cell>
          <cell r="D138" t="str">
            <v>AES</v>
          </cell>
          <cell r="E138" t="str">
            <v>KUCME226</v>
          </cell>
          <cell r="F138">
            <v>0</v>
          </cell>
          <cell r="G138">
            <v>0</v>
          </cell>
          <cell r="H138">
            <v>0</v>
          </cell>
          <cell r="I138">
            <v>0</v>
          </cell>
          <cell r="J138">
            <v>0</v>
          </cell>
          <cell r="K138">
            <v>0</v>
          </cell>
          <cell r="L138">
            <v>0</v>
          </cell>
          <cell r="M138">
            <v>0</v>
          </cell>
          <cell r="AE138">
            <v>0</v>
          </cell>
          <cell r="AF138">
            <v>0</v>
          </cell>
          <cell r="AH138">
            <v>0</v>
          </cell>
          <cell r="AI138">
            <v>0</v>
          </cell>
          <cell r="AJ138">
            <v>0</v>
          </cell>
          <cell r="AK138">
            <v>0</v>
          </cell>
          <cell r="AL138">
            <v>0</v>
          </cell>
          <cell r="AM138">
            <v>0</v>
          </cell>
          <cell r="AP138">
            <v>0</v>
          </cell>
        </row>
        <row r="139">
          <cell r="B139" t="str">
            <v>Apr 2016</v>
          </cell>
          <cell r="C139" t="str">
            <v>AES3</v>
          </cell>
          <cell r="D139" t="str">
            <v>AES3</v>
          </cell>
          <cell r="E139" t="str">
            <v>KUCME227</v>
          </cell>
          <cell r="F139">
            <v>0</v>
          </cell>
          <cell r="G139">
            <v>0</v>
          </cell>
          <cell r="H139">
            <v>0</v>
          </cell>
          <cell r="I139">
            <v>0</v>
          </cell>
          <cell r="J139">
            <v>0</v>
          </cell>
          <cell r="K139">
            <v>0</v>
          </cell>
          <cell r="L139">
            <v>0</v>
          </cell>
          <cell r="M139">
            <v>0</v>
          </cell>
          <cell r="AE139">
            <v>0</v>
          </cell>
          <cell r="AF139">
            <v>0</v>
          </cell>
          <cell r="AH139">
            <v>0</v>
          </cell>
          <cell r="AI139">
            <v>0</v>
          </cell>
          <cell r="AJ139">
            <v>0</v>
          </cell>
          <cell r="AK139">
            <v>0</v>
          </cell>
          <cell r="AL139">
            <v>0</v>
          </cell>
          <cell r="AM139">
            <v>0</v>
          </cell>
          <cell r="AP139">
            <v>0</v>
          </cell>
        </row>
        <row r="140">
          <cell r="B140" t="str">
            <v>Apr 2016</v>
          </cell>
          <cell r="C140" t="str">
            <v>LE</v>
          </cell>
          <cell r="D140" t="str">
            <v>LE</v>
          </cell>
          <cell r="E140" t="str">
            <v>KUCME290</v>
          </cell>
          <cell r="F140">
            <v>2</v>
          </cell>
          <cell r="G140">
            <v>0</v>
          </cell>
          <cell r="H140">
            <v>0</v>
          </cell>
          <cell r="I140">
            <v>0</v>
          </cell>
          <cell r="J140">
            <v>11211</v>
          </cell>
          <cell r="K140">
            <v>0</v>
          </cell>
          <cell r="L140">
            <v>0</v>
          </cell>
          <cell r="M140">
            <v>0</v>
          </cell>
          <cell r="AE140">
            <v>715.26</v>
          </cell>
          <cell r="AF140">
            <v>0</v>
          </cell>
          <cell r="AH140">
            <v>0</v>
          </cell>
          <cell r="AI140">
            <v>0</v>
          </cell>
          <cell r="AJ140">
            <v>0</v>
          </cell>
          <cell r="AK140">
            <v>0</v>
          </cell>
          <cell r="AL140">
            <v>0</v>
          </cell>
          <cell r="AM140">
            <v>0</v>
          </cell>
          <cell r="AP140">
            <v>324.22000000000003</v>
          </cell>
        </row>
        <row r="141">
          <cell r="B141" t="str">
            <v>Apr 2016</v>
          </cell>
          <cell r="C141" t="str">
            <v>LE</v>
          </cell>
          <cell r="D141" t="str">
            <v>LE</v>
          </cell>
          <cell r="E141" t="str">
            <v>KUCME291</v>
          </cell>
          <cell r="F141">
            <v>0</v>
          </cell>
          <cell r="G141">
            <v>0</v>
          </cell>
          <cell r="H141">
            <v>0</v>
          </cell>
          <cell r="I141">
            <v>0</v>
          </cell>
          <cell r="J141">
            <v>0</v>
          </cell>
          <cell r="K141">
            <v>0</v>
          </cell>
          <cell r="L141">
            <v>0</v>
          </cell>
          <cell r="M141">
            <v>0</v>
          </cell>
          <cell r="AE141">
            <v>0</v>
          </cell>
          <cell r="AF141">
            <v>0</v>
          </cell>
          <cell r="AH141">
            <v>0</v>
          </cell>
          <cell r="AI141">
            <v>0</v>
          </cell>
          <cell r="AJ141">
            <v>0</v>
          </cell>
          <cell r="AK141">
            <v>0</v>
          </cell>
          <cell r="AL141">
            <v>0</v>
          </cell>
          <cell r="AM141">
            <v>0</v>
          </cell>
          <cell r="AP141">
            <v>0</v>
          </cell>
        </row>
        <row r="142">
          <cell r="B142" t="str">
            <v>Apr 2016</v>
          </cell>
          <cell r="C142" t="str">
            <v>TE</v>
          </cell>
          <cell r="D142" t="str">
            <v>TE</v>
          </cell>
          <cell r="E142" t="str">
            <v>KUCME295</v>
          </cell>
          <cell r="F142">
            <v>747</v>
          </cell>
          <cell r="G142">
            <v>0</v>
          </cell>
          <cell r="H142">
            <v>0</v>
          </cell>
          <cell r="I142">
            <v>0</v>
          </cell>
          <cell r="J142">
            <v>90687</v>
          </cell>
          <cell r="K142">
            <v>0</v>
          </cell>
          <cell r="L142">
            <v>0</v>
          </cell>
          <cell r="M142">
            <v>0</v>
          </cell>
          <cell r="AE142">
            <v>9662.76</v>
          </cell>
          <cell r="AF142">
            <v>0</v>
          </cell>
          <cell r="AH142">
            <v>0</v>
          </cell>
          <cell r="AI142">
            <v>0</v>
          </cell>
          <cell r="AJ142">
            <v>0</v>
          </cell>
          <cell r="AK142">
            <v>0</v>
          </cell>
          <cell r="AL142">
            <v>0</v>
          </cell>
          <cell r="AM142">
            <v>0</v>
          </cell>
          <cell r="AP142">
            <v>2622.67</v>
          </cell>
        </row>
        <row r="143">
          <cell r="B143" t="str">
            <v>Apr 2016</v>
          </cell>
          <cell r="C143" t="str">
            <v>TE</v>
          </cell>
          <cell r="D143" t="str">
            <v>TE</v>
          </cell>
          <cell r="E143" t="str">
            <v>KUCME297</v>
          </cell>
          <cell r="F143">
            <v>0</v>
          </cell>
          <cell r="G143">
            <v>0</v>
          </cell>
          <cell r="H143">
            <v>0</v>
          </cell>
          <cell r="I143">
            <v>0</v>
          </cell>
          <cell r="J143">
            <v>0</v>
          </cell>
          <cell r="K143">
            <v>0</v>
          </cell>
          <cell r="L143">
            <v>0</v>
          </cell>
          <cell r="M143">
            <v>0</v>
          </cell>
          <cell r="AE143">
            <v>0</v>
          </cell>
          <cell r="AF143">
            <v>0</v>
          </cell>
          <cell r="AH143">
            <v>0</v>
          </cell>
          <cell r="AI143">
            <v>0</v>
          </cell>
          <cell r="AJ143">
            <v>0</v>
          </cell>
          <cell r="AK143">
            <v>0</v>
          </cell>
          <cell r="AL143">
            <v>0</v>
          </cell>
          <cell r="AM143">
            <v>0</v>
          </cell>
          <cell r="AP143">
            <v>0</v>
          </cell>
        </row>
        <row r="144">
          <cell r="B144" t="str">
            <v>Apr 2016</v>
          </cell>
          <cell r="C144" t="str">
            <v>SQF</v>
          </cell>
          <cell r="D144" t="str">
            <v>SQF</v>
          </cell>
          <cell r="E144" t="str">
            <v>KUCME705</v>
          </cell>
          <cell r="F144">
            <v>0</v>
          </cell>
          <cell r="G144">
            <v>0</v>
          </cell>
          <cell r="H144">
            <v>0</v>
          </cell>
          <cell r="I144">
            <v>0</v>
          </cell>
          <cell r="J144">
            <v>0</v>
          </cell>
          <cell r="K144">
            <v>0</v>
          </cell>
          <cell r="L144">
            <v>0</v>
          </cell>
          <cell r="M144">
            <v>0</v>
          </cell>
          <cell r="AE144">
            <v>0</v>
          </cell>
          <cell r="AF144">
            <v>0</v>
          </cell>
          <cell r="AH144">
            <v>0</v>
          </cell>
          <cell r="AI144">
            <v>0</v>
          </cell>
          <cell r="AJ144">
            <v>0</v>
          </cell>
          <cell r="AK144">
            <v>0</v>
          </cell>
          <cell r="AL144">
            <v>0</v>
          </cell>
          <cell r="AM144">
            <v>0</v>
          </cell>
          <cell r="AP144">
            <v>0</v>
          </cell>
        </row>
        <row r="145">
          <cell r="B145" t="str">
            <v>Apr 2016</v>
          </cell>
          <cell r="C145" t="str">
            <v>LQF</v>
          </cell>
          <cell r="D145" t="str">
            <v>LQF</v>
          </cell>
          <cell r="E145" t="str">
            <v>KUCME707</v>
          </cell>
          <cell r="F145">
            <v>0</v>
          </cell>
          <cell r="G145">
            <v>0</v>
          </cell>
          <cell r="H145">
            <v>0</v>
          </cell>
          <cell r="I145">
            <v>0</v>
          </cell>
          <cell r="J145">
            <v>0</v>
          </cell>
          <cell r="K145">
            <v>0</v>
          </cell>
          <cell r="L145">
            <v>0</v>
          </cell>
          <cell r="M145">
            <v>0</v>
          </cell>
          <cell r="AE145">
            <v>0</v>
          </cell>
          <cell r="AF145">
            <v>0</v>
          </cell>
          <cell r="AH145">
            <v>0</v>
          </cell>
          <cell r="AI145">
            <v>0</v>
          </cell>
          <cell r="AJ145">
            <v>0</v>
          </cell>
          <cell r="AK145">
            <v>0</v>
          </cell>
          <cell r="AL145">
            <v>0</v>
          </cell>
          <cell r="AM145">
            <v>0</v>
          </cell>
          <cell r="AP145">
            <v>0</v>
          </cell>
        </row>
        <row r="146">
          <cell r="B146" t="str">
            <v>Apr 2016</v>
          </cell>
          <cell r="C146" t="str">
            <v>GS</v>
          </cell>
          <cell r="D146" t="str">
            <v>GS</v>
          </cell>
          <cell r="E146" t="str">
            <v>KUCME710</v>
          </cell>
          <cell r="F146">
            <v>0</v>
          </cell>
          <cell r="G146">
            <v>0</v>
          </cell>
          <cell r="H146">
            <v>0</v>
          </cell>
          <cell r="I146">
            <v>0</v>
          </cell>
          <cell r="J146">
            <v>0</v>
          </cell>
          <cell r="K146">
            <v>0</v>
          </cell>
          <cell r="L146">
            <v>0</v>
          </cell>
          <cell r="M146">
            <v>0</v>
          </cell>
          <cell r="AE146">
            <v>0</v>
          </cell>
          <cell r="AF146">
            <v>0</v>
          </cell>
          <cell r="AH146">
            <v>0</v>
          </cell>
          <cell r="AI146">
            <v>0</v>
          </cell>
          <cell r="AJ146">
            <v>0</v>
          </cell>
          <cell r="AK146">
            <v>0</v>
          </cell>
          <cell r="AL146">
            <v>0</v>
          </cell>
          <cell r="AM146">
            <v>0</v>
          </cell>
          <cell r="AP146">
            <v>0</v>
          </cell>
        </row>
        <row r="147">
          <cell r="B147" t="str">
            <v>Apr 2016</v>
          </cell>
          <cell r="C147" t="str">
            <v>GS3</v>
          </cell>
          <cell r="D147" t="str">
            <v>GS3</v>
          </cell>
          <cell r="E147" t="str">
            <v>KUCME713</v>
          </cell>
          <cell r="F147">
            <v>0</v>
          </cell>
          <cell r="G147">
            <v>0</v>
          </cell>
          <cell r="H147">
            <v>0</v>
          </cell>
          <cell r="I147">
            <v>0</v>
          </cell>
          <cell r="J147">
            <v>0</v>
          </cell>
          <cell r="K147">
            <v>0</v>
          </cell>
          <cell r="L147">
            <v>0</v>
          </cell>
          <cell r="M147">
            <v>0</v>
          </cell>
          <cell r="AE147">
            <v>0</v>
          </cell>
          <cell r="AF147">
            <v>0</v>
          </cell>
          <cell r="AH147">
            <v>0</v>
          </cell>
          <cell r="AI147">
            <v>0</v>
          </cell>
          <cell r="AJ147">
            <v>0</v>
          </cell>
          <cell r="AK147">
            <v>0</v>
          </cell>
          <cell r="AL147">
            <v>0</v>
          </cell>
          <cell r="AM147">
            <v>0</v>
          </cell>
          <cell r="AP147">
            <v>0</v>
          </cell>
        </row>
        <row r="148">
          <cell r="B148" t="str">
            <v>Apr 2016</v>
          </cell>
          <cell r="C148" t="str">
            <v>CSR10</v>
          </cell>
          <cell r="D148" t="str">
            <v>CSR10</v>
          </cell>
          <cell r="E148" t="str">
            <v>KUCSR760</v>
          </cell>
          <cell r="F148">
            <v>0</v>
          </cell>
          <cell r="G148">
            <v>0</v>
          </cell>
          <cell r="H148">
            <v>0</v>
          </cell>
          <cell r="I148">
            <v>0</v>
          </cell>
          <cell r="J148">
            <v>0</v>
          </cell>
          <cell r="K148">
            <v>0</v>
          </cell>
          <cell r="L148">
            <v>0</v>
          </cell>
          <cell r="M148">
            <v>0</v>
          </cell>
          <cell r="AE148">
            <v>0</v>
          </cell>
          <cell r="AF148">
            <v>0</v>
          </cell>
          <cell r="AH148">
            <v>0</v>
          </cell>
          <cell r="AI148">
            <v>0</v>
          </cell>
          <cell r="AJ148">
            <v>0</v>
          </cell>
          <cell r="AK148">
            <v>0</v>
          </cell>
          <cell r="AL148">
            <v>-989829</v>
          </cell>
          <cell r="AM148">
            <v>-989829</v>
          </cell>
          <cell r="AP148">
            <v>0</v>
          </cell>
        </row>
        <row r="149">
          <cell r="B149" t="str">
            <v>Apr 2016</v>
          </cell>
          <cell r="C149" t="str">
            <v>CSR10</v>
          </cell>
          <cell r="D149" t="str">
            <v>CSR10</v>
          </cell>
          <cell r="E149" t="str">
            <v>KUCSR761</v>
          </cell>
          <cell r="F149">
            <v>0</v>
          </cell>
          <cell r="G149">
            <v>0</v>
          </cell>
          <cell r="H149">
            <v>0</v>
          </cell>
          <cell r="I149">
            <v>0</v>
          </cell>
          <cell r="J149">
            <v>0</v>
          </cell>
          <cell r="K149">
            <v>0</v>
          </cell>
          <cell r="L149">
            <v>0</v>
          </cell>
          <cell r="M149">
            <v>0</v>
          </cell>
          <cell r="AE149">
            <v>0</v>
          </cell>
          <cell r="AF149">
            <v>0</v>
          </cell>
          <cell r="AH149">
            <v>0</v>
          </cell>
          <cell r="AI149">
            <v>0</v>
          </cell>
          <cell r="AJ149">
            <v>0</v>
          </cell>
          <cell r="AK149">
            <v>0</v>
          </cell>
          <cell r="AL149">
            <v>0</v>
          </cell>
          <cell r="AM149">
            <v>0</v>
          </cell>
          <cell r="AP149">
            <v>0</v>
          </cell>
        </row>
        <row r="150">
          <cell r="B150" t="str">
            <v>Apr 2016</v>
          </cell>
          <cell r="C150" t="str">
            <v>CSR30</v>
          </cell>
          <cell r="D150" t="str">
            <v>CSR30</v>
          </cell>
          <cell r="E150" t="str">
            <v>KUCSR780</v>
          </cell>
          <cell r="F150">
            <v>0</v>
          </cell>
          <cell r="G150">
            <v>0</v>
          </cell>
          <cell r="H150">
            <v>0</v>
          </cell>
          <cell r="I150">
            <v>0</v>
          </cell>
          <cell r="J150">
            <v>0</v>
          </cell>
          <cell r="K150">
            <v>0</v>
          </cell>
          <cell r="L150">
            <v>0</v>
          </cell>
          <cell r="M150">
            <v>0</v>
          </cell>
          <cell r="AE150">
            <v>0</v>
          </cell>
          <cell r="AF150">
            <v>0</v>
          </cell>
          <cell r="AH150">
            <v>0</v>
          </cell>
          <cell r="AI150">
            <v>0</v>
          </cell>
          <cell r="AJ150">
            <v>0</v>
          </cell>
          <cell r="AK150">
            <v>0</v>
          </cell>
          <cell r="AL150">
            <v>0</v>
          </cell>
          <cell r="AM150">
            <v>0</v>
          </cell>
          <cell r="AP150">
            <v>0</v>
          </cell>
        </row>
        <row r="151">
          <cell r="B151" t="str">
            <v>Apr 2016</v>
          </cell>
          <cell r="C151" t="str">
            <v>CSR30</v>
          </cell>
          <cell r="D151" t="str">
            <v>CSR30</v>
          </cell>
          <cell r="E151" t="str">
            <v>KUCSR781</v>
          </cell>
          <cell r="F151">
            <v>0</v>
          </cell>
          <cell r="G151">
            <v>0</v>
          </cell>
          <cell r="H151">
            <v>0</v>
          </cell>
          <cell r="I151">
            <v>0</v>
          </cell>
          <cell r="J151">
            <v>0</v>
          </cell>
          <cell r="K151">
            <v>0</v>
          </cell>
          <cell r="L151">
            <v>0</v>
          </cell>
          <cell r="M151">
            <v>0</v>
          </cell>
          <cell r="AE151">
            <v>0</v>
          </cell>
          <cell r="AF151">
            <v>0</v>
          </cell>
          <cell r="AH151">
            <v>0</v>
          </cell>
          <cell r="AI151">
            <v>0</v>
          </cell>
          <cell r="AJ151">
            <v>0</v>
          </cell>
          <cell r="AK151">
            <v>0</v>
          </cell>
          <cell r="AL151">
            <v>0</v>
          </cell>
          <cell r="AM151">
            <v>0</v>
          </cell>
          <cell r="AP151">
            <v>0</v>
          </cell>
        </row>
        <row r="152">
          <cell r="B152" t="str">
            <v>Apr 2016</v>
          </cell>
          <cell r="C152" t="str">
            <v>CSR30</v>
          </cell>
          <cell r="D152" t="str">
            <v>CSR30</v>
          </cell>
          <cell r="E152" t="str">
            <v>KUCSR783</v>
          </cell>
          <cell r="F152">
            <v>0</v>
          </cell>
          <cell r="G152">
            <v>0</v>
          </cell>
          <cell r="H152">
            <v>0</v>
          </cell>
          <cell r="I152">
            <v>0</v>
          </cell>
          <cell r="J152">
            <v>0</v>
          </cell>
          <cell r="K152">
            <v>0</v>
          </cell>
          <cell r="L152">
            <v>0</v>
          </cell>
          <cell r="M152">
            <v>0</v>
          </cell>
          <cell r="AE152">
            <v>0</v>
          </cell>
          <cell r="AF152">
            <v>0</v>
          </cell>
          <cell r="AH152">
            <v>0</v>
          </cell>
          <cell r="AI152">
            <v>0</v>
          </cell>
          <cell r="AJ152">
            <v>0</v>
          </cell>
          <cell r="AK152">
            <v>0</v>
          </cell>
          <cell r="AL152">
            <v>0</v>
          </cell>
          <cell r="AM152">
            <v>0</v>
          </cell>
          <cell r="AP152">
            <v>0</v>
          </cell>
        </row>
        <row r="153">
          <cell r="B153" t="str">
            <v>Apr 2016</v>
          </cell>
          <cell r="C153" t="str">
            <v>FLS</v>
          </cell>
          <cell r="D153" t="str">
            <v>FLST</v>
          </cell>
          <cell r="E153" t="str">
            <v>KUINE730</v>
          </cell>
          <cell r="F153">
            <v>1</v>
          </cell>
          <cell r="G153">
            <v>0</v>
          </cell>
          <cell r="H153">
            <v>0</v>
          </cell>
          <cell r="I153">
            <v>0</v>
          </cell>
          <cell r="J153">
            <v>47968041</v>
          </cell>
          <cell r="K153">
            <v>185158</v>
          </cell>
          <cell r="L153">
            <v>185158</v>
          </cell>
          <cell r="M153">
            <v>101388</v>
          </cell>
          <cell r="AE153">
            <v>2285188.96</v>
          </cell>
          <cell r="AF153">
            <v>2285186</v>
          </cell>
          <cell r="AH153">
            <v>185897</v>
          </cell>
          <cell r="AI153">
            <v>0</v>
          </cell>
          <cell r="AJ153">
            <v>359930</v>
          </cell>
          <cell r="AK153">
            <v>0</v>
          </cell>
          <cell r="AL153">
            <v>0</v>
          </cell>
          <cell r="AM153">
            <v>2831013</v>
          </cell>
          <cell r="AP153">
            <v>1387235.75</v>
          </cell>
        </row>
        <row r="154">
          <cell r="B154" t="str">
            <v>Apr 2016</v>
          </cell>
          <cell r="C154" t="str">
            <v>RS</v>
          </cell>
          <cell r="D154" t="str">
            <v>RS</v>
          </cell>
          <cell r="E154" t="str">
            <v>KURSE010</v>
          </cell>
          <cell r="F154">
            <v>431179</v>
          </cell>
          <cell r="G154">
            <v>0</v>
          </cell>
          <cell r="H154">
            <v>0</v>
          </cell>
          <cell r="I154">
            <v>0</v>
          </cell>
          <cell r="J154">
            <v>411408947</v>
          </cell>
          <cell r="K154">
            <v>0</v>
          </cell>
          <cell r="L154">
            <v>0</v>
          </cell>
          <cell r="M154">
            <v>0</v>
          </cell>
          <cell r="AE154">
            <v>36494683.109999999</v>
          </cell>
          <cell r="AF154">
            <v>36495331</v>
          </cell>
          <cell r="AH154">
            <v>1594417</v>
          </cell>
          <cell r="AI154">
            <v>539245</v>
          </cell>
          <cell r="AJ154">
            <v>3087074</v>
          </cell>
          <cell r="AK154">
            <v>0</v>
          </cell>
          <cell r="AL154">
            <v>0</v>
          </cell>
          <cell r="AM154">
            <v>41716067</v>
          </cell>
          <cell r="AP154">
            <v>11897946.75</v>
          </cell>
        </row>
        <row r="155">
          <cell r="B155" t="str">
            <v>Apr 2016</v>
          </cell>
          <cell r="C155" t="str">
            <v>RS</v>
          </cell>
          <cell r="D155" t="str">
            <v>RS</v>
          </cell>
          <cell r="E155" t="str">
            <v>KURSE020</v>
          </cell>
          <cell r="F155">
            <v>0</v>
          </cell>
          <cell r="G155">
            <v>0</v>
          </cell>
          <cell r="H155">
            <v>0</v>
          </cell>
          <cell r="I155">
            <v>0</v>
          </cell>
          <cell r="J155">
            <v>0</v>
          </cell>
          <cell r="K155">
            <v>0</v>
          </cell>
          <cell r="L155">
            <v>0</v>
          </cell>
          <cell r="M155">
            <v>0</v>
          </cell>
          <cell r="AE155">
            <v>0</v>
          </cell>
          <cell r="AF155">
            <v>0</v>
          </cell>
          <cell r="AH155">
            <v>0</v>
          </cell>
          <cell r="AI155">
            <v>0</v>
          </cell>
          <cell r="AJ155">
            <v>0</v>
          </cell>
          <cell r="AK155">
            <v>0</v>
          </cell>
          <cell r="AL155">
            <v>0</v>
          </cell>
          <cell r="AM155">
            <v>0</v>
          </cell>
          <cell r="AP155">
            <v>0</v>
          </cell>
        </row>
        <row r="156">
          <cell r="B156" t="str">
            <v>Apr 2016</v>
          </cell>
          <cell r="C156" t="str">
            <v>RS</v>
          </cell>
          <cell r="D156" t="str">
            <v>RS</v>
          </cell>
          <cell r="E156" t="str">
            <v>KURSE025</v>
          </cell>
          <cell r="F156">
            <v>0</v>
          </cell>
          <cell r="G156">
            <v>0</v>
          </cell>
          <cell r="H156">
            <v>0</v>
          </cell>
          <cell r="I156">
            <v>0</v>
          </cell>
          <cell r="J156">
            <v>0</v>
          </cell>
          <cell r="K156">
            <v>0</v>
          </cell>
          <cell r="L156">
            <v>0</v>
          </cell>
          <cell r="M156">
            <v>0</v>
          </cell>
          <cell r="AE156">
            <v>0</v>
          </cell>
          <cell r="AF156">
            <v>0</v>
          </cell>
          <cell r="AH156">
            <v>0</v>
          </cell>
          <cell r="AI156">
            <v>0</v>
          </cell>
          <cell r="AJ156">
            <v>0</v>
          </cell>
          <cell r="AK156">
            <v>0</v>
          </cell>
          <cell r="AL156">
            <v>0</v>
          </cell>
          <cell r="AM156">
            <v>0</v>
          </cell>
          <cell r="AP156">
            <v>0</v>
          </cell>
        </row>
        <row r="157">
          <cell r="B157" t="str">
            <v>Apr 2016</v>
          </cell>
          <cell r="C157" t="str">
            <v>LEV</v>
          </cell>
          <cell r="D157" t="str">
            <v>RSLEV</v>
          </cell>
          <cell r="E157" t="str">
            <v>KURSE040</v>
          </cell>
          <cell r="F157">
            <v>7</v>
          </cell>
          <cell r="G157">
            <v>5242</v>
          </cell>
          <cell r="H157">
            <v>1243</v>
          </cell>
          <cell r="I157">
            <v>922</v>
          </cell>
          <cell r="J157">
            <v>7407</v>
          </cell>
          <cell r="K157">
            <v>0</v>
          </cell>
          <cell r="L157">
            <v>0</v>
          </cell>
          <cell r="M157">
            <v>0</v>
          </cell>
          <cell r="AE157">
            <v>596.42999999999995</v>
          </cell>
          <cell r="AF157">
            <v>0</v>
          </cell>
          <cell r="AH157">
            <v>0</v>
          </cell>
          <cell r="AI157">
            <v>0</v>
          </cell>
          <cell r="AJ157">
            <v>0</v>
          </cell>
          <cell r="AK157">
            <v>0</v>
          </cell>
          <cell r="AL157">
            <v>0</v>
          </cell>
          <cell r="AM157">
            <v>0</v>
          </cell>
          <cell r="AP157">
            <v>214.21</v>
          </cell>
        </row>
        <row r="158">
          <cell r="B158" t="str">
            <v>Apr 2016</v>
          </cell>
          <cell r="C158" t="str">
            <v>RS</v>
          </cell>
          <cell r="D158" t="str">
            <v>RSVFD</v>
          </cell>
          <cell r="E158" t="str">
            <v>KURSE080</v>
          </cell>
          <cell r="F158">
            <v>0</v>
          </cell>
          <cell r="G158">
            <v>0</v>
          </cell>
          <cell r="H158">
            <v>0</v>
          </cell>
          <cell r="I158">
            <v>0</v>
          </cell>
          <cell r="J158">
            <v>0</v>
          </cell>
          <cell r="K158">
            <v>0</v>
          </cell>
          <cell r="L158">
            <v>0</v>
          </cell>
          <cell r="M158">
            <v>0</v>
          </cell>
          <cell r="AE158">
            <v>0</v>
          </cell>
          <cell r="AF158">
            <v>0</v>
          </cell>
          <cell r="AH158">
            <v>0</v>
          </cell>
          <cell r="AI158">
            <v>0</v>
          </cell>
          <cell r="AJ158">
            <v>0</v>
          </cell>
          <cell r="AK158">
            <v>0</v>
          </cell>
          <cell r="AL158">
            <v>0</v>
          </cell>
          <cell r="AM158">
            <v>0</v>
          </cell>
          <cell r="AP158">
            <v>0</v>
          </cell>
        </row>
        <row r="159">
          <cell r="B159" t="str">
            <v>Apr 2016</v>
          </cell>
          <cell r="C159" t="str">
            <v>RS</v>
          </cell>
          <cell r="D159" t="str">
            <v>RS</v>
          </cell>
          <cell r="E159" t="str">
            <v>KURSE715</v>
          </cell>
          <cell r="F159">
            <v>0</v>
          </cell>
          <cell r="G159">
            <v>0</v>
          </cell>
          <cell r="H159">
            <v>0</v>
          </cell>
          <cell r="I159">
            <v>0</v>
          </cell>
          <cell r="J159">
            <v>0</v>
          </cell>
          <cell r="K159">
            <v>0</v>
          </cell>
          <cell r="L159">
            <v>0</v>
          </cell>
          <cell r="M159">
            <v>0</v>
          </cell>
          <cell r="AE159">
            <v>0</v>
          </cell>
          <cell r="AF159">
            <v>0</v>
          </cell>
          <cell r="AH159">
            <v>0</v>
          </cell>
          <cell r="AI159">
            <v>0</v>
          </cell>
          <cell r="AJ159">
            <v>0</v>
          </cell>
          <cell r="AK159">
            <v>0</v>
          </cell>
          <cell r="AL159">
            <v>0</v>
          </cell>
          <cell r="AM159">
            <v>0</v>
          </cell>
          <cell r="AP159">
            <v>0</v>
          </cell>
        </row>
        <row r="160">
          <cell r="B160" t="str">
            <v>May 2016</v>
          </cell>
          <cell r="C160" t="str">
            <v>RTS</v>
          </cell>
          <cell r="D160" t="str">
            <v>RTS</v>
          </cell>
          <cell r="E160" t="str">
            <v>KUCIE550</v>
          </cell>
          <cell r="F160">
            <v>32</v>
          </cell>
          <cell r="G160">
            <v>0</v>
          </cell>
          <cell r="H160">
            <v>0</v>
          </cell>
          <cell r="I160">
            <v>0</v>
          </cell>
          <cell r="J160">
            <v>145721919</v>
          </cell>
          <cell r="K160">
            <v>305164</v>
          </cell>
          <cell r="L160">
            <v>297246</v>
          </cell>
          <cell r="M160">
            <v>289386</v>
          </cell>
          <cell r="AE160">
            <v>7730412.7400000002</v>
          </cell>
          <cell r="AF160">
            <v>7730411</v>
          </cell>
          <cell r="AH160">
            <v>131506</v>
          </cell>
          <cell r="AI160">
            <v>0</v>
          </cell>
          <cell r="AJ160">
            <v>988317</v>
          </cell>
          <cell r="AK160">
            <v>0</v>
          </cell>
          <cell r="AL160">
            <v>0</v>
          </cell>
          <cell r="AM160">
            <v>8850234</v>
          </cell>
          <cell r="AP160">
            <v>4214277.9000000004</v>
          </cell>
        </row>
        <row r="161">
          <cell r="B161" t="str">
            <v>May 2016</v>
          </cell>
          <cell r="C161" t="str">
            <v>PSP</v>
          </cell>
          <cell r="D161" t="str">
            <v>PSP</v>
          </cell>
          <cell r="E161" t="str">
            <v>KUCIE561</v>
          </cell>
          <cell r="F161">
            <v>195</v>
          </cell>
          <cell r="G161">
            <v>0</v>
          </cell>
          <cell r="H161">
            <v>0</v>
          </cell>
          <cell r="I161">
            <v>0</v>
          </cell>
          <cell r="J161">
            <v>21507849</v>
          </cell>
          <cell r="K161">
            <v>0</v>
          </cell>
          <cell r="L161">
            <v>0</v>
          </cell>
          <cell r="M161">
            <v>55893</v>
          </cell>
          <cell r="AE161">
            <v>1653304.62</v>
          </cell>
          <cell r="AF161">
            <v>1653305</v>
          </cell>
          <cell r="AH161">
            <v>19410</v>
          </cell>
          <cell r="AI161">
            <v>39331</v>
          </cell>
          <cell r="AJ161">
            <v>145871</v>
          </cell>
          <cell r="AK161">
            <v>0</v>
          </cell>
          <cell r="AL161">
            <v>0</v>
          </cell>
          <cell r="AM161">
            <v>1857917</v>
          </cell>
          <cell r="AP161">
            <v>622006.99</v>
          </cell>
        </row>
        <row r="162">
          <cell r="B162" t="str">
            <v>May 2016</v>
          </cell>
          <cell r="C162" t="str">
            <v>PSS</v>
          </cell>
          <cell r="D162" t="str">
            <v>PSS</v>
          </cell>
          <cell r="E162" t="str">
            <v>KUCIE562</v>
          </cell>
          <cell r="F162">
            <v>4615</v>
          </cell>
          <cell r="G162">
            <v>0</v>
          </cell>
          <cell r="H162">
            <v>0</v>
          </cell>
          <cell r="I162">
            <v>0</v>
          </cell>
          <cell r="J162">
            <v>175977353</v>
          </cell>
          <cell r="K162">
            <v>0</v>
          </cell>
          <cell r="L162">
            <v>0</v>
          </cell>
          <cell r="M162">
            <v>549352</v>
          </cell>
          <cell r="AE162">
            <v>15092268.460000001</v>
          </cell>
          <cell r="AF162">
            <v>15092264</v>
          </cell>
          <cell r="AH162">
            <v>158810</v>
          </cell>
          <cell r="AI162">
            <v>321804</v>
          </cell>
          <cell r="AJ162">
            <v>1193515</v>
          </cell>
          <cell r="AK162">
            <v>0</v>
          </cell>
          <cell r="AL162">
            <v>0</v>
          </cell>
          <cell r="AM162">
            <v>16766393</v>
          </cell>
          <cell r="AP162">
            <v>5089265.05</v>
          </cell>
        </row>
        <row r="163">
          <cell r="B163" t="str">
            <v>May 2016</v>
          </cell>
          <cell r="C163" t="str">
            <v>TODP</v>
          </cell>
          <cell r="D163" t="str">
            <v>TODP</v>
          </cell>
          <cell r="E163" t="str">
            <v>KUCIE563</v>
          </cell>
          <cell r="F163">
            <v>52</v>
          </cell>
          <cell r="G163">
            <v>0</v>
          </cell>
          <cell r="H163">
            <v>0</v>
          </cell>
          <cell r="I163">
            <v>0</v>
          </cell>
          <cell r="J163">
            <v>268486937</v>
          </cell>
          <cell r="K163">
            <v>511206</v>
          </cell>
          <cell r="L163">
            <v>494010</v>
          </cell>
          <cell r="M163">
            <v>487847</v>
          </cell>
          <cell r="AE163">
            <v>14439991.26</v>
          </cell>
          <cell r="AF163">
            <v>14439989</v>
          </cell>
          <cell r="AH163">
            <v>242295</v>
          </cell>
          <cell r="AI163">
            <v>490973</v>
          </cell>
          <cell r="AJ163">
            <v>1820935</v>
          </cell>
          <cell r="AK163">
            <v>0</v>
          </cell>
          <cell r="AL163">
            <v>0</v>
          </cell>
          <cell r="AM163">
            <v>16994192</v>
          </cell>
          <cell r="AP163">
            <v>7764642.2199999997</v>
          </cell>
        </row>
        <row r="164">
          <cell r="B164" t="str">
            <v>May 2016</v>
          </cell>
          <cell r="C164" t="str">
            <v>PSP</v>
          </cell>
          <cell r="D164" t="str">
            <v>PSP</v>
          </cell>
          <cell r="E164" t="str">
            <v>KUCIE566</v>
          </cell>
          <cell r="F164">
            <v>0</v>
          </cell>
          <cell r="G164">
            <v>0</v>
          </cell>
          <cell r="H164">
            <v>0</v>
          </cell>
          <cell r="I164">
            <v>0</v>
          </cell>
          <cell r="J164">
            <v>0</v>
          </cell>
          <cell r="K164">
            <v>0</v>
          </cell>
          <cell r="L164">
            <v>0</v>
          </cell>
          <cell r="M164">
            <v>0</v>
          </cell>
          <cell r="AE164">
            <v>0</v>
          </cell>
          <cell r="AF164">
            <v>0</v>
          </cell>
          <cell r="AH164">
            <v>0</v>
          </cell>
          <cell r="AI164">
            <v>0</v>
          </cell>
          <cell r="AJ164">
            <v>0</v>
          </cell>
          <cell r="AK164">
            <v>0</v>
          </cell>
          <cell r="AL164">
            <v>0</v>
          </cell>
          <cell r="AM164">
            <v>0</v>
          </cell>
          <cell r="AP164">
            <v>0</v>
          </cell>
        </row>
        <row r="165">
          <cell r="B165" t="str">
            <v>May 2016</v>
          </cell>
          <cell r="C165" t="str">
            <v>PSS</v>
          </cell>
          <cell r="D165" t="str">
            <v>PSS</v>
          </cell>
          <cell r="E165" t="str">
            <v>KUCIE568</v>
          </cell>
          <cell r="F165">
            <v>0</v>
          </cell>
          <cell r="G165">
            <v>0</v>
          </cell>
          <cell r="H165">
            <v>0</v>
          </cell>
          <cell r="I165">
            <v>0</v>
          </cell>
          <cell r="J165">
            <v>0</v>
          </cell>
          <cell r="K165">
            <v>0</v>
          </cell>
          <cell r="L165">
            <v>0</v>
          </cell>
          <cell r="M165">
            <v>0</v>
          </cell>
          <cell r="AE165">
            <v>0</v>
          </cell>
          <cell r="AF165">
            <v>0</v>
          </cell>
          <cell r="AH165">
            <v>0</v>
          </cell>
          <cell r="AI165">
            <v>0</v>
          </cell>
          <cell r="AJ165">
            <v>0</v>
          </cell>
          <cell r="AK165">
            <v>0</v>
          </cell>
          <cell r="AL165">
            <v>0</v>
          </cell>
          <cell r="AM165">
            <v>0</v>
          </cell>
          <cell r="AP165">
            <v>0</v>
          </cell>
        </row>
        <row r="166">
          <cell r="B166" t="str">
            <v>May 2016</v>
          </cell>
          <cell r="C166" t="str">
            <v>TODP</v>
          </cell>
          <cell r="D166" t="str">
            <v>TODP</v>
          </cell>
          <cell r="E166" t="str">
            <v>KUCIE571</v>
          </cell>
          <cell r="F166">
            <v>209</v>
          </cell>
          <cell r="G166">
            <v>0</v>
          </cell>
          <cell r="H166">
            <v>0</v>
          </cell>
          <cell r="I166">
            <v>0</v>
          </cell>
          <cell r="J166">
            <v>111982947</v>
          </cell>
          <cell r="K166">
            <v>271446</v>
          </cell>
          <cell r="L166">
            <v>261290</v>
          </cell>
          <cell r="M166">
            <v>256590</v>
          </cell>
          <cell r="AE166">
            <v>6557264.4100000001</v>
          </cell>
          <cell r="AF166">
            <v>6557264</v>
          </cell>
          <cell r="AH166">
            <v>101059</v>
          </cell>
          <cell r="AI166">
            <v>204779</v>
          </cell>
          <cell r="AJ166">
            <v>759492</v>
          </cell>
          <cell r="AK166">
            <v>0</v>
          </cell>
          <cell r="AL166">
            <v>0</v>
          </cell>
          <cell r="AM166">
            <v>7622594</v>
          </cell>
          <cell r="AP166">
            <v>3238546.83</v>
          </cell>
        </row>
        <row r="167">
          <cell r="B167" t="str">
            <v>May 2016</v>
          </cell>
          <cell r="C167" t="str">
            <v>TODS</v>
          </cell>
          <cell r="D167" t="str">
            <v>TODS</v>
          </cell>
          <cell r="E167" t="str">
            <v>KUCIE572</v>
          </cell>
          <cell r="F167">
            <v>471</v>
          </cell>
          <cell r="G167">
            <v>0</v>
          </cell>
          <cell r="H167">
            <v>0</v>
          </cell>
          <cell r="I167">
            <v>0</v>
          </cell>
          <cell r="J167">
            <v>135748326</v>
          </cell>
          <cell r="K167">
            <v>316205</v>
          </cell>
          <cell r="L167">
            <v>295218</v>
          </cell>
          <cell r="M167">
            <v>289471</v>
          </cell>
          <cell r="AE167">
            <v>8548632.5899999999</v>
          </cell>
          <cell r="AF167">
            <v>8548631</v>
          </cell>
          <cell r="AH167">
            <v>122506</v>
          </cell>
          <cell r="AI167">
            <v>248238</v>
          </cell>
          <cell r="AJ167">
            <v>920674</v>
          </cell>
          <cell r="AK167">
            <v>0</v>
          </cell>
          <cell r="AL167">
            <v>0</v>
          </cell>
          <cell r="AM167">
            <v>9840049</v>
          </cell>
          <cell r="AP167">
            <v>3925841.59</v>
          </cell>
        </row>
        <row r="168">
          <cell r="B168" t="str">
            <v>May 2016</v>
          </cell>
          <cell r="C168" t="str">
            <v>PSS</v>
          </cell>
          <cell r="D168" t="str">
            <v>PSS</v>
          </cell>
          <cell r="E168" t="str">
            <v>KUCIE717</v>
          </cell>
          <cell r="F168">
            <v>0</v>
          </cell>
          <cell r="G168">
            <v>0</v>
          </cell>
          <cell r="H168">
            <v>0</v>
          </cell>
          <cell r="I168">
            <v>0</v>
          </cell>
          <cell r="J168">
            <v>0</v>
          </cell>
          <cell r="K168">
            <v>0</v>
          </cell>
          <cell r="L168">
            <v>0</v>
          </cell>
          <cell r="M168">
            <v>0</v>
          </cell>
          <cell r="AE168">
            <v>0</v>
          </cell>
          <cell r="AF168">
            <v>0</v>
          </cell>
          <cell r="AH168">
            <v>0</v>
          </cell>
          <cell r="AI168">
            <v>0</v>
          </cell>
          <cell r="AJ168">
            <v>0</v>
          </cell>
          <cell r="AK168">
            <v>0</v>
          </cell>
          <cell r="AL168">
            <v>0</v>
          </cell>
          <cell r="AM168">
            <v>0</v>
          </cell>
          <cell r="AP168">
            <v>0</v>
          </cell>
        </row>
        <row r="169">
          <cell r="B169" t="str">
            <v>May 2016</v>
          </cell>
          <cell r="C169" t="str">
            <v>GS</v>
          </cell>
          <cell r="D169" t="str">
            <v>GS</v>
          </cell>
          <cell r="E169" t="str">
            <v>KUCME110</v>
          </cell>
          <cell r="F169">
            <v>63568</v>
          </cell>
          <cell r="G169">
            <v>0</v>
          </cell>
          <cell r="H169">
            <v>0</v>
          </cell>
          <cell r="I169">
            <v>0</v>
          </cell>
          <cell r="J169">
            <v>59224022</v>
          </cell>
          <cell r="K169">
            <v>0</v>
          </cell>
          <cell r="L169">
            <v>0</v>
          </cell>
          <cell r="M169">
            <v>0</v>
          </cell>
          <cell r="AE169">
            <v>6734776.0300000003</v>
          </cell>
          <cell r="AF169">
            <v>6734777</v>
          </cell>
          <cell r="AH169">
            <v>53447</v>
          </cell>
          <cell r="AI169">
            <v>108301</v>
          </cell>
          <cell r="AJ169">
            <v>401670</v>
          </cell>
          <cell r="AK169">
            <v>0</v>
          </cell>
          <cell r="AL169">
            <v>0</v>
          </cell>
          <cell r="AM169">
            <v>7298195</v>
          </cell>
          <cell r="AP169">
            <v>1712758.72</v>
          </cell>
        </row>
        <row r="170">
          <cell r="B170" t="str">
            <v>May 2016</v>
          </cell>
          <cell r="C170" t="str">
            <v>GS</v>
          </cell>
          <cell r="D170" t="str">
            <v>GS</v>
          </cell>
          <cell r="E170" t="str">
            <v>KUCME112</v>
          </cell>
          <cell r="F170">
            <v>0</v>
          </cell>
          <cell r="G170">
            <v>0</v>
          </cell>
          <cell r="H170">
            <v>0</v>
          </cell>
          <cell r="I170">
            <v>0</v>
          </cell>
          <cell r="J170">
            <v>0</v>
          </cell>
          <cell r="K170">
            <v>0</v>
          </cell>
          <cell r="L170">
            <v>0</v>
          </cell>
          <cell r="M170">
            <v>0</v>
          </cell>
          <cell r="AE170">
            <v>0</v>
          </cell>
          <cell r="AF170">
            <v>0</v>
          </cell>
          <cell r="AH170">
            <v>0</v>
          </cell>
          <cell r="AI170">
            <v>0</v>
          </cell>
          <cell r="AJ170">
            <v>0</v>
          </cell>
          <cell r="AK170">
            <v>0</v>
          </cell>
          <cell r="AL170">
            <v>0</v>
          </cell>
          <cell r="AM170">
            <v>0</v>
          </cell>
          <cell r="AP170">
            <v>0</v>
          </cell>
        </row>
        <row r="171">
          <cell r="B171" t="str">
            <v>May 2016</v>
          </cell>
          <cell r="C171" t="str">
            <v>GS3</v>
          </cell>
          <cell r="D171" t="str">
            <v>GS3</v>
          </cell>
          <cell r="E171" t="str">
            <v>KUCME113</v>
          </cell>
          <cell r="F171">
            <v>18582</v>
          </cell>
          <cell r="G171">
            <v>0</v>
          </cell>
          <cell r="H171">
            <v>0</v>
          </cell>
          <cell r="I171">
            <v>0</v>
          </cell>
          <cell r="J171">
            <v>86460113</v>
          </cell>
          <cell r="K171">
            <v>363644</v>
          </cell>
          <cell r="L171">
            <v>0</v>
          </cell>
          <cell r="M171">
            <v>0</v>
          </cell>
          <cell r="AE171">
            <v>8626315.4199999999</v>
          </cell>
          <cell r="AF171">
            <v>8626311</v>
          </cell>
          <cell r="AH171">
            <v>78026</v>
          </cell>
          <cell r="AI171">
            <v>158107</v>
          </cell>
          <cell r="AJ171">
            <v>586391</v>
          </cell>
          <cell r="AK171">
            <v>0</v>
          </cell>
          <cell r="AL171">
            <v>0</v>
          </cell>
          <cell r="AM171">
            <v>9448835</v>
          </cell>
          <cell r="AP171">
            <v>2500426.4700000002</v>
          </cell>
        </row>
        <row r="172">
          <cell r="B172" t="str">
            <v>May 2016</v>
          </cell>
          <cell r="C172" t="str">
            <v>AES</v>
          </cell>
          <cell r="D172" t="str">
            <v>AES</v>
          </cell>
          <cell r="E172" t="str">
            <v>KUCME220</v>
          </cell>
          <cell r="F172">
            <v>382</v>
          </cell>
          <cell r="G172">
            <v>0</v>
          </cell>
          <cell r="H172">
            <v>0</v>
          </cell>
          <cell r="I172">
            <v>0</v>
          </cell>
          <cell r="J172">
            <v>643622</v>
          </cell>
          <cell r="K172">
            <v>0</v>
          </cell>
          <cell r="L172">
            <v>0</v>
          </cell>
          <cell r="M172">
            <v>0</v>
          </cell>
          <cell r="AE172">
            <v>55525.48</v>
          </cell>
          <cell r="AF172">
            <v>55525</v>
          </cell>
          <cell r="AH172">
            <v>581</v>
          </cell>
          <cell r="AI172">
            <v>1177</v>
          </cell>
          <cell r="AJ172">
            <v>4365</v>
          </cell>
          <cell r="AK172">
            <v>0</v>
          </cell>
          <cell r="AL172">
            <v>0</v>
          </cell>
          <cell r="AM172">
            <v>61648</v>
          </cell>
          <cell r="AP172">
            <v>18613.55</v>
          </cell>
        </row>
        <row r="173">
          <cell r="B173" t="str">
            <v>May 2016</v>
          </cell>
          <cell r="C173" t="str">
            <v>AES</v>
          </cell>
          <cell r="D173" t="str">
            <v>AES</v>
          </cell>
          <cell r="E173" t="str">
            <v>KUCME221</v>
          </cell>
          <cell r="F173">
            <v>0</v>
          </cell>
          <cell r="G173">
            <v>0</v>
          </cell>
          <cell r="H173">
            <v>0</v>
          </cell>
          <cell r="I173">
            <v>0</v>
          </cell>
          <cell r="J173">
            <v>0</v>
          </cell>
          <cell r="K173">
            <v>0</v>
          </cell>
          <cell r="L173">
            <v>0</v>
          </cell>
          <cell r="M173">
            <v>0</v>
          </cell>
          <cell r="AE173">
            <v>0</v>
          </cell>
          <cell r="AF173">
            <v>0</v>
          </cell>
          <cell r="AH173">
            <v>0</v>
          </cell>
          <cell r="AI173">
            <v>0</v>
          </cell>
          <cell r="AJ173">
            <v>0</v>
          </cell>
          <cell r="AK173">
            <v>0</v>
          </cell>
          <cell r="AL173">
            <v>0</v>
          </cell>
          <cell r="AM173">
            <v>0</v>
          </cell>
          <cell r="AP173">
            <v>0</v>
          </cell>
        </row>
        <row r="174">
          <cell r="B174" t="str">
            <v>May 2016</v>
          </cell>
          <cell r="C174" t="str">
            <v>AES3</v>
          </cell>
          <cell r="D174" t="str">
            <v>AES3</v>
          </cell>
          <cell r="E174" t="str">
            <v>KUCME223</v>
          </cell>
          <cell r="F174">
            <v>0</v>
          </cell>
          <cell r="G174">
            <v>0</v>
          </cell>
          <cell r="H174">
            <v>0</v>
          </cell>
          <cell r="I174">
            <v>0</v>
          </cell>
          <cell r="J174">
            <v>0</v>
          </cell>
          <cell r="K174">
            <v>0</v>
          </cell>
          <cell r="L174">
            <v>0</v>
          </cell>
          <cell r="M174">
            <v>0</v>
          </cell>
          <cell r="AE174">
            <v>0</v>
          </cell>
          <cell r="AF174">
            <v>0</v>
          </cell>
          <cell r="AH174">
            <v>0</v>
          </cell>
          <cell r="AI174">
            <v>0</v>
          </cell>
          <cell r="AJ174">
            <v>0</v>
          </cell>
          <cell r="AK174">
            <v>0</v>
          </cell>
          <cell r="AL174">
            <v>0</v>
          </cell>
          <cell r="AM174">
            <v>0</v>
          </cell>
          <cell r="AP174">
            <v>0</v>
          </cell>
        </row>
        <row r="175">
          <cell r="B175" t="str">
            <v>May 2016</v>
          </cell>
          <cell r="C175" t="str">
            <v>AES3</v>
          </cell>
          <cell r="D175" t="str">
            <v>AES3</v>
          </cell>
          <cell r="E175" t="str">
            <v>KUCME224</v>
          </cell>
          <cell r="F175">
            <v>266</v>
          </cell>
          <cell r="G175">
            <v>0</v>
          </cell>
          <cell r="H175">
            <v>0</v>
          </cell>
          <cell r="I175">
            <v>0</v>
          </cell>
          <cell r="J175">
            <v>11929227</v>
          </cell>
          <cell r="K175">
            <v>49537</v>
          </cell>
          <cell r="L175">
            <v>0</v>
          </cell>
          <cell r="M175">
            <v>0</v>
          </cell>
          <cell r="AE175">
            <v>896844.49</v>
          </cell>
          <cell r="AF175">
            <v>896843</v>
          </cell>
          <cell r="AH175">
            <v>10766</v>
          </cell>
          <cell r="AI175">
            <v>21815</v>
          </cell>
          <cell r="AJ175">
            <v>80907</v>
          </cell>
          <cell r="AK175">
            <v>0</v>
          </cell>
          <cell r="AL175">
            <v>0</v>
          </cell>
          <cell r="AM175">
            <v>1010331</v>
          </cell>
          <cell r="AP175">
            <v>344993.24</v>
          </cell>
        </row>
        <row r="176">
          <cell r="B176" t="str">
            <v>May 2016</v>
          </cell>
          <cell r="C176" t="str">
            <v>AES3</v>
          </cell>
          <cell r="D176" t="str">
            <v>AES3</v>
          </cell>
          <cell r="E176" t="str">
            <v>KUCME225</v>
          </cell>
          <cell r="F176">
            <v>0</v>
          </cell>
          <cell r="G176">
            <v>0</v>
          </cell>
          <cell r="H176">
            <v>0</v>
          </cell>
          <cell r="I176">
            <v>0</v>
          </cell>
          <cell r="J176">
            <v>0</v>
          </cell>
          <cell r="K176">
            <v>0</v>
          </cell>
          <cell r="L176">
            <v>0</v>
          </cell>
          <cell r="M176">
            <v>0</v>
          </cell>
          <cell r="AE176">
            <v>0</v>
          </cell>
          <cell r="AF176">
            <v>0</v>
          </cell>
          <cell r="AH176">
            <v>0</v>
          </cell>
          <cell r="AI176">
            <v>0</v>
          </cell>
          <cell r="AJ176">
            <v>0</v>
          </cell>
          <cell r="AK176">
            <v>0</v>
          </cell>
          <cell r="AL176">
            <v>0</v>
          </cell>
          <cell r="AM176">
            <v>0</v>
          </cell>
          <cell r="AP176">
            <v>0</v>
          </cell>
        </row>
        <row r="177">
          <cell r="B177" t="str">
            <v>May 2016</v>
          </cell>
          <cell r="C177" t="str">
            <v>AES</v>
          </cell>
          <cell r="D177" t="str">
            <v>AES</v>
          </cell>
          <cell r="E177" t="str">
            <v>KUCME226</v>
          </cell>
          <cell r="F177">
            <v>0</v>
          </cell>
          <cell r="G177">
            <v>0</v>
          </cell>
          <cell r="H177">
            <v>0</v>
          </cell>
          <cell r="I177">
            <v>0</v>
          </cell>
          <cell r="J177">
            <v>0</v>
          </cell>
          <cell r="K177">
            <v>0</v>
          </cell>
          <cell r="L177">
            <v>0</v>
          </cell>
          <cell r="M177">
            <v>0</v>
          </cell>
          <cell r="AE177">
            <v>0</v>
          </cell>
          <cell r="AF177">
            <v>0</v>
          </cell>
          <cell r="AH177">
            <v>0</v>
          </cell>
          <cell r="AI177">
            <v>0</v>
          </cell>
          <cell r="AJ177">
            <v>0</v>
          </cell>
          <cell r="AK177">
            <v>0</v>
          </cell>
          <cell r="AL177">
            <v>0</v>
          </cell>
          <cell r="AM177">
            <v>0</v>
          </cell>
          <cell r="AP177">
            <v>0</v>
          </cell>
        </row>
        <row r="178">
          <cell r="B178" t="str">
            <v>May 2016</v>
          </cell>
          <cell r="C178" t="str">
            <v>AES3</v>
          </cell>
          <cell r="D178" t="str">
            <v>AES3</v>
          </cell>
          <cell r="E178" t="str">
            <v>KUCME227</v>
          </cell>
          <cell r="F178">
            <v>0</v>
          </cell>
          <cell r="G178">
            <v>0</v>
          </cell>
          <cell r="H178">
            <v>0</v>
          </cell>
          <cell r="I178">
            <v>0</v>
          </cell>
          <cell r="J178">
            <v>0</v>
          </cell>
          <cell r="K178">
            <v>0</v>
          </cell>
          <cell r="L178">
            <v>0</v>
          </cell>
          <cell r="M178">
            <v>0</v>
          </cell>
          <cell r="AE178">
            <v>0</v>
          </cell>
          <cell r="AF178">
            <v>0</v>
          </cell>
          <cell r="AH178">
            <v>0</v>
          </cell>
          <cell r="AI178">
            <v>0</v>
          </cell>
          <cell r="AJ178">
            <v>0</v>
          </cell>
          <cell r="AK178">
            <v>0</v>
          </cell>
          <cell r="AL178">
            <v>0</v>
          </cell>
          <cell r="AM178">
            <v>0</v>
          </cell>
          <cell r="AP178">
            <v>0</v>
          </cell>
        </row>
        <row r="179">
          <cell r="B179" t="str">
            <v>May 2016</v>
          </cell>
          <cell r="C179" t="str">
            <v>LE</v>
          </cell>
          <cell r="D179" t="str">
            <v>LE</v>
          </cell>
          <cell r="E179" t="str">
            <v>KUCME290</v>
          </cell>
          <cell r="F179">
            <v>2</v>
          </cell>
          <cell r="G179">
            <v>0</v>
          </cell>
          <cell r="H179">
            <v>0</v>
          </cell>
          <cell r="I179">
            <v>0</v>
          </cell>
          <cell r="J179">
            <v>12932</v>
          </cell>
          <cell r="K179">
            <v>0</v>
          </cell>
          <cell r="L179">
            <v>0</v>
          </cell>
          <cell r="M179">
            <v>0</v>
          </cell>
          <cell r="AE179">
            <v>825.06</v>
          </cell>
          <cell r="AF179">
            <v>0</v>
          </cell>
          <cell r="AH179">
            <v>0</v>
          </cell>
          <cell r="AI179">
            <v>0</v>
          </cell>
          <cell r="AJ179">
            <v>0</v>
          </cell>
          <cell r="AK179">
            <v>0</v>
          </cell>
          <cell r="AL179">
            <v>0</v>
          </cell>
          <cell r="AM179">
            <v>0</v>
          </cell>
          <cell r="AP179">
            <v>373.99</v>
          </cell>
        </row>
        <row r="180">
          <cell r="B180" t="str">
            <v>May 2016</v>
          </cell>
          <cell r="C180" t="str">
            <v>LE</v>
          </cell>
          <cell r="D180" t="str">
            <v>LE</v>
          </cell>
          <cell r="E180" t="str">
            <v>KUCME291</v>
          </cell>
          <cell r="F180">
            <v>0</v>
          </cell>
          <cell r="G180">
            <v>0</v>
          </cell>
          <cell r="H180">
            <v>0</v>
          </cell>
          <cell r="I180">
            <v>0</v>
          </cell>
          <cell r="J180">
            <v>0</v>
          </cell>
          <cell r="K180">
            <v>0</v>
          </cell>
          <cell r="L180">
            <v>0</v>
          </cell>
          <cell r="M180">
            <v>0</v>
          </cell>
          <cell r="AE180">
            <v>0</v>
          </cell>
          <cell r="AF180">
            <v>0</v>
          </cell>
          <cell r="AH180">
            <v>0</v>
          </cell>
          <cell r="AI180">
            <v>0</v>
          </cell>
          <cell r="AJ180">
            <v>0</v>
          </cell>
          <cell r="AK180">
            <v>0</v>
          </cell>
          <cell r="AL180">
            <v>0</v>
          </cell>
          <cell r="AM180">
            <v>0</v>
          </cell>
          <cell r="AP180">
            <v>0</v>
          </cell>
        </row>
        <row r="181">
          <cell r="B181" t="str">
            <v>May 2016</v>
          </cell>
          <cell r="C181" t="str">
            <v>TE</v>
          </cell>
          <cell r="D181" t="str">
            <v>TE</v>
          </cell>
          <cell r="E181" t="str">
            <v>KUCME295</v>
          </cell>
          <cell r="F181">
            <v>747</v>
          </cell>
          <cell r="G181">
            <v>0</v>
          </cell>
          <cell r="H181">
            <v>0</v>
          </cell>
          <cell r="I181">
            <v>0</v>
          </cell>
          <cell r="J181">
            <v>105151</v>
          </cell>
          <cell r="K181">
            <v>0</v>
          </cell>
          <cell r="L181">
            <v>0</v>
          </cell>
          <cell r="M181">
            <v>0</v>
          </cell>
          <cell r="AE181">
            <v>10816.7</v>
          </cell>
          <cell r="AF181">
            <v>0</v>
          </cell>
          <cell r="AH181">
            <v>0</v>
          </cell>
          <cell r="AI181">
            <v>0</v>
          </cell>
          <cell r="AJ181">
            <v>0</v>
          </cell>
          <cell r="AK181">
            <v>0</v>
          </cell>
          <cell r="AL181">
            <v>0</v>
          </cell>
          <cell r="AM181">
            <v>0</v>
          </cell>
          <cell r="AP181">
            <v>3040.97</v>
          </cell>
        </row>
        <row r="182">
          <cell r="B182" t="str">
            <v>May 2016</v>
          </cell>
          <cell r="C182" t="str">
            <v>TE</v>
          </cell>
          <cell r="D182" t="str">
            <v>TE</v>
          </cell>
          <cell r="E182" t="str">
            <v>KUCME297</v>
          </cell>
          <cell r="F182">
            <v>0</v>
          </cell>
          <cell r="G182">
            <v>0</v>
          </cell>
          <cell r="H182">
            <v>0</v>
          </cell>
          <cell r="I182">
            <v>0</v>
          </cell>
          <cell r="J182">
            <v>0</v>
          </cell>
          <cell r="K182">
            <v>0</v>
          </cell>
          <cell r="L182">
            <v>0</v>
          </cell>
          <cell r="M182">
            <v>0</v>
          </cell>
          <cell r="AE182">
            <v>0</v>
          </cell>
          <cell r="AF182">
            <v>0</v>
          </cell>
          <cell r="AH182">
            <v>0</v>
          </cell>
          <cell r="AI182">
            <v>0</v>
          </cell>
          <cell r="AJ182">
            <v>0</v>
          </cell>
          <cell r="AK182">
            <v>0</v>
          </cell>
          <cell r="AL182">
            <v>0</v>
          </cell>
          <cell r="AM182">
            <v>0</v>
          </cell>
          <cell r="AP182">
            <v>0</v>
          </cell>
        </row>
        <row r="183">
          <cell r="B183" t="str">
            <v>May 2016</v>
          </cell>
          <cell r="C183" t="str">
            <v>SQF</v>
          </cell>
          <cell r="D183" t="str">
            <v>SQF</v>
          </cell>
          <cell r="E183" t="str">
            <v>KUCME705</v>
          </cell>
          <cell r="F183">
            <v>0</v>
          </cell>
          <cell r="G183">
            <v>0</v>
          </cell>
          <cell r="H183">
            <v>0</v>
          </cell>
          <cell r="I183">
            <v>0</v>
          </cell>
          <cell r="J183">
            <v>0</v>
          </cell>
          <cell r="K183">
            <v>0</v>
          </cell>
          <cell r="L183">
            <v>0</v>
          </cell>
          <cell r="M183">
            <v>0</v>
          </cell>
          <cell r="AE183">
            <v>0</v>
          </cell>
          <cell r="AF183">
            <v>0</v>
          </cell>
          <cell r="AH183">
            <v>0</v>
          </cell>
          <cell r="AI183">
            <v>0</v>
          </cell>
          <cell r="AJ183">
            <v>0</v>
          </cell>
          <cell r="AK183">
            <v>0</v>
          </cell>
          <cell r="AL183">
            <v>0</v>
          </cell>
          <cell r="AM183">
            <v>0</v>
          </cell>
          <cell r="AP183">
            <v>0</v>
          </cell>
        </row>
        <row r="184">
          <cell r="B184" t="str">
            <v>May 2016</v>
          </cell>
          <cell r="C184" t="str">
            <v>LQF</v>
          </cell>
          <cell r="D184" t="str">
            <v>LQF</v>
          </cell>
          <cell r="E184" t="str">
            <v>KUCME707</v>
          </cell>
          <cell r="F184">
            <v>0</v>
          </cell>
          <cell r="G184">
            <v>0</v>
          </cell>
          <cell r="H184">
            <v>0</v>
          </cell>
          <cell r="I184">
            <v>0</v>
          </cell>
          <cell r="J184">
            <v>0</v>
          </cell>
          <cell r="K184">
            <v>0</v>
          </cell>
          <cell r="L184">
            <v>0</v>
          </cell>
          <cell r="M184">
            <v>0</v>
          </cell>
          <cell r="AE184">
            <v>0</v>
          </cell>
          <cell r="AF184">
            <v>0</v>
          </cell>
          <cell r="AH184">
            <v>0</v>
          </cell>
          <cell r="AI184">
            <v>0</v>
          </cell>
          <cell r="AJ184">
            <v>0</v>
          </cell>
          <cell r="AK184">
            <v>0</v>
          </cell>
          <cell r="AL184">
            <v>0</v>
          </cell>
          <cell r="AM184">
            <v>0</v>
          </cell>
          <cell r="AP184">
            <v>0</v>
          </cell>
        </row>
        <row r="185">
          <cell r="B185" t="str">
            <v>May 2016</v>
          </cell>
          <cell r="C185" t="str">
            <v>GS</v>
          </cell>
          <cell r="D185" t="str">
            <v>GS</v>
          </cell>
          <cell r="E185" t="str">
            <v>KUCME710</v>
          </cell>
          <cell r="F185">
            <v>0</v>
          </cell>
          <cell r="G185">
            <v>0</v>
          </cell>
          <cell r="H185">
            <v>0</v>
          </cell>
          <cell r="I185">
            <v>0</v>
          </cell>
          <cell r="J185">
            <v>0</v>
          </cell>
          <cell r="K185">
            <v>0</v>
          </cell>
          <cell r="L185">
            <v>0</v>
          </cell>
          <cell r="M185">
            <v>0</v>
          </cell>
          <cell r="AE185">
            <v>0</v>
          </cell>
          <cell r="AF185">
            <v>0</v>
          </cell>
          <cell r="AH185">
            <v>0</v>
          </cell>
          <cell r="AI185">
            <v>0</v>
          </cell>
          <cell r="AJ185">
            <v>0</v>
          </cell>
          <cell r="AK185">
            <v>0</v>
          </cell>
          <cell r="AL185">
            <v>0</v>
          </cell>
          <cell r="AM185">
            <v>0</v>
          </cell>
          <cell r="AP185">
            <v>0</v>
          </cell>
        </row>
        <row r="186">
          <cell r="B186" t="str">
            <v>May 2016</v>
          </cell>
          <cell r="C186" t="str">
            <v>GS3</v>
          </cell>
          <cell r="D186" t="str">
            <v>GS3</v>
          </cell>
          <cell r="E186" t="str">
            <v>KUCME713</v>
          </cell>
          <cell r="F186">
            <v>0</v>
          </cell>
          <cell r="G186">
            <v>0</v>
          </cell>
          <cell r="H186">
            <v>0</v>
          </cell>
          <cell r="I186">
            <v>0</v>
          </cell>
          <cell r="J186">
            <v>0</v>
          </cell>
          <cell r="K186">
            <v>0</v>
          </cell>
          <cell r="L186">
            <v>0</v>
          </cell>
          <cell r="M186">
            <v>0</v>
          </cell>
          <cell r="AE186">
            <v>0</v>
          </cell>
          <cell r="AF186">
            <v>0</v>
          </cell>
          <cell r="AH186">
            <v>0</v>
          </cell>
          <cell r="AI186">
            <v>0</v>
          </cell>
          <cell r="AJ186">
            <v>0</v>
          </cell>
          <cell r="AK186">
            <v>0</v>
          </cell>
          <cell r="AL186">
            <v>0</v>
          </cell>
          <cell r="AM186">
            <v>0</v>
          </cell>
          <cell r="AP186">
            <v>0</v>
          </cell>
        </row>
        <row r="187">
          <cell r="B187" t="str">
            <v>May 2016</v>
          </cell>
          <cell r="C187" t="str">
            <v>CSR10</v>
          </cell>
          <cell r="D187" t="str">
            <v>CSR10</v>
          </cell>
          <cell r="E187" t="str">
            <v>KUCSR760</v>
          </cell>
          <cell r="F187">
            <v>0</v>
          </cell>
          <cell r="G187">
            <v>0</v>
          </cell>
          <cell r="H187">
            <v>0</v>
          </cell>
          <cell r="I187">
            <v>0</v>
          </cell>
          <cell r="J187">
            <v>0</v>
          </cell>
          <cell r="K187">
            <v>0</v>
          </cell>
          <cell r="L187">
            <v>0</v>
          </cell>
          <cell r="M187">
            <v>0</v>
          </cell>
          <cell r="AE187">
            <v>0</v>
          </cell>
          <cell r="AF187">
            <v>0</v>
          </cell>
          <cell r="AH187">
            <v>0</v>
          </cell>
          <cell r="AI187">
            <v>0</v>
          </cell>
          <cell r="AJ187">
            <v>0</v>
          </cell>
          <cell r="AK187">
            <v>0</v>
          </cell>
          <cell r="AL187">
            <v>-989829</v>
          </cell>
          <cell r="AM187">
            <v>-989829</v>
          </cell>
          <cell r="AP187">
            <v>0</v>
          </cell>
        </row>
        <row r="188">
          <cell r="B188" t="str">
            <v>May 2016</v>
          </cell>
          <cell r="C188" t="str">
            <v>CSR10</v>
          </cell>
          <cell r="D188" t="str">
            <v>CSR10</v>
          </cell>
          <cell r="E188" t="str">
            <v>KUCSR761</v>
          </cell>
          <cell r="F188">
            <v>0</v>
          </cell>
          <cell r="G188">
            <v>0</v>
          </cell>
          <cell r="H188">
            <v>0</v>
          </cell>
          <cell r="I188">
            <v>0</v>
          </cell>
          <cell r="J188">
            <v>0</v>
          </cell>
          <cell r="K188">
            <v>0</v>
          </cell>
          <cell r="L188">
            <v>0</v>
          </cell>
          <cell r="M188">
            <v>0</v>
          </cell>
          <cell r="AE188">
            <v>0</v>
          </cell>
          <cell r="AF188">
            <v>0</v>
          </cell>
          <cell r="AH188">
            <v>0</v>
          </cell>
          <cell r="AI188">
            <v>0</v>
          </cell>
          <cell r="AJ188">
            <v>0</v>
          </cell>
          <cell r="AK188">
            <v>0</v>
          </cell>
          <cell r="AL188">
            <v>0</v>
          </cell>
          <cell r="AM188">
            <v>0</v>
          </cell>
          <cell r="AP188">
            <v>0</v>
          </cell>
        </row>
        <row r="189">
          <cell r="B189" t="str">
            <v>May 2016</v>
          </cell>
          <cell r="C189" t="str">
            <v>CSR30</v>
          </cell>
          <cell r="D189" t="str">
            <v>CSR30</v>
          </cell>
          <cell r="E189" t="str">
            <v>KUCSR780</v>
          </cell>
          <cell r="F189">
            <v>0</v>
          </cell>
          <cell r="G189">
            <v>0</v>
          </cell>
          <cell r="H189">
            <v>0</v>
          </cell>
          <cell r="I189">
            <v>0</v>
          </cell>
          <cell r="J189">
            <v>0</v>
          </cell>
          <cell r="K189">
            <v>0</v>
          </cell>
          <cell r="L189">
            <v>0</v>
          </cell>
          <cell r="M189">
            <v>0</v>
          </cell>
          <cell r="AE189">
            <v>0</v>
          </cell>
          <cell r="AF189">
            <v>0</v>
          </cell>
          <cell r="AH189">
            <v>0</v>
          </cell>
          <cell r="AI189">
            <v>0</v>
          </cell>
          <cell r="AJ189">
            <v>0</v>
          </cell>
          <cell r="AK189">
            <v>0</v>
          </cell>
          <cell r="AL189">
            <v>0</v>
          </cell>
          <cell r="AM189">
            <v>0</v>
          </cell>
          <cell r="AP189">
            <v>0</v>
          </cell>
        </row>
        <row r="190">
          <cell r="B190" t="str">
            <v>May 2016</v>
          </cell>
          <cell r="C190" t="str">
            <v>CSR30</v>
          </cell>
          <cell r="D190" t="str">
            <v>CSR30</v>
          </cell>
          <cell r="E190" t="str">
            <v>KUCSR781</v>
          </cell>
          <cell r="F190">
            <v>0</v>
          </cell>
          <cell r="G190">
            <v>0</v>
          </cell>
          <cell r="H190">
            <v>0</v>
          </cell>
          <cell r="I190">
            <v>0</v>
          </cell>
          <cell r="J190">
            <v>0</v>
          </cell>
          <cell r="K190">
            <v>0</v>
          </cell>
          <cell r="L190">
            <v>0</v>
          </cell>
          <cell r="M190">
            <v>0</v>
          </cell>
          <cell r="AE190">
            <v>0</v>
          </cell>
          <cell r="AF190">
            <v>0</v>
          </cell>
          <cell r="AH190">
            <v>0</v>
          </cell>
          <cell r="AI190">
            <v>0</v>
          </cell>
          <cell r="AJ190">
            <v>0</v>
          </cell>
          <cell r="AK190">
            <v>0</v>
          </cell>
          <cell r="AL190">
            <v>0</v>
          </cell>
          <cell r="AM190">
            <v>0</v>
          </cell>
          <cell r="AP190">
            <v>0</v>
          </cell>
        </row>
        <row r="191">
          <cell r="B191" t="str">
            <v>May 2016</v>
          </cell>
          <cell r="C191" t="str">
            <v>CSR30</v>
          </cell>
          <cell r="D191" t="str">
            <v>CSR30</v>
          </cell>
          <cell r="E191" t="str">
            <v>KUCSR783</v>
          </cell>
          <cell r="F191">
            <v>0</v>
          </cell>
          <cell r="G191">
            <v>0</v>
          </cell>
          <cell r="H191">
            <v>0</v>
          </cell>
          <cell r="I191">
            <v>0</v>
          </cell>
          <cell r="J191">
            <v>0</v>
          </cell>
          <cell r="K191">
            <v>0</v>
          </cell>
          <cell r="L191">
            <v>0</v>
          </cell>
          <cell r="M191">
            <v>0</v>
          </cell>
          <cell r="AE191">
            <v>0</v>
          </cell>
          <cell r="AF191">
            <v>0</v>
          </cell>
          <cell r="AH191">
            <v>0</v>
          </cell>
          <cell r="AI191">
            <v>0</v>
          </cell>
          <cell r="AJ191">
            <v>0</v>
          </cell>
          <cell r="AK191">
            <v>0</v>
          </cell>
          <cell r="AL191">
            <v>0</v>
          </cell>
          <cell r="AM191">
            <v>0</v>
          </cell>
          <cell r="AP191">
            <v>0</v>
          </cell>
        </row>
        <row r="192">
          <cell r="B192" t="str">
            <v>May 2016</v>
          </cell>
          <cell r="C192" t="str">
            <v>FLS</v>
          </cell>
          <cell r="D192" t="str">
            <v>FLST</v>
          </cell>
          <cell r="E192" t="str">
            <v>KUINE730</v>
          </cell>
          <cell r="F192">
            <v>1</v>
          </cell>
          <cell r="G192">
            <v>0</v>
          </cell>
          <cell r="H192">
            <v>0</v>
          </cell>
          <cell r="I192">
            <v>0</v>
          </cell>
          <cell r="J192">
            <v>48437687</v>
          </cell>
          <cell r="K192">
            <v>185158</v>
          </cell>
          <cell r="L192">
            <v>185158</v>
          </cell>
          <cell r="M192">
            <v>101388</v>
          </cell>
          <cell r="AE192">
            <v>2300504.11</v>
          </cell>
          <cell r="AF192">
            <v>2300502</v>
          </cell>
          <cell r="AH192">
            <v>43712</v>
          </cell>
          <cell r="AI192">
            <v>0</v>
          </cell>
          <cell r="AJ192">
            <v>328515</v>
          </cell>
          <cell r="AK192">
            <v>0</v>
          </cell>
          <cell r="AL192">
            <v>0</v>
          </cell>
          <cell r="AM192">
            <v>2672729</v>
          </cell>
          <cell r="AP192">
            <v>1400817.91</v>
          </cell>
        </row>
        <row r="193">
          <cell r="B193" t="str">
            <v>May 2016</v>
          </cell>
          <cell r="C193" t="str">
            <v>RS</v>
          </cell>
          <cell r="D193" t="str">
            <v>RS</v>
          </cell>
          <cell r="E193" t="str">
            <v>KURSE010</v>
          </cell>
          <cell r="F193">
            <v>431179</v>
          </cell>
          <cell r="G193">
            <v>0</v>
          </cell>
          <cell r="H193">
            <v>0</v>
          </cell>
          <cell r="I193">
            <v>0</v>
          </cell>
          <cell r="J193">
            <v>369792176</v>
          </cell>
          <cell r="K193">
            <v>0</v>
          </cell>
          <cell r="L193">
            <v>0</v>
          </cell>
          <cell r="M193">
            <v>0</v>
          </cell>
          <cell r="AE193">
            <v>33271880.359999999</v>
          </cell>
          <cell r="AF193">
            <v>33272651</v>
          </cell>
          <cell r="AH193">
            <v>333726</v>
          </cell>
          <cell r="AI193">
            <v>676243</v>
          </cell>
          <cell r="AJ193">
            <v>2508069</v>
          </cell>
          <cell r="AK193">
            <v>0</v>
          </cell>
          <cell r="AL193">
            <v>0</v>
          </cell>
          <cell r="AM193">
            <v>36790689</v>
          </cell>
          <cell r="AP193">
            <v>10694389.73</v>
          </cell>
        </row>
        <row r="194">
          <cell r="B194" t="str">
            <v>May 2016</v>
          </cell>
          <cell r="C194" t="str">
            <v>RS</v>
          </cell>
          <cell r="D194" t="str">
            <v>RS</v>
          </cell>
          <cell r="E194" t="str">
            <v>KURSE020</v>
          </cell>
          <cell r="F194">
            <v>0</v>
          </cell>
          <cell r="G194">
            <v>0</v>
          </cell>
          <cell r="H194">
            <v>0</v>
          </cell>
          <cell r="I194">
            <v>0</v>
          </cell>
          <cell r="J194">
            <v>0</v>
          </cell>
          <cell r="K194">
            <v>0</v>
          </cell>
          <cell r="L194">
            <v>0</v>
          </cell>
          <cell r="M194">
            <v>0</v>
          </cell>
          <cell r="AE194">
            <v>0</v>
          </cell>
          <cell r="AF194">
            <v>0</v>
          </cell>
          <cell r="AH194">
            <v>0</v>
          </cell>
          <cell r="AI194">
            <v>0</v>
          </cell>
          <cell r="AJ194">
            <v>0</v>
          </cell>
          <cell r="AK194">
            <v>0</v>
          </cell>
          <cell r="AL194">
            <v>0</v>
          </cell>
          <cell r="AM194">
            <v>0</v>
          </cell>
          <cell r="AP194">
            <v>0</v>
          </cell>
        </row>
        <row r="195">
          <cell r="B195" t="str">
            <v>May 2016</v>
          </cell>
          <cell r="C195" t="str">
            <v>RS</v>
          </cell>
          <cell r="D195" t="str">
            <v>RS</v>
          </cell>
          <cell r="E195" t="str">
            <v>KURSE025</v>
          </cell>
          <cell r="F195">
            <v>0</v>
          </cell>
          <cell r="G195">
            <v>0</v>
          </cell>
          <cell r="H195">
            <v>0</v>
          </cell>
          <cell r="I195">
            <v>0</v>
          </cell>
          <cell r="J195">
            <v>0</v>
          </cell>
          <cell r="K195">
            <v>0</v>
          </cell>
          <cell r="L195">
            <v>0</v>
          </cell>
          <cell r="M195">
            <v>0</v>
          </cell>
          <cell r="AE195">
            <v>0</v>
          </cell>
          <cell r="AF195">
            <v>0</v>
          </cell>
          <cell r="AH195">
            <v>0</v>
          </cell>
          <cell r="AI195">
            <v>0</v>
          </cell>
          <cell r="AJ195">
            <v>0</v>
          </cell>
          <cell r="AK195">
            <v>0</v>
          </cell>
          <cell r="AL195">
            <v>0</v>
          </cell>
          <cell r="AM195">
            <v>0</v>
          </cell>
          <cell r="AP195">
            <v>0</v>
          </cell>
        </row>
        <row r="196">
          <cell r="B196" t="str">
            <v>May 2016</v>
          </cell>
          <cell r="C196" t="str">
            <v>LEV</v>
          </cell>
          <cell r="D196" t="str">
            <v>RSLEV</v>
          </cell>
          <cell r="E196" t="str">
            <v>KURSE040</v>
          </cell>
          <cell r="F196">
            <v>7</v>
          </cell>
          <cell r="G196">
            <v>5924</v>
          </cell>
          <cell r="H196">
            <v>1775</v>
          </cell>
          <cell r="I196">
            <v>1266</v>
          </cell>
          <cell r="J196">
            <v>8965</v>
          </cell>
          <cell r="K196">
            <v>0</v>
          </cell>
          <cell r="L196">
            <v>0</v>
          </cell>
          <cell r="M196">
            <v>0</v>
          </cell>
          <cell r="AE196">
            <v>725.02</v>
          </cell>
          <cell r="AF196">
            <v>0</v>
          </cell>
          <cell r="AH196">
            <v>0</v>
          </cell>
          <cell r="AI196">
            <v>0</v>
          </cell>
          <cell r="AJ196">
            <v>0</v>
          </cell>
          <cell r="AK196">
            <v>0</v>
          </cell>
          <cell r="AL196">
            <v>0</v>
          </cell>
          <cell r="AM196">
            <v>0</v>
          </cell>
          <cell r="AP196">
            <v>259.27</v>
          </cell>
        </row>
        <row r="197">
          <cell r="B197" t="str">
            <v>May 2016</v>
          </cell>
          <cell r="C197" t="str">
            <v>RS</v>
          </cell>
          <cell r="D197" t="str">
            <v>RSVFD</v>
          </cell>
          <cell r="E197" t="str">
            <v>KURSE080</v>
          </cell>
          <cell r="F197">
            <v>0</v>
          </cell>
          <cell r="G197">
            <v>0</v>
          </cell>
          <cell r="H197">
            <v>0</v>
          </cell>
          <cell r="I197">
            <v>0</v>
          </cell>
          <cell r="J197">
            <v>0</v>
          </cell>
          <cell r="K197">
            <v>0</v>
          </cell>
          <cell r="L197">
            <v>0</v>
          </cell>
          <cell r="M197">
            <v>0</v>
          </cell>
          <cell r="AE197">
            <v>0</v>
          </cell>
          <cell r="AF197">
            <v>0</v>
          </cell>
          <cell r="AH197">
            <v>0</v>
          </cell>
          <cell r="AI197">
            <v>0</v>
          </cell>
          <cell r="AJ197">
            <v>0</v>
          </cell>
          <cell r="AK197">
            <v>0</v>
          </cell>
          <cell r="AL197">
            <v>0</v>
          </cell>
          <cell r="AM197">
            <v>0</v>
          </cell>
          <cell r="AP197">
            <v>0</v>
          </cell>
        </row>
        <row r="198">
          <cell r="B198" t="str">
            <v>May 2016</v>
          </cell>
          <cell r="C198" t="str">
            <v>RS</v>
          </cell>
          <cell r="D198" t="str">
            <v>RS</v>
          </cell>
          <cell r="E198" t="str">
            <v>KURSE715</v>
          </cell>
          <cell r="F198">
            <v>0</v>
          </cell>
          <cell r="G198">
            <v>0</v>
          </cell>
          <cell r="H198">
            <v>0</v>
          </cell>
          <cell r="I198">
            <v>0</v>
          </cell>
          <cell r="J198">
            <v>0</v>
          </cell>
          <cell r="K198">
            <v>0</v>
          </cell>
          <cell r="L198">
            <v>0</v>
          </cell>
          <cell r="M198">
            <v>0</v>
          </cell>
          <cell r="AE198">
            <v>0</v>
          </cell>
          <cell r="AF198">
            <v>0</v>
          </cell>
          <cell r="AH198">
            <v>0</v>
          </cell>
          <cell r="AI198">
            <v>0</v>
          </cell>
          <cell r="AJ198">
            <v>0</v>
          </cell>
          <cell r="AK198">
            <v>0</v>
          </cell>
          <cell r="AL198">
            <v>0</v>
          </cell>
          <cell r="AM198">
            <v>0</v>
          </cell>
          <cell r="AP198">
            <v>0</v>
          </cell>
        </row>
        <row r="199">
          <cell r="B199" t="str">
            <v>Jun 2016</v>
          </cell>
          <cell r="C199" t="str">
            <v>RTS</v>
          </cell>
          <cell r="D199" t="str">
            <v>RTS</v>
          </cell>
          <cell r="E199" t="str">
            <v>KUCIE550</v>
          </cell>
          <cell r="F199">
            <v>32</v>
          </cell>
          <cell r="G199">
            <v>0</v>
          </cell>
          <cell r="H199">
            <v>0</v>
          </cell>
          <cell r="I199">
            <v>0</v>
          </cell>
          <cell r="J199">
            <v>142956521</v>
          </cell>
          <cell r="K199">
            <v>317092</v>
          </cell>
          <cell r="L199">
            <v>300623</v>
          </cell>
          <cell r="M199">
            <v>296312</v>
          </cell>
          <cell r="AE199">
            <v>7683089.8999999994</v>
          </cell>
          <cell r="AF199">
            <v>7683091</v>
          </cell>
          <cell r="AH199">
            <v>295052</v>
          </cell>
          <cell r="AI199">
            <v>0</v>
          </cell>
          <cell r="AJ199">
            <v>844279</v>
          </cell>
          <cell r="AK199">
            <v>0</v>
          </cell>
          <cell r="AL199">
            <v>0</v>
          </cell>
          <cell r="AM199">
            <v>8822422</v>
          </cell>
          <cell r="AP199">
            <v>4134302.59</v>
          </cell>
        </row>
        <row r="200">
          <cell r="B200" t="str">
            <v>Jun 2016</v>
          </cell>
          <cell r="C200" t="str">
            <v>PSP</v>
          </cell>
          <cell r="D200" t="str">
            <v>PSP</v>
          </cell>
          <cell r="E200" t="str">
            <v>KUCIE561</v>
          </cell>
          <cell r="F200">
            <v>195</v>
          </cell>
          <cell r="G200">
            <v>0</v>
          </cell>
          <cell r="H200">
            <v>0</v>
          </cell>
          <cell r="I200">
            <v>0</v>
          </cell>
          <cell r="J200">
            <v>22620251</v>
          </cell>
          <cell r="K200">
            <v>0</v>
          </cell>
          <cell r="L200">
            <v>0</v>
          </cell>
          <cell r="M200">
            <v>58830</v>
          </cell>
          <cell r="AE200">
            <v>1737805.74</v>
          </cell>
          <cell r="AF200">
            <v>1737810</v>
          </cell>
          <cell r="AH200">
            <v>46687</v>
          </cell>
          <cell r="AI200">
            <v>32493</v>
          </cell>
          <cell r="AJ200">
            <v>133592</v>
          </cell>
          <cell r="AK200">
            <v>0</v>
          </cell>
          <cell r="AL200">
            <v>0</v>
          </cell>
          <cell r="AM200">
            <v>1950582</v>
          </cell>
          <cell r="AP200">
            <v>654177.66</v>
          </cell>
        </row>
        <row r="201">
          <cell r="B201" t="str">
            <v>Jun 2016</v>
          </cell>
          <cell r="C201" t="str">
            <v>PSS</v>
          </cell>
          <cell r="D201" t="str">
            <v>PSS</v>
          </cell>
          <cell r="E201" t="str">
            <v>KUCIE562</v>
          </cell>
          <cell r="F201">
            <v>4610</v>
          </cell>
          <cell r="G201">
            <v>0</v>
          </cell>
          <cell r="H201">
            <v>0</v>
          </cell>
          <cell r="I201">
            <v>0</v>
          </cell>
          <cell r="J201">
            <v>197280182</v>
          </cell>
          <cell r="K201">
            <v>0</v>
          </cell>
          <cell r="L201">
            <v>0</v>
          </cell>
          <cell r="M201">
            <v>616720</v>
          </cell>
          <cell r="AE201">
            <v>16881781.690000001</v>
          </cell>
          <cell r="AF201">
            <v>16881781</v>
          </cell>
          <cell r="AH201">
            <v>407172</v>
          </cell>
          <cell r="AI201">
            <v>283388</v>
          </cell>
          <cell r="AJ201">
            <v>1165106</v>
          </cell>
          <cell r="AK201">
            <v>0</v>
          </cell>
          <cell r="AL201">
            <v>0</v>
          </cell>
          <cell r="AM201">
            <v>18737447</v>
          </cell>
          <cell r="AP201">
            <v>5705342.8600000003</v>
          </cell>
        </row>
        <row r="202">
          <cell r="B202" t="str">
            <v>Jun 2016</v>
          </cell>
          <cell r="C202" t="str">
            <v>TODP</v>
          </cell>
          <cell r="D202" t="str">
            <v>TODP</v>
          </cell>
          <cell r="E202" t="str">
            <v>KUCIE563</v>
          </cell>
          <cell r="F202">
            <v>52</v>
          </cell>
          <cell r="G202">
            <v>0</v>
          </cell>
          <cell r="H202">
            <v>0</v>
          </cell>
          <cell r="I202">
            <v>0</v>
          </cell>
          <cell r="J202">
            <v>279162975</v>
          </cell>
          <cell r="K202">
            <v>555461</v>
          </cell>
          <cell r="L202">
            <v>531147</v>
          </cell>
          <cell r="M202">
            <v>525545</v>
          </cell>
          <cell r="AE202">
            <v>15180711.740000002</v>
          </cell>
          <cell r="AF202">
            <v>15180710</v>
          </cell>
          <cell r="AH202">
            <v>576172</v>
          </cell>
          <cell r="AI202">
            <v>401010</v>
          </cell>
          <cell r="AJ202">
            <v>1648694</v>
          </cell>
          <cell r="AK202">
            <v>0</v>
          </cell>
          <cell r="AL202">
            <v>0</v>
          </cell>
          <cell r="AM202">
            <v>17806586</v>
          </cell>
          <cell r="AP202">
            <v>8073393.2400000002</v>
          </cell>
        </row>
        <row r="203">
          <cell r="B203" t="str">
            <v>Jun 2016</v>
          </cell>
          <cell r="C203" t="str">
            <v>PSP</v>
          </cell>
          <cell r="D203" t="str">
            <v>PSP</v>
          </cell>
          <cell r="E203" t="str">
            <v>KUCIE566</v>
          </cell>
          <cell r="F203">
            <v>0</v>
          </cell>
          <cell r="G203">
            <v>0</v>
          </cell>
          <cell r="H203">
            <v>0</v>
          </cell>
          <cell r="I203">
            <v>0</v>
          </cell>
          <cell r="J203">
            <v>0</v>
          </cell>
          <cell r="K203">
            <v>0</v>
          </cell>
          <cell r="L203">
            <v>0</v>
          </cell>
          <cell r="M203">
            <v>0</v>
          </cell>
          <cell r="AE203">
            <v>0</v>
          </cell>
          <cell r="AF203">
            <v>0</v>
          </cell>
          <cell r="AH203">
            <v>0</v>
          </cell>
          <cell r="AI203">
            <v>0</v>
          </cell>
          <cell r="AJ203">
            <v>0</v>
          </cell>
          <cell r="AK203">
            <v>0</v>
          </cell>
          <cell r="AL203">
            <v>0</v>
          </cell>
          <cell r="AM203">
            <v>0</v>
          </cell>
          <cell r="AP203">
            <v>0</v>
          </cell>
        </row>
        <row r="204">
          <cell r="B204" t="str">
            <v>Jun 2016</v>
          </cell>
          <cell r="C204" t="str">
            <v>PSS</v>
          </cell>
          <cell r="D204" t="str">
            <v>PSS</v>
          </cell>
          <cell r="E204" t="str">
            <v>KUCIE568</v>
          </cell>
          <cell r="F204">
            <v>0</v>
          </cell>
          <cell r="G204">
            <v>0</v>
          </cell>
          <cell r="H204">
            <v>0</v>
          </cell>
          <cell r="I204">
            <v>0</v>
          </cell>
          <cell r="J204">
            <v>0</v>
          </cell>
          <cell r="K204">
            <v>0</v>
          </cell>
          <cell r="L204">
            <v>0</v>
          </cell>
          <cell r="M204">
            <v>0</v>
          </cell>
          <cell r="AE204">
            <v>0</v>
          </cell>
          <cell r="AF204">
            <v>0</v>
          </cell>
          <cell r="AH204">
            <v>0</v>
          </cell>
          <cell r="AI204">
            <v>0</v>
          </cell>
          <cell r="AJ204">
            <v>0</v>
          </cell>
          <cell r="AK204">
            <v>0</v>
          </cell>
          <cell r="AL204">
            <v>0</v>
          </cell>
          <cell r="AM204">
            <v>0</v>
          </cell>
          <cell r="AP204">
            <v>0</v>
          </cell>
        </row>
        <row r="205">
          <cell r="B205" t="str">
            <v>Jun 2016</v>
          </cell>
          <cell r="C205" t="str">
            <v>TODP</v>
          </cell>
          <cell r="D205" t="str">
            <v>TODP</v>
          </cell>
          <cell r="E205" t="str">
            <v>KUCIE571</v>
          </cell>
          <cell r="F205">
            <v>211</v>
          </cell>
          <cell r="G205">
            <v>0</v>
          </cell>
          <cell r="H205">
            <v>0</v>
          </cell>
          <cell r="I205">
            <v>0</v>
          </cell>
          <cell r="J205">
            <v>116178634</v>
          </cell>
          <cell r="K205">
            <v>279639</v>
          </cell>
          <cell r="L205">
            <v>268078</v>
          </cell>
          <cell r="M205">
            <v>262859</v>
          </cell>
          <cell r="AE205">
            <v>6775282.8800000008</v>
          </cell>
          <cell r="AF205">
            <v>6775284</v>
          </cell>
          <cell r="AH205">
            <v>239784</v>
          </cell>
          <cell r="AI205">
            <v>166888</v>
          </cell>
          <cell r="AJ205">
            <v>686133</v>
          </cell>
          <cell r="AK205">
            <v>0</v>
          </cell>
          <cell r="AL205">
            <v>0</v>
          </cell>
          <cell r="AM205">
            <v>7868089</v>
          </cell>
          <cell r="AP205">
            <v>3359886.1</v>
          </cell>
        </row>
        <row r="206">
          <cell r="B206" t="str">
            <v>Jun 2016</v>
          </cell>
          <cell r="C206" t="str">
            <v>TODS</v>
          </cell>
          <cell r="D206" t="str">
            <v>TODS</v>
          </cell>
          <cell r="E206" t="str">
            <v>KUCIE572</v>
          </cell>
          <cell r="F206">
            <v>472</v>
          </cell>
          <cell r="G206">
            <v>0</v>
          </cell>
          <cell r="H206">
            <v>0</v>
          </cell>
          <cell r="I206">
            <v>0</v>
          </cell>
          <cell r="J206">
            <v>150027765</v>
          </cell>
          <cell r="K206">
            <v>350157</v>
          </cell>
          <cell r="L206">
            <v>326915</v>
          </cell>
          <cell r="M206">
            <v>320552</v>
          </cell>
          <cell r="AE206">
            <v>9445426.7599999998</v>
          </cell>
          <cell r="AF206">
            <v>9445426</v>
          </cell>
          <cell r="AH206">
            <v>309646</v>
          </cell>
          <cell r="AI206">
            <v>215511</v>
          </cell>
          <cell r="AJ206">
            <v>886041</v>
          </cell>
          <cell r="AK206">
            <v>0</v>
          </cell>
          <cell r="AL206">
            <v>0</v>
          </cell>
          <cell r="AM206">
            <v>10856624</v>
          </cell>
          <cell r="AP206">
            <v>4338802.96</v>
          </cell>
        </row>
        <row r="207">
          <cell r="B207" t="str">
            <v>Jun 2016</v>
          </cell>
          <cell r="C207" t="str">
            <v>PSS</v>
          </cell>
          <cell r="D207" t="str">
            <v>PSS</v>
          </cell>
          <cell r="E207" t="str">
            <v>KUCIE717</v>
          </cell>
          <cell r="F207">
            <v>0</v>
          </cell>
          <cell r="G207">
            <v>0</v>
          </cell>
          <cell r="H207">
            <v>0</v>
          </cell>
          <cell r="I207">
            <v>0</v>
          </cell>
          <cell r="J207">
            <v>0</v>
          </cell>
          <cell r="K207">
            <v>0</v>
          </cell>
          <cell r="L207">
            <v>0</v>
          </cell>
          <cell r="M207">
            <v>0</v>
          </cell>
          <cell r="AE207">
            <v>0</v>
          </cell>
          <cell r="AF207">
            <v>0</v>
          </cell>
          <cell r="AH207">
            <v>0</v>
          </cell>
          <cell r="AI207">
            <v>0</v>
          </cell>
          <cell r="AJ207">
            <v>0</v>
          </cell>
          <cell r="AK207">
            <v>0</v>
          </cell>
          <cell r="AL207">
            <v>0</v>
          </cell>
          <cell r="AM207">
            <v>0</v>
          </cell>
          <cell r="AP207">
            <v>0</v>
          </cell>
        </row>
        <row r="208">
          <cell r="B208" t="str">
            <v>Jun 2016</v>
          </cell>
          <cell r="C208" t="str">
            <v>GS</v>
          </cell>
          <cell r="D208" t="str">
            <v>GS</v>
          </cell>
          <cell r="E208" t="str">
            <v>KUCME110</v>
          </cell>
          <cell r="F208">
            <v>63576</v>
          </cell>
          <cell r="G208">
            <v>0</v>
          </cell>
          <cell r="H208">
            <v>0</v>
          </cell>
          <cell r="I208">
            <v>0</v>
          </cell>
          <cell r="J208">
            <v>67544147</v>
          </cell>
          <cell r="K208">
            <v>0</v>
          </cell>
          <cell r="L208">
            <v>0</v>
          </cell>
          <cell r="M208">
            <v>0</v>
          </cell>
          <cell r="AE208">
            <v>7502467.5599999996</v>
          </cell>
          <cell r="AF208">
            <v>7502465</v>
          </cell>
          <cell r="AH208">
            <v>139406</v>
          </cell>
          <cell r="AI208">
            <v>97025</v>
          </cell>
          <cell r="AJ208">
            <v>398905</v>
          </cell>
          <cell r="AK208">
            <v>0</v>
          </cell>
          <cell r="AL208">
            <v>0</v>
          </cell>
          <cell r="AM208">
            <v>8137801</v>
          </cell>
          <cell r="AP208">
            <v>1953376.73</v>
          </cell>
        </row>
        <row r="209">
          <cell r="B209" t="str">
            <v>Jun 2016</v>
          </cell>
          <cell r="C209" t="str">
            <v>GS</v>
          </cell>
          <cell r="D209" t="str">
            <v>GS</v>
          </cell>
          <cell r="E209" t="str">
            <v>KUCME112</v>
          </cell>
          <cell r="F209">
            <v>0</v>
          </cell>
          <cell r="G209">
            <v>0</v>
          </cell>
          <cell r="H209">
            <v>0</v>
          </cell>
          <cell r="I209">
            <v>0</v>
          </cell>
          <cell r="J209">
            <v>0</v>
          </cell>
          <cell r="K209">
            <v>0</v>
          </cell>
          <cell r="L209">
            <v>0</v>
          </cell>
          <cell r="M209">
            <v>0</v>
          </cell>
          <cell r="AE209">
            <v>0</v>
          </cell>
          <cell r="AF209">
            <v>0</v>
          </cell>
          <cell r="AH209">
            <v>0</v>
          </cell>
          <cell r="AI209">
            <v>0</v>
          </cell>
          <cell r="AJ209">
            <v>0</v>
          </cell>
          <cell r="AK209">
            <v>0</v>
          </cell>
          <cell r="AL209">
            <v>0</v>
          </cell>
          <cell r="AM209">
            <v>0</v>
          </cell>
          <cell r="AP209">
            <v>0</v>
          </cell>
        </row>
        <row r="210">
          <cell r="B210" t="str">
            <v>Jun 2016</v>
          </cell>
          <cell r="C210" t="str">
            <v>GS3</v>
          </cell>
          <cell r="D210" t="str">
            <v>GS3</v>
          </cell>
          <cell r="E210" t="str">
            <v>KUCME113</v>
          </cell>
          <cell r="F210">
            <v>18584</v>
          </cell>
          <cell r="G210">
            <v>0</v>
          </cell>
          <cell r="H210">
            <v>0</v>
          </cell>
          <cell r="I210">
            <v>0</v>
          </cell>
          <cell r="J210">
            <v>98940301</v>
          </cell>
          <cell r="K210">
            <v>370806</v>
          </cell>
          <cell r="L210">
            <v>0</v>
          </cell>
          <cell r="M210">
            <v>0</v>
          </cell>
          <cell r="AE210">
            <v>9777682.7699999996</v>
          </cell>
          <cell r="AF210">
            <v>9777688</v>
          </cell>
          <cell r="AH210">
            <v>204206</v>
          </cell>
          <cell r="AI210">
            <v>142125</v>
          </cell>
          <cell r="AJ210">
            <v>584326</v>
          </cell>
          <cell r="AK210">
            <v>0</v>
          </cell>
          <cell r="AL210">
            <v>0</v>
          </cell>
          <cell r="AM210">
            <v>10708345</v>
          </cell>
          <cell r="AP210">
            <v>2861353.5</v>
          </cell>
        </row>
        <row r="211">
          <cell r="B211" t="str">
            <v>Jun 2016</v>
          </cell>
          <cell r="C211" t="str">
            <v>AES</v>
          </cell>
          <cell r="D211" t="str">
            <v>AES</v>
          </cell>
          <cell r="E211" t="str">
            <v>KUCME220</v>
          </cell>
          <cell r="F211">
            <v>382</v>
          </cell>
          <cell r="G211">
            <v>0</v>
          </cell>
          <cell r="H211">
            <v>0</v>
          </cell>
          <cell r="I211">
            <v>0</v>
          </cell>
          <cell r="J211">
            <v>632032</v>
          </cell>
          <cell r="K211">
            <v>0</v>
          </cell>
          <cell r="L211">
            <v>0</v>
          </cell>
          <cell r="M211">
            <v>0</v>
          </cell>
          <cell r="AE211">
            <v>54663.18</v>
          </cell>
          <cell r="AF211">
            <v>54663</v>
          </cell>
          <cell r="AH211">
            <v>1304</v>
          </cell>
          <cell r="AI211">
            <v>908</v>
          </cell>
          <cell r="AJ211">
            <v>3733</v>
          </cell>
          <cell r="AK211">
            <v>0</v>
          </cell>
          <cell r="AL211">
            <v>0</v>
          </cell>
          <cell r="AM211">
            <v>60608</v>
          </cell>
          <cell r="AP211">
            <v>18278.37</v>
          </cell>
        </row>
        <row r="212">
          <cell r="B212" t="str">
            <v>Jun 2016</v>
          </cell>
          <cell r="C212" t="str">
            <v>AES</v>
          </cell>
          <cell r="D212" t="str">
            <v>AES</v>
          </cell>
          <cell r="E212" t="str">
            <v>KUCME221</v>
          </cell>
          <cell r="F212">
            <v>0</v>
          </cell>
          <cell r="G212">
            <v>0</v>
          </cell>
          <cell r="H212">
            <v>0</v>
          </cell>
          <cell r="I212">
            <v>0</v>
          </cell>
          <cell r="J212">
            <v>0</v>
          </cell>
          <cell r="K212">
            <v>0</v>
          </cell>
          <cell r="L212">
            <v>0</v>
          </cell>
          <cell r="M212">
            <v>0</v>
          </cell>
          <cell r="AE212">
            <v>0</v>
          </cell>
          <cell r="AF212">
            <v>0</v>
          </cell>
          <cell r="AH212">
            <v>0</v>
          </cell>
          <cell r="AI212">
            <v>0</v>
          </cell>
          <cell r="AJ212">
            <v>0</v>
          </cell>
          <cell r="AK212">
            <v>0</v>
          </cell>
          <cell r="AL212">
            <v>0</v>
          </cell>
          <cell r="AM212">
            <v>0</v>
          </cell>
          <cell r="AP212">
            <v>0</v>
          </cell>
        </row>
        <row r="213">
          <cell r="B213" t="str">
            <v>Jun 2016</v>
          </cell>
          <cell r="C213" t="str">
            <v>AES3</v>
          </cell>
          <cell r="D213" t="str">
            <v>AES3</v>
          </cell>
          <cell r="E213" t="str">
            <v>KUCME223</v>
          </cell>
          <cell r="F213">
            <v>0</v>
          </cell>
          <cell r="G213">
            <v>0</v>
          </cell>
          <cell r="H213">
            <v>0</v>
          </cell>
          <cell r="I213">
            <v>0</v>
          </cell>
          <cell r="J213">
            <v>0</v>
          </cell>
          <cell r="K213">
            <v>0</v>
          </cell>
          <cell r="L213">
            <v>0</v>
          </cell>
          <cell r="M213">
            <v>0</v>
          </cell>
          <cell r="AE213">
            <v>0</v>
          </cell>
          <cell r="AF213">
            <v>0</v>
          </cell>
          <cell r="AH213">
            <v>0</v>
          </cell>
          <cell r="AI213">
            <v>0</v>
          </cell>
          <cell r="AJ213">
            <v>0</v>
          </cell>
          <cell r="AK213">
            <v>0</v>
          </cell>
          <cell r="AL213">
            <v>0</v>
          </cell>
          <cell r="AM213">
            <v>0</v>
          </cell>
          <cell r="AP213">
            <v>0</v>
          </cell>
        </row>
        <row r="214">
          <cell r="B214" t="str">
            <v>Jun 2016</v>
          </cell>
          <cell r="C214" t="str">
            <v>AES3</v>
          </cell>
          <cell r="D214" t="str">
            <v>AES3</v>
          </cell>
          <cell r="E214" t="str">
            <v>KUCME224</v>
          </cell>
          <cell r="F214">
            <v>265</v>
          </cell>
          <cell r="G214">
            <v>0</v>
          </cell>
          <cell r="H214">
            <v>0</v>
          </cell>
          <cell r="I214">
            <v>0</v>
          </cell>
          <cell r="J214">
            <v>11714400</v>
          </cell>
          <cell r="K214">
            <v>47329</v>
          </cell>
          <cell r="L214">
            <v>0</v>
          </cell>
          <cell r="M214">
            <v>0</v>
          </cell>
          <cell r="AE214">
            <v>880826.36</v>
          </cell>
          <cell r="AF214">
            <v>880827</v>
          </cell>
          <cell r="AH214">
            <v>24178</v>
          </cell>
          <cell r="AI214">
            <v>16827</v>
          </cell>
          <cell r="AJ214">
            <v>69183</v>
          </cell>
          <cell r="AK214">
            <v>0</v>
          </cell>
          <cell r="AL214">
            <v>0</v>
          </cell>
          <cell r="AM214">
            <v>991015</v>
          </cell>
          <cell r="AP214">
            <v>338780.45</v>
          </cell>
        </row>
        <row r="215">
          <cell r="B215" t="str">
            <v>Jun 2016</v>
          </cell>
          <cell r="C215" t="str">
            <v>AES3</v>
          </cell>
          <cell r="D215" t="str">
            <v>AES3</v>
          </cell>
          <cell r="E215" t="str">
            <v>KUCME225</v>
          </cell>
          <cell r="F215">
            <v>0</v>
          </cell>
          <cell r="G215">
            <v>0</v>
          </cell>
          <cell r="H215">
            <v>0</v>
          </cell>
          <cell r="I215">
            <v>0</v>
          </cell>
          <cell r="J215">
            <v>0</v>
          </cell>
          <cell r="K215">
            <v>0</v>
          </cell>
          <cell r="L215">
            <v>0</v>
          </cell>
          <cell r="M215">
            <v>0</v>
          </cell>
          <cell r="AE215">
            <v>0</v>
          </cell>
          <cell r="AF215">
            <v>0</v>
          </cell>
          <cell r="AH215">
            <v>0</v>
          </cell>
          <cell r="AI215">
            <v>0</v>
          </cell>
          <cell r="AJ215">
            <v>0</v>
          </cell>
          <cell r="AK215">
            <v>0</v>
          </cell>
          <cell r="AL215">
            <v>0</v>
          </cell>
          <cell r="AM215">
            <v>0</v>
          </cell>
          <cell r="AP215">
            <v>0</v>
          </cell>
        </row>
        <row r="216">
          <cell r="B216" t="str">
            <v>Jun 2016</v>
          </cell>
          <cell r="C216" t="str">
            <v>AES</v>
          </cell>
          <cell r="D216" t="str">
            <v>AES</v>
          </cell>
          <cell r="E216" t="str">
            <v>KUCME226</v>
          </cell>
          <cell r="F216">
            <v>0</v>
          </cell>
          <cell r="G216">
            <v>0</v>
          </cell>
          <cell r="H216">
            <v>0</v>
          </cell>
          <cell r="I216">
            <v>0</v>
          </cell>
          <cell r="J216">
            <v>0</v>
          </cell>
          <cell r="K216">
            <v>0</v>
          </cell>
          <cell r="L216">
            <v>0</v>
          </cell>
          <cell r="M216">
            <v>0</v>
          </cell>
          <cell r="AE216">
            <v>0</v>
          </cell>
          <cell r="AF216">
            <v>0</v>
          </cell>
          <cell r="AH216">
            <v>0</v>
          </cell>
          <cell r="AI216">
            <v>0</v>
          </cell>
          <cell r="AJ216">
            <v>0</v>
          </cell>
          <cell r="AK216">
            <v>0</v>
          </cell>
          <cell r="AL216">
            <v>0</v>
          </cell>
          <cell r="AM216">
            <v>0</v>
          </cell>
          <cell r="AP216">
            <v>0</v>
          </cell>
        </row>
        <row r="217">
          <cell r="B217" t="str">
            <v>Jun 2016</v>
          </cell>
          <cell r="C217" t="str">
            <v>AES3</v>
          </cell>
          <cell r="D217" t="str">
            <v>AES3</v>
          </cell>
          <cell r="E217" t="str">
            <v>KUCME227</v>
          </cell>
          <cell r="F217">
            <v>0</v>
          </cell>
          <cell r="G217">
            <v>0</v>
          </cell>
          <cell r="H217">
            <v>0</v>
          </cell>
          <cell r="I217">
            <v>0</v>
          </cell>
          <cell r="J217">
            <v>0</v>
          </cell>
          <cell r="K217">
            <v>0</v>
          </cell>
          <cell r="L217">
            <v>0</v>
          </cell>
          <cell r="M217">
            <v>0</v>
          </cell>
          <cell r="AE217">
            <v>0</v>
          </cell>
          <cell r="AF217">
            <v>0</v>
          </cell>
          <cell r="AH217">
            <v>0</v>
          </cell>
          <cell r="AI217">
            <v>0</v>
          </cell>
          <cell r="AJ217">
            <v>0</v>
          </cell>
          <cell r="AK217">
            <v>0</v>
          </cell>
          <cell r="AL217">
            <v>0</v>
          </cell>
          <cell r="AM217">
            <v>0</v>
          </cell>
          <cell r="AP217">
            <v>0</v>
          </cell>
        </row>
        <row r="218">
          <cell r="B218" t="str">
            <v>Jun 2016</v>
          </cell>
          <cell r="C218" t="str">
            <v>LE</v>
          </cell>
          <cell r="D218" t="str">
            <v>LE</v>
          </cell>
          <cell r="E218" t="str">
            <v>KUCME290</v>
          </cell>
          <cell r="F218">
            <v>2</v>
          </cell>
          <cell r="G218">
            <v>0</v>
          </cell>
          <cell r="H218">
            <v>0</v>
          </cell>
          <cell r="I218">
            <v>0</v>
          </cell>
          <cell r="J218">
            <v>10965</v>
          </cell>
          <cell r="K218">
            <v>0</v>
          </cell>
          <cell r="L218">
            <v>0</v>
          </cell>
          <cell r="M218">
            <v>0</v>
          </cell>
          <cell r="AE218">
            <v>699.57</v>
          </cell>
          <cell r="AF218">
            <v>0</v>
          </cell>
          <cell r="AH218">
            <v>0</v>
          </cell>
          <cell r="AI218">
            <v>0</v>
          </cell>
          <cell r="AJ218">
            <v>0</v>
          </cell>
          <cell r="AK218">
            <v>0</v>
          </cell>
          <cell r="AL218">
            <v>0</v>
          </cell>
          <cell r="AM218">
            <v>0</v>
          </cell>
          <cell r="AP218">
            <v>317.11</v>
          </cell>
        </row>
        <row r="219">
          <cell r="B219" t="str">
            <v>Jun 2016</v>
          </cell>
          <cell r="C219" t="str">
            <v>LE</v>
          </cell>
          <cell r="D219" t="str">
            <v>LE</v>
          </cell>
          <cell r="E219" t="str">
            <v>KUCME291</v>
          </cell>
          <cell r="F219">
            <v>0</v>
          </cell>
          <cell r="G219">
            <v>0</v>
          </cell>
          <cell r="H219">
            <v>0</v>
          </cell>
          <cell r="I219">
            <v>0</v>
          </cell>
          <cell r="J219">
            <v>0</v>
          </cell>
          <cell r="K219">
            <v>0</v>
          </cell>
          <cell r="L219">
            <v>0</v>
          </cell>
          <cell r="M219">
            <v>0</v>
          </cell>
          <cell r="AE219">
            <v>0</v>
          </cell>
          <cell r="AF219">
            <v>0</v>
          </cell>
          <cell r="AH219">
            <v>0</v>
          </cell>
          <cell r="AI219">
            <v>0</v>
          </cell>
          <cell r="AJ219">
            <v>0</v>
          </cell>
          <cell r="AK219">
            <v>0</v>
          </cell>
          <cell r="AL219">
            <v>0</v>
          </cell>
          <cell r="AM219">
            <v>0</v>
          </cell>
          <cell r="AP219">
            <v>0</v>
          </cell>
        </row>
        <row r="220">
          <cell r="B220" t="str">
            <v>Jun 2016</v>
          </cell>
          <cell r="C220" t="str">
            <v>TE</v>
          </cell>
          <cell r="D220" t="str">
            <v>TE</v>
          </cell>
          <cell r="E220" t="str">
            <v>KUCME295</v>
          </cell>
          <cell r="F220">
            <v>747</v>
          </cell>
          <cell r="G220">
            <v>0</v>
          </cell>
          <cell r="H220">
            <v>0</v>
          </cell>
          <cell r="I220">
            <v>0</v>
          </cell>
          <cell r="J220">
            <v>106303</v>
          </cell>
          <cell r="K220">
            <v>0</v>
          </cell>
          <cell r="L220">
            <v>0</v>
          </cell>
          <cell r="M220">
            <v>0</v>
          </cell>
          <cell r="AE220">
            <v>10908.6</v>
          </cell>
          <cell r="AF220">
            <v>0</v>
          </cell>
          <cell r="AH220">
            <v>0</v>
          </cell>
          <cell r="AI220">
            <v>0</v>
          </cell>
          <cell r="AJ220">
            <v>0</v>
          </cell>
          <cell r="AK220">
            <v>0</v>
          </cell>
          <cell r="AL220">
            <v>0</v>
          </cell>
          <cell r="AM220">
            <v>0</v>
          </cell>
          <cell r="AP220">
            <v>3074.28</v>
          </cell>
        </row>
        <row r="221">
          <cell r="B221" t="str">
            <v>Jun 2016</v>
          </cell>
          <cell r="C221" t="str">
            <v>TE</v>
          </cell>
          <cell r="D221" t="str">
            <v>TE</v>
          </cell>
          <cell r="E221" t="str">
            <v>KUCME297</v>
          </cell>
          <cell r="F221">
            <v>0</v>
          </cell>
          <cell r="G221">
            <v>0</v>
          </cell>
          <cell r="H221">
            <v>0</v>
          </cell>
          <cell r="I221">
            <v>0</v>
          </cell>
          <cell r="J221">
            <v>0</v>
          </cell>
          <cell r="K221">
            <v>0</v>
          </cell>
          <cell r="L221">
            <v>0</v>
          </cell>
          <cell r="M221">
            <v>0</v>
          </cell>
          <cell r="AE221">
            <v>0</v>
          </cell>
          <cell r="AF221">
            <v>0</v>
          </cell>
          <cell r="AH221">
            <v>0</v>
          </cell>
          <cell r="AI221">
            <v>0</v>
          </cell>
          <cell r="AJ221">
            <v>0</v>
          </cell>
          <cell r="AK221">
            <v>0</v>
          </cell>
          <cell r="AL221">
            <v>0</v>
          </cell>
          <cell r="AM221">
            <v>0</v>
          </cell>
          <cell r="AP221">
            <v>0</v>
          </cell>
        </row>
        <row r="222">
          <cell r="B222" t="str">
            <v>Jun 2016</v>
          </cell>
          <cell r="C222" t="str">
            <v>SQF</v>
          </cell>
          <cell r="D222" t="str">
            <v>SQF</v>
          </cell>
          <cell r="E222" t="str">
            <v>KUCME705</v>
          </cell>
          <cell r="F222">
            <v>0</v>
          </cell>
          <cell r="G222">
            <v>0</v>
          </cell>
          <cell r="H222">
            <v>0</v>
          </cell>
          <cell r="I222">
            <v>0</v>
          </cell>
          <cell r="J222">
            <v>0</v>
          </cell>
          <cell r="K222">
            <v>0</v>
          </cell>
          <cell r="L222">
            <v>0</v>
          </cell>
          <cell r="M222">
            <v>0</v>
          </cell>
          <cell r="AE222">
            <v>0</v>
          </cell>
          <cell r="AF222">
            <v>0</v>
          </cell>
          <cell r="AH222">
            <v>0</v>
          </cell>
          <cell r="AI222">
            <v>0</v>
          </cell>
          <cell r="AJ222">
            <v>0</v>
          </cell>
          <cell r="AK222">
            <v>0</v>
          </cell>
          <cell r="AL222">
            <v>0</v>
          </cell>
          <cell r="AM222">
            <v>0</v>
          </cell>
          <cell r="AP222">
            <v>0</v>
          </cell>
        </row>
        <row r="223">
          <cell r="B223" t="str">
            <v>Jun 2016</v>
          </cell>
          <cell r="C223" t="str">
            <v>LQF</v>
          </cell>
          <cell r="D223" t="str">
            <v>LQF</v>
          </cell>
          <cell r="E223" t="str">
            <v>KUCME707</v>
          </cell>
          <cell r="F223">
            <v>0</v>
          </cell>
          <cell r="G223">
            <v>0</v>
          </cell>
          <cell r="H223">
            <v>0</v>
          </cell>
          <cell r="I223">
            <v>0</v>
          </cell>
          <cell r="J223">
            <v>0</v>
          </cell>
          <cell r="K223">
            <v>0</v>
          </cell>
          <cell r="L223">
            <v>0</v>
          </cell>
          <cell r="M223">
            <v>0</v>
          </cell>
          <cell r="AE223">
            <v>0</v>
          </cell>
          <cell r="AF223">
            <v>0</v>
          </cell>
          <cell r="AH223">
            <v>0</v>
          </cell>
          <cell r="AI223">
            <v>0</v>
          </cell>
          <cell r="AJ223">
            <v>0</v>
          </cell>
          <cell r="AK223">
            <v>0</v>
          </cell>
          <cell r="AL223">
            <v>0</v>
          </cell>
          <cell r="AM223">
            <v>0</v>
          </cell>
          <cell r="AP223">
            <v>0</v>
          </cell>
        </row>
        <row r="224">
          <cell r="B224" t="str">
            <v>Jun 2016</v>
          </cell>
          <cell r="C224" t="str">
            <v>GS</v>
          </cell>
          <cell r="D224" t="str">
            <v>GS</v>
          </cell>
          <cell r="E224" t="str">
            <v>KUCME710</v>
          </cell>
          <cell r="F224">
            <v>0</v>
          </cell>
          <cell r="G224">
            <v>0</v>
          </cell>
          <cell r="H224">
            <v>0</v>
          </cell>
          <cell r="I224">
            <v>0</v>
          </cell>
          <cell r="J224">
            <v>0</v>
          </cell>
          <cell r="K224">
            <v>0</v>
          </cell>
          <cell r="L224">
            <v>0</v>
          </cell>
          <cell r="M224">
            <v>0</v>
          </cell>
          <cell r="AE224">
            <v>0</v>
          </cell>
          <cell r="AF224">
            <v>0</v>
          </cell>
          <cell r="AH224">
            <v>0</v>
          </cell>
          <cell r="AI224">
            <v>0</v>
          </cell>
          <cell r="AJ224">
            <v>0</v>
          </cell>
          <cell r="AK224">
            <v>0</v>
          </cell>
          <cell r="AL224">
            <v>0</v>
          </cell>
          <cell r="AM224">
            <v>0</v>
          </cell>
          <cell r="AP224">
            <v>0</v>
          </cell>
        </row>
        <row r="225">
          <cell r="B225" t="str">
            <v>Jun 2016</v>
          </cell>
          <cell r="C225" t="str">
            <v>GS3</v>
          </cell>
          <cell r="D225" t="str">
            <v>GS3</v>
          </cell>
          <cell r="E225" t="str">
            <v>KUCME713</v>
          </cell>
          <cell r="F225">
            <v>0</v>
          </cell>
          <cell r="G225">
            <v>0</v>
          </cell>
          <cell r="H225">
            <v>0</v>
          </cell>
          <cell r="I225">
            <v>0</v>
          </cell>
          <cell r="J225">
            <v>0</v>
          </cell>
          <cell r="K225">
            <v>0</v>
          </cell>
          <cell r="L225">
            <v>0</v>
          </cell>
          <cell r="M225">
            <v>0</v>
          </cell>
          <cell r="AE225">
            <v>0</v>
          </cell>
          <cell r="AF225">
            <v>0</v>
          </cell>
          <cell r="AH225">
            <v>0</v>
          </cell>
          <cell r="AI225">
            <v>0</v>
          </cell>
          <cell r="AJ225">
            <v>0</v>
          </cell>
          <cell r="AK225">
            <v>0</v>
          </cell>
          <cell r="AL225">
            <v>0</v>
          </cell>
          <cell r="AM225">
            <v>0</v>
          </cell>
          <cell r="AP225">
            <v>0</v>
          </cell>
        </row>
        <row r="226">
          <cell r="B226" t="str">
            <v>Jun 2016</v>
          </cell>
          <cell r="C226" t="str">
            <v>CSR10</v>
          </cell>
          <cell r="D226" t="str">
            <v>CSR10</v>
          </cell>
          <cell r="E226" t="str">
            <v>KUCSR760</v>
          </cell>
          <cell r="F226">
            <v>0</v>
          </cell>
          <cell r="G226">
            <v>0</v>
          </cell>
          <cell r="H226">
            <v>0</v>
          </cell>
          <cell r="I226">
            <v>0</v>
          </cell>
          <cell r="J226">
            <v>0</v>
          </cell>
          <cell r="K226">
            <v>0</v>
          </cell>
          <cell r="L226">
            <v>0</v>
          </cell>
          <cell r="M226">
            <v>0</v>
          </cell>
          <cell r="AE226">
            <v>0</v>
          </cell>
          <cell r="AF226">
            <v>0</v>
          </cell>
          <cell r="AH226">
            <v>0</v>
          </cell>
          <cell r="AI226">
            <v>0</v>
          </cell>
          <cell r="AJ226">
            <v>0</v>
          </cell>
          <cell r="AK226">
            <v>0</v>
          </cell>
          <cell r="AL226">
            <v>-989829</v>
          </cell>
          <cell r="AM226">
            <v>-989829</v>
          </cell>
          <cell r="AP226">
            <v>0</v>
          </cell>
        </row>
        <row r="227">
          <cell r="B227" t="str">
            <v>Jun 2016</v>
          </cell>
          <cell r="C227" t="str">
            <v>CSR10</v>
          </cell>
          <cell r="D227" t="str">
            <v>CSR10</v>
          </cell>
          <cell r="E227" t="str">
            <v>KUCSR761</v>
          </cell>
          <cell r="F227">
            <v>0</v>
          </cell>
          <cell r="G227">
            <v>0</v>
          </cell>
          <cell r="H227">
            <v>0</v>
          </cell>
          <cell r="I227">
            <v>0</v>
          </cell>
          <cell r="J227">
            <v>0</v>
          </cell>
          <cell r="K227">
            <v>0</v>
          </cell>
          <cell r="L227">
            <v>0</v>
          </cell>
          <cell r="M227">
            <v>0</v>
          </cell>
          <cell r="AE227">
            <v>0</v>
          </cell>
          <cell r="AF227">
            <v>0</v>
          </cell>
          <cell r="AH227">
            <v>0</v>
          </cell>
          <cell r="AI227">
            <v>0</v>
          </cell>
          <cell r="AJ227">
            <v>0</v>
          </cell>
          <cell r="AK227">
            <v>0</v>
          </cell>
          <cell r="AL227">
            <v>0</v>
          </cell>
          <cell r="AM227">
            <v>0</v>
          </cell>
          <cell r="AP227">
            <v>0</v>
          </cell>
        </row>
        <row r="228">
          <cell r="B228" t="str">
            <v>Jun 2016</v>
          </cell>
          <cell r="C228" t="str">
            <v>CSR30</v>
          </cell>
          <cell r="D228" t="str">
            <v>CSR30</v>
          </cell>
          <cell r="E228" t="str">
            <v>KUCSR780</v>
          </cell>
          <cell r="F228">
            <v>0</v>
          </cell>
          <cell r="G228">
            <v>0</v>
          </cell>
          <cell r="H228">
            <v>0</v>
          </cell>
          <cell r="I228">
            <v>0</v>
          </cell>
          <cell r="J228">
            <v>0</v>
          </cell>
          <cell r="K228">
            <v>0</v>
          </cell>
          <cell r="L228">
            <v>0</v>
          </cell>
          <cell r="M228">
            <v>0</v>
          </cell>
          <cell r="AE228">
            <v>0</v>
          </cell>
          <cell r="AF228">
            <v>0</v>
          </cell>
          <cell r="AH228">
            <v>0</v>
          </cell>
          <cell r="AI228">
            <v>0</v>
          </cell>
          <cell r="AJ228">
            <v>0</v>
          </cell>
          <cell r="AK228">
            <v>0</v>
          </cell>
          <cell r="AL228">
            <v>0</v>
          </cell>
          <cell r="AM228">
            <v>0</v>
          </cell>
          <cell r="AP228">
            <v>0</v>
          </cell>
        </row>
        <row r="229">
          <cell r="B229" t="str">
            <v>Jun 2016</v>
          </cell>
          <cell r="C229" t="str">
            <v>CSR30</v>
          </cell>
          <cell r="D229" t="str">
            <v>CSR30</v>
          </cell>
          <cell r="E229" t="str">
            <v>KUCSR781</v>
          </cell>
          <cell r="F229">
            <v>0</v>
          </cell>
          <cell r="G229">
            <v>0</v>
          </cell>
          <cell r="H229">
            <v>0</v>
          </cell>
          <cell r="I229">
            <v>0</v>
          </cell>
          <cell r="J229">
            <v>0</v>
          </cell>
          <cell r="K229">
            <v>0</v>
          </cell>
          <cell r="L229">
            <v>0</v>
          </cell>
          <cell r="M229">
            <v>0</v>
          </cell>
          <cell r="AE229">
            <v>0</v>
          </cell>
          <cell r="AF229">
            <v>0</v>
          </cell>
          <cell r="AH229">
            <v>0</v>
          </cell>
          <cell r="AI229">
            <v>0</v>
          </cell>
          <cell r="AJ229">
            <v>0</v>
          </cell>
          <cell r="AK229">
            <v>0</v>
          </cell>
          <cell r="AL229">
            <v>0</v>
          </cell>
          <cell r="AM229">
            <v>0</v>
          </cell>
          <cell r="AP229">
            <v>0</v>
          </cell>
        </row>
        <row r="230">
          <cell r="B230" t="str">
            <v>Jun 2016</v>
          </cell>
          <cell r="C230" t="str">
            <v>CSR30</v>
          </cell>
          <cell r="D230" t="str">
            <v>CSR30</v>
          </cell>
          <cell r="E230" t="str">
            <v>KUCSR783</v>
          </cell>
          <cell r="F230">
            <v>0</v>
          </cell>
          <cell r="G230">
            <v>0</v>
          </cell>
          <cell r="H230">
            <v>0</v>
          </cell>
          <cell r="I230">
            <v>0</v>
          </cell>
          <cell r="J230">
            <v>0</v>
          </cell>
          <cell r="K230">
            <v>0</v>
          </cell>
          <cell r="L230">
            <v>0</v>
          </cell>
          <cell r="M230">
            <v>0</v>
          </cell>
          <cell r="AE230">
            <v>0</v>
          </cell>
          <cell r="AF230">
            <v>0</v>
          </cell>
          <cell r="AH230">
            <v>0</v>
          </cell>
          <cell r="AI230">
            <v>0</v>
          </cell>
          <cell r="AJ230">
            <v>0</v>
          </cell>
          <cell r="AK230">
            <v>0</v>
          </cell>
          <cell r="AL230">
            <v>0</v>
          </cell>
          <cell r="AM230">
            <v>0</v>
          </cell>
          <cell r="AP230">
            <v>0</v>
          </cell>
        </row>
        <row r="231">
          <cell r="B231" t="str">
            <v>Jun 2016</v>
          </cell>
          <cell r="C231" t="str">
            <v>FLS</v>
          </cell>
          <cell r="D231" t="str">
            <v>FLST</v>
          </cell>
          <cell r="E231" t="str">
            <v>KUINE730</v>
          </cell>
          <cell r="F231">
            <v>1</v>
          </cell>
          <cell r="G231">
            <v>0</v>
          </cell>
          <cell r="H231">
            <v>0</v>
          </cell>
          <cell r="I231">
            <v>0</v>
          </cell>
          <cell r="J231">
            <v>45688667</v>
          </cell>
          <cell r="K231">
            <v>185158</v>
          </cell>
          <cell r="L231">
            <v>185158</v>
          </cell>
          <cell r="M231">
            <v>101388</v>
          </cell>
          <cell r="AE231">
            <v>2210858.5699999998</v>
          </cell>
          <cell r="AF231">
            <v>2210857</v>
          </cell>
          <cell r="AH231">
            <v>94298</v>
          </cell>
          <cell r="AI231">
            <v>0</v>
          </cell>
          <cell r="AJ231">
            <v>269830</v>
          </cell>
          <cell r="AK231">
            <v>0</v>
          </cell>
          <cell r="AL231">
            <v>0</v>
          </cell>
          <cell r="AM231">
            <v>2574985</v>
          </cell>
          <cell r="AP231">
            <v>1321316.25</v>
          </cell>
        </row>
        <row r="232">
          <cell r="B232" t="str">
            <v>Jun 2016</v>
          </cell>
          <cell r="C232" t="str">
            <v>RS</v>
          </cell>
          <cell r="D232" t="str">
            <v>RS</v>
          </cell>
          <cell r="E232" t="str">
            <v>KURSE010</v>
          </cell>
          <cell r="F232">
            <v>431360</v>
          </cell>
          <cell r="G232">
            <v>0</v>
          </cell>
          <cell r="H232">
            <v>0</v>
          </cell>
          <cell r="I232">
            <v>0</v>
          </cell>
          <cell r="J232">
            <v>466265095</v>
          </cell>
          <cell r="K232">
            <v>0</v>
          </cell>
          <cell r="L232">
            <v>0</v>
          </cell>
          <cell r="M232">
            <v>0</v>
          </cell>
          <cell r="AE232">
            <v>40744688.960000001</v>
          </cell>
          <cell r="AF232">
            <v>40745489</v>
          </cell>
          <cell r="AH232">
            <v>962356</v>
          </cell>
          <cell r="AI232">
            <v>669791</v>
          </cell>
          <cell r="AJ232">
            <v>2753744</v>
          </cell>
          <cell r="AK232">
            <v>0</v>
          </cell>
          <cell r="AL232">
            <v>0</v>
          </cell>
          <cell r="AM232">
            <v>45131380</v>
          </cell>
          <cell r="AP232">
            <v>13484386.550000001</v>
          </cell>
        </row>
        <row r="233">
          <cell r="B233" t="str">
            <v>Jun 2016</v>
          </cell>
          <cell r="C233" t="str">
            <v>RS</v>
          </cell>
          <cell r="D233" t="str">
            <v>RS</v>
          </cell>
          <cell r="E233" t="str">
            <v>KURSE020</v>
          </cell>
          <cell r="F233">
            <v>0</v>
          </cell>
          <cell r="G233">
            <v>0</v>
          </cell>
          <cell r="H233">
            <v>0</v>
          </cell>
          <cell r="I233">
            <v>0</v>
          </cell>
          <cell r="J233">
            <v>0</v>
          </cell>
          <cell r="K233">
            <v>0</v>
          </cell>
          <cell r="L233">
            <v>0</v>
          </cell>
          <cell r="M233">
            <v>0</v>
          </cell>
          <cell r="AE233">
            <v>0</v>
          </cell>
          <cell r="AF233">
            <v>0</v>
          </cell>
          <cell r="AH233">
            <v>0</v>
          </cell>
          <cell r="AI233">
            <v>0</v>
          </cell>
          <cell r="AJ233">
            <v>0</v>
          </cell>
          <cell r="AK233">
            <v>0</v>
          </cell>
          <cell r="AL233">
            <v>0</v>
          </cell>
          <cell r="AM233">
            <v>0</v>
          </cell>
          <cell r="AP233">
            <v>0</v>
          </cell>
        </row>
        <row r="234">
          <cell r="B234" t="str">
            <v>Jun 2016</v>
          </cell>
          <cell r="C234" t="str">
            <v>RS</v>
          </cell>
          <cell r="D234" t="str">
            <v>RS</v>
          </cell>
          <cell r="E234" t="str">
            <v>KURSE025</v>
          </cell>
          <cell r="F234">
            <v>0</v>
          </cell>
          <cell r="G234">
            <v>0</v>
          </cell>
          <cell r="H234">
            <v>0</v>
          </cell>
          <cell r="I234">
            <v>0</v>
          </cell>
          <cell r="J234">
            <v>0</v>
          </cell>
          <cell r="K234">
            <v>0</v>
          </cell>
          <cell r="L234">
            <v>0</v>
          </cell>
          <cell r="M234">
            <v>0</v>
          </cell>
          <cell r="AE234">
            <v>0</v>
          </cell>
          <cell r="AF234">
            <v>0</v>
          </cell>
          <cell r="AH234">
            <v>0</v>
          </cell>
          <cell r="AI234">
            <v>0</v>
          </cell>
          <cell r="AJ234">
            <v>0</v>
          </cell>
          <cell r="AK234">
            <v>0</v>
          </cell>
          <cell r="AL234">
            <v>0</v>
          </cell>
          <cell r="AM234">
            <v>0</v>
          </cell>
          <cell r="AP234">
            <v>0</v>
          </cell>
        </row>
        <row r="235">
          <cell r="B235" t="str">
            <v>Jun 2016</v>
          </cell>
          <cell r="C235" t="str">
            <v>LEV</v>
          </cell>
          <cell r="D235" t="str">
            <v>RSLEV</v>
          </cell>
          <cell r="E235" t="str">
            <v>KURSE040</v>
          </cell>
          <cell r="F235">
            <v>8</v>
          </cell>
          <cell r="G235">
            <v>5929</v>
          </cell>
          <cell r="H235">
            <v>1787</v>
          </cell>
          <cell r="I235">
            <v>1446</v>
          </cell>
          <cell r="J235">
            <v>9162</v>
          </cell>
          <cell r="K235">
            <v>0</v>
          </cell>
          <cell r="L235">
            <v>0</v>
          </cell>
          <cell r="M235">
            <v>0</v>
          </cell>
          <cell r="AE235">
            <v>762.71</v>
          </cell>
          <cell r="AF235">
            <v>0</v>
          </cell>
          <cell r="AH235">
            <v>0</v>
          </cell>
          <cell r="AI235">
            <v>0</v>
          </cell>
          <cell r="AJ235">
            <v>0</v>
          </cell>
          <cell r="AK235">
            <v>0</v>
          </cell>
          <cell r="AL235">
            <v>0</v>
          </cell>
          <cell r="AM235">
            <v>0</v>
          </cell>
          <cell r="AP235">
            <v>264.97000000000003</v>
          </cell>
        </row>
        <row r="236">
          <cell r="B236" t="str">
            <v>Jun 2016</v>
          </cell>
          <cell r="C236" t="str">
            <v>RS</v>
          </cell>
          <cell r="D236" t="str">
            <v>RSVFD</v>
          </cell>
          <cell r="E236" t="str">
            <v>KURSE080</v>
          </cell>
          <cell r="F236">
            <v>0</v>
          </cell>
          <cell r="G236">
            <v>0</v>
          </cell>
          <cell r="H236">
            <v>0</v>
          </cell>
          <cell r="I236">
            <v>0</v>
          </cell>
          <cell r="J236">
            <v>0</v>
          </cell>
          <cell r="K236">
            <v>0</v>
          </cell>
          <cell r="L236">
            <v>0</v>
          </cell>
          <cell r="M236">
            <v>0</v>
          </cell>
          <cell r="AE236">
            <v>0</v>
          </cell>
          <cell r="AF236">
            <v>0</v>
          </cell>
          <cell r="AH236">
            <v>0</v>
          </cell>
          <cell r="AI236">
            <v>0</v>
          </cell>
          <cell r="AJ236">
            <v>0</v>
          </cell>
          <cell r="AK236">
            <v>0</v>
          </cell>
          <cell r="AL236">
            <v>0</v>
          </cell>
          <cell r="AM236">
            <v>0</v>
          </cell>
          <cell r="AP236">
            <v>0</v>
          </cell>
        </row>
        <row r="237">
          <cell r="B237" t="str">
            <v>Jun 2016</v>
          </cell>
          <cell r="C237" t="str">
            <v>RS</v>
          </cell>
          <cell r="D237" t="str">
            <v>RS</v>
          </cell>
          <cell r="E237" t="str">
            <v>KURSE715</v>
          </cell>
          <cell r="F237">
            <v>0</v>
          </cell>
          <cell r="G237">
            <v>0</v>
          </cell>
          <cell r="H237">
            <v>0</v>
          </cell>
          <cell r="I237">
            <v>0</v>
          </cell>
          <cell r="J237">
            <v>0</v>
          </cell>
          <cell r="K237">
            <v>0</v>
          </cell>
          <cell r="L237">
            <v>0</v>
          </cell>
          <cell r="M237">
            <v>0</v>
          </cell>
          <cell r="AE237">
            <v>0</v>
          </cell>
          <cell r="AF237">
            <v>0</v>
          </cell>
          <cell r="AH237">
            <v>0</v>
          </cell>
          <cell r="AI237">
            <v>0</v>
          </cell>
          <cell r="AJ237">
            <v>0</v>
          </cell>
          <cell r="AK237">
            <v>0</v>
          </cell>
          <cell r="AL237">
            <v>0</v>
          </cell>
          <cell r="AM237">
            <v>0</v>
          </cell>
          <cell r="AP237">
            <v>0</v>
          </cell>
        </row>
        <row r="238">
          <cell r="B238" t="str">
            <v>Jul 2015</v>
          </cell>
          <cell r="C238" t="str">
            <v>RTS</v>
          </cell>
          <cell r="D238" t="str">
            <v>RTS</v>
          </cell>
          <cell r="E238" t="str">
            <v>KUCIE550</v>
          </cell>
          <cell r="F238">
            <v>32</v>
          </cell>
          <cell r="G238">
            <v>0</v>
          </cell>
          <cell r="H238">
            <v>0</v>
          </cell>
          <cell r="I238">
            <v>0</v>
          </cell>
          <cell r="J238">
            <v>124179788</v>
          </cell>
          <cell r="K238">
            <v>303016</v>
          </cell>
          <cell r="L238">
            <v>286022</v>
          </cell>
          <cell r="M238">
            <v>282760</v>
          </cell>
          <cell r="AE238">
            <v>6886175.2800000003</v>
          </cell>
          <cell r="AF238">
            <v>6886175</v>
          </cell>
          <cell r="AH238">
            <v>243645</v>
          </cell>
          <cell r="AI238">
            <v>0</v>
          </cell>
          <cell r="AJ238">
            <v>532752</v>
          </cell>
          <cell r="AK238">
            <v>0</v>
          </cell>
          <cell r="AL238">
            <v>0</v>
          </cell>
          <cell r="AM238">
            <v>7662572</v>
          </cell>
          <cell r="AP238">
            <v>3591279.47</v>
          </cell>
        </row>
        <row r="239">
          <cell r="B239" t="str">
            <v>Jul 2015</v>
          </cell>
          <cell r="C239" t="str">
            <v>PSP</v>
          </cell>
          <cell r="D239" t="str">
            <v>PSP</v>
          </cell>
          <cell r="E239" t="str">
            <v>KUCIE561</v>
          </cell>
          <cell r="F239">
            <v>204</v>
          </cell>
          <cell r="G239">
            <v>0</v>
          </cell>
          <cell r="H239">
            <v>0</v>
          </cell>
          <cell r="I239">
            <v>0</v>
          </cell>
          <cell r="J239">
            <v>22656623</v>
          </cell>
          <cell r="K239">
            <v>0</v>
          </cell>
          <cell r="L239">
            <v>0</v>
          </cell>
          <cell r="M239">
            <v>61569</v>
          </cell>
          <cell r="AE239">
            <v>1782483.23</v>
          </cell>
          <cell r="AF239">
            <v>1782485</v>
          </cell>
          <cell r="AH239">
            <v>44453</v>
          </cell>
          <cell r="AI239">
            <v>33357</v>
          </cell>
          <cell r="AJ239">
            <v>97201</v>
          </cell>
          <cell r="AK239">
            <v>0</v>
          </cell>
          <cell r="AL239">
            <v>0</v>
          </cell>
          <cell r="AM239">
            <v>1957496</v>
          </cell>
          <cell r="AP239">
            <v>655229.54</v>
          </cell>
        </row>
        <row r="240">
          <cell r="B240" t="str">
            <v>Jul 2015</v>
          </cell>
          <cell r="C240" t="str">
            <v>PSS</v>
          </cell>
          <cell r="D240" t="str">
            <v>PSS</v>
          </cell>
          <cell r="E240" t="str">
            <v>KUCIE562</v>
          </cell>
          <cell r="F240">
            <v>4710</v>
          </cell>
          <cell r="G240">
            <v>0</v>
          </cell>
          <cell r="H240">
            <v>0</v>
          </cell>
          <cell r="I240">
            <v>0</v>
          </cell>
          <cell r="J240">
            <v>209548842</v>
          </cell>
          <cell r="K240">
            <v>0</v>
          </cell>
          <cell r="L240">
            <v>0</v>
          </cell>
          <cell r="M240">
            <v>679556</v>
          </cell>
          <cell r="AE240">
            <v>18289427.530000001</v>
          </cell>
          <cell r="AF240">
            <v>18289435</v>
          </cell>
          <cell r="AH240">
            <v>411141</v>
          </cell>
          <cell r="AI240">
            <v>308515</v>
          </cell>
          <cell r="AJ240">
            <v>899000</v>
          </cell>
          <cell r="AK240">
            <v>0</v>
          </cell>
          <cell r="AL240">
            <v>0</v>
          </cell>
          <cell r="AM240">
            <v>19908091</v>
          </cell>
          <cell r="AP240">
            <v>6060152.5099999998</v>
          </cell>
        </row>
        <row r="241">
          <cell r="B241" t="str">
            <v>Jul 2015</v>
          </cell>
          <cell r="C241" t="str">
            <v>TODP</v>
          </cell>
          <cell r="D241" t="str">
            <v>TODP</v>
          </cell>
          <cell r="E241" t="str">
            <v>KUCIE563</v>
          </cell>
          <cell r="F241">
            <v>52</v>
          </cell>
          <cell r="G241">
            <v>0</v>
          </cell>
          <cell r="H241">
            <v>0</v>
          </cell>
          <cell r="I241">
            <v>0</v>
          </cell>
          <cell r="J241">
            <v>279512046</v>
          </cell>
          <cell r="K241">
            <v>560341</v>
          </cell>
          <cell r="L241">
            <v>548515</v>
          </cell>
          <cell r="M241">
            <v>538936</v>
          </cell>
          <cell r="AE241">
            <v>15307180.399999999</v>
          </cell>
          <cell r="AF241">
            <v>15307180</v>
          </cell>
          <cell r="AH241">
            <v>548411</v>
          </cell>
          <cell r="AI241">
            <v>411521</v>
          </cell>
          <cell r="AJ241">
            <v>1199154</v>
          </cell>
          <cell r="AK241">
            <v>0</v>
          </cell>
          <cell r="AL241">
            <v>0</v>
          </cell>
          <cell r="AM241">
            <v>17466266</v>
          </cell>
          <cell r="AP241">
            <v>8083488.3700000001</v>
          </cell>
        </row>
        <row r="242">
          <cell r="B242" t="str">
            <v>Jul 2015</v>
          </cell>
          <cell r="C242" t="str">
            <v>PSP</v>
          </cell>
          <cell r="D242" t="str">
            <v>PSP</v>
          </cell>
          <cell r="E242" t="str">
            <v>KUCIE566</v>
          </cell>
          <cell r="F242">
            <v>0</v>
          </cell>
          <cell r="G242">
            <v>0</v>
          </cell>
          <cell r="H242">
            <v>0</v>
          </cell>
          <cell r="I242">
            <v>0</v>
          </cell>
          <cell r="J242">
            <v>0</v>
          </cell>
          <cell r="K242">
            <v>0</v>
          </cell>
          <cell r="L242">
            <v>0</v>
          </cell>
          <cell r="M242">
            <v>0</v>
          </cell>
          <cell r="AE242">
            <v>0</v>
          </cell>
          <cell r="AF242">
            <v>0</v>
          </cell>
          <cell r="AH242">
            <v>0</v>
          </cell>
          <cell r="AI242">
            <v>0</v>
          </cell>
          <cell r="AJ242">
            <v>0</v>
          </cell>
          <cell r="AK242">
            <v>0</v>
          </cell>
          <cell r="AL242">
            <v>0</v>
          </cell>
          <cell r="AM242">
            <v>0</v>
          </cell>
          <cell r="AP242">
            <v>0</v>
          </cell>
        </row>
        <row r="243">
          <cell r="B243" t="str">
            <v>Jul 2015</v>
          </cell>
          <cell r="C243" t="str">
            <v>PSS</v>
          </cell>
          <cell r="D243" t="str">
            <v>PSS</v>
          </cell>
          <cell r="E243" t="str">
            <v>KUCIE568</v>
          </cell>
          <cell r="F243">
            <v>0</v>
          </cell>
          <cell r="G243">
            <v>0</v>
          </cell>
          <cell r="H243">
            <v>0</v>
          </cell>
          <cell r="I243">
            <v>0</v>
          </cell>
          <cell r="J243">
            <v>0</v>
          </cell>
          <cell r="K243">
            <v>0</v>
          </cell>
          <cell r="L243">
            <v>0</v>
          </cell>
          <cell r="M243">
            <v>0</v>
          </cell>
          <cell r="AE243">
            <v>0</v>
          </cell>
          <cell r="AF243">
            <v>0</v>
          </cell>
          <cell r="AH243">
            <v>0</v>
          </cell>
          <cell r="AI243">
            <v>0</v>
          </cell>
          <cell r="AJ243">
            <v>0</v>
          </cell>
          <cell r="AK243">
            <v>0</v>
          </cell>
          <cell r="AL243">
            <v>0</v>
          </cell>
          <cell r="AM243">
            <v>0</v>
          </cell>
          <cell r="AP243">
            <v>0</v>
          </cell>
        </row>
        <row r="244">
          <cell r="B244" t="str">
            <v>Jul 2015</v>
          </cell>
          <cell r="C244" t="str">
            <v>TODP</v>
          </cell>
          <cell r="D244" t="str">
            <v>TODP</v>
          </cell>
          <cell r="E244" t="str">
            <v>KUCIE571</v>
          </cell>
          <cell r="F244">
            <v>194</v>
          </cell>
          <cell r="G244">
            <v>0</v>
          </cell>
          <cell r="H244">
            <v>0</v>
          </cell>
          <cell r="I244">
            <v>0</v>
          </cell>
          <cell r="J244">
            <v>116315819</v>
          </cell>
          <cell r="K244">
            <v>298883</v>
          </cell>
          <cell r="L244">
            <v>286626</v>
          </cell>
          <cell r="M244">
            <v>280422</v>
          </cell>
          <cell r="AE244">
            <v>6934265.9999999991</v>
          </cell>
          <cell r="AF244">
            <v>6934266</v>
          </cell>
          <cell r="AH244">
            <v>228215</v>
          </cell>
          <cell r="AI244">
            <v>171250</v>
          </cell>
          <cell r="AJ244">
            <v>499015</v>
          </cell>
          <cell r="AK244">
            <v>0</v>
          </cell>
          <cell r="AL244">
            <v>0</v>
          </cell>
          <cell r="AM244">
            <v>7832746</v>
          </cell>
          <cell r="AP244">
            <v>3363853.49</v>
          </cell>
        </row>
        <row r="245">
          <cell r="B245" t="str">
            <v>Jul 2015</v>
          </cell>
          <cell r="C245" t="str">
            <v>TODS</v>
          </cell>
          <cell r="D245" t="str">
            <v>TODS</v>
          </cell>
          <cell r="E245" t="str">
            <v>KUCIE572</v>
          </cell>
          <cell r="F245">
            <v>461</v>
          </cell>
          <cell r="G245">
            <v>0</v>
          </cell>
          <cell r="H245">
            <v>0</v>
          </cell>
          <cell r="I245">
            <v>0</v>
          </cell>
          <cell r="J245">
            <v>149714839</v>
          </cell>
          <cell r="K245">
            <v>361109</v>
          </cell>
          <cell r="L245">
            <v>337141</v>
          </cell>
          <cell r="M245">
            <v>330579</v>
          </cell>
          <cell r="AE245">
            <v>9546855.8599999994</v>
          </cell>
          <cell r="AF245">
            <v>9546857</v>
          </cell>
          <cell r="AH245">
            <v>293745</v>
          </cell>
          <cell r="AI245">
            <v>220423</v>
          </cell>
          <cell r="AJ245">
            <v>642302</v>
          </cell>
          <cell r="AK245">
            <v>0</v>
          </cell>
          <cell r="AL245">
            <v>0</v>
          </cell>
          <cell r="AM245">
            <v>10703327</v>
          </cell>
          <cell r="AP245">
            <v>4329753.1399999997</v>
          </cell>
        </row>
        <row r="246">
          <cell r="B246" t="str">
            <v>Jul 2015</v>
          </cell>
          <cell r="C246" t="str">
            <v>PSS</v>
          </cell>
          <cell r="D246" t="str">
            <v>PSS</v>
          </cell>
          <cell r="E246" t="str">
            <v>KUCIE717</v>
          </cell>
          <cell r="F246">
            <v>0</v>
          </cell>
          <cell r="G246">
            <v>0</v>
          </cell>
          <cell r="H246">
            <v>0</v>
          </cell>
          <cell r="I246">
            <v>0</v>
          </cell>
          <cell r="J246">
            <v>0</v>
          </cell>
          <cell r="K246">
            <v>0</v>
          </cell>
          <cell r="L246">
            <v>0</v>
          </cell>
          <cell r="M246">
            <v>0</v>
          </cell>
          <cell r="AE246">
            <v>0</v>
          </cell>
          <cell r="AF246">
            <v>0</v>
          </cell>
          <cell r="AH246">
            <v>0</v>
          </cell>
          <cell r="AI246">
            <v>0</v>
          </cell>
          <cell r="AJ246">
            <v>0</v>
          </cell>
          <cell r="AK246">
            <v>0</v>
          </cell>
          <cell r="AL246">
            <v>0</v>
          </cell>
          <cell r="AM246">
            <v>0</v>
          </cell>
          <cell r="AP246">
            <v>0</v>
          </cell>
        </row>
        <row r="247">
          <cell r="B247" t="str">
            <v>Jul 2015</v>
          </cell>
          <cell r="C247" t="str">
            <v>GS</v>
          </cell>
          <cell r="D247" t="str">
            <v>GS</v>
          </cell>
          <cell r="E247" t="str">
            <v>KUCME110</v>
          </cell>
          <cell r="F247">
            <v>63491</v>
          </cell>
          <cell r="G247">
            <v>0</v>
          </cell>
          <cell r="H247">
            <v>0</v>
          </cell>
          <cell r="I247">
            <v>0</v>
          </cell>
          <cell r="J247">
            <v>71183680</v>
          </cell>
          <cell r="K247">
            <v>0</v>
          </cell>
          <cell r="L247">
            <v>0</v>
          </cell>
          <cell r="M247">
            <v>0</v>
          </cell>
          <cell r="AE247">
            <v>7836514.4800000004</v>
          </cell>
          <cell r="AF247">
            <v>7836506</v>
          </cell>
          <cell r="AH247">
            <v>139665</v>
          </cell>
          <cell r="AI247">
            <v>104803</v>
          </cell>
          <cell r="AJ247">
            <v>305390</v>
          </cell>
          <cell r="AK247">
            <v>0</v>
          </cell>
          <cell r="AL247">
            <v>0</v>
          </cell>
          <cell r="AM247">
            <v>8386364</v>
          </cell>
          <cell r="AP247">
            <v>2058632.03</v>
          </cell>
        </row>
        <row r="248">
          <cell r="B248" t="str">
            <v>Jul 2015</v>
          </cell>
          <cell r="C248" t="str">
            <v>GS</v>
          </cell>
          <cell r="D248" t="str">
            <v>GS</v>
          </cell>
          <cell r="E248" t="str">
            <v>KUCME112</v>
          </cell>
          <cell r="F248">
            <v>0</v>
          </cell>
          <cell r="G248">
            <v>0</v>
          </cell>
          <cell r="H248">
            <v>0</v>
          </cell>
          <cell r="I248">
            <v>0</v>
          </cell>
          <cell r="J248">
            <v>0</v>
          </cell>
          <cell r="K248">
            <v>0</v>
          </cell>
          <cell r="L248">
            <v>0</v>
          </cell>
          <cell r="M248">
            <v>0</v>
          </cell>
          <cell r="AE248">
            <v>0</v>
          </cell>
          <cell r="AF248">
            <v>0</v>
          </cell>
          <cell r="AH248">
            <v>0</v>
          </cell>
          <cell r="AI248">
            <v>0</v>
          </cell>
          <cell r="AJ248">
            <v>0</v>
          </cell>
          <cell r="AK248">
            <v>0</v>
          </cell>
          <cell r="AL248">
            <v>0</v>
          </cell>
          <cell r="AM248">
            <v>0</v>
          </cell>
          <cell r="AP248">
            <v>0</v>
          </cell>
        </row>
        <row r="249">
          <cell r="B249" t="str">
            <v>Jul 2015</v>
          </cell>
          <cell r="C249" t="str">
            <v>GS3</v>
          </cell>
          <cell r="D249" t="str">
            <v>GS3</v>
          </cell>
          <cell r="E249" t="str">
            <v>KUCME113</v>
          </cell>
          <cell r="F249">
            <v>18559</v>
          </cell>
          <cell r="G249">
            <v>0</v>
          </cell>
          <cell r="H249">
            <v>0</v>
          </cell>
          <cell r="I249">
            <v>0</v>
          </cell>
          <cell r="J249">
            <v>104399599</v>
          </cell>
          <cell r="K249">
            <v>378299</v>
          </cell>
          <cell r="L249">
            <v>0</v>
          </cell>
          <cell r="M249">
            <v>0</v>
          </cell>
          <cell r="AE249">
            <v>10280428.01</v>
          </cell>
          <cell r="AF249">
            <v>10280442</v>
          </cell>
          <cell r="AH249">
            <v>204835</v>
          </cell>
          <cell r="AI249">
            <v>153706</v>
          </cell>
          <cell r="AJ249">
            <v>447892</v>
          </cell>
          <cell r="AK249">
            <v>0</v>
          </cell>
          <cell r="AL249">
            <v>0</v>
          </cell>
          <cell r="AM249">
            <v>11086875</v>
          </cell>
          <cell r="AP249">
            <v>3019236.4</v>
          </cell>
        </row>
        <row r="250">
          <cell r="B250" t="str">
            <v>Jul 2015</v>
          </cell>
          <cell r="C250" t="str">
            <v>AES</v>
          </cell>
          <cell r="D250" t="str">
            <v>AES</v>
          </cell>
          <cell r="E250" t="str">
            <v>KUCME220</v>
          </cell>
          <cell r="F250">
            <v>377</v>
          </cell>
          <cell r="G250">
            <v>0</v>
          </cell>
          <cell r="H250">
            <v>0</v>
          </cell>
          <cell r="I250">
            <v>0</v>
          </cell>
          <cell r="J250">
            <v>629052</v>
          </cell>
          <cell r="K250">
            <v>0</v>
          </cell>
          <cell r="L250">
            <v>0</v>
          </cell>
          <cell r="M250">
            <v>0</v>
          </cell>
          <cell r="AE250">
            <v>54341.47</v>
          </cell>
          <cell r="AF250">
            <v>54342</v>
          </cell>
          <cell r="AH250">
            <v>1234</v>
          </cell>
          <cell r="AI250">
            <v>926</v>
          </cell>
          <cell r="AJ250">
            <v>2699</v>
          </cell>
          <cell r="AK250">
            <v>0</v>
          </cell>
          <cell r="AL250">
            <v>0</v>
          </cell>
          <cell r="AM250">
            <v>59201</v>
          </cell>
          <cell r="AP250">
            <v>18192.18</v>
          </cell>
        </row>
        <row r="251">
          <cell r="B251" t="str">
            <v>Jul 2015</v>
          </cell>
          <cell r="C251" t="str">
            <v>AES</v>
          </cell>
          <cell r="D251" t="str">
            <v>AES</v>
          </cell>
          <cell r="E251" t="str">
            <v>KUCME221</v>
          </cell>
          <cell r="F251">
            <v>0</v>
          </cell>
          <cell r="G251">
            <v>0</v>
          </cell>
          <cell r="H251">
            <v>0</v>
          </cell>
          <cell r="I251">
            <v>0</v>
          </cell>
          <cell r="J251">
            <v>0</v>
          </cell>
          <cell r="K251">
            <v>0</v>
          </cell>
          <cell r="L251">
            <v>0</v>
          </cell>
          <cell r="M251">
            <v>0</v>
          </cell>
          <cell r="AE251">
            <v>0</v>
          </cell>
          <cell r="AF251">
            <v>0</v>
          </cell>
          <cell r="AH251">
            <v>0</v>
          </cell>
          <cell r="AI251">
            <v>0</v>
          </cell>
          <cell r="AJ251">
            <v>0</v>
          </cell>
          <cell r="AK251">
            <v>0</v>
          </cell>
          <cell r="AL251">
            <v>0</v>
          </cell>
          <cell r="AM251">
            <v>0</v>
          </cell>
          <cell r="AP251">
            <v>0</v>
          </cell>
        </row>
        <row r="252">
          <cell r="B252" t="str">
            <v>Jul 2015</v>
          </cell>
          <cell r="C252" t="str">
            <v>AES3</v>
          </cell>
          <cell r="D252" t="str">
            <v>AES3</v>
          </cell>
          <cell r="E252" t="str">
            <v>KUCME223</v>
          </cell>
          <cell r="F252">
            <v>0</v>
          </cell>
          <cell r="G252">
            <v>0</v>
          </cell>
          <cell r="H252">
            <v>0</v>
          </cell>
          <cell r="I252">
            <v>0</v>
          </cell>
          <cell r="J252">
            <v>0</v>
          </cell>
          <cell r="K252">
            <v>0</v>
          </cell>
          <cell r="L252">
            <v>0</v>
          </cell>
          <cell r="M252">
            <v>0</v>
          </cell>
          <cell r="AE252">
            <v>0</v>
          </cell>
          <cell r="AF252">
            <v>0</v>
          </cell>
          <cell r="AH252">
            <v>0</v>
          </cell>
          <cell r="AI252">
            <v>0</v>
          </cell>
          <cell r="AJ252">
            <v>0</v>
          </cell>
          <cell r="AK252">
            <v>0</v>
          </cell>
          <cell r="AL252">
            <v>0</v>
          </cell>
          <cell r="AM252">
            <v>0</v>
          </cell>
          <cell r="AP252">
            <v>0</v>
          </cell>
        </row>
        <row r="253">
          <cell r="B253" t="str">
            <v>Jul 2015</v>
          </cell>
          <cell r="C253" t="str">
            <v>AES3</v>
          </cell>
          <cell r="D253" t="str">
            <v>AES3</v>
          </cell>
          <cell r="E253" t="str">
            <v>KUCME224</v>
          </cell>
          <cell r="F253">
            <v>262</v>
          </cell>
          <cell r="G253">
            <v>0</v>
          </cell>
          <cell r="H253">
            <v>0</v>
          </cell>
          <cell r="I253">
            <v>0</v>
          </cell>
          <cell r="J253">
            <v>11659181</v>
          </cell>
          <cell r="K253">
            <v>38479</v>
          </cell>
          <cell r="L253">
            <v>0</v>
          </cell>
          <cell r="M253">
            <v>0</v>
          </cell>
          <cell r="AE253">
            <v>876613.07</v>
          </cell>
          <cell r="AF253">
            <v>876612</v>
          </cell>
          <cell r="AH253">
            <v>22876</v>
          </cell>
          <cell r="AI253">
            <v>17166</v>
          </cell>
          <cell r="AJ253">
            <v>50020</v>
          </cell>
          <cell r="AK253">
            <v>0</v>
          </cell>
          <cell r="AL253">
            <v>0</v>
          </cell>
          <cell r="AM253">
            <v>966674</v>
          </cell>
          <cell r="AP253">
            <v>337183.51</v>
          </cell>
        </row>
        <row r="254">
          <cell r="B254" t="str">
            <v>Jul 2015</v>
          </cell>
          <cell r="C254" t="str">
            <v>AES3</v>
          </cell>
          <cell r="D254" t="str">
            <v>AES3</v>
          </cell>
          <cell r="E254" t="str">
            <v>KUCME225</v>
          </cell>
          <cell r="F254">
            <v>0</v>
          </cell>
          <cell r="G254">
            <v>0</v>
          </cell>
          <cell r="H254">
            <v>0</v>
          </cell>
          <cell r="I254">
            <v>0</v>
          </cell>
          <cell r="J254">
            <v>0</v>
          </cell>
          <cell r="K254">
            <v>0</v>
          </cell>
          <cell r="L254">
            <v>0</v>
          </cell>
          <cell r="M254">
            <v>0</v>
          </cell>
          <cell r="AE254">
            <v>0</v>
          </cell>
          <cell r="AF254">
            <v>0</v>
          </cell>
          <cell r="AH254">
            <v>0</v>
          </cell>
          <cell r="AI254">
            <v>0</v>
          </cell>
          <cell r="AJ254">
            <v>0</v>
          </cell>
          <cell r="AK254">
            <v>0</v>
          </cell>
          <cell r="AL254">
            <v>0</v>
          </cell>
          <cell r="AM254">
            <v>0</v>
          </cell>
          <cell r="AP254">
            <v>0</v>
          </cell>
        </row>
        <row r="255">
          <cell r="B255" t="str">
            <v>Jul 2015</v>
          </cell>
          <cell r="C255" t="str">
            <v>AES</v>
          </cell>
          <cell r="D255" t="str">
            <v>AES</v>
          </cell>
          <cell r="E255" t="str">
            <v>KUCME226</v>
          </cell>
          <cell r="F255">
            <v>0</v>
          </cell>
          <cell r="G255">
            <v>0</v>
          </cell>
          <cell r="H255">
            <v>0</v>
          </cell>
          <cell r="I255">
            <v>0</v>
          </cell>
          <cell r="J255">
            <v>0</v>
          </cell>
          <cell r="K255">
            <v>0</v>
          </cell>
          <cell r="L255">
            <v>0</v>
          </cell>
          <cell r="M255">
            <v>0</v>
          </cell>
          <cell r="AE255">
            <v>0</v>
          </cell>
          <cell r="AF255">
            <v>0</v>
          </cell>
          <cell r="AH255">
            <v>0</v>
          </cell>
          <cell r="AI255">
            <v>0</v>
          </cell>
          <cell r="AJ255">
            <v>0</v>
          </cell>
          <cell r="AK255">
            <v>0</v>
          </cell>
          <cell r="AL255">
            <v>0</v>
          </cell>
          <cell r="AM255">
            <v>0</v>
          </cell>
          <cell r="AP255">
            <v>0</v>
          </cell>
        </row>
        <row r="256">
          <cell r="B256" t="str">
            <v>Jul 2015</v>
          </cell>
          <cell r="C256" t="str">
            <v>AES3</v>
          </cell>
          <cell r="D256" t="str">
            <v>AES3</v>
          </cell>
          <cell r="E256" t="str">
            <v>KUCME227</v>
          </cell>
          <cell r="F256">
            <v>0</v>
          </cell>
          <cell r="G256">
            <v>0</v>
          </cell>
          <cell r="H256">
            <v>0</v>
          </cell>
          <cell r="I256">
            <v>0</v>
          </cell>
          <cell r="J256">
            <v>0</v>
          </cell>
          <cell r="K256">
            <v>0</v>
          </cell>
          <cell r="L256">
            <v>0</v>
          </cell>
          <cell r="M256">
            <v>0</v>
          </cell>
          <cell r="AE256">
            <v>0</v>
          </cell>
          <cell r="AF256">
            <v>0</v>
          </cell>
          <cell r="AH256">
            <v>0</v>
          </cell>
          <cell r="AI256">
            <v>0</v>
          </cell>
          <cell r="AJ256">
            <v>0</v>
          </cell>
          <cell r="AK256">
            <v>0</v>
          </cell>
          <cell r="AL256">
            <v>0</v>
          </cell>
          <cell r="AM256">
            <v>0</v>
          </cell>
          <cell r="AP256">
            <v>0</v>
          </cell>
        </row>
        <row r="257">
          <cell r="B257" t="str">
            <v>Jul 2015</v>
          </cell>
          <cell r="C257" t="str">
            <v>LE</v>
          </cell>
          <cell r="D257" t="str">
            <v>LE</v>
          </cell>
          <cell r="E257" t="str">
            <v>KUCME290</v>
          </cell>
          <cell r="F257">
            <v>2</v>
          </cell>
          <cell r="G257">
            <v>0</v>
          </cell>
          <cell r="H257">
            <v>0</v>
          </cell>
          <cell r="I257">
            <v>0</v>
          </cell>
          <cell r="J257">
            <v>8713</v>
          </cell>
          <cell r="K257">
            <v>0</v>
          </cell>
          <cell r="L257">
            <v>0</v>
          </cell>
          <cell r="M257">
            <v>0</v>
          </cell>
          <cell r="AE257">
            <v>555.89</v>
          </cell>
          <cell r="AF257">
            <v>0</v>
          </cell>
          <cell r="AH257">
            <v>0</v>
          </cell>
          <cell r="AI257">
            <v>0</v>
          </cell>
          <cell r="AJ257">
            <v>0</v>
          </cell>
          <cell r="AK257">
            <v>0</v>
          </cell>
          <cell r="AL257">
            <v>0</v>
          </cell>
          <cell r="AM257">
            <v>0</v>
          </cell>
          <cell r="AP257">
            <v>251.98</v>
          </cell>
        </row>
        <row r="258">
          <cell r="B258" t="str">
            <v>Jul 2015</v>
          </cell>
          <cell r="C258" t="str">
            <v>LE</v>
          </cell>
          <cell r="D258" t="str">
            <v>LE</v>
          </cell>
          <cell r="E258" t="str">
            <v>KUCME291</v>
          </cell>
          <cell r="F258">
            <v>0</v>
          </cell>
          <cell r="G258">
            <v>0</v>
          </cell>
          <cell r="H258">
            <v>0</v>
          </cell>
          <cell r="I258">
            <v>0</v>
          </cell>
          <cell r="J258">
            <v>0</v>
          </cell>
          <cell r="K258">
            <v>0</v>
          </cell>
          <cell r="L258">
            <v>0</v>
          </cell>
          <cell r="M258">
            <v>0</v>
          </cell>
          <cell r="AE258">
            <v>0</v>
          </cell>
          <cell r="AF258">
            <v>0</v>
          </cell>
          <cell r="AH258">
            <v>0</v>
          </cell>
          <cell r="AI258">
            <v>0</v>
          </cell>
          <cell r="AJ258">
            <v>0</v>
          </cell>
          <cell r="AK258">
            <v>0</v>
          </cell>
          <cell r="AL258">
            <v>0</v>
          </cell>
          <cell r="AM258">
            <v>0</v>
          </cell>
          <cell r="AP258">
            <v>0</v>
          </cell>
        </row>
        <row r="259">
          <cell r="B259" t="str">
            <v>Jul 2015</v>
          </cell>
          <cell r="C259" t="str">
            <v>TE</v>
          </cell>
          <cell r="D259" t="str">
            <v>TE</v>
          </cell>
          <cell r="E259" t="str">
            <v>KUCME295</v>
          </cell>
          <cell r="F259">
            <v>747</v>
          </cell>
          <cell r="G259">
            <v>0</v>
          </cell>
          <cell r="H259">
            <v>0</v>
          </cell>
          <cell r="I259">
            <v>0</v>
          </cell>
          <cell r="J259">
            <v>101733</v>
          </cell>
          <cell r="K259">
            <v>0</v>
          </cell>
          <cell r="L259">
            <v>0</v>
          </cell>
          <cell r="M259">
            <v>0</v>
          </cell>
          <cell r="AE259">
            <v>10544.01</v>
          </cell>
          <cell r="AF259">
            <v>0</v>
          </cell>
          <cell r="AH259">
            <v>0</v>
          </cell>
          <cell r="AI259">
            <v>0</v>
          </cell>
          <cell r="AJ259">
            <v>0</v>
          </cell>
          <cell r="AK259">
            <v>0</v>
          </cell>
          <cell r="AL259">
            <v>0</v>
          </cell>
          <cell r="AM259">
            <v>0</v>
          </cell>
          <cell r="AP259">
            <v>2942.12</v>
          </cell>
        </row>
        <row r="260">
          <cell r="B260" t="str">
            <v>Jul 2015</v>
          </cell>
          <cell r="C260" t="str">
            <v>TE</v>
          </cell>
          <cell r="D260" t="str">
            <v>TE</v>
          </cell>
          <cell r="E260" t="str">
            <v>KUCME297</v>
          </cell>
          <cell r="F260">
            <v>0</v>
          </cell>
          <cell r="G260">
            <v>0</v>
          </cell>
          <cell r="H260">
            <v>0</v>
          </cell>
          <cell r="I260">
            <v>0</v>
          </cell>
          <cell r="J260">
            <v>0</v>
          </cell>
          <cell r="K260">
            <v>0</v>
          </cell>
          <cell r="L260">
            <v>0</v>
          </cell>
          <cell r="M260">
            <v>0</v>
          </cell>
          <cell r="AE260">
            <v>0</v>
          </cell>
          <cell r="AF260">
            <v>0</v>
          </cell>
          <cell r="AH260">
            <v>0</v>
          </cell>
          <cell r="AI260">
            <v>0</v>
          </cell>
          <cell r="AJ260">
            <v>0</v>
          </cell>
          <cell r="AK260">
            <v>0</v>
          </cell>
          <cell r="AL260">
            <v>0</v>
          </cell>
          <cell r="AM260">
            <v>0</v>
          </cell>
          <cell r="AP260">
            <v>0</v>
          </cell>
        </row>
        <row r="261">
          <cell r="B261" t="str">
            <v>Jul 2015</v>
          </cell>
          <cell r="C261" t="str">
            <v>SQF</v>
          </cell>
          <cell r="D261" t="str">
            <v>SQF</v>
          </cell>
          <cell r="E261" t="str">
            <v>KUCME705</v>
          </cell>
          <cell r="F261">
            <v>0</v>
          </cell>
          <cell r="G261">
            <v>0</v>
          </cell>
          <cell r="H261">
            <v>0</v>
          </cell>
          <cell r="I261">
            <v>0</v>
          </cell>
          <cell r="J261">
            <v>0</v>
          </cell>
          <cell r="K261">
            <v>0</v>
          </cell>
          <cell r="L261">
            <v>0</v>
          </cell>
          <cell r="M261">
            <v>0</v>
          </cell>
          <cell r="AE261">
            <v>0</v>
          </cell>
          <cell r="AF261">
            <v>0</v>
          </cell>
          <cell r="AH261">
            <v>0</v>
          </cell>
          <cell r="AI261">
            <v>0</v>
          </cell>
          <cell r="AJ261">
            <v>0</v>
          </cell>
          <cell r="AK261">
            <v>0</v>
          </cell>
          <cell r="AL261">
            <v>0</v>
          </cell>
          <cell r="AM261">
            <v>0</v>
          </cell>
          <cell r="AP261">
            <v>0</v>
          </cell>
        </row>
        <row r="262">
          <cell r="B262" t="str">
            <v>Jul 2015</v>
          </cell>
          <cell r="C262" t="str">
            <v>LQF</v>
          </cell>
          <cell r="D262" t="str">
            <v>LQF</v>
          </cell>
          <cell r="E262" t="str">
            <v>KUCME707</v>
          </cell>
          <cell r="F262">
            <v>0</v>
          </cell>
          <cell r="G262">
            <v>0</v>
          </cell>
          <cell r="H262">
            <v>0</v>
          </cell>
          <cell r="I262">
            <v>0</v>
          </cell>
          <cell r="J262">
            <v>0</v>
          </cell>
          <cell r="K262">
            <v>0</v>
          </cell>
          <cell r="L262">
            <v>0</v>
          </cell>
          <cell r="M262">
            <v>0</v>
          </cell>
          <cell r="AE262">
            <v>0</v>
          </cell>
          <cell r="AF262">
            <v>0</v>
          </cell>
          <cell r="AH262">
            <v>0</v>
          </cell>
          <cell r="AI262">
            <v>0</v>
          </cell>
          <cell r="AJ262">
            <v>0</v>
          </cell>
          <cell r="AK262">
            <v>0</v>
          </cell>
          <cell r="AL262">
            <v>0</v>
          </cell>
          <cell r="AM262">
            <v>0</v>
          </cell>
          <cell r="AP262">
            <v>0</v>
          </cell>
        </row>
        <row r="263">
          <cell r="B263" t="str">
            <v>Jul 2015</v>
          </cell>
          <cell r="C263" t="str">
            <v>GS</v>
          </cell>
          <cell r="D263" t="str">
            <v>GS</v>
          </cell>
          <cell r="E263" t="str">
            <v>KUCME710</v>
          </cell>
          <cell r="F263">
            <v>0</v>
          </cell>
          <cell r="G263">
            <v>0</v>
          </cell>
          <cell r="H263">
            <v>0</v>
          </cell>
          <cell r="I263">
            <v>0</v>
          </cell>
          <cell r="J263">
            <v>0</v>
          </cell>
          <cell r="K263">
            <v>0</v>
          </cell>
          <cell r="L263">
            <v>0</v>
          </cell>
          <cell r="M263">
            <v>0</v>
          </cell>
          <cell r="AE263">
            <v>0</v>
          </cell>
          <cell r="AF263">
            <v>0</v>
          </cell>
          <cell r="AH263">
            <v>0</v>
          </cell>
          <cell r="AI263">
            <v>0</v>
          </cell>
          <cell r="AJ263">
            <v>0</v>
          </cell>
          <cell r="AK263">
            <v>0</v>
          </cell>
          <cell r="AL263">
            <v>0</v>
          </cell>
          <cell r="AM263">
            <v>0</v>
          </cell>
          <cell r="AP263">
            <v>0</v>
          </cell>
        </row>
        <row r="264">
          <cell r="B264" t="str">
            <v>Jul 2015</v>
          </cell>
          <cell r="C264" t="str">
            <v>GS3</v>
          </cell>
          <cell r="D264" t="str">
            <v>GS3</v>
          </cell>
          <cell r="E264" t="str">
            <v>KUCME713</v>
          </cell>
          <cell r="F264">
            <v>0</v>
          </cell>
          <cell r="G264">
            <v>0</v>
          </cell>
          <cell r="H264">
            <v>0</v>
          </cell>
          <cell r="I264">
            <v>0</v>
          </cell>
          <cell r="J264">
            <v>0</v>
          </cell>
          <cell r="K264">
            <v>0</v>
          </cell>
          <cell r="L264">
            <v>0</v>
          </cell>
          <cell r="M264">
            <v>0</v>
          </cell>
          <cell r="AE264">
            <v>0</v>
          </cell>
          <cell r="AF264">
            <v>0</v>
          </cell>
          <cell r="AH264">
            <v>0</v>
          </cell>
          <cell r="AI264">
            <v>0</v>
          </cell>
          <cell r="AJ264">
            <v>0</v>
          </cell>
          <cell r="AK264">
            <v>0</v>
          </cell>
          <cell r="AL264">
            <v>0</v>
          </cell>
          <cell r="AM264">
            <v>0</v>
          </cell>
          <cell r="AP264">
            <v>0</v>
          </cell>
        </row>
        <row r="265">
          <cell r="B265" t="str">
            <v>Jul 2015</v>
          </cell>
          <cell r="C265" t="str">
            <v>CSR10</v>
          </cell>
          <cell r="D265" t="str">
            <v>CSR10</v>
          </cell>
          <cell r="E265" t="str">
            <v>KUCSR760</v>
          </cell>
          <cell r="F265">
            <v>0</v>
          </cell>
          <cell r="G265">
            <v>0</v>
          </cell>
          <cell r="H265">
            <v>0</v>
          </cell>
          <cell r="I265">
            <v>0</v>
          </cell>
          <cell r="J265">
            <v>0</v>
          </cell>
          <cell r="K265">
            <v>0</v>
          </cell>
          <cell r="L265">
            <v>0</v>
          </cell>
          <cell r="M265">
            <v>0</v>
          </cell>
          <cell r="AE265">
            <v>0</v>
          </cell>
          <cell r="AF265">
            <v>0</v>
          </cell>
          <cell r="AH265">
            <v>0</v>
          </cell>
          <cell r="AI265">
            <v>0</v>
          </cell>
          <cell r="AJ265">
            <v>0</v>
          </cell>
          <cell r="AK265">
            <v>0</v>
          </cell>
          <cell r="AL265">
            <v>-989829</v>
          </cell>
          <cell r="AM265">
            <v>-989829</v>
          </cell>
          <cell r="AP265">
            <v>0</v>
          </cell>
        </row>
        <row r="266">
          <cell r="B266" t="str">
            <v>Jul 2015</v>
          </cell>
          <cell r="C266" t="str">
            <v>CSR10</v>
          </cell>
          <cell r="D266" t="str">
            <v>CSR10</v>
          </cell>
          <cell r="E266" t="str">
            <v>KUCSR761</v>
          </cell>
          <cell r="F266">
            <v>0</v>
          </cell>
          <cell r="G266">
            <v>0</v>
          </cell>
          <cell r="H266">
            <v>0</v>
          </cell>
          <cell r="I266">
            <v>0</v>
          </cell>
          <cell r="J266">
            <v>0</v>
          </cell>
          <cell r="K266">
            <v>0</v>
          </cell>
          <cell r="L266">
            <v>0</v>
          </cell>
          <cell r="M266">
            <v>0</v>
          </cell>
          <cell r="AE266">
            <v>0</v>
          </cell>
          <cell r="AF266">
            <v>0</v>
          </cell>
          <cell r="AH266">
            <v>0</v>
          </cell>
          <cell r="AI266">
            <v>0</v>
          </cell>
          <cell r="AJ266">
            <v>0</v>
          </cell>
          <cell r="AK266">
            <v>0</v>
          </cell>
          <cell r="AL266">
            <v>0</v>
          </cell>
          <cell r="AM266">
            <v>0</v>
          </cell>
          <cell r="AP266">
            <v>0</v>
          </cell>
        </row>
        <row r="267">
          <cell r="B267" t="str">
            <v>Jul 2015</v>
          </cell>
          <cell r="C267" t="str">
            <v>CSR30</v>
          </cell>
          <cell r="D267" t="str">
            <v>CSR30</v>
          </cell>
          <cell r="E267" t="str">
            <v>KUCSR780</v>
          </cell>
          <cell r="F267">
            <v>0</v>
          </cell>
          <cell r="G267">
            <v>0</v>
          </cell>
          <cell r="H267">
            <v>0</v>
          </cell>
          <cell r="I267">
            <v>0</v>
          </cell>
          <cell r="J267">
            <v>0</v>
          </cell>
          <cell r="K267">
            <v>0</v>
          </cell>
          <cell r="L267">
            <v>0</v>
          </cell>
          <cell r="M267">
            <v>0</v>
          </cell>
          <cell r="AE267">
            <v>0</v>
          </cell>
          <cell r="AF267">
            <v>0</v>
          </cell>
          <cell r="AH267">
            <v>0</v>
          </cell>
          <cell r="AI267">
            <v>0</v>
          </cell>
          <cell r="AJ267">
            <v>0</v>
          </cell>
          <cell r="AK267">
            <v>0</v>
          </cell>
          <cell r="AL267">
            <v>0</v>
          </cell>
          <cell r="AM267">
            <v>0</v>
          </cell>
          <cell r="AP267">
            <v>0</v>
          </cell>
        </row>
        <row r="268">
          <cell r="B268" t="str">
            <v>Jul 2015</v>
          </cell>
          <cell r="C268" t="str">
            <v>CSR30</v>
          </cell>
          <cell r="D268" t="str">
            <v>CSR30</v>
          </cell>
          <cell r="E268" t="str">
            <v>KUCSR781</v>
          </cell>
          <cell r="F268">
            <v>0</v>
          </cell>
          <cell r="G268">
            <v>0</v>
          </cell>
          <cell r="H268">
            <v>0</v>
          </cell>
          <cell r="I268">
            <v>0</v>
          </cell>
          <cell r="J268">
            <v>0</v>
          </cell>
          <cell r="K268">
            <v>0</v>
          </cell>
          <cell r="L268">
            <v>0</v>
          </cell>
          <cell r="M268">
            <v>0</v>
          </cell>
          <cell r="AE268">
            <v>0</v>
          </cell>
          <cell r="AF268">
            <v>0</v>
          </cell>
          <cell r="AH268">
            <v>0</v>
          </cell>
          <cell r="AI268">
            <v>0</v>
          </cell>
          <cell r="AJ268">
            <v>0</v>
          </cell>
          <cell r="AK268">
            <v>0</v>
          </cell>
          <cell r="AL268">
            <v>0</v>
          </cell>
          <cell r="AM268">
            <v>0</v>
          </cell>
          <cell r="AP268">
            <v>0</v>
          </cell>
        </row>
        <row r="269">
          <cell r="B269" t="str">
            <v>Jul 2015</v>
          </cell>
          <cell r="C269" t="str">
            <v>CSR30</v>
          </cell>
          <cell r="D269" t="str">
            <v>CSR30</v>
          </cell>
          <cell r="E269" t="str">
            <v>KUCSR783</v>
          </cell>
          <cell r="F269">
            <v>0</v>
          </cell>
          <cell r="G269">
            <v>0</v>
          </cell>
          <cell r="H269">
            <v>0</v>
          </cell>
          <cell r="I269">
            <v>0</v>
          </cell>
          <cell r="J269">
            <v>0</v>
          </cell>
          <cell r="K269">
            <v>0</v>
          </cell>
          <cell r="L269">
            <v>0</v>
          </cell>
          <cell r="M269">
            <v>0</v>
          </cell>
          <cell r="AE269">
            <v>0</v>
          </cell>
          <cell r="AF269">
            <v>0</v>
          </cell>
          <cell r="AH269">
            <v>0</v>
          </cell>
          <cell r="AI269">
            <v>0</v>
          </cell>
          <cell r="AJ269">
            <v>0</v>
          </cell>
          <cell r="AK269">
            <v>0</v>
          </cell>
          <cell r="AL269">
            <v>0</v>
          </cell>
          <cell r="AM269">
            <v>0</v>
          </cell>
          <cell r="AP269">
            <v>0</v>
          </cell>
        </row>
        <row r="270">
          <cell r="B270" t="str">
            <v>Jul 2015</v>
          </cell>
          <cell r="C270" t="str">
            <v>FLS</v>
          </cell>
          <cell r="D270" t="str">
            <v>FLST</v>
          </cell>
          <cell r="E270" t="str">
            <v>KUINE730</v>
          </cell>
          <cell r="F270">
            <v>1</v>
          </cell>
          <cell r="G270">
            <v>0</v>
          </cell>
          <cell r="H270">
            <v>0</v>
          </cell>
          <cell r="I270">
            <v>0</v>
          </cell>
          <cell r="J270">
            <v>44549469</v>
          </cell>
          <cell r="K270">
            <v>185158</v>
          </cell>
          <cell r="L270">
            <v>185158</v>
          </cell>
          <cell r="M270">
            <v>101388</v>
          </cell>
          <cell r="AE270">
            <v>2173709.3199999998</v>
          </cell>
          <cell r="AF270">
            <v>2173708</v>
          </cell>
          <cell r="AH270">
            <v>87407</v>
          </cell>
          <cell r="AI270">
            <v>0</v>
          </cell>
          <cell r="AJ270">
            <v>191125</v>
          </cell>
          <cell r="AK270">
            <v>0</v>
          </cell>
          <cell r="AL270">
            <v>0</v>
          </cell>
          <cell r="AM270">
            <v>2452240</v>
          </cell>
          <cell r="AP270">
            <v>1288370.6399999999</v>
          </cell>
        </row>
        <row r="271">
          <cell r="B271" t="str">
            <v>Jul 2015</v>
          </cell>
          <cell r="C271" t="str">
            <v>RS</v>
          </cell>
          <cell r="D271" t="str">
            <v>RS</v>
          </cell>
          <cell r="E271" t="str">
            <v>KURSE010</v>
          </cell>
          <cell r="F271">
            <v>429309</v>
          </cell>
          <cell r="G271">
            <v>0</v>
          </cell>
          <cell r="H271">
            <v>0</v>
          </cell>
          <cell r="I271">
            <v>0</v>
          </cell>
          <cell r="J271">
            <v>564329531</v>
          </cell>
          <cell r="K271">
            <v>0</v>
          </cell>
          <cell r="L271">
            <v>0</v>
          </cell>
          <cell r="M271">
            <v>0</v>
          </cell>
          <cell r="AE271">
            <v>48316750.630000003</v>
          </cell>
          <cell r="AF271">
            <v>48317381</v>
          </cell>
          <cell r="AH271">
            <v>1107246</v>
          </cell>
          <cell r="AI271">
            <v>830864</v>
          </cell>
          <cell r="AJ271">
            <v>2421100</v>
          </cell>
          <cell r="AK271">
            <v>0</v>
          </cell>
          <cell r="AL271">
            <v>0</v>
          </cell>
          <cell r="AM271">
            <v>52676591</v>
          </cell>
          <cell r="AP271">
            <v>16320410.039999999</v>
          </cell>
        </row>
        <row r="272">
          <cell r="B272" t="str">
            <v>Jul 2015</v>
          </cell>
          <cell r="C272" t="str">
            <v>RS</v>
          </cell>
          <cell r="D272" t="str">
            <v>RS</v>
          </cell>
          <cell r="E272" t="str">
            <v>KURSE020</v>
          </cell>
          <cell r="F272">
            <v>0</v>
          </cell>
          <cell r="G272">
            <v>0</v>
          </cell>
          <cell r="H272">
            <v>0</v>
          </cell>
          <cell r="I272">
            <v>0</v>
          </cell>
          <cell r="J272">
            <v>0</v>
          </cell>
          <cell r="K272">
            <v>0</v>
          </cell>
          <cell r="L272">
            <v>0</v>
          </cell>
          <cell r="M272">
            <v>0</v>
          </cell>
          <cell r="AE272">
            <v>0</v>
          </cell>
          <cell r="AF272">
            <v>0</v>
          </cell>
          <cell r="AH272">
            <v>0</v>
          </cell>
          <cell r="AI272">
            <v>0</v>
          </cell>
          <cell r="AJ272">
            <v>0</v>
          </cell>
          <cell r="AK272">
            <v>0</v>
          </cell>
          <cell r="AL272">
            <v>0</v>
          </cell>
          <cell r="AM272">
            <v>0</v>
          </cell>
          <cell r="AP272">
            <v>0</v>
          </cell>
        </row>
        <row r="273">
          <cell r="B273" t="str">
            <v>Jul 2015</v>
          </cell>
          <cell r="C273" t="str">
            <v>RS</v>
          </cell>
          <cell r="D273" t="str">
            <v>RS</v>
          </cell>
          <cell r="E273" t="str">
            <v>KURSE025</v>
          </cell>
          <cell r="F273">
            <v>0</v>
          </cell>
          <cell r="G273">
            <v>0</v>
          </cell>
          <cell r="H273">
            <v>0</v>
          </cell>
          <cell r="I273">
            <v>0</v>
          </cell>
          <cell r="J273">
            <v>0</v>
          </cell>
          <cell r="K273">
            <v>0</v>
          </cell>
          <cell r="L273">
            <v>0</v>
          </cell>
          <cell r="M273">
            <v>0</v>
          </cell>
          <cell r="AE273">
            <v>0</v>
          </cell>
          <cell r="AF273">
            <v>0</v>
          </cell>
          <cell r="AH273">
            <v>0</v>
          </cell>
          <cell r="AI273">
            <v>0</v>
          </cell>
          <cell r="AJ273">
            <v>0</v>
          </cell>
          <cell r="AK273">
            <v>0</v>
          </cell>
          <cell r="AL273">
            <v>0</v>
          </cell>
          <cell r="AM273">
            <v>0</v>
          </cell>
          <cell r="AP273">
            <v>0</v>
          </cell>
        </row>
        <row r="274">
          <cell r="B274" t="str">
            <v>Jul 2015</v>
          </cell>
          <cell r="C274" t="str">
            <v>LEV</v>
          </cell>
          <cell r="D274" t="str">
            <v>RSLEV</v>
          </cell>
          <cell r="E274" t="str">
            <v>KURSE040</v>
          </cell>
          <cell r="F274">
            <v>7</v>
          </cell>
          <cell r="G274">
            <v>5297</v>
          </cell>
          <cell r="H274">
            <v>1092</v>
          </cell>
          <cell r="I274">
            <v>767</v>
          </cell>
          <cell r="J274">
            <v>7156</v>
          </cell>
          <cell r="K274">
            <v>0</v>
          </cell>
          <cell r="L274">
            <v>0</v>
          </cell>
          <cell r="M274">
            <v>0</v>
          </cell>
          <cell r="AE274">
            <v>565.62</v>
          </cell>
          <cell r="AF274">
            <v>0</v>
          </cell>
          <cell r="AH274">
            <v>0</v>
          </cell>
          <cell r="AI274">
            <v>0</v>
          </cell>
          <cell r="AJ274">
            <v>0</v>
          </cell>
          <cell r="AK274">
            <v>0</v>
          </cell>
          <cell r="AL274">
            <v>0</v>
          </cell>
          <cell r="AM274">
            <v>0</v>
          </cell>
          <cell r="AP274">
            <v>206.95</v>
          </cell>
        </row>
        <row r="275">
          <cell r="B275" t="str">
            <v>Jul 2015</v>
          </cell>
          <cell r="C275" t="str">
            <v>RS</v>
          </cell>
          <cell r="D275" t="str">
            <v>RSVFD</v>
          </cell>
          <cell r="E275" t="str">
            <v>KURSE080</v>
          </cell>
          <cell r="F275">
            <v>0</v>
          </cell>
          <cell r="G275">
            <v>0</v>
          </cell>
          <cell r="H275">
            <v>0</v>
          </cell>
          <cell r="I275">
            <v>0</v>
          </cell>
          <cell r="J275">
            <v>0</v>
          </cell>
          <cell r="K275">
            <v>0</v>
          </cell>
          <cell r="L275">
            <v>0</v>
          </cell>
          <cell r="M275">
            <v>0</v>
          </cell>
          <cell r="AE275">
            <v>0</v>
          </cell>
          <cell r="AF275">
            <v>0</v>
          </cell>
          <cell r="AH275">
            <v>0</v>
          </cell>
          <cell r="AI275">
            <v>0</v>
          </cell>
          <cell r="AJ275">
            <v>0</v>
          </cell>
          <cell r="AK275">
            <v>0</v>
          </cell>
          <cell r="AL275">
            <v>0</v>
          </cell>
          <cell r="AM275">
            <v>0</v>
          </cell>
          <cell r="AP275">
            <v>0</v>
          </cell>
        </row>
        <row r="276">
          <cell r="B276" t="str">
            <v>Jul 2015</v>
          </cell>
          <cell r="C276" t="str">
            <v>RS</v>
          </cell>
          <cell r="D276" t="str">
            <v>RS</v>
          </cell>
          <cell r="E276" t="str">
            <v>KURSE715</v>
          </cell>
          <cell r="F276">
            <v>0</v>
          </cell>
          <cell r="G276">
            <v>0</v>
          </cell>
          <cell r="H276">
            <v>0</v>
          </cell>
          <cell r="I276">
            <v>0</v>
          </cell>
          <cell r="J276">
            <v>0</v>
          </cell>
          <cell r="K276">
            <v>0</v>
          </cell>
          <cell r="L276">
            <v>0</v>
          </cell>
          <cell r="M276">
            <v>0</v>
          </cell>
          <cell r="AE276">
            <v>0</v>
          </cell>
          <cell r="AF276">
            <v>0</v>
          </cell>
          <cell r="AH276">
            <v>0</v>
          </cell>
          <cell r="AI276">
            <v>0</v>
          </cell>
          <cell r="AJ276">
            <v>0</v>
          </cell>
          <cell r="AK276">
            <v>0</v>
          </cell>
          <cell r="AL276">
            <v>0</v>
          </cell>
          <cell r="AM276">
            <v>0</v>
          </cell>
          <cell r="AP276">
            <v>0</v>
          </cell>
        </row>
        <row r="277">
          <cell r="B277" t="str">
            <v>Aug 2015</v>
          </cell>
          <cell r="C277" t="str">
            <v>RTS</v>
          </cell>
          <cell r="D277" t="str">
            <v>RTS</v>
          </cell>
          <cell r="E277" t="str">
            <v>KUCIE550</v>
          </cell>
          <cell r="F277">
            <v>32</v>
          </cell>
          <cell r="G277">
            <v>0</v>
          </cell>
          <cell r="H277">
            <v>0</v>
          </cell>
          <cell r="I277">
            <v>0</v>
          </cell>
          <cell r="J277">
            <v>138340919</v>
          </cell>
          <cell r="K277">
            <v>292761</v>
          </cell>
          <cell r="L277">
            <v>277929</v>
          </cell>
          <cell r="M277">
            <v>277013</v>
          </cell>
          <cell r="AE277">
            <v>7341006.580000001</v>
          </cell>
          <cell r="AF277">
            <v>7341007</v>
          </cell>
          <cell r="AH277">
            <v>296729</v>
          </cell>
          <cell r="AI277">
            <v>0</v>
          </cell>
          <cell r="AJ277">
            <v>585927</v>
          </cell>
          <cell r="AK277">
            <v>0</v>
          </cell>
          <cell r="AL277">
            <v>0</v>
          </cell>
          <cell r="AM277">
            <v>8223663</v>
          </cell>
          <cell r="AP277">
            <v>4000819.38</v>
          </cell>
        </row>
        <row r="278">
          <cell r="B278" t="str">
            <v>Aug 2015</v>
          </cell>
          <cell r="C278" t="str">
            <v>PSP</v>
          </cell>
          <cell r="D278" t="str">
            <v>PSP</v>
          </cell>
          <cell r="E278" t="str">
            <v>KUCIE561</v>
          </cell>
          <cell r="F278">
            <v>202</v>
          </cell>
          <cell r="G278">
            <v>0</v>
          </cell>
          <cell r="H278">
            <v>0</v>
          </cell>
          <cell r="I278">
            <v>0</v>
          </cell>
          <cell r="J278">
            <v>22727624</v>
          </cell>
          <cell r="K278">
            <v>0</v>
          </cell>
          <cell r="L278">
            <v>0</v>
          </cell>
          <cell r="M278">
            <v>62186</v>
          </cell>
          <cell r="AE278">
            <v>1794100.0499999998</v>
          </cell>
          <cell r="AF278">
            <v>1794105</v>
          </cell>
          <cell r="AH278">
            <v>48749</v>
          </cell>
          <cell r="AI278">
            <v>41836</v>
          </cell>
          <cell r="AJ278">
            <v>96260</v>
          </cell>
          <cell r="AK278">
            <v>0</v>
          </cell>
          <cell r="AL278">
            <v>0</v>
          </cell>
          <cell r="AM278">
            <v>1980950</v>
          </cell>
          <cell r="AP278">
            <v>657282.89</v>
          </cell>
        </row>
        <row r="279">
          <cell r="B279" t="str">
            <v>Aug 2015</v>
          </cell>
          <cell r="C279" t="str">
            <v>PSS</v>
          </cell>
          <cell r="D279" t="str">
            <v>PSS</v>
          </cell>
          <cell r="E279" t="str">
            <v>KUCIE562</v>
          </cell>
          <cell r="F279">
            <v>4700</v>
          </cell>
          <cell r="G279">
            <v>0</v>
          </cell>
          <cell r="H279">
            <v>0</v>
          </cell>
          <cell r="I279">
            <v>0</v>
          </cell>
          <cell r="J279">
            <v>209413425</v>
          </cell>
          <cell r="K279">
            <v>0</v>
          </cell>
          <cell r="L279">
            <v>0</v>
          </cell>
          <cell r="M279">
            <v>683205</v>
          </cell>
          <cell r="AE279">
            <v>18339530.969999999</v>
          </cell>
          <cell r="AF279">
            <v>18339535</v>
          </cell>
          <cell r="AH279">
            <v>449173</v>
          </cell>
          <cell r="AI279">
            <v>385480</v>
          </cell>
          <cell r="AJ279">
            <v>886946</v>
          </cell>
          <cell r="AK279">
            <v>0</v>
          </cell>
          <cell r="AL279">
            <v>0</v>
          </cell>
          <cell r="AM279">
            <v>20061134</v>
          </cell>
          <cell r="AP279">
            <v>6056236.25</v>
          </cell>
        </row>
        <row r="280">
          <cell r="B280" t="str">
            <v>Aug 2015</v>
          </cell>
          <cell r="C280" t="str">
            <v>TODP</v>
          </cell>
          <cell r="D280" t="str">
            <v>TODP</v>
          </cell>
          <cell r="E280" t="str">
            <v>KUCIE563</v>
          </cell>
          <cell r="F280">
            <v>52</v>
          </cell>
          <cell r="G280">
            <v>0</v>
          </cell>
          <cell r="H280">
            <v>0</v>
          </cell>
          <cell r="I280">
            <v>0</v>
          </cell>
          <cell r="J280">
            <v>280193456</v>
          </cell>
          <cell r="K280">
            <v>563206</v>
          </cell>
          <cell r="L280">
            <v>550095</v>
          </cell>
          <cell r="M280">
            <v>544359</v>
          </cell>
          <cell r="AE280">
            <v>15365197.419999998</v>
          </cell>
          <cell r="AF280">
            <v>15365200</v>
          </cell>
          <cell r="AH280">
            <v>600989</v>
          </cell>
          <cell r="AI280">
            <v>515769</v>
          </cell>
          <cell r="AJ280">
            <v>1186726</v>
          </cell>
          <cell r="AK280">
            <v>0</v>
          </cell>
          <cell r="AL280">
            <v>0</v>
          </cell>
          <cell r="AM280">
            <v>17668684</v>
          </cell>
          <cell r="AP280">
            <v>8103194.75</v>
          </cell>
        </row>
        <row r="281">
          <cell r="B281" t="str">
            <v>Aug 2015</v>
          </cell>
          <cell r="C281" t="str">
            <v>PSP</v>
          </cell>
          <cell r="D281" t="str">
            <v>PSP</v>
          </cell>
          <cell r="E281" t="str">
            <v>KUCIE566</v>
          </cell>
          <cell r="F281">
            <v>0</v>
          </cell>
          <cell r="G281">
            <v>0</v>
          </cell>
          <cell r="H281">
            <v>0</v>
          </cell>
          <cell r="I281">
            <v>0</v>
          </cell>
          <cell r="J281">
            <v>0</v>
          </cell>
          <cell r="K281">
            <v>0</v>
          </cell>
          <cell r="L281">
            <v>0</v>
          </cell>
          <cell r="M281">
            <v>0</v>
          </cell>
          <cell r="AE281">
            <v>0</v>
          </cell>
          <cell r="AF281">
            <v>0</v>
          </cell>
          <cell r="AH281">
            <v>0</v>
          </cell>
          <cell r="AI281">
            <v>0</v>
          </cell>
          <cell r="AJ281">
            <v>0</v>
          </cell>
          <cell r="AK281">
            <v>0</v>
          </cell>
          <cell r="AL281">
            <v>0</v>
          </cell>
          <cell r="AM281">
            <v>0</v>
          </cell>
          <cell r="AP281">
            <v>0</v>
          </cell>
        </row>
        <row r="282">
          <cell r="B282" t="str">
            <v>Aug 2015</v>
          </cell>
          <cell r="C282" t="str">
            <v>PSS</v>
          </cell>
          <cell r="D282" t="str">
            <v>PSS</v>
          </cell>
          <cell r="E282" t="str">
            <v>KUCIE568</v>
          </cell>
          <cell r="F282">
            <v>0</v>
          </cell>
          <cell r="G282">
            <v>0</v>
          </cell>
          <cell r="H282">
            <v>0</v>
          </cell>
          <cell r="I282">
            <v>0</v>
          </cell>
          <cell r="J282">
            <v>0</v>
          </cell>
          <cell r="K282">
            <v>0</v>
          </cell>
          <cell r="L282">
            <v>0</v>
          </cell>
          <cell r="M282">
            <v>0</v>
          </cell>
          <cell r="AE282">
            <v>0</v>
          </cell>
          <cell r="AF282">
            <v>0</v>
          </cell>
          <cell r="AH282">
            <v>0</v>
          </cell>
          <cell r="AI282">
            <v>0</v>
          </cell>
          <cell r="AJ282">
            <v>0</v>
          </cell>
          <cell r="AK282">
            <v>0</v>
          </cell>
          <cell r="AL282">
            <v>0</v>
          </cell>
          <cell r="AM282">
            <v>0</v>
          </cell>
          <cell r="AP282">
            <v>0</v>
          </cell>
        </row>
        <row r="283">
          <cell r="B283" t="str">
            <v>Aug 2015</v>
          </cell>
          <cell r="C283" t="str">
            <v>TODP</v>
          </cell>
          <cell r="D283" t="str">
            <v>TODP</v>
          </cell>
          <cell r="E283" t="str">
            <v>KUCIE571</v>
          </cell>
          <cell r="F283">
            <v>196</v>
          </cell>
          <cell r="G283">
            <v>0</v>
          </cell>
          <cell r="H283">
            <v>0</v>
          </cell>
          <cell r="I283">
            <v>0</v>
          </cell>
          <cell r="J283">
            <v>116583613</v>
          </cell>
          <cell r="K283">
            <v>296542</v>
          </cell>
          <cell r="L283">
            <v>283712</v>
          </cell>
          <cell r="M283">
            <v>275127</v>
          </cell>
          <cell r="AE283">
            <v>6910345.9900000002</v>
          </cell>
          <cell r="AF283">
            <v>6910349</v>
          </cell>
          <cell r="AH283">
            <v>250061</v>
          </cell>
          <cell r="AI283">
            <v>214603</v>
          </cell>
          <cell r="AJ283">
            <v>493776</v>
          </cell>
          <cell r="AK283">
            <v>0</v>
          </cell>
          <cell r="AL283">
            <v>0</v>
          </cell>
          <cell r="AM283">
            <v>7868789</v>
          </cell>
          <cell r="AP283">
            <v>3371598.09</v>
          </cell>
        </row>
        <row r="284">
          <cell r="B284" t="str">
            <v>Aug 2015</v>
          </cell>
          <cell r="C284" t="str">
            <v>TODS</v>
          </cell>
          <cell r="D284" t="str">
            <v>TODS</v>
          </cell>
          <cell r="E284" t="str">
            <v>KUCIE572</v>
          </cell>
          <cell r="F284">
            <v>462</v>
          </cell>
          <cell r="G284">
            <v>0</v>
          </cell>
          <cell r="H284">
            <v>0</v>
          </cell>
          <cell r="I284">
            <v>0</v>
          </cell>
          <cell r="J284">
            <v>151711802</v>
          </cell>
          <cell r="K284">
            <v>367858</v>
          </cell>
          <cell r="L284">
            <v>343442</v>
          </cell>
          <cell r="M284">
            <v>336756</v>
          </cell>
          <cell r="AE284">
            <v>9693525.9500000011</v>
          </cell>
          <cell r="AF284">
            <v>9693526</v>
          </cell>
          <cell r="AH284">
            <v>325408</v>
          </cell>
          <cell r="AI284">
            <v>279265</v>
          </cell>
          <cell r="AJ284">
            <v>642557</v>
          </cell>
          <cell r="AK284">
            <v>0</v>
          </cell>
          <cell r="AL284">
            <v>0</v>
          </cell>
          <cell r="AM284">
            <v>10940756</v>
          </cell>
          <cell r="AP284">
            <v>4387505.3099999996</v>
          </cell>
        </row>
        <row r="285">
          <cell r="B285" t="str">
            <v>Aug 2015</v>
          </cell>
          <cell r="C285" t="str">
            <v>PSS</v>
          </cell>
          <cell r="D285" t="str">
            <v>PSS</v>
          </cell>
          <cell r="E285" t="str">
            <v>KUCIE717</v>
          </cell>
          <cell r="F285">
            <v>0</v>
          </cell>
          <cell r="G285">
            <v>0</v>
          </cell>
          <cell r="H285">
            <v>0</v>
          </cell>
          <cell r="I285">
            <v>0</v>
          </cell>
          <cell r="J285">
            <v>0</v>
          </cell>
          <cell r="K285">
            <v>0</v>
          </cell>
          <cell r="L285">
            <v>0</v>
          </cell>
          <cell r="M285">
            <v>0</v>
          </cell>
          <cell r="AE285">
            <v>0</v>
          </cell>
          <cell r="AF285">
            <v>0</v>
          </cell>
          <cell r="AH285">
            <v>0</v>
          </cell>
          <cell r="AI285">
            <v>0</v>
          </cell>
          <cell r="AJ285">
            <v>0</v>
          </cell>
          <cell r="AK285">
            <v>0</v>
          </cell>
          <cell r="AL285">
            <v>0</v>
          </cell>
          <cell r="AM285">
            <v>0</v>
          </cell>
          <cell r="AP285">
            <v>0</v>
          </cell>
        </row>
        <row r="286">
          <cell r="B286" t="str">
            <v>Aug 2015</v>
          </cell>
          <cell r="C286" t="str">
            <v>GS</v>
          </cell>
          <cell r="D286" t="str">
            <v>GS</v>
          </cell>
          <cell r="E286" t="str">
            <v>KUCME110</v>
          </cell>
          <cell r="F286">
            <v>63498</v>
          </cell>
          <cell r="G286">
            <v>0</v>
          </cell>
          <cell r="H286">
            <v>0</v>
          </cell>
          <cell r="I286">
            <v>0</v>
          </cell>
          <cell r="J286">
            <v>73848581</v>
          </cell>
          <cell r="K286">
            <v>0</v>
          </cell>
          <cell r="L286">
            <v>0</v>
          </cell>
          <cell r="M286">
            <v>0</v>
          </cell>
          <cell r="AE286">
            <v>8082491.5999999996</v>
          </cell>
          <cell r="AF286">
            <v>8082499</v>
          </cell>
          <cell r="AH286">
            <v>158398</v>
          </cell>
          <cell r="AI286">
            <v>135938</v>
          </cell>
          <cell r="AJ286">
            <v>312777</v>
          </cell>
          <cell r="AK286">
            <v>0</v>
          </cell>
          <cell r="AL286">
            <v>0</v>
          </cell>
          <cell r="AM286">
            <v>8689612</v>
          </cell>
          <cell r="AP286">
            <v>2135700.96</v>
          </cell>
        </row>
        <row r="287">
          <cell r="B287" t="str">
            <v>Aug 2015</v>
          </cell>
          <cell r="C287" t="str">
            <v>GS</v>
          </cell>
          <cell r="D287" t="str">
            <v>GS</v>
          </cell>
          <cell r="E287" t="str">
            <v>KUCME112</v>
          </cell>
          <cell r="F287">
            <v>0</v>
          </cell>
          <cell r="G287">
            <v>0</v>
          </cell>
          <cell r="H287">
            <v>0</v>
          </cell>
          <cell r="I287">
            <v>0</v>
          </cell>
          <cell r="J287">
            <v>0</v>
          </cell>
          <cell r="K287">
            <v>0</v>
          </cell>
          <cell r="L287">
            <v>0</v>
          </cell>
          <cell r="M287">
            <v>0</v>
          </cell>
          <cell r="AE287">
            <v>0</v>
          </cell>
          <cell r="AF287">
            <v>0</v>
          </cell>
          <cell r="AH287">
            <v>0</v>
          </cell>
          <cell r="AI287">
            <v>0</v>
          </cell>
          <cell r="AJ287">
            <v>0</v>
          </cell>
          <cell r="AK287">
            <v>0</v>
          </cell>
          <cell r="AL287">
            <v>0</v>
          </cell>
          <cell r="AM287">
            <v>0</v>
          </cell>
          <cell r="AP287">
            <v>0</v>
          </cell>
        </row>
        <row r="288">
          <cell r="B288" t="str">
            <v>Aug 2015</v>
          </cell>
          <cell r="C288" t="str">
            <v>GS3</v>
          </cell>
          <cell r="D288" t="str">
            <v>GS3</v>
          </cell>
          <cell r="E288" t="str">
            <v>KUCME113</v>
          </cell>
          <cell r="F288">
            <v>18562</v>
          </cell>
          <cell r="G288">
            <v>0</v>
          </cell>
          <cell r="H288">
            <v>0</v>
          </cell>
          <cell r="I288">
            <v>0</v>
          </cell>
          <cell r="J288">
            <v>108396952</v>
          </cell>
          <cell r="K288">
            <v>388709</v>
          </cell>
          <cell r="L288">
            <v>0</v>
          </cell>
          <cell r="M288">
            <v>0</v>
          </cell>
          <cell r="AE288">
            <v>10649288.82</v>
          </cell>
          <cell r="AF288">
            <v>10649275</v>
          </cell>
          <cell r="AH288">
            <v>232502</v>
          </cell>
          <cell r="AI288">
            <v>199533</v>
          </cell>
          <cell r="AJ288">
            <v>459103</v>
          </cell>
          <cell r="AK288">
            <v>0</v>
          </cell>
          <cell r="AL288">
            <v>0</v>
          </cell>
          <cell r="AM288">
            <v>11540413</v>
          </cell>
          <cell r="AP288">
            <v>3134839.85</v>
          </cell>
        </row>
        <row r="289">
          <cell r="B289" t="str">
            <v>Aug 2015</v>
          </cell>
          <cell r="C289" t="str">
            <v>AES</v>
          </cell>
          <cell r="D289" t="str">
            <v>AES</v>
          </cell>
          <cell r="E289" t="str">
            <v>KUCME220</v>
          </cell>
          <cell r="F289">
            <v>376</v>
          </cell>
          <cell r="G289">
            <v>0</v>
          </cell>
          <cell r="H289">
            <v>0</v>
          </cell>
          <cell r="I289">
            <v>0</v>
          </cell>
          <cell r="J289">
            <v>629511</v>
          </cell>
          <cell r="K289">
            <v>0</v>
          </cell>
          <cell r="L289">
            <v>0</v>
          </cell>
          <cell r="M289">
            <v>0</v>
          </cell>
          <cell r="AE289">
            <v>54355.62</v>
          </cell>
          <cell r="AF289">
            <v>54356</v>
          </cell>
          <cell r="AH289">
            <v>1350</v>
          </cell>
          <cell r="AI289">
            <v>1159</v>
          </cell>
          <cell r="AJ289">
            <v>2666</v>
          </cell>
          <cell r="AK289">
            <v>0</v>
          </cell>
          <cell r="AL289">
            <v>0</v>
          </cell>
          <cell r="AM289">
            <v>59531</v>
          </cell>
          <cell r="AP289">
            <v>18205.46</v>
          </cell>
        </row>
        <row r="290">
          <cell r="B290" t="str">
            <v>Aug 2015</v>
          </cell>
          <cell r="C290" t="str">
            <v>AES</v>
          </cell>
          <cell r="D290" t="str">
            <v>AES</v>
          </cell>
          <cell r="E290" t="str">
            <v>KUCME221</v>
          </cell>
          <cell r="F290">
            <v>0</v>
          </cell>
          <cell r="G290">
            <v>0</v>
          </cell>
          <cell r="H290">
            <v>0</v>
          </cell>
          <cell r="I290">
            <v>0</v>
          </cell>
          <cell r="J290">
            <v>0</v>
          </cell>
          <cell r="K290">
            <v>0</v>
          </cell>
          <cell r="L290">
            <v>0</v>
          </cell>
          <cell r="M290">
            <v>0</v>
          </cell>
          <cell r="AE290">
            <v>0</v>
          </cell>
          <cell r="AF290">
            <v>0</v>
          </cell>
          <cell r="AH290">
            <v>0</v>
          </cell>
          <cell r="AI290">
            <v>0</v>
          </cell>
          <cell r="AJ290">
            <v>0</v>
          </cell>
          <cell r="AK290">
            <v>0</v>
          </cell>
          <cell r="AL290">
            <v>0</v>
          </cell>
          <cell r="AM290">
            <v>0</v>
          </cell>
          <cell r="AP290">
            <v>0</v>
          </cell>
        </row>
        <row r="291">
          <cell r="B291" t="str">
            <v>Aug 2015</v>
          </cell>
          <cell r="C291" t="str">
            <v>AES3</v>
          </cell>
          <cell r="D291" t="str">
            <v>AES3</v>
          </cell>
          <cell r="E291" t="str">
            <v>KUCME223</v>
          </cell>
          <cell r="F291">
            <v>0</v>
          </cell>
          <cell r="G291">
            <v>0</v>
          </cell>
          <cell r="H291">
            <v>0</v>
          </cell>
          <cell r="I291">
            <v>0</v>
          </cell>
          <cell r="J291">
            <v>0</v>
          </cell>
          <cell r="K291">
            <v>0</v>
          </cell>
          <cell r="L291">
            <v>0</v>
          </cell>
          <cell r="M291">
            <v>0</v>
          </cell>
          <cell r="AE291">
            <v>0</v>
          </cell>
          <cell r="AF291">
            <v>0</v>
          </cell>
          <cell r="AH291">
            <v>0</v>
          </cell>
          <cell r="AI291">
            <v>0</v>
          </cell>
          <cell r="AJ291">
            <v>0</v>
          </cell>
          <cell r="AK291">
            <v>0</v>
          </cell>
          <cell r="AL291">
            <v>0</v>
          </cell>
          <cell r="AM291">
            <v>0</v>
          </cell>
          <cell r="AP291">
            <v>0</v>
          </cell>
        </row>
        <row r="292">
          <cell r="B292" t="str">
            <v>Aug 2015</v>
          </cell>
          <cell r="C292" t="str">
            <v>AES3</v>
          </cell>
          <cell r="D292" t="str">
            <v>AES3</v>
          </cell>
          <cell r="E292" t="str">
            <v>KUCME224</v>
          </cell>
          <cell r="F292">
            <v>261</v>
          </cell>
          <cell r="G292">
            <v>0</v>
          </cell>
          <cell r="H292">
            <v>0</v>
          </cell>
          <cell r="I292">
            <v>0</v>
          </cell>
          <cell r="J292">
            <v>11667674</v>
          </cell>
          <cell r="K292">
            <v>44048</v>
          </cell>
          <cell r="L292">
            <v>0</v>
          </cell>
          <cell r="M292">
            <v>0</v>
          </cell>
          <cell r="AE292">
            <v>877209.95</v>
          </cell>
          <cell r="AF292">
            <v>877211</v>
          </cell>
          <cell r="AH292">
            <v>25026</v>
          </cell>
          <cell r="AI292">
            <v>21477</v>
          </cell>
          <cell r="AJ292">
            <v>49417</v>
          </cell>
          <cell r="AK292">
            <v>0</v>
          </cell>
          <cell r="AL292">
            <v>0</v>
          </cell>
          <cell r="AM292">
            <v>973131</v>
          </cell>
          <cell r="AP292">
            <v>337429.13</v>
          </cell>
        </row>
        <row r="293">
          <cell r="B293" t="str">
            <v>Aug 2015</v>
          </cell>
          <cell r="C293" t="str">
            <v>AES3</v>
          </cell>
          <cell r="D293" t="str">
            <v>AES3</v>
          </cell>
          <cell r="E293" t="str">
            <v>KUCME225</v>
          </cell>
          <cell r="F293">
            <v>0</v>
          </cell>
          <cell r="G293">
            <v>0</v>
          </cell>
          <cell r="H293">
            <v>0</v>
          </cell>
          <cell r="I293">
            <v>0</v>
          </cell>
          <cell r="J293">
            <v>0</v>
          </cell>
          <cell r="K293">
            <v>0</v>
          </cell>
          <cell r="L293">
            <v>0</v>
          </cell>
          <cell r="M293">
            <v>0</v>
          </cell>
          <cell r="AE293">
            <v>0</v>
          </cell>
          <cell r="AF293">
            <v>0</v>
          </cell>
          <cell r="AH293">
            <v>0</v>
          </cell>
          <cell r="AI293">
            <v>0</v>
          </cell>
          <cell r="AJ293">
            <v>0</v>
          </cell>
          <cell r="AK293">
            <v>0</v>
          </cell>
          <cell r="AL293">
            <v>0</v>
          </cell>
          <cell r="AM293">
            <v>0</v>
          </cell>
          <cell r="AP293">
            <v>0</v>
          </cell>
        </row>
        <row r="294">
          <cell r="B294" t="str">
            <v>Aug 2015</v>
          </cell>
          <cell r="C294" t="str">
            <v>AES</v>
          </cell>
          <cell r="D294" t="str">
            <v>AES</v>
          </cell>
          <cell r="E294" t="str">
            <v>KUCME226</v>
          </cell>
          <cell r="F294">
            <v>0</v>
          </cell>
          <cell r="G294">
            <v>0</v>
          </cell>
          <cell r="H294">
            <v>0</v>
          </cell>
          <cell r="I294">
            <v>0</v>
          </cell>
          <cell r="J294">
            <v>0</v>
          </cell>
          <cell r="K294">
            <v>0</v>
          </cell>
          <cell r="L294">
            <v>0</v>
          </cell>
          <cell r="M294">
            <v>0</v>
          </cell>
          <cell r="AE294">
            <v>0</v>
          </cell>
          <cell r="AF294">
            <v>0</v>
          </cell>
          <cell r="AH294">
            <v>0</v>
          </cell>
          <cell r="AI294">
            <v>0</v>
          </cell>
          <cell r="AJ294">
            <v>0</v>
          </cell>
          <cell r="AK294">
            <v>0</v>
          </cell>
          <cell r="AL294">
            <v>0</v>
          </cell>
          <cell r="AM294">
            <v>0</v>
          </cell>
          <cell r="AP294">
            <v>0</v>
          </cell>
        </row>
        <row r="295">
          <cell r="B295" t="str">
            <v>Aug 2015</v>
          </cell>
          <cell r="C295" t="str">
            <v>AES3</v>
          </cell>
          <cell r="D295" t="str">
            <v>AES3</v>
          </cell>
          <cell r="E295" t="str">
            <v>KUCME227</v>
          </cell>
          <cell r="F295">
            <v>0</v>
          </cell>
          <cell r="G295">
            <v>0</v>
          </cell>
          <cell r="H295">
            <v>0</v>
          </cell>
          <cell r="I295">
            <v>0</v>
          </cell>
          <cell r="J295">
            <v>0</v>
          </cell>
          <cell r="K295">
            <v>0</v>
          </cell>
          <cell r="L295">
            <v>0</v>
          </cell>
          <cell r="M295">
            <v>0</v>
          </cell>
          <cell r="AE295">
            <v>0</v>
          </cell>
          <cell r="AF295">
            <v>0</v>
          </cell>
          <cell r="AH295">
            <v>0</v>
          </cell>
          <cell r="AI295">
            <v>0</v>
          </cell>
          <cell r="AJ295">
            <v>0</v>
          </cell>
          <cell r="AK295">
            <v>0</v>
          </cell>
          <cell r="AL295">
            <v>0</v>
          </cell>
          <cell r="AM295">
            <v>0</v>
          </cell>
          <cell r="AP295">
            <v>0</v>
          </cell>
        </row>
        <row r="296">
          <cell r="B296" t="str">
            <v>Aug 2015</v>
          </cell>
          <cell r="C296" t="str">
            <v>LE</v>
          </cell>
          <cell r="D296" t="str">
            <v>LE</v>
          </cell>
          <cell r="E296" t="str">
            <v>KUCME290</v>
          </cell>
          <cell r="F296">
            <v>2</v>
          </cell>
          <cell r="G296">
            <v>0</v>
          </cell>
          <cell r="H296">
            <v>0</v>
          </cell>
          <cell r="I296">
            <v>0</v>
          </cell>
          <cell r="J296">
            <v>12623</v>
          </cell>
          <cell r="K296">
            <v>0</v>
          </cell>
          <cell r="L296">
            <v>0</v>
          </cell>
          <cell r="M296">
            <v>0</v>
          </cell>
          <cell r="AE296">
            <v>805.35</v>
          </cell>
          <cell r="AF296">
            <v>0</v>
          </cell>
          <cell r="AH296">
            <v>0</v>
          </cell>
          <cell r="AI296">
            <v>0</v>
          </cell>
          <cell r="AJ296">
            <v>0</v>
          </cell>
          <cell r="AK296">
            <v>0</v>
          </cell>
          <cell r="AL296">
            <v>0</v>
          </cell>
          <cell r="AM296">
            <v>0</v>
          </cell>
          <cell r="AP296">
            <v>365.06</v>
          </cell>
        </row>
        <row r="297">
          <cell r="B297" t="str">
            <v>Aug 2015</v>
          </cell>
          <cell r="C297" t="str">
            <v>LE</v>
          </cell>
          <cell r="D297" t="str">
            <v>LE</v>
          </cell>
          <cell r="E297" t="str">
            <v>KUCME291</v>
          </cell>
          <cell r="F297">
            <v>0</v>
          </cell>
          <cell r="G297">
            <v>0</v>
          </cell>
          <cell r="H297">
            <v>0</v>
          </cell>
          <cell r="I297">
            <v>0</v>
          </cell>
          <cell r="J297">
            <v>0</v>
          </cell>
          <cell r="K297">
            <v>0</v>
          </cell>
          <cell r="L297">
            <v>0</v>
          </cell>
          <cell r="M297">
            <v>0</v>
          </cell>
          <cell r="AE297">
            <v>0</v>
          </cell>
          <cell r="AF297">
            <v>0</v>
          </cell>
          <cell r="AH297">
            <v>0</v>
          </cell>
          <cell r="AI297">
            <v>0</v>
          </cell>
          <cell r="AJ297">
            <v>0</v>
          </cell>
          <cell r="AK297">
            <v>0</v>
          </cell>
          <cell r="AL297">
            <v>0</v>
          </cell>
          <cell r="AM297">
            <v>0</v>
          </cell>
          <cell r="AP297">
            <v>0</v>
          </cell>
        </row>
        <row r="298">
          <cell r="B298" t="str">
            <v>Aug 2015</v>
          </cell>
          <cell r="C298" t="str">
            <v>TE</v>
          </cell>
          <cell r="D298" t="str">
            <v>TE</v>
          </cell>
          <cell r="E298" t="str">
            <v>KUCME295</v>
          </cell>
          <cell r="F298">
            <v>747</v>
          </cell>
          <cell r="G298">
            <v>0</v>
          </cell>
          <cell r="H298">
            <v>0</v>
          </cell>
          <cell r="I298">
            <v>0</v>
          </cell>
          <cell r="J298">
            <v>100534</v>
          </cell>
          <cell r="K298">
            <v>0</v>
          </cell>
          <cell r="L298">
            <v>0</v>
          </cell>
          <cell r="M298">
            <v>0</v>
          </cell>
          <cell r="AE298">
            <v>10448.35</v>
          </cell>
          <cell r="AF298">
            <v>0</v>
          </cell>
          <cell r="AH298">
            <v>0</v>
          </cell>
          <cell r="AI298">
            <v>0</v>
          </cell>
          <cell r="AJ298">
            <v>0</v>
          </cell>
          <cell r="AK298">
            <v>0</v>
          </cell>
          <cell r="AL298">
            <v>0</v>
          </cell>
          <cell r="AM298">
            <v>0</v>
          </cell>
          <cell r="AP298">
            <v>2907.44</v>
          </cell>
        </row>
        <row r="299">
          <cell r="B299" t="str">
            <v>Aug 2015</v>
          </cell>
          <cell r="C299" t="str">
            <v>TE</v>
          </cell>
          <cell r="D299" t="str">
            <v>TE</v>
          </cell>
          <cell r="E299" t="str">
            <v>KUCME297</v>
          </cell>
          <cell r="F299">
            <v>0</v>
          </cell>
          <cell r="G299">
            <v>0</v>
          </cell>
          <cell r="H299">
            <v>0</v>
          </cell>
          <cell r="I299">
            <v>0</v>
          </cell>
          <cell r="J299">
            <v>0</v>
          </cell>
          <cell r="K299">
            <v>0</v>
          </cell>
          <cell r="L299">
            <v>0</v>
          </cell>
          <cell r="M299">
            <v>0</v>
          </cell>
          <cell r="AE299">
            <v>0</v>
          </cell>
          <cell r="AF299">
            <v>0</v>
          </cell>
          <cell r="AH299">
            <v>0</v>
          </cell>
          <cell r="AI299">
            <v>0</v>
          </cell>
          <cell r="AJ299">
            <v>0</v>
          </cell>
          <cell r="AK299">
            <v>0</v>
          </cell>
          <cell r="AL299">
            <v>0</v>
          </cell>
          <cell r="AM299">
            <v>0</v>
          </cell>
          <cell r="AP299">
            <v>0</v>
          </cell>
        </row>
        <row r="300">
          <cell r="B300" t="str">
            <v>Aug 2015</v>
          </cell>
          <cell r="C300" t="str">
            <v>SQF</v>
          </cell>
          <cell r="D300" t="str">
            <v>SQF</v>
          </cell>
          <cell r="E300" t="str">
            <v>KUCME705</v>
          </cell>
          <cell r="F300">
            <v>0</v>
          </cell>
          <cell r="G300">
            <v>0</v>
          </cell>
          <cell r="H300">
            <v>0</v>
          </cell>
          <cell r="I300">
            <v>0</v>
          </cell>
          <cell r="J300">
            <v>0</v>
          </cell>
          <cell r="K300">
            <v>0</v>
          </cell>
          <cell r="L300">
            <v>0</v>
          </cell>
          <cell r="M300">
            <v>0</v>
          </cell>
          <cell r="AE300">
            <v>0</v>
          </cell>
          <cell r="AF300">
            <v>0</v>
          </cell>
          <cell r="AH300">
            <v>0</v>
          </cell>
          <cell r="AI300">
            <v>0</v>
          </cell>
          <cell r="AJ300">
            <v>0</v>
          </cell>
          <cell r="AK300">
            <v>0</v>
          </cell>
          <cell r="AL300">
            <v>0</v>
          </cell>
          <cell r="AM300">
            <v>0</v>
          </cell>
          <cell r="AP300">
            <v>0</v>
          </cell>
        </row>
        <row r="301">
          <cell r="B301" t="str">
            <v>Aug 2015</v>
          </cell>
          <cell r="C301" t="str">
            <v>LQF</v>
          </cell>
          <cell r="D301" t="str">
            <v>LQF</v>
          </cell>
          <cell r="E301" t="str">
            <v>KUCME707</v>
          </cell>
          <cell r="F301">
            <v>0</v>
          </cell>
          <cell r="G301">
            <v>0</v>
          </cell>
          <cell r="H301">
            <v>0</v>
          </cell>
          <cell r="I301">
            <v>0</v>
          </cell>
          <cell r="J301">
            <v>0</v>
          </cell>
          <cell r="K301">
            <v>0</v>
          </cell>
          <cell r="L301">
            <v>0</v>
          </cell>
          <cell r="M301">
            <v>0</v>
          </cell>
          <cell r="AE301">
            <v>0</v>
          </cell>
          <cell r="AF301">
            <v>0</v>
          </cell>
          <cell r="AH301">
            <v>0</v>
          </cell>
          <cell r="AI301">
            <v>0</v>
          </cell>
          <cell r="AJ301">
            <v>0</v>
          </cell>
          <cell r="AK301">
            <v>0</v>
          </cell>
          <cell r="AL301">
            <v>0</v>
          </cell>
          <cell r="AM301">
            <v>0</v>
          </cell>
          <cell r="AP301">
            <v>0</v>
          </cell>
        </row>
        <row r="302">
          <cell r="B302" t="str">
            <v>Aug 2015</v>
          </cell>
          <cell r="C302" t="str">
            <v>GS</v>
          </cell>
          <cell r="D302" t="str">
            <v>GS</v>
          </cell>
          <cell r="E302" t="str">
            <v>KUCME710</v>
          </cell>
          <cell r="F302">
            <v>0</v>
          </cell>
          <cell r="G302">
            <v>0</v>
          </cell>
          <cell r="H302">
            <v>0</v>
          </cell>
          <cell r="I302">
            <v>0</v>
          </cell>
          <cell r="J302">
            <v>0</v>
          </cell>
          <cell r="K302">
            <v>0</v>
          </cell>
          <cell r="L302">
            <v>0</v>
          </cell>
          <cell r="M302">
            <v>0</v>
          </cell>
          <cell r="AE302">
            <v>0</v>
          </cell>
          <cell r="AF302">
            <v>0</v>
          </cell>
          <cell r="AH302">
            <v>0</v>
          </cell>
          <cell r="AI302">
            <v>0</v>
          </cell>
          <cell r="AJ302">
            <v>0</v>
          </cell>
          <cell r="AK302">
            <v>0</v>
          </cell>
          <cell r="AL302">
            <v>0</v>
          </cell>
          <cell r="AM302">
            <v>0</v>
          </cell>
          <cell r="AP302">
            <v>0</v>
          </cell>
        </row>
        <row r="303">
          <cell r="B303" t="str">
            <v>Aug 2015</v>
          </cell>
          <cell r="C303" t="str">
            <v>GS3</v>
          </cell>
          <cell r="D303" t="str">
            <v>GS3</v>
          </cell>
          <cell r="E303" t="str">
            <v>KUCME713</v>
          </cell>
          <cell r="F303">
            <v>0</v>
          </cell>
          <cell r="G303">
            <v>0</v>
          </cell>
          <cell r="H303">
            <v>0</v>
          </cell>
          <cell r="I303">
            <v>0</v>
          </cell>
          <cell r="J303">
            <v>0</v>
          </cell>
          <cell r="K303">
            <v>0</v>
          </cell>
          <cell r="L303">
            <v>0</v>
          </cell>
          <cell r="M303">
            <v>0</v>
          </cell>
          <cell r="AE303">
            <v>0</v>
          </cell>
          <cell r="AF303">
            <v>0</v>
          </cell>
          <cell r="AH303">
            <v>0</v>
          </cell>
          <cell r="AI303">
            <v>0</v>
          </cell>
          <cell r="AJ303">
            <v>0</v>
          </cell>
          <cell r="AK303">
            <v>0</v>
          </cell>
          <cell r="AL303">
            <v>0</v>
          </cell>
          <cell r="AM303">
            <v>0</v>
          </cell>
          <cell r="AP303">
            <v>0</v>
          </cell>
        </row>
        <row r="304">
          <cell r="B304" t="str">
            <v>Aug 2015</v>
          </cell>
          <cell r="C304" t="str">
            <v>CSR10</v>
          </cell>
          <cell r="D304" t="str">
            <v>CSR10</v>
          </cell>
          <cell r="E304" t="str">
            <v>KUCSR760</v>
          </cell>
          <cell r="F304">
            <v>0</v>
          </cell>
          <cell r="G304">
            <v>0</v>
          </cell>
          <cell r="H304">
            <v>0</v>
          </cell>
          <cell r="I304">
            <v>0</v>
          </cell>
          <cell r="J304">
            <v>0</v>
          </cell>
          <cell r="K304">
            <v>0</v>
          </cell>
          <cell r="L304">
            <v>0</v>
          </cell>
          <cell r="M304">
            <v>0</v>
          </cell>
          <cell r="AE304">
            <v>0</v>
          </cell>
          <cell r="AF304">
            <v>0</v>
          </cell>
          <cell r="AH304">
            <v>0</v>
          </cell>
          <cell r="AI304">
            <v>0</v>
          </cell>
          <cell r="AJ304">
            <v>0</v>
          </cell>
          <cell r="AK304">
            <v>0</v>
          </cell>
          <cell r="AL304">
            <v>-989829</v>
          </cell>
          <cell r="AM304">
            <v>-989829</v>
          </cell>
          <cell r="AP304">
            <v>0</v>
          </cell>
        </row>
        <row r="305">
          <cell r="B305" t="str">
            <v>Aug 2015</v>
          </cell>
          <cell r="C305" t="str">
            <v>CSR10</v>
          </cell>
          <cell r="D305" t="str">
            <v>CSR10</v>
          </cell>
          <cell r="E305" t="str">
            <v>KUCSR761</v>
          </cell>
          <cell r="F305">
            <v>0</v>
          </cell>
          <cell r="G305">
            <v>0</v>
          </cell>
          <cell r="H305">
            <v>0</v>
          </cell>
          <cell r="I305">
            <v>0</v>
          </cell>
          <cell r="J305">
            <v>0</v>
          </cell>
          <cell r="K305">
            <v>0</v>
          </cell>
          <cell r="L305">
            <v>0</v>
          </cell>
          <cell r="M305">
            <v>0</v>
          </cell>
          <cell r="AE305">
            <v>0</v>
          </cell>
          <cell r="AF305">
            <v>0</v>
          </cell>
          <cell r="AH305">
            <v>0</v>
          </cell>
          <cell r="AI305">
            <v>0</v>
          </cell>
          <cell r="AJ305">
            <v>0</v>
          </cell>
          <cell r="AK305">
            <v>0</v>
          </cell>
          <cell r="AL305">
            <v>0</v>
          </cell>
          <cell r="AM305">
            <v>0</v>
          </cell>
          <cell r="AP305">
            <v>0</v>
          </cell>
        </row>
        <row r="306">
          <cell r="B306" t="str">
            <v>Aug 2015</v>
          </cell>
          <cell r="C306" t="str">
            <v>CSR30</v>
          </cell>
          <cell r="D306" t="str">
            <v>CSR30</v>
          </cell>
          <cell r="E306" t="str">
            <v>KUCSR780</v>
          </cell>
          <cell r="F306">
            <v>0</v>
          </cell>
          <cell r="G306">
            <v>0</v>
          </cell>
          <cell r="H306">
            <v>0</v>
          </cell>
          <cell r="I306">
            <v>0</v>
          </cell>
          <cell r="J306">
            <v>0</v>
          </cell>
          <cell r="K306">
            <v>0</v>
          </cell>
          <cell r="L306">
            <v>0</v>
          </cell>
          <cell r="M306">
            <v>0</v>
          </cell>
          <cell r="AE306">
            <v>0</v>
          </cell>
          <cell r="AF306">
            <v>0</v>
          </cell>
          <cell r="AH306">
            <v>0</v>
          </cell>
          <cell r="AI306">
            <v>0</v>
          </cell>
          <cell r="AJ306">
            <v>0</v>
          </cell>
          <cell r="AK306">
            <v>0</v>
          </cell>
          <cell r="AL306">
            <v>0</v>
          </cell>
          <cell r="AM306">
            <v>0</v>
          </cell>
          <cell r="AP306">
            <v>0</v>
          </cell>
        </row>
        <row r="307">
          <cell r="B307" t="str">
            <v>Aug 2015</v>
          </cell>
          <cell r="C307" t="str">
            <v>CSR30</v>
          </cell>
          <cell r="D307" t="str">
            <v>CSR30</v>
          </cell>
          <cell r="E307" t="str">
            <v>KUCSR781</v>
          </cell>
          <cell r="F307">
            <v>0</v>
          </cell>
          <cell r="G307">
            <v>0</v>
          </cell>
          <cell r="H307">
            <v>0</v>
          </cell>
          <cell r="I307">
            <v>0</v>
          </cell>
          <cell r="J307">
            <v>0</v>
          </cell>
          <cell r="K307">
            <v>0</v>
          </cell>
          <cell r="L307">
            <v>0</v>
          </cell>
          <cell r="M307">
            <v>0</v>
          </cell>
          <cell r="AE307">
            <v>0</v>
          </cell>
          <cell r="AF307">
            <v>0</v>
          </cell>
          <cell r="AH307">
            <v>0</v>
          </cell>
          <cell r="AI307">
            <v>0</v>
          </cell>
          <cell r="AJ307">
            <v>0</v>
          </cell>
          <cell r="AK307">
            <v>0</v>
          </cell>
          <cell r="AL307">
            <v>0</v>
          </cell>
          <cell r="AM307">
            <v>0</v>
          </cell>
          <cell r="AP307">
            <v>0</v>
          </cell>
        </row>
        <row r="308">
          <cell r="B308" t="str">
            <v>Aug 2015</v>
          </cell>
          <cell r="C308" t="str">
            <v>CSR30</v>
          </cell>
          <cell r="D308" t="str">
            <v>CSR30</v>
          </cell>
          <cell r="E308" t="str">
            <v>KUCSR783</v>
          </cell>
          <cell r="F308">
            <v>0</v>
          </cell>
          <cell r="G308">
            <v>0</v>
          </cell>
          <cell r="H308">
            <v>0</v>
          </cell>
          <cell r="I308">
            <v>0</v>
          </cell>
          <cell r="J308">
            <v>0</v>
          </cell>
          <cell r="K308">
            <v>0</v>
          </cell>
          <cell r="L308">
            <v>0</v>
          </cell>
          <cell r="M308">
            <v>0</v>
          </cell>
          <cell r="AE308">
            <v>0</v>
          </cell>
          <cell r="AF308">
            <v>0</v>
          </cell>
          <cell r="AH308">
            <v>0</v>
          </cell>
          <cell r="AI308">
            <v>0</v>
          </cell>
          <cell r="AJ308">
            <v>0</v>
          </cell>
          <cell r="AK308">
            <v>0</v>
          </cell>
          <cell r="AL308">
            <v>0</v>
          </cell>
          <cell r="AM308">
            <v>0</v>
          </cell>
          <cell r="AP308">
            <v>0</v>
          </cell>
        </row>
        <row r="309">
          <cell r="B309" t="str">
            <v>Aug 2015</v>
          </cell>
          <cell r="C309" t="str">
            <v>FLS</v>
          </cell>
          <cell r="D309" t="str">
            <v>FLST</v>
          </cell>
          <cell r="E309" t="str">
            <v>KUINE730</v>
          </cell>
          <cell r="F309">
            <v>1</v>
          </cell>
          <cell r="G309">
            <v>0</v>
          </cell>
          <cell r="H309">
            <v>0</v>
          </cell>
          <cell r="I309">
            <v>0</v>
          </cell>
          <cell r="J309">
            <v>46590427</v>
          </cell>
          <cell r="K309">
            <v>185158</v>
          </cell>
          <cell r="L309">
            <v>185158</v>
          </cell>
          <cell r="M309">
            <v>101388</v>
          </cell>
          <cell r="AE309">
            <v>2240264.96</v>
          </cell>
          <cell r="AF309">
            <v>2240263</v>
          </cell>
          <cell r="AH309">
            <v>99932</v>
          </cell>
          <cell r="AI309">
            <v>0</v>
          </cell>
          <cell r="AJ309">
            <v>197328</v>
          </cell>
          <cell r="AK309">
            <v>0</v>
          </cell>
          <cell r="AL309">
            <v>0</v>
          </cell>
          <cell r="AM309">
            <v>2537523</v>
          </cell>
          <cell r="AP309">
            <v>1347395.15</v>
          </cell>
        </row>
        <row r="310">
          <cell r="B310" t="str">
            <v>Aug 2015</v>
          </cell>
          <cell r="C310" t="str">
            <v>RS</v>
          </cell>
          <cell r="D310" t="str">
            <v>RS</v>
          </cell>
          <cell r="E310" t="str">
            <v>KURSE010</v>
          </cell>
          <cell r="F310">
            <v>429501</v>
          </cell>
          <cell r="G310">
            <v>0</v>
          </cell>
          <cell r="H310">
            <v>0</v>
          </cell>
          <cell r="I310">
            <v>0</v>
          </cell>
          <cell r="J310">
            <v>576723280</v>
          </cell>
          <cell r="K310">
            <v>0</v>
          </cell>
          <cell r="L310">
            <v>0</v>
          </cell>
          <cell r="M310">
            <v>0</v>
          </cell>
          <cell r="AE310">
            <v>49278586.549999997</v>
          </cell>
          <cell r="AF310">
            <v>49279119</v>
          </cell>
          <cell r="AH310">
            <v>1237032</v>
          </cell>
          <cell r="AI310">
            <v>1061621</v>
          </cell>
          <cell r="AJ310">
            <v>2442669</v>
          </cell>
          <cell r="AK310">
            <v>0</v>
          </cell>
          <cell r="AL310">
            <v>0</v>
          </cell>
          <cell r="AM310">
            <v>54020441</v>
          </cell>
          <cell r="AP310">
            <v>16678837.26</v>
          </cell>
        </row>
        <row r="311">
          <cell r="B311" t="str">
            <v>Aug 2015</v>
          </cell>
          <cell r="C311" t="str">
            <v>RS</v>
          </cell>
          <cell r="D311" t="str">
            <v>RS</v>
          </cell>
          <cell r="E311" t="str">
            <v>KURSE020</v>
          </cell>
          <cell r="F311">
            <v>0</v>
          </cell>
          <cell r="G311">
            <v>0</v>
          </cell>
          <cell r="H311">
            <v>0</v>
          </cell>
          <cell r="I311">
            <v>0</v>
          </cell>
          <cell r="J311">
            <v>0</v>
          </cell>
          <cell r="K311">
            <v>0</v>
          </cell>
          <cell r="L311">
            <v>0</v>
          </cell>
          <cell r="M311">
            <v>0</v>
          </cell>
          <cell r="AE311">
            <v>0</v>
          </cell>
          <cell r="AF311">
            <v>0</v>
          </cell>
          <cell r="AH311">
            <v>0</v>
          </cell>
          <cell r="AI311">
            <v>0</v>
          </cell>
          <cell r="AJ311">
            <v>0</v>
          </cell>
          <cell r="AK311">
            <v>0</v>
          </cell>
          <cell r="AL311">
            <v>0</v>
          </cell>
          <cell r="AM311">
            <v>0</v>
          </cell>
          <cell r="AP311">
            <v>0</v>
          </cell>
        </row>
        <row r="312">
          <cell r="B312" t="str">
            <v>Aug 2015</v>
          </cell>
          <cell r="C312" t="str">
            <v>RS</v>
          </cell>
          <cell r="D312" t="str">
            <v>RS</v>
          </cell>
          <cell r="E312" t="str">
            <v>KURSE025</v>
          </cell>
          <cell r="F312">
            <v>0</v>
          </cell>
          <cell r="G312">
            <v>0</v>
          </cell>
          <cell r="H312">
            <v>0</v>
          </cell>
          <cell r="I312">
            <v>0</v>
          </cell>
          <cell r="J312">
            <v>0</v>
          </cell>
          <cell r="K312">
            <v>0</v>
          </cell>
          <cell r="L312">
            <v>0</v>
          </cell>
          <cell r="M312">
            <v>0</v>
          </cell>
          <cell r="AE312">
            <v>0</v>
          </cell>
          <cell r="AF312">
            <v>0</v>
          </cell>
          <cell r="AH312">
            <v>0</v>
          </cell>
          <cell r="AI312">
            <v>0</v>
          </cell>
          <cell r="AJ312">
            <v>0</v>
          </cell>
          <cell r="AK312">
            <v>0</v>
          </cell>
          <cell r="AL312">
            <v>0</v>
          </cell>
          <cell r="AM312">
            <v>0</v>
          </cell>
          <cell r="AP312">
            <v>0</v>
          </cell>
        </row>
        <row r="313">
          <cell r="B313" t="str">
            <v>Aug 2015</v>
          </cell>
          <cell r="C313" t="str">
            <v>LEV</v>
          </cell>
          <cell r="D313" t="str">
            <v>RSLEV</v>
          </cell>
          <cell r="E313" t="str">
            <v>KURSE040</v>
          </cell>
          <cell r="F313">
            <v>7</v>
          </cell>
          <cell r="G313">
            <v>4017</v>
          </cell>
          <cell r="H313">
            <v>1188</v>
          </cell>
          <cell r="I313">
            <v>718</v>
          </cell>
          <cell r="J313">
            <v>5923</v>
          </cell>
          <cell r="K313">
            <v>0</v>
          </cell>
          <cell r="L313">
            <v>0</v>
          </cell>
          <cell r="M313">
            <v>0</v>
          </cell>
          <cell r="AE313">
            <v>494.56</v>
          </cell>
          <cell r="AF313">
            <v>0</v>
          </cell>
          <cell r="AH313">
            <v>0</v>
          </cell>
          <cell r="AI313">
            <v>0</v>
          </cell>
          <cell r="AJ313">
            <v>0</v>
          </cell>
          <cell r="AK313">
            <v>0</v>
          </cell>
          <cell r="AL313">
            <v>0</v>
          </cell>
          <cell r="AM313">
            <v>0</v>
          </cell>
          <cell r="AP313">
            <v>171.29</v>
          </cell>
        </row>
        <row r="314">
          <cell r="B314" t="str">
            <v>Aug 2015</v>
          </cell>
          <cell r="C314" t="str">
            <v>RS</v>
          </cell>
          <cell r="D314" t="str">
            <v>RSVFD</v>
          </cell>
          <cell r="E314" t="str">
            <v>KURSE080</v>
          </cell>
          <cell r="F314">
            <v>0</v>
          </cell>
          <cell r="G314">
            <v>0</v>
          </cell>
          <cell r="H314">
            <v>0</v>
          </cell>
          <cell r="I314">
            <v>0</v>
          </cell>
          <cell r="J314">
            <v>0</v>
          </cell>
          <cell r="K314">
            <v>0</v>
          </cell>
          <cell r="L314">
            <v>0</v>
          </cell>
          <cell r="M314">
            <v>0</v>
          </cell>
          <cell r="AE314">
            <v>0</v>
          </cell>
          <cell r="AF314">
            <v>0</v>
          </cell>
          <cell r="AH314">
            <v>0</v>
          </cell>
          <cell r="AI314">
            <v>0</v>
          </cell>
          <cell r="AJ314">
            <v>0</v>
          </cell>
          <cell r="AK314">
            <v>0</v>
          </cell>
          <cell r="AL314">
            <v>0</v>
          </cell>
          <cell r="AM314">
            <v>0</v>
          </cell>
          <cell r="AP314">
            <v>0</v>
          </cell>
        </row>
        <row r="315">
          <cell r="B315" t="str">
            <v>Aug 2015</v>
          </cell>
          <cell r="C315" t="str">
            <v>RS</v>
          </cell>
          <cell r="D315" t="str">
            <v>RS</v>
          </cell>
          <cell r="E315" t="str">
            <v>KURSE715</v>
          </cell>
          <cell r="F315">
            <v>0</v>
          </cell>
          <cell r="G315">
            <v>0</v>
          </cell>
          <cell r="H315">
            <v>0</v>
          </cell>
          <cell r="I315">
            <v>0</v>
          </cell>
          <cell r="J315">
            <v>0</v>
          </cell>
          <cell r="K315">
            <v>0</v>
          </cell>
          <cell r="L315">
            <v>0</v>
          </cell>
          <cell r="M315">
            <v>0</v>
          </cell>
          <cell r="AE315">
            <v>0</v>
          </cell>
          <cell r="AF315">
            <v>0</v>
          </cell>
          <cell r="AH315">
            <v>0</v>
          </cell>
          <cell r="AI315">
            <v>0</v>
          </cell>
          <cell r="AJ315">
            <v>0</v>
          </cell>
          <cell r="AK315">
            <v>0</v>
          </cell>
          <cell r="AL315">
            <v>0</v>
          </cell>
          <cell r="AM315">
            <v>0</v>
          </cell>
          <cell r="AP315">
            <v>0</v>
          </cell>
        </row>
        <row r="316">
          <cell r="B316" t="str">
            <v>Sep 2015</v>
          </cell>
          <cell r="C316" t="str">
            <v>RTS</v>
          </cell>
          <cell r="D316" t="str">
            <v>RTS</v>
          </cell>
          <cell r="E316" t="str">
            <v>KUCIE550</v>
          </cell>
          <cell r="F316">
            <v>32</v>
          </cell>
          <cell r="G316">
            <v>0</v>
          </cell>
          <cell r="H316">
            <v>0</v>
          </cell>
          <cell r="I316">
            <v>0</v>
          </cell>
          <cell r="J316">
            <v>118627727</v>
          </cell>
          <cell r="K316">
            <v>303336</v>
          </cell>
          <cell r="L316">
            <v>286770</v>
          </cell>
          <cell r="M316">
            <v>283053</v>
          </cell>
          <cell r="AE316">
            <v>6688152.1500000004</v>
          </cell>
          <cell r="AF316">
            <v>6688153</v>
          </cell>
          <cell r="AH316">
            <v>49766</v>
          </cell>
          <cell r="AI316">
            <v>0</v>
          </cell>
          <cell r="AJ316">
            <v>675681</v>
          </cell>
          <cell r="AK316">
            <v>0</v>
          </cell>
          <cell r="AL316">
            <v>0</v>
          </cell>
          <cell r="AM316">
            <v>7413600</v>
          </cell>
          <cell r="AP316">
            <v>3430713.86</v>
          </cell>
        </row>
        <row r="317">
          <cell r="B317" t="str">
            <v>Sep 2015</v>
          </cell>
          <cell r="C317" t="str">
            <v>PSP</v>
          </cell>
          <cell r="D317" t="str">
            <v>PSP</v>
          </cell>
          <cell r="E317" t="str">
            <v>KUCIE561</v>
          </cell>
          <cell r="F317">
            <v>201</v>
          </cell>
          <cell r="G317">
            <v>0</v>
          </cell>
          <cell r="H317">
            <v>0</v>
          </cell>
          <cell r="I317">
            <v>0</v>
          </cell>
          <cell r="J317">
            <v>17906267</v>
          </cell>
          <cell r="K317">
            <v>0</v>
          </cell>
          <cell r="L317">
            <v>0</v>
          </cell>
          <cell r="M317">
            <v>60267</v>
          </cell>
          <cell r="AE317">
            <v>1592870.99</v>
          </cell>
          <cell r="AF317">
            <v>1592868</v>
          </cell>
          <cell r="AH317">
            <v>7512</v>
          </cell>
          <cell r="AI317">
            <v>33816</v>
          </cell>
          <cell r="AJ317">
            <v>101991</v>
          </cell>
          <cell r="AK317">
            <v>0</v>
          </cell>
          <cell r="AL317">
            <v>0</v>
          </cell>
          <cell r="AM317">
            <v>1736187</v>
          </cell>
          <cell r="AP317">
            <v>517849.24</v>
          </cell>
        </row>
        <row r="318">
          <cell r="B318" t="str">
            <v>Sep 2015</v>
          </cell>
          <cell r="C318" t="str">
            <v>PSS</v>
          </cell>
          <cell r="D318" t="str">
            <v>PSS</v>
          </cell>
          <cell r="E318" t="str">
            <v>KUCIE562</v>
          </cell>
          <cell r="F318">
            <v>4690</v>
          </cell>
          <cell r="G318">
            <v>0</v>
          </cell>
          <cell r="H318">
            <v>0</v>
          </cell>
          <cell r="I318">
            <v>0</v>
          </cell>
          <cell r="J318">
            <v>178051436</v>
          </cell>
          <cell r="K318">
            <v>0</v>
          </cell>
          <cell r="L318">
            <v>0</v>
          </cell>
          <cell r="M318">
            <v>684147</v>
          </cell>
          <cell r="AE318">
            <v>17235302.280000001</v>
          </cell>
          <cell r="AF318">
            <v>17235302</v>
          </cell>
          <cell r="AH318">
            <v>74695</v>
          </cell>
          <cell r="AI318">
            <v>336255</v>
          </cell>
          <cell r="AJ318">
            <v>1014147</v>
          </cell>
          <cell r="AK318">
            <v>0</v>
          </cell>
          <cell r="AL318">
            <v>0</v>
          </cell>
          <cell r="AM318">
            <v>18660399</v>
          </cell>
          <cell r="AP318">
            <v>5149247.53</v>
          </cell>
        </row>
        <row r="319">
          <cell r="B319" t="str">
            <v>Sep 2015</v>
          </cell>
          <cell r="C319" t="str">
            <v>TODP</v>
          </cell>
          <cell r="D319" t="str">
            <v>TODP</v>
          </cell>
          <cell r="E319" t="str">
            <v>KUCIE563</v>
          </cell>
          <cell r="F319">
            <v>52</v>
          </cell>
          <cell r="G319">
            <v>0</v>
          </cell>
          <cell r="H319">
            <v>0</v>
          </cell>
          <cell r="I319">
            <v>0</v>
          </cell>
          <cell r="J319">
            <v>233921558</v>
          </cell>
          <cell r="K319">
            <v>532320</v>
          </cell>
          <cell r="L319">
            <v>525566</v>
          </cell>
          <cell r="M319">
            <v>518603</v>
          </cell>
          <cell r="AE319">
            <v>13392824.799999999</v>
          </cell>
          <cell r="AF319">
            <v>13392828</v>
          </cell>
          <cell r="AH319">
            <v>98134</v>
          </cell>
          <cell r="AI319">
            <v>441767</v>
          </cell>
          <cell r="AJ319">
            <v>1332372</v>
          </cell>
          <cell r="AK319">
            <v>0</v>
          </cell>
          <cell r="AL319">
            <v>0</v>
          </cell>
          <cell r="AM319">
            <v>15265101</v>
          </cell>
          <cell r="AP319">
            <v>6765011.46</v>
          </cell>
        </row>
        <row r="320">
          <cell r="B320" t="str">
            <v>Sep 2015</v>
          </cell>
          <cell r="C320" t="str">
            <v>PSP</v>
          </cell>
          <cell r="D320" t="str">
            <v>PSP</v>
          </cell>
          <cell r="E320" t="str">
            <v>KUCIE566</v>
          </cell>
          <cell r="F320">
            <v>0</v>
          </cell>
          <cell r="G320">
            <v>0</v>
          </cell>
          <cell r="H320">
            <v>0</v>
          </cell>
          <cell r="I320">
            <v>0</v>
          </cell>
          <cell r="J320">
            <v>0</v>
          </cell>
          <cell r="K320">
            <v>0</v>
          </cell>
          <cell r="L320">
            <v>0</v>
          </cell>
          <cell r="M320">
            <v>0</v>
          </cell>
          <cell r="AE320">
            <v>0</v>
          </cell>
          <cell r="AF320">
            <v>0</v>
          </cell>
          <cell r="AH320">
            <v>0</v>
          </cell>
          <cell r="AI320">
            <v>0</v>
          </cell>
          <cell r="AJ320">
            <v>0</v>
          </cell>
          <cell r="AK320">
            <v>0</v>
          </cell>
          <cell r="AL320">
            <v>0</v>
          </cell>
          <cell r="AM320">
            <v>0</v>
          </cell>
          <cell r="AP320">
            <v>0</v>
          </cell>
        </row>
        <row r="321">
          <cell r="B321" t="str">
            <v>Sep 2015</v>
          </cell>
          <cell r="C321" t="str">
            <v>PSS</v>
          </cell>
          <cell r="D321" t="str">
            <v>PSS</v>
          </cell>
          <cell r="E321" t="str">
            <v>KUCIE568</v>
          </cell>
          <cell r="F321">
            <v>0</v>
          </cell>
          <cell r="G321">
            <v>0</v>
          </cell>
          <cell r="H321">
            <v>0</v>
          </cell>
          <cell r="I321">
            <v>0</v>
          </cell>
          <cell r="J321">
            <v>0</v>
          </cell>
          <cell r="K321">
            <v>0</v>
          </cell>
          <cell r="L321">
            <v>0</v>
          </cell>
          <cell r="M321">
            <v>0</v>
          </cell>
          <cell r="AE321">
            <v>0</v>
          </cell>
          <cell r="AF321">
            <v>0</v>
          </cell>
          <cell r="AH321">
            <v>0</v>
          </cell>
          <cell r="AI321">
            <v>0</v>
          </cell>
          <cell r="AJ321">
            <v>0</v>
          </cell>
          <cell r="AK321">
            <v>0</v>
          </cell>
          <cell r="AL321">
            <v>0</v>
          </cell>
          <cell r="AM321">
            <v>0</v>
          </cell>
          <cell r="AP321">
            <v>0</v>
          </cell>
        </row>
        <row r="322">
          <cell r="B322" t="str">
            <v>Sep 2015</v>
          </cell>
          <cell r="C322" t="str">
            <v>TODP</v>
          </cell>
          <cell r="D322" t="str">
            <v>TODP</v>
          </cell>
          <cell r="E322" t="str">
            <v>KUCIE571</v>
          </cell>
          <cell r="F322">
            <v>197</v>
          </cell>
          <cell r="G322">
            <v>0</v>
          </cell>
          <cell r="H322">
            <v>0</v>
          </cell>
          <cell r="I322">
            <v>0</v>
          </cell>
          <cell r="J322">
            <v>98398740</v>
          </cell>
          <cell r="K322">
            <v>272897</v>
          </cell>
          <cell r="L322">
            <v>262231</v>
          </cell>
          <cell r="M322">
            <v>252544</v>
          </cell>
          <cell r="AE322">
            <v>6030061.4299999997</v>
          </cell>
          <cell r="AF322">
            <v>6030063</v>
          </cell>
          <cell r="AH322">
            <v>41280</v>
          </cell>
          <cell r="AI322">
            <v>185829</v>
          </cell>
          <cell r="AJ322">
            <v>560460</v>
          </cell>
          <cell r="AK322">
            <v>0</v>
          </cell>
          <cell r="AL322">
            <v>0</v>
          </cell>
          <cell r="AM322">
            <v>6817632</v>
          </cell>
          <cell r="AP322">
            <v>2845691.56</v>
          </cell>
        </row>
        <row r="323">
          <cell r="B323" t="str">
            <v>Sep 2015</v>
          </cell>
          <cell r="C323" t="str">
            <v>TODS</v>
          </cell>
          <cell r="D323" t="str">
            <v>TODS</v>
          </cell>
          <cell r="E323" t="str">
            <v>KUCIE572</v>
          </cell>
          <cell r="F323">
            <v>463</v>
          </cell>
          <cell r="G323">
            <v>0</v>
          </cell>
          <cell r="H323">
            <v>0</v>
          </cell>
          <cell r="I323">
            <v>0</v>
          </cell>
          <cell r="J323">
            <v>133838239</v>
          </cell>
          <cell r="K323">
            <v>373420</v>
          </cell>
          <cell r="L323">
            <v>348634</v>
          </cell>
          <cell r="M323">
            <v>341848</v>
          </cell>
          <cell r="AE323">
            <v>9077975.8599999994</v>
          </cell>
          <cell r="AF323">
            <v>9077976</v>
          </cell>
          <cell r="AH323">
            <v>56147</v>
          </cell>
          <cell r="AI323">
            <v>252757</v>
          </cell>
          <cell r="AJ323">
            <v>762317</v>
          </cell>
          <cell r="AK323">
            <v>0</v>
          </cell>
          <cell r="AL323">
            <v>0</v>
          </cell>
          <cell r="AM323">
            <v>10149197</v>
          </cell>
          <cell r="AP323">
            <v>3870601.87</v>
          </cell>
        </row>
        <row r="324">
          <cell r="B324" t="str">
            <v>Sep 2015</v>
          </cell>
          <cell r="C324" t="str">
            <v>PSS</v>
          </cell>
          <cell r="D324" t="str">
            <v>PSS</v>
          </cell>
          <cell r="E324" t="str">
            <v>KUCIE717</v>
          </cell>
          <cell r="F324">
            <v>0</v>
          </cell>
          <cell r="G324">
            <v>0</v>
          </cell>
          <cell r="H324">
            <v>0</v>
          </cell>
          <cell r="I324">
            <v>0</v>
          </cell>
          <cell r="J324">
            <v>0</v>
          </cell>
          <cell r="K324">
            <v>0</v>
          </cell>
          <cell r="L324">
            <v>0</v>
          </cell>
          <cell r="M324">
            <v>0</v>
          </cell>
          <cell r="AE324">
            <v>0</v>
          </cell>
          <cell r="AF324">
            <v>0</v>
          </cell>
          <cell r="AH324">
            <v>0</v>
          </cell>
          <cell r="AI324">
            <v>0</v>
          </cell>
          <cell r="AJ324">
            <v>0</v>
          </cell>
          <cell r="AK324">
            <v>0</v>
          </cell>
          <cell r="AL324">
            <v>0</v>
          </cell>
          <cell r="AM324">
            <v>0</v>
          </cell>
          <cell r="AP324">
            <v>0</v>
          </cell>
        </row>
        <row r="325">
          <cell r="B325" t="str">
            <v>Sep 2015</v>
          </cell>
          <cell r="C325" t="str">
            <v>GS</v>
          </cell>
          <cell r="D325" t="str">
            <v>GS</v>
          </cell>
          <cell r="E325" t="str">
            <v>KUCME110</v>
          </cell>
          <cell r="F325">
            <v>63506</v>
          </cell>
          <cell r="G325">
            <v>0</v>
          </cell>
          <cell r="H325">
            <v>0</v>
          </cell>
          <cell r="I325">
            <v>0</v>
          </cell>
          <cell r="J325">
            <v>60603647</v>
          </cell>
          <cell r="K325">
            <v>0</v>
          </cell>
          <cell r="L325">
            <v>0</v>
          </cell>
          <cell r="M325">
            <v>0</v>
          </cell>
          <cell r="AE325">
            <v>6860806.4400000004</v>
          </cell>
          <cell r="AF325">
            <v>6860808</v>
          </cell>
          <cell r="AH325">
            <v>25424</v>
          </cell>
          <cell r="AI325">
            <v>114452</v>
          </cell>
          <cell r="AJ325">
            <v>345187</v>
          </cell>
          <cell r="AK325">
            <v>0</v>
          </cell>
          <cell r="AL325">
            <v>0</v>
          </cell>
          <cell r="AM325">
            <v>7345871</v>
          </cell>
          <cell r="AP325">
            <v>1752657.47</v>
          </cell>
        </row>
        <row r="326">
          <cell r="B326" t="str">
            <v>Sep 2015</v>
          </cell>
          <cell r="C326" t="str">
            <v>GS</v>
          </cell>
          <cell r="D326" t="str">
            <v>GS</v>
          </cell>
          <cell r="E326" t="str">
            <v>KUCME112</v>
          </cell>
          <cell r="F326">
            <v>0</v>
          </cell>
          <cell r="G326">
            <v>0</v>
          </cell>
          <cell r="H326">
            <v>0</v>
          </cell>
          <cell r="I326">
            <v>0</v>
          </cell>
          <cell r="J326">
            <v>0</v>
          </cell>
          <cell r="K326">
            <v>0</v>
          </cell>
          <cell r="L326">
            <v>0</v>
          </cell>
          <cell r="M326">
            <v>0</v>
          </cell>
          <cell r="AE326">
            <v>0</v>
          </cell>
          <cell r="AF326">
            <v>0</v>
          </cell>
          <cell r="AH326">
            <v>0</v>
          </cell>
          <cell r="AI326">
            <v>0</v>
          </cell>
          <cell r="AJ326">
            <v>0</v>
          </cell>
          <cell r="AK326">
            <v>0</v>
          </cell>
          <cell r="AL326">
            <v>0</v>
          </cell>
          <cell r="AM326">
            <v>0</v>
          </cell>
          <cell r="AP326">
            <v>0</v>
          </cell>
        </row>
        <row r="327">
          <cell r="B327" t="str">
            <v>Sep 2015</v>
          </cell>
          <cell r="C327" t="str">
            <v>GS3</v>
          </cell>
          <cell r="D327" t="str">
            <v>GS3</v>
          </cell>
          <cell r="E327" t="str">
            <v>KUCME113</v>
          </cell>
          <cell r="F327">
            <v>18564</v>
          </cell>
          <cell r="G327">
            <v>0</v>
          </cell>
          <cell r="H327">
            <v>0</v>
          </cell>
          <cell r="I327">
            <v>0</v>
          </cell>
          <cell r="J327">
            <v>88529551</v>
          </cell>
          <cell r="K327">
            <v>365688</v>
          </cell>
          <cell r="L327">
            <v>0</v>
          </cell>
          <cell r="M327">
            <v>0</v>
          </cell>
          <cell r="AE327">
            <v>8816591.0800000001</v>
          </cell>
          <cell r="AF327">
            <v>8816587</v>
          </cell>
          <cell r="AH327">
            <v>37140</v>
          </cell>
          <cell r="AI327">
            <v>167191</v>
          </cell>
          <cell r="AJ327">
            <v>504247</v>
          </cell>
          <cell r="AK327">
            <v>0</v>
          </cell>
          <cell r="AL327">
            <v>0</v>
          </cell>
          <cell r="AM327">
            <v>9525165</v>
          </cell>
          <cell r="AP327">
            <v>2560274.61</v>
          </cell>
        </row>
        <row r="328">
          <cell r="B328" t="str">
            <v>Sep 2015</v>
          </cell>
          <cell r="C328" t="str">
            <v>AES</v>
          </cell>
          <cell r="D328" t="str">
            <v>AES</v>
          </cell>
          <cell r="E328" t="str">
            <v>KUCME220</v>
          </cell>
          <cell r="F328">
            <v>375</v>
          </cell>
          <cell r="G328">
            <v>0</v>
          </cell>
          <cell r="H328">
            <v>0</v>
          </cell>
          <cell r="I328">
            <v>0</v>
          </cell>
          <cell r="J328">
            <v>520806</v>
          </cell>
          <cell r="K328">
            <v>0</v>
          </cell>
          <cell r="L328">
            <v>0</v>
          </cell>
          <cell r="M328">
            <v>0</v>
          </cell>
          <cell r="AE328">
            <v>46247.97</v>
          </cell>
          <cell r="AF328">
            <v>46248</v>
          </cell>
          <cell r="AH328">
            <v>218</v>
          </cell>
          <cell r="AI328">
            <v>984</v>
          </cell>
          <cell r="AJ328">
            <v>2966</v>
          </cell>
          <cell r="AK328">
            <v>0</v>
          </cell>
          <cell r="AL328">
            <v>0</v>
          </cell>
          <cell r="AM328">
            <v>50416</v>
          </cell>
          <cell r="AP328">
            <v>15061.71</v>
          </cell>
        </row>
        <row r="329">
          <cell r="B329" t="str">
            <v>Sep 2015</v>
          </cell>
          <cell r="C329" t="str">
            <v>AES</v>
          </cell>
          <cell r="D329" t="str">
            <v>AES</v>
          </cell>
          <cell r="E329" t="str">
            <v>KUCME221</v>
          </cell>
          <cell r="F329">
            <v>0</v>
          </cell>
          <cell r="G329">
            <v>0</v>
          </cell>
          <cell r="H329">
            <v>0</v>
          </cell>
          <cell r="I329">
            <v>0</v>
          </cell>
          <cell r="J329">
            <v>0</v>
          </cell>
          <cell r="K329">
            <v>0</v>
          </cell>
          <cell r="L329">
            <v>0</v>
          </cell>
          <cell r="M329">
            <v>0</v>
          </cell>
          <cell r="AE329">
            <v>0</v>
          </cell>
          <cell r="AF329">
            <v>0</v>
          </cell>
          <cell r="AH329">
            <v>0</v>
          </cell>
          <cell r="AI329">
            <v>0</v>
          </cell>
          <cell r="AJ329">
            <v>0</v>
          </cell>
          <cell r="AK329">
            <v>0</v>
          </cell>
          <cell r="AL329">
            <v>0</v>
          </cell>
          <cell r="AM329">
            <v>0</v>
          </cell>
          <cell r="AP329">
            <v>0</v>
          </cell>
        </row>
        <row r="330">
          <cell r="B330" t="str">
            <v>Sep 2015</v>
          </cell>
          <cell r="C330" t="str">
            <v>AES3</v>
          </cell>
          <cell r="D330" t="str">
            <v>AES3</v>
          </cell>
          <cell r="E330" t="str">
            <v>KUCME223</v>
          </cell>
          <cell r="F330">
            <v>0</v>
          </cell>
          <cell r="G330">
            <v>0</v>
          </cell>
          <cell r="H330">
            <v>0</v>
          </cell>
          <cell r="I330">
            <v>0</v>
          </cell>
          <cell r="J330">
            <v>0</v>
          </cell>
          <cell r="K330">
            <v>0</v>
          </cell>
          <cell r="L330">
            <v>0</v>
          </cell>
          <cell r="M330">
            <v>0</v>
          </cell>
          <cell r="AE330">
            <v>0</v>
          </cell>
          <cell r="AF330">
            <v>0</v>
          </cell>
          <cell r="AH330">
            <v>0</v>
          </cell>
          <cell r="AI330">
            <v>0</v>
          </cell>
          <cell r="AJ330">
            <v>0</v>
          </cell>
          <cell r="AK330">
            <v>0</v>
          </cell>
          <cell r="AL330">
            <v>0</v>
          </cell>
          <cell r="AM330">
            <v>0</v>
          </cell>
          <cell r="AP330">
            <v>0</v>
          </cell>
        </row>
        <row r="331">
          <cell r="B331" t="str">
            <v>Sep 2015</v>
          </cell>
          <cell r="C331" t="str">
            <v>AES3</v>
          </cell>
          <cell r="D331" t="str">
            <v>AES3</v>
          </cell>
          <cell r="E331" t="str">
            <v>KUCME224</v>
          </cell>
          <cell r="F331">
            <v>260</v>
          </cell>
          <cell r="G331">
            <v>0</v>
          </cell>
          <cell r="H331">
            <v>0</v>
          </cell>
          <cell r="I331">
            <v>0</v>
          </cell>
          <cell r="J331">
            <v>9652888</v>
          </cell>
          <cell r="K331">
            <v>39766</v>
          </cell>
          <cell r="L331">
            <v>0</v>
          </cell>
          <cell r="M331">
            <v>0</v>
          </cell>
          <cell r="AE331">
            <v>727274.87</v>
          </cell>
          <cell r="AF331">
            <v>727274</v>
          </cell>
          <cell r="AH331">
            <v>4050</v>
          </cell>
          <cell r="AI331">
            <v>18230</v>
          </cell>
          <cell r="AJ331">
            <v>54981</v>
          </cell>
          <cell r="AK331">
            <v>0</v>
          </cell>
          <cell r="AL331">
            <v>0</v>
          </cell>
          <cell r="AM331">
            <v>804535</v>
          </cell>
          <cell r="AP331">
            <v>279161.52</v>
          </cell>
        </row>
        <row r="332">
          <cell r="B332" t="str">
            <v>Sep 2015</v>
          </cell>
          <cell r="C332" t="str">
            <v>AES3</v>
          </cell>
          <cell r="D332" t="str">
            <v>AES3</v>
          </cell>
          <cell r="E332" t="str">
            <v>KUCME225</v>
          </cell>
          <cell r="F332">
            <v>0</v>
          </cell>
          <cell r="G332">
            <v>0</v>
          </cell>
          <cell r="H332">
            <v>0</v>
          </cell>
          <cell r="I332">
            <v>0</v>
          </cell>
          <cell r="J332">
            <v>0</v>
          </cell>
          <cell r="K332">
            <v>0</v>
          </cell>
          <cell r="L332">
            <v>0</v>
          </cell>
          <cell r="M332">
            <v>0</v>
          </cell>
          <cell r="AE332">
            <v>0</v>
          </cell>
          <cell r="AF332">
            <v>0</v>
          </cell>
          <cell r="AH332">
            <v>0</v>
          </cell>
          <cell r="AI332">
            <v>0</v>
          </cell>
          <cell r="AJ332">
            <v>0</v>
          </cell>
          <cell r="AK332">
            <v>0</v>
          </cell>
          <cell r="AL332">
            <v>0</v>
          </cell>
          <cell r="AM332">
            <v>0</v>
          </cell>
          <cell r="AP332">
            <v>0</v>
          </cell>
        </row>
        <row r="333">
          <cell r="B333" t="str">
            <v>Sep 2015</v>
          </cell>
          <cell r="C333" t="str">
            <v>AES</v>
          </cell>
          <cell r="D333" t="str">
            <v>AES</v>
          </cell>
          <cell r="E333" t="str">
            <v>KUCME226</v>
          </cell>
          <cell r="F333">
            <v>0</v>
          </cell>
          <cell r="G333">
            <v>0</v>
          </cell>
          <cell r="H333">
            <v>0</v>
          </cell>
          <cell r="I333">
            <v>0</v>
          </cell>
          <cell r="J333">
            <v>0</v>
          </cell>
          <cell r="K333">
            <v>0</v>
          </cell>
          <cell r="L333">
            <v>0</v>
          </cell>
          <cell r="M333">
            <v>0</v>
          </cell>
          <cell r="AE333">
            <v>0</v>
          </cell>
          <cell r="AF333">
            <v>0</v>
          </cell>
          <cell r="AH333">
            <v>0</v>
          </cell>
          <cell r="AI333">
            <v>0</v>
          </cell>
          <cell r="AJ333">
            <v>0</v>
          </cell>
          <cell r="AK333">
            <v>0</v>
          </cell>
          <cell r="AL333">
            <v>0</v>
          </cell>
          <cell r="AM333">
            <v>0</v>
          </cell>
          <cell r="AP333">
            <v>0</v>
          </cell>
        </row>
        <row r="334">
          <cell r="B334" t="str">
            <v>Sep 2015</v>
          </cell>
          <cell r="C334" t="str">
            <v>AES3</v>
          </cell>
          <cell r="D334" t="str">
            <v>AES3</v>
          </cell>
          <cell r="E334" t="str">
            <v>KUCME227</v>
          </cell>
          <cell r="F334">
            <v>0</v>
          </cell>
          <cell r="G334">
            <v>0</v>
          </cell>
          <cell r="H334">
            <v>0</v>
          </cell>
          <cell r="I334">
            <v>0</v>
          </cell>
          <cell r="J334">
            <v>0</v>
          </cell>
          <cell r="K334">
            <v>0</v>
          </cell>
          <cell r="L334">
            <v>0</v>
          </cell>
          <cell r="M334">
            <v>0</v>
          </cell>
          <cell r="AE334">
            <v>0</v>
          </cell>
          <cell r="AF334">
            <v>0</v>
          </cell>
          <cell r="AH334">
            <v>0</v>
          </cell>
          <cell r="AI334">
            <v>0</v>
          </cell>
          <cell r="AJ334">
            <v>0</v>
          </cell>
          <cell r="AK334">
            <v>0</v>
          </cell>
          <cell r="AL334">
            <v>0</v>
          </cell>
          <cell r="AM334">
            <v>0</v>
          </cell>
          <cell r="AP334">
            <v>0</v>
          </cell>
        </row>
        <row r="335">
          <cell r="B335" t="str">
            <v>Sep 2015</v>
          </cell>
          <cell r="C335" t="str">
            <v>LE</v>
          </cell>
          <cell r="D335" t="str">
            <v>LE</v>
          </cell>
          <cell r="E335" t="str">
            <v>KUCME290</v>
          </cell>
          <cell r="F335">
            <v>2</v>
          </cell>
          <cell r="G335">
            <v>0</v>
          </cell>
          <cell r="H335">
            <v>0</v>
          </cell>
          <cell r="I335">
            <v>0</v>
          </cell>
          <cell r="J335">
            <v>12721</v>
          </cell>
          <cell r="K335">
            <v>0</v>
          </cell>
          <cell r="L335">
            <v>0</v>
          </cell>
          <cell r="M335">
            <v>0</v>
          </cell>
          <cell r="AE335">
            <v>811.6</v>
          </cell>
          <cell r="AF335">
            <v>0</v>
          </cell>
          <cell r="AH335">
            <v>0</v>
          </cell>
          <cell r="AI335">
            <v>0</v>
          </cell>
          <cell r="AJ335">
            <v>0</v>
          </cell>
          <cell r="AK335">
            <v>0</v>
          </cell>
          <cell r="AL335">
            <v>0</v>
          </cell>
          <cell r="AM335">
            <v>0</v>
          </cell>
          <cell r="AP335">
            <v>367.89</v>
          </cell>
        </row>
        <row r="336">
          <cell r="B336" t="str">
            <v>Sep 2015</v>
          </cell>
          <cell r="C336" t="str">
            <v>LE</v>
          </cell>
          <cell r="D336" t="str">
            <v>LE</v>
          </cell>
          <cell r="E336" t="str">
            <v>KUCME291</v>
          </cell>
          <cell r="F336">
            <v>0</v>
          </cell>
          <cell r="G336">
            <v>0</v>
          </cell>
          <cell r="H336">
            <v>0</v>
          </cell>
          <cell r="I336">
            <v>0</v>
          </cell>
          <cell r="J336">
            <v>0</v>
          </cell>
          <cell r="K336">
            <v>0</v>
          </cell>
          <cell r="L336">
            <v>0</v>
          </cell>
          <cell r="M336">
            <v>0</v>
          </cell>
          <cell r="AE336">
            <v>0</v>
          </cell>
          <cell r="AF336">
            <v>0</v>
          </cell>
          <cell r="AH336">
            <v>0</v>
          </cell>
          <cell r="AI336">
            <v>0</v>
          </cell>
          <cell r="AJ336">
            <v>0</v>
          </cell>
          <cell r="AK336">
            <v>0</v>
          </cell>
          <cell r="AL336">
            <v>0</v>
          </cell>
          <cell r="AM336">
            <v>0</v>
          </cell>
          <cell r="AP336">
            <v>0</v>
          </cell>
        </row>
        <row r="337">
          <cell r="B337" t="str">
            <v>Sep 2015</v>
          </cell>
          <cell r="C337" t="str">
            <v>TE</v>
          </cell>
          <cell r="D337" t="str">
            <v>TE</v>
          </cell>
          <cell r="E337" t="str">
            <v>KUCME295</v>
          </cell>
          <cell r="F337">
            <v>747</v>
          </cell>
          <cell r="G337">
            <v>0</v>
          </cell>
          <cell r="H337">
            <v>0</v>
          </cell>
          <cell r="I337">
            <v>0</v>
          </cell>
          <cell r="J337">
            <v>91750</v>
          </cell>
          <cell r="K337">
            <v>0</v>
          </cell>
          <cell r="L337">
            <v>0</v>
          </cell>
          <cell r="M337">
            <v>0</v>
          </cell>
          <cell r="AE337">
            <v>9747.57</v>
          </cell>
          <cell r="AF337">
            <v>0</v>
          </cell>
          <cell r="AH337">
            <v>0</v>
          </cell>
          <cell r="AI337">
            <v>0</v>
          </cell>
          <cell r="AJ337">
            <v>0</v>
          </cell>
          <cell r="AK337">
            <v>0</v>
          </cell>
          <cell r="AL337">
            <v>0</v>
          </cell>
          <cell r="AM337">
            <v>0</v>
          </cell>
          <cell r="AP337">
            <v>2653.41</v>
          </cell>
        </row>
        <row r="338">
          <cell r="B338" t="str">
            <v>Sep 2015</v>
          </cell>
          <cell r="C338" t="str">
            <v>TE</v>
          </cell>
          <cell r="D338" t="str">
            <v>TE</v>
          </cell>
          <cell r="E338" t="str">
            <v>KUCME297</v>
          </cell>
          <cell r="F338">
            <v>0</v>
          </cell>
          <cell r="G338">
            <v>0</v>
          </cell>
          <cell r="H338">
            <v>0</v>
          </cell>
          <cell r="I338">
            <v>0</v>
          </cell>
          <cell r="J338">
            <v>0</v>
          </cell>
          <cell r="K338">
            <v>0</v>
          </cell>
          <cell r="L338">
            <v>0</v>
          </cell>
          <cell r="M338">
            <v>0</v>
          </cell>
          <cell r="AE338">
            <v>0</v>
          </cell>
          <cell r="AF338">
            <v>0</v>
          </cell>
          <cell r="AH338">
            <v>0</v>
          </cell>
          <cell r="AI338">
            <v>0</v>
          </cell>
          <cell r="AJ338">
            <v>0</v>
          </cell>
          <cell r="AK338">
            <v>0</v>
          </cell>
          <cell r="AL338">
            <v>0</v>
          </cell>
          <cell r="AM338">
            <v>0</v>
          </cell>
          <cell r="AP338">
            <v>0</v>
          </cell>
        </row>
        <row r="339">
          <cell r="B339" t="str">
            <v>Sep 2015</v>
          </cell>
          <cell r="C339" t="str">
            <v>SQF</v>
          </cell>
          <cell r="D339" t="str">
            <v>SQF</v>
          </cell>
          <cell r="E339" t="str">
            <v>KUCME705</v>
          </cell>
          <cell r="F339">
            <v>0</v>
          </cell>
          <cell r="G339">
            <v>0</v>
          </cell>
          <cell r="H339">
            <v>0</v>
          </cell>
          <cell r="I339">
            <v>0</v>
          </cell>
          <cell r="J339">
            <v>0</v>
          </cell>
          <cell r="K339">
            <v>0</v>
          </cell>
          <cell r="L339">
            <v>0</v>
          </cell>
          <cell r="M339">
            <v>0</v>
          </cell>
          <cell r="AE339">
            <v>0</v>
          </cell>
          <cell r="AF339">
            <v>0</v>
          </cell>
          <cell r="AH339">
            <v>0</v>
          </cell>
          <cell r="AI339">
            <v>0</v>
          </cell>
          <cell r="AJ339">
            <v>0</v>
          </cell>
          <cell r="AK339">
            <v>0</v>
          </cell>
          <cell r="AL339">
            <v>0</v>
          </cell>
          <cell r="AM339">
            <v>0</v>
          </cell>
          <cell r="AP339">
            <v>0</v>
          </cell>
        </row>
        <row r="340">
          <cell r="B340" t="str">
            <v>Sep 2015</v>
          </cell>
          <cell r="C340" t="str">
            <v>LQF</v>
          </cell>
          <cell r="D340" t="str">
            <v>LQF</v>
          </cell>
          <cell r="E340" t="str">
            <v>KUCME707</v>
          </cell>
          <cell r="F340">
            <v>0</v>
          </cell>
          <cell r="G340">
            <v>0</v>
          </cell>
          <cell r="H340">
            <v>0</v>
          </cell>
          <cell r="I340">
            <v>0</v>
          </cell>
          <cell r="J340">
            <v>0</v>
          </cell>
          <cell r="K340">
            <v>0</v>
          </cell>
          <cell r="L340">
            <v>0</v>
          </cell>
          <cell r="M340">
            <v>0</v>
          </cell>
          <cell r="AE340">
            <v>0</v>
          </cell>
          <cell r="AF340">
            <v>0</v>
          </cell>
          <cell r="AH340">
            <v>0</v>
          </cell>
          <cell r="AI340">
            <v>0</v>
          </cell>
          <cell r="AJ340">
            <v>0</v>
          </cell>
          <cell r="AK340">
            <v>0</v>
          </cell>
          <cell r="AL340">
            <v>0</v>
          </cell>
          <cell r="AM340">
            <v>0</v>
          </cell>
          <cell r="AP340">
            <v>0</v>
          </cell>
        </row>
        <row r="341">
          <cell r="B341" t="str">
            <v>Sep 2015</v>
          </cell>
          <cell r="C341" t="str">
            <v>GS</v>
          </cell>
          <cell r="D341" t="str">
            <v>GS</v>
          </cell>
          <cell r="E341" t="str">
            <v>KUCME710</v>
          </cell>
          <cell r="F341">
            <v>0</v>
          </cell>
          <cell r="G341">
            <v>0</v>
          </cell>
          <cell r="H341">
            <v>0</v>
          </cell>
          <cell r="I341">
            <v>0</v>
          </cell>
          <cell r="J341">
            <v>0</v>
          </cell>
          <cell r="K341">
            <v>0</v>
          </cell>
          <cell r="L341">
            <v>0</v>
          </cell>
          <cell r="M341">
            <v>0</v>
          </cell>
          <cell r="AE341">
            <v>0</v>
          </cell>
          <cell r="AF341">
            <v>0</v>
          </cell>
          <cell r="AH341">
            <v>0</v>
          </cell>
          <cell r="AI341">
            <v>0</v>
          </cell>
          <cell r="AJ341">
            <v>0</v>
          </cell>
          <cell r="AK341">
            <v>0</v>
          </cell>
          <cell r="AL341">
            <v>0</v>
          </cell>
          <cell r="AM341">
            <v>0</v>
          </cell>
          <cell r="AP341">
            <v>0</v>
          </cell>
        </row>
        <row r="342">
          <cell r="B342" t="str">
            <v>Sep 2015</v>
          </cell>
          <cell r="C342" t="str">
            <v>GS3</v>
          </cell>
          <cell r="D342" t="str">
            <v>GS3</v>
          </cell>
          <cell r="E342" t="str">
            <v>KUCME713</v>
          </cell>
          <cell r="F342">
            <v>0</v>
          </cell>
          <cell r="G342">
            <v>0</v>
          </cell>
          <cell r="H342">
            <v>0</v>
          </cell>
          <cell r="I342">
            <v>0</v>
          </cell>
          <cell r="J342">
            <v>0</v>
          </cell>
          <cell r="K342">
            <v>0</v>
          </cell>
          <cell r="L342">
            <v>0</v>
          </cell>
          <cell r="M342">
            <v>0</v>
          </cell>
          <cell r="AE342">
            <v>0</v>
          </cell>
          <cell r="AF342">
            <v>0</v>
          </cell>
          <cell r="AH342">
            <v>0</v>
          </cell>
          <cell r="AI342">
            <v>0</v>
          </cell>
          <cell r="AJ342">
            <v>0</v>
          </cell>
          <cell r="AK342">
            <v>0</v>
          </cell>
          <cell r="AL342">
            <v>0</v>
          </cell>
          <cell r="AM342">
            <v>0</v>
          </cell>
          <cell r="AP342">
            <v>0</v>
          </cell>
        </row>
        <row r="343">
          <cell r="B343" t="str">
            <v>Sep 2015</v>
          </cell>
          <cell r="C343" t="str">
            <v>CSR10</v>
          </cell>
          <cell r="D343" t="str">
            <v>CSR10</v>
          </cell>
          <cell r="E343" t="str">
            <v>KUCSR760</v>
          </cell>
          <cell r="F343">
            <v>0</v>
          </cell>
          <cell r="G343">
            <v>0</v>
          </cell>
          <cell r="H343">
            <v>0</v>
          </cell>
          <cell r="I343">
            <v>0</v>
          </cell>
          <cell r="J343">
            <v>0</v>
          </cell>
          <cell r="K343">
            <v>0</v>
          </cell>
          <cell r="L343">
            <v>0</v>
          </cell>
          <cell r="M343">
            <v>0</v>
          </cell>
          <cell r="AE343">
            <v>0</v>
          </cell>
          <cell r="AF343">
            <v>0</v>
          </cell>
          <cell r="AH343">
            <v>0</v>
          </cell>
          <cell r="AI343">
            <v>0</v>
          </cell>
          <cell r="AJ343">
            <v>0</v>
          </cell>
          <cell r="AK343">
            <v>0</v>
          </cell>
          <cell r="AL343">
            <v>-989829</v>
          </cell>
          <cell r="AM343">
            <v>-989829</v>
          </cell>
          <cell r="AP343">
            <v>0</v>
          </cell>
        </row>
        <row r="344">
          <cell r="B344" t="str">
            <v>Sep 2015</v>
          </cell>
          <cell r="C344" t="str">
            <v>CSR10</v>
          </cell>
          <cell r="D344" t="str">
            <v>CSR10</v>
          </cell>
          <cell r="E344" t="str">
            <v>KUCSR761</v>
          </cell>
          <cell r="F344">
            <v>0</v>
          </cell>
          <cell r="G344">
            <v>0</v>
          </cell>
          <cell r="H344">
            <v>0</v>
          </cell>
          <cell r="I344">
            <v>0</v>
          </cell>
          <cell r="J344">
            <v>0</v>
          </cell>
          <cell r="K344">
            <v>0</v>
          </cell>
          <cell r="L344">
            <v>0</v>
          </cell>
          <cell r="M344">
            <v>0</v>
          </cell>
          <cell r="AE344">
            <v>0</v>
          </cell>
          <cell r="AF344">
            <v>0</v>
          </cell>
          <cell r="AH344">
            <v>0</v>
          </cell>
          <cell r="AI344">
            <v>0</v>
          </cell>
          <cell r="AJ344">
            <v>0</v>
          </cell>
          <cell r="AK344">
            <v>0</v>
          </cell>
          <cell r="AL344">
            <v>0</v>
          </cell>
          <cell r="AM344">
            <v>0</v>
          </cell>
          <cell r="AP344">
            <v>0</v>
          </cell>
        </row>
        <row r="345">
          <cell r="B345" t="str">
            <v>Sep 2015</v>
          </cell>
          <cell r="C345" t="str">
            <v>CSR30</v>
          </cell>
          <cell r="D345" t="str">
            <v>CSR30</v>
          </cell>
          <cell r="E345" t="str">
            <v>KUCSR780</v>
          </cell>
          <cell r="F345">
            <v>0</v>
          </cell>
          <cell r="G345">
            <v>0</v>
          </cell>
          <cell r="H345">
            <v>0</v>
          </cell>
          <cell r="I345">
            <v>0</v>
          </cell>
          <cell r="J345">
            <v>0</v>
          </cell>
          <cell r="K345">
            <v>0</v>
          </cell>
          <cell r="L345">
            <v>0</v>
          </cell>
          <cell r="M345">
            <v>0</v>
          </cell>
          <cell r="AE345">
            <v>0</v>
          </cell>
          <cell r="AF345">
            <v>0</v>
          </cell>
          <cell r="AH345">
            <v>0</v>
          </cell>
          <cell r="AI345">
            <v>0</v>
          </cell>
          <cell r="AJ345">
            <v>0</v>
          </cell>
          <cell r="AK345">
            <v>0</v>
          </cell>
          <cell r="AL345">
            <v>0</v>
          </cell>
          <cell r="AM345">
            <v>0</v>
          </cell>
          <cell r="AP345">
            <v>0</v>
          </cell>
        </row>
        <row r="346">
          <cell r="B346" t="str">
            <v>Sep 2015</v>
          </cell>
          <cell r="C346" t="str">
            <v>CSR30</v>
          </cell>
          <cell r="D346" t="str">
            <v>CSR30</v>
          </cell>
          <cell r="E346" t="str">
            <v>KUCSR781</v>
          </cell>
          <cell r="F346">
            <v>0</v>
          </cell>
          <cell r="G346">
            <v>0</v>
          </cell>
          <cell r="H346">
            <v>0</v>
          </cell>
          <cell r="I346">
            <v>0</v>
          </cell>
          <cell r="J346">
            <v>0</v>
          </cell>
          <cell r="K346">
            <v>0</v>
          </cell>
          <cell r="L346">
            <v>0</v>
          </cell>
          <cell r="M346">
            <v>0</v>
          </cell>
          <cell r="AE346">
            <v>0</v>
          </cell>
          <cell r="AF346">
            <v>0</v>
          </cell>
          <cell r="AH346">
            <v>0</v>
          </cell>
          <cell r="AI346">
            <v>0</v>
          </cell>
          <cell r="AJ346">
            <v>0</v>
          </cell>
          <cell r="AK346">
            <v>0</v>
          </cell>
          <cell r="AL346">
            <v>0</v>
          </cell>
          <cell r="AM346">
            <v>0</v>
          </cell>
          <cell r="AP346">
            <v>0</v>
          </cell>
        </row>
        <row r="347">
          <cell r="B347" t="str">
            <v>Sep 2015</v>
          </cell>
          <cell r="C347" t="str">
            <v>CSR30</v>
          </cell>
          <cell r="D347" t="str">
            <v>CSR30</v>
          </cell>
          <cell r="E347" t="str">
            <v>KUCSR783</v>
          </cell>
          <cell r="F347">
            <v>0</v>
          </cell>
          <cell r="G347">
            <v>0</v>
          </cell>
          <cell r="H347">
            <v>0</v>
          </cell>
          <cell r="I347">
            <v>0</v>
          </cell>
          <cell r="J347">
            <v>0</v>
          </cell>
          <cell r="K347">
            <v>0</v>
          </cell>
          <cell r="L347">
            <v>0</v>
          </cell>
          <cell r="M347">
            <v>0</v>
          </cell>
          <cell r="AE347">
            <v>0</v>
          </cell>
          <cell r="AF347">
            <v>0</v>
          </cell>
          <cell r="AH347">
            <v>0</v>
          </cell>
          <cell r="AI347">
            <v>0</v>
          </cell>
          <cell r="AJ347">
            <v>0</v>
          </cell>
          <cell r="AK347">
            <v>0</v>
          </cell>
          <cell r="AL347">
            <v>0</v>
          </cell>
          <cell r="AM347">
            <v>0</v>
          </cell>
          <cell r="AP347">
            <v>0</v>
          </cell>
        </row>
        <row r="348">
          <cell r="B348" t="str">
            <v>Sep 2015</v>
          </cell>
          <cell r="C348" t="str">
            <v>FLS</v>
          </cell>
          <cell r="D348" t="str">
            <v>FLST</v>
          </cell>
          <cell r="E348" t="str">
            <v>KUINE730</v>
          </cell>
          <cell r="F348">
            <v>1</v>
          </cell>
          <cell r="G348">
            <v>0</v>
          </cell>
          <cell r="H348">
            <v>0</v>
          </cell>
          <cell r="I348">
            <v>0</v>
          </cell>
          <cell r="J348">
            <v>45641536</v>
          </cell>
          <cell r="K348">
            <v>185158</v>
          </cell>
          <cell r="L348">
            <v>185158</v>
          </cell>
          <cell r="M348">
            <v>101388</v>
          </cell>
          <cell r="AE348">
            <v>2209321.63</v>
          </cell>
          <cell r="AF348">
            <v>2209320</v>
          </cell>
          <cell r="AH348">
            <v>19147</v>
          </cell>
          <cell r="AI348">
            <v>0</v>
          </cell>
          <cell r="AJ348">
            <v>259965</v>
          </cell>
          <cell r="AK348">
            <v>0</v>
          </cell>
          <cell r="AL348">
            <v>0</v>
          </cell>
          <cell r="AM348">
            <v>2488432</v>
          </cell>
          <cell r="AP348">
            <v>1319953.22</v>
          </cell>
        </row>
        <row r="349">
          <cell r="B349" t="str">
            <v>Sep 2015</v>
          </cell>
          <cell r="C349" t="str">
            <v>RS</v>
          </cell>
          <cell r="D349" t="str">
            <v>RS</v>
          </cell>
          <cell r="E349" t="str">
            <v>KURSE010</v>
          </cell>
          <cell r="F349">
            <v>429693</v>
          </cell>
          <cell r="G349">
            <v>0</v>
          </cell>
          <cell r="H349">
            <v>0</v>
          </cell>
          <cell r="I349">
            <v>0</v>
          </cell>
          <cell r="J349">
            <v>450429077</v>
          </cell>
          <cell r="K349">
            <v>0</v>
          </cell>
          <cell r="L349">
            <v>0</v>
          </cell>
          <cell r="M349">
            <v>0</v>
          </cell>
          <cell r="AE349">
            <v>39500427.469999999</v>
          </cell>
          <cell r="AF349">
            <v>39501022</v>
          </cell>
          <cell r="AH349">
            <v>188965</v>
          </cell>
          <cell r="AI349">
            <v>850661</v>
          </cell>
          <cell r="AJ349">
            <v>2565596</v>
          </cell>
          <cell r="AK349">
            <v>0</v>
          </cell>
          <cell r="AL349">
            <v>0</v>
          </cell>
          <cell r="AM349">
            <v>43106244</v>
          </cell>
          <cell r="AP349">
            <v>13026408.91</v>
          </cell>
        </row>
        <row r="350">
          <cell r="B350" t="str">
            <v>Sep 2015</v>
          </cell>
          <cell r="C350" t="str">
            <v>RS</v>
          </cell>
          <cell r="D350" t="str">
            <v>RS</v>
          </cell>
          <cell r="E350" t="str">
            <v>KURSE020</v>
          </cell>
          <cell r="F350">
            <v>0</v>
          </cell>
          <cell r="G350">
            <v>0</v>
          </cell>
          <cell r="H350">
            <v>0</v>
          </cell>
          <cell r="I350">
            <v>0</v>
          </cell>
          <cell r="J350">
            <v>0</v>
          </cell>
          <cell r="K350">
            <v>0</v>
          </cell>
          <cell r="L350">
            <v>0</v>
          </cell>
          <cell r="M350">
            <v>0</v>
          </cell>
          <cell r="AE350">
            <v>0</v>
          </cell>
          <cell r="AF350">
            <v>0</v>
          </cell>
          <cell r="AH350">
            <v>0</v>
          </cell>
          <cell r="AI350">
            <v>0</v>
          </cell>
          <cell r="AJ350">
            <v>0</v>
          </cell>
          <cell r="AK350">
            <v>0</v>
          </cell>
          <cell r="AL350">
            <v>0</v>
          </cell>
          <cell r="AM350">
            <v>0</v>
          </cell>
          <cell r="AP350">
            <v>0</v>
          </cell>
        </row>
        <row r="351">
          <cell r="B351" t="str">
            <v>Sep 2015</v>
          </cell>
          <cell r="C351" t="str">
            <v>RS</v>
          </cell>
          <cell r="D351" t="str">
            <v>RS</v>
          </cell>
          <cell r="E351" t="str">
            <v>KURSE025</v>
          </cell>
          <cell r="F351">
            <v>0</v>
          </cell>
          <cell r="G351">
            <v>0</v>
          </cell>
          <cell r="H351">
            <v>0</v>
          </cell>
          <cell r="I351">
            <v>0</v>
          </cell>
          <cell r="J351">
            <v>0</v>
          </cell>
          <cell r="K351">
            <v>0</v>
          </cell>
          <cell r="L351">
            <v>0</v>
          </cell>
          <cell r="M351">
            <v>0</v>
          </cell>
          <cell r="AE351">
            <v>0</v>
          </cell>
          <cell r="AF351">
            <v>0</v>
          </cell>
          <cell r="AH351">
            <v>0</v>
          </cell>
          <cell r="AI351">
            <v>0</v>
          </cell>
          <cell r="AJ351">
            <v>0</v>
          </cell>
          <cell r="AK351">
            <v>0</v>
          </cell>
          <cell r="AL351">
            <v>0</v>
          </cell>
          <cell r="AM351">
            <v>0</v>
          </cell>
          <cell r="AP351">
            <v>0</v>
          </cell>
        </row>
        <row r="352">
          <cell r="B352" t="str">
            <v>Sep 2015</v>
          </cell>
          <cell r="C352" t="str">
            <v>LEV</v>
          </cell>
          <cell r="D352" t="str">
            <v>RSLEV</v>
          </cell>
          <cell r="E352" t="str">
            <v>KURSE040</v>
          </cell>
          <cell r="F352">
            <v>7</v>
          </cell>
          <cell r="G352">
            <v>4218</v>
          </cell>
          <cell r="H352">
            <v>1626</v>
          </cell>
          <cell r="I352">
            <v>919</v>
          </cell>
          <cell r="J352">
            <v>6763</v>
          </cell>
          <cell r="K352">
            <v>0</v>
          </cell>
          <cell r="L352">
            <v>0</v>
          </cell>
          <cell r="M352">
            <v>0</v>
          </cell>
          <cell r="AE352">
            <v>568.53</v>
          </cell>
          <cell r="AF352">
            <v>0</v>
          </cell>
          <cell r="AH352">
            <v>0</v>
          </cell>
          <cell r="AI352">
            <v>0</v>
          </cell>
          <cell r="AJ352">
            <v>0</v>
          </cell>
          <cell r="AK352">
            <v>0</v>
          </cell>
          <cell r="AL352">
            <v>0</v>
          </cell>
          <cell r="AM352">
            <v>0</v>
          </cell>
          <cell r="AP352">
            <v>195.59</v>
          </cell>
        </row>
        <row r="353">
          <cell r="B353" t="str">
            <v>Sep 2015</v>
          </cell>
          <cell r="C353" t="str">
            <v>RS</v>
          </cell>
          <cell r="D353" t="str">
            <v>RSVFD</v>
          </cell>
          <cell r="E353" t="str">
            <v>KURSE080</v>
          </cell>
          <cell r="F353">
            <v>0</v>
          </cell>
          <cell r="G353">
            <v>0</v>
          </cell>
          <cell r="H353">
            <v>0</v>
          </cell>
          <cell r="I353">
            <v>0</v>
          </cell>
          <cell r="J353">
            <v>0</v>
          </cell>
          <cell r="K353">
            <v>0</v>
          </cell>
          <cell r="L353">
            <v>0</v>
          </cell>
          <cell r="M353">
            <v>0</v>
          </cell>
          <cell r="AE353">
            <v>0</v>
          </cell>
          <cell r="AF353">
            <v>0</v>
          </cell>
          <cell r="AH353">
            <v>0</v>
          </cell>
          <cell r="AI353">
            <v>0</v>
          </cell>
          <cell r="AJ353">
            <v>0</v>
          </cell>
          <cell r="AK353">
            <v>0</v>
          </cell>
          <cell r="AL353">
            <v>0</v>
          </cell>
          <cell r="AM353">
            <v>0</v>
          </cell>
          <cell r="AP353">
            <v>0</v>
          </cell>
        </row>
        <row r="354">
          <cell r="B354" t="str">
            <v>Sep 2015</v>
          </cell>
          <cell r="C354" t="str">
            <v>RS</v>
          </cell>
          <cell r="D354" t="str">
            <v>RS</v>
          </cell>
          <cell r="E354" t="str">
            <v>KURSE715</v>
          </cell>
          <cell r="F354">
            <v>0</v>
          </cell>
          <cell r="G354">
            <v>0</v>
          </cell>
          <cell r="H354">
            <v>0</v>
          </cell>
          <cell r="I354">
            <v>0</v>
          </cell>
          <cell r="J354">
            <v>0</v>
          </cell>
          <cell r="K354">
            <v>0</v>
          </cell>
          <cell r="L354">
            <v>0</v>
          </cell>
          <cell r="M354">
            <v>0</v>
          </cell>
          <cell r="AE354">
            <v>0</v>
          </cell>
          <cell r="AF354">
            <v>0</v>
          </cell>
          <cell r="AH354">
            <v>0</v>
          </cell>
          <cell r="AI354">
            <v>0</v>
          </cell>
          <cell r="AJ354">
            <v>0</v>
          </cell>
          <cell r="AK354">
            <v>0</v>
          </cell>
          <cell r="AL354">
            <v>0</v>
          </cell>
          <cell r="AM354">
            <v>0</v>
          </cell>
          <cell r="AP354">
            <v>0</v>
          </cell>
        </row>
        <row r="355">
          <cell r="B355" t="str">
            <v>Oct 2015</v>
          </cell>
          <cell r="C355" t="str">
            <v>RTS</v>
          </cell>
          <cell r="D355" t="str">
            <v>RTS</v>
          </cell>
          <cell r="E355" t="str">
            <v>KUCIE550</v>
          </cell>
          <cell r="F355">
            <v>32</v>
          </cell>
          <cell r="G355">
            <v>0</v>
          </cell>
          <cell r="H355">
            <v>0</v>
          </cell>
          <cell r="I355">
            <v>0</v>
          </cell>
          <cell r="J355">
            <v>127037667</v>
          </cell>
          <cell r="K355">
            <v>295166</v>
          </cell>
          <cell r="L355">
            <v>285093</v>
          </cell>
          <cell r="M355">
            <v>280936</v>
          </cell>
          <cell r="AE355">
            <v>6969604.0900000008</v>
          </cell>
          <cell r="AF355">
            <v>6969607</v>
          </cell>
          <cell r="AH355">
            <v>301122</v>
          </cell>
          <cell r="AI355">
            <v>0</v>
          </cell>
          <cell r="AJ355">
            <v>793636</v>
          </cell>
          <cell r="AK355">
            <v>0</v>
          </cell>
          <cell r="AL355">
            <v>0</v>
          </cell>
          <cell r="AM355">
            <v>8064365</v>
          </cell>
          <cell r="AP355">
            <v>3673929.33</v>
          </cell>
        </row>
        <row r="356">
          <cell r="B356" t="str">
            <v>Oct 2015</v>
          </cell>
          <cell r="C356" t="str">
            <v>PSP</v>
          </cell>
          <cell r="D356" t="str">
            <v>PSP</v>
          </cell>
          <cell r="E356" t="str">
            <v>KUCIE561</v>
          </cell>
          <cell r="F356">
            <v>199</v>
          </cell>
          <cell r="G356">
            <v>0</v>
          </cell>
          <cell r="H356">
            <v>0</v>
          </cell>
          <cell r="I356">
            <v>0</v>
          </cell>
          <cell r="J356">
            <v>18810649</v>
          </cell>
          <cell r="K356">
            <v>0</v>
          </cell>
          <cell r="L356">
            <v>55989</v>
          </cell>
          <cell r="M356">
            <v>0</v>
          </cell>
          <cell r="AE356">
            <v>1441800.3399999999</v>
          </cell>
          <cell r="AF356">
            <v>1441801</v>
          </cell>
          <cell r="AH356">
            <v>44588</v>
          </cell>
          <cell r="AI356">
            <v>35817</v>
          </cell>
          <cell r="AJ356">
            <v>117515</v>
          </cell>
          <cell r="AK356">
            <v>0</v>
          </cell>
          <cell r="AL356">
            <v>0</v>
          </cell>
          <cell r="AM356">
            <v>1639721</v>
          </cell>
          <cell r="AP356">
            <v>544003.97</v>
          </cell>
        </row>
        <row r="357">
          <cell r="B357" t="str">
            <v>Oct 2015</v>
          </cell>
          <cell r="C357" t="str">
            <v>PSS</v>
          </cell>
          <cell r="D357" t="str">
            <v>PSS</v>
          </cell>
          <cell r="E357" t="str">
            <v>KUCIE562</v>
          </cell>
          <cell r="F357">
            <v>4680</v>
          </cell>
          <cell r="G357">
            <v>0</v>
          </cell>
          <cell r="H357">
            <v>0</v>
          </cell>
          <cell r="I357">
            <v>0</v>
          </cell>
          <cell r="J357">
            <v>169242348</v>
          </cell>
          <cell r="K357">
            <v>0</v>
          </cell>
          <cell r="L357">
            <v>565093</v>
          </cell>
          <cell r="M357">
            <v>0</v>
          </cell>
          <cell r="AE357">
            <v>13912224.879999999</v>
          </cell>
          <cell r="AF357">
            <v>13912221</v>
          </cell>
          <cell r="AH357">
            <v>401161</v>
          </cell>
          <cell r="AI357">
            <v>322255</v>
          </cell>
          <cell r="AJ357">
            <v>1057300</v>
          </cell>
          <cell r="AK357">
            <v>0</v>
          </cell>
          <cell r="AL357">
            <v>0</v>
          </cell>
          <cell r="AM357">
            <v>15692937</v>
          </cell>
          <cell r="AP357">
            <v>4894488.7</v>
          </cell>
        </row>
        <row r="358">
          <cell r="B358" t="str">
            <v>Oct 2015</v>
          </cell>
          <cell r="C358" t="str">
            <v>TODP</v>
          </cell>
          <cell r="D358" t="str">
            <v>TODP</v>
          </cell>
          <cell r="E358" t="str">
            <v>KUCIE563</v>
          </cell>
          <cell r="F358">
            <v>52</v>
          </cell>
          <cell r="G358">
            <v>0</v>
          </cell>
          <cell r="H358">
            <v>0</v>
          </cell>
          <cell r="I358">
            <v>0</v>
          </cell>
          <cell r="J358">
            <v>242601164</v>
          </cell>
          <cell r="K358">
            <v>537698</v>
          </cell>
          <cell r="L358">
            <v>522820</v>
          </cell>
          <cell r="M358">
            <v>505852</v>
          </cell>
          <cell r="AE358">
            <v>13666910.119999999</v>
          </cell>
          <cell r="AF358">
            <v>13666909</v>
          </cell>
          <cell r="AH358">
            <v>575046</v>
          </cell>
          <cell r="AI358">
            <v>461938</v>
          </cell>
          <cell r="AJ358">
            <v>1515591</v>
          </cell>
          <cell r="AK358">
            <v>0</v>
          </cell>
          <cell r="AL358">
            <v>0</v>
          </cell>
          <cell r="AM358">
            <v>16219484</v>
          </cell>
          <cell r="AP358">
            <v>7016025.6600000001</v>
          </cell>
        </row>
        <row r="359">
          <cell r="B359" t="str">
            <v>Oct 2015</v>
          </cell>
          <cell r="C359" t="str">
            <v>PSP</v>
          </cell>
          <cell r="D359" t="str">
            <v>PSP</v>
          </cell>
          <cell r="E359" t="str">
            <v>KUCIE566</v>
          </cell>
          <cell r="F359">
            <v>0</v>
          </cell>
          <cell r="G359">
            <v>0</v>
          </cell>
          <cell r="H359">
            <v>0</v>
          </cell>
          <cell r="I359">
            <v>0</v>
          </cell>
          <cell r="J359">
            <v>0</v>
          </cell>
          <cell r="K359">
            <v>0</v>
          </cell>
          <cell r="L359">
            <v>0</v>
          </cell>
          <cell r="M359">
            <v>0</v>
          </cell>
          <cell r="AE359">
            <v>0</v>
          </cell>
          <cell r="AF359">
            <v>0</v>
          </cell>
          <cell r="AH359">
            <v>0</v>
          </cell>
          <cell r="AI359">
            <v>0</v>
          </cell>
          <cell r="AJ359">
            <v>0</v>
          </cell>
          <cell r="AK359">
            <v>0</v>
          </cell>
          <cell r="AL359">
            <v>0</v>
          </cell>
          <cell r="AM359">
            <v>0</v>
          </cell>
          <cell r="AP359">
            <v>0</v>
          </cell>
        </row>
        <row r="360">
          <cell r="B360" t="str">
            <v>Oct 2015</v>
          </cell>
          <cell r="C360" t="str">
            <v>PSS</v>
          </cell>
          <cell r="D360" t="str">
            <v>PSS</v>
          </cell>
          <cell r="E360" t="str">
            <v>KUCIE568</v>
          </cell>
          <cell r="F360">
            <v>0</v>
          </cell>
          <cell r="G360">
            <v>0</v>
          </cell>
          <cell r="H360">
            <v>0</v>
          </cell>
          <cell r="I360">
            <v>0</v>
          </cell>
          <cell r="J360">
            <v>0</v>
          </cell>
          <cell r="K360">
            <v>0</v>
          </cell>
          <cell r="L360">
            <v>0</v>
          </cell>
          <cell r="M360">
            <v>0</v>
          </cell>
          <cell r="AE360">
            <v>0</v>
          </cell>
          <cell r="AF360">
            <v>0</v>
          </cell>
          <cell r="AH360">
            <v>0</v>
          </cell>
          <cell r="AI360">
            <v>0</v>
          </cell>
          <cell r="AJ360">
            <v>0</v>
          </cell>
          <cell r="AK360">
            <v>0</v>
          </cell>
          <cell r="AL360">
            <v>0</v>
          </cell>
          <cell r="AM360">
            <v>0</v>
          </cell>
          <cell r="AP360">
            <v>0</v>
          </cell>
        </row>
        <row r="361">
          <cell r="B361" t="str">
            <v>Oct 2015</v>
          </cell>
          <cell r="C361" t="str">
            <v>TODP</v>
          </cell>
          <cell r="D361" t="str">
            <v>TODP</v>
          </cell>
          <cell r="E361" t="str">
            <v>KUCIE571</v>
          </cell>
          <cell r="F361">
            <v>199</v>
          </cell>
          <cell r="G361">
            <v>0</v>
          </cell>
          <cell r="H361">
            <v>0</v>
          </cell>
          <cell r="I361">
            <v>0</v>
          </cell>
          <cell r="J361">
            <v>101809828</v>
          </cell>
          <cell r="K361">
            <v>272350</v>
          </cell>
          <cell r="L361">
            <v>262435</v>
          </cell>
          <cell r="M361">
            <v>254158</v>
          </cell>
          <cell r="AE361">
            <v>6165592.1999999993</v>
          </cell>
          <cell r="AF361">
            <v>6165593</v>
          </cell>
          <cell r="AH361">
            <v>241323</v>
          </cell>
          <cell r="AI361">
            <v>193856</v>
          </cell>
          <cell r="AJ361">
            <v>636032</v>
          </cell>
          <cell r="AK361">
            <v>0</v>
          </cell>
          <cell r="AL361">
            <v>0</v>
          </cell>
          <cell r="AM361">
            <v>7236804</v>
          </cell>
          <cell r="AP361">
            <v>2944340.23</v>
          </cell>
        </row>
        <row r="362">
          <cell r="B362" t="str">
            <v>Oct 2015</v>
          </cell>
          <cell r="C362" t="str">
            <v>TODS</v>
          </cell>
          <cell r="D362" t="str">
            <v>TODS</v>
          </cell>
          <cell r="E362" t="str">
            <v>KUCIE572</v>
          </cell>
          <cell r="F362">
            <v>464</v>
          </cell>
          <cell r="G362">
            <v>0</v>
          </cell>
          <cell r="H362">
            <v>0</v>
          </cell>
          <cell r="I362">
            <v>0</v>
          </cell>
          <cell r="J362">
            <v>129968346</v>
          </cell>
          <cell r="K362">
            <v>324937</v>
          </cell>
          <cell r="L362">
            <v>295953</v>
          </cell>
          <cell r="M362">
            <v>289324</v>
          </cell>
          <cell r="AE362">
            <v>8362263.1800000006</v>
          </cell>
          <cell r="AF362">
            <v>8362266</v>
          </cell>
          <cell r="AH362">
            <v>308069</v>
          </cell>
          <cell r="AI362">
            <v>247473</v>
          </cell>
          <cell r="AJ362">
            <v>811945</v>
          </cell>
          <cell r="AK362">
            <v>0</v>
          </cell>
          <cell r="AL362">
            <v>0</v>
          </cell>
          <cell r="AM362">
            <v>9729753</v>
          </cell>
          <cell r="AP362">
            <v>3758684.57</v>
          </cell>
        </row>
        <row r="363">
          <cell r="B363" t="str">
            <v>Oct 2015</v>
          </cell>
          <cell r="C363" t="str">
            <v>PSS</v>
          </cell>
          <cell r="D363" t="str">
            <v>PSS</v>
          </cell>
          <cell r="E363" t="str">
            <v>KUCIE717</v>
          </cell>
          <cell r="F363">
            <v>0</v>
          </cell>
          <cell r="G363">
            <v>0</v>
          </cell>
          <cell r="H363">
            <v>0</v>
          </cell>
          <cell r="I363">
            <v>0</v>
          </cell>
          <cell r="J363">
            <v>0</v>
          </cell>
          <cell r="K363">
            <v>0</v>
          </cell>
          <cell r="L363">
            <v>0</v>
          </cell>
          <cell r="M363">
            <v>0</v>
          </cell>
          <cell r="AE363">
            <v>0</v>
          </cell>
          <cell r="AF363">
            <v>0</v>
          </cell>
          <cell r="AH363">
            <v>0</v>
          </cell>
          <cell r="AI363">
            <v>0</v>
          </cell>
          <cell r="AJ363">
            <v>0</v>
          </cell>
          <cell r="AK363">
            <v>0</v>
          </cell>
          <cell r="AL363">
            <v>0</v>
          </cell>
          <cell r="AM363">
            <v>0</v>
          </cell>
          <cell r="AP363">
            <v>0</v>
          </cell>
        </row>
        <row r="364">
          <cell r="B364" t="str">
            <v>Oct 2015</v>
          </cell>
          <cell r="C364" t="str">
            <v>GS</v>
          </cell>
          <cell r="D364" t="str">
            <v>GS</v>
          </cell>
          <cell r="E364" t="str">
            <v>KUCME110</v>
          </cell>
          <cell r="F364">
            <v>63514</v>
          </cell>
          <cell r="G364">
            <v>0</v>
          </cell>
          <cell r="H364">
            <v>0</v>
          </cell>
          <cell r="I364">
            <v>0</v>
          </cell>
          <cell r="J364">
            <v>56367337</v>
          </cell>
          <cell r="K364">
            <v>0</v>
          </cell>
          <cell r="L364">
            <v>0</v>
          </cell>
          <cell r="M364">
            <v>0</v>
          </cell>
          <cell r="AE364">
            <v>6470166.8399999999</v>
          </cell>
          <cell r="AF364">
            <v>6470165</v>
          </cell>
          <cell r="AH364">
            <v>133609</v>
          </cell>
          <cell r="AI364">
            <v>107329</v>
          </cell>
          <cell r="AJ364">
            <v>352141</v>
          </cell>
          <cell r="AK364">
            <v>0</v>
          </cell>
          <cell r="AL364">
            <v>0</v>
          </cell>
          <cell r="AM364">
            <v>7063244</v>
          </cell>
          <cell r="AP364">
            <v>1630143.39</v>
          </cell>
        </row>
        <row r="365">
          <cell r="B365" t="str">
            <v>Oct 2015</v>
          </cell>
          <cell r="C365" t="str">
            <v>GS</v>
          </cell>
          <cell r="D365" t="str">
            <v>GS</v>
          </cell>
          <cell r="E365" t="str">
            <v>KUCME112</v>
          </cell>
          <cell r="F365">
            <v>0</v>
          </cell>
          <cell r="G365">
            <v>0</v>
          </cell>
          <cell r="H365">
            <v>0</v>
          </cell>
          <cell r="I365">
            <v>0</v>
          </cell>
          <cell r="J365">
            <v>0</v>
          </cell>
          <cell r="K365">
            <v>0</v>
          </cell>
          <cell r="L365">
            <v>0</v>
          </cell>
          <cell r="M365">
            <v>0</v>
          </cell>
          <cell r="AE365">
            <v>0</v>
          </cell>
          <cell r="AF365">
            <v>0</v>
          </cell>
          <cell r="AH365">
            <v>0</v>
          </cell>
          <cell r="AI365">
            <v>0</v>
          </cell>
          <cell r="AJ365">
            <v>0</v>
          </cell>
          <cell r="AK365">
            <v>0</v>
          </cell>
          <cell r="AL365">
            <v>0</v>
          </cell>
          <cell r="AM365">
            <v>0</v>
          </cell>
          <cell r="AP365">
            <v>0</v>
          </cell>
        </row>
        <row r="366">
          <cell r="B366" t="str">
            <v>Oct 2015</v>
          </cell>
          <cell r="C366" t="str">
            <v>GS3</v>
          </cell>
          <cell r="D366" t="str">
            <v>GS3</v>
          </cell>
          <cell r="E366" t="str">
            <v>KUCME113</v>
          </cell>
          <cell r="F366">
            <v>18566</v>
          </cell>
          <cell r="G366">
            <v>0</v>
          </cell>
          <cell r="H366">
            <v>0</v>
          </cell>
          <cell r="I366">
            <v>0</v>
          </cell>
          <cell r="J366">
            <v>82175085</v>
          </cell>
          <cell r="K366">
            <v>354292</v>
          </cell>
          <cell r="L366">
            <v>0</v>
          </cell>
          <cell r="M366">
            <v>0</v>
          </cell>
          <cell r="AE366">
            <v>8230461.5899999999</v>
          </cell>
          <cell r="AF366">
            <v>8230468</v>
          </cell>
          <cell r="AH366">
            <v>194782</v>
          </cell>
          <cell r="AI366">
            <v>156470</v>
          </cell>
          <cell r="AJ366">
            <v>513368</v>
          </cell>
          <cell r="AK366">
            <v>0</v>
          </cell>
          <cell r="AL366">
            <v>0</v>
          </cell>
          <cell r="AM366">
            <v>9095088</v>
          </cell>
          <cell r="AP366">
            <v>2376503.46</v>
          </cell>
        </row>
        <row r="367">
          <cell r="B367" t="str">
            <v>Oct 2015</v>
          </cell>
          <cell r="C367" t="str">
            <v>AES</v>
          </cell>
          <cell r="D367" t="str">
            <v>AES</v>
          </cell>
          <cell r="E367" t="str">
            <v>KUCME220</v>
          </cell>
          <cell r="F367">
            <v>375</v>
          </cell>
          <cell r="G367">
            <v>0</v>
          </cell>
          <cell r="H367">
            <v>0</v>
          </cell>
          <cell r="I367">
            <v>0</v>
          </cell>
          <cell r="J367">
            <v>560790</v>
          </cell>
          <cell r="K367">
            <v>0</v>
          </cell>
          <cell r="L367">
            <v>0</v>
          </cell>
          <cell r="M367">
            <v>0</v>
          </cell>
          <cell r="AE367">
            <v>49222.78</v>
          </cell>
          <cell r="AF367">
            <v>49223</v>
          </cell>
          <cell r="AH367">
            <v>1329</v>
          </cell>
          <cell r="AI367">
            <v>1068</v>
          </cell>
          <cell r="AJ367">
            <v>3503</v>
          </cell>
          <cell r="AK367">
            <v>0</v>
          </cell>
          <cell r="AL367">
            <v>0</v>
          </cell>
          <cell r="AM367">
            <v>55123</v>
          </cell>
          <cell r="AP367">
            <v>16218.05</v>
          </cell>
        </row>
        <row r="368">
          <cell r="B368" t="str">
            <v>Oct 2015</v>
          </cell>
          <cell r="C368" t="str">
            <v>AES</v>
          </cell>
          <cell r="D368" t="str">
            <v>AES</v>
          </cell>
          <cell r="E368" t="str">
            <v>KUCME221</v>
          </cell>
          <cell r="F368">
            <v>0</v>
          </cell>
          <cell r="G368">
            <v>0</v>
          </cell>
          <cell r="H368">
            <v>0</v>
          </cell>
          <cell r="I368">
            <v>0</v>
          </cell>
          <cell r="J368">
            <v>0</v>
          </cell>
          <cell r="K368">
            <v>0</v>
          </cell>
          <cell r="L368">
            <v>0</v>
          </cell>
          <cell r="M368">
            <v>0</v>
          </cell>
          <cell r="AE368">
            <v>0</v>
          </cell>
          <cell r="AF368">
            <v>0</v>
          </cell>
          <cell r="AH368">
            <v>0</v>
          </cell>
          <cell r="AI368">
            <v>0</v>
          </cell>
          <cell r="AJ368">
            <v>0</v>
          </cell>
          <cell r="AK368">
            <v>0</v>
          </cell>
          <cell r="AL368">
            <v>0</v>
          </cell>
          <cell r="AM368">
            <v>0</v>
          </cell>
          <cell r="AP368">
            <v>0</v>
          </cell>
        </row>
        <row r="369">
          <cell r="B369" t="str">
            <v>Oct 2015</v>
          </cell>
          <cell r="C369" t="str">
            <v>AES3</v>
          </cell>
          <cell r="D369" t="str">
            <v>AES3</v>
          </cell>
          <cell r="E369" t="str">
            <v>KUCME223</v>
          </cell>
          <cell r="F369">
            <v>0</v>
          </cell>
          <cell r="G369">
            <v>0</v>
          </cell>
          <cell r="H369">
            <v>0</v>
          </cell>
          <cell r="I369">
            <v>0</v>
          </cell>
          <cell r="J369">
            <v>0</v>
          </cell>
          <cell r="K369">
            <v>0</v>
          </cell>
          <cell r="L369">
            <v>0</v>
          </cell>
          <cell r="M369">
            <v>0</v>
          </cell>
          <cell r="AE369">
            <v>0</v>
          </cell>
          <cell r="AF369">
            <v>0</v>
          </cell>
          <cell r="AH369">
            <v>0</v>
          </cell>
          <cell r="AI369">
            <v>0</v>
          </cell>
          <cell r="AJ369">
            <v>0</v>
          </cell>
          <cell r="AK369">
            <v>0</v>
          </cell>
          <cell r="AL369">
            <v>0</v>
          </cell>
          <cell r="AM369">
            <v>0</v>
          </cell>
          <cell r="AP369">
            <v>0</v>
          </cell>
        </row>
        <row r="370">
          <cell r="B370" t="str">
            <v>Oct 2015</v>
          </cell>
          <cell r="C370" t="str">
            <v>AES3</v>
          </cell>
          <cell r="D370" t="str">
            <v>AES3</v>
          </cell>
          <cell r="E370" t="str">
            <v>KUCME224</v>
          </cell>
          <cell r="F370">
            <v>260</v>
          </cell>
          <cell r="G370">
            <v>0</v>
          </cell>
          <cell r="H370">
            <v>0</v>
          </cell>
          <cell r="I370">
            <v>0</v>
          </cell>
          <cell r="J370">
            <v>10393976</v>
          </cell>
          <cell r="K370">
            <v>43429</v>
          </cell>
          <cell r="L370">
            <v>0</v>
          </cell>
          <cell r="M370">
            <v>0</v>
          </cell>
          <cell r="AE370">
            <v>782411.81</v>
          </cell>
          <cell r="AF370">
            <v>782412</v>
          </cell>
          <cell r="AH370">
            <v>24637</v>
          </cell>
          <cell r="AI370">
            <v>19791</v>
          </cell>
          <cell r="AJ370">
            <v>64934</v>
          </cell>
          <cell r="AK370">
            <v>0</v>
          </cell>
          <cell r="AL370">
            <v>0</v>
          </cell>
          <cell r="AM370">
            <v>891774</v>
          </cell>
          <cell r="AP370">
            <v>300593.78999999998</v>
          </cell>
        </row>
        <row r="371">
          <cell r="B371" t="str">
            <v>Oct 2015</v>
          </cell>
          <cell r="C371" t="str">
            <v>AES3</v>
          </cell>
          <cell r="D371" t="str">
            <v>AES3</v>
          </cell>
          <cell r="E371" t="str">
            <v>KUCME225</v>
          </cell>
          <cell r="F371">
            <v>0</v>
          </cell>
          <cell r="G371">
            <v>0</v>
          </cell>
          <cell r="H371">
            <v>0</v>
          </cell>
          <cell r="I371">
            <v>0</v>
          </cell>
          <cell r="J371">
            <v>0</v>
          </cell>
          <cell r="K371">
            <v>0</v>
          </cell>
          <cell r="L371">
            <v>0</v>
          </cell>
          <cell r="M371">
            <v>0</v>
          </cell>
          <cell r="AE371">
            <v>0</v>
          </cell>
          <cell r="AF371">
            <v>0</v>
          </cell>
          <cell r="AH371">
            <v>0</v>
          </cell>
          <cell r="AI371">
            <v>0</v>
          </cell>
          <cell r="AJ371">
            <v>0</v>
          </cell>
          <cell r="AK371">
            <v>0</v>
          </cell>
          <cell r="AL371">
            <v>0</v>
          </cell>
          <cell r="AM371">
            <v>0</v>
          </cell>
          <cell r="AP371">
            <v>0</v>
          </cell>
        </row>
        <row r="372">
          <cell r="B372" t="str">
            <v>Oct 2015</v>
          </cell>
          <cell r="C372" t="str">
            <v>AES</v>
          </cell>
          <cell r="D372" t="str">
            <v>AES</v>
          </cell>
          <cell r="E372" t="str">
            <v>KUCME226</v>
          </cell>
          <cell r="F372">
            <v>0</v>
          </cell>
          <cell r="G372">
            <v>0</v>
          </cell>
          <cell r="H372">
            <v>0</v>
          </cell>
          <cell r="I372">
            <v>0</v>
          </cell>
          <cell r="J372">
            <v>0</v>
          </cell>
          <cell r="K372">
            <v>0</v>
          </cell>
          <cell r="L372">
            <v>0</v>
          </cell>
          <cell r="M372">
            <v>0</v>
          </cell>
          <cell r="AE372">
            <v>0</v>
          </cell>
          <cell r="AF372">
            <v>0</v>
          </cell>
          <cell r="AH372">
            <v>0</v>
          </cell>
          <cell r="AI372">
            <v>0</v>
          </cell>
          <cell r="AJ372">
            <v>0</v>
          </cell>
          <cell r="AK372">
            <v>0</v>
          </cell>
          <cell r="AL372">
            <v>0</v>
          </cell>
          <cell r="AM372">
            <v>0</v>
          </cell>
          <cell r="AP372">
            <v>0</v>
          </cell>
        </row>
        <row r="373">
          <cell r="B373" t="str">
            <v>Oct 2015</v>
          </cell>
          <cell r="C373" t="str">
            <v>AES3</v>
          </cell>
          <cell r="D373" t="str">
            <v>AES3</v>
          </cell>
          <cell r="E373" t="str">
            <v>KUCME227</v>
          </cell>
          <cell r="F373">
            <v>0</v>
          </cell>
          <cell r="G373">
            <v>0</v>
          </cell>
          <cell r="H373">
            <v>0</v>
          </cell>
          <cell r="I373">
            <v>0</v>
          </cell>
          <cell r="J373">
            <v>0</v>
          </cell>
          <cell r="K373">
            <v>0</v>
          </cell>
          <cell r="L373">
            <v>0</v>
          </cell>
          <cell r="M373">
            <v>0</v>
          </cell>
          <cell r="AE373">
            <v>0</v>
          </cell>
          <cell r="AF373">
            <v>0</v>
          </cell>
          <cell r="AH373">
            <v>0</v>
          </cell>
          <cell r="AI373">
            <v>0</v>
          </cell>
          <cell r="AJ373">
            <v>0</v>
          </cell>
          <cell r="AK373">
            <v>0</v>
          </cell>
          <cell r="AL373">
            <v>0</v>
          </cell>
          <cell r="AM373">
            <v>0</v>
          </cell>
          <cell r="AP373">
            <v>0</v>
          </cell>
        </row>
        <row r="374">
          <cell r="B374" t="str">
            <v>Oct 2015</v>
          </cell>
          <cell r="C374" t="str">
            <v>LE</v>
          </cell>
          <cell r="D374" t="str">
            <v>LE</v>
          </cell>
          <cell r="E374" t="str">
            <v>KUCME290</v>
          </cell>
          <cell r="F374">
            <v>2</v>
          </cell>
          <cell r="G374">
            <v>0</v>
          </cell>
          <cell r="H374">
            <v>0</v>
          </cell>
          <cell r="I374">
            <v>0</v>
          </cell>
          <cell r="J374">
            <v>13752</v>
          </cell>
          <cell r="K374">
            <v>0</v>
          </cell>
          <cell r="L374">
            <v>0</v>
          </cell>
          <cell r="M374">
            <v>0</v>
          </cell>
          <cell r="AE374">
            <v>877.38</v>
          </cell>
          <cell r="AF374">
            <v>0</v>
          </cell>
          <cell r="AH374">
            <v>0</v>
          </cell>
          <cell r="AI374">
            <v>0</v>
          </cell>
          <cell r="AJ374">
            <v>0</v>
          </cell>
          <cell r="AK374">
            <v>0</v>
          </cell>
          <cell r="AL374">
            <v>0</v>
          </cell>
          <cell r="AM374">
            <v>0</v>
          </cell>
          <cell r="AP374">
            <v>397.71</v>
          </cell>
        </row>
        <row r="375">
          <cell r="B375" t="str">
            <v>Oct 2015</v>
          </cell>
          <cell r="C375" t="str">
            <v>LE</v>
          </cell>
          <cell r="D375" t="str">
            <v>LE</v>
          </cell>
          <cell r="E375" t="str">
            <v>KUCME291</v>
          </cell>
          <cell r="F375">
            <v>0</v>
          </cell>
          <cell r="G375">
            <v>0</v>
          </cell>
          <cell r="H375">
            <v>0</v>
          </cell>
          <cell r="I375">
            <v>0</v>
          </cell>
          <cell r="J375">
            <v>0</v>
          </cell>
          <cell r="K375">
            <v>0</v>
          </cell>
          <cell r="L375">
            <v>0</v>
          </cell>
          <cell r="M375">
            <v>0</v>
          </cell>
          <cell r="AE375">
            <v>0</v>
          </cell>
          <cell r="AF375">
            <v>0</v>
          </cell>
          <cell r="AH375">
            <v>0</v>
          </cell>
          <cell r="AI375">
            <v>0</v>
          </cell>
          <cell r="AJ375">
            <v>0</v>
          </cell>
          <cell r="AK375">
            <v>0</v>
          </cell>
          <cell r="AL375">
            <v>0</v>
          </cell>
          <cell r="AM375">
            <v>0</v>
          </cell>
          <cell r="AP375">
            <v>0</v>
          </cell>
        </row>
        <row r="376">
          <cell r="B376" t="str">
            <v>Oct 2015</v>
          </cell>
          <cell r="C376" t="str">
            <v>TE</v>
          </cell>
          <cell r="D376" t="str">
            <v>TE</v>
          </cell>
          <cell r="E376" t="str">
            <v>KUCME295</v>
          </cell>
          <cell r="F376">
            <v>747</v>
          </cell>
          <cell r="G376">
            <v>0</v>
          </cell>
          <cell r="H376">
            <v>0</v>
          </cell>
          <cell r="I376">
            <v>0</v>
          </cell>
          <cell r="J376">
            <v>95410</v>
          </cell>
          <cell r="K376">
            <v>0</v>
          </cell>
          <cell r="L376">
            <v>0</v>
          </cell>
          <cell r="M376">
            <v>0</v>
          </cell>
          <cell r="AE376">
            <v>10039.560000000001</v>
          </cell>
          <cell r="AF376">
            <v>0</v>
          </cell>
          <cell r="AH376">
            <v>0</v>
          </cell>
          <cell r="AI376">
            <v>0</v>
          </cell>
          <cell r="AJ376">
            <v>0</v>
          </cell>
          <cell r="AK376">
            <v>0</v>
          </cell>
          <cell r="AL376">
            <v>0</v>
          </cell>
          <cell r="AM376">
            <v>0</v>
          </cell>
          <cell r="AP376">
            <v>2759.26</v>
          </cell>
        </row>
        <row r="377">
          <cell r="B377" t="str">
            <v>Oct 2015</v>
          </cell>
          <cell r="C377" t="str">
            <v>TE</v>
          </cell>
          <cell r="D377" t="str">
            <v>TE</v>
          </cell>
          <cell r="E377" t="str">
            <v>KUCME297</v>
          </cell>
          <cell r="F377">
            <v>0</v>
          </cell>
          <cell r="G377">
            <v>0</v>
          </cell>
          <cell r="H377">
            <v>0</v>
          </cell>
          <cell r="I377">
            <v>0</v>
          </cell>
          <cell r="J377">
            <v>0</v>
          </cell>
          <cell r="K377">
            <v>0</v>
          </cell>
          <cell r="L377">
            <v>0</v>
          </cell>
          <cell r="M377">
            <v>0</v>
          </cell>
          <cell r="AE377">
            <v>0</v>
          </cell>
          <cell r="AF377">
            <v>0</v>
          </cell>
          <cell r="AH377">
            <v>0</v>
          </cell>
          <cell r="AI377">
            <v>0</v>
          </cell>
          <cell r="AJ377">
            <v>0</v>
          </cell>
          <cell r="AK377">
            <v>0</v>
          </cell>
          <cell r="AL377">
            <v>0</v>
          </cell>
          <cell r="AM377">
            <v>0</v>
          </cell>
          <cell r="AP377">
            <v>0</v>
          </cell>
        </row>
        <row r="378">
          <cell r="B378" t="str">
            <v>Oct 2015</v>
          </cell>
          <cell r="C378" t="str">
            <v>SQF</v>
          </cell>
          <cell r="D378" t="str">
            <v>SQF</v>
          </cell>
          <cell r="E378" t="str">
            <v>KUCME705</v>
          </cell>
          <cell r="F378">
            <v>0</v>
          </cell>
          <cell r="G378">
            <v>0</v>
          </cell>
          <cell r="H378">
            <v>0</v>
          </cell>
          <cell r="I378">
            <v>0</v>
          </cell>
          <cell r="J378">
            <v>0</v>
          </cell>
          <cell r="K378">
            <v>0</v>
          </cell>
          <cell r="L378">
            <v>0</v>
          </cell>
          <cell r="M378">
            <v>0</v>
          </cell>
          <cell r="AE378">
            <v>0</v>
          </cell>
          <cell r="AF378">
            <v>0</v>
          </cell>
          <cell r="AH378">
            <v>0</v>
          </cell>
          <cell r="AI378">
            <v>0</v>
          </cell>
          <cell r="AJ378">
            <v>0</v>
          </cell>
          <cell r="AK378">
            <v>0</v>
          </cell>
          <cell r="AL378">
            <v>0</v>
          </cell>
          <cell r="AM378">
            <v>0</v>
          </cell>
          <cell r="AP378">
            <v>0</v>
          </cell>
        </row>
        <row r="379">
          <cell r="B379" t="str">
            <v>Oct 2015</v>
          </cell>
          <cell r="C379" t="str">
            <v>LQF</v>
          </cell>
          <cell r="D379" t="str">
            <v>LQF</v>
          </cell>
          <cell r="E379" t="str">
            <v>KUCME707</v>
          </cell>
          <cell r="F379">
            <v>0</v>
          </cell>
          <cell r="G379">
            <v>0</v>
          </cell>
          <cell r="H379">
            <v>0</v>
          </cell>
          <cell r="I379">
            <v>0</v>
          </cell>
          <cell r="J379">
            <v>0</v>
          </cell>
          <cell r="K379">
            <v>0</v>
          </cell>
          <cell r="L379">
            <v>0</v>
          </cell>
          <cell r="M379">
            <v>0</v>
          </cell>
          <cell r="AE379">
            <v>0</v>
          </cell>
          <cell r="AF379">
            <v>0</v>
          </cell>
          <cell r="AH379">
            <v>0</v>
          </cell>
          <cell r="AI379">
            <v>0</v>
          </cell>
          <cell r="AJ379">
            <v>0</v>
          </cell>
          <cell r="AK379">
            <v>0</v>
          </cell>
          <cell r="AL379">
            <v>0</v>
          </cell>
          <cell r="AM379">
            <v>0</v>
          </cell>
          <cell r="AP379">
            <v>0</v>
          </cell>
        </row>
        <row r="380">
          <cell r="B380" t="str">
            <v>Oct 2015</v>
          </cell>
          <cell r="C380" t="str">
            <v>GS</v>
          </cell>
          <cell r="D380" t="str">
            <v>GS</v>
          </cell>
          <cell r="E380" t="str">
            <v>KUCME710</v>
          </cell>
          <cell r="F380">
            <v>0</v>
          </cell>
          <cell r="G380">
            <v>0</v>
          </cell>
          <cell r="H380">
            <v>0</v>
          </cell>
          <cell r="I380">
            <v>0</v>
          </cell>
          <cell r="J380">
            <v>0</v>
          </cell>
          <cell r="K380">
            <v>0</v>
          </cell>
          <cell r="L380">
            <v>0</v>
          </cell>
          <cell r="M380">
            <v>0</v>
          </cell>
          <cell r="AE380">
            <v>0</v>
          </cell>
          <cell r="AF380">
            <v>0</v>
          </cell>
          <cell r="AH380">
            <v>0</v>
          </cell>
          <cell r="AI380">
            <v>0</v>
          </cell>
          <cell r="AJ380">
            <v>0</v>
          </cell>
          <cell r="AK380">
            <v>0</v>
          </cell>
          <cell r="AL380">
            <v>0</v>
          </cell>
          <cell r="AM380">
            <v>0</v>
          </cell>
          <cell r="AP380">
            <v>0</v>
          </cell>
        </row>
        <row r="381">
          <cell r="B381" t="str">
            <v>Oct 2015</v>
          </cell>
          <cell r="C381" t="str">
            <v>GS3</v>
          </cell>
          <cell r="D381" t="str">
            <v>GS3</v>
          </cell>
          <cell r="E381" t="str">
            <v>KUCME713</v>
          </cell>
          <cell r="F381">
            <v>0</v>
          </cell>
          <cell r="G381">
            <v>0</v>
          </cell>
          <cell r="H381">
            <v>0</v>
          </cell>
          <cell r="I381">
            <v>0</v>
          </cell>
          <cell r="J381">
            <v>0</v>
          </cell>
          <cell r="K381">
            <v>0</v>
          </cell>
          <cell r="L381">
            <v>0</v>
          </cell>
          <cell r="M381">
            <v>0</v>
          </cell>
          <cell r="AE381">
            <v>0</v>
          </cell>
          <cell r="AF381">
            <v>0</v>
          </cell>
          <cell r="AH381">
            <v>0</v>
          </cell>
          <cell r="AI381">
            <v>0</v>
          </cell>
          <cell r="AJ381">
            <v>0</v>
          </cell>
          <cell r="AK381">
            <v>0</v>
          </cell>
          <cell r="AL381">
            <v>0</v>
          </cell>
          <cell r="AM381">
            <v>0</v>
          </cell>
          <cell r="AP381">
            <v>0</v>
          </cell>
        </row>
        <row r="382">
          <cell r="B382" t="str">
            <v>Oct 2015</v>
          </cell>
          <cell r="C382" t="str">
            <v>CSR10</v>
          </cell>
          <cell r="D382" t="str">
            <v>CSR10</v>
          </cell>
          <cell r="E382" t="str">
            <v>KUCSR760</v>
          </cell>
          <cell r="F382">
            <v>0</v>
          </cell>
          <cell r="G382">
            <v>0</v>
          </cell>
          <cell r="H382">
            <v>0</v>
          </cell>
          <cell r="I382">
            <v>0</v>
          </cell>
          <cell r="J382">
            <v>0</v>
          </cell>
          <cell r="K382">
            <v>0</v>
          </cell>
          <cell r="L382">
            <v>0</v>
          </cell>
          <cell r="M382">
            <v>0</v>
          </cell>
          <cell r="AE382">
            <v>0</v>
          </cell>
          <cell r="AF382">
            <v>0</v>
          </cell>
          <cell r="AH382">
            <v>0</v>
          </cell>
          <cell r="AI382">
            <v>0</v>
          </cell>
          <cell r="AJ382">
            <v>0</v>
          </cell>
          <cell r="AK382">
            <v>0</v>
          </cell>
          <cell r="AL382">
            <v>-989829</v>
          </cell>
          <cell r="AM382">
            <v>-989829</v>
          </cell>
          <cell r="AP382">
            <v>0</v>
          </cell>
        </row>
        <row r="383">
          <cell r="B383" t="str">
            <v>Oct 2015</v>
          </cell>
          <cell r="C383" t="str">
            <v>CSR10</v>
          </cell>
          <cell r="D383" t="str">
            <v>CSR10</v>
          </cell>
          <cell r="E383" t="str">
            <v>KUCSR761</v>
          </cell>
          <cell r="F383">
            <v>0</v>
          </cell>
          <cell r="G383">
            <v>0</v>
          </cell>
          <cell r="H383">
            <v>0</v>
          </cell>
          <cell r="I383">
            <v>0</v>
          </cell>
          <cell r="J383">
            <v>0</v>
          </cell>
          <cell r="K383">
            <v>0</v>
          </cell>
          <cell r="L383">
            <v>0</v>
          </cell>
          <cell r="M383">
            <v>0</v>
          </cell>
          <cell r="AE383">
            <v>0</v>
          </cell>
          <cell r="AF383">
            <v>0</v>
          </cell>
          <cell r="AH383">
            <v>0</v>
          </cell>
          <cell r="AI383">
            <v>0</v>
          </cell>
          <cell r="AJ383">
            <v>0</v>
          </cell>
          <cell r="AK383">
            <v>0</v>
          </cell>
          <cell r="AL383">
            <v>0</v>
          </cell>
          <cell r="AM383">
            <v>0</v>
          </cell>
          <cell r="AP383">
            <v>0</v>
          </cell>
        </row>
        <row r="384">
          <cell r="B384" t="str">
            <v>Oct 2015</v>
          </cell>
          <cell r="C384" t="str">
            <v>CSR30</v>
          </cell>
          <cell r="D384" t="str">
            <v>CSR30</v>
          </cell>
          <cell r="E384" t="str">
            <v>KUCSR780</v>
          </cell>
          <cell r="F384">
            <v>0</v>
          </cell>
          <cell r="G384">
            <v>0</v>
          </cell>
          <cell r="H384">
            <v>0</v>
          </cell>
          <cell r="I384">
            <v>0</v>
          </cell>
          <cell r="J384">
            <v>0</v>
          </cell>
          <cell r="K384">
            <v>0</v>
          </cell>
          <cell r="L384">
            <v>0</v>
          </cell>
          <cell r="M384">
            <v>0</v>
          </cell>
          <cell r="AE384">
            <v>0</v>
          </cell>
          <cell r="AF384">
            <v>0</v>
          </cell>
          <cell r="AH384">
            <v>0</v>
          </cell>
          <cell r="AI384">
            <v>0</v>
          </cell>
          <cell r="AJ384">
            <v>0</v>
          </cell>
          <cell r="AK384">
            <v>0</v>
          </cell>
          <cell r="AL384">
            <v>0</v>
          </cell>
          <cell r="AM384">
            <v>0</v>
          </cell>
          <cell r="AP384">
            <v>0</v>
          </cell>
        </row>
        <row r="385">
          <cell r="B385" t="str">
            <v>Oct 2015</v>
          </cell>
          <cell r="C385" t="str">
            <v>CSR30</v>
          </cell>
          <cell r="D385" t="str">
            <v>CSR30</v>
          </cell>
          <cell r="E385" t="str">
            <v>KUCSR781</v>
          </cell>
          <cell r="F385">
            <v>0</v>
          </cell>
          <cell r="G385">
            <v>0</v>
          </cell>
          <cell r="H385">
            <v>0</v>
          </cell>
          <cell r="I385">
            <v>0</v>
          </cell>
          <cell r="J385">
            <v>0</v>
          </cell>
          <cell r="K385">
            <v>0</v>
          </cell>
          <cell r="L385">
            <v>0</v>
          </cell>
          <cell r="M385">
            <v>0</v>
          </cell>
          <cell r="AE385">
            <v>0</v>
          </cell>
          <cell r="AF385">
            <v>0</v>
          </cell>
          <cell r="AH385">
            <v>0</v>
          </cell>
          <cell r="AI385">
            <v>0</v>
          </cell>
          <cell r="AJ385">
            <v>0</v>
          </cell>
          <cell r="AK385">
            <v>0</v>
          </cell>
          <cell r="AL385">
            <v>0</v>
          </cell>
          <cell r="AM385">
            <v>0</v>
          </cell>
          <cell r="AP385">
            <v>0</v>
          </cell>
        </row>
        <row r="386">
          <cell r="B386" t="str">
            <v>Oct 2015</v>
          </cell>
          <cell r="C386" t="str">
            <v>CSR30</v>
          </cell>
          <cell r="D386" t="str">
            <v>CSR30</v>
          </cell>
          <cell r="E386" t="str">
            <v>KUCSR783</v>
          </cell>
          <cell r="F386">
            <v>0</v>
          </cell>
          <cell r="G386">
            <v>0</v>
          </cell>
          <cell r="H386">
            <v>0</v>
          </cell>
          <cell r="I386">
            <v>0</v>
          </cell>
          <cell r="J386">
            <v>0</v>
          </cell>
          <cell r="K386">
            <v>0</v>
          </cell>
          <cell r="L386">
            <v>0</v>
          </cell>
          <cell r="M386">
            <v>0</v>
          </cell>
          <cell r="AE386">
            <v>0</v>
          </cell>
          <cell r="AF386">
            <v>0</v>
          </cell>
          <cell r="AH386">
            <v>0</v>
          </cell>
          <cell r="AI386">
            <v>0</v>
          </cell>
          <cell r="AJ386">
            <v>0</v>
          </cell>
          <cell r="AK386">
            <v>0</v>
          </cell>
          <cell r="AL386">
            <v>0</v>
          </cell>
          <cell r="AM386">
            <v>0</v>
          </cell>
          <cell r="AP386">
            <v>0</v>
          </cell>
        </row>
        <row r="387">
          <cell r="B387" t="str">
            <v>Oct 2015</v>
          </cell>
          <cell r="C387" t="str">
            <v>FLS</v>
          </cell>
          <cell r="D387" t="str">
            <v>FLST</v>
          </cell>
          <cell r="E387" t="str">
            <v>KUINE730</v>
          </cell>
          <cell r="F387">
            <v>1</v>
          </cell>
          <cell r="G387">
            <v>0</v>
          </cell>
          <cell r="H387">
            <v>0</v>
          </cell>
          <cell r="I387">
            <v>0</v>
          </cell>
          <cell r="J387">
            <v>45507524</v>
          </cell>
          <cell r="K387">
            <v>185158</v>
          </cell>
          <cell r="L387">
            <v>185158</v>
          </cell>
          <cell r="M387">
            <v>101388</v>
          </cell>
          <cell r="AE387">
            <v>2204951.5</v>
          </cell>
          <cell r="AF387">
            <v>2204950</v>
          </cell>
          <cell r="AH387">
            <v>107868</v>
          </cell>
          <cell r="AI387">
            <v>0</v>
          </cell>
          <cell r="AJ387">
            <v>284297</v>
          </cell>
          <cell r="AK387">
            <v>0</v>
          </cell>
          <cell r="AL387">
            <v>0</v>
          </cell>
          <cell r="AM387">
            <v>2597115</v>
          </cell>
          <cell r="AP387">
            <v>1316077.5900000001</v>
          </cell>
        </row>
        <row r="388">
          <cell r="B388" t="str">
            <v>Oct 2015</v>
          </cell>
          <cell r="C388" t="str">
            <v>RS</v>
          </cell>
          <cell r="D388" t="str">
            <v>RS</v>
          </cell>
          <cell r="E388" t="str">
            <v>KURSE010</v>
          </cell>
          <cell r="F388">
            <v>429884</v>
          </cell>
          <cell r="G388">
            <v>0</v>
          </cell>
          <cell r="H388">
            <v>0</v>
          </cell>
          <cell r="I388">
            <v>0</v>
          </cell>
          <cell r="J388">
            <v>372865560</v>
          </cell>
          <cell r="K388">
            <v>0</v>
          </cell>
          <cell r="L388">
            <v>0</v>
          </cell>
          <cell r="M388">
            <v>0</v>
          </cell>
          <cell r="AE388">
            <v>33495961.969999999</v>
          </cell>
          <cell r="AF388">
            <v>33496802</v>
          </cell>
          <cell r="AH388">
            <v>883840</v>
          </cell>
          <cell r="AI388">
            <v>709994</v>
          </cell>
          <cell r="AJ388">
            <v>2329447</v>
          </cell>
          <cell r="AK388">
            <v>0</v>
          </cell>
          <cell r="AL388">
            <v>0</v>
          </cell>
          <cell r="AM388">
            <v>37420083</v>
          </cell>
          <cell r="AP388">
            <v>10783272</v>
          </cell>
        </row>
        <row r="389">
          <cell r="B389" t="str">
            <v>Oct 2015</v>
          </cell>
          <cell r="C389" t="str">
            <v>RS</v>
          </cell>
          <cell r="D389" t="str">
            <v>RS</v>
          </cell>
          <cell r="E389" t="str">
            <v>KURSE020</v>
          </cell>
          <cell r="F389">
            <v>0</v>
          </cell>
          <cell r="G389">
            <v>0</v>
          </cell>
          <cell r="H389">
            <v>0</v>
          </cell>
          <cell r="I389">
            <v>0</v>
          </cell>
          <cell r="J389">
            <v>0</v>
          </cell>
          <cell r="K389">
            <v>0</v>
          </cell>
          <cell r="L389">
            <v>0</v>
          </cell>
          <cell r="M389">
            <v>0</v>
          </cell>
          <cell r="AE389">
            <v>0</v>
          </cell>
          <cell r="AF389">
            <v>0</v>
          </cell>
          <cell r="AH389">
            <v>0</v>
          </cell>
          <cell r="AI389">
            <v>0</v>
          </cell>
          <cell r="AJ389">
            <v>0</v>
          </cell>
          <cell r="AK389">
            <v>0</v>
          </cell>
          <cell r="AL389">
            <v>0</v>
          </cell>
          <cell r="AM389">
            <v>0</v>
          </cell>
          <cell r="AP389">
            <v>0</v>
          </cell>
        </row>
        <row r="390">
          <cell r="B390" t="str">
            <v>Oct 2015</v>
          </cell>
          <cell r="C390" t="str">
            <v>RS</v>
          </cell>
          <cell r="D390" t="str">
            <v>RS</v>
          </cell>
          <cell r="E390" t="str">
            <v>KURSE025</v>
          </cell>
          <cell r="F390">
            <v>0</v>
          </cell>
          <cell r="G390">
            <v>0</v>
          </cell>
          <cell r="H390">
            <v>0</v>
          </cell>
          <cell r="I390">
            <v>0</v>
          </cell>
          <cell r="J390">
            <v>0</v>
          </cell>
          <cell r="K390">
            <v>0</v>
          </cell>
          <cell r="L390">
            <v>0</v>
          </cell>
          <cell r="M390">
            <v>0</v>
          </cell>
          <cell r="AE390">
            <v>0</v>
          </cell>
          <cell r="AF390">
            <v>0</v>
          </cell>
          <cell r="AH390">
            <v>0</v>
          </cell>
          <cell r="AI390">
            <v>0</v>
          </cell>
          <cell r="AJ390">
            <v>0</v>
          </cell>
          <cell r="AK390">
            <v>0</v>
          </cell>
          <cell r="AL390">
            <v>0</v>
          </cell>
          <cell r="AM390">
            <v>0</v>
          </cell>
          <cell r="AP390">
            <v>0</v>
          </cell>
        </row>
        <row r="391">
          <cell r="B391" t="str">
            <v>Oct 2015</v>
          </cell>
          <cell r="C391" t="str">
            <v>LEV</v>
          </cell>
          <cell r="D391" t="str">
            <v>RSLEV</v>
          </cell>
          <cell r="E391" t="str">
            <v>KURSE040</v>
          </cell>
          <cell r="F391">
            <v>7</v>
          </cell>
          <cell r="G391">
            <v>6021</v>
          </cell>
          <cell r="H391">
            <v>2399</v>
          </cell>
          <cell r="I391">
            <v>1423</v>
          </cell>
          <cell r="J391">
            <v>9843</v>
          </cell>
          <cell r="K391">
            <v>0</v>
          </cell>
          <cell r="L391">
            <v>0</v>
          </cell>
          <cell r="M391">
            <v>0</v>
          </cell>
          <cell r="AE391">
            <v>801.32</v>
          </cell>
          <cell r="AF391">
            <v>0</v>
          </cell>
          <cell r="AH391">
            <v>0</v>
          </cell>
          <cell r="AI391">
            <v>0</v>
          </cell>
          <cell r="AJ391">
            <v>0</v>
          </cell>
          <cell r="AK391">
            <v>0</v>
          </cell>
          <cell r="AL391">
            <v>0</v>
          </cell>
          <cell r="AM391">
            <v>0</v>
          </cell>
          <cell r="AP391">
            <v>284.66000000000003</v>
          </cell>
        </row>
        <row r="392">
          <cell r="B392" t="str">
            <v>Oct 2015</v>
          </cell>
          <cell r="C392" t="str">
            <v>RS</v>
          </cell>
          <cell r="D392" t="str">
            <v>RSVFD</v>
          </cell>
          <cell r="E392" t="str">
            <v>KURSE080</v>
          </cell>
          <cell r="F392">
            <v>0</v>
          </cell>
          <cell r="G392">
            <v>0</v>
          </cell>
          <cell r="H392">
            <v>0</v>
          </cell>
          <cell r="I392">
            <v>0</v>
          </cell>
          <cell r="J392">
            <v>0</v>
          </cell>
          <cell r="K392">
            <v>0</v>
          </cell>
          <cell r="L392">
            <v>0</v>
          </cell>
          <cell r="M392">
            <v>0</v>
          </cell>
          <cell r="AE392">
            <v>0</v>
          </cell>
          <cell r="AF392">
            <v>0</v>
          </cell>
          <cell r="AH392">
            <v>0</v>
          </cell>
          <cell r="AI392">
            <v>0</v>
          </cell>
          <cell r="AJ392">
            <v>0</v>
          </cell>
          <cell r="AK392">
            <v>0</v>
          </cell>
          <cell r="AL392">
            <v>0</v>
          </cell>
          <cell r="AM392">
            <v>0</v>
          </cell>
          <cell r="AP392">
            <v>0</v>
          </cell>
        </row>
        <row r="393">
          <cell r="B393" t="str">
            <v>Oct 2015</v>
          </cell>
          <cell r="C393" t="str">
            <v>RS</v>
          </cell>
          <cell r="D393" t="str">
            <v>RS</v>
          </cell>
          <cell r="E393" t="str">
            <v>KURSE715</v>
          </cell>
          <cell r="F393">
            <v>0</v>
          </cell>
          <cell r="G393">
            <v>0</v>
          </cell>
          <cell r="H393">
            <v>0</v>
          </cell>
          <cell r="I393">
            <v>0</v>
          </cell>
          <cell r="J393">
            <v>0</v>
          </cell>
          <cell r="K393">
            <v>0</v>
          </cell>
          <cell r="L393">
            <v>0</v>
          </cell>
          <cell r="M393">
            <v>0</v>
          </cell>
          <cell r="AE393">
            <v>0</v>
          </cell>
          <cell r="AF393">
            <v>0</v>
          </cell>
          <cell r="AH393">
            <v>0</v>
          </cell>
          <cell r="AI393">
            <v>0</v>
          </cell>
          <cell r="AJ393">
            <v>0</v>
          </cell>
          <cell r="AK393">
            <v>0</v>
          </cell>
          <cell r="AL393">
            <v>0</v>
          </cell>
          <cell r="AM393">
            <v>0</v>
          </cell>
          <cell r="AP393">
            <v>0</v>
          </cell>
        </row>
        <row r="394">
          <cell r="B394" t="str">
            <v>Nov 2015</v>
          </cell>
          <cell r="C394" t="str">
            <v>RTS</v>
          </cell>
          <cell r="D394" t="str">
            <v>RTS</v>
          </cell>
          <cell r="E394" t="str">
            <v>KUCIE550</v>
          </cell>
          <cell r="F394">
            <v>32</v>
          </cell>
          <cell r="G394">
            <v>0</v>
          </cell>
          <cell r="H394">
            <v>0</v>
          </cell>
          <cell r="I394">
            <v>0</v>
          </cell>
          <cell r="J394">
            <v>136559534</v>
          </cell>
          <cell r="K394">
            <v>301167</v>
          </cell>
          <cell r="L394">
            <v>293808</v>
          </cell>
          <cell r="M394">
            <v>283169</v>
          </cell>
          <cell r="AE394">
            <v>7357547.1399999997</v>
          </cell>
          <cell r="AF394">
            <v>7357546</v>
          </cell>
          <cell r="AH394">
            <v>442865</v>
          </cell>
          <cell r="AI394">
            <v>0</v>
          </cell>
          <cell r="AJ394">
            <v>825623</v>
          </cell>
          <cell r="AK394">
            <v>0</v>
          </cell>
          <cell r="AL394">
            <v>0</v>
          </cell>
          <cell r="AM394">
            <v>8626034</v>
          </cell>
          <cell r="AP394">
            <v>3949301.72</v>
          </cell>
        </row>
        <row r="395">
          <cell r="B395" t="str">
            <v>Nov 2015</v>
          </cell>
          <cell r="C395" t="str">
            <v>PSP</v>
          </cell>
          <cell r="D395" t="str">
            <v>PSP</v>
          </cell>
          <cell r="E395" t="str">
            <v>KUCIE561</v>
          </cell>
          <cell r="F395">
            <v>198</v>
          </cell>
          <cell r="G395">
            <v>0</v>
          </cell>
          <cell r="H395">
            <v>0</v>
          </cell>
          <cell r="I395">
            <v>0</v>
          </cell>
          <cell r="J395">
            <v>19617060</v>
          </cell>
          <cell r="K395">
            <v>0</v>
          </cell>
          <cell r="L395">
            <v>54525</v>
          </cell>
          <cell r="M395">
            <v>0</v>
          </cell>
          <cell r="AE395">
            <v>1451059.1800000002</v>
          </cell>
          <cell r="AF395">
            <v>1451055</v>
          </cell>
          <cell r="AH395">
            <v>63618</v>
          </cell>
          <cell r="AI395">
            <v>36931</v>
          </cell>
          <cell r="AJ395">
            <v>118602</v>
          </cell>
          <cell r="AK395">
            <v>0</v>
          </cell>
          <cell r="AL395">
            <v>0</v>
          </cell>
          <cell r="AM395">
            <v>1670206</v>
          </cell>
          <cell r="AP395">
            <v>567325.38</v>
          </cell>
        </row>
        <row r="396">
          <cell r="B396" t="str">
            <v>Nov 2015</v>
          </cell>
          <cell r="C396" t="str">
            <v>PSS</v>
          </cell>
          <cell r="D396" t="str">
            <v>PSS</v>
          </cell>
          <cell r="E396" t="str">
            <v>KUCIE562</v>
          </cell>
          <cell r="F396">
            <v>4670</v>
          </cell>
          <cell r="G396">
            <v>0</v>
          </cell>
          <cell r="H396">
            <v>0</v>
          </cell>
          <cell r="I396">
            <v>0</v>
          </cell>
          <cell r="J396">
            <v>160821920</v>
          </cell>
          <cell r="K396">
            <v>0</v>
          </cell>
          <cell r="L396">
            <v>508359</v>
          </cell>
          <cell r="M396">
            <v>0</v>
          </cell>
          <cell r="AE396">
            <v>12862332.030000001</v>
          </cell>
          <cell r="AF396">
            <v>12862331</v>
          </cell>
          <cell r="AH396">
            <v>521548</v>
          </cell>
          <cell r="AI396">
            <v>302767</v>
          </cell>
          <cell r="AJ396">
            <v>972311</v>
          </cell>
          <cell r="AK396">
            <v>0</v>
          </cell>
          <cell r="AL396">
            <v>0</v>
          </cell>
          <cell r="AM396">
            <v>14658957</v>
          </cell>
          <cell r="AP396">
            <v>4650969.93</v>
          </cell>
        </row>
        <row r="397">
          <cell r="B397" t="str">
            <v>Nov 2015</v>
          </cell>
          <cell r="C397" t="str">
            <v>TODP</v>
          </cell>
          <cell r="D397" t="str">
            <v>TODP</v>
          </cell>
          <cell r="E397" t="str">
            <v>KUCIE563</v>
          </cell>
          <cell r="F397">
            <v>52</v>
          </cell>
          <cell r="G397">
            <v>0</v>
          </cell>
          <cell r="H397">
            <v>0</v>
          </cell>
          <cell r="I397">
            <v>0</v>
          </cell>
          <cell r="J397">
            <v>250340516</v>
          </cell>
          <cell r="K397">
            <v>513159</v>
          </cell>
          <cell r="L397">
            <v>490651</v>
          </cell>
          <cell r="M397">
            <v>484533</v>
          </cell>
          <cell r="AE397">
            <v>13736729.66</v>
          </cell>
          <cell r="AF397">
            <v>13736731</v>
          </cell>
          <cell r="AH397">
            <v>811858</v>
          </cell>
          <cell r="AI397">
            <v>471296</v>
          </cell>
          <cell r="AJ397">
            <v>1513530</v>
          </cell>
          <cell r="AK397">
            <v>0</v>
          </cell>
          <cell r="AL397">
            <v>0</v>
          </cell>
          <cell r="AM397">
            <v>16533415</v>
          </cell>
          <cell r="AP397">
            <v>7239847.7199999997</v>
          </cell>
        </row>
        <row r="398">
          <cell r="B398" t="str">
            <v>Nov 2015</v>
          </cell>
          <cell r="C398" t="str">
            <v>PSP</v>
          </cell>
          <cell r="D398" t="str">
            <v>PSP</v>
          </cell>
          <cell r="E398" t="str">
            <v>KUCIE566</v>
          </cell>
          <cell r="F398">
            <v>0</v>
          </cell>
          <cell r="G398">
            <v>0</v>
          </cell>
          <cell r="H398">
            <v>0</v>
          </cell>
          <cell r="I398">
            <v>0</v>
          </cell>
          <cell r="J398">
            <v>0</v>
          </cell>
          <cell r="K398">
            <v>0</v>
          </cell>
          <cell r="L398">
            <v>0</v>
          </cell>
          <cell r="M398">
            <v>0</v>
          </cell>
          <cell r="AE398">
            <v>0</v>
          </cell>
          <cell r="AF398">
            <v>0</v>
          </cell>
          <cell r="AH398">
            <v>0</v>
          </cell>
          <cell r="AI398">
            <v>0</v>
          </cell>
          <cell r="AJ398">
            <v>0</v>
          </cell>
          <cell r="AK398">
            <v>0</v>
          </cell>
          <cell r="AL398">
            <v>0</v>
          </cell>
          <cell r="AM398">
            <v>0</v>
          </cell>
          <cell r="AP398">
            <v>0</v>
          </cell>
        </row>
        <row r="399">
          <cell r="B399" t="str">
            <v>Nov 2015</v>
          </cell>
          <cell r="C399" t="str">
            <v>PSS</v>
          </cell>
          <cell r="D399" t="str">
            <v>PSS</v>
          </cell>
          <cell r="E399" t="str">
            <v>KUCIE568</v>
          </cell>
          <cell r="F399">
            <v>0</v>
          </cell>
          <cell r="G399">
            <v>0</v>
          </cell>
          <cell r="H399">
            <v>0</v>
          </cell>
          <cell r="I399">
            <v>0</v>
          </cell>
          <cell r="J399">
            <v>0</v>
          </cell>
          <cell r="K399">
            <v>0</v>
          </cell>
          <cell r="L399">
            <v>0</v>
          </cell>
          <cell r="M399">
            <v>0</v>
          </cell>
          <cell r="AE399">
            <v>0</v>
          </cell>
          <cell r="AF399">
            <v>0</v>
          </cell>
          <cell r="AH399">
            <v>0</v>
          </cell>
          <cell r="AI399">
            <v>0</v>
          </cell>
          <cell r="AJ399">
            <v>0</v>
          </cell>
          <cell r="AK399">
            <v>0</v>
          </cell>
          <cell r="AL399">
            <v>0</v>
          </cell>
          <cell r="AM399">
            <v>0</v>
          </cell>
          <cell r="AP399">
            <v>0</v>
          </cell>
        </row>
        <row r="400">
          <cell r="B400" t="str">
            <v>Nov 2015</v>
          </cell>
          <cell r="C400" t="str">
            <v>TODP</v>
          </cell>
          <cell r="D400" t="str">
            <v>TODP</v>
          </cell>
          <cell r="E400" t="str">
            <v>KUCIE571</v>
          </cell>
          <cell r="F400">
            <v>200</v>
          </cell>
          <cell r="G400">
            <v>0</v>
          </cell>
          <cell r="H400">
            <v>0</v>
          </cell>
          <cell r="I400">
            <v>0</v>
          </cell>
          <cell r="J400">
            <v>104851396</v>
          </cell>
          <cell r="K400">
            <v>268874</v>
          </cell>
          <cell r="L400">
            <v>257789</v>
          </cell>
          <cell r="M400">
            <v>253788</v>
          </cell>
          <cell r="AE400">
            <v>6260064.1199999992</v>
          </cell>
          <cell r="AF400">
            <v>6260063</v>
          </cell>
          <cell r="AH400">
            <v>340035</v>
          </cell>
          <cell r="AI400">
            <v>197395</v>
          </cell>
          <cell r="AJ400">
            <v>633919</v>
          </cell>
          <cell r="AK400">
            <v>0</v>
          </cell>
          <cell r="AL400">
            <v>0</v>
          </cell>
          <cell r="AM400">
            <v>7431412</v>
          </cell>
          <cell r="AP400">
            <v>3032302.37</v>
          </cell>
        </row>
        <row r="401">
          <cell r="B401" t="str">
            <v>Nov 2015</v>
          </cell>
          <cell r="C401" t="str">
            <v>TODS</v>
          </cell>
          <cell r="D401" t="str">
            <v>TODS</v>
          </cell>
          <cell r="E401" t="str">
            <v>KUCIE572</v>
          </cell>
          <cell r="F401">
            <v>465</v>
          </cell>
          <cell r="G401">
            <v>0</v>
          </cell>
          <cell r="H401">
            <v>0</v>
          </cell>
          <cell r="I401">
            <v>0</v>
          </cell>
          <cell r="J401">
            <v>126203044</v>
          </cell>
          <cell r="K401">
            <v>300924</v>
          </cell>
          <cell r="L401">
            <v>274082</v>
          </cell>
          <cell r="M401">
            <v>267942</v>
          </cell>
          <cell r="AE401">
            <v>7971663.7300000004</v>
          </cell>
          <cell r="AF401">
            <v>7971661</v>
          </cell>
          <cell r="AH401">
            <v>409278</v>
          </cell>
          <cell r="AI401">
            <v>237593</v>
          </cell>
          <cell r="AJ401">
            <v>763009</v>
          </cell>
          <cell r="AK401">
            <v>0</v>
          </cell>
          <cell r="AL401">
            <v>0</v>
          </cell>
          <cell r="AM401">
            <v>9381541</v>
          </cell>
          <cell r="AP401">
            <v>3649792.03</v>
          </cell>
        </row>
        <row r="402">
          <cell r="B402" t="str">
            <v>Nov 2015</v>
          </cell>
          <cell r="C402" t="str">
            <v>PSS</v>
          </cell>
          <cell r="D402" t="str">
            <v>PSS</v>
          </cell>
          <cell r="E402" t="str">
            <v>KUCIE717</v>
          </cell>
          <cell r="F402">
            <v>0</v>
          </cell>
          <cell r="G402">
            <v>0</v>
          </cell>
          <cell r="H402">
            <v>0</v>
          </cell>
          <cell r="I402">
            <v>0</v>
          </cell>
          <cell r="J402">
            <v>0</v>
          </cell>
          <cell r="K402">
            <v>0</v>
          </cell>
          <cell r="L402">
            <v>0</v>
          </cell>
          <cell r="M402">
            <v>0</v>
          </cell>
          <cell r="AE402">
            <v>0</v>
          </cell>
          <cell r="AF402">
            <v>0</v>
          </cell>
          <cell r="AH402">
            <v>0</v>
          </cell>
          <cell r="AI402">
            <v>0</v>
          </cell>
          <cell r="AJ402">
            <v>0</v>
          </cell>
          <cell r="AK402">
            <v>0</v>
          </cell>
          <cell r="AL402">
            <v>0</v>
          </cell>
          <cell r="AM402">
            <v>0</v>
          </cell>
          <cell r="AP402">
            <v>0</v>
          </cell>
        </row>
        <row r="403">
          <cell r="B403" t="str">
            <v>Nov 2015</v>
          </cell>
          <cell r="C403" t="str">
            <v>GS</v>
          </cell>
          <cell r="D403" t="str">
            <v>GS</v>
          </cell>
          <cell r="E403" t="str">
            <v>KUCME110</v>
          </cell>
          <cell r="F403">
            <v>63522</v>
          </cell>
          <cell r="G403">
            <v>0</v>
          </cell>
          <cell r="H403">
            <v>0</v>
          </cell>
          <cell r="I403">
            <v>0</v>
          </cell>
          <cell r="J403">
            <v>55344548</v>
          </cell>
          <cell r="K403">
            <v>0</v>
          </cell>
          <cell r="L403">
            <v>0</v>
          </cell>
          <cell r="M403">
            <v>0</v>
          </cell>
          <cell r="AE403">
            <v>6375974.5499999998</v>
          </cell>
          <cell r="AF403">
            <v>6375966</v>
          </cell>
          <cell r="AH403">
            <v>179483</v>
          </cell>
          <cell r="AI403">
            <v>104193</v>
          </cell>
          <cell r="AJ403">
            <v>334607</v>
          </cell>
          <cell r="AK403">
            <v>0</v>
          </cell>
          <cell r="AL403">
            <v>0</v>
          </cell>
          <cell r="AM403">
            <v>6994249</v>
          </cell>
          <cell r="AP403">
            <v>1600564.33</v>
          </cell>
        </row>
        <row r="404">
          <cell r="B404" t="str">
            <v>Nov 2015</v>
          </cell>
          <cell r="C404" t="str">
            <v>GS</v>
          </cell>
          <cell r="D404" t="str">
            <v>GS</v>
          </cell>
          <cell r="E404" t="str">
            <v>KUCME112</v>
          </cell>
          <cell r="F404">
            <v>0</v>
          </cell>
          <cell r="G404">
            <v>0</v>
          </cell>
          <cell r="H404">
            <v>0</v>
          </cell>
          <cell r="I404">
            <v>0</v>
          </cell>
          <cell r="J404">
            <v>0</v>
          </cell>
          <cell r="K404">
            <v>0</v>
          </cell>
          <cell r="L404">
            <v>0</v>
          </cell>
          <cell r="M404">
            <v>0</v>
          </cell>
          <cell r="AE404">
            <v>0</v>
          </cell>
          <cell r="AF404">
            <v>0</v>
          </cell>
          <cell r="AH404">
            <v>0</v>
          </cell>
          <cell r="AI404">
            <v>0</v>
          </cell>
          <cell r="AJ404">
            <v>0</v>
          </cell>
          <cell r="AK404">
            <v>0</v>
          </cell>
          <cell r="AL404">
            <v>0</v>
          </cell>
          <cell r="AM404">
            <v>0</v>
          </cell>
          <cell r="AP404">
            <v>0</v>
          </cell>
        </row>
        <row r="405">
          <cell r="B405" t="str">
            <v>Nov 2015</v>
          </cell>
          <cell r="C405" t="str">
            <v>GS3</v>
          </cell>
          <cell r="D405" t="str">
            <v>GS3</v>
          </cell>
          <cell r="E405" t="str">
            <v>KUCME113</v>
          </cell>
          <cell r="F405">
            <v>18568</v>
          </cell>
          <cell r="G405">
            <v>0</v>
          </cell>
          <cell r="H405">
            <v>0</v>
          </cell>
          <cell r="I405">
            <v>0</v>
          </cell>
          <cell r="J405">
            <v>80640902</v>
          </cell>
          <cell r="K405">
            <v>363606</v>
          </cell>
          <cell r="L405">
            <v>0</v>
          </cell>
          <cell r="M405">
            <v>0</v>
          </cell>
          <cell r="AE405">
            <v>8089003.21</v>
          </cell>
          <cell r="AF405">
            <v>8089017</v>
          </cell>
          <cell r="AH405">
            <v>261520</v>
          </cell>
          <cell r="AI405">
            <v>151816</v>
          </cell>
          <cell r="AJ405">
            <v>487546</v>
          </cell>
          <cell r="AK405">
            <v>0</v>
          </cell>
          <cell r="AL405">
            <v>0</v>
          </cell>
          <cell r="AM405">
            <v>8989899</v>
          </cell>
          <cell r="AP405">
            <v>2332134.89</v>
          </cell>
        </row>
        <row r="406">
          <cell r="B406" t="str">
            <v>Nov 2015</v>
          </cell>
          <cell r="C406" t="str">
            <v>AES</v>
          </cell>
          <cell r="D406" t="str">
            <v>AES</v>
          </cell>
          <cell r="E406" t="str">
            <v>KUCME220</v>
          </cell>
          <cell r="F406">
            <v>374</v>
          </cell>
          <cell r="G406">
            <v>0</v>
          </cell>
          <cell r="H406">
            <v>0</v>
          </cell>
          <cell r="I406">
            <v>0</v>
          </cell>
          <cell r="J406">
            <v>645706</v>
          </cell>
          <cell r="K406">
            <v>0</v>
          </cell>
          <cell r="L406">
            <v>0</v>
          </cell>
          <cell r="M406">
            <v>0</v>
          </cell>
          <cell r="AE406">
            <v>55520.53</v>
          </cell>
          <cell r="AF406">
            <v>55520</v>
          </cell>
          <cell r="AH406">
            <v>2094</v>
          </cell>
          <cell r="AI406">
            <v>1216</v>
          </cell>
          <cell r="AJ406">
            <v>3904</v>
          </cell>
          <cell r="AK406">
            <v>0</v>
          </cell>
          <cell r="AL406">
            <v>0</v>
          </cell>
          <cell r="AM406">
            <v>62734</v>
          </cell>
          <cell r="AP406">
            <v>18673.82</v>
          </cell>
        </row>
        <row r="407">
          <cell r="B407" t="str">
            <v>Nov 2015</v>
          </cell>
          <cell r="C407" t="str">
            <v>AES</v>
          </cell>
          <cell r="D407" t="str">
            <v>AES</v>
          </cell>
          <cell r="E407" t="str">
            <v>KUCME221</v>
          </cell>
          <cell r="F407">
            <v>0</v>
          </cell>
          <cell r="G407">
            <v>0</v>
          </cell>
          <cell r="H407">
            <v>0</v>
          </cell>
          <cell r="I407">
            <v>0</v>
          </cell>
          <cell r="J407">
            <v>0</v>
          </cell>
          <cell r="K407">
            <v>0</v>
          </cell>
          <cell r="L407">
            <v>0</v>
          </cell>
          <cell r="M407">
            <v>0</v>
          </cell>
          <cell r="AE407">
            <v>0</v>
          </cell>
          <cell r="AF407">
            <v>0</v>
          </cell>
          <cell r="AH407">
            <v>0</v>
          </cell>
          <cell r="AI407">
            <v>0</v>
          </cell>
          <cell r="AJ407">
            <v>0</v>
          </cell>
          <cell r="AK407">
            <v>0</v>
          </cell>
          <cell r="AL407">
            <v>0</v>
          </cell>
          <cell r="AM407">
            <v>0</v>
          </cell>
          <cell r="AP407">
            <v>0</v>
          </cell>
        </row>
        <row r="408">
          <cell r="B408" t="str">
            <v>Nov 2015</v>
          </cell>
          <cell r="C408" t="str">
            <v>AES3</v>
          </cell>
          <cell r="D408" t="str">
            <v>AES3</v>
          </cell>
          <cell r="E408" t="str">
            <v>KUCME223</v>
          </cell>
          <cell r="F408">
            <v>0</v>
          </cell>
          <cell r="G408">
            <v>0</v>
          </cell>
          <cell r="H408">
            <v>0</v>
          </cell>
          <cell r="I408">
            <v>0</v>
          </cell>
          <cell r="J408">
            <v>0</v>
          </cell>
          <cell r="K408">
            <v>0</v>
          </cell>
          <cell r="L408">
            <v>0</v>
          </cell>
          <cell r="M408">
            <v>0</v>
          </cell>
          <cell r="AE408">
            <v>0</v>
          </cell>
          <cell r="AF408">
            <v>0</v>
          </cell>
          <cell r="AH408">
            <v>0</v>
          </cell>
          <cell r="AI408">
            <v>0</v>
          </cell>
          <cell r="AJ408">
            <v>0</v>
          </cell>
          <cell r="AK408">
            <v>0</v>
          </cell>
          <cell r="AL408">
            <v>0</v>
          </cell>
          <cell r="AM408">
            <v>0</v>
          </cell>
          <cell r="AP408">
            <v>0</v>
          </cell>
        </row>
        <row r="409">
          <cell r="B409" t="str">
            <v>Nov 2015</v>
          </cell>
          <cell r="C409" t="str">
            <v>AES3</v>
          </cell>
          <cell r="D409" t="str">
            <v>AES3</v>
          </cell>
          <cell r="E409" t="str">
            <v>KUCME224</v>
          </cell>
          <cell r="F409">
            <v>260</v>
          </cell>
          <cell r="G409">
            <v>0</v>
          </cell>
          <cell r="H409">
            <v>0</v>
          </cell>
          <cell r="I409">
            <v>0</v>
          </cell>
          <cell r="J409">
            <v>11967848</v>
          </cell>
          <cell r="K409">
            <v>54419</v>
          </cell>
          <cell r="L409">
            <v>0</v>
          </cell>
          <cell r="M409">
            <v>0</v>
          </cell>
          <cell r="AE409">
            <v>899507.89</v>
          </cell>
          <cell r="AF409">
            <v>899508</v>
          </cell>
          <cell r="AH409">
            <v>38812</v>
          </cell>
          <cell r="AI409">
            <v>22531</v>
          </cell>
          <cell r="AJ409">
            <v>72356</v>
          </cell>
          <cell r="AK409">
            <v>0</v>
          </cell>
          <cell r="AL409">
            <v>0</v>
          </cell>
          <cell r="AM409">
            <v>1033207</v>
          </cell>
          <cell r="AP409">
            <v>346110.16</v>
          </cell>
        </row>
        <row r="410">
          <cell r="B410" t="str">
            <v>Nov 2015</v>
          </cell>
          <cell r="C410" t="str">
            <v>AES3</v>
          </cell>
          <cell r="D410" t="str">
            <v>AES3</v>
          </cell>
          <cell r="E410" t="str">
            <v>KUCME225</v>
          </cell>
          <cell r="F410">
            <v>0</v>
          </cell>
          <cell r="G410">
            <v>0</v>
          </cell>
          <cell r="H410">
            <v>0</v>
          </cell>
          <cell r="I410">
            <v>0</v>
          </cell>
          <cell r="J410">
            <v>0</v>
          </cell>
          <cell r="K410">
            <v>0</v>
          </cell>
          <cell r="L410">
            <v>0</v>
          </cell>
          <cell r="M410">
            <v>0</v>
          </cell>
          <cell r="AE410">
            <v>0</v>
          </cell>
          <cell r="AF410">
            <v>0</v>
          </cell>
          <cell r="AH410">
            <v>0</v>
          </cell>
          <cell r="AI410">
            <v>0</v>
          </cell>
          <cell r="AJ410">
            <v>0</v>
          </cell>
          <cell r="AK410">
            <v>0</v>
          </cell>
          <cell r="AL410">
            <v>0</v>
          </cell>
          <cell r="AM410">
            <v>0</v>
          </cell>
          <cell r="AP410">
            <v>0</v>
          </cell>
        </row>
        <row r="411">
          <cell r="B411" t="str">
            <v>Nov 2015</v>
          </cell>
          <cell r="C411" t="str">
            <v>AES</v>
          </cell>
          <cell r="D411" t="str">
            <v>AES</v>
          </cell>
          <cell r="E411" t="str">
            <v>KUCME226</v>
          </cell>
          <cell r="F411">
            <v>0</v>
          </cell>
          <cell r="G411">
            <v>0</v>
          </cell>
          <cell r="H411">
            <v>0</v>
          </cell>
          <cell r="I411">
            <v>0</v>
          </cell>
          <cell r="J411">
            <v>0</v>
          </cell>
          <cell r="K411">
            <v>0</v>
          </cell>
          <cell r="L411">
            <v>0</v>
          </cell>
          <cell r="M411">
            <v>0</v>
          </cell>
          <cell r="AE411">
            <v>0</v>
          </cell>
          <cell r="AF411">
            <v>0</v>
          </cell>
          <cell r="AH411">
            <v>0</v>
          </cell>
          <cell r="AI411">
            <v>0</v>
          </cell>
          <cell r="AJ411">
            <v>0</v>
          </cell>
          <cell r="AK411">
            <v>0</v>
          </cell>
          <cell r="AL411">
            <v>0</v>
          </cell>
          <cell r="AM411">
            <v>0</v>
          </cell>
          <cell r="AP411">
            <v>0</v>
          </cell>
        </row>
        <row r="412">
          <cell r="B412" t="str">
            <v>Nov 2015</v>
          </cell>
          <cell r="C412" t="str">
            <v>AES3</v>
          </cell>
          <cell r="D412" t="str">
            <v>AES3</v>
          </cell>
          <cell r="E412" t="str">
            <v>KUCME227</v>
          </cell>
          <cell r="F412">
            <v>0</v>
          </cell>
          <cell r="G412">
            <v>0</v>
          </cell>
          <cell r="H412">
            <v>0</v>
          </cell>
          <cell r="I412">
            <v>0</v>
          </cell>
          <cell r="J412">
            <v>0</v>
          </cell>
          <cell r="K412">
            <v>0</v>
          </cell>
          <cell r="L412">
            <v>0</v>
          </cell>
          <cell r="M412">
            <v>0</v>
          </cell>
          <cell r="AE412">
            <v>0</v>
          </cell>
          <cell r="AF412">
            <v>0</v>
          </cell>
          <cell r="AH412">
            <v>0</v>
          </cell>
          <cell r="AI412">
            <v>0</v>
          </cell>
          <cell r="AJ412">
            <v>0</v>
          </cell>
          <cell r="AK412">
            <v>0</v>
          </cell>
          <cell r="AL412">
            <v>0</v>
          </cell>
          <cell r="AM412">
            <v>0</v>
          </cell>
          <cell r="AP412">
            <v>0</v>
          </cell>
        </row>
        <row r="413">
          <cell r="B413" t="str">
            <v>Nov 2015</v>
          </cell>
          <cell r="C413" t="str">
            <v>LE</v>
          </cell>
          <cell r="D413" t="str">
            <v>LE</v>
          </cell>
          <cell r="E413" t="str">
            <v>KUCME290</v>
          </cell>
          <cell r="F413">
            <v>2</v>
          </cell>
          <cell r="G413">
            <v>0</v>
          </cell>
          <cell r="H413">
            <v>0</v>
          </cell>
          <cell r="I413">
            <v>0</v>
          </cell>
          <cell r="J413">
            <v>16078</v>
          </cell>
          <cell r="K413">
            <v>0</v>
          </cell>
          <cell r="L413">
            <v>0</v>
          </cell>
          <cell r="M413">
            <v>0</v>
          </cell>
          <cell r="AE413">
            <v>1025.78</v>
          </cell>
          <cell r="AF413">
            <v>0</v>
          </cell>
          <cell r="AH413">
            <v>0</v>
          </cell>
          <cell r="AI413">
            <v>0</v>
          </cell>
          <cell r="AJ413">
            <v>0</v>
          </cell>
          <cell r="AK413">
            <v>0</v>
          </cell>
          <cell r="AL413">
            <v>0</v>
          </cell>
          <cell r="AM413">
            <v>0</v>
          </cell>
          <cell r="AP413">
            <v>464.98</v>
          </cell>
        </row>
        <row r="414">
          <cell r="B414" t="str">
            <v>Nov 2015</v>
          </cell>
          <cell r="C414" t="str">
            <v>LE</v>
          </cell>
          <cell r="D414" t="str">
            <v>LE</v>
          </cell>
          <cell r="E414" t="str">
            <v>KUCME291</v>
          </cell>
          <cell r="F414">
            <v>0</v>
          </cell>
          <cell r="G414">
            <v>0</v>
          </cell>
          <cell r="H414">
            <v>0</v>
          </cell>
          <cell r="I414">
            <v>0</v>
          </cell>
          <cell r="J414">
            <v>0</v>
          </cell>
          <cell r="K414">
            <v>0</v>
          </cell>
          <cell r="L414">
            <v>0</v>
          </cell>
          <cell r="M414">
            <v>0</v>
          </cell>
          <cell r="AE414">
            <v>0</v>
          </cell>
          <cell r="AF414">
            <v>0</v>
          </cell>
          <cell r="AH414">
            <v>0</v>
          </cell>
          <cell r="AI414">
            <v>0</v>
          </cell>
          <cell r="AJ414">
            <v>0</v>
          </cell>
          <cell r="AK414">
            <v>0</v>
          </cell>
          <cell r="AL414">
            <v>0</v>
          </cell>
          <cell r="AM414">
            <v>0</v>
          </cell>
          <cell r="AP414">
            <v>0</v>
          </cell>
        </row>
        <row r="415">
          <cell r="B415" t="str">
            <v>Nov 2015</v>
          </cell>
          <cell r="C415" t="str">
            <v>TE</v>
          </cell>
          <cell r="D415" t="str">
            <v>TE</v>
          </cell>
          <cell r="E415" t="str">
            <v>KUCME295</v>
          </cell>
          <cell r="F415">
            <v>747</v>
          </cell>
          <cell r="G415">
            <v>0</v>
          </cell>
          <cell r="H415">
            <v>0</v>
          </cell>
          <cell r="I415">
            <v>0</v>
          </cell>
          <cell r="J415">
            <v>100910</v>
          </cell>
          <cell r="K415">
            <v>0</v>
          </cell>
          <cell r="L415">
            <v>0</v>
          </cell>
          <cell r="M415">
            <v>0</v>
          </cell>
          <cell r="AE415">
            <v>10478.35</v>
          </cell>
          <cell r="AF415">
            <v>0</v>
          </cell>
          <cell r="AH415">
            <v>0</v>
          </cell>
          <cell r="AI415">
            <v>0</v>
          </cell>
          <cell r="AJ415">
            <v>0</v>
          </cell>
          <cell r="AK415">
            <v>0</v>
          </cell>
          <cell r="AL415">
            <v>0</v>
          </cell>
          <cell r="AM415">
            <v>0</v>
          </cell>
          <cell r="AP415">
            <v>2918.32</v>
          </cell>
        </row>
        <row r="416">
          <cell r="B416" t="str">
            <v>Nov 2015</v>
          </cell>
          <cell r="C416" t="str">
            <v>TE</v>
          </cell>
          <cell r="D416" t="str">
            <v>TE</v>
          </cell>
          <cell r="E416" t="str">
            <v>KUCME297</v>
          </cell>
          <cell r="F416">
            <v>0</v>
          </cell>
          <cell r="G416">
            <v>0</v>
          </cell>
          <cell r="H416">
            <v>0</v>
          </cell>
          <cell r="I416">
            <v>0</v>
          </cell>
          <cell r="J416">
            <v>0</v>
          </cell>
          <cell r="K416">
            <v>0</v>
          </cell>
          <cell r="L416">
            <v>0</v>
          </cell>
          <cell r="M416">
            <v>0</v>
          </cell>
          <cell r="AE416">
            <v>0</v>
          </cell>
          <cell r="AF416">
            <v>0</v>
          </cell>
          <cell r="AH416">
            <v>0</v>
          </cell>
          <cell r="AI416">
            <v>0</v>
          </cell>
          <cell r="AJ416">
            <v>0</v>
          </cell>
          <cell r="AK416">
            <v>0</v>
          </cell>
          <cell r="AL416">
            <v>0</v>
          </cell>
          <cell r="AM416">
            <v>0</v>
          </cell>
          <cell r="AP416">
            <v>0</v>
          </cell>
        </row>
        <row r="417">
          <cell r="B417" t="str">
            <v>Nov 2015</v>
          </cell>
          <cell r="C417" t="str">
            <v>SQF</v>
          </cell>
          <cell r="D417" t="str">
            <v>SQF</v>
          </cell>
          <cell r="E417" t="str">
            <v>KUCME705</v>
          </cell>
          <cell r="F417">
            <v>0</v>
          </cell>
          <cell r="G417">
            <v>0</v>
          </cell>
          <cell r="H417">
            <v>0</v>
          </cell>
          <cell r="I417">
            <v>0</v>
          </cell>
          <cell r="J417">
            <v>0</v>
          </cell>
          <cell r="K417">
            <v>0</v>
          </cell>
          <cell r="L417">
            <v>0</v>
          </cell>
          <cell r="M417">
            <v>0</v>
          </cell>
          <cell r="AE417">
            <v>0</v>
          </cell>
          <cell r="AF417">
            <v>0</v>
          </cell>
          <cell r="AH417">
            <v>0</v>
          </cell>
          <cell r="AI417">
            <v>0</v>
          </cell>
          <cell r="AJ417">
            <v>0</v>
          </cell>
          <cell r="AK417">
            <v>0</v>
          </cell>
          <cell r="AL417">
            <v>0</v>
          </cell>
          <cell r="AM417">
            <v>0</v>
          </cell>
          <cell r="AP417">
            <v>0</v>
          </cell>
        </row>
        <row r="418">
          <cell r="B418" t="str">
            <v>Nov 2015</v>
          </cell>
          <cell r="C418" t="str">
            <v>LQF</v>
          </cell>
          <cell r="D418" t="str">
            <v>LQF</v>
          </cell>
          <cell r="E418" t="str">
            <v>KUCME707</v>
          </cell>
          <cell r="F418">
            <v>0</v>
          </cell>
          <cell r="G418">
            <v>0</v>
          </cell>
          <cell r="H418">
            <v>0</v>
          </cell>
          <cell r="I418">
            <v>0</v>
          </cell>
          <cell r="J418">
            <v>0</v>
          </cell>
          <cell r="K418">
            <v>0</v>
          </cell>
          <cell r="L418">
            <v>0</v>
          </cell>
          <cell r="M418">
            <v>0</v>
          </cell>
          <cell r="AE418">
            <v>0</v>
          </cell>
          <cell r="AF418">
            <v>0</v>
          </cell>
          <cell r="AH418">
            <v>0</v>
          </cell>
          <cell r="AI418">
            <v>0</v>
          </cell>
          <cell r="AJ418">
            <v>0</v>
          </cell>
          <cell r="AK418">
            <v>0</v>
          </cell>
          <cell r="AL418">
            <v>0</v>
          </cell>
          <cell r="AM418">
            <v>0</v>
          </cell>
          <cell r="AP418">
            <v>0</v>
          </cell>
        </row>
        <row r="419">
          <cell r="B419" t="str">
            <v>Nov 2015</v>
          </cell>
          <cell r="C419" t="str">
            <v>GS</v>
          </cell>
          <cell r="D419" t="str">
            <v>GS</v>
          </cell>
          <cell r="E419" t="str">
            <v>KUCME710</v>
          </cell>
          <cell r="F419">
            <v>0</v>
          </cell>
          <cell r="G419">
            <v>0</v>
          </cell>
          <cell r="H419">
            <v>0</v>
          </cell>
          <cell r="I419">
            <v>0</v>
          </cell>
          <cell r="J419">
            <v>0</v>
          </cell>
          <cell r="K419">
            <v>0</v>
          </cell>
          <cell r="L419">
            <v>0</v>
          </cell>
          <cell r="M419">
            <v>0</v>
          </cell>
          <cell r="AE419">
            <v>0</v>
          </cell>
          <cell r="AF419">
            <v>0</v>
          </cell>
          <cell r="AH419">
            <v>0</v>
          </cell>
          <cell r="AI419">
            <v>0</v>
          </cell>
          <cell r="AJ419">
            <v>0</v>
          </cell>
          <cell r="AK419">
            <v>0</v>
          </cell>
          <cell r="AL419">
            <v>0</v>
          </cell>
          <cell r="AM419">
            <v>0</v>
          </cell>
          <cell r="AP419">
            <v>0</v>
          </cell>
        </row>
        <row r="420">
          <cell r="B420" t="str">
            <v>Nov 2015</v>
          </cell>
          <cell r="C420" t="str">
            <v>GS3</v>
          </cell>
          <cell r="D420" t="str">
            <v>GS3</v>
          </cell>
          <cell r="E420" t="str">
            <v>KUCME713</v>
          </cell>
          <cell r="F420">
            <v>0</v>
          </cell>
          <cell r="G420">
            <v>0</v>
          </cell>
          <cell r="H420">
            <v>0</v>
          </cell>
          <cell r="I420">
            <v>0</v>
          </cell>
          <cell r="J420">
            <v>0</v>
          </cell>
          <cell r="K420">
            <v>0</v>
          </cell>
          <cell r="L420">
            <v>0</v>
          </cell>
          <cell r="M420">
            <v>0</v>
          </cell>
          <cell r="AE420">
            <v>0</v>
          </cell>
          <cell r="AF420">
            <v>0</v>
          </cell>
          <cell r="AH420">
            <v>0</v>
          </cell>
          <cell r="AI420">
            <v>0</v>
          </cell>
          <cell r="AJ420">
            <v>0</v>
          </cell>
          <cell r="AK420">
            <v>0</v>
          </cell>
          <cell r="AL420">
            <v>0</v>
          </cell>
          <cell r="AM420">
            <v>0</v>
          </cell>
          <cell r="AP420">
            <v>0</v>
          </cell>
        </row>
        <row r="421">
          <cell r="B421" t="str">
            <v>Nov 2015</v>
          </cell>
          <cell r="C421" t="str">
            <v>CSR10</v>
          </cell>
          <cell r="D421" t="str">
            <v>CSR10</v>
          </cell>
          <cell r="E421" t="str">
            <v>KUCSR760</v>
          </cell>
          <cell r="F421">
            <v>0</v>
          </cell>
          <cell r="G421">
            <v>0</v>
          </cell>
          <cell r="H421">
            <v>0</v>
          </cell>
          <cell r="I421">
            <v>0</v>
          </cell>
          <cell r="J421">
            <v>0</v>
          </cell>
          <cell r="K421">
            <v>0</v>
          </cell>
          <cell r="L421">
            <v>0</v>
          </cell>
          <cell r="M421">
            <v>0</v>
          </cell>
          <cell r="AE421">
            <v>0</v>
          </cell>
          <cell r="AF421">
            <v>0</v>
          </cell>
          <cell r="AH421">
            <v>0</v>
          </cell>
          <cell r="AI421">
            <v>0</v>
          </cell>
          <cell r="AJ421">
            <v>0</v>
          </cell>
          <cell r="AK421">
            <v>0</v>
          </cell>
          <cell r="AL421">
            <v>-989829</v>
          </cell>
          <cell r="AM421">
            <v>-989829</v>
          </cell>
          <cell r="AP421">
            <v>0</v>
          </cell>
        </row>
        <row r="422">
          <cell r="B422" t="str">
            <v>Nov 2015</v>
          </cell>
          <cell r="C422" t="str">
            <v>CSR10</v>
          </cell>
          <cell r="D422" t="str">
            <v>CSR10</v>
          </cell>
          <cell r="E422" t="str">
            <v>KUCSR761</v>
          </cell>
          <cell r="F422">
            <v>0</v>
          </cell>
          <cell r="G422">
            <v>0</v>
          </cell>
          <cell r="H422">
            <v>0</v>
          </cell>
          <cell r="I422">
            <v>0</v>
          </cell>
          <cell r="J422">
            <v>0</v>
          </cell>
          <cell r="K422">
            <v>0</v>
          </cell>
          <cell r="L422">
            <v>0</v>
          </cell>
          <cell r="M422">
            <v>0</v>
          </cell>
          <cell r="AE422">
            <v>0</v>
          </cell>
          <cell r="AF422">
            <v>0</v>
          </cell>
          <cell r="AH422">
            <v>0</v>
          </cell>
          <cell r="AI422">
            <v>0</v>
          </cell>
          <cell r="AJ422">
            <v>0</v>
          </cell>
          <cell r="AK422">
            <v>0</v>
          </cell>
          <cell r="AL422">
            <v>0</v>
          </cell>
          <cell r="AM422">
            <v>0</v>
          </cell>
          <cell r="AP422">
            <v>0</v>
          </cell>
        </row>
        <row r="423">
          <cell r="B423" t="str">
            <v>Nov 2015</v>
          </cell>
          <cell r="C423" t="str">
            <v>CSR30</v>
          </cell>
          <cell r="D423" t="str">
            <v>CSR30</v>
          </cell>
          <cell r="E423" t="str">
            <v>KUCSR780</v>
          </cell>
          <cell r="F423">
            <v>0</v>
          </cell>
          <cell r="G423">
            <v>0</v>
          </cell>
          <cell r="H423">
            <v>0</v>
          </cell>
          <cell r="I423">
            <v>0</v>
          </cell>
          <cell r="J423">
            <v>0</v>
          </cell>
          <cell r="K423">
            <v>0</v>
          </cell>
          <cell r="L423">
            <v>0</v>
          </cell>
          <cell r="M423">
            <v>0</v>
          </cell>
          <cell r="AE423">
            <v>0</v>
          </cell>
          <cell r="AF423">
            <v>0</v>
          </cell>
          <cell r="AH423">
            <v>0</v>
          </cell>
          <cell r="AI423">
            <v>0</v>
          </cell>
          <cell r="AJ423">
            <v>0</v>
          </cell>
          <cell r="AK423">
            <v>0</v>
          </cell>
          <cell r="AL423">
            <v>0</v>
          </cell>
          <cell r="AM423">
            <v>0</v>
          </cell>
          <cell r="AP423">
            <v>0</v>
          </cell>
        </row>
        <row r="424">
          <cell r="B424" t="str">
            <v>Nov 2015</v>
          </cell>
          <cell r="C424" t="str">
            <v>CSR30</v>
          </cell>
          <cell r="D424" t="str">
            <v>CSR30</v>
          </cell>
          <cell r="E424" t="str">
            <v>KUCSR781</v>
          </cell>
          <cell r="F424">
            <v>0</v>
          </cell>
          <cell r="G424">
            <v>0</v>
          </cell>
          <cell r="H424">
            <v>0</v>
          </cell>
          <cell r="I424">
            <v>0</v>
          </cell>
          <cell r="J424">
            <v>0</v>
          </cell>
          <cell r="K424">
            <v>0</v>
          </cell>
          <cell r="L424">
            <v>0</v>
          </cell>
          <cell r="M424">
            <v>0</v>
          </cell>
          <cell r="AE424">
            <v>0</v>
          </cell>
          <cell r="AF424">
            <v>0</v>
          </cell>
          <cell r="AH424">
            <v>0</v>
          </cell>
          <cell r="AI424">
            <v>0</v>
          </cell>
          <cell r="AJ424">
            <v>0</v>
          </cell>
          <cell r="AK424">
            <v>0</v>
          </cell>
          <cell r="AL424">
            <v>0</v>
          </cell>
          <cell r="AM424">
            <v>0</v>
          </cell>
          <cell r="AP424">
            <v>0</v>
          </cell>
        </row>
        <row r="425">
          <cell r="B425" t="str">
            <v>Nov 2015</v>
          </cell>
          <cell r="C425" t="str">
            <v>CSR30</v>
          </cell>
          <cell r="D425" t="str">
            <v>CSR30</v>
          </cell>
          <cell r="E425" t="str">
            <v>KUCSR783</v>
          </cell>
          <cell r="F425">
            <v>0</v>
          </cell>
          <cell r="G425">
            <v>0</v>
          </cell>
          <cell r="H425">
            <v>0</v>
          </cell>
          <cell r="I425">
            <v>0</v>
          </cell>
          <cell r="J425">
            <v>0</v>
          </cell>
          <cell r="K425">
            <v>0</v>
          </cell>
          <cell r="L425">
            <v>0</v>
          </cell>
          <cell r="M425">
            <v>0</v>
          </cell>
          <cell r="AE425">
            <v>0</v>
          </cell>
          <cell r="AF425">
            <v>0</v>
          </cell>
          <cell r="AH425">
            <v>0</v>
          </cell>
          <cell r="AI425">
            <v>0</v>
          </cell>
          <cell r="AJ425">
            <v>0</v>
          </cell>
          <cell r="AK425">
            <v>0</v>
          </cell>
          <cell r="AL425">
            <v>0</v>
          </cell>
          <cell r="AM425">
            <v>0</v>
          </cell>
          <cell r="AP425">
            <v>0</v>
          </cell>
        </row>
        <row r="426">
          <cell r="B426" t="str">
            <v>Nov 2015</v>
          </cell>
          <cell r="C426" t="str">
            <v>FLS</v>
          </cell>
          <cell r="D426" t="str">
            <v>FLST</v>
          </cell>
          <cell r="E426" t="str">
            <v>KUINE730</v>
          </cell>
          <cell r="F426">
            <v>1</v>
          </cell>
          <cell r="G426">
            <v>0</v>
          </cell>
          <cell r="H426">
            <v>0</v>
          </cell>
          <cell r="I426">
            <v>0</v>
          </cell>
          <cell r="J426">
            <v>44497248</v>
          </cell>
          <cell r="K426">
            <v>185158</v>
          </cell>
          <cell r="L426">
            <v>185158</v>
          </cell>
          <cell r="M426">
            <v>101388</v>
          </cell>
          <cell r="AE426">
            <v>2172006.3999999999</v>
          </cell>
          <cell r="AF426">
            <v>2172005</v>
          </cell>
          <cell r="AH426">
            <v>144305</v>
          </cell>
          <cell r="AI426">
            <v>0</v>
          </cell>
          <cell r="AJ426">
            <v>269025</v>
          </cell>
          <cell r="AK426">
            <v>0</v>
          </cell>
          <cell r="AL426">
            <v>0</v>
          </cell>
          <cell r="AM426">
            <v>2585335</v>
          </cell>
          <cell r="AP426">
            <v>1286860.4099999999</v>
          </cell>
        </row>
        <row r="427">
          <cell r="B427" t="str">
            <v>Nov 2015</v>
          </cell>
          <cell r="C427" t="str">
            <v>RS</v>
          </cell>
          <cell r="D427" t="str">
            <v>RS</v>
          </cell>
          <cell r="E427" t="str">
            <v>KURSE010</v>
          </cell>
          <cell r="F427">
            <v>430076</v>
          </cell>
          <cell r="G427">
            <v>0</v>
          </cell>
          <cell r="H427">
            <v>0</v>
          </cell>
          <cell r="I427">
            <v>0</v>
          </cell>
          <cell r="J427">
            <v>425767369</v>
          </cell>
          <cell r="K427">
            <v>0</v>
          </cell>
          <cell r="L427">
            <v>0</v>
          </cell>
          <cell r="M427">
            <v>0</v>
          </cell>
          <cell r="AE427">
            <v>37594742.060000002</v>
          </cell>
          <cell r="AF427">
            <v>37595732</v>
          </cell>
          <cell r="AH427">
            <v>1380809</v>
          </cell>
          <cell r="AI427">
            <v>801581</v>
          </cell>
          <cell r="AJ427">
            <v>2574212</v>
          </cell>
          <cell r="AK427">
            <v>0</v>
          </cell>
          <cell r="AL427">
            <v>0</v>
          </cell>
          <cell r="AM427">
            <v>42352334</v>
          </cell>
          <cell r="AP427">
            <v>12313192.310000001</v>
          </cell>
        </row>
        <row r="428">
          <cell r="B428" t="str">
            <v>Nov 2015</v>
          </cell>
          <cell r="C428" t="str">
            <v>RS</v>
          </cell>
          <cell r="D428" t="str">
            <v>RS</v>
          </cell>
          <cell r="E428" t="str">
            <v>KURSE020</v>
          </cell>
          <cell r="F428">
            <v>0</v>
          </cell>
          <cell r="G428">
            <v>0</v>
          </cell>
          <cell r="H428">
            <v>0</v>
          </cell>
          <cell r="I428">
            <v>0</v>
          </cell>
          <cell r="J428">
            <v>0</v>
          </cell>
          <cell r="K428">
            <v>0</v>
          </cell>
          <cell r="L428">
            <v>0</v>
          </cell>
          <cell r="M428">
            <v>0</v>
          </cell>
          <cell r="AE428">
            <v>0</v>
          </cell>
          <cell r="AF428">
            <v>0</v>
          </cell>
          <cell r="AH428">
            <v>0</v>
          </cell>
          <cell r="AI428">
            <v>0</v>
          </cell>
          <cell r="AJ428">
            <v>0</v>
          </cell>
          <cell r="AK428">
            <v>0</v>
          </cell>
          <cell r="AL428">
            <v>0</v>
          </cell>
          <cell r="AM428">
            <v>0</v>
          </cell>
          <cell r="AP428">
            <v>0</v>
          </cell>
        </row>
        <row r="429">
          <cell r="B429" t="str">
            <v>Nov 2015</v>
          </cell>
          <cell r="C429" t="str">
            <v>RS</v>
          </cell>
          <cell r="D429" t="str">
            <v>RS</v>
          </cell>
          <cell r="E429" t="str">
            <v>KURSE025</v>
          </cell>
          <cell r="F429">
            <v>0</v>
          </cell>
          <cell r="G429">
            <v>0</v>
          </cell>
          <cell r="H429">
            <v>0</v>
          </cell>
          <cell r="I429">
            <v>0</v>
          </cell>
          <cell r="J429">
            <v>0</v>
          </cell>
          <cell r="K429">
            <v>0</v>
          </cell>
          <cell r="L429">
            <v>0</v>
          </cell>
          <cell r="M429">
            <v>0</v>
          </cell>
          <cell r="AE429">
            <v>0</v>
          </cell>
          <cell r="AF429">
            <v>0</v>
          </cell>
          <cell r="AH429">
            <v>0</v>
          </cell>
          <cell r="AI429">
            <v>0</v>
          </cell>
          <cell r="AJ429">
            <v>0</v>
          </cell>
          <cell r="AK429">
            <v>0</v>
          </cell>
          <cell r="AL429">
            <v>0</v>
          </cell>
          <cell r="AM429">
            <v>0</v>
          </cell>
          <cell r="AP429">
            <v>0</v>
          </cell>
        </row>
        <row r="430">
          <cell r="B430" t="str">
            <v>Nov 2015</v>
          </cell>
          <cell r="C430" t="str">
            <v>LEV</v>
          </cell>
          <cell r="D430" t="str">
            <v>RSLEV</v>
          </cell>
          <cell r="E430" t="str">
            <v>KURSE040</v>
          </cell>
          <cell r="F430">
            <v>7</v>
          </cell>
          <cell r="G430">
            <v>6774</v>
          </cell>
          <cell r="H430">
            <v>3197</v>
          </cell>
          <cell r="I430">
            <v>1832</v>
          </cell>
          <cell r="J430">
            <v>11803</v>
          </cell>
          <cell r="K430">
            <v>0</v>
          </cell>
          <cell r="L430">
            <v>0</v>
          </cell>
          <cell r="M430">
            <v>0</v>
          </cell>
          <cell r="AE430">
            <v>963.82</v>
          </cell>
          <cell r="AF430">
            <v>0</v>
          </cell>
          <cell r="AH430">
            <v>0</v>
          </cell>
          <cell r="AI430">
            <v>0</v>
          </cell>
          <cell r="AJ430">
            <v>0</v>
          </cell>
          <cell r="AK430">
            <v>0</v>
          </cell>
          <cell r="AL430">
            <v>0</v>
          </cell>
          <cell r="AM430">
            <v>0</v>
          </cell>
          <cell r="AP430">
            <v>341.34</v>
          </cell>
        </row>
        <row r="431">
          <cell r="B431" t="str">
            <v>Nov 2015</v>
          </cell>
          <cell r="C431" t="str">
            <v>RS</v>
          </cell>
          <cell r="D431" t="str">
            <v>RSVFD</v>
          </cell>
          <cell r="E431" t="str">
            <v>KURSE080</v>
          </cell>
          <cell r="F431">
            <v>0</v>
          </cell>
          <cell r="G431">
            <v>0</v>
          </cell>
          <cell r="H431">
            <v>0</v>
          </cell>
          <cell r="I431">
            <v>0</v>
          </cell>
          <cell r="J431">
            <v>0</v>
          </cell>
          <cell r="K431">
            <v>0</v>
          </cell>
          <cell r="L431">
            <v>0</v>
          </cell>
          <cell r="M431">
            <v>0</v>
          </cell>
          <cell r="AE431">
            <v>0</v>
          </cell>
          <cell r="AF431">
            <v>0</v>
          </cell>
          <cell r="AH431">
            <v>0</v>
          </cell>
          <cell r="AI431">
            <v>0</v>
          </cell>
          <cell r="AJ431">
            <v>0</v>
          </cell>
          <cell r="AK431">
            <v>0</v>
          </cell>
          <cell r="AL431">
            <v>0</v>
          </cell>
          <cell r="AM431">
            <v>0</v>
          </cell>
          <cell r="AP431">
            <v>0</v>
          </cell>
        </row>
        <row r="432">
          <cell r="B432" t="str">
            <v>Nov 2015</v>
          </cell>
          <cell r="C432" t="str">
            <v>RS</v>
          </cell>
          <cell r="D432" t="str">
            <v>RS</v>
          </cell>
          <cell r="E432" t="str">
            <v>KURSE715</v>
          </cell>
          <cell r="F432">
            <v>0</v>
          </cell>
          <cell r="G432">
            <v>0</v>
          </cell>
          <cell r="H432">
            <v>0</v>
          </cell>
          <cell r="I432">
            <v>0</v>
          </cell>
          <cell r="J432">
            <v>0</v>
          </cell>
          <cell r="K432">
            <v>0</v>
          </cell>
          <cell r="L432">
            <v>0</v>
          </cell>
          <cell r="M432">
            <v>0</v>
          </cell>
          <cell r="AE432">
            <v>0</v>
          </cell>
          <cell r="AF432">
            <v>0</v>
          </cell>
          <cell r="AH432">
            <v>0</v>
          </cell>
          <cell r="AI432">
            <v>0</v>
          </cell>
          <cell r="AJ432">
            <v>0</v>
          </cell>
          <cell r="AK432">
            <v>0</v>
          </cell>
          <cell r="AL432">
            <v>0</v>
          </cell>
          <cell r="AM432">
            <v>0</v>
          </cell>
          <cell r="AP432">
            <v>0</v>
          </cell>
        </row>
        <row r="433">
          <cell r="B433" t="str">
            <v>Dec 2015</v>
          </cell>
          <cell r="C433" t="str">
            <v>RTS</v>
          </cell>
          <cell r="D433" t="str">
            <v>RTS</v>
          </cell>
          <cell r="E433" t="str">
            <v>KUCIE550</v>
          </cell>
          <cell r="F433">
            <v>32</v>
          </cell>
          <cell r="G433">
            <v>0</v>
          </cell>
          <cell r="H433">
            <v>0</v>
          </cell>
          <cell r="I433">
            <v>0</v>
          </cell>
          <cell r="J433">
            <v>143877223</v>
          </cell>
          <cell r="K433">
            <v>305101</v>
          </cell>
          <cell r="L433">
            <v>298666</v>
          </cell>
          <cell r="M433">
            <v>292465</v>
          </cell>
          <cell r="AE433">
            <v>7679591.0899999999</v>
          </cell>
          <cell r="AF433">
            <v>7679592</v>
          </cell>
          <cell r="AH433">
            <v>338882</v>
          </cell>
          <cell r="AI433">
            <v>0</v>
          </cell>
          <cell r="AJ433">
            <v>727015</v>
          </cell>
          <cell r="AK433">
            <v>0</v>
          </cell>
          <cell r="AL433">
            <v>0</v>
          </cell>
          <cell r="AM433">
            <v>8745489</v>
          </cell>
          <cell r="AP433">
            <v>4160929.29</v>
          </cell>
        </row>
        <row r="434">
          <cell r="B434" t="str">
            <v>Dec 2015</v>
          </cell>
          <cell r="C434" t="str">
            <v>PSP</v>
          </cell>
          <cell r="D434" t="str">
            <v>PSP</v>
          </cell>
          <cell r="E434" t="str">
            <v>KUCIE561</v>
          </cell>
          <cell r="F434">
            <v>196</v>
          </cell>
          <cell r="G434">
            <v>0</v>
          </cell>
          <cell r="H434">
            <v>0</v>
          </cell>
          <cell r="I434">
            <v>0</v>
          </cell>
          <cell r="J434">
            <v>20132212</v>
          </cell>
          <cell r="K434">
            <v>0</v>
          </cell>
          <cell r="L434">
            <v>54459</v>
          </cell>
          <cell r="M434">
            <v>0</v>
          </cell>
          <cell r="AE434">
            <v>1468199.01</v>
          </cell>
          <cell r="AF434">
            <v>1468193</v>
          </cell>
          <cell r="AH434">
            <v>47419</v>
          </cell>
          <cell r="AI434">
            <v>31785</v>
          </cell>
          <cell r="AJ434">
            <v>101729</v>
          </cell>
          <cell r="AK434">
            <v>0</v>
          </cell>
          <cell r="AL434">
            <v>0</v>
          </cell>
          <cell r="AM434">
            <v>1649126</v>
          </cell>
          <cell r="AP434">
            <v>582223.56999999995</v>
          </cell>
        </row>
        <row r="435">
          <cell r="B435" t="str">
            <v>Dec 2015</v>
          </cell>
          <cell r="C435" t="str">
            <v>PSS</v>
          </cell>
          <cell r="D435" t="str">
            <v>PSS</v>
          </cell>
          <cell r="E435" t="str">
            <v>KUCIE562</v>
          </cell>
          <cell r="F435">
            <v>4660</v>
          </cell>
          <cell r="G435">
            <v>0</v>
          </cell>
          <cell r="H435">
            <v>0</v>
          </cell>
          <cell r="I435">
            <v>0</v>
          </cell>
          <cell r="J435">
            <v>177385987</v>
          </cell>
          <cell r="K435">
            <v>0</v>
          </cell>
          <cell r="L435">
            <v>548106</v>
          </cell>
          <cell r="M435">
            <v>0</v>
          </cell>
          <cell r="AE435">
            <v>13976435.780000001</v>
          </cell>
          <cell r="AF435">
            <v>13976440</v>
          </cell>
          <cell r="AH435">
            <v>417807</v>
          </cell>
          <cell r="AI435">
            <v>280059</v>
          </cell>
          <cell r="AJ435">
            <v>896336</v>
          </cell>
          <cell r="AK435">
            <v>0</v>
          </cell>
          <cell r="AL435">
            <v>0</v>
          </cell>
          <cell r="AM435">
            <v>15570642</v>
          </cell>
          <cell r="AP435">
            <v>5130002.74</v>
          </cell>
        </row>
        <row r="436">
          <cell r="B436" t="str">
            <v>Dec 2015</v>
          </cell>
          <cell r="C436" t="str">
            <v>TODP</v>
          </cell>
          <cell r="D436" t="str">
            <v>TODP</v>
          </cell>
          <cell r="E436" t="str">
            <v>KUCIE563</v>
          </cell>
          <cell r="F436">
            <v>52</v>
          </cell>
          <cell r="G436">
            <v>0</v>
          </cell>
          <cell r="H436">
            <v>0</v>
          </cell>
          <cell r="I436">
            <v>0</v>
          </cell>
          <cell r="J436">
            <v>255284575</v>
          </cell>
          <cell r="K436">
            <v>517261</v>
          </cell>
          <cell r="L436">
            <v>482638</v>
          </cell>
          <cell r="M436">
            <v>479026</v>
          </cell>
          <cell r="AE436">
            <v>13884312.200000001</v>
          </cell>
          <cell r="AF436">
            <v>13884313</v>
          </cell>
          <cell r="AH436">
            <v>601286</v>
          </cell>
          <cell r="AI436">
            <v>403046</v>
          </cell>
          <cell r="AJ436">
            <v>1289959</v>
          </cell>
          <cell r="AK436">
            <v>0</v>
          </cell>
          <cell r="AL436">
            <v>0</v>
          </cell>
          <cell r="AM436">
            <v>16178604</v>
          </cell>
          <cell r="AP436">
            <v>7382829.9100000001</v>
          </cell>
        </row>
        <row r="437">
          <cell r="B437" t="str">
            <v>Dec 2015</v>
          </cell>
          <cell r="C437" t="str">
            <v>PSP</v>
          </cell>
          <cell r="D437" t="str">
            <v>PSP</v>
          </cell>
          <cell r="E437" t="str">
            <v>KUCIE566</v>
          </cell>
          <cell r="F437">
            <v>0</v>
          </cell>
          <cell r="G437">
            <v>0</v>
          </cell>
          <cell r="H437">
            <v>0</v>
          </cell>
          <cell r="I437">
            <v>0</v>
          </cell>
          <cell r="J437">
            <v>0</v>
          </cell>
          <cell r="K437">
            <v>0</v>
          </cell>
          <cell r="L437">
            <v>0</v>
          </cell>
          <cell r="M437">
            <v>0</v>
          </cell>
          <cell r="AE437">
            <v>0</v>
          </cell>
          <cell r="AF437">
            <v>0</v>
          </cell>
          <cell r="AH437">
            <v>0</v>
          </cell>
          <cell r="AI437">
            <v>0</v>
          </cell>
          <cell r="AJ437">
            <v>0</v>
          </cell>
          <cell r="AK437">
            <v>0</v>
          </cell>
          <cell r="AL437">
            <v>0</v>
          </cell>
          <cell r="AM437">
            <v>0</v>
          </cell>
          <cell r="AP437">
            <v>0</v>
          </cell>
        </row>
        <row r="438">
          <cell r="B438" t="str">
            <v>Dec 2015</v>
          </cell>
          <cell r="C438" t="str">
            <v>PSS</v>
          </cell>
          <cell r="D438" t="str">
            <v>PSS</v>
          </cell>
          <cell r="E438" t="str">
            <v>KUCIE568</v>
          </cell>
          <cell r="F438">
            <v>0</v>
          </cell>
          <cell r="G438">
            <v>0</v>
          </cell>
          <cell r="H438">
            <v>0</v>
          </cell>
          <cell r="I438">
            <v>0</v>
          </cell>
          <cell r="J438">
            <v>0</v>
          </cell>
          <cell r="K438">
            <v>0</v>
          </cell>
          <cell r="L438">
            <v>0</v>
          </cell>
          <cell r="M438">
            <v>0</v>
          </cell>
          <cell r="AE438">
            <v>0</v>
          </cell>
          <cell r="AF438">
            <v>0</v>
          </cell>
          <cell r="AH438">
            <v>0</v>
          </cell>
          <cell r="AI438">
            <v>0</v>
          </cell>
          <cell r="AJ438">
            <v>0</v>
          </cell>
          <cell r="AK438">
            <v>0</v>
          </cell>
          <cell r="AL438">
            <v>0</v>
          </cell>
          <cell r="AM438">
            <v>0</v>
          </cell>
          <cell r="AP438">
            <v>0</v>
          </cell>
        </row>
        <row r="439">
          <cell r="B439" t="str">
            <v>Dec 2015</v>
          </cell>
          <cell r="C439" t="str">
            <v>TODP</v>
          </cell>
          <cell r="D439" t="str">
            <v>TODP</v>
          </cell>
          <cell r="E439" t="str">
            <v>KUCIE571</v>
          </cell>
          <cell r="F439">
            <v>202</v>
          </cell>
          <cell r="G439">
            <v>0</v>
          </cell>
          <cell r="H439">
            <v>0</v>
          </cell>
          <cell r="I439">
            <v>0</v>
          </cell>
          <cell r="J439">
            <v>106794414</v>
          </cell>
          <cell r="K439">
            <v>254407</v>
          </cell>
          <cell r="L439">
            <v>244745</v>
          </cell>
          <cell r="M439">
            <v>241237</v>
          </cell>
          <cell r="AE439">
            <v>6219611.4800000004</v>
          </cell>
          <cell r="AF439">
            <v>6219612</v>
          </cell>
          <cell r="AH439">
            <v>251539</v>
          </cell>
          <cell r="AI439">
            <v>168608</v>
          </cell>
          <cell r="AJ439">
            <v>539635</v>
          </cell>
          <cell r="AK439">
            <v>0</v>
          </cell>
          <cell r="AL439">
            <v>0</v>
          </cell>
          <cell r="AM439">
            <v>7179394</v>
          </cell>
          <cell r="AP439">
            <v>3088494.45</v>
          </cell>
        </row>
        <row r="440">
          <cell r="B440" t="str">
            <v>Dec 2015</v>
          </cell>
          <cell r="C440" t="str">
            <v>TODS</v>
          </cell>
          <cell r="D440" t="str">
            <v>TODS</v>
          </cell>
          <cell r="E440" t="str">
            <v>KUCIE572</v>
          </cell>
          <cell r="F440">
            <v>466</v>
          </cell>
          <cell r="G440">
            <v>0</v>
          </cell>
          <cell r="H440">
            <v>0</v>
          </cell>
          <cell r="I440">
            <v>0</v>
          </cell>
          <cell r="J440">
            <v>138941021</v>
          </cell>
          <cell r="K440">
            <v>325202</v>
          </cell>
          <cell r="L440">
            <v>296195</v>
          </cell>
          <cell r="M440">
            <v>289560</v>
          </cell>
          <cell r="AE440">
            <v>8703949.2100000009</v>
          </cell>
          <cell r="AF440">
            <v>8703948</v>
          </cell>
          <cell r="AH440">
            <v>327256</v>
          </cell>
          <cell r="AI440">
            <v>219361</v>
          </cell>
          <cell r="AJ440">
            <v>702073</v>
          </cell>
          <cell r="AK440">
            <v>0</v>
          </cell>
          <cell r="AL440">
            <v>0</v>
          </cell>
          <cell r="AM440">
            <v>9952638</v>
          </cell>
          <cell r="AP440">
            <v>4018174.33</v>
          </cell>
        </row>
        <row r="441">
          <cell r="B441" t="str">
            <v>Dec 2015</v>
          </cell>
          <cell r="C441" t="str">
            <v>PSS</v>
          </cell>
          <cell r="D441" t="str">
            <v>PSS</v>
          </cell>
          <cell r="E441" t="str">
            <v>KUCIE717</v>
          </cell>
          <cell r="F441">
            <v>0</v>
          </cell>
          <cell r="G441">
            <v>0</v>
          </cell>
          <cell r="H441">
            <v>0</v>
          </cell>
          <cell r="I441">
            <v>0</v>
          </cell>
          <cell r="J441">
            <v>0</v>
          </cell>
          <cell r="K441">
            <v>0</v>
          </cell>
          <cell r="L441">
            <v>0</v>
          </cell>
          <cell r="M441">
            <v>0</v>
          </cell>
          <cell r="AE441">
            <v>0</v>
          </cell>
          <cell r="AF441">
            <v>0</v>
          </cell>
          <cell r="AH441">
            <v>0</v>
          </cell>
          <cell r="AI441">
            <v>0</v>
          </cell>
          <cell r="AJ441">
            <v>0</v>
          </cell>
          <cell r="AK441">
            <v>0</v>
          </cell>
          <cell r="AL441">
            <v>0</v>
          </cell>
          <cell r="AM441">
            <v>0</v>
          </cell>
          <cell r="AP441">
            <v>0</v>
          </cell>
        </row>
        <row r="442">
          <cell r="B442" t="str">
            <v>Dec 2015</v>
          </cell>
          <cell r="C442" t="str">
            <v>GS</v>
          </cell>
          <cell r="D442" t="str">
            <v>GS</v>
          </cell>
          <cell r="E442" t="str">
            <v>KUCME110</v>
          </cell>
          <cell r="F442">
            <v>63529</v>
          </cell>
          <cell r="G442">
            <v>0</v>
          </cell>
          <cell r="H442">
            <v>0</v>
          </cell>
          <cell r="I442">
            <v>0</v>
          </cell>
          <cell r="J442">
            <v>68970770</v>
          </cell>
          <cell r="K442">
            <v>0</v>
          </cell>
          <cell r="L442">
            <v>0</v>
          </cell>
          <cell r="M442">
            <v>0</v>
          </cell>
          <cell r="AE442">
            <v>7633133.5300000003</v>
          </cell>
          <cell r="AF442">
            <v>7633140</v>
          </cell>
          <cell r="AH442">
            <v>162451</v>
          </cell>
          <cell r="AI442">
            <v>108892</v>
          </cell>
          <cell r="AJ442">
            <v>348511</v>
          </cell>
          <cell r="AK442">
            <v>0</v>
          </cell>
          <cell r="AL442">
            <v>0</v>
          </cell>
          <cell r="AM442">
            <v>8252994</v>
          </cell>
          <cell r="AP442">
            <v>1994634.67</v>
          </cell>
        </row>
        <row r="443">
          <cell r="B443" t="str">
            <v>Dec 2015</v>
          </cell>
          <cell r="C443" t="str">
            <v>GS</v>
          </cell>
          <cell r="D443" t="str">
            <v>GS</v>
          </cell>
          <cell r="E443" t="str">
            <v>KUCME112</v>
          </cell>
          <cell r="F443">
            <v>0</v>
          </cell>
          <cell r="G443">
            <v>0</v>
          </cell>
          <cell r="H443">
            <v>0</v>
          </cell>
          <cell r="I443">
            <v>0</v>
          </cell>
          <cell r="J443">
            <v>0</v>
          </cell>
          <cell r="K443">
            <v>0</v>
          </cell>
          <cell r="L443">
            <v>0</v>
          </cell>
          <cell r="M443">
            <v>0</v>
          </cell>
          <cell r="AE443">
            <v>0</v>
          </cell>
          <cell r="AF443">
            <v>0</v>
          </cell>
          <cell r="AH443">
            <v>0</v>
          </cell>
          <cell r="AI443">
            <v>0</v>
          </cell>
          <cell r="AJ443">
            <v>0</v>
          </cell>
          <cell r="AK443">
            <v>0</v>
          </cell>
          <cell r="AL443">
            <v>0</v>
          </cell>
          <cell r="AM443">
            <v>0</v>
          </cell>
          <cell r="AP443">
            <v>0</v>
          </cell>
        </row>
        <row r="444">
          <cell r="B444" t="str">
            <v>Dec 2015</v>
          </cell>
          <cell r="C444" t="str">
            <v>GS3</v>
          </cell>
          <cell r="D444" t="str">
            <v>GS3</v>
          </cell>
          <cell r="E444" t="str">
            <v>KUCME113</v>
          </cell>
          <cell r="F444">
            <v>18571</v>
          </cell>
          <cell r="G444">
            <v>0</v>
          </cell>
          <cell r="H444">
            <v>0</v>
          </cell>
          <cell r="I444">
            <v>0</v>
          </cell>
          <cell r="J444">
            <v>101080235</v>
          </cell>
          <cell r="K444">
            <v>385178</v>
          </cell>
          <cell r="L444">
            <v>0</v>
          </cell>
          <cell r="M444">
            <v>0</v>
          </cell>
          <cell r="AE444">
            <v>9974636.6799999997</v>
          </cell>
          <cell r="AF444">
            <v>9974625</v>
          </cell>
          <cell r="AH444">
            <v>238080</v>
          </cell>
          <cell r="AI444">
            <v>159586</v>
          </cell>
          <cell r="AJ444">
            <v>510761</v>
          </cell>
          <cell r="AK444">
            <v>0</v>
          </cell>
          <cell r="AL444">
            <v>0</v>
          </cell>
          <cell r="AM444">
            <v>10883052</v>
          </cell>
          <cell r="AP444">
            <v>2923240.4</v>
          </cell>
        </row>
        <row r="445">
          <cell r="B445" t="str">
            <v>Dec 2015</v>
          </cell>
          <cell r="C445" t="str">
            <v>AES</v>
          </cell>
          <cell r="D445" t="str">
            <v>AES</v>
          </cell>
          <cell r="E445" t="str">
            <v>KUCME220</v>
          </cell>
          <cell r="F445">
            <v>373</v>
          </cell>
          <cell r="G445">
            <v>0</v>
          </cell>
          <cell r="H445">
            <v>0</v>
          </cell>
          <cell r="I445">
            <v>0</v>
          </cell>
          <cell r="J445">
            <v>744788</v>
          </cell>
          <cell r="K445">
            <v>0</v>
          </cell>
          <cell r="L445">
            <v>0</v>
          </cell>
          <cell r="M445">
            <v>0</v>
          </cell>
          <cell r="AE445">
            <v>62872.23</v>
          </cell>
          <cell r="AF445">
            <v>62873</v>
          </cell>
          <cell r="AH445">
            <v>1754</v>
          </cell>
          <cell r="AI445">
            <v>1176</v>
          </cell>
          <cell r="AJ445">
            <v>3763</v>
          </cell>
          <cell r="AK445">
            <v>0</v>
          </cell>
          <cell r="AL445">
            <v>0</v>
          </cell>
          <cell r="AM445">
            <v>69566</v>
          </cell>
          <cell r="AP445">
            <v>21539.27</v>
          </cell>
        </row>
        <row r="446">
          <cell r="B446" t="str">
            <v>Dec 2015</v>
          </cell>
          <cell r="C446" t="str">
            <v>AES</v>
          </cell>
          <cell r="D446" t="str">
            <v>AES</v>
          </cell>
          <cell r="E446" t="str">
            <v>KUCME221</v>
          </cell>
          <cell r="F446">
            <v>0</v>
          </cell>
          <cell r="G446">
            <v>0</v>
          </cell>
          <cell r="H446">
            <v>0</v>
          </cell>
          <cell r="I446">
            <v>0</v>
          </cell>
          <cell r="J446">
            <v>0</v>
          </cell>
          <cell r="K446">
            <v>0</v>
          </cell>
          <cell r="L446">
            <v>0</v>
          </cell>
          <cell r="M446">
            <v>0</v>
          </cell>
          <cell r="AE446">
            <v>0</v>
          </cell>
          <cell r="AF446">
            <v>0</v>
          </cell>
          <cell r="AH446">
            <v>0</v>
          </cell>
          <cell r="AI446">
            <v>0</v>
          </cell>
          <cell r="AJ446">
            <v>0</v>
          </cell>
          <cell r="AK446">
            <v>0</v>
          </cell>
          <cell r="AL446">
            <v>0</v>
          </cell>
          <cell r="AM446">
            <v>0</v>
          </cell>
          <cell r="AP446">
            <v>0</v>
          </cell>
        </row>
        <row r="447">
          <cell r="B447" t="str">
            <v>Dec 2015</v>
          </cell>
          <cell r="C447" t="str">
            <v>AES3</v>
          </cell>
          <cell r="D447" t="str">
            <v>AES3</v>
          </cell>
          <cell r="E447" t="str">
            <v>KUCME223</v>
          </cell>
          <cell r="F447">
            <v>0</v>
          </cell>
          <cell r="G447">
            <v>0</v>
          </cell>
          <cell r="H447">
            <v>0</v>
          </cell>
          <cell r="I447">
            <v>0</v>
          </cell>
          <cell r="J447">
            <v>0</v>
          </cell>
          <cell r="K447">
            <v>0</v>
          </cell>
          <cell r="L447">
            <v>0</v>
          </cell>
          <cell r="M447">
            <v>0</v>
          </cell>
          <cell r="AE447">
            <v>0</v>
          </cell>
          <cell r="AF447">
            <v>0</v>
          </cell>
          <cell r="AH447">
            <v>0</v>
          </cell>
          <cell r="AI447">
            <v>0</v>
          </cell>
          <cell r="AJ447">
            <v>0</v>
          </cell>
          <cell r="AK447">
            <v>0</v>
          </cell>
          <cell r="AL447">
            <v>0</v>
          </cell>
          <cell r="AM447">
            <v>0</v>
          </cell>
          <cell r="AP447">
            <v>0</v>
          </cell>
        </row>
        <row r="448">
          <cell r="B448" t="str">
            <v>Dec 2015</v>
          </cell>
          <cell r="C448" t="str">
            <v>AES3</v>
          </cell>
          <cell r="D448" t="str">
            <v>AES3</v>
          </cell>
          <cell r="E448" t="str">
            <v>KUCME224</v>
          </cell>
          <cell r="F448">
            <v>260</v>
          </cell>
          <cell r="G448">
            <v>0</v>
          </cell>
          <cell r="H448">
            <v>0</v>
          </cell>
          <cell r="I448">
            <v>0</v>
          </cell>
          <cell r="J448">
            <v>13804282</v>
          </cell>
          <cell r="K448">
            <v>51812</v>
          </cell>
          <cell r="L448">
            <v>0</v>
          </cell>
          <cell r="M448">
            <v>0</v>
          </cell>
          <cell r="AE448">
            <v>1036138.58</v>
          </cell>
          <cell r="AF448">
            <v>1036139</v>
          </cell>
          <cell r="AH448">
            <v>32514</v>
          </cell>
          <cell r="AI448">
            <v>21794</v>
          </cell>
          <cell r="AJ448">
            <v>69753</v>
          </cell>
          <cell r="AK448">
            <v>0</v>
          </cell>
          <cell r="AL448">
            <v>0</v>
          </cell>
          <cell r="AM448">
            <v>1160200</v>
          </cell>
          <cell r="AP448">
            <v>399219.84</v>
          </cell>
        </row>
        <row r="449">
          <cell r="B449" t="str">
            <v>Dec 2015</v>
          </cell>
          <cell r="C449" t="str">
            <v>AES3</v>
          </cell>
          <cell r="D449" t="str">
            <v>AES3</v>
          </cell>
          <cell r="E449" t="str">
            <v>KUCME225</v>
          </cell>
          <cell r="F449">
            <v>0</v>
          </cell>
          <cell r="G449">
            <v>0</v>
          </cell>
          <cell r="H449">
            <v>0</v>
          </cell>
          <cell r="I449">
            <v>0</v>
          </cell>
          <cell r="J449">
            <v>0</v>
          </cell>
          <cell r="K449">
            <v>0</v>
          </cell>
          <cell r="L449">
            <v>0</v>
          </cell>
          <cell r="M449">
            <v>0</v>
          </cell>
          <cell r="AE449">
            <v>0</v>
          </cell>
          <cell r="AF449">
            <v>0</v>
          </cell>
          <cell r="AH449">
            <v>0</v>
          </cell>
          <cell r="AI449">
            <v>0</v>
          </cell>
          <cell r="AJ449">
            <v>0</v>
          </cell>
          <cell r="AK449">
            <v>0</v>
          </cell>
          <cell r="AL449">
            <v>0</v>
          </cell>
          <cell r="AM449">
            <v>0</v>
          </cell>
          <cell r="AP449">
            <v>0</v>
          </cell>
        </row>
        <row r="450">
          <cell r="B450" t="str">
            <v>Dec 2015</v>
          </cell>
          <cell r="C450" t="str">
            <v>AES</v>
          </cell>
          <cell r="D450" t="str">
            <v>AES</v>
          </cell>
          <cell r="E450" t="str">
            <v>KUCME226</v>
          </cell>
          <cell r="F450">
            <v>0</v>
          </cell>
          <cell r="G450">
            <v>0</v>
          </cell>
          <cell r="H450">
            <v>0</v>
          </cell>
          <cell r="I450">
            <v>0</v>
          </cell>
          <cell r="J450">
            <v>0</v>
          </cell>
          <cell r="K450">
            <v>0</v>
          </cell>
          <cell r="L450">
            <v>0</v>
          </cell>
          <cell r="M450">
            <v>0</v>
          </cell>
          <cell r="AE450">
            <v>0</v>
          </cell>
          <cell r="AF450">
            <v>0</v>
          </cell>
          <cell r="AH450">
            <v>0</v>
          </cell>
          <cell r="AI450">
            <v>0</v>
          </cell>
          <cell r="AJ450">
            <v>0</v>
          </cell>
          <cell r="AK450">
            <v>0</v>
          </cell>
          <cell r="AL450">
            <v>0</v>
          </cell>
          <cell r="AM450">
            <v>0</v>
          </cell>
          <cell r="AP450">
            <v>0</v>
          </cell>
        </row>
        <row r="451">
          <cell r="B451" t="str">
            <v>Dec 2015</v>
          </cell>
          <cell r="C451" t="str">
            <v>AES3</v>
          </cell>
          <cell r="D451" t="str">
            <v>AES3</v>
          </cell>
          <cell r="E451" t="str">
            <v>KUCME227</v>
          </cell>
          <cell r="F451">
            <v>0</v>
          </cell>
          <cell r="G451">
            <v>0</v>
          </cell>
          <cell r="H451">
            <v>0</v>
          </cell>
          <cell r="I451">
            <v>0</v>
          </cell>
          <cell r="J451">
            <v>0</v>
          </cell>
          <cell r="K451">
            <v>0</v>
          </cell>
          <cell r="L451">
            <v>0</v>
          </cell>
          <cell r="M451">
            <v>0</v>
          </cell>
          <cell r="AE451">
            <v>0</v>
          </cell>
          <cell r="AF451">
            <v>0</v>
          </cell>
          <cell r="AH451">
            <v>0</v>
          </cell>
          <cell r="AI451">
            <v>0</v>
          </cell>
          <cell r="AJ451">
            <v>0</v>
          </cell>
          <cell r="AK451">
            <v>0</v>
          </cell>
          <cell r="AL451">
            <v>0</v>
          </cell>
          <cell r="AM451">
            <v>0</v>
          </cell>
          <cell r="AP451">
            <v>0</v>
          </cell>
        </row>
        <row r="452">
          <cell r="B452" t="str">
            <v>Dec 2015</v>
          </cell>
          <cell r="C452" t="str">
            <v>LE</v>
          </cell>
          <cell r="D452" t="str">
            <v>LE</v>
          </cell>
          <cell r="E452" t="str">
            <v>KUCME290</v>
          </cell>
          <cell r="F452">
            <v>2</v>
          </cell>
          <cell r="G452">
            <v>0</v>
          </cell>
          <cell r="H452">
            <v>0</v>
          </cell>
          <cell r="I452">
            <v>0</v>
          </cell>
          <cell r="J452">
            <v>20203</v>
          </cell>
          <cell r="K452">
            <v>0</v>
          </cell>
          <cell r="L452">
            <v>0</v>
          </cell>
          <cell r="M452">
            <v>0</v>
          </cell>
          <cell r="AE452">
            <v>1288.95</v>
          </cell>
          <cell r="AF452">
            <v>0</v>
          </cell>
          <cell r="AH452">
            <v>0</v>
          </cell>
          <cell r="AI452">
            <v>0</v>
          </cell>
          <cell r="AJ452">
            <v>0</v>
          </cell>
          <cell r="AK452">
            <v>0</v>
          </cell>
          <cell r="AL452">
            <v>0</v>
          </cell>
          <cell r="AM452">
            <v>0</v>
          </cell>
          <cell r="AP452">
            <v>584.27</v>
          </cell>
        </row>
        <row r="453">
          <cell r="B453" t="str">
            <v>Dec 2015</v>
          </cell>
          <cell r="C453" t="str">
            <v>LE</v>
          </cell>
          <cell r="D453" t="str">
            <v>LE</v>
          </cell>
          <cell r="E453" t="str">
            <v>KUCME291</v>
          </cell>
          <cell r="F453">
            <v>0</v>
          </cell>
          <cell r="G453">
            <v>0</v>
          </cell>
          <cell r="H453">
            <v>0</v>
          </cell>
          <cell r="I453">
            <v>0</v>
          </cell>
          <cell r="J453">
            <v>0</v>
          </cell>
          <cell r="K453">
            <v>0</v>
          </cell>
          <cell r="L453">
            <v>0</v>
          </cell>
          <cell r="M453">
            <v>0</v>
          </cell>
          <cell r="AE453">
            <v>0</v>
          </cell>
          <cell r="AF453">
            <v>0</v>
          </cell>
          <cell r="AH453">
            <v>0</v>
          </cell>
          <cell r="AI453">
            <v>0</v>
          </cell>
          <cell r="AJ453">
            <v>0</v>
          </cell>
          <cell r="AK453">
            <v>0</v>
          </cell>
          <cell r="AL453">
            <v>0</v>
          </cell>
          <cell r="AM453">
            <v>0</v>
          </cell>
          <cell r="AP453">
            <v>0</v>
          </cell>
        </row>
        <row r="454">
          <cell r="B454" t="str">
            <v>Dec 2015</v>
          </cell>
          <cell r="C454" t="str">
            <v>TE</v>
          </cell>
          <cell r="D454" t="str">
            <v>TE</v>
          </cell>
          <cell r="E454" t="str">
            <v>KUCME295</v>
          </cell>
          <cell r="F454">
            <v>747</v>
          </cell>
          <cell r="G454">
            <v>0</v>
          </cell>
          <cell r="H454">
            <v>0</v>
          </cell>
          <cell r="I454">
            <v>0</v>
          </cell>
          <cell r="J454">
            <v>118302</v>
          </cell>
          <cell r="K454">
            <v>0</v>
          </cell>
          <cell r="L454">
            <v>0</v>
          </cell>
          <cell r="M454">
            <v>0</v>
          </cell>
          <cell r="AE454">
            <v>11865.88</v>
          </cell>
          <cell r="AF454">
            <v>0</v>
          </cell>
          <cell r="AH454">
            <v>0</v>
          </cell>
          <cell r="AI454">
            <v>0</v>
          </cell>
          <cell r="AJ454">
            <v>0</v>
          </cell>
          <cell r="AK454">
            <v>0</v>
          </cell>
          <cell r="AL454">
            <v>0</v>
          </cell>
          <cell r="AM454">
            <v>0</v>
          </cell>
          <cell r="AP454">
            <v>3421.29</v>
          </cell>
        </row>
        <row r="455">
          <cell r="B455" t="str">
            <v>Dec 2015</v>
          </cell>
          <cell r="C455" t="str">
            <v>TE</v>
          </cell>
          <cell r="D455" t="str">
            <v>TE</v>
          </cell>
          <cell r="E455" t="str">
            <v>KUCME297</v>
          </cell>
          <cell r="F455">
            <v>0</v>
          </cell>
          <cell r="G455">
            <v>0</v>
          </cell>
          <cell r="H455">
            <v>0</v>
          </cell>
          <cell r="I455">
            <v>0</v>
          </cell>
          <cell r="J455">
            <v>0</v>
          </cell>
          <cell r="K455">
            <v>0</v>
          </cell>
          <cell r="L455">
            <v>0</v>
          </cell>
          <cell r="M455">
            <v>0</v>
          </cell>
          <cell r="AE455">
            <v>0</v>
          </cell>
          <cell r="AF455">
            <v>0</v>
          </cell>
          <cell r="AH455">
            <v>0</v>
          </cell>
          <cell r="AI455">
            <v>0</v>
          </cell>
          <cell r="AJ455">
            <v>0</v>
          </cell>
          <cell r="AK455">
            <v>0</v>
          </cell>
          <cell r="AL455">
            <v>0</v>
          </cell>
          <cell r="AM455">
            <v>0</v>
          </cell>
          <cell r="AP455">
            <v>0</v>
          </cell>
        </row>
        <row r="456">
          <cell r="B456" t="str">
            <v>Dec 2015</v>
          </cell>
          <cell r="C456" t="str">
            <v>SQF</v>
          </cell>
          <cell r="D456" t="str">
            <v>SQF</v>
          </cell>
          <cell r="E456" t="str">
            <v>KUCME705</v>
          </cell>
          <cell r="F456">
            <v>0</v>
          </cell>
          <cell r="G456">
            <v>0</v>
          </cell>
          <cell r="H456">
            <v>0</v>
          </cell>
          <cell r="I456">
            <v>0</v>
          </cell>
          <cell r="J456">
            <v>0</v>
          </cell>
          <cell r="K456">
            <v>0</v>
          </cell>
          <cell r="L456">
            <v>0</v>
          </cell>
          <cell r="M456">
            <v>0</v>
          </cell>
          <cell r="AE456">
            <v>0</v>
          </cell>
          <cell r="AF456">
            <v>0</v>
          </cell>
          <cell r="AH456">
            <v>0</v>
          </cell>
          <cell r="AI456">
            <v>0</v>
          </cell>
          <cell r="AJ456">
            <v>0</v>
          </cell>
          <cell r="AK456">
            <v>0</v>
          </cell>
          <cell r="AL456">
            <v>0</v>
          </cell>
          <cell r="AM456">
            <v>0</v>
          </cell>
          <cell r="AP456">
            <v>0</v>
          </cell>
        </row>
        <row r="457">
          <cell r="B457" t="str">
            <v>Dec 2015</v>
          </cell>
          <cell r="C457" t="str">
            <v>LQF</v>
          </cell>
          <cell r="D457" t="str">
            <v>LQF</v>
          </cell>
          <cell r="E457" t="str">
            <v>KUCME707</v>
          </cell>
          <cell r="F457">
            <v>0</v>
          </cell>
          <cell r="G457">
            <v>0</v>
          </cell>
          <cell r="H457">
            <v>0</v>
          </cell>
          <cell r="I457">
            <v>0</v>
          </cell>
          <cell r="J457">
            <v>0</v>
          </cell>
          <cell r="K457">
            <v>0</v>
          </cell>
          <cell r="L457">
            <v>0</v>
          </cell>
          <cell r="M457">
            <v>0</v>
          </cell>
          <cell r="AE457">
            <v>0</v>
          </cell>
          <cell r="AF457">
            <v>0</v>
          </cell>
          <cell r="AH457">
            <v>0</v>
          </cell>
          <cell r="AI457">
            <v>0</v>
          </cell>
          <cell r="AJ457">
            <v>0</v>
          </cell>
          <cell r="AK457">
            <v>0</v>
          </cell>
          <cell r="AL457">
            <v>0</v>
          </cell>
          <cell r="AM457">
            <v>0</v>
          </cell>
          <cell r="AP457">
            <v>0</v>
          </cell>
        </row>
        <row r="458">
          <cell r="B458" t="str">
            <v>Dec 2015</v>
          </cell>
          <cell r="C458" t="str">
            <v>GS</v>
          </cell>
          <cell r="D458" t="str">
            <v>GS</v>
          </cell>
          <cell r="E458" t="str">
            <v>KUCME710</v>
          </cell>
          <cell r="F458">
            <v>0</v>
          </cell>
          <cell r="G458">
            <v>0</v>
          </cell>
          <cell r="H458">
            <v>0</v>
          </cell>
          <cell r="I458">
            <v>0</v>
          </cell>
          <cell r="J458">
            <v>0</v>
          </cell>
          <cell r="K458">
            <v>0</v>
          </cell>
          <cell r="L458">
            <v>0</v>
          </cell>
          <cell r="M458">
            <v>0</v>
          </cell>
          <cell r="AE458">
            <v>0</v>
          </cell>
          <cell r="AF458">
            <v>0</v>
          </cell>
          <cell r="AH458">
            <v>0</v>
          </cell>
          <cell r="AI458">
            <v>0</v>
          </cell>
          <cell r="AJ458">
            <v>0</v>
          </cell>
          <cell r="AK458">
            <v>0</v>
          </cell>
          <cell r="AL458">
            <v>0</v>
          </cell>
          <cell r="AM458">
            <v>0</v>
          </cell>
          <cell r="AP458">
            <v>0</v>
          </cell>
        </row>
        <row r="459">
          <cell r="B459" t="str">
            <v>Dec 2015</v>
          </cell>
          <cell r="C459" t="str">
            <v>GS3</v>
          </cell>
          <cell r="D459" t="str">
            <v>GS3</v>
          </cell>
          <cell r="E459" t="str">
            <v>KUCME713</v>
          </cell>
          <cell r="F459">
            <v>0</v>
          </cell>
          <cell r="G459">
            <v>0</v>
          </cell>
          <cell r="H459">
            <v>0</v>
          </cell>
          <cell r="I459">
            <v>0</v>
          </cell>
          <cell r="J459">
            <v>0</v>
          </cell>
          <cell r="K459">
            <v>0</v>
          </cell>
          <cell r="L459">
            <v>0</v>
          </cell>
          <cell r="M459">
            <v>0</v>
          </cell>
          <cell r="AE459">
            <v>0</v>
          </cell>
          <cell r="AF459">
            <v>0</v>
          </cell>
          <cell r="AH459">
            <v>0</v>
          </cell>
          <cell r="AI459">
            <v>0</v>
          </cell>
          <cell r="AJ459">
            <v>0</v>
          </cell>
          <cell r="AK459">
            <v>0</v>
          </cell>
          <cell r="AL459">
            <v>0</v>
          </cell>
          <cell r="AM459">
            <v>0</v>
          </cell>
          <cell r="AP459">
            <v>0</v>
          </cell>
        </row>
        <row r="460">
          <cell r="B460" t="str">
            <v>Dec 2015</v>
          </cell>
          <cell r="C460" t="str">
            <v>CSR10</v>
          </cell>
          <cell r="D460" t="str">
            <v>CSR10</v>
          </cell>
          <cell r="E460" t="str">
            <v>KUCSR760</v>
          </cell>
          <cell r="F460">
            <v>0</v>
          </cell>
          <cell r="G460">
            <v>0</v>
          </cell>
          <cell r="H460">
            <v>0</v>
          </cell>
          <cell r="I460">
            <v>0</v>
          </cell>
          <cell r="J460">
            <v>0</v>
          </cell>
          <cell r="K460">
            <v>0</v>
          </cell>
          <cell r="L460">
            <v>0</v>
          </cell>
          <cell r="M460">
            <v>0</v>
          </cell>
          <cell r="AE460">
            <v>0</v>
          </cell>
          <cell r="AF460">
            <v>0</v>
          </cell>
          <cell r="AH460">
            <v>0</v>
          </cell>
          <cell r="AI460">
            <v>0</v>
          </cell>
          <cell r="AJ460">
            <v>0</v>
          </cell>
          <cell r="AK460">
            <v>0</v>
          </cell>
          <cell r="AL460">
            <v>-989829</v>
          </cell>
          <cell r="AM460">
            <v>-989829</v>
          </cell>
          <cell r="AP460">
            <v>0</v>
          </cell>
        </row>
        <row r="461">
          <cell r="B461" t="str">
            <v>Dec 2015</v>
          </cell>
          <cell r="C461" t="str">
            <v>CSR10</v>
          </cell>
          <cell r="D461" t="str">
            <v>CSR10</v>
          </cell>
          <cell r="E461" t="str">
            <v>KUCSR761</v>
          </cell>
          <cell r="F461">
            <v>0</v>
          </cell>
          <cell r="G461">
            <v>0</v>
          </cell>
          <cell r="H461">
            <v>0</v>
          </cell>
          <cell r="I461">
            <v>0</v>
          </cell>
          <cell r="J461">
            <v>0</v>
          </cell>
          <cell r="K461">
            <v>0</v>
          </cell>
          <cell r="L461">
            <v>0</v>
          </cell>
          <cell r="M461">
            <v>0</v>
          </cell>
          <cell r="AE461">
            <v>0</v>
          </cell>
          <cell r="AF461">
            <v>0</v>
          </cell>
          <cell r="AH461">
            <v>0</v>
          </cell>
          <cell r="AI461">
            <v>0</v>
          </cell>
          <cell r="AJ461">
            <v>0</v>
          </cell>
          <cell r="AK461">
            <v>0</v>
          </cell>
          <cell r="AL461">
            <v>0</v>
          </cell>
          <cell r="AM461">
            <v>0</v>
          </cell>
          <cell r="AP461">
            <v>0</v>
          </cell>
        </row>
        <row r="462">
          <cell r="B462" t="str">
            <v>Dec 2015</v>
          </cell>
          <cell r="C462" t="str">
            <v>CSR30</v>
          </cell>
          <cell r="D462" t="str">
            <v>CSR30</v>
          </cell>
          <cell r="E462" t="str">
            <v>KUCSR780</v>
          </cell>
          <cell r="F462">
            <v>0</v>
          </cell>
          <cell r="G462">
            <v>0</v>
          </cell>
          <cell r="H462">
            <v>0</v>
          </cell>
          <cell r="I462">
            <v>0</v>
          </cell>
          <cell r="J462">
            <v>0</v>
          </cell>
          <cell r="K462">
            <v>0</v>
          </cell>
          <cell r="L462">
            <v>0</v>
          </cell>
          <cell r="M462">
            <v>0</v>
          </cell>
          <cell r="AE462">
            <v>0</v>
          </cell>
          <cell r="AF462">
            <v>0</v>
          </cell>
          <cell r="AH462">
            <v>0</v>
          </cell>
          <cell r="AI462">
            <v>0</v>
          </cell>
          <cell r="AJ462">
            <v>0</v>
          </cell>
          <cell r="AK462">
            <v>0</v>
          </cell>
          <cell r="AL462">
            <v>0</v>
          </cell>
          <cell r="AM462">
            <v>0</v>
          </cell>
          <cell r="AP462">
            <v>0</v>
          </cell>
        </row>
        <row r="463">
          <cell r="B463" t="str">
            <v>Dec 2015</v>
          </cell>
          <cell r="C463" t="str">
            <v>CSR30</v>
          </cell>
          <cell r="D463" t="str">
            <v>CSR30</v>
          </cell>
          <cell r="E463" t="str">
            <v>KUCSR781</v>
          </cell>
          <cell r="F463">
            <v>0</v>
          </cell>
          <cell r="G463">
            <v>0</v>
          </cell>
          <cell r="H463">
            <v>0</v>
          </cell>
          <cell r="I463">
            <v>0</v>
          </cell>
          <cell r="J463">
            <v>0</v>
          </cell>
          <cell r="K463">
            <v>0</v>
          </cell>
          <cell r="L463">
            <v>0</v>
          </cell>
          <cell r="M463">
            <v>0</v>
          </cell>
          <cell r="AE463">
            <v>0</v>
          </cell>
          <cell r="AF463">
            <v>0</v>
          </cell>
          <cell r="AH463">
            <v>0</v>
          </cell>
          <cell r="AI463">
            <v>0</v>
          </cell>
          <cell r="AJ463">
            <v>0</v>
          </cell>
          <cell r="AK463">
            <v>0</v>
          </cell>
          <cell r="AL463">
            <v>0</v>
          </cell>
          <cell r="AM463">
            <v>0</v>
          </cell>
          <cell r="AP463">
            <v>0</v>
          </cell>
        </row>
        <row r="464">
          <cell r="B464" t="str">
            <v>Dec 2015</v>
          </cell>
          <cell r="C464" t="str">
            <v>CSR30</v>
          </cell>
          <cell r="D464" t="str">
            <v>CSR30</v>
          </cell>
          <cell r="E464" t="str">
            <v>KUCSR783</v>
          </cell>
          <cell r="F464">
            <v>0</v>
          </cell>
          <cell r="G464">
            <v>0</v>
          </cell>
          <cell r="H464">
            <v>0</v>
          </cell>
          <cell r="I464">
            <v>0</v>
          </cell>
          <cell r="J464">
            <v>0</v>
          </cell>
          <cell r="K464">
            <v>0</v>
          </cell>
          <cell r="L464">
            <v>0</v>
          </cell>
          <cell r="M464">
            <v>0</v>
          </cell>
          <cell r="AE464">
            <v>0</v>
          </cell>
          <cell r="AF464">
            <v>0</v>
          </cell>
          <cell r="AH464">
            <v>0</v>
          </cell>
          <cell r="AI464">
            <v>0</v>
          </cell>
          <cell r="AJ464">
            <v>0</v>
          </cell>
          <cell r="AK464">
            <v>0</v>
          </cell>
          <cell r="AL464">
            <v>0</v>
          </cell>
          <cell r="AM464">
            <v>0</v>
          </cell>
          <cell r="AP464">
            <v>0</v>
          </cell>
        </row>
        <row r="465">
          <cell r="B465" t="str">
            <v>Dec 2015</v>
          </cell>
          <cell r="C465" t="str">
            <v>FLS</v>
          </cell>
          <cell r="D465" t="str">
            <v>FLST</v>
          </cell>
          <cell r="E465" t="str">
            <v>KUINE730</v>
          </cell>
          <cell r="F465">
            <v>1</v>
          </cell>
          <cell r="G465">
            <v>0</v>
          </cell>
          <cell r="H465">
            <v>0</v>
          </cell>
          <cell r="I465">
            <v>0</v>
          </cell>
          <cell r="J465">
            <v>48145895</v>
          </cell>
          <cell r="K465">
            <v>185158</v>
          </cell>
          <cell r="L465">
            <v>185158</v>
          </cell>
          <cell r="M465">
            <v>101388</v>
          </cell>
          <cell r="AE465">
            <v>2290988.7799999998</v>
          </cell>
          <cell r="AF465">
            <v>2290987</v>
          </cell>
          <cell r="AH465">
            <v>113401</v>
          </cell>
          <cell r="AI465">
            <v>0</v>
          </cell>
          <cell r="AJ465">
            <v>243282</v>
          </cell>
          <cell r="AK465">
            <v>0</v>
          </cell>
          <cell r="AL465">
            <v>0</v>
          </cell>
          <cell r="AM465">
            <v>2647670</v>
          </cell>
          <cell r="AP465">
            <v>1392379.28</v>
          </cell>
        </row>
        <row r="466">
          <cell r="B466" t="str">
            <v>Dec 2015</v>
          </cell>
          <cell r="C466" t="str">
            <v>RS</v>
          </cell>
          <cell r="D466" t="str">
            <v>RS</v>
          </cell>
          <cell r="E466" t="str">
            <v>KURSE010</v>
          </cell>
          <cell r="F466">
            <v>430268</v>
          </cell>
          <cell r="G466">
            <v>0</v>
          </cell>
          <cell r="H466">
            <v>0</v>
          </cell>
          <cell r="I466">
            <v>0</v>
          </cell>
          <cell r="J466">
            <v>619539657</v>
          </cell>
          <cell r="K466">
            <v>0</v>
          </cell>
          <cell r="L466">
            <v>0</v>
          </cell>
          <cell r="M466">
            <v>0</v>
          </cell>
          <cell r="AE466">
            <v>52602532.039999999</v>
          </cell>
          <cell r="AF466">
            <v>52603394</v>
          </cell>
          <cell r="AH466">
            <v>1459261</v>
          </cell>
          <cell r="AI466">
            <v>978151</v>
          </cell>
          <cell r="AJ466">
            <v>3130601</v>
          </cell>
          <cell r="AK466">
            <v>0</v>
          </cell>
          <cell r="AL466">
            <v>0</v>
          </cell>
          <cell r="AM466">
            <v>58171407</v>
          </cell>
          <cell r="AP466">
            <v>17917086.879999999</v>
          </cell>
        </row>
        <row r="467">
          <cell r="B467" t="str">
            <v>Dec 2015</v>
          </cell>
          <cell r="C467" t="str">
            <v>RS</v>
          </cell>
          <cell r="D467" t="str">
            <v>RS</v>
          </cell>
          <cell r="E467" t="str">
            <v>KURSE020</v>
          </cell>
          <cell r="F467">
            <v>0</v>
          </cell>
          <cell r="G467">
            <v>0</v>
          </cell>
          <cell r="H467">
            <v>0</v>
          </cell>
          <cell r="I467">
            <v>0</v>
          </cell>
          <cell r="J467">
            <v>0</v>
          </cell>
          <cell r="K467">
            <v>0</v>
          </cell>
          <cell r="L467">
            <v>0</v>
          </cell>
          <cell r="M467">
            <v>0</v>
          </cell>
          <cell r="AE467">
            <v>0</v>
          </cell>
          <cell r="AF467">
            <v>0</v>
          </cell>
          <cell r="AH467">
            <v>0</v>
          </cell>
          <cell r="AI467">
            <v>0</v>
          </cell>
          <cell r="AJ467">
            <v>0</v>
          </cell>
          <cell r="AK467">
            <v>0</v>
          </cell>
          <cell r="AL467">
            <v>0</v>
          </cell>
          <cell r="AM467">
            <v>0</v>
          </cell>
          <cell r="AP467">
            <v>0</v>
          </cell>
        </row>
        <row r="468">
          <cell r="B468" t="str">
            <v>Dec 2015</v>
          </cell>
          <cell r="C468" t="str">
            <v>RS</v>
          </cell>
          <cell r="D468" t="str">
            <v>RS</v>
          </cell>
          <cell r="E468" t="str">
            <v>KURSE025</v>
          </cell>
          <cell r="F468">
            <v>0</v>
          </cell>
          <cell r="G468">
            <v>0</v>
          </cell>
          <cell r="H468">
            <v>0</v>
          </cell>
          <cell r="I468">
            <v>0</v>
          </cell>
          <cell r="J468">
            <v>0</v>
          </cell>
          <cell r="K468">
            <v>0</v>
          </cell>
          <cell r="L468">
            <v>0</v>
          </cell>
          <cell r="M468">
            <v>0</v>
          </cell>
          <cell r="AE468">
            <v>0</v>
          </cell>
          <cell r="AF468">
            <v>0</v>
          </cell>
          <cell r="AH468">
            <v>0</v>
          </cell>
          <cell r="AI468">
            <v>0</v>
          </cell>
          <cell r="AJ468">
            <v>0</v>
          </cell>
          <cell r="AK468">
            <v>0</v>
          </cell>
          <cell r="AL468">
            <v>0</v>
          </cell>
          <cell r="AM468">
            <v>0</v>
          </cell>
          <cell r="AP468">
            <v>0</v>
          </cell>
        </row>
        <row r="469">
          <cell r="B469" t="str">
            <v>Dec 2015</v>
          </cell>
          <cell r="C469" t="str">
            <v>LEV</v>
          </cell>
          <cell r="D469" t="str">
            <v>RSLEV</v>
          </cell>
          <cell r="E469" t="str">
            <v>KURSE040</v>
          </cell>
          <cell r="F469">
            <v>7</v>
          </cell>
          <cell r="G469">
            <v>5906</v>
          </cell>
          <cell r="H469">
            <v>2533</v>
          </cell>
          <cell r="I469">
            <v>1737</v>
          </cell>
          <cell r="J469">
            <v>10176</v>
          </cell>
          <cell r="K469">
            <v>0</v>
          </cell>
          <cell r="L469">
            <v>0</v>
          </cell>
          <cell r="M469">
            <v>0</v>
          </cell>
          <cell r="AE469">
            <v>850.19</v>
          </cell>
          <cell r="AF469">
            <v>0</v>
          </cell>
          <cell r="AH469">
            <v>0</v>
          </cell>
          <cell r="AI469">
            <v>0</v>
          </cell>
          <cell r="AJ469">
            <v>0</v>
          </cell>
          <cell r="AK469">
            <v>0</v>
          </cell>
          <cell r="AL469">
            <v>0</v>
          </cell>
          <cell r="AM469">
            <v>0</v>
          </cell>
          <cell r="AP469">
            <v>294.29000000000002</v>
          </cell>
        </row>
        <row r="470">
          <cell r="B470" t="str">
            <v>Dec 2015</v>
          </cell>
          <cell r="C470" t="str">
            <v>RS</v>
          </cell>
          <cell r="D470" t="str">
            <v>RSVFD</v>
          </cell>
          <cell r="E470" t="str">
            <v>KURSE080</v>
          </cell>
          <cell r="F470">
            <v>0</v>
          </cell>
          <cell r="G470">
            <v>0</v>
          </cell>
          <cell r="H470">
            <v>0</v>
          </cell>
          <cell r="I470">
            <v>0</v>
          </cell>
          <cell r="J470">
            <v>0</v>
          </cell>
          <cell r="K470">
            <v>0</v>
          </cell>
          <cell r="L470">
            <v>0</v>
          </cell>
          <cell r="M470">
            <v>0</v>
          </cell>
          <cell r="AE470">
            <v>0</v>
          </cell>
          <cell r="AF470">
            <v>0</v>
          </cell>
          <cell r="AH470">
            <v>0</v>
          </cell>
          <cell r="AI470">
            <v>0</v>
          </cell>
          <cell r="AJ470">
            <v>0</v>
          </cell>
          <cell r="AK470">
            <v>0</v>
          </cell>
          <cell r="AL470">
            <v>0</v>
          </cell>
          <cell r="AM470">
            <v>0</v>
          </cell>
          <cell r="AP470">
            <v>0</v>
          </cell>
        </row>
        <row r="471">
          <cell r="B471" t="str">
            <v>Dec 2015</v>
          </cell>
          <cell r="C471" t="str">
            <v>RS</v>
          </cell>
          <cell r="D471" t="str">
            <v>RS</v>
          </cell>
          <cell r="E471" t="str">
            <v>KURSE715</v>
          </cell>
          <cell r="F471">
            <v>0</v>
          </cell>
          <cell r="G471">
            <v>0</v>
          </cell>
          <cell r="H471">
            <v>0</v>
          </cell>
          <cell r="I471">
            <v>0</v>
          </cell>
          <cell r="J471">
            <v>0</v>
          </cell>
          <cell r="K471">
            <v>0</v>
          </cell>
          <cell r="L471">
            <v>0</v>
          </cell>
          <cell r="M471">
            <v>0</v>
          </cell>
          <cell r="AE471">
            <v>0</v>
          </cell>
          <cell r="AF471">
            <v>0</v>
          </cell>
          <cell r="AH471">
            <v>0</v>
          </cell>
          <cell r="AI471">
            <v>0</v>
          </cell>
          <cell r="AJ471">
            <v>0</v>
          </cell>
          <cell r="AK471">
            <v>0</v>
          </cell>
          <cell r="AL471">
            <v>0</v>
          </cell>
          <cell r="AM471">
            <v>0</v>
          </cell>
          <cell r="AP471">
            <v>0</v>
          </cell>
        </row>
      </sheetData>
      <sheetData sheetId="22">
        <row r="2">
          <cell r="B2" t="str">
            <v>Jan 2016</v>
          </cell>
          <cell r="C2" t="str">
            <v>LS</v>
          </cell>
          <cell r="D2" t="str">
            <v>KUUM_300</v>
          </cell>
          <cell r="E2">
            <v>0</v>
          </cell>
          <cell r="G2">
            <v>0</v>
          </cell>
          <cell r="H2">
            <v>0</v>
          </cell>
          <cell r="N2">
            <v>0</v>
          </cell>
          <cell r="O2">
            <v>0</v>
          </cell>
          <cell r="Q2">
            <v>0</v>
          </cell>
          <cell r="S2">
            <v>0</v>
          </cell>
          <cell r="U2">
            <v>0</v>
          </cell>
          <cell r="Y2">
            <v>0</v>
          </cell>
          <cell r="AB2">
            <v>0</v>
          </cell>
          <cell r="AE2" t="str">
            <v>20140101KUUM_300</v>
          </cell>
        </row>
        <row r="3">
          <cell r="B3" t="str">
            <v>Jan 2016</v>
          </cell>
          <cell r="C3" t="str">
            <v>LS</v>
          </cell>
          <cell r="D3" t="str">
            <v>KUUM_301</v>
          </cell>
          <cell r="E3">
            <v>0</v>
          </cell>
          <cell r="G3">
            <v>0</v>
          </cell>
          <cell r="H3">
            <v>0</v>
          </cell>
          <cell r="N3">
            <v>0</v>
          </cell>
          <cell r="O3">
            <v>0</v>
          </cell>
          <cell r="Q3">
            <v>0</v>
          </cell>
          <cell r="S3">
            <v>0</v>
          </cell>
          <cell r="U3">
            <v>0</v>
          </cell>
          <cell r="Y3">
            <v>0</v>
          </cell>
          <cell r="AB3">
            <v>0</v>
          </cell>
          <cell r="AE3" t="str">
            <v>20140101KUUM_301</v>
          </cell>
        </row>
        <row r="4">
          <cell r="B4" t="str">
            <v>Jan 2016</v>
          </cell>
          <cell r="C4" t="str">
            <v>LS</v>
          </cell>
          <cell r="D4" t="str">
            <v>KUUM_360</v>
          </cell>
          <cell r="E4">
            <v>172</v>
          </cell>
          <cell r="G4">
            <v>0</v>
          </cell>
          <cell r="H4">
            <v>0</v>
          </cell>
          <cell r="N4">
            <v>9516.76</v>
          </cell>
          <cell r="O4">
            <v>0</v>
          </cell>
          <cell r="Q4">
            <v>0</v>
          </cell>
          <cell r="S4">
            <v>0</v>
          </cell>
          <cell r="U4">
            <v>0</v>
          </cell>
          <cell r="Y4">
            <v>301</v>
          </cell>
          <cell r="AB4">
            <v>414.52000000000004</v>
          </cell>
          <cell r="AE4" t="str">
            <v>20140101KUUM_360</v>
          </cell>
        </row>
        <row r="5">
          <cell r="B5" t="str">
            <v>Jan 2016</v>
          </cell>
          <cell r="C5" t="str">
            <v>LS</v>
          </cell>
          <cell r="D5" t="str">
            <v>KUUM_361</v>
          </cell>
          <cell r="E5">
            <v>26</v>
          </cell>
          <cell r="G5">
            <v>0</v>
          </cell>
          <cell r="H5">
            <v>0</v>
          </cell>
          <cell r="N5">
            <v>2162.16</v>
          </cell>
          <cell r="O5">
            <v>0</v>
          </cell>
          <cell r="Q5">
            <v>0</v>
          </cell>
          <cell r="S5">
            <v>0</v>
          </cell>
          <cell r="U5">
            <v>0</v>
          </cell>
          <cell r="Y5">
            <v>45.5</v>
          </cell>
          <cell r="AB5">
            <v>62.660000000000004</v>
          </cell>
          <cell r="AE5" t="str">
            <v>20140101KUUM_361</v>
          </cell>
        </row>
        <row r="6">
          <cell r="B6" t="str">
            <v>Jan 2016</v>
          </cell>
          <cell r="C6" t="str">
            <v>LS</v>
          </cell>
          <cell r="D6" t="str">
            <v>KUUM_362</v>
          </cell>
          <cell r="E6">
            <v>44</v>
          </cell>
          <cell r="G6">
            <v>0</v>
          </cell>
          <cell r="H6">
            <v>0</v>
          </cell>
          <cell r="N6">
            <v>2630.32</v>
          </cell>
          <cell r="O6">
            <v>0</v>
          </cell>
          <cell r="Q6">
            <v>0</v>
          </cell>
          <cell r="S6">
            <v>0</v>
          </cell>
          <cell r="U6">
            <v>0</v>
          </cell>
          <cell r="Y6">
            <v>77</v>
          </cell>
          <cell r="AB6">
            <v>106.04</v>
          </cell>
          <cell r="AE6" t="str">
            <v>20140101KUUM_362</v>
          </cell>
        </row>
        <row r="7">
          <cell r="B7" t="str">
            <v>Jan 2016</v>
          </cell>
          <cell r="C7" t="str">
            <v>LS</v>
          </cell>
          <cell r="D7" t="str">
            <v>KUUM_363</v>
          </cell>
          <cell r="E7">
            <v>5</v>
          </cell>
          <cell r="G7">
            <v>0</v>
          </cell>
          <cell r="H7">
            <v>0</v>
          </cell>
          <cell r="N7">
            <v>308.75</v>
          </cell>
          <cell r="O7">
            <v>0</v>
          </cell>
          <cell r="Q7">
            <v>0</v>
          </cell>
          <cell r="S7">
            <v>0</v>
          </cell>
          <cell r="U7">
            <v>0</v>
          </cell>
          <cell r="Y7">
            <v>8.75</v>
          </cell>
          <cell r="AB7">
            <v>12.05</v>
          </cell>
          <cell r="AE7" t="str">
            <v>20140101KUUM_363</v>
          </cell>
        </row>
        <row r="8">
          <cell r="B8" t="str">
            <v>Jan 2016</v>
          </cell>
          <cell r="C8" t="str">
            <v>LS</v>
          </cell>
          <cell r="D8" t="str">
            <v>KUUM_364</v>
          </cell>
          <cell r="E8">
            <v>1</v>
          </cell>
          <cell r="G8">
            <v>0</v>
          </cell>
          <cell r="H8">
            <v>0</v>
          </cell>
          <cell r="N8">
            <v>63.11</v>
          </cell>
          <cell r="O8">
            <v>0</v>
          </cell>
          <cell r="Q8">
            <v>0</v>
          </cell>
          <cell r="S8">
            <v>0</v>
          </cell>
          <cell r="U8">
            <v>0</v>
          </cell>
          <cell r="Y8">
            <v>1.75</v>
          </cell>
          <cell r="AB8">
            <v>2.41</v>
          </cell>
          <cell r="AE8" t="str">
            <v>20140101KUUM_364</v>
          </cell>
        </row>
        <row r="9">
          <cell r="B9" t="str">
            <v>Jan 2016</v>
          </cell>
          <cell r="C9" t="str">
            <v>LS</v>
          </cell>
          <cell r="D9" t="str">
            <v>KUUM_365</v>
          </cell>
          <cell r="E9">
            <v>5</v>
          </cell>
          <cell r="G9">
            <v>0</v>
          </cell>
          <cell r="H9">
            <v>0</v>
          </cell>
          <cell r="N9">
            <v>404.7</v>
          </cell>
          <cell r="O9">
            <v>0</v>
          </cell>
          <cell r="Q9">
            <v>0</v>
          </cell>
          <cell r="S9">
            <v>0</v>
          </cell>
          <cell r="U9">
            <v>0</v>
          </cell>
          <cell r="Y9">
            <v>8.75</v>
          </cell>
          <cell r="AB9">
            <v>12.05</v>
          </cell>
          <cell r="AE9" t="str">
            <v>20140101KUUM_365</v>
          </cell>
        </row>
        <row r="10">
          <cell r="B10" t="str">
            <v>Jan 2016</v>
          </cell>
          <cell r="C10" t="str">
            <v>LS</v>
          </cell>
          <cell r="D10" t="str">
            <v>KUUM_366</v>
          </cell>
          <cell r="E10">
            <v>10</v>
          </cell>
          <cell r="G10">
            <v>0</v>
          </cell>
          <cell r="H10">
            <v>0</v>
          </cell>
          <cell r="N10">
            <v>789.7</v>
          </cell>
          <cell r="O10">
            <v>0</v>
          </cell>
          <cell r="Q10">
            <v>0</v>
          </cell>
          <cell r="S10">
            <v>0</v>
          </cell>
          <cell r="U10">
            <v>0</v>
          </cell>
          <cell r="Y10">
            <v>17.5</v>
          </cell>
          <cell r="AB10">
            <v>24.1</v>
          </cell>
          <cell r="AE10" t="str">
            <v>20140101KUUM_366</v>
          </cell>
        </row>
        <row r="11">
          <cell r="B11" t="str">
            <v>Jan 2016</v>
          </cell>
          <cell r="C11" t="str">
            <v>LS</v>
          </cell>
          <cell r="D11" t="str">
            <v>KUUM_367</v>
          </cell>
          <cell r="E11">
            <v>24</v>
          </cell>
          <cell r="G11">
            <v>0</v>
          </cell>
          <cell r="H11">
            <v>0</v>
          </cell>
          <cell r="N11">
            <v>1469.52</v>
          </cell>
          <cell r="O11">
            <v>0</v>
          </cell>
          <cell r="Q11">
            <v>0</v>
          </cell>
          <cell r="S11">
            <v>0</v>
          </cell>
          <cell r="U11">
            <v>0</v>
          </cell>
          <cell r="Y11">
            <v>42</v>
          </cell>
          <cell r="AB11">
            <v>57.84</v>
          </cell>
          <cell r="AE11" t="str">
            <v>20140101KUUM_367</v>
          </cell>
        </row>
        <row r="12">
          <cell r="B12" t="str">
            <v>Jan 2016</v>
          </cell>
          <cell r="C12" t="str">
            <v>LS</v>
          </cell>
          <cell r="D12" t="str">
            <v>KUUM_368</v>
          </cell>
          <cell r="E12">
            <v>1</v>
          </cell>
          <cell r="G12">
            <v>0</v>
          </cell>
          <cell r="H12">
            <v>0</v>
          </cell>
          <cell r="N12">
            <v>56.69</v>
          </cell>
          <cell r="O12">
            <v>0</v>
          </cell>
          <cell r="Q12">
            <v>0</v>
          </cell>
          <cell r="S12">
            <v>0</v>
          </cell>
          <cell r="U12">
            <v>0</v>
          </cell>
          <cell r="Y12">
            <v>1.75</v>
          </cell>
          <cell r="AB12">
            <v>2.41</v>
          </cell>
          <cell r="AE12" t="str">
            <v>20140101KUUM_368</v>
          </cell>
        </row>
        <row r="13">
          <cell r="B13" t="str">
            <v>Jan 2016</v>
          </cell>
          <cell r="C13" t="str">
            <v>LS</v>
          </cell>
          <cell r="D13" t="str">
            <v>KUUM_370</v>
          </cell>
          <cell r="E13">
            <v>16</v>
          </cell>
          <cell r="G13">
            <v>0</v>
          </cell>
          <cell r="H13">
            <v>0</v>
          </cell>
          <cell r="N13">
            <v>1192.32</v>
          </cell>
          <cell r="O13">
            <v>0</v>
          </cell>
          <cell r="Q13">
            <v>0</v>
          </cell>
          <cell r="S13">
            <v>0</v>
          </cell>
          <cell r="U13">
            <v>0</v>
          </cell>
          <cell r="Y13">
            <v>28</v>
          </cell>
          <cell r="AB13">
            <v>38.56</v>
          </cell>
          <cell r="AE13" t="str">
            <v>20140101KUUM_370</v>
          </cell>
        </row>
        <row r="14">
          <cell r="B14" t="str">
            <v>Jan 2016</v>
          </cell>
          <cell r="C14" t="str">
            <v>LS</v>
          </cell>
          <cell r="D14" t="str">
            <v>KUUM_372</v>
          </cell>
          <cell r="E14">
            <v>1</v>
          </cell>
          <cell r="G14">
            <v>0</v>
          </cell>
          <cell r="H14">
            <v>0</v>
          </cell>
          <cell r="N14">
            <v>82.3</v>
          </cell>
          <cell r="O14">
            <v>0</v>
          </cell>
          <cell r="Q14">
            <v>0</v>
          </cell>
          <cell r="S14">
            <v>0</v>
          </cell>
          <cell r="U14">
            <v>0</v>
          </cell>
          <cell r="Y14">
            <v>1.75</v>
          </cell>
          <cell r="AB14">
            <v>2.41</v>
          </cell>
          <cell r="AE14" t="str">
            <v>20140101KUUM_372</v>
          </cell>
        </row>
        <row r="15">
          <cell r="B15" t="str">
            <v>Jan 2016</v>
          </cell>
          <cell r="C15" t="str">
            <v>LS</v>
          </cell>
          <cell r="D15" t="str">
            <v>KUUM_373</v>
          </cell>
          <cell r="E15">
            <v>19</v>
          </cell>
          <cell r="G15">
            <v>0</v>
          </cell>
          <cell r="H15">
            <v>0</v>
          </cell>
          <cell r="N15">
            <v>1415.88</v>
          </cell>
          <cell r="O15">
            <v>0</v>
          </cell>
          <cell r="Q15">
            <v>0</v>
          </cell>
          <cell r="S15">
            <v>0</v>
          </cell>
          <cell r="U15">
            <v>0</v>
          </cell>
          <cell r="Y15">
            <v>33.25</v>
          </cell>
          <cell r="AB15">
            <v>45.790000000000006</v>
          </cell>
          <cell r="AE15" t="str">
            <v>20140101KUUM_373</v>
          </cell>
        </row>
        <row r="16">
          <cell r="B16" t="str">
            <v>Jan 2016</v>
          </cell>
          <cell r="C16" t="str">
            <v>LS</v>
          </cell>
          <cell r="D16" t="str">
            <v>KUUM_374</v>
          </cell>
          <cell r="E16">
            <v>4</v>
          </cell>
          <cell r="G16">
            <v>0</v>
          </cell>
          <cell r="H16">
            <v>0</v>
          </cell>
          <cell r="N16">
            <v>303.52</v>
          </cell>
          <cell r="O16">
            <v>0</v>
          </cell>
          <cell r="Q16">
            <v>0</v>
          </cell>
          <cell r="S16">
            <v>0</v>
          </cell>
          <cell r="U16">
            <v>0</v>
          </cell>
          <cell r="Y16">
            <v>7</v>
          </cell>
          <cell r="AB16">
            <v>9.64</v>
          </cell>
          <cell r="AE16" t="str">
            <v>20140101KUUM_374</v>
          </cell>
        </row>
        <row r="17">
          <cell r="B17" t="str">
            <v>Jan 2016</v>
          </cell>
          <cell r="C17" t="str">
            <v>LS</v>
          </cell>
          <cell r="D17" t="str">
            <v>KUUM_375</v>
          </cell>
          <cell r="E17">
            <v>3</v>
          </cell>
          <cell r="G17">
            <v>0</v>
          </cell>
          <cell r="H17">
            <v>0</v>
          </cell>
          <cell r="N17">
            <v>236.91</v>
          </cell>
          <cell r="O17">
            <v>0</v>
          </cell>
          <cell r="Q17">
            <v>0</v>
          </cell>
          <cell r="S17">
            <v>0</v>
          </cell>
          <cell r="U17">
            <v>0</v>
          </cell>
          <cell r="Y17">
            <v>5.25</v>
          </cell>
          <cell r="AB17">
            <v>7.23</v>
          </cell>
          <cell r="AE17" t="str">
            <v>20140101KUUM_375</v>
          </cell>
        </row>
        <row r="18">
          <cell r="B18" t="str">
            <v>Jan 2016</v>
          </cell>
          <cell r="C18" t="str">
            <v>LS</v>
          </cell>
          <cell r="D18" t="str">
            <v>KUUM_376</v>
          </cell>
          <cell r="E18">
            <v>2</v>
          </cell>
          <cell r="G18">
            <v>0</v>
          </cell>
          <cell r="H18">
            <v>0</v>
          </cell>
          <cell r="N18">
            <v>154.52000000000001</v>
          </cell>
          <cell r="O18">
            <v>0</v>
          </cell>
          <cell r="Q18">
            <v>0</v>
          </cell>
          <cell r="S18">
            <v>0</v>
          </cell>
          <cell r="U18">
            <v>0</v>
          </cell>
          <cell r="Y18">
            <v>3.5</v>
          </cell>
          <cell r="AB18">
            <v>4.82</v>
          </cell>
          <cell r="AE18" t="str">
            <v>20140101KUUM_376</v>
          </cell>
        </row>
        <row r="19">
          <cell r="B19" t="str">
            <v>Jan 2016</v>
          </cell>
          <cell r="C19" t="str">
            <v>LS</v>
          </cell>
          <cell r="D19" t="str">
            <v>KUUM_377</v>
          </cell>
          <cell r="E19">
            <v>49</v>
          </cell>
          <cell r="G19">
            <v>0</v>
          </cell>
          <cell r="H19">
            <v>0</v>
          </cell>
          <cell r="N19">
            <v>3145.31</v>
          </cell>
          <cell r="O19">
            <v>0</v>
          </cell>
          <cell r="Q19">
            <v>0</v>
          </cell>
          <cell r="S19">
            <v>0</v>
          </cell>
          <cell r="U19">
            <v>0</v>
          </cell>
          <cell r="Y19">
            <v>85.75</v>
          </cell>
          <cell r="AB19">
            <v>118.09</v>
          </cell>
          <cell r="AE19" t="str">
            <v>20140101KUUM_377</v>
          </cell>
        </row>
        <row r="20">
          <cell r="B20" t="str">
            <v>Jan 2016</v>
          </cell>
          <cell r="C20" t="str">
            <v>LS</v>
          </cell>
          <cell r="D20" t="str">
            <v>KUUM_378</v>
          </cell>
          <cell r="E20">
            <v>2</v>
          </cell>
          <cell r="G20">
            <v>0</v>
          </cell>
          <cell r="H20">
            <v>0</v>
          </cell>
          <cell r="N20">
            <v>151.80000000000001</v>
          </cell>
          <cell r="O20">
            <v>0</v>
          </cell>
          <cell r="Q20">
            <v>0</v>
          </cell>
          <cell r="S20">
            <v>0</v>
          </cell>
          <cell r="U20">
            <v>0</v>
          </cell>
          <cell r="Y20">
            <v>3.5</v>
          </cell>
          <cell r="AB20">
            <v>4.82</v>
          </cell>
          <cell r="AE20" t="str">
            <v>20140101KUUM_378</v>
          </cell>
        </row>
        <row r="21">
          <cell r="B21" t="str">
            <v>Jan 2016</v>
          </cell>
          <cell r="C21" t="str">
            <v>LS</v>
          </cell>
          <cell r="D21" t="str">
            <v>KUUM_401</v>
          </cell>
          <cell r="E21">
            <v>52</v>
          </cell>
          <cell r="G21">
            <v>0</v>
          </cell>
          <cell r="H21">
            <v>0</v>
          </cell>
          <cell r="N21">
            <v>772.72</v>
          </cell>
          <cell r="O21">
            <v>0</v>
          </cell>
          <cell r="Q21">
            <v>0</v>
          </cell>
          <cell r="S21">
            <v>0</v>
          </cell>
          <cell r="U21">
            <v>0</v>
          </cell>
          <cell r="Y21">
            <v>41.6</v>
          </cell>
          <cell r="AB21">
            <v>22.36</v>
          </cell>
          <cell r="AE21" t="str">
            <v>20140101KUUM_401</v>
          </cell>
        </row>
        <row r="22">
          <cell r="B22" t="str">
            <v>Jan 2016</v>
          </cell>
          <cell r="C22" t="str">
            <v>RLS</v>
          </cell>
          <cell r="D22" t="str">
            <v>KUUM_404</v>
          </cell>
          <cell r="E22">
            <v>7293</v>
          </cell>
          <cell r="G22">
            <v>0</v>
          </cell>
          <cell r="H22">
            <v>0</v>
          </cell>
          <cell r="N22">
            <v>77087.009999999995</v>
          </cell>
          <cell r="O22">
            <v>0</v>
          </cell>
          <cell r="Q22">
            <v>0</v>
          </cell>
          <cell r="S22">
            <v>0</v>
          </cell>
          <cell r="U22">
            <v>0</v>
          </cell>
          <cell r="Y22">
            <v>14513.07</v>
          </cell>
          <cell r="AB22">
            <v>2844.27</v>
          </cell>
          <cell r="AE22" t="str">
            <v>20140101KUUM_404</v>
          </cell>
        </row>
        <row r="23">
          <cell r="B23" t="str">
            <v>Jan 2016</v>
          </cell>
          <cell r="C23" t="str">
            <v>RLS</v>
          </cell>
          <cell r="D23" t="str">
            <v>KUUM_405</v>
          </cell>
          <cell r="E23">
            <v>0</v>
          </cell>
          <cell r="G23">
            <v>0</v>
          </cell>
          <cell r="H23">
            <v>0</v>
          </cell>
          <cell r="N23">
            <v>0</v>
          </cell>
          <cell r="O23">
            <v>0</v>
          </cell>
          <cell r="Q23">
            <v>0</v>
          </cell>
          <cell r="S23">
            <v>0</v>
          </cell>
          <cell r="U23">
            <v>0</v>
          </cell>
          <cell r="Y23">
            <v>0</v>
          </cell>
          <cell r="AB23">
            <v>0</v>
          </cell>
          <cell r="AE23" t="str">
            <v>20140101KUUM_405</v>
          </cell>
        </row>
        <row r="24">
          <cell r="B24" t="str">
            <v>Jan 2016</v>
          </cell>
          <cell r="C24" t="str">
            <v>LS</v>
          </cell>
          <cell r="D24" t="str">
            <v>KUUM_407</v>
          </cell>
          <cell r="E24">
            <v>0</v>
          </cell>
          <cell r="G24">
            <v>0</v>
          </cell>
          <cell r="H24">
            <v>0</v>
          </cell>
          <cell r="N24">
            <v>0</v>
          </cell>
          <cell r="O24">
            <v>0</v>
          </cell>
          <cell r="Q24">
            <v>0</v>
          </cell>
          <cell r="S24">
            <v>0</v>
          </cell>
          <cell r="U24">
            <v>0</v>
          </cell>
          <cell r="Y24">
            <v>0</v>
          </cell>
          <cell r="AB24">
            <v>0</v>
          </cell>
          <cell r="AE24" t="str">
            <v>20140101KUUM_407</v>
          </cell>
        </row>
        <row r="25">
          <cell r="B25" t="str">
            <v>Jan 2016</v>
          </cell>
          <cell r="C25" t="str">
            <v>RLS</v>
          </cell>
          <cell r="D25" t="str">
            <v>KUUM_409</v>
          </cell>
          <cell r="E25">
            <v>147</v>
          </cell>
          <cell r="G25">
            <v>0</v>
          </cell>
          <cell r="H25">
            <v>0</v>
          </cell>
          <cell r="N25">
            <v>1721.37</v>
          </cell>
          <cell r="O25">
            <v>0</v>
          </cell>
          <cell r="Q25">
            <v>0</v>
          </cell>
          <cell r="S25">
            <v>0</v>
          </cell>
          <cell r="U25">
            <v>0</v>
          </cell>
          <cell r="Y25">
            <v>665.91</v>
          </cell>
          <cell r="AB25">
            <v>116.13000000000001</v>
          </cell>
          <cell r="AE25" t="str">
            <v>20140101KUUM_409</v>
          </cell>
        </row>
        <row r="26">
          <cell r="B26" t="str">
            <v>Jan 2016</v>
          </cell>
          <cell r="C26" t="str">
            <v>RLS</v>
          </cell>
          <cell r="D26" t="str">
            <v>KUUM_410</v>
          </cell>
          <cell r="E26">
            <v>240</v>
          </cell>
          <cell r="G26">
            <v>0</v>
          </cell>
          <cell r="H26">
            <v>0</v>
          </cell>
          <cell r="N26">
            <v>4862.3999999999996</v>
          </cell>
          <cell r="O26">
            <v>0</v>
          </cell>
          <cell r="Q26">
            <v>0</v>
          </cell>
          <cell r="S26">
            <v>0</v>
          </cell>
          <cell r="U26">
            <v>0</v>
          </cell>
          <cell r="Y26">
            <v>136.80000000000001</v>
          </cell>
          <cell r="AB26">
            <v>79.2</v>
          </cell>
          <cell r="AE26" t="str">
            <v>20140101KUUM_410</v>
          </cell>
        </row>
        <row r="27">
          <cell r="B27" t="str">
            <v>Jan 2016</v>
          </cell>
          <cell r="C27" t="str">
            <v>LS</v>
          </cell>
          <cell r="D27" t="str">
            <v>KUUM_411</v>
          </cell>
          <cell r="E27">
            <v>145</v>
          </cell>
          <cell r="G27">
            <v>0</v>
          </cell>
          <cell r="H27">
            <v>0</v>
          </cell>
          <cell r="N27">
            <v>3100.1</v>
          </cell>
          <cell r="O27">
            <v>0</v>
          </cell>
          <cell r="Q27">
            <v>0</v>
          </cell>
          <cell r="S27">
            <v>0</v>
          </cell>
          <cell r="U27">
            <v>0</v>
          </cell>
          <cell r="Y27">
            <v>116</v>
          </cell>
          <cell r="AB27">
            <v>62.35</v>
          </cell>
          <cell r="AE27" t="str">
            <v>20140101KUUM_411</v>
          </cell>
        </row>
        <row r="28">
          <cell r="B28" t="str">
            <v>Jan 2016</v>
          </cell>
          <cell r="C28" t="str">
            <v>RLS</v>
          </cell>
          <cell r="D28" t="str">
            <v>KUUM_412</v>
          </cell>
          <cell r="E28">
            <v>28</v>
          </cell>
          <cell r="G28">
            <v>0</v>
          </cell>
          <cell r="H28">
            <v>0</v>
          </cell>
          <cell r="N28">
            <v>863.52</v>
          </cell>
          <cell r="O28">
            <v>0</v>
          </cell>
          <cell r="Q28">
            <v>0</v>
          </cell>
          <cell r="S28">
            <v>0</v>
          </cell>
          <cell r="U28">
            <v>0</v>
          </cell>
          <cell r="Y28">
            <v>22.4</v>
          </cell>
          <cell r="AB28">
            <v>12.04</v>
          </cell>
          <cell r="AE28" t="str">
            <v>20140101KUUM_412</v>
          </cell>
        </row>
        <row r="29">
          <cell r="B29" t="str">
            <v>Jan 2016</v>
          </cell>
          <cell r="C29" t="str">
            <v>RLS</v>
          </cell>
          <cell r="D29" t="str">
            <v>KUUM_413</v>
          </cell>
          <cell r="E29">
            <v>96</v>
          </cell>
          <cell r="G29">
            <v>0</v>
          </cell>
          <cell r="H29">
            <v>0</v>
          </cell>
          <cell r="N29">
            <v>2997.12</v>
          </cell>
          <cell r="O29">
            <v>0</v>
          </cell>
          <cell r="Q29">
            <v>0</v>
          </cell>
          <cell r="S29">
            <v>0</v>
          </cell>
          <cell r="U29">
            <v>0</v>
          </cell>
          <cell r="Y29">
            <v>108.48</v>
          </cell>
          <cell r="AB29">
            <v>32.64</v>
          </cell>
          <cell r="AE29" t="str">
            <v>20140101KUUM_413</v>
          </cell>
        </row>
        <row r="30">
          <cell r="B30" t="str">
            <v>Jan 2016</v>
          </cell>
          <cell r="C30" t="str">
            <v>LS</v>
          </cell>
          <cell r="D30" t="str">
            <v>KUUM_414</v>
          </cell>
          <cell r="E30">
            <v>21</v>
          </cell>
          <cell r="G30">
            <v>0</v>
          </cell>
          <cell r="H30">
            <v>0</v>
          </cell>
          <cell r="N30">
            <v>647.64</v>
          </cell>
          <cell r="O30">
            <v>0</v>
          </cell>
          <cell r="Q30">
            <v>0</v>
          </cell>
          <cell r="S30">
            <v>0</v>
          </cell>
          <cell r="U30">
            <v>0</v>
          </cell>
          <cell r="Y30">
            <v>16.8</v>
          </cell>
          <cell r="AB30">
            <v>9.0299999999999994</v>
          </cell>
          <cell r="AE30" t="str">
            <v>20140101KUUM_414</v>
          </cell>
        </row>
        <row r="31">
          <cell r="B31" t="str">
            <v>Jan 2016</v>
          </cell>
          <cell r="C31" t="str">
            <v>LS</v>
          </cell>
          <cell r="D31" t="str">
            <v>KUUM_415</v>
          </cell>
          <cell r="E31">
            <v>10</v>
          </cell>
          <cell r="G31">
            <v>0</v>
          </cell>
          <cell r="H31">
            <v>0</v>
          </cell>
          <cell r="N31">
            <v>312.2</v>
          </cell>
          <cell r="O31">
            <v>0</v>
          </cell>
          <cell r="Q31">
            <v>0</v>
          </cell>
          <cell r="S31">
            <v>0</v>
          </cell>
          <cell r="U31">
            <v>0</v>
          </cell>
          <cell r="Y31">
            <v>11.3</v>
          </cell>
          <cell r="AB31">
            <v>3.4000000000000004</v>
          </cell>
          <cell r="AE31" t="str">
            <v>20140101KUUM_415</v>
          </cell>
        </row>
        <row r="32">
          <cell r="B32" t="str">
            <v>Jan 2016</v>
          </cell>
          <cell r="C32" t="str">
            <v>LS</v>
          </cell>
          <cell r="D32" t="str">
            <v>KUUM_420</v>
          </cell>
          <cell r="E32">
            <v>454</v>
          </cell>
          <cell r="G32">
            <v>0</v>
          </cell>
          <cell r="H32">
            <v>0</v>
          </cell>
          <cell r="N32">
            <v>6973.44</v>
          </cell>
          <cell r="O32">
            <v>0</v>
          </cell>
          <cell r="Q32">
            <v>0</v>
          </cell>
          <cell r="S32">
            <v>0</v>
          </cell>
          <cell r="U32">
            <v>0</v>
          </cell>
          <cell r="Y32">
            <v>513.02</v>
          </cell>
          <cell r="AB32">
            <v>154.36000000000001</v>
          </cell>
          <cell r="AE32" t="str">
            <v>20140101KUUM_420</v>
          </cell>
        </row>
        <row r="33">
          <cell r="B33" t="str">
            <v>Jan 2016</v>
          </cell>
          <cell r="C33" t="str">
            <v>RLS</v>
          </cell>
          <cell r="D33" t="str">
            <v>KUUM_421</v>
          </cell>
          <cell r="E33">
            <v>5</v>
          </cell>
          <cell r="G33">
            <v>0</v>
          </cell>
          <cell r="H33">
            <v>0</v>
          </cell>
          <cell r="N33">
            <v>16.95</v>
          </cell>
          <cell r="O33">
            <v>0</v>
          </cell>
          <cell r="Q33">
            <v>0</v>
          </cell>
          <cell r="S33">
            <v>0</v>
          </cell>
          <cell r="U33">
            <v>0</v>
          </cell>
          <cell r="Y33">
            <v>4.95</v>
          </cell>
          <cell r="AB33">
            <v>0.6</v>
          </cell>
          <cell r="AE33" t="str">
            <v>20140101KUUM_421</v>
          </cell>
        </row>
        <row r="34">
          <cell r="B34" t="str">
            <v>Jan 2016</v>
          </cell>
          <cell r="C34" t="str">
            <v>RLS</v>
          </cell>
          <cell r="D34" t="str">
            <v>KUUM_422</v>
          </cell>
          <cell r="E34">
            <v>684</v>
          </cell>
          <cell r="G34">
            <v>0</v>
          </cell>
          <cell r="H34">
            <v>0</v>
          </cell>
          <cell r="N34">
            <v>3105.36</v>
          </cell>
          <cell r="O34">
            <v>0</v>
          </cell>
          <cell r="Q34">
            <v>0</v>
          </cell>
          <cell r="S34">
            <v>0</v>
          </cell>
          <cell r="U34">
            <v>0</v>
          </cell>
          <cell r="Y34">
            <v>1326.96</v>
          </cell>
          <cell r="AB34">
            <v>109.44</v>
          </cell>
          <cell r="AE34" t="str">
            <v>20140101KUUM_422</v>
          </cell>
        </row>
        <row r="35">
          <cell r="B35" t="str">
            <v>Jan 2016</v>
          </cell>
          <cell r="C35" t="str">
            <v>RLS</v>
          </cell>
          <cell r="D35" t="str">
            <v>KUUM_424</v>
          </cell>
          <cell r="E35">
            <v>92</v>
          </cell>
          <cell r="G35">
            <v>0</v>
          </cell>
          <cell r="H35">
            <v>0</v>
          </cell>
          <cell r="N35">
            <v>623.76</v>
          </cell>
          <cell r="O35">
            <v>0</v>
          </cell>
          <cell r="Q35">
            <v>0</v>
          </cell>
          <cell r="S35">
            <v>0</v>
          </cell>
          <cell r="U35">
            <v>0</v>
          </cell>
          <cell r="Y35">
            <v>64.400000000000006</v>
          </cell>
          <cell r="AB35">
            <v>22.08</v>
          </cell>
          <cell r="AE35" t="str">
            <v>20140101KUUM_424</v>
          </cell>
        </row>
        <row r="36">
          <cell r="B36" t="str">
            <v>Jan 2016</v>
          </cell>
          <cell r="C36" t="str">
            <v>RLS</v>
          </cell>
          <cell r="D36" t="str">
            <v>KUUM_425</v>
          </cell>
          <cell r="E36">
            <v>2</v>
          </cell>
          <cell r="G36">
            <v>0</v>
          </cell>
          <cell r="H36">
            <v>0</v>
          </cell>
          <cell r="N36">
            <v>18.12</v>
          </cell>
          <cell r="O36">
            <v>0</v>
          </cell>
          <cell r="Q36">
            <v>0</v>
          </cell>
          <cell r="S36">
            <v>0</v>
          </cell>
          <cell r="U36">
            <v>0</v>
          </cell>
          <cell r="Y36">
            <v>8.6</v>
          </cell>
          <cell r="AB36">
            <v>0.66</v>
          </cell>
          <cell r="AE36" t="str">
            <v>20140101KUUM_425</v>
          </cell>
        </row>
        <row r="37">
          <cell r="B37" t="str">
            <v>Jan 2016</v>
          </cell>
          <cell r="C37" t="str">
            <v>RLS</v>
          </cell>
          <cell r="D37" t="str">
            <v>KUUM_426</v>
          </cell>
          <cell r="E37">
            <v>171</v>
          </cell>
          <cell r="G37">
            <v>0</v>
          </cell>
          <cell r="H37">
            <v>0</v>
          </cell>
          <cell r="N37">
            <v>1272.24</v>
          </cell>
          <cell r="O37">
            <v>0</v>
          </cell>
          <cell r="Q37">
            <v>0</v>
          </cell>
          <cell r="S37">
            <v>0</v>
          </cell>
          <cell r="U37">
            <v>0</v>
          </cell>
          <cell r="Y37">
            <v>136.80000000000001</v>
          </cell>
          <cell r="AB37">
            <v>73.53</v>
          </cell>
          <cell r="AE37" t="str">
            <v>20140101KUUM_426</v>
          </cell>
        </row>
        <row r="38">
          <cell r="B38" t="str">
            <v>Jan 2016</v>
          </cell>
          <cell r="C38" t="str">
            <v>LS</v>
          </cell>
          <cell r="D38" t="str">
            <v>KUUM_428</v>
          </cell>
          <cell r="E38">
            <v>36280</v>
          </cell>
          <cell r="G38">
            <v>0</v>
          </cell>
          <cell r="H38">
            <v>0</v>
          </cell>
          <cell r="N38">
            <v>284435.20000000001</v>
          </cell>
          <cell r="O38">
            <v>0</v>
          </cell>
          <cell r="Q38">
            <v>0</v>
          </cell>
          <cell r="S38">
            <v>0</v>
          </cell>
          <cell r="U38">
            <v>0</v>
          </cell>
          <cell r="Y38">
            <v>40996.400000000001</v>
          </cell>
          <cell r="AB38">
            <v>12335.2</v>
          </cell>
          <cell r="AE38" t="str">
            <v>20140101KUUM_428</v>
          </cell>
        </row>
        <row r="39">
          <cell r="B39" t="str">
            <v>Jan 2016</v>
          </cell>
          <cell r="C39" t="str">
            <v>LS</v>
          </cell>
          <cell r="D39" t="str">
            <v>KUUM_429</v>
          </cell>
          <cell r="E39">
            <v>0</v>
          </cell>
          <cell r="G39">
            <v>0</v>
          </cell>
          <cell r="H39">
            <v>0</v>
          </cell>
          <cell r="N39">
            <v>0</v>
          </cell>
          <cell r="O39">
            <v>0</v>
          </cell>
          <cell r="Q39">
            <v>0</v>
          </cell>
          <cell r="S39">
            <v>0</v>
          </cell>
          <cell r="U39">
            <v>0</v>
          </cell>
          <cell r="Y39">
            <v>0</v>
          </cell>
          <cell r="AB39">
            <v>0</v>
          </cell>
          <cell r="AE39" t="str">
            <v>20140101KUUM_429</v>
          </cell>
        </row>
        <row r="40">
          <cell r="B40" t="str">
            <v>Jan 2016</v>
          </cell>
          <cell r="C40" t="str">
            <v>LS</v>
          </cell>
          <cell r="D40" t="str">
            <v>KUUM_430</v>
          </cell>
          <cell r="E40">
            <v>1166</v>
          </cell>
          <cell r="G40">
            <v>0</v>
          </cell>
          <cell r="H40">
            <v>0</v>
          </cell>
          <cell r="N40">
            <v>25652</v>
          </cell>
          <cell r="O40">
            <v>0</v>
          </cell>
          <cell r="Q40">
            <v>0</v>
          </cell>
          <cell r="S40">
            <v>0</v>
          </cell>
          <cell r="U40">
            <v>0</v>
          </cell>
          <cell r="Y40">
            <v>1317.58</v>
          </cell>
          <cell r="AB40">
            <v>396.44000000000005</v>
          </cell>
          <cell r="AE40" t="str">
            <v>20140101KUUM_430</v>
          </cell>
        </row>
        <row r="41">
          <cell r="B41" t="str">
            <v>Jan 2016</v>
          </cell>
          <cell r="C41" t="str">
            <v>RLS</v>
          </cell>
          <cell r="D41" t="str">
            <v>KUUM_434</v>
          </cell>
          <cell r="E41">
            <v>6</v>
          </cell>
          <cell r="G41">
            <v>0</v>
          </cell>
          <cell r="H41">
            <v>0</v>
          </cell>
          <cell r="N41">
            <v>46.44</v>
          </cell>
          <cell r="O41">
            <v>0</v>
          </cell>
          <cell r="Q41">
            <v>0</v>
          </cell>
          <cell r="S41">
            <v>0</v>
          </cell>
          <cell r="U41">
            <v>0</v>
          </cell>
          <cell r="Y41">
            <v>4.2</v>
          </cell>
          <cell r="AB41">
            <v>1.44</v>
          </cell>
          <cell r="AE41" t="str">
            <v>20140101KUUM_434</v>
          </cell>
        </row>
        <row r="42">
          <cell r="B42" t="str">
            <v>Jan 2016</v>
          </cell>
          <cell r="C42" t="str">
            <v>RLS</v>
          </cell>
          <cell r="D42" t="str">
            <v>KUUM_440</v>
          </cell>
          <cell r="E42">
            <v>2</v>
          </cell>
          <cell r="G42">
            <v>0</v>
          </cell>
          <cell r="H42">
            <v>0</v>
          </cell>
          <cell r="N42">
            <v>27.22</v>
          </cell>
          <cell r="O42">
            <v>0</v>
          </cell>
          <cell r="Q42">
            <v>0</v>
          </cell>
          <cell r="S42">
            <v>0</v>
          </cell>
          <cell r="U42">
            <v>0</v>
          </cell>
          <cell r="Y42">
            <v>1.1399999999999999</v>
          </cell>
          <cell r="AB42">
            <v>0.66</v>
          </cell>
          <cell r="AE42" t="str">
            <v>20140101KUUM_440</v>
          </cell>
        </row>
        <row r="43">
          <cell r="B43" t="str">
            <v>Jan 2016</v>
          </cell>
          <cell r="C43" t="str">
            <v>RLS</v>
          </cell>
          <cell r="D43" t="str">
            <v>KUUM_446</v>
          </cell>
          <cell r="E43">
            <v>1080</v>
          </cell>
          <cell r="G43">
            <v>0</v>
          </cell>
          <cell r="H43">
            <v>0</v>
          </cell>
          <cell r="N43">
            <v>10324.799999999999</v>
          </cell>
          <cell r="O43">
            <v>0</v>
          </cell>
          <cell r="Q43">
            <v>0</v>
          </cell>
          <cell r="S43">
            <v>0</v>
          </cell>
          <cell r="U43">
            <v>0</v>
          </cell>
          <cell r="Y43">
            <v>2149.1999999999998</v>
          </cell>
          <cell r="AB43">
            <v>421.2</v>
          </cell>
          <cell r="AE43" t="str">
            <v>20140101KUUM_446</v>
          </cell>
        </row>
        <row r="44">
          <cell r="B44" t="str">
            <v>Jan 2016</v>
          </cell>
          <cell r="C44" t="str">
            <v>RLS</v>
          </cell>
          <cell r="D44" t="str">
            <v>KUUM_447</v>
          </cell>
          <cell r="E44">
            <v>728</v>
          </cell>
          <cell r="G44">
            <v>0</v>
          </cell>
          <cell r="H44">
            <v>0</v>
          </cell>
          <cell r="N44">
            <v>8240.9599999999991</v>
          </cell>
          <cell r="O44">
            <v>0</v>
          </cell>
          <cell r="Q44">
            <v>0</v>
          </cell>
          <cell r="S44">
            <v>0</v>
          </cell>
          <cell r="U44">
            <v>0</v>
          </cell>
          <cell r="Y44">
            <v>2067.52</v>
          </cell>
          <cell r="AB44">
            <v>320.32</v>
          </cell>
          <cell r="AE44" t="str">
            <v>20140101KUUM_447</v>
          </cell>
        </row>
        <row r="45">
          <cell r="B45" t="str">
            <v>Jan 2016</v>
          </cell>
          <cell r="C45" t="str">
            <v>RLS</v>
          </cell>
          <cell r="D45" t="str">
            <v>KUUM_448</v>
          </cell>
          <cell r="E45">
            <v>1476</v>
          </cell>
          <cell r="G45">
            <v>0</v>
          </cell>
          <cell r="H45">
            <v>0</v>
          </cell>
          <cell r="N45">
            <v>18907.560000000001</v>
          </cell>
          <cell r="O45">
            <v>0</v>
          </cell>
          <cell r="Q45">
            <v>0</v>
          </cell>
          <cell r="S45">
            <v>0</v>
          </cell>
          <cell r="U45">
            <v>0</v>
          </cell>
          <cell r="Y45">
            <v>6450.12</v>
          </cell>
          <cell r="AB45">
            <v>752.76</v>
          </cell>
          <cell r="AE45" t="str">
            <v>20140101KUUM_448</v>
          </cell>
        </row>
        <row r="46">
          <cell r="B46" t="str">
            <v>Jan 2016</v>
          </cell>
          <cell r="C46" t="str">
            <v>LS</v>
          </cell>
          <cell r="D46" t="str">
            <v>KUUM_450</v>
          </cell>
          <cell r="E46">
            <v>646</v>
          </cell>
          <cell r="G46">
            <v>0</v>
          </cell>
          <cell r="H46">
            <v>0</v>
          </cell>
          <cell r="N46">
            <v>9205.5</v>
          </cell>
          <cell r="O46">
            <v>0</v>
          </cell>
          <cell r="Q46">
            <v>0</v>
          </cell>
          <cell r="S46">
            <v>0</v>
          </cell>
          <cell r="U46">
            <v>0</v>
          </cell>
          <cell r="Y46">
            <v>1272.6199999999999</v>
          </cell>
          <cell r="AB46">
            <v>426.36</v>
          </cell>
          <cell r="AE46" t="str">
            <v>20140101KUUM_450</v>
          </cell>
        </row>
        <row r="47">
          <cell r="B47" t="str">
            <v>Jan 2016</v>
          </cell>
          <cell r="C47" t="str">
            <v>LS</v>
          </cell>
          <cell r="D47" t="str">
            <v>KUUM_451</v>
          </cell>
          <cell r="E47">
            <v>5134</v>
          </cell>
          <cell r="G47">
            <v>0</v>
          </cell>
          <cell r="H47">
            <v>0</v>
          </cell>
          <cell r="N47">
            <v>103706.8</v>
          </cell>
          <cell r="O47">
            <v>0</v>
          </cell>
          <cell r="Q47">
            <v>0</v>
          </cell>
          <cell r="S47">
            <v>0</v>
          </cell>
          <cell r="U47">
            <v>0</v>
          </cell>
          <cell r="Y47">
            <v>22024.86</v>
          </cell>
          <cell r="AB47">
            <v>4312.5599999999995</v>
          </cell>
          <cell r="AE47" t="str">
            <v>20140101KUUM_451</v>
          </cell>
        </row>
        <row r="48">
          <cell r="B48" t="str">
            <v>Jan 2016</v>
          </cell>
          <cell r="C48" t="str">
            <v>LS</v>
          </cell>
          <cell r="D48" t="str">
            <v>KUUM_452</v>
          </cell>
          <cell r="E48">
            <v>1057</v>
          </cell>
          <cell r="G48">
            <v>0</v>
          </cell>
          <cell r="H48">
            <v>0</v>
          </cell>
          <cell r="N48">
            <v>44763.95</v>
          </cell>
          <cell r="O48">
            <v>0</v>
          </cell>
          <cell r="Q48">
            <v>0</v>
          </cell>
          <cell r="S48">
            <v>0</v>
          </cell>
          <cell r="U48">
            <v>0</v>
          </cell>
          <cell r="Y48">
            <v>11003.37</v>
          </cell>
          <cell r="AB48">
            <v>1796.8999999999999</v>
          </cell>
          <cell r="AE48" t="str">
            <v>20140101KUUM_452</v>
          </cell>
        </row>
        <row r="49">
          <cell r="B49" t="str">
            <v>Jan 2016</v>
          </cell>
          <cell r="C49" t="str">
            <v>RLS</v>
          </cell>
          <cell r="D49" t="str">
            <v>KUUM_454</v>
          </cell>
          <cell r="E49">
            <v>150</v>
          </cell>
          <cell r="G49">
            <v>0</v>
          </cell>
          <cell r="H49">
            <v>0</v>
          </cell>
          <cell r="N49">
            <v>2797.5</v>
          </cell>
          <cell r="O49">
            <v>0</v>
          </cell>
          <cell r="Q49">
            <v>0</v>
          </cell>
          <cell r="S49">
            <v>0</v>
          </cell>
          <cell r="U49">
            <v>0</v>
          </cell>
          <cell r="Y49">
            <v>295.5</v>
          </cell>
          <cell r="AB49">
            <v>99</v>
          </cell>
          <cell r="AE49" t="str">
            <v>20140101KUUM_454</v>
          </cell>
        </row>
        <row r="50">
          <cell r="B50" t="str">
            <v>Jan 2016</v>
          </cell>
          <cell r="C50" t="str">
            <v>RLS</v>
          </cell>
          <cell r="D50" t="str">
            <v>KUUM_455</v>
          </cell>
          <cell r="E50">
            <v>1024</v>
          </cell>
          <cell r="G50">
            <v>0</v>
          </cell>
          <cell r="H50">
            <v>0</v>
          </cell>
          <cell r="N50">
            <v>25180.16</v>
          </cell>
          <cell r="O50">
            <v>0</v>
          </cell>
          <cell r="Q50">
            <v>0</v>
          </cell>
          <cell r="S50">
            <v>0</v>
          </cell>
          <cell r="U50">
            <v>0</v>
          </cell>
          <cell r="Y50">
            <v>4392.96</v>
          </cell>
          <cell r="AB50">
            <v>860.16</v>
          </cell>
          <cell r="AE50" t="str">
            <v>20140101KUUM_455</v>
          </cell>
        </row>
        <row r="51">
          <cell r="B51" t="str">
            <v>Jan 2016</v>
          </cell>
          <cell r="C51" t="str">
            <v>RLS</v>
          </cell>
          <cell r="D51" t="str">
            <v>KUUM_456</v>
          </cell>
          <cell r="E51">
            <v>139</v>
          </cell>
          <cell r="G51">
            <v>0</v>
          </cell>
          <cell r="H51">
            <v>0</v>
          </cell>
          <cell r="N51">
            <v>1649.93</v>
          </cell>
          <cell r="O51">
            <v>0</v>
          </cell>
          <cell r="Q51">
            <v>0</v>
          </cell>
          <cell r="S51">
            <v>0</v>
          </cell>
          <cell r="U51">
            <v>0</v>
          </cell>
          <cell r="Y51">
            <v>276.61</v>
          </cell>
          <cell r="AB51">
            <v>54.21</v>
          </cell>
          <cell r="AE51" t="str">
            <v>20140101KUUM_456</v>
          </cell>
        </row>
        <row r="52">
          <cell r="B52" t="str">
            <v>Jan 2016</v>
          </cell>
          <cell r="C52" t="str">
            <v>RLS</v>
          </cell>
          <cell r="D52" t="str">
            <v>KUUM_457</v>
          </cell>
          <cell r="E52">
            <v>439</v>
          </cell>
          <cell r="G52">
            <v>0</v>
          </cell>
          <cell r="H52">
            <v>0</v>
          </cell>
          <cell r="N52">
            <v>5865.04</v>
          </cell>
          <cell r="O52">
            <v>0</v>
          </cell>
          <cell r="Q52">
            <v>0</v>
          </cell>
          <cell r="S52">
            <v>0</v>
          </cell>
          <cell r="U52">
            <v>0</v>
          </cell>
          <cell r="Y52">
            <v>1246.76</v>
          </cell>
          <cell r="AB52">
            <v>193.16</v>
          </cell>
          <cell r="AE52" t="str">
            <v>20140101KUUM_457</v>
          </cell>
        </row>
        <row r="53">
          <cell r="B53" t="str">
            <v>Jan 2016</v>
          </cell>
          <cell r="C53" t="str">
            <v>RLS</v>
          </cell>
          <cell r="D53" t="str">
            <v>KUUM_458</v>
          </cell>
          <cell r="E53">
            <v>1471</v>
          </cell>
          <cell r="G53">
            <v>0</v>
          </cell>
          <cell r="H53">
            <v>0</v>
          </cell>
          <cell r="N53">
            <v>22182.68</v>
          </cell>
          <cell r="O53">
            <v>0</v>
          </cell>
          <cell r="Q53">
            <v>0</v>
          </cell>
          <cell r="S53">
            <v>0</v>
          </cell>
          <cell r="U53">
            <v>0</v>
          </cell>
          <cell r="Y53">
            <v>6428.27</v>
          </cell>
          <cell r="AB53">
            <v>750.21</v>
          </cell>
          <cell r="AE53" t="str">
            <v>20140101KUUM_458</v>
          </cell>
        </row>
        <row r="54">
          <cell r="B54" t="str">
            <v>Jan 2016</v>
          </cell>
          <cell r="C54" t="str">
            <v>RLS</v>
          </cell>
          <cell r="D54" t="str">
            <v>KUUM_459</v>
          </cell>
          <cell r="E54">
            <v>231</v>
          </cell>
          <cell r="G54">
            <v>0</v>
          </cell>
          <cell r="H54">
            <v>0</v>
          </cell>
          <cell r="N54">
            <v>10796.94</v>
          </cell>
          <cell r="O54">
            <v>0</v>
          </cell>
          <cell r="Q54">
            <v>0</v>
          </cell>
          <cell r="S54">
            <v>0</v>
          </cell>
          <cell r="U54">
            <v>0</v>
          </cell>
          <cell r="Y54">
            <v>2404.71</v>
          </cell>
          <cell r="AB54">
            <v>392.7</v>
          </cell>
          <cell r="AE54" t="str">
            <v>20140101KUUM_459</v>
          </cell>
        </row>
        <row r="55">
          <cell r="B55" t="str">
            <v>Jan 2016</v>
          </cell>
          <cell r="C55" t="str">
            <v>RLS</v>
          </cell>
          <cell r="D55" t="str">
            <v>KUUM_460</v>
          </cell>
          <cell r="E55">
            <v>28</v>
          </cell>
          <cell r="G55">
            <v>0</v>
          </cell>
          <cell r="H55">
            <v>0</v>
          </cell>
          <cell r="N55">
            <v>760.2</v>
          </cell>
          <cell r="O55">
            <v>0</v>
          </cell>
          <cell r="Q55">
            <v>0</v>
          </cell>
          <cell r="S55">
            <v>0</v>
          </cell>
          <cell r="U55">
            <v>0</v>
          </cell>
          <cell r="Y55">
            <v>55.16</v>
          </cell>
          <cell r="AB55">
            <v>18.48</v>
          </cell>
          <cell r="AE55" t="str">
            <v>20140101KUUM_460</v>
          </cell>
        </row>
        <row r="56">
          <cell r="B56" t="str">
            <v>Jan 2016</v>
          </cell>
          <cell r="C56" t="str">
            <v>RLS</v>
          </cell>
          <cell r="D56" t="str">
            <v>KUUM_461</v>
          </cell>
          <cell r="E56">
            <v>7211</v>
          </cell>
          <cell r="G56">
            <v>0</v>
          </cell>
          <cell r="H56">
            <v>0</v>
          </cell>
          <cell r="N56">
            <v>54370.94</v>
          </cell>
          <cell r="O56">
            <v>0</v>
          </cell>
          <cell r="Q56">
            <v>0</v>
          </cell>
          <cell r="S56">
            <v>0</v>
          </cell>
          <cell r="U56">
            <v>0</v>
          </cell>
          <cell r="Y56">
            <v>4110.2700000000004</v>
          </cell>
          <cell r="AB56">
            <v>2379.63</v>
          </cell>
          <cell r="AE56" t="str">
            <v>20140101KUUM_461</v>
          </cell>
        </row>
        <row r="57">
          <cell r="B57" t="str">
            <v>Jan 2016</v>
          </cell>
          <cell r="C57" t="str">
            <v>LS</v>
          </cell>
          <cell r="D57" t="str">
            <v>KUUM_462</v>
          </cell>
          <cell r="E57">
            <v>8738</v>
          </cell>
          <cell r="G57">
            <v>0</v>
          </cell>
          <cell r="H57">
            <v>0</v>
          </cell>
          <cell r="N57">
            <v>75671.08</v>
          </cell>
          <cell r="O57">
            <v>0</v>
          </cell>
          <cell r="Q57">
            <v>0</v>
          </cell>
          <cell r="S57">
            <v>0</v>
          </cell>
          <cell r="U57">
            <v>0</v>
          </cell>
          <cell r="Y57">
            <v>6990.4</v>
          </cell>
          <cell r="AB57">
            <v>3757.34</v>
          </cell>
          <cell r="AE57" t="str">
            <v>20140101KUUM_462</v>
          </cell>
        </row>
        <row r="58">
          <cell r="B58" t="str">
            <v>Jan 2016</v>
          </cell>
          <cell r="C58" t="str">
            <v>LS</v>
          </cell>
          <cell r="D58" t="str">
            <v>KUUM_463</v>
          </cell>
          <cell r="E58">
            <v>20840</v>
          </cell>
          <cell r="G58">
            <v>0</v>
          </cell>
          <cell r="H58">
            <v>0</v>
          </cell>
          <cell r="N58">
            <v>190477.6</v>
          </cell>
          <cell r="O58">
            <v>0</v>
          </cell>
          <cell r="Q58">
            <v>0</v>
          </cell>
          <cell r="S58">
            <v>0</v>
          </cell>
          <cell r="U58">
            <v>0</v>
          </cell>
          <cell r="Y58">
            <v>23549.200000000001</v>
          </cell>
          <cell r="AB58">
            <v>7085.6</v>
          </cell>
          <cell r="AE58" t="str">
            <v>20140101KUUM_463</v>
          </cell>
        </row>
        <row r="59">
          <cell r="B59" t="str">
            <v>Jan 2016</v>
          </cell>
          <cell r="C59" t="str">
            <v>LS</v>
          </cell>
          <cell r="D59" t="str">
            <v>KUUM_464</v>
          </cell>
          <cell r="E59">
            <v>7628</v>
          </cell>
          <cell r="G59">
            <v>0</v>
          </cell>
          <cell r="H59">
            <v>0</v>
          </cell>
          <cell r="N59">
            <v>108699</v>
          </cell>
          <cell r="O59">
            <v>0</v>
          </cell>
          <cell r="Q59">
            <v>0</v>
          </cell>
          <cell r="S59">
            <v>0</v>
          </cell>
          <cell r="U59">
            <v>0</v>
          </cell>
          <cell r="Y59">
            <v>17773.240000000002</v>
          </cell>
          <cell r="AB59">
            <v>4424.24</v>
          </cell>
          <cell r="AE59" t="str">
            <v>20140101KUUM_464</v>
          </cell>
        </row>
        <row r="60">
          <cell r="B60" t="str">
            <v>Jan 2016</v>
          </cell>
          <cell r="C60" t="str">
            <v>LS</v>
          </cell>
          <cell r="D60" t="str">
            <v>KUUM_465</v>
          </cell>
          <cell r="E60">
            <v>2804</v>
          </cell>
          <cell r="G60">
            <v>0</v>
          </cell>
          <cell r="H60">
            <v>0</v>
          </cell>
          <cell r="N60">
            <v>64043.360000000001</v>
          </cell>
          <cell r="O60">
            <v>0</v>
          </cell>
          <cell r="Q60">
            <v>0</v>
          </cell>
          <cell r="S60">
            <v>0</v>
          </cell>
          <cell r="U60">
            <v>0</v>
          </cell>
          <cell r="Y60">
            <v>12702.12</v>
          </cell>
          <cell r="AB60">
            <v>2215.1600000000003</v>
          </cell>
          <cell r="AE60" t="str">
            <v>20140101KUUM_465</v>
          </cell>
        </row>
        <row r="61">
          <cell r="B61" t="str">
            <v>Jan 2016</v>
          </cell>
          <cell r="C61" t="str">
            <v>RLS</v>
          </cell>
          <cell r="D61" t="str">
            <v>KUUM_466</v>
          </cell>
          <cell r="E61">
            <v>855</v>
          </cell>
          <cell r="G61">
            <v>0</v>
          </cell>
          <cell r="H61">
            <v>0</v>
          </cell>
          <cell r="N61">
            <v>8225.1</v>
          </cell>
          <cell r="O61">
            <v>0</v>
          </cell>
          <cell r="Q61">
            <v>0</v>
          </cell>
          <cell r="S61">
            <v>0</v>
          </cell>
          <cell r="U61">
            <v>0</v>
          </cell>
          <cell r="Y61">
            <v>487.35</v>
          </cell>
          <cell r="AB61">
            <v>282.15000000000003</v>
          </cell>
          <cell r="AE61" t="str">
            <v>20140101KUUM_466</v>
          </cell>
        </row>
        <row r="62">
          <cell r="B62" t="str">
            <v>Jan 2016</v>
          </cell>
          <cell r="C62" t="str">
            <v>LS</v>
          </cell>
          <cell r="D62" t="str">
            <v>KUUM_467</v>
          </cell>
          <cell r="E62">
            <v>1353</v>
          </cell>
          <cell r="G62">
            <v>0</v>
          </cell>
          <cell r="H62">
            <v>0</v>
          </cell>
          <cell r="N62">
            <v>14571.81</v>
          </cell>
          <cell r="O62">
            <v>0</v>
          </cell>
          <cell r="Q62">
            <v>0</v>
          </cell>
          <cell r="S62">
            <v>0</v>
          </cell>
          <cell r="U62">
            <v>0</v>
          </cell>
          <cell r="Y62">
            <v>1082.4000000000001</v>
          </cell>
          <cell r="AB62">
            <v>581.79</v>
          </cell>
          <cell r="AE62" t="str">
            <v>20140101KUUM_467</v>
          </cell>
        </row>
        <row r="63">
          <cell r="B63" t="str">
            <v>Jan 2016</v>
          </cell>
          <cell r="C63" t="str">
            <v>LS</v>
          </cell>
          <cell r="D63" t="str">
            <v>KUUM_468</v>
          </cell>
          <cell r="E63">
            <v>4050</v>
          </cell>
          <cell r="G63">
            <v>0</v>
          </cell>
          <cell r="H63">
            <v>0</v>
          </cell>
          <cell r="N63">
            <v>45198</v>
          </cell>
          <cell r="O63">
            <v>0</v>
          </cell>
          <cell r="Q63">
            <v>0</v>
          </cell>
          <cell r="S63">
            <v>0</v>
          </cell>
          <cell r="U63">
            <v>0</v>
          </cell>
          <cell r="Y63">
            <v>4576.5</v>
          </cell>
          <cell r="AB63">
            <v>1377</v>
          </cell>
          <cell r="AE63" t="str">
            <v>20140101KUUM_468</v>
          </cell>
        </row>
        <row r="64">
          <cell r="B64" t="str">
            <v>Jan 2016</v>
          </cell>
          <cell r="C64" t="str">
            <v>RLS</v>
          </cell>
          <cell r="D64" t="str">
            <v>KUUM_469</v>
          </cell>
          <cell r="E64">
            <v>293</v>
          </cell>
          <cell r="G64">
            <v>0</v>
          </cell>
          <cell r="H64">
            <v>0</v>
          </cell>
          <cell r="N64">
            <v>9698.2999999999993</v>
          </cell>
          <cell r="O64">
            <v>0</v>
          </cell>
          <cell r="Q64">
            <v>0</v>
          </cell>
          <cell r="S64">
            <v>0</v>
          </cell>
          <cell r="U64">
            <v>0</v>
          </cell>
          <cell r="Y64">
            <v>1256.97</v>
          </cell>
          <cell r="AB64">
            <v>246.12</v>
          </cell>
          <cell r="AE64" t="str">
            <v>20140101KUUM_469</v>
          </cell>
        </row>
        <row r="65">
          <cell r="B65" t="str">
            <v>Jan 2016</v>
          </cell>
          <cell r="C65" t="str">
            <v>RLS</v>
          </cell>
          <cell r="D65" t="str">
            <v>KUUM_470</v>
          </cell>
          <cell r="E65">
            <v>61</v>
          </cell>
          <cell r="G65">
            <v>0</v>
          </cell>
          <cell r="H65">
            <v>0</v>
          </cell>
          <cell r="N65">
            <v>3370.25</v>
          </cell>
          <cell r="O65">
            <v>0</v>
          </cell>
          <cell r="Q65">
            <v>0</v>
          </cell>
          <cell r="S65">
            <v>0</v>
          </cell>
          <cell r="U65">
            <v>0</v>
          </cell>
          <cell r="Y65">
            <v>635.01</v>
          </cell>
          <cell r="AB65">
            <v>103.7</v>
          </cell>
          <cell r="AE65" t="str">
            <v>20140101KUUM_470</v>
          </cell>
        </row>
        <row r="66">
          <cell r="B66" t="str">
            <v>Jan 2016</v>
          </cell>
          <cell r="C66" t="str">
            <v>RLS</v>
          </cell>
          <cell r="D66" t="str">
            <v>KUUM_471</v>
          </cell>
          <cell r="E66">
            <v>3569</v>
          </cell>
          <cell r="G66">
            <v>0</v>
          </cell>
          <cell r="H66">
            <v>0</v>
          </cell>
          <cell r="N66">
            <v>37438.81</v>
          </cell>
          <cell r="O66">
            <v>0</v>
          </cell>
          <cell r="Q66">
            <v>0</v>
          </cell>
          <cell r="S66">
            <v>0</v>
          </cell>
          <cell r="U66">
            <v>0</v>
          </cell>
          <cell r="Y66">
            <v>2034.33</v>
          </cell>
          <cell r="AB66">
            <v>1177.77</v>
          </cell>
          <cell r="AE66" t="str">
            <v>20140101KUUM_471</v>
          </cell>
        </row>
        <row r="67">
          <cell r="B67" t="str">
            <v>Jan 2016</v>
          </cell>
          <cell r="C67" t="str">
            <v>LS</v>
          </cell>
          <cell r="D67" t="str">
            <v>KUUM_472</v>
          </cell>
          <cell r="E67">
            <v>8447</v>
          </cell>
          <cell r="G67">
            <v>0</v>
          </cell>
          <cell r="H67">
            <v>0</v>
          </cell>
          <cell r="N67">
            <v>97985.2</v>
          </cell>
          <cell r="O67">
            <v>0</v>
          </cell>
          <cell r="Q67">
            <v>0</v>
          </cell>
          <cell r="S67">
            <v>0</v>
          </cell>
          <cell r="U67">
            <v>0</v>
          </cell>
          <cell r="Y67">
            <v>6757.6</v>
          </cell>
          <cell r="AB67">
            <v>3632.21</v>
          </cell>
          <cell r="AE67" t="str">
            <v>20140101KUUM_472</v>
          </cell>
        </row>
        <row r="68">
          <cell r="B68" t="str">
            <v>Jan 2016</v>
          </cell>
          <cell r="C68" t="str">
            <v>LS</v>
          </cell>
          <cell r="D68" t="str">
            <v>KUUM_473</v>
          </cell>
          <cell r="E68">
            <v>3345</v>
          </cell>
          <cell r="G68">
            <v>0</v>
          </cell>
          <cell r="H68">
            <v>0</v>
          </cell>
          <cell r="N68">
            <v>41143.5</v>
          </cell>
          <cell r="O68">
            <v>0</v>
          </cell>
          <cell r="Q68">
            <v>0</v>
          </cell>
          <cell r="S68">
            <v>0</v>
          </cell>
          <cell r="U68">
            <v>0</v>
          </cell>
          <cell r="Y68">
            <v>3779.85</v>
          </cell>
          <cell r="AB68">
            <v>1137.3000000000002</v>
          </cell>
          <cell r="AE68" t="str">
            <v>20140101KUUM_473</v>
          </cell>
        </row>
        <row r="69">
          <cell r="B69" t="str">
            <v>Jan 2016</v>
          </cell>
          <cell r="C69" t="str">
            <v>LS</v>
          </cell>
          <cell r="D69" t="str">
            <v>KUUM_474</v>
          </cell>
          <cell r="E69">
            <v>5074</v>
          </cell>
          <cell r="G69">
            <v>0</v>
          </cell>
          <cell r="H69">
            <v>0</v>
          </cell>
          <cell r="N69">
            <v>88338.34</v>
          </cell>
          <cell r="O69">
            <v>0</v>
          </cell>
          <cell r="Q69">
            <v>0</v>
          </cell>
          <cell r="S69">
            <v>0</v>
          </cell>
          <cell r="U69">
            <v>0</v>
          </cell>
          <cell r="Y69">
            <v>11822.42</v>
          </cell>
          <cell r="AB69">
            <v>2942.9199999999996</v>
          </cell>
          <cell r="AE69" t="str">
            <v>20140101KUUM_474</v>
          </cell>
        </row>
        <row r="70">
          <cell r="B70" t="str">
            <v>Jan 2016</v>
          </cell>
          <cell r="C70" t="str">
            <v>LS</v>
          </cell>
          <cell r="D70" t="str">
            <v>KUUM_475</v>
          </cell>
          <cell r="E70">
            <v>506</v>
          </cell>
          <cell r="G70">
            <v>0</v>
          </cell>
          <cell r="H70">
            <v>0</v>
          </cell>
          <cell r="N70">
            <v>12376.76</v>
          </cell>
          <cell r="O70">
            <v>0</v>
          </cell>
          <cell r="Q70">
            <v>0</v>
          </cell>
          <cell r="S70">
            <v>0</v>
          </cell>
          <cell r="U70">
            <v>0</v>
          </cell>
          <cell r="Y70">
            <v>2292.1799999999998</v>
          </cell>
          <cell r="AB70">
            <v>399.74</v>
          </cell>
          <cell r="AE70" t="str">
            <v>20140101KUUM_475</v>
          </cell>
        </row>
        <row r="71">
          <cell r="B71" t="str">
            <v>Jan 2016</v>
          </cell>
          <cell r="C71" t="str">
            <v>LS</v>
          </cell>
          <cell r="D71" t="str">
            <v>KUUM_476</v>
          </cell>
          <cell r="E71">
            <v>4464</v>
          </cell>
          <cell r="G71">
            <v>0</v>
          </cell>
          <cell r="H71">
            <v>0</v>
          </cell>
          <cell r="N71">
            <v>74950.559999999998</v>
          </cell>
          <cell r="O71">
            <v>0</v>
          </cell>
          <cell r="Q71">
            <v>0</v>
          </cell>
          <cell r="S71">
            <v>0</v>
          </cell>
          <cell r="U71">
            <v>0</v>
          </cell>
          <cell r="Y71">
            <v>3571.2</v>
          </cell>
          <cell r="AB71">
            <v>1919.52</v>
          </cell>
          <cell r="AE71" t="str">
            <v>20140101KUUM_476</v>
          </cell>
        </row>
        <row r="72">
          <cell r="B72" t="str">
            <v>Jan 2016</v>
          </cell>
          <cell r="C72" t="str">
            <v>LS</v>
          </cell>
          <cell r="D72" t="str">
            <v>KUUM_477</v>
          </cell>
          <cell r="E72">
            <v>1061</v>
          </cell>
          <cell r="G72">
            <v>0</v>
          </cell>
          <cell r="H72">
            <v>0</v>
          </cell>
          <cell r="N72">
            <v>22249.17</v>
          </cell>
          <cell r="O72">
            <v>0</v>
          </cell>
          <cell r="Q72">
            <v>0</v>
          </cell>
          <cell r="S72">
            <v>0</v>
          </cell>
          <cell r="U72">
            <v>0</v>
          </cell>
          <cell r="Y72">
            <v>1198.93</v>
          </cell>
          <cell r="AB72">
            <v>360.74</v>
          </cell>
          <cell r="AE72" t="str">
            <v>20140101KUUM_477</v>
          </cell>
        </row>
        <row r="73">
          <cell r="B73" t="str">
            <v>Jan 2016</v>
          </cell>
          <cell r="C73" t="str">
            <v>LS</v>
          </cell>
          <cell r="D73" t="str">
            <v>KUUM_478</v>
          </cell>
          <cell r="E73">
            <v>1421</v>
          </cell>
          <cell r="G73">
            <v>0</v>
          </cell>
          <cell r="H73">
            <v>0</v>
          </cell>
          <cell r="N73">
            <v>38168.06</v>
          </cell>
          <cell r="O73">
            <v>0</v>
          </cell>
          <cell r="Q73">
            <v>0</v>
          </cell>
          <cell r="S73">
            <v>0</v>
          </cell>
          <cell r="U73">
            <v>0</v>
          </cell>
          <cell r="Y73">
            <v>3310.93</v>
          </cell>
          <cell r="AB73">
            <v>824.18</v>
          </cell>
          <cell r="AE73" t="str">
            <v>20140101KUUM_478</v>
          </cell>
        </row>
        <row r="74">
          <cell r="B74" t="str">
            <v>Jan 2016</v>
          </cell>
          <cell r="C74" t="str">
            <v>LS</v>
          </cell>
          <cell r="D74" t="str">
            <v>KUUM_479</v>
          </cell>
          <cell r="E74">
            <v>962</v>
          </cell>
          <cell r="G74">
            <v>0</v>
          </cell>
          <cell r="H74">
            <v>0</v>
          </cell>
          <cell r="N74">
            <v>31861.439999999999</v>
          </cell>
          <cell r="O74">
            <v>0</v>
          </cell>
          <cell r="Q74">
            <v>0</v>
          </cell>
          <cell r="S74">
            <v>0</v>
          </cell>
          <cell r="U74">
            <v>0</v>
          </cell>
          <cell r="Y74">
            <v>4357.8599999999997</v>
          </cell>
          <cell r="AB74">
            <v>759.98</v>
          </cell>
          <cell r="AE74" t="str">
            <v>20140101KUUM_479</v>
          </cell>
        </row>
        <row r="75">
          <cell r="B75" t="str">
            <v>Jan 2016</v>
          </cell>
          <cell r="C75" t="str">
            <v>LS</v>
          </cell>
          <cell r="D75" t="str">
            <v>KUUM_486</v>
          </cell>
          <cell r="E75">
            <v>0</v>
          </cell>
          <cell r="G75">
            <v>0</v>
          </cell>
          <cell r="H75">
            <v>0</v>
          </cell>
          <cell r="N75">
            <v>0</v>
          </cell>
          <cell r="O75">
            <v>0</v>
          </cell>
          <cell r="Q75">
            <v>0</v>
          </cell>
          <cell r="S75">
            <v>0</v>
          </cell>
          <cell r="U75">
            <v>0</v>
          </cell>
          <cell r="Y75">
            <v>0</v>
          </cell>
          <cell r="AB75">
            <v>0</v>
          </cell>
          <cell r="AE75" t="str">
            <v>20140101KUUM_486</v>
          </cell>
        </row>
        <row r="76">
          <cell r="B76" t="str">
            <v>Jan 2016</v>
          </cell>
          <cell r="C76" t="str">
            <v>LS</v>
          </cell>
          <cell r="D76" t="str">
            <v>KUUM_487</v>
          </cell>
          <cell r="E76">
            <v>11100</v>
          </cell>
          <cell r="G76">
            <v>0</v>
          </cell>
          <cell r="H76">
            <v>0</v>
          </cell>
          <cell r="N76">
            <v>99900</v>
          </cell>
          <cell r="O76">
            <v>0</v>
          </cell>
          <cell r="Q76">
            <v>0</v>
          </cell>
          <cell r="S76">
            <v>0</v>
          </cell>
          <cell r="U76">
            <v>0</v>
          </cell>
          <cell r="Y76">
            <v>12543</v>
          </cell>
          <cell r="AB76">
            <v>3774.0000000000005</v>
          </cell>
          <cell r="AE76" t="str">
            <v>20140101KUUM_487</v>
          </cell>
        </row>
        <row r="77">
          <cell r="B77" t="str">
            <v>Jan 2016</v>
          </cell>
          <cell r="C77" t="str">
            <v>LS</v>
          </cell>
          <cell r="D77" t="str">
            <v>KUUM_488</v>
          </cell>
          <cell r="E77">
            <v>6584</v>
          </cell>
          <cell r="G77">
            <v>0</v>
          </cell>
          <cell r="H77">
            <v>0</v>
          </cell>
          <cell r="N77">
            <v>89805.759999999995</v>
          </cell>
          <cell r="O77">
            <v>0</v>
          </cell>
          <cell r="Q77">
            <v>0</v>
          </cell>
          <cell r="S77">
            <v>0</v>
          </cell>
          <cell r="U77">
            <v>0</v>
          </cell>
          <cell r="Y77">
            <v>15340.72</v>
          </cell>
          <cell r="AB77">
            <v>3818.72</v>
          </cell>
          <cell r="AE77" t="str">
            <v>20140101KUUM_488</v>
          </cell>
        </row>
        <row r="78">
          <cell r="B78" t="str">
            <v>Jan 2016</v>
          </cell>
          <cell r="C78" t="str">
            <v>LS</v>
          </cell>
          <cell r="D78" t="str">
            <v>KUUM_489</v>
          </cell>
          <cell r="E78">
            <v>8363</v>
          </cell>
          <cell r="G78">
            <v>0</v>
          </cell>
          <cell r="H78">
            <v>0</v>
          </cell>
          <cell r="N78">
            <v>162743.98000000001</v>
          </cell>
          <cell r="O78">
            <v>0</v>
          </cell>
          <cell r="Q78">
            <v>0</v>
          </cell>
          <cell r="S78">
            <v>0</v>
          </cell>
          <cell r="U78">
            <v>0</v>
          </cell>
          <cell r="Y78">
            <v>37884.39</v>
          </cell>
          <cell r="AB78">
            <v>6606.77</v>
          </cell>
          <cell r="AE78" t="str">
            <v>20140101KUUM_489</v>
          </cell>
        </row>
        <row r="79">
          <cell r="B79" t="str">
            <v>Jan 2016</v>
          </cell>
          <cell r="C79" t="str">
            <v>LS</v>
          </cell>
          <cell r="D79" t="str">
            <v>KUUM_490</v>
          </cell>
          <cell r="E79">
            <v>58</v>
          </cell>
          <cell r="G79">
            <v>0</v>
          </cell>
          <cell r="H79">
            <v>0</v>
          </cell>
          <cell r="N79">
            <v>897.26</v>
          </cell>
          <cell r="O79">
            <v>0</v>
          </cell>
          <cell r="Q79">
            <v>0</v>
          </cell>
          <cell r="S79">
            <v>0</v>
          </cell>
          <cell r="U79">
            <v>0</v>
          </cell>
          <cell r="Y79">
            <v>114.26</v>
          </cell>
          <cell r="AB79">
            <v>38.28</v>
          </cell>
          <cell r="AE79" t="str">
            <v>20140101KUUM_490</v>
          </cell>
        </row>
        <row r="80">
          <cell r="B80" t="str">
            <v>Jan 2016</v>
          </cell>
          <cell r="C80" t="str">
            <v>LS</v>
          </cell>
          <cell r="D80" t="str">
            <v>KUUM_491</v>
          </cell>
          <cell r="E80">
            <v>301</v>
          </cell>
          <cell r="G80">
            <v>0</v>
          </cell>
          <cell r="H80">
            <v>0</v>
          </cell>
          <cell r="N80">
            <v>6600.93</v>
          </cell>
          <cell r="O80">
            <v>0</v>
          </cell>
          <cell r="Q80">
            <v>0</v>
          </cell>
          <cell r="S80">
            <v>0</v>
          </cell>
          <cell r="U80">
            <v>0</v>
          </cell>
          <cell r="Y80">
            <v>1291.29</v>
          </cell>
          <cell r="AB80">
            <v>252.84</v>
          </cell>
          <cell r="AE80" t="str">
            <v>20140101KUUM_491</v>
          </cell>
        </row>
        <row r="81">
          <cell r="B81" t="str">
            <v>Jan 2016</v>
          </cell>
          <cell r="C81" t="str">
            <v>LS</v>
          </cell>
          <cell r="D81" t="str">
            <v>KUUM_492</v>
          </cell>
          <cell r="E81">
            <v>2</v>
          </cell>
          <cell r="G81">
            <v>0</v>
          </cell>
          <cell r="H81">
            <v>0</v>
          </cell>
          <cell r="N81">
            <v>30.74</v>
          </cell>
          <cell r="O81">
            <v>0</v>
          </cell>
          <cell r="Q81">
            <v>0</v>
          </cell>
          <cell r="S81">
            <v>0</v>
          </cell>
          <cell r="U81">
            <v>0</v>
          </cell>
          <cell r="Y81">
            <v>1.6</v>
          </cell>
          <cell r="AB81">
            <v>0.86</v>
          </cell>
          <cell r="AE81" t="str">
            <v>20140101KUUM_492</v>
          </cell>
        </row>
        <row r="82">
          <cell r="B82" t="str">
            <v>Jan 2016</v>
          </cell>
          <cell r="C82" t="str">
            <v>LS</v>
          </cell>
          <cell r="D82" t="str">
            <v>KUUM_493</v>
          </cell>
          <cell r="E82">
            <v>43</v>
          </cell>
          <cell r="G82">
            <v>0</v>
          </cell>
          <cell r="H82">
            <v>0</v>
          </cell>
          <cell r="N82">
            <v>1965.1</v>
          </cell>
          <cell r="O82">
            <v>0</v>
          </cell>
          <cell r="Q82">
            <v>0</v>
          </cell>
          <cell r="S82">
            <v>0</v>
          </cell>
          <cell r="U82">
            <v>0</v>
          </cell>
          <cell r="Y82">
            <v>447.63</v>
          </cell>
          <cell r="AB82">
            <v>73.099999999999994</v>
          </cell>
          <cell r="AE82" t="str">
            <v>20140101KUUM_493</v>
          </cell>
        </row>
        <row r="83">
          <cell r="B83" t="str">
            <v>Jan 2016</v>
          </cell>
          <cell r="C83" t="str">
            <v>LS</v>
          </cell>
          <cell r="D83" t="str">
            <v>KUUM_494</v>
          </cell>
          <cell r="E83">
            <v>167</v>
          </cell>
          <cell r="G83">
            <v>0</v>
          </cell>
          <cell r="H83">
            <v>0</v>
          </cell>
          <cell r="N83">
            <v>4737.79</v>
          </cell>
          <cell r="O83">
            <v>0</v>
          </cell>
          <cell r="Q83">
            <v>0</v>
          </cell>
          <cell r="S83">
            <v>0</v>
          </cell>
          <cell r="U83">
            <v>0</v>
          </cell>
          <cell r="Y83">
            <v>328.99</v>
          </cell>
          <cell r="AB83">
            <v>110.22</v>
          </cell>
          <cell r="AE83" t="str">
            <v>20140101KUUM_494</v>
          </cell>
        </row>
        <row r="84">
          <cell r="B84" t="str">
            <v>Jan 2016</v>
          </cell>
          <cell r="C84" t="str">
            <v>LS</v>
          </cell>
          <cell r="D84" t="str">
            <v>KUUM_495</v>
          </cell>
          <cell r="E84">
            <v>617</v>
          </cell>
          <cell r="G84">
            <v>0</v>
          </cell>
          <cell r="H84">
            <v>0</v>
          </cell>
          <cell r="N84">
            <v>21490.11</v>
          </cell>
          <cell r="O84">
            <v>0</v>
          </cell>
          <cell r="Q84">
            <v>0</v>
          </cell>
          <cell r="S84">
            <v>0</v>
          </cell>
          <cell r="U84">
            <v>0</v>
          </cell>
          <cell r="Y84">
            <v>2646.93</v>
          </cell>
          <cell r="AB84">
            <v>518.28</v>
          </cell>
          <cell r="AE84" t="str">
            <v>20140101KUUM_495</v>
          </cell>
        </row>
        <row r="85">
          <cell r="B85" t="str">
            <v>Jan 2016</v>
          </cell>
          <cell r="C85" t="str">
            <v>LS</v>
          </cell>
          <cell r="D85" t="str">
            <v>KUUM_496</v>
          </cell>
          <cell r="E85">
            <v>157</v>
          </cell>
          <cell r="G85">
            <v>0</v>
          </cell>
          <cell r="H85">
            <v>0</v>
          </cell>
          <cell r="N85">
            <v>9198.6299999999992</v>
          </cell>
          <cell r="O85">
            <v>0</v>
          </cell>
          <cell r="Q85">
            <v>0</v>
          </cell>
          <cell r="S85">
            <v>0</v>
          </cell>
          <cell r="U85">
            <v>0</v>
          </cell>
          <cell r="Y85">
            <v>1634.37</v>
          </cell>
          <cell r="AB85">
            <v>266.89999999999998</v>
          </cell>
          <cell r="AE85" t="str">
            <v>20140101KUUM_496</v>
          </cell>
        </row>
        <row r="86">
          <cell r="B86" t="str">
            <v>Jan 2016</v>
          </cell>
          <cell r="C86" t="str">
            <v>LS</v>
          </cell>
          <cell r="D86" t="str">
            <v>KUUM_497</v>
          </cell>
          <cell r="E86">
            <v>8</v>
          </cell>
          <cell r="G86">
            <v>0</v>
          </cell>
          <cell r="H86">
            <v>0</v>
          </cell>
          <cell r="N86">
            <v>122.8</v>
          </cell>
          <cell r="O86">
            <v>0</v>
          </cell>
          <cell r="Q86">
            <v>0</v>
          </cell>
          <cell r="S86">
            <v>0</v>
          </cell>
          <cell r="U86">
            <v>0</v>
          </cell>
          <cell r="Y86">
            <v>9.0399999999999991</v>
          </cell>
          <cell r="AB86">
            <v>2.72</v>
          </cell>
          <cell r="AE86" t="str">
            <v>20140101KUUM_497</v>
          </cell>
        </row>
        <row r="87">
          <cell r="B87" t="str">
            <v>Jan 2016</v>
          </cell>
          <cell r="C87" t="str">
            <v>LS</v>
          </cell>
          <cell r="D87" t="str">
            <v>KUUM_498</v>
          </cell>
          <cell r="E87">
            <v>24</v>
          </cell>
          <cell r="G87">
            <v>0</v>
          </cell>
          <cell r="H87">
            <v>0</v>
          </cell>
          <cell r="N87">
            <v>425.28</v>
          </cell>
          <cell r="O87">
            <v>0</v>
          </cell>
          <cell r="Q87">
            <v>0</v>
          </cell>
          <cell r="S87">
            <v>0</v>
          </cell>
          <cell r="U87">
            <v>0</v>
          </cell>
          <cell r="Y87">
            <v>55.92</v>
          </cell>
          <cell r="AB87">
            <v>13.919999999999998</v>
          </cell>
          <cell r="AE87" t="str">
            <v>20140101KUUM_498</v>
          </cell>
        </row>
        <row r="88">
          <cell r="B88" t="str">
            <v>Jan 2016</v>
          </cell>
          <cell r="C88" t="str">
            <v>LS</v>
          </cell>
          <cell r="D88" t="str">
            <v>KUUM_499</v>
          </cell>
          <cell r="E88">
            <v>24</v>
          </cell>
          <cell r="G88">
            <v>0</v>
          </cell>
          <cell r="H88">
            <v>0</v>
          </cell>
          <cell r="N88">
            <v>515.76</v>
          </cell>
          <cell r="O88">
            <v>0</v>
          </cell>
          <cell r="Q88">
            <v>0</v>
          </cell>
          <cell r="S88">
            <v>0</v>
          </cell>
          <cell r="U88">
            <v>0</v>
          </cell>
          <cell r="Y88">
            <v>108.72</v>
          </cell>
          <cell r="AB88">
            <v>18.96</v>
          </cell>
          <cell r="AE88" t="str">
            <v>20140101KUUM_499</v>
          </cell>
        </row>
        <row r="89">
          <cell r="B89" t="str">
            <v>Jan 2016</v>
          </cell>
          <cell r="C89" t="str">
            <v>ODL</v>
          </cell>
          <cell r="D89" t="str">
            <v>ODL</v>
          </cell>
          <cell r="E89">
            <v>0</v>
          </cell>
          <cell r="G89">
            <v>12912242</v>
          </cell>
          <cell r="H89">
            <v>0</v>
          </cell>
          <cell r="N89">
            <v>0</v>
          </cell>
          <cell r="O89">
            <v>2133763</v>
          </cell>
          <cell r="Q89">
            <v>40891</v>
          </cell>
          <cell r="S89">
            <v>59289</v>
          </cell>
          <cell r="U89">
            <v>2233943</v>
          </cell>
          <cell r="Y89">
            <v>0</v>
          </cell>
          <cell r="AB89">
            <v>0</v>
          </cell>
          <cell r="AE89" t="str">
            <v>20140101ODL</v>
          </cell>
        </row>
        <row r="90">
          <cell r="B90" t="str">
            <v>Feb 2016</v>
          </cell>
          <cell r="C90" t="str">
            <v>LS</v>
          </cell>
          <cell r="D90" t="str">
            <v>KUUM_300</v>
          </cell>
          <cell r="E90">
            <v>0</v>
          </cell>
          <cell r="G90">
            <v>0</v>
          </cell>
          <cell r="H90">
            <v>0</v>
          </cell>
          <cell r="N90">
            <v>0</v>
          </cell>
          <cell r="O90">
            <v>0</v>
          </cell>
          <cell r="Q90">
            <v>0</v>
          </cell>
          <cell r="S90">
            <v>0</v>
          </cell>
          <cell r="U90">
            <v>0</v>
          </cell>
          <cell r="Y90">
            <v>0</v>
          </cell>
          <cell r="AB90">
            <v>0</v>
          </cell>
          <cell r="AE90" t="str">
            <v>20140101KUUM_300</v>
          </cell>
        </row>
        <row r="91">
          <cell r="B91" t="str">
            <v>Feb 2016</v>
          </cell>
          <cell r="C91" t="str">
            <v>LS</v>
          </cell>
          <cell r="D91" t="str">
            <v>KUUM_301</v>
          </cell>
          <cell r="E91">
            <v>0</v>
          </cell>
          <cell r="G91">
            <v>0</v>
          </cell>
          <cell r="H91">
            <v>0</v>
          </cell>
          <cell r="N91">
            <v>0</v>
          </cell>
          <cell r="O91">
            <v>0</v>
          </cell>
          <cell r="Q91">
            <v>0</v>
          </cell>
          <cell r="S91">
            <v>0</v>
          </cell>
          <cell r="U91">
            <v>0</v>
          </cell>
          <cell r="Y91">
            <v>0</v>
          </cell>
          <cell r="AB91">
            <v>0</v>
          </cell>
          <cell r="AE91" t="str">
            <v>20140101KUUM_301</v>
          </cell>
        </row>
        <row r="92">
          <cell r="B92" t="str">
            <v>Feb 2016</v>
          </cell>
          <cell r="C92" t="str">
            <v>LS</v>
          </cell>
          <cell r="D92" t="str">
            <v>KUUM_360</v>
          </cell>
          <cell r="E92">
            <v>177</v>
          </cell>
          <cell r="G92">
            <v>0</v>
          </cell>
          <cell r="H92">
            <v>0</v>
          </cell>
          <cell r="N92">
            <v>9793.41</v>
          </cell>
          <cell r="O92">
            <v>0</v>
          </cell>
          <cell r="Q92">
            <v>0</v>
          </cell>
          <cell r="S92">
            <v>0</v>
          </cell>
          <cell r="U92">
            <v>0</v>
          </cell>
          <cell r="Y92">
            <v>309.75</v>
          </cell>
          <cell r="AB92">
            <v>426.57000000000005</v>
          </cell>
          <cell r="AE92" t="str">
            <v>20140101KUUM_360</v>
          </cell>
        </row>
        <row r="93">
          <cell r="B93" t="str">
            <v>Feb 2016</v>
          </cell>
          <cell r="C93" t="str">
            <v>LS</v>
          </cell>
          <cell r="D93" t="str">
            <v>KUUM_361</v>
          </cell>
          <cell r="E93">
            <v>25</v>
          </cell>
          <cell r="G93">
            <v>0</v>
          </cell>
          <cell r="H93">
            <v>0</v>
          </cell>
          <cell r="N93">
            <v>2079</v>
          </cell>
          <cell r="O93">
            <v>0</v>
          </cell>
          <cell r="Q93">
            <v>0</v>
          </cell>
          <cell r="S93">
            <v>0</v>
          </cell>
          <cell r="U93">
            <v>0</v>
          </cell>
          <cell r="Y93">
            <v>43.75</v>
          </cell>
          <cell r="AB93">
            <v>60.25</v>
          </cell>
          <cell r="AE93" t="str">
            <v>20140101KUUM_361</v>
          </cell>
        </row>
        <row r="94">
          <cell r="B94" t="str">
            <v>Feb 2016</v>
          </cell>
          <cell r="C94" t="str">
            <v>LS</v>
          </cell>
          <cell r="D94" t="str">
            <v>KUUM_362</v>
          </cell>
          <cell r="E94">
            <v>43</v>
          </cell>
          <cell r="G94">
            <v>0</v>
          </cell>
          <cell r="H94">
            <v>0</v>
          </cell>
          <cell r="N94">
            <v>2570.54</v>
          </cell>
          <cell r="O94">
            <v>0</v>
          </cell>
          <cell r="Q94">
            <v>0</v>
          </cell>
          <cell r="S94">
            <v>0</v>
          </cell>
          <cell r="U94">
            <v>0</v>
          </cell>
          <cell r="Y94">
            <v>75.25</v>
          </cell>
          <cell r="AB94">
            <v>103.63000000000001</v>
          </cell>
          <cell r="AE94" t="str">
            <v>20140101KUUM_362</v>
          </cell>
        </row>
        <row r="95">
          <cell r="B95" t="str">
            <v>Feb 2016</v>
          </cell>
          <cell r="C95" t="str">
            <v>LS</v>
          </cell>
          <cell r="D95" t="str">
            <v>KUUM_363</v>
          </cell>
          <cell r="E95">
            <v>5</v>
          </cell>
          <cell r="G95">
            <v>0</v>
          </cell>
          <cell r="H95">
            <v>0</v>
          </cell>
          <cell r="N95">
            <v>308.75</v>
          </cell>
          <cell r="O95">
            <v>0</v>
          </cell>
          <cell r="Q95">
            <v>0</v>
          </cell>
          <cell r="S95">
            <v>0</v>
          </cell>
          <cell r="U95">
            <v>0</v>
          </cell>
          <cell r="Y95">
            <v>8.75</v>
          </cell>
          <cell r="AB95">
            <v>12.05</v>
          </cell>
          <cell r="AE95" t="str">
            <v>20140101KUUM_363</v>
          </cell>
        </row>
        <row r="96">
          <cell r="B96" t="str">
            <v>Feb 2016</v>
          </cell>
          <cell r="C96" t="str">
            <v>LS</v>
          </cell>
          <cell r="D96" t="str">
            <v>KUUM_364</v>
          </cell>
          <cell r="E96">
            <v>1</v>
          </cell>
          <cell r="G96">
            <v>0</v>
          </cell>
          <cell r="H96">
            <v>0</v>
          </cell>
          <cell r="N96">
            <v>63.11</v>
          </cell>
          <cell r="O96">
            <v>0</v>
          </cell>
          <cell r="Q96">
            <v>0</v>
          </cell>
          <cell r="S96">
            <v>0</v>
          </cell>
          <cell r="U96">
            <v>0</v>
          </cell>
          <cell r="Y96">
            <v>1.75</v>
          </cell>
          <cell r="AB96">
            <v>2.41</v>
          </cell>
          <cell r="AE96" t="str">
            <v>20140101KUUM_364</v>
          </cell>
        </row>
        <row r="97">
          <cell r="B97" t="str">
            <v>Feb 2016</v>
          </cell>
          <cell r="C97" t="str">
            <v>LS</v>
          </cell>
          <cell r="D97" t="str">
            <v>KUUM_365</v>
          </cell>
          <cell r="E97">
            <v>5</v>
          </cell>
          <cell r="G97">
            <v>0</v>
          </cell>
          <cell r="H97">
            <v>0</v>
          </cell>
          <cell r="N97">
            <v>404.7</v>
          </cell>
          <cell r="O97">
            <v>0</v>
          </cell>
          <cell r="Q97">
            <v>0</v>
          </cell>
          <cell r="S97">
            <v>0</v>
          </cell>
          <cell r="U97">
            <v>0</v>
          </cell>
          <cell r="Y97">
            <v>8.75</v>
          </cell>
          <cell r="AB97">
            <v>12.05</v>
          </cell>
          <cell r="AE97" t="str">
            <v>20140101KUUM_365</v>
          </cell>
        </row>
        <row r="98">
          <cell r="B98" t="str">
            <v>Feb 2016</v>
          </cell>
          <cell r="C98" t="str">
            <v>LS</v>
          </cell>
          <cell r="D98" t="str">
            <v>KUUM_366</v>
          </cell>
          <cell r="E98">
            <v>9</v>
          </cell>
          <cell r="G98">
            <v>0</v>
          </cell>
          <cell r="H98">
            <v>0</v>
          </cell>
          <cell r="N98">
            <v>710.73</v>
          </cell>
          <cell r="O98">
            <v>0</v>
          </cell>
          <cell r="Q98">
            <v>0</v>
          </cell>
          <cell r="S98">
            <v>0</v>
          </cell>
          <cell r="U98">
            <v>0</v>
          </cell>
          <cell r="Y98">
            <v>15.75</v>
          </cell>
          <cell r="AB98">
            <v>21.69</v>
          </cell>
          <cell r="AE98" t="str">
            <v>20140101KUUM_366</v>
          </cell>
        </row>
        <row r="99">
          <cell r="B99" t="str">
            <v>Feb 2016</v>
          </cell>
          <cell r="C99" t="str">
            <v>LS</v>
          </cell>
          <cell r="D99" t="str">
            <v>KUUM_367</v>
          </cell>
          <cell r="E99">
            <v>25</v>
          </cell>
          <cell r="G99">
            <v>0</v>
          </cell>
          <cell r="H99">
            <v>0</v>
          </cell>
          <cell r="N99">
            <v>1530.75</v>
          </cell>
          <cell r="O99">
            <v>0</v>
          </cell>
          <cell r="Q99">
            <v>0</v>
          </cell>
          <cell r="S99">
            <v>0</v>
          </cell>
          <cell r="U99">
            <v>0</v>
          </cell>
          <cell r="Y99">
            <v>43.75</v>
          </cell>
          <cell r="AB99">
            <v>60.25</v>
          </cell>
          <cell r="AE99" t="str">
            <v>20140101KUUM_367</v>
          </cell>
        </row>
        <row r="100">
          <cell r="B100" t="str">
            <v>Feb 2016</v>
          </cell>
          <cell r="C100" t="str">
            <v>LS</v>
          </cell>
          <cell r="D100" t="str">
            <v>KUUM_368</v>
          </cell>
          <cell r="E100">
            <v>1</v>
          </cell>
          <cell r="G100">
            <v>0</v>
          </cell>
          <cell r="H100">
            <v>0</v>
          </cell>
          <cell r="N100">
            <v>56.69</v>
          </cell>
          <cell r="O100">
            <v>0</v>
          </cell>
          <cell r="Q100">
            <v>0</v>
          </cell>
          <cell r="S100">
            <v>0</v>
          </cell>
          <cell r="U100">
            <v>0</v>
          </cell>
          <cell r="Y100">
            <v>1.75</v>
          </cell>
          <cell r="AB100">
            <v>2.41</v>
          </cell>
          <cell r="AE100" t="str">
            <v>20140101KUUM_368</v>
          </cell>
        </row>
        <row r="101">
          <cell r="B101" t="str">
            <v>Feb 2016</v>
          </cell>
          <cell r="C101" t="str">
            <v>LS</v>
          </cell>
          <cell r="D101" t="str">
            <v>KUUM_370</v>
          </cell>
          <cell r="E101">
            <v>15</v>
          </cell>
          <cell r="G101">
            <v>0</v>
          </cell>
          <cell r="H101">
            <v>0</v>
          </cell>
          <cell r="N101">
            <v>1117.8</v>
          </cell>
          <cell r="O101">
            <v>0</v>
          </cell>
          <cell r="Q101">
            <v>0</v>
          </cell>
          <cell r="S101">
            <v>0</v>
          </cell>
          <cell r="U101">
            <v>0</v>
          </cell>
          <cell r="Y101">
            <v>26.25</v>
          </cell>
          <cell r="AB101">
            <v>36.150000000000006</v>
          </cell>
          <cell r="AE101" t="str">
            <v>20140101KUUM_370</v>
          </cell>
        </row>
        <row r="102">
          <cell r="B102" t="str">
            <v>Feb 2016</v>
          </cell>
          <cell r="C102" t="str">
            <v>LS</v>
          </cell>
          <cell r="D102" t="str">
            <v>KUUM_372</v>
          </cell>
          <cell r="E102">
            <v>1</v>
          </cell>
          <cell r="G102">
            <v>0</v>
          </cell>
          <cell r="H102">
            <v>0</v>
          </cell>
          <cell r="N102">
            <v>82.3</v>
          </cell>
          <cell r="O102">
            <v>0</v>
          </cell>
          <cell r="Q102">
            <v>0</v>
          </cell>
          <cell r="S102">
            <v>0</v>
          </cell>
          <cell r="U102">
            <v>0</v>
          </cell>
          <cell r="Y102">
            <v>1.75</v>
          </cell>
          <cell r="AB102">
            <v>2.41</v>
          </cell>
          <cell r="AE102" t="str">
            <v>20140101KUUM_372</v>
          </cell>
        </row>
        <row r="103">
          <cell r="B103" t="str">
            <v>Feb 2016</v>
          </cell>
          <cell r="C103" t="str">
            <v>LS</v>
          </cell>
          <cell r="D103" t="str">
            <v>KUUM_373</v>
          </cell>
          <cell r="E103">
            <v>20</v>
          </cell>
          <cell r="G103">
            <v>0</v>
          </cell>
          <cell r="H103">
            <v>0</v>
          </cell>
          <cell r="N103">
            <v>1490.4</v>
          </cell>
          <cell r="O103">
            <v>0</v>
          </cell>
          <cell r="Q103">
            <v>0</v>
          </cell>
          <cell r="S103">
            <v>0</v>
          </cell>
          <cell r="U103">
            <v>0</v>
          </cell>
          <cell r="Y103">
            <v>35</v>
          </cell>
          <cell r="AB103">
            <v>48.2</v>
          </cell>
          <cell r="AE103" t="str">
            <v>20140101KUUM_373</v>
          </cell>
        </row>
        <row r="104">
          <cell r="B104" t="str">
            <v>Feb 2016</v>
          </cell>
          <cell r="C104" t="str">
            <v>LS</v>
          </cell>
          <cell r="D104" t="str">
            <v>KUUM_374</v>
          </cell>
          <cell r="E104">
            <v>4</v>
          </cell>
          <cell r="G104">
            <v>0</v>
          </cell>
          <cell r="H104">
            <v>0</v>
          </cell>
          <cell r="N104">
            <v>303.52</v>
          </cell>
          <cell r="O104">
            <v>0</v>
          </cell>
          <cell r="Q104">
            <v>0</v>
          </cell>
          <cell r="S104">
            <v>0</v>
          </cell>
          <cell r="U104">
            <v>0</v>
          </cell>
          <cell r="Y104">
            <v>7</v>
          </cell>
          <cell r="AB104">
            <v>9.64</v>
          </cell>
          <cell r="AE104" t="str">
            <v>20140101KUUM_374</v>
          </cell>
        </row>
        <row r="105">
          <cell r="B105" t="str">
            <v>Feb 2016</v>
          </cell>
          <cell r="C105" t="str">
            <v>LS</v>
          </cell>
          <cell r="D105" t="str">
            <v>KUUM_375</v>
          </cell>
          <cell r="E105">
            <v>3</v>
          </cell>
          <cell r="G105">
            <v>0</v>
          </cell>
          <cell r="H105">
            <v>0</v>
          </cell>
          <cell r="N105">
            <v>236.91</v>
          </cell>
          <cell r="O105">
            <v>0</v>
          </cell>
          <cell r="Q105">
            <v>0</v>
          </cell>
          <cell r="S105">
            <v>0</v>
          </cell>
          <cell r="U105">
            <v>0</v>
          </cell>
          <cell r="Y105">
            <v>5.25</v>
          </cell>
          <cell r="AB105">
            <v>7.23</v>
          </cell>
          <cell r="AE105" t="str">
            <v>20140101KUUM_375</v>
          </cell>
        </row>
        <row r="106">
          <cell r="B106" t="str">
            <v>Feb 2016</v>
          </cell>
          <cell r="C106" t="str">
            <v>LS</v>
          </cell>
          <cell r="D106" t="str">
            <v>KUUM_376</v>
          </cell>
          <cell r="E106">
            <v>2</v>
          </cell>
          <cell r="G106">
            <v>0</v>
          </cell>
          <cell r="H106">
            <v>0</v>
          </cell>
          <cell r="N106">
            <v>154.52000000000001</v>
          </cell>
          <cell r="O106">
            <v>0</v>
          </cell>
          <cell r="Q106">
            <v>0</v>
          </cell>
          <cell r="S106">
            <v>0</v>
          </cell>
          <cell r="U106">
            <v>0</v>
          </cell>
          <cell r="Y106">
            <v>3.5</v>
          </cell>
          <cell r="AB106">
            <v>4.82</v>
          </cell>
          <cell r="AE106" t="str">
            <v>20140101KUUM_376</v>
          </cell>
        </row>
        <row r="107">
          <cell r="B107" t="str">
            <v>Feb 2016</v>
          </cell>
          <cell r="C107" t="str">
            <v>LS</v>
          </cell>
          <cell r="D107" t="str">
            <v>KUUM_377</v>
          </cell>
          <cell r="E107">
            <v>51</v>
          </cell>
          <cell r="G107">
            <v>0</v>
          </cell>
          <cell r="H107">
            <v>0</v>
          </cell>
          <cell r="N107">
            <v>3273.69</v>
          </cell>
          <cell r="O107">
            <v>0</v>
          </cell>
          <cell r="Q107">
            <v>0</v>
          </cell>
          <cell r="S107">
            <v>0</v>
          </cell>
          <cell r="U107">
            <v>0</v>
          </cell>
          <cell r="Y107">
            <v>89.25</v>
          </cell>
          <cell r="AB107">
            <v>122.91000000000001</v>
          </cell>
          <cell r="AE107" t="str">
            <v>20140101KUUM_377</v>
          </cell>
        </row>
        <row r="108">
          <cell r="B108" t="str">
            <v>Feb 2016</v>
          </cell>
          <cell r="C108" t="str">
            <v>LS</v>
          </cell>
          <cell r="D108" t="str">
            <v>KUUM_378</v>
          </cell>
          <cell r="E108">
            <v>2</v>
          </cell>
          <cell r="G108">
            <v>0</v>
          </cell>
          <cell r="H108">
            <v>0</v>
          </cell>
          <cell r="N108">
            <v>151.80000000000001</v>
          </cell>
          <cell r="O108">
            <v>0</v>
          </cell>
          <cell r="Q108">
            <v>0</v>
          </cell>
          <cell r="S108">
            <v>0</v>
          </cell>
          <cell r="U108">
            <v>0</v>
          </cell>
          <cell r="Y108">
            <v>3.5</v>
          </cell>
          <cell r="AB108">
            <v>4.82</v>
          </cell>
          <cell r="AE108" t="str">
            <v>20140101KUUM_378</v>
          </cell>
        </row>
        <row r="109">
          <cell r="B109" t="str">
            <v>Feb 2016</v>
          </cell>
          <cell r="C109" t="str">
            <v>LS</v>
          </cell>
          <cell r="D109" t="str">
            <v>KUUM_401</v>
          </cell>
          <cell r="E109">
            <v>52</v>
          </cell>
          <cell r="G109">
            <v>0</v>
          </cell>
          <cell r="H109">
            <v>0</v>
          </cell>
          <cell r="N109">
            <v>772.72</v>
          </cell>
          <cell r="O109">
            <v>0</v>
          </cell>
          <cell r="Q109">
            <v>0</v>
          </cell>
          <cell r="S109">
            <v>0</v>
          </cell>
          <cell r="U109">
            <v>0</v>
          </cell>
          <cell r="Y109">
            <v>41.6</v>
          </cell>
          <cell r="AB109">
            <v>22.36</v>
          </cell>
          <cell r="AE109" t="str">
            <v>20140101KUUM_401</v>
          </cell>
        </row>
        <row r="110">
          <cell r="B110" t="str">
            <v>Feb 2016</v>
          </cell>
          <cell r="C110" t="str">
            <v>RLS</v>
          </cell>
          <cell r="D110" t="str">
            <v>KUUM_404</v>
          </cell>
          <cell r="E110">
            <v>7337</v>
          </cell>
          <cell r="G110">
            <v>0</v>
          </cell>
          <cell r="H110">
            <v>0</v>
          </cell>
          <cell r="N110">
            <v>77552.09</v>
          </cell>
          <cell r="O110">
            <v>0</v>
          </cell>
          <cell r="Q110">
            <v>0</v>
          </cell>
          <cell r="S110">
            <v>0</v>
          </cell>
          <cell r="U110">
            <v>0</v>
          </cell>
          <cell r="Y110">
            <v>14600.63</v>
          </cell>
          <cell r="AB110">
            <v>2861.4300000000003</v>
          </cell>
          <cell r="AE110" t="str">
            <v>20140101KUUM_404</v>
          </cell>
        </row>
        <row r="111">
          <cell r="B111" t="str">
            <v>Feb 2016</v>
          </cell>
          <cell r="C111" t="str">
            <v>RLS</v>
          </cell>
          <cell r="D111" t="str">
            <v>KUUM_405</v>
          </cell>
          <cell r="E111">
            <v>0</v>
          </cell>
          <cell r="G111">
            <v>0</v>
          </cell>
          <cell r="H111">
            <v>0</v>
          </cell>
          <cell r="N111">
            <v>0</v>
          </cell>
          <cell r="O111">
            <v>0</v>
          </cell>
          <cell r="Q111">
            <v>0</v>
          </cell>
          <cell r="S111">
            <v>0</v>
          </cell>
          <cell r="U111">
            <v>0</v>
          </cell>
          <cell r="Y111">
            <v>0</v>
          </cell>
          <cell r="AB111">
            <v>0</v>
          </cell>
          <cell r="AE111" t="str">
            <v>20140101KUUM_405</v>
          </cell>
        </row>
        <row r="112">
          <cell r="B112" t="str">
            <v>Feb 2016</v>
          </cell>
          <cell r="C112" t="str">
            <v>LS</v>
          </cell>
          <cell r="D112" t="str">
            <v>KUUM_407</v>
          </cell>
          <cell r="E112">
            <v>0</v>
          </cell>
          <cell r="G112">
            <v>0</v>
          </cell>
          <cell r="H112">
            <v>0</v>
          </cell>
          <cell r="N112">
            <v>0</v>
          </cell>
          <cell r="O112">
            <v>0</v>
          </cell>
          <cell r="Q112">
            <v>0</v>
          </cell>
          <cell r="S112">
            <v>0</v>
          </cell>
          <cell r="U112">
            <v>0</v>
          </cell>
          <cell r="Y112">
            <v>0</v>
          </cell>
          <cell r="AB112">
            <v>0</v>
          </cell>
          <cell r="AE112" t="str">
            <v>20140101KUUM_407</v>
          </cell>
        </row>
        <row r="113">
          <cell r="B113" t="str">
            <v>Feb 2016</v>
          </cell>
          <cell r="C113" t="str">
            <v>RLS</v>
          </cell>
          <cell r="D113" t="str">
            <v>KUUM_409</v>
          </cell>
          <cell r="E113">
            <v>136</v>
          </cell>
          <cell r="G113">
            <v>0</v>
          </cell>
          <cell r="H113">
            <v>0</v>
          </cell>
          <cell r="N113">
            <v>1592.56</v>
          </cell>
          <cell r="O113">
            <v>0</v>
          </cell>
          <cell r="Q113">
            <v>0</v>
          </cell>
          <cell r="S113">
            <v>0</v>
          </cell>
          <cell r="U113">
            <v>0</v>
          </cell>
          <cell r="Y113">
            <v>616.08000000000004</v>
          </cell>
          <cell r="AB113">
            <v>107.44</v>
          </cell>
          <cell r="AE113" t="str">
            <v>20140101KUUM_409</v>
          </cell>
        </row>
        <row r="114">
          <cell r="B114" t="str">
            <v>Feb 2016</v>
          </cell>
          <cell r="C114" t="str">
            <v>RLS</v>
          </cell>
          <cell r="D114" t="str">
            <v>KUUM_410</v>
          </cell>
          <cell r="E114">
            <v>239</v>
          </cell>
          <cell r="G114">
            <v>0</v>
          </cell>
          <cell r="H114">
            <v>0</v>
          </cell>
          <cell r="N114">
            <v>4842.1400000000003</v>
          </cell>
          <cell r="O114">
            <v>0</v>
          </cell>
          <cell r="Q114">
            <v>0</v>
          </cell>
          <cell r="S114">
            <v>0</v>
          </cell>
          <cell r="U114">
            <v>0</v>
          </cell>
          <cell r="Y114">
            <v>136.22999999999999</v>
          </cell>
          <cell r="AB114">
            <v>78.87</v>
          </cell>
          <cell r="AE114" t="str">
            <v>20140101KUUM_410</v>
          </cell>
        </row>
        <row r="115">
          <cell r="B115" t="str">
            <v>Feb 2016</v>
          </cell>
          <cell r="C115" t="str">
            <v>LS</v>
          </cell>
          <cell r="D115" t="str">
            <v>KUUM_411</v>
          </cell>
          <cell r="E115">
            <v>144</v>
          </cell>
          <cell r="G115">
            <v>0</v>
          </cell>
          <cell r="H115">
            <v>0</v>
          </cell>
          <cell r="N115">
            <v>3078.72</v>
          </cell>
          <cell r="O115">
            <v>0</v>
          </cell>
          <cell r="Q115">
            <v>0</v>
          </cell>
          <cell r="S115">
            <v>0</v>
          </cell>
          <cell r="U115">
            <v>0</v>
          </cell>
          <cell r="Y115">
            <v>115.2</v>
          </cell>
          <cell r="AB115">
            <v>61.92</v>
          </cell>
          <cell r="AE115" t="str">
            <v>20140101KUUM_411</v>
          </cell>
        </row>
        <row r="116">
          <cell r="B116" t="str">
            <v>Feb 2016</v>
          </cell>
          <cell r="C116" t="str">
            <v>RLS</v>
          </cell>
          <cell r="D116" t="str">
            <v>KUUM_412</v>
          </cell>
          <cell r="E116">
            <v>28</v>
          </cell>
          <cell r="G116">
            <v>0</v>
          </cell>
          <cell r="H116">
            <v>0</v>
          </cell>
          <cell r="N116">
            <v>863.52</v>
          </cell>
          <cell r="O116">
            <v>0</v>
          </cell>
          <cell r="Q116">
            <v>0</v>
          </cell>
          <cell r="S116">
            <v>0</v>
          </cell>
          <cell r="U116">
            <v>0</v>
          </cell>
          <cell r="Y116">
            <v>22.4</v>
          </cell>
          <cell r="AB116">
            <v>12.04</v>
          </cell>
          <cell r="AE116" t="str">
            <v>20140101KUUM_412</v>
          </cell>
        </row>
        <row r="117">
          <cell r="B117" t="str">
            <v>Feb 2016</v>
          </cell>
          <cell r="C117" t="str">
            <v>RLS</v>
          </cell>
          <cell r="D117" t="str">
            <v>KUUM_413</v>
          </cell>
          <cell r="E117">
            <v>96</v>
          </cell>
          <cell r="G117">
            <v>0</v>
          </cell>
          <cell r="H117">
            <v>0</v>
          </cell>
          <cell r="N117">
            <v>2997.12</v>
          </cell>
          <cell r="O117">
            <v>0</v>
          </cell>
          <cell r="Q117">
            <v>0</v>
          </cell>
          <cell r="S117">
            <v>0</v>
          </cell>
          <cell r="U117">
            <v>0</v>
          </cell>
          <cell r="Y117">
            <v>108.48</v>
          </cell>
          <cell r="AB117">
            <v>32.64</v>
          </cell>
          <cell r="AE117" t="str">
            <v>20140101KUUM_413</v>
          </cell>
        </row>
        <row r="118">
          <cell r="B118" t="str">
            <v>Feb 2016</v>
          </cell>
          <cell r="C118" t="str">
            <v>LS</v>
          </cell>
          <cell r="D118" t="str">
            <v>KUUM_414</v>
          </cell>
          <cell r="E118">
            <v>21</v>
          </cell>
          <cell r="G118">
            <v>0</v>
          </cell>
          <cell r="H118">
            <v>0</v>
          </cell>
          <cell r="N118">
            <v>647.64</v>
          </cell>
          <cell r="O118">
            <v>0</v>
          </cell>
          <cell r="Q118">
            <v>0</v>
          </cell>
          <cell r="S118">
            <v>0</v>
          </cell>
          <cell r="U118">
            <v>0</v>
          </cell>
          <cell r="Y118">
            <v>16.8</v>
          </cell>
          <cell r="AB118">
            <v>9.0299999999999994</v>
          </cell>
          <cell r="AE118" t="str">
            <v>20140101KUUM_414</v>
          </cell>
        </row>
        <row r="119">
          <cell r="B119" t="str">
            <v>Feb 2016</v>
          </cell>
          <cell r="C119" t="str">
            <v>LS</v>
          </cell>
          <cell r="D119" t="str">
            <v>KUUM_415</v>
          </cell>
          <cell r="E119">
            <v>10</v>
          </cell>
          <cell r="G119">
            <v>0</v>
          </cell>
          <cell r="H119">
            <v>0</v>
          </cell>
          <cell r="N119">
            <v>312.2</v>
          </cell>
          <cell r="O119">
            <v>0</v>
          </cell>
          <cell r="Q119">
            <v>0</v>
          </cell>
          <cell r="S119">
            <v>0</v>
          </cell>
          <cell r="U119">
            <v>0</v>
          </cell>
          <cell r="Y119">
            <v>11.3</v>
          </cell>
          <cell r="AB119">
            <v>3.4000000000000004</v>
          </cell>
          <cell r="AE119" t="str">
            <v>20140101KUUM_415</v>
          </cell>
        </row>
        <row r="120">
          <cell r="B120" t="str">
            <v>Feb 2016</v>
          </cell>
          <cell r="C120" t="str">
            <v>LS</v>
          </cell>
          <cell r="D120" t="str">
            <v>KUUM_420</v>
          </cell>
          <cell r="E120">
            <v>462</v>
          </cell>
          <cell r="G120">
            <v>0</v>
          </cell>
          <cell r="H120">
            <v>0</v>
          </cell>
          <cell r="N120">
            <v>7096.32</v>
          </cell>
          <cell r="O120">
            <v>0</v>
          </cell>
          <cell r="Q120">
            <v>0</v>
          </cell>
          <cell r="S120">
            <v>0</v>
          </cell>
          <cell r="U120">
            <v>0</v>
          </cell>
          <cell r="Y120">
            <v>522.05999999999995</v>
          </cell>
          <cell r="AB120">
            <v>157.08000000000001</v>
          </cell>
          <cell r="AE120" t="str">
            <v>20140101KUUM_420</v>
          </cell>
        </row>
        <row r="121">
          <cell r="B121" t="str">
            <v>Feb 2016</v>
          </cell>
          <cell r="C121" t="str">
            <v>RLS</v>
          </cell>
          <cell r="D121" t="str">
            <v>KUUM_421</v>
          </cell>
          <cell r="E121">
            <v>5</v>
          </cell>
          <cell r="G121">
            <v>0</v>
          </cell>
          <cell r="H121">
            <v>0</v>
          </cell>
          <cell r="N121">
            <v>16.95</v>
          </cell>
          <cell r="O121">
            <v>0</v>
          </cell>
          <cell r="Q121">
            <v>0</v>
          </cell>
          <cell r="S121">
            <v>0</v>
          </cell>
          <cell r="U121">
            <v>0</v>
          </cell>
          <cell r="Y121">
            <v>4.95</v>
          </cell>
          <cell r="AB121">
            <v>0.6</v>
          </cell>
          <cell r="AE121" t="str">
            <v>20140101KUUM_421</v>
          </cell>
        </row>
        <row r="122">
          <cell r="B122" t="str">
            <v>Feb 2016</v>
          </cell>
          <cell r="C122" t="str">
            <v>RLS</v>
          </cell>
          <cell r="D122" t="str">
            <v>KUUM_422</v>
          </cell>
          <cell r="E122">
            <v>686</v>
          </cell>
          <cell r="G122">
            <v>0</v>
          </cell>
          <cell r="H122">
            <v>0</v>
          </cell>
          <cell r="N122">
            <v>3114.44</v>
          </cell>
          <cell r="O122">
            <v>0</v>
          </cell>
          <cell r="Q122">
            <v>0</v>
          </cell>
          <cell r="S122">
            <v>0</v>
          </cell>
          <cell r="U122">
            <v>0</v>
          </cell>
          <cell r="Y122">
            <v>1330.84</v>
          </cell>
          <cell r="AB122">
            <v>109.76</v>
          </cell>
          <cell r="AE122" t="str">
            <v>20140101KUUM_422</v>
          </cell>
        </row>
        <row r="123">
          <cell r="B123" t="str">
            <v>Feb 2016</v>
          </cell>
          <cell r="C123" t="str">
            <v>RLS</v>
          </cell>
          <cell r="D123" t="str">
            <v>KUUM_424</v>
          </cell>
          <cell r="E123">
            <v>87</v>
          </cell>
          <cell r="G123">
            <v>0</v>
          </cell>
          <cell r="H123">
            <v>0</v>
          </cell>
          <cell r="N123">
            <v>589.86</v>
          </cell>
          <cell r="O123">
            <v>0</v>
          </cell>
          <cell r="Q123">
            <v>0</v>
          </cell>
          <cell r="S123">
            <v>0</v>
          </cell>
          <cell r="U123">
            <v>0</v>
          </cell>
          <cell r="Y123">
            <v>60.9</v>
          </cell>
          <cell r="AB123">
            <v>20.88</v>
          </cell>
          <cell r="AE123" t="str">
            <v>20140101KUUM_424</v>
          </cell>
        </row>
        <row r="124">
          <cell r="B124" t="str">
            <v>Feb 2016</v>
          </cell>
          <cell r="C124" t="str">
            <v>RLS</v>
          </cell>
          <cell r="D124" t="str">
            <v>KUUM_425</v>
          </cell>
          <cell r="E124">
            <v>2</v>
          </cell>
          <cell r="G124">
            <v>0</v>
          </cell>
          <cell r="H124">
            <v>0</v>
          </cell>
          <cell r="N124">
            <v>18.12</v>
          </cell>
          <cell r="O124">
            <v>0</v>
          </cell>
          <cell r="Q124">
            <v>0</v>
          </cell>
          <cell r="S124">
            <v>0</v>
          </cell>
          <cell r="U124">
            <v>0</v>
          </cell>
          <cell r="Y124">
            <v>8.6</v>
          </cell>
          <cell r="AB124">
            <v>0.66</v>
          </cell>
          <cell r="AE124" t="str">
            <v>20140101KUUM_425</v>
          </cell>
        </row>
        <row r="125">
          <cell r="B125" t="str">
            <v>Feb 2016</v>
          </cell>
          <cell r="C125" t="str">
            <v>RLS</v>
          </cell>
          <cell r="D125" t="str">
            <v>KUUM_426</v>
          </cell>
          <cell r="E125">
            <v>171</v>
          </cell>
          <cell r="G125">
            <v>0</v>
          </cell>
          <cell r="H125">
            <v>0</v>
          </cell>
          <cell r="N125">
            <v>1272.24</v>
          </cell>
          <cell r="O125">
            <v>0</v>
          </cell>
          <cell r="Q125">
            <v>0</v>
          </cell>
          <cell r="S125">
            <v>0</v>
          </cell>
          <cell r="U125">
            <v>0</v>
          </cell>
          <cell r="Y125">
            <v>136.80000000000001</v>
          </cell>
          <cell r="AB125">
            <v>73.53</v>
          </cell>
          <cell r="AE125" t="str">
            <v>20140101KUUM_426</v>
          </cell>
        </row>
        <row r="126">
          <cell r="B126" t="str">
            <v>Feb 2016</v>
          </cell>
          <cell r="C126" t="str">
            <v>LS</v>
          </cell>
          <cell r="D126" t="str">
            <v>KUUM_428</v>
          </cell>
          <cell r="E126">
            <v>36624</v>
          </cell>
          <cell r="G126">
            <v>0</v>
          </cell>
          <cell r="H126">
            <v>0</v>
          </cell>
          <cell r="N126">
            <v>287132.15999999997</v>
          </cell>
          <cell r="O126">
            <v>0</v>
          </cell>
          <cell r="Q126">
            <v>0</v>
          </cell>
          <cell r="S126">
            <v>0</v>
          </cell>
          <cell r="U126">
            <v>0</v>
          </cell>
          <cell r="Y126">
            <v>41385.120000000003</v>
          </cell>
          <cell r="AB126">
            <v>12452.160000000002</v>
          </cell>
          <cell r="AE126" t="str">
            <v>20140101KUUM_428</v>
          </cell>
        </row>
        <row r="127">
          <cell r="B127" t="str">
            <v>Feb 2016</v>
          </cell>
          <cell r="C127" t="str">
            <v>LS</v>
          </cell>
          <cell r="D127" t="str">
            <v>KUUM_429</v>
          </cell>
          <cell r="E127">
            <v>0</v>
          </cell>
          <cell r="G127">
            <v>0</v>
          </cell>
          <cell r="H127">
            <v>0</v>
          </cell>
          <cell r="N127">
            <v>0</v>
          </cell>
          <cell r="O127">
            <v>0</v>
          </cell>
          <cell r="Q127">
            <v>0</v>
          </cell>
          <cell r="S127">
            <v>0</v>
          </cell>
          <cell r="U127">
            <v>0</v>
          </cell>
          <cell r="Y127">
            <v>0</v>
          </cell>
          <cell r="AB127">
            <v>0</v>
          </cell>
          <cell r="AE127" t="str">
            <v>20140101KUUM_429</v>
          </cell>
        </row>
        <row r="128">
          <cell r="B128" t="str">
            <v>Feb 2016</v>
          </cell>
          <cell r="C128" t="str">
            <v>LS</v>
          </cell>
          <cell r="D128" t="str">
            <v>KUUM_430</v>
          </cell>
          <cell r="E128">
            <v>1149</v>
          </cell>
          <cell r="G128">
            <v>0</v>
          </cell>
          <cell r="H128">
            <v>0</v>
          </cell>
          <cell r="N128">
            <v>25278</v>
          </cell>
          <cell r="O128">
            <v>0</v>
          </cell>
          <cell r="Q128">
            <v>0</v>
          </cell>
          <cell r="S128">
            <v>0</v>
          </cell>
          <cell r="U128">
            <v>0</v>
          </cell>
          <cell r="Y128">
            <v>1298.3699999999999</v>
          </cell>
          <cell r="AB128">
            <v>390.66</v>
          </cell>
          <cell r="AE128" t="str">
            <v>20140101KUUM_430</v>
          </cell>
        </row>
        <row r="129">
          <cell r="B129" t="str">
            <v>Feb 2016</v>
          </cell>
          <cell r="C129" t="str">
            <v>RLS</v>
          </cell>
          <cell r="D129" t="str">
            <v>KUUM_434</v>
          </cell>
          <cell r="E129">
            <v>6</v>
          </cell>
          <cell r="G129">
            <v>0</v>
          </cell>
          <cell r="H129">
            <v>0</v>
          </cell>
          <cell r="N129">
            <v>46.44</v>
          </cell>
          <cell r="O129">
            <v>0</v>
          </cell>
          <cell r="Q129">
            <v>0</v>
          </cell>
          <cell r="S129">
            <v>0</v>
          </cell>
          <cell r="U129">
            <v>0</v>
          </cell>
          <cell r="Y129">
            <v>4.2</v>
          </cell>
          <cell r="AB129">
            <v>1.44</v>
          </cell>
          <cell r="AE129" t="str">
            <v>20140101KUUM_434</v>
          </cell>
        </row>
        <row r="130">
          <cell r="B130" t="str">
            <v>Feb 2016</v>
          </cell>
          <cell r="C130" t="str">
            <v>RLS</v>
          </cell>
          <cell r="D130" t="str">
            <v>KUUM_440</v>
          </cell>
          <cell r="E130">
            <v>2</v>
          </cell>
          <cell r="G130">
            <v>0</v>
          </cell>
          <cell r="H130">
            <v>0</v>
          </cell>
          <cell r="N130">
            <v>27.22</v>
          </cell>
          <cell r="O130">
            <v>0</v>
          </cell>
          <cell r="Q130">
            <v>0</v>
          </cell>
          <cell r="S130">
            <v>0</v>
          </cell>
          <cell r="U130">
            <v>0</v>
          </cell>
          <cell r="Y130">
            <v>1.1399999999999999</v>
          </cell>
          <cell r="AB130">
            <v>0.66</v>
          </cell>
          <cell r="AE130" t="str">
            <v>20140101KUUM_440</v>
          </cell>
        </row>
        <row r="131">
          <cell r="B131" t="str">
            <v>Feb 2016</v>
          </cell>
          <cell r="C131" t="str">
            <v>RLS</v>
          </cell>
          <cell r="D131" t="str">
            <v>KUUM_446</v>
          </cell>
          <cell r="E131">
            <v>1082</v>
          </cell>
          <cell r="G131">
            <v>0</v>
          </cell>
          <cell r="H131">
            <v>0</v>
          </cell>
          <cell r="N131">
            <v>10343.92</v>
          </cell>
          <cell r="O131">
            <v>0</v>
          </cell>
          <cell r="Q131">
            <v>0</v>
          </cell>
          <cell r="S131">
            <v>0</v>
          </cell>
          <cell r="U131">
            <v>0</v>
          </cell>
          <cell r="Y131">
            <v>2153.1799999999998</v>
          </cell>
          <cell r="AB131">
            <v>421.98</v>
          </cell>
          <cell r="AE131" t="str">
            <v>20140101KUUM_446</v>
          </cell>
        </row>
        <row r="132">
          <cell r="B132" t="str">
            <v>Feb 2016</v>
          </cell>
          <cell r="C132" t="str">
            <v>RLS</v>
          </cell>
          <cell r="D132" t="str">
            <v>KUUM_447</v>
          </cell>
          <cell r="E132">
            <v>752</v>
          </cell>
          <cell r="G132">
            <v>0</v>
          </cell>
          <cell r="H132">
            <v>0</v>
          </cell>
          <cell r="N132">
            <v>8512.64</v>
          </cell>
          <cell r="O132">
            <v>0</v>
          </cell>
          <cell r="Q132">
            <v>0</v>
          </cell>
          <cell r="S132">
            <v>0</v>
          </cell>
          <cell r="U132">
            <v>0</v>
          </cell>
          <cell r="Y132">
            <v>2135.6799999999998</v>
          </cell>
          <cell r="AB132">
            <v>330.88</v>
          </cell>
          <cell r="AE132" t="str">
            <v>20140101KUUM_447</v>
          </cell>
        </row>
        <row r="133">
          <cell r="B133" t="str">
            <v>Feb 2016</v>
          </cell>
          <cell r="C133" t="str">
            <v>RLS</v>
          </cell>
          <cell r="D133" t="str">
            <v>KUUM_448</v>
          </cell>
          <cell r="E133">
            <v>1493</v>
          </cell>
          <cell r="G133">
            <v>0</v>
          </cell>
          <cell r="H133">
            <v>0</v>
          </cell>
          <cell r="N133">
            <v>19125.330000000002</v>
          </cell>
          <cell r="O133">
            <v>0</v>
          </cell>
          <cell r="Q133">
            <v>0</v>
          </cell>
          <cell r="S133">
            <v>0</v>
          </cell>
          <cell r="U133">
            <v>0</v>
          </cell>
          <cell r="Y133">
            <v>6524.41</v>
          </cell>
          <cell r="AB133">
            <v>761.43000000000006</v>
          </cell>
          <cell r="AE133" t="str">
            <v>20140101KUUM_448</v>
          </cell>
        </row>
        <row r="134">
          <cell r="B134" t="str">
            <v>Feb 2016</v>
          </cell>
          <cell r="C134" t="str">
            <v>LS</v>
          </cell>
          <cell r="D134" t="str">
            <v>KUUM_450</v>
          </cell>
          <cell r="E134">
            <v>660</v>
          </cell>
          <cell r="G134">
            <v>0</v>
          </cell>
          <cell r="H134">
            <v>0</v>
          </cell>
          <cell r="N134">
            <v>9405</v>
          </cell>
          <cell r="O134">
            <v>0</v>
          </cell>
          <cell r="Q134">
            <v>0</v>
          </cell>
          <cell r="S134">
            <v>0</v>
          </cell>
          <cell r="U134">
            <v>0</v>
          </cell>
          <cell r="Y134">
            <v>1300.2</v>
          </cell>
          <cell r="AB134">
            <v>435.6</v>
          </cell>
          <cell r="AE134" t="str">
            <v>20140101KUUM_450</v>
          </cell>
        </row>
        <row r="135">
          <cell r="B135" t="str">
            <v>Feb 2016</v>
          </cell>
          <cell r="C135" t="str">
            <v>LS</v>
          </cell>
          <cell r="D135" t="str">
            <v>KUUM_451</v>
          </cell>
          <cell r="E135">
            <v>5069</v>
          </cell>
          <cell r="G135">
            <v>0</v>
          </cell>
          <cell r="H135">
            <v>0</v>
          </cell>
          <cell r="N135">
            <v>102393.8</v>
          </cell>
          <cell r="O135">
            <v>0</v>
          </cell>
          <cell r="Q135">
            <v>0</v>
          </cell>
          <cell r="S135">
            <v>0</v>
          </cell>
          <cell r="U135">
            <v>0</v>
          </cell>
          <cell r="Y135">
            <v>21746.01</v>
          </cell>
          <cell r="AB135">
            <v>4257.96</v>
          </cell>
          <cell r="AE135" t="str">
            <v>20140101KUUM_451</v>
          </cell>
        </row>
        <row r="136">
          <cell r="B136" t="str">
            <v>Feb 2016</v>
          </cell>
          <cell r="C136" t="str">
            <v>LS</v>
          </cell>
          <cell r="D136" t="str">
            <v>KUUM_452</v>
          </cell>
          <cell r="E136">
            <v>1038</v>
          </cell>
          <cell r="G136">
            <v>0</v>
          </cell>
          <cell r="H136">
            <v>0</v>
          </cell>
          <cell r="N136">
            <v>43959.3</v>
          </cell>
          <cell r="O136">
            <v>0</v>
          </cell>
          <cell r="Q136">
            <v>0</v>
          </cell>
          <cell r="S136">
            <v>0</v>
          </cell>
          <cell r="U136">
            <v>0</v>
          </cell>
          <cell r="Y136">
            <v>10805.58</v>
          </cell>
          <cell r="AB136">
            <v>1764.6</v>
          </cell>
          <cell r="AE136" t="str">
            <v>20140101KUUM_452</v>
          </cell>
        </row>
        <row r="137">
          <cell r="B137" t="str">
            <v>Feb 2016</v>
          </cell>
          <cell r="C137" t="str">
            <v>RLS</v>
          </cell>
          <cell r="D137" t="str">
            <v>KUUM_454</v>
          </cell>
          <cell r="E137">
            <v>155</v>
          </cell>
          <cell r="G137">
            <v>0</v>
          </cell>
          <cell r="H137">
            <v>0</v>
          </cell>
          <cell r="N137">
            <v>2890.75</v>
          </cell>
          <cell r="O137">
            <v>0</v>
          </cell>
          <cell r="Q137">
            <v>0</v>
          </cell>
          <cell r="S137">
            <v>0</v>
          </cell>
          <cell r="U137">
            <v>0</v>
          </cell>
          <cell r="Y137">
            <v>305.35000000000002</v>
          </cell>
          <cell r="AB137">
            <v>102.30000000000001</v>
          </cell>
          <cell r="AE137" t="str">
            <v>20140101KUUM_454</v>
          </cell>
        </row>
        <row r="138">
          <cell r="B138" t="str">
            <v>Feb 2016</v>
          </cell>
          <cell r="C138" t="str">
            <v>RLS</v>
          </cell>
          <cell r="D138" t="str">
            <v>KUUM_455</v>
          </cell>
          <cell r="E138">
            <v>1014</v>
          </cell>
          <cell r="G138">
            <v>0</v>
          </cell>
          <cell r="H138">
            <v>0</v>
          </cell>
          <cell r="N138">
            <v>24934.26</v>
          </cell>
          <cell r="O138">
            <v>0</v>
          </cell>
          <cell r="Q138">
            <v>0</v>
          </cell>
          <cell r="S138">
            <v>0</v>
          </cell>
          <cell r="U138">
            <v>0</v>
          </cell>
          <cell r="Y138">
            <v>4350.0600000000004</v>
          </cell>
          <cell r="AB138">
            <v>851.76</v>
          </cell>
          <cell r="AE138" t="str">
            <v>20140101KUUM_455</v>
          </cell>
        </row>
        <row r="139">
          <cell r="B139" t="str">
            <v>Feb 2016</v>
          </cell>
          <cell r="C139" t="str">
            <v>RLS</v>
          </cell>
          <cell r="D139" t="str">
            <v>KUUM_456</v>
          </cell>
          <cell r="E139">
            <v>139</v>
          </cell>
          <cell r="G139">
            <v>0</v>
          </cell>
          <cell r="H139">
            <v>0</v>
          </cell>
          <cell r="N139">
            <v>1649.93</v>
          </cell>
          <cell r="O139">
            <v>0</v>
          </cell>
          <cell r="Q139">
            <v>0</v>
          </cell>
          <cell r="S139">
            <v>0</v>
          </cell>
          <cell r="U139">
            <v>0</v>
          </cell>
          <cell r="Y139">
            <v>276.61</v>
          </cell>
          <cell r="AB139">
            <v>54.21</v>
          </cell>
          <cell r="AE139" t="str">
            <v>20140101KUUM_456</v>
          </cell>
        </row>
        <row r="140">
          <cell r="B140" t="str">
            <v>Feb 2016</v>
          </cell>
          <cell r="C140" t="str">
            <v>RLS</v>
          </cell>
          <cell r="D140" t="str">
            <v>KUUM_457</v>
          </cell>
          <cell r="E140">
            <v>451</v>
          </cell>
          <cell r="G140">
            <v>0</v>
          </cell>
          <cell r="H140">
            <v>0</v>
          </cell>
          <cell r="N140">
            <v>6025.36</v>
          </cell>
          <cell r="O140">
            <v>0</v>
          </cell>
          <cell r="Q140">
            <v>0</v>
          </cell>
          <cell r="S140">
            <v>0</v>
          </cell>
          <cell r="U140">
            <v>0</v>
          </cell>
          <cell r="Y140">
            <v>1280.8399999999999</v>
          </cell>
          <cell r="AB140">
            <v>198.44</v>
          </cell>
          <cell r="AE140" t="str">
            <v>20140101KUUM_457</v>
          </cell>
        </row>
        <row r="141">
          <cell r="B141" t="str">
            <v>Feb 2016</v>
          </cell>
          <cell r="C141" t="str">
            <v>RLS</v>
          </cell>
          <cell r="D141" t="str">
            <v>KUUM_458</v>
          </cell>
          <cell r="E141">
            <v>1458</v>
          </cell>
          <cell r="G141">
            <v>0</v>
          </cell>
          <cell r="H141">
            <v>0</v>
          </cell>
          <cell r="N141">
            <v>21986.639999999999</v>
          </cell>
          <cell r="O141">
            <v>0</v>
          </cell>
          <cell r="Q141">
            <v>0</v>
          </cell>
          <cell r="S141">
            <v>0</v>
          </cell>
          <cell r="U141">
            <v>0</v>
          </cell>
          <cell r="Y141">
            <v>6371.46</v>
          </cell>
          <cell r="AB141">
            <v>743.58</v>
          </cell>
          <cell r="AE141" t="str">
            <v>20140101KUUM_458</v>
          </cell>
        </row>
        <row r="142">
          <cell r="B142" t="str">
            <v>Feb 2016</v>
          </cell>
          <cell r="C142" t="str">
            <v>RLS</v>
          </cell>
          <cell r="D142" t="str">
            <v>KUUM_459</v>
          </cell>
          <cell r="E142">
            <v>227</v>
          </cell>
          <cell r="G142">
            <v>0</v>
          </cell>
          <cell r="H142">
            <v>0</v>
          </cell>
          <cell r="N142">
            <v>10609.98</v>
          </cell>
          <cell r="O142">
            <v>0</v>
          </cell>
          <cell r="Q142">
            <v>0</v>
          </cell>
          <cell r="S142">
            <v>0</v>
          </cell>
          <cell r="U142">
            <v>0</v>
          </cell>
          <cell r="Y142">
            <v>2363.0700000000002</v>
          </cell>
          <cell r="AB142">
            <v>385.9</v>
          </cell>
          <cell r="AE142" t="str">
            <v>20140101KUUM_459</v>
          </cell>
        </row>
        <row r="143">
          <cell r="B143" t="str">
            <v>Feb 2016</v>
          </cell>
          <cell r="C143" t="str">
            <v>RLS</v>
          </cell>
          <cell r="D143" t="str">
            <v>KUUM_460</v>
          </cell>
          <cell r="E143">
            <v>27</v>
          </cell>
          <cell r="G143">
            <v>0</v>
          </cell>
          <cell r="H143">
            <v>0</v>
          </cell>
          <cell r="N143">
            <v>733.05</v>
          </cell>
          <cell r="O143">
            <v>0</v>
          </cell>
          <cell r="Q143">
            <v>0</v>
          </cell>
          <cell r="S143">
            <v>0</v>
          </cell>
          <cell r="U143">
            <v>0</v>
          </cell>
          <cell r="Y143">
            <v>53.19</v>
          </cell>
          <cell r="AB143">
            <v>17.82</v>
          </cell>
          <cell r="AE143" t="str">
            <v>20140101KUUM_460</v>
          </cell>
        </row>
        <row r="144">
          <cell r="B144" t="str">
            <v>Feb 2016</v>
          </cell>
          <cell r="C144" t="str">
            <v>RLS</v>
          </cell>
          <cell r="D144" t="str">
            <v>KUUM_461</v>
          </cell>
          <cell r="E144">
            <v>6486</v>
          </cell>
          <cell r="G144">
            <v>0</v>
          </cell>
          <cell r="H144">
            <v>0</v>
          </cell>
          <cell r="N144">
            <v>48904.44</v>
          </cell>
          <cell r="O144">
            <v>0</v>
          </cell>
          <cell r="Q144">
            <v>0</v>
          </cell>
          <cell r="S144">
            <v>0</v>
          </cell>
          <cell r="U144">
            <v>0</v>
          </cell>
          <cell r="Y144">
            <v>3697.02</v>
          </cell>
          <cell r="AB144">
            <v>2140.38</v>
          </cell>
          <cell r="AE144" t="str">
            <v>20140101KUUM_461</v>
          </cell>
        </row>
        <row r="145">
          <cell r="B145" t="str">
            <v>Feb 2016</v>
          </cell>
          <cell r="C145" t="str">
            <v>LS</v>
          </cell>
          <cell r="D145" t="str">
            <v>KUUM_462</v>
          </cell>
          <cell r="E145">
            <v>8585</v>
          </cell>
          <cell r="G145">
            <v>0</v>
          </cell>
          <cell r="H145">
            <v>0</v>
          </cell>
          <cell r="N145">
            <v>74346.100000000006</v>
          </cell>
          <cell r="O145">
            <v>0</v>
          </cell>
          <cell r="Q145">
            <v>0</v>
          </cell>
          <cell r="S145">
            <v>0</v>
          </cell>
          <cell r="U145">
            <v>0</v>
          </cell>
          <cell r="Y145">
            <v>6868</v>
          </cell>
          <cell r="AB145">
            <v>3691.5499999999997</v>
          </cell>
          <cell r="AE145" t="str">
            <v>20140101KUUM_462</v>
          </cell>
        </row>
        <row r="146">
          <cell r="B146" t="str">
            <v>Feb 2016</v>
          </cell>
          <cell r="C146" t="str">
            <v>LS</v>
          </cell>
          <cell r="D146" t="str">
            <v>KUUM_463</v>
          </cell>
          <cell r="E146">
            <v>19533</v>
          </cell>
          <cell r="G146">
            <v>0</v>
          </cell>
          <cell r="H146">
            <v>0</v>
          </cell>
          <cell r="N146">
            <v>178531.62</v>
          </cell>
          <cell r="O146">
            <v>0</v>
          </cell>
          <cell r="Q146">
            <v>0</v>
          </cell>
          <cell r="S146">
            <v>0</v>
          </cell>
          <cell r="U146">
            <v>0</v>
          </cell>
          <cell r="Y146">
            <v>22072.29</v>
          </cell>
          <cell r="AB146">
            <v>6641.22</v>
          </cell>
          <cell r="AE146" t="str">
            <v>20140101KUUM_463</v>
          </cell>
        </row>
        <row r="147">
          <cell r="B147" t="str">
            <v>Feb 2016</v>
          </cell>
          <cell r="C147" t="str">
            <v>LS</v>
          </cell>
          <cell r="D147" t="str">
            <v>KUUM_464</v>
          </cell>
          <cell r="E147">
            <v>7342</v>
          </cell>
          <cell r="G147">
            <v>0</v>
          </cell>
          <cell r="H147">
            <v>0</v>
          </cell>
          <cell r="N147">
            <v>104623.5</v>
          </cell>
          <cell r="O147">
            <v>0</v>
          </cell>
          <cell r="Q147">
            <v>0</v>
          </cell>
          <cell r="S147">
            <v>0</v>
          </cell>
          <cell r="U147">
            <v>0</v>
          </cell>
          <cell r="Y147">
            <v>17106.86</v>
          </cell>
          <cell r="AB147">
            <v>4258.3599999999997</v>
          </cell>
          <cell r="AE147" t="str">
            <v>20140101KUUM_464</v>
          </cell>
        </row>
        <row r="148">
          <cell r="B148" t="str">
            <v>Feb 2016</v>
          </cell>
          <cell r="C148" t="str">
            <v>LS</v>
          </cell>
          <cell r="D148" t="str">
            <v>KUUM_465</v>
          </cell>
          <cell r="E148">
            <v>2710</v>
          </cell>
          <cell r="G148">
            <v>0</v>
          </cell>
          <cell r="H148">
            <v>0</v>
          </cell>
          <cell r="N148">
            <v>61896.4</v>
          </cell>
          <cell r="O148">
            <v>0</v>
          </cell>
          <cell r="Q148">
            <v>0</v>
          </cell>
          <cell r="S148">
            <v>0</v>
          </cell>
          <cell r="U148">
            <v>0</v>
          </cell>
          <cell r="Y148">
            <v>12276.3</v>
          </cell>
          <cell r="AB148">
            <v>2140.9</v>
          </cell>
          <cell r="AE148" t="str">
            <v>20140101KUUM_465</v>
          </cell>
        </row>
        <row r="149">
          <cell r="B149" t="str">
            <v>Feb 2016</v>
          </cell>
          <cell r="C149" t="str">
            <v>RLS</v>
          </cell>
          <cell r="D149" t="str">
            <v>KUUM_466</v>
          </cell>
          <cell r="E149">
            <v>713</v>
          </cell>
          <cell r="G149">
            <v>0</v>
          </cell>
          <cell r="H149">
            <v>0</v>
          </cell>
          <cell r="N149">
            <v>6859.06</v>
          </cell>
          <cell r="O149">
            <v>0</v>
          </cell>
          <cell r="Q149">
            <v>0</v>
          </cell>
          <cell r="S149">
            <v>0</v>
          </cell>
          <cell r="U149">
            <v>0</v>
          </cell>
          <cell r="Y149">
            <v>406.41</v>
          </cell>
          <cell r="AB149">
            <v>235.29000000000002</v>
          </cell>
          <cell r="AE149" t="str">
            <v>20140101KUUM_466</v>
          </cell>
        </row>
        <row r="150">
          <cell r="B150" t="str">
            <v>Feb 2016</v>
          </cell>
          <cell r="C150" t="str">
            <v>LS</v>
          </cell>
          <cell r="D150" t="str">
            <v>KUUM_467</v>
          </cell>
          <cell r="E150">
            <v>1232</v>
          </cell>
          <cell r="G150">
            <v>0</v>
          </cell>
          <cell r="H150">
            <v>0</v>
          </cell>
          <cell r="N150">
            <v>13268.64</v>
          </cell>
          <cell r="O150">
            <v>0</v>
          </cell>
          <cell r="Q150">
            <v>0</v>
          </cell>
          <cell r="S150">
            <v>0</v>
          </cell>
          <cell r="U150">
            <v>0</v>
          </cell>
          <cell r="Y150">
            <v>985.6</v>
          </cell>
          <cell r="AB150">
            <v>529.76</v>
          </cell>
          <cell r="AE150" t="str">
            <v>20140101KUUM_467</v>
          </cell>
        </row>
        <row r="151">
          <cell r="B151" t="str">
            <v>Feb 2016</v>
          </cell>
          <cell r="C151" t="str">
            <v>LS</v>
          </cell>
          <cell r="D151" t="str">
            <v>KUUM_468</v>
          </cell>
          <cell r="E151">
            <v>3948</v>
          </cell>
          <cell r="G151">
            <v>0</v>
          </cell>
          <cell r="H151">
            <v>0</v>
          </cell>
          <cell r="N151">
            <v>44059.68</v>
          </cell>
          <cell r="O151">
            <v>0</v>
          </cell>
          <cell r="Q151">
            <v>0</v>
          </cell>
          <cell r="S151">
            <v>0</v>
          </cell>
          <cell r="U151">
            <v>0</v>
          </cell>
          <cell r="Y151">
            <v>4461.24</v>
          </cell>
          <cell r="AB151">
            <v>1342.3200000000002</v>
          </cell>
          <cell r="AE151" t="str">
            <v>20140101KUUM_468</v>
          </cell>
        </row>
        <row r="152">
          <cell r="B152" t="str">
            <v>Feb 2016</v>
          </cell>
          <cell r="C152" t="str">
            <v>RLS</v>
          </cell>
          <cell r="D152" t="str">
            <v>KUUM_469</v>
          </cell>
          <cell r="E152">
            <v>277</v>
          </cell>
          <cell r="G152">
            <v>0</v>
          </cell>
          <cell r="H152">
            <v>0</v>
          </cell>
          <cell r="N152">
            <v>9168.7000000000007</v>
          </cell>
          <cell r="O152">
            <v>0</v>
          </cell>
          <cell r="Q152">
            <v>0</v>
          </cell>
          <cell r="S152">
            <v>0</v>
          </cell>
          <cell r="U152">
            <v>0</v>
          </cell>
          <cell r="Y152">
            <v>1188.33</v>
          </cell>
          <cell r="AB152">
            <v>232.67999999999998</v>
          </cell>
          <cell r="AE152" t="str">
            <v>20140101KUUM_469</v>
          </cell>
        </row>
        <row r="153">
          <cell r="B153" t="str">
            <v>Feb 2016</v>
          </cell>
          <cell r="C153" t="str">
            <v>RLS</v>
          </cell>
          <cell r="D153" t="str">
            <v>KUUM_470</v>
          </cell>
          <cell r="E153">
            <v>53</v>
          </cell>
          <cell r="G153">
            <v>0</v>
          </cell>
          <cell r="H153">
            <v>0</v>
          </cell>
          <cell r="N153">
            <v>2928.25</v>
          </cell>
          <cell r="O153">
            <v>0</v>
          </cell>
          <cell r="Q153">
            <v>0</v>
          </cell>
          <cell r="S153">
            <v>0</v>
          </cell>
          <cell r="U153">
            <v>0</v>
          </cell>
          <cell r="Y153">
            <v>551.73</v>
          </cell>
          <cell r="AB153">
            <v>90.1</v>
          </cell>
          <cell r="AE153" t="str">
            <v>20140101KUUM_470</v>
          </cell>
        </row>
        <row r="154">
          <cell r="B154" t="str">
            <v>Feb 2016</v>
          </cell>
          <cell r="C154" t="str">
            <v>RLS</v>
          </cell>
          <cell r="D154" t="str">
            <v>KUUM_471</v>
          </cell>
          <cell r="E154">
            <v>3657</v>
          </cell>
          <cell r="G154">
            <v>0</v>
          </cell>
          <cell r="H154">
            <v>0</v>
          </cell>
          <cell r="N154">
            <v>38361.93</v>
          </cell>
          <cell r="O154">
            <v>0</v>
          </cell>
          <cell r="Q154">
            <v>0</v>
          </cell>
          <cell r="S154">
            <v>0</v>
          </cell>
          <cell r="U154">
            <v>0</v>
          </cell>
          <cell r="Y154">
            <v>2084.4899999999998</v>
          </cell>
          <cell r="AB154">
            <v>1206.81</v>
          </cell>
          <cell r="AE154" t="str">
            <v>20140101KUUM_471</v>
          </cell>
        </row>
        <row r="155">
          <cell r="B155" t="str">
            <v>Feb 2016</v>
          </cell>
          <cell r="C155" t="str">
            <v>LS</v>
          </cell>
          <cell r="D155" t="str">
            <v>KUUM_472</v>
          </cell>
          <cell r="E155">
            <v>8690</v>
          </cell>
          <cell r="G155">
            <v>0</v>
          </cell>
          <cell r="H155">
            <v>0</v>
          </cell>
          <cell r="N155">
            <v>100804</v>
          </cell>
          <cell r="O155">
            <v>0</v>
          </cell>
          <cell r="Q155">
            <v>0</v>
          </cell>
          <cell r="S155">
            <v>0</v>
          </cell>
          <cell r="U155">
            <v>0</v>
          </cell>
          <cell r="Y155">
            <v>6952</v>
          </cell>
          <cell r="AB155">
            <v>3736.7</v>
          </cell>
          <cell r="AE155" t="str">
            <v>20140101KUUM_472</v>
          </cell>
        </row>
        <row r="156">
          <cell r="B156" t="str">
            <v>Feb 2016</v>
          </cell>
          <cell r="C156" t="str">
            <v>LS</v>
          </cell>
          <cell r="D156" t="str">
            <v>KUUM_473</v>
          </cell>
          <cell r="E156">
            <v>3354</v>
          </cell>
          <cell r="G156">
            <v>0</v>
          </cell>
          <cell r="H156">
            <v>0</v>
          </cell>
          <cell r="N156">
            <v>41254.199999999997</v>
          </cell>
          <cell r="O156">
            <v>0</v>
          </cell>
          <cell r="Q156">
            <v>0</v>
          </cell>
          <cell r="S156">
            <v>0</v>
          </cell>
          <cell r="U156">
            <v>0</v>
          </cell>
          <cell r="Y156">
            <v>3790.02</v>
          </cell>
          <cell r="AB156">
            <v>1140.3600000000001</v>
          </cell>
          <cell r="AE156" t="str">
            <v>20140101KUUM_473</v>
          </cell>
        </row>
        <row r="157">
          <cell r="B157" t="str">
            <v>Feb 2016</v>
          </cell>
          <cell r="C157" t="str">
            <v>LS</v>
          </cell>
          <cell r="D157" t="str">
            <v>KUUM_474</v>
          </cell>
          <cell r="E157">
            <v>5082</v>
          </cell>
          <cell r="G157">
            <v>0</v>
          </cell>
          <cell r="H157">
            <v>0</v>
          </cell>
          <cell r="N157">
            <v>88477.62</v>
          </cell>
          <cell r="O157">
            <v>0</v>
          </cell>
          <cell r="Q157">
            <v>0</v>
          </cell>
          <cell r="S157">
            <v>0</v>
          </cell>
          <cell r="U157">
            <v>0</v>
          </cell>
          <cell r="Y157">
            <v>11841.06</v>
          </cell>
          <cell r="AB157">
            <v>2947.56</v>
          </cell>
          <cell r="AE157" t="str">
            <v>20140101KUUM_474</v>
          </cell>
        </row>
        <row r="158">
          <cell r="B158" t="str">
            <v>Feb 2016</v>
          </cell>
          <cell r="C158" t="str">
            <v>LS</v>
          </cell>
          <cell r="D158" t="str">
            <v>KUUM_475</v>
          </cell>
          <cell r="E158">
            <v>512</v>
          </cell>
          <cell r="G158">
            <v>0</v>
          </cell>
          <cell r="H158">
            <v>0</v>
          </cell>
          <cell r="N158">
            <v>12523.52</v>
          </cell>
          <cell r="O158">
            <v>0</v>
          </cell>
          <cell r="Q158">
            <v>0</v>
          </cell>
          <cell r="S158">
            <v>0</v>
          </cell>
          <cell r="U158">
            <v>0</v>
          </cell>
          <cell r="Y158">
            <v>2319.36</v>
          </cell>
          <cell r="AB158">
            <v>404.48</v>
          </cell>
          <cell r="AE158" t="str">
            <v>20140101KUUM_475</v>
          </cell>
        </row>
        <row r="159">
          <cell r="B159" t="str">
            <v>Feb 2016</v>
          </cell>
          <cell r="C159" t="str">
            <v>LS</v>
          </cell>
          <cell r="D159" t="str">
            <v>KUUM_476</v>
          </cell>
          <cell r="E159">
            <v>4549</v>
          </cell>
          <cell r="G159">
            <v>0</v>
          </cell>
          <cell r="H159">
            <v>0</v>
          </cell>
          <cell r="N159">
            <v>76377.710000000006</v>
          </cell>
          <cell r="O159">
            <v>0</v>
          </cell>
          <cell r="Q159">
            <v>0</v>
          </cell>
          <cell r="S159">
            <v>0</v>
          </cell>
          <cell r="U159">
            <v>0</v>
          </cell>
          <cell r="Y159">
            <v>3639.2</v>
          </cell>
          <cell r="AB159">
            <v>1956.07</v>
          </cell>
          <cell r="AE159" t="str">
            <v>20140101KUUM_476</v>
          </cell>
        </row>
        <row r="160">
          <cell r="B160" t="str">
            <v>Feb 2016</v>
          </cell>
          <cell r="C160" t="str">
            <v>LS</v>
          </cell>
          <cell r="D160" t="str">
            <v>KUUM_477</v>
          </cell>
          <cell r="E160">
            <v>1057</v>
          </cell>
          <cell r="G160">
            <v>0</v>
          </cell>
          <cell r="H160">
            <v>0</v>
          </cell>
          <cell r="N160">
            <v>22165.29</v>
          </cell>
          <cell r="O160">
            <v>0</v>
          </cell>
          <cell r="Q160">
            <v>0</v>
          </cell>
          <cell r="S160">
            <v>0</v>
          </cell>
          <cell r="U160">
            <v>0</v>
          </cell>
          <cell r="Y160">
            <v>1194.4100000000001</v>
          </cell>
          <cell r="AB160">
            <v>359.38000000000005</v>
          </cell>
          <cell r="AE160" t="str">
            <v>20140101KUUM_477</v>
          </cell>
        </row>
        <row r="161">
          <cell r="B161" t="str">
            <v>Feb 2016</v>
          </cell>
          <cell r="C161" t="str">
            <v>LS</v>
          </cell>
          <cell r="D161" t="str">
            <v>KUUM_478</v>
          </cell>
          <cell r="E161">
            <v>1389</v>
          </cell>
          <cell r="G161">
            <v>0</v>
          </cell>
          <cell r="H161">
            <v>0</v>
          </cell>
          <cell r="N161">
            <v>37308.54</v>
          </cell>
          <cell r="O161">
            <v>0</v>
          </cell>
          <cell r="Q161">
            <v>0</v>
          </cell>
          <cell r="S161">
            <v>0</v>
          </cell>
          <cell r="U161">
            <v>0</v>
          </cell>
          <cell r="Y161">
            <v>3236.37</v>
          </cell>
          <cell r="AB161">
            <v>805.61999999999989</v>
          </cell>
          <cell r="AE161" t="str">
            <v>20140101KUUM_478</v>
          </cell>
        </row>
        <row r="162">
          <cell r="B162" t="str">
            <v>Feb 2016</v>
          </cell>
          <cell r="C162" t="str">
            <v>LS</v>
          </cell>
          <cell r="D162" t="str">
            <v>KUUM_479</v>
          </cell>
          <cell r="E162">
            <v>955</v>
          </cell>
          <cell r="G162">
            <v>0</v>
          </cell>
          <cell r="H162">
            <v>0</v>
          </cell>
          <cell r="N162">
            <v>31629.599999999999</v>
          </cell>
          <cell r="O162">
            <v>0</v>
          </cell>
          <cell r="Q162">
            <v>0</v>
          </cell>
          <cell r="S162">
            <v>0</v>
          </cell>
          <cell r="U162">
            <v>0</v>
          </cell>
          <cell r="Y162">
            <v>4326.1499999999996</v>
          </cell>
          <cell r="AB162">
            <v>754.45</v>
          </cell>
          <cell r="AE162" t="str">
            <v>20140101KUUM_479</v>
          </cell>
        </row>
        <row r="163">
          <cell r="B163" t="str">
            <v>Feb 2016</v>
          </cell>
          <cell r="C163" t="str">
            <v>LS</v>
          </cell>
          <cell r="D163" t="str">
            <v>KUUM_486</v>
          </cell>
          <cell r="E163">
            <v>0</v>
          </cell>
          <cell r="G163">
            <v>0</v>
          </cell>
          <cell r="H163">
            <v>0</v>
          </cell>
          <cell r="N163">
            <v>0</v>
          </cell>
          <cell r="O163">
            <v>0</v>
          </cell>
          <cell r="Q163">
            <v>0</v>
          </cell>
          <cell r="S163">
            <v>0</v>
          </cell>
          <cell r="U163">
            <v>0</v>
          </cell>
          <cell r="Y163">
            <v>0</v>
          </cell>
          <cell r="AB163">
            <v>0</v>
          </cell>
          <cell r="AE163" t="str">
            <v>20140101KUUM_486</v>
          </cell>
        </row>
        <row r="164">
          <cell r="B164" t="str">
            <v>Feb 2016</v>
          </cell>
          <cell r="C164" t="str">
            <v>LS</v>
          </cell>
          <cell r="D164" t="str">
            <v>KUUM_487</v>
          </cell>
          <cell r="E164">
            <v>11150</v>
          </cell>
          <cell r="G164">
            <v>0</v>
          </cell>
          <cell r="H164">
            <v>0</v>
          </cell>
          <cell r="N164">
            <v>100350</v>
          </cell>
          <cell r="O164">
            <v>0</v>
          </cell>
          <cell r="Q164">
            <v>0</v>
          </cell>
          <cell r="S164">
            <v>0</v>
          </cell>
          <cell r="U164">
            <v>0</v>
          </cell>
          <cell r="Y164">
            <v>12599.5</v>
          </cell>
          <cell r="AB164">
            <v>3791.0000000000005</v>
          </cell>
          <cell r="AE164" t="str">
            <v>20140101KUUM_487</v>
          </cell>
        </row>
        <row r="165">
          <cell r="B165" t="str">
            <v>Feb 2016</v>
          </cell>
          <cell r="C165" t="str">
            <v>LS</v>
          </cell>
          <cell r="D165" t="str">
            <v>KUUM_488</v>
          </cell>
          <cell r="E165">
            <v>6552</v>
          </cell>
          <cell r="G165">
            <v>0</v>
          </cell>
          <cell r="H165">
            <v>0</v>
          </cell>
          <cell r="N165">
            <v>89369.279999999999</v>
          </cell>
          <cell r="O165">
            <v>0</v>
          </cell>
          <cell r="Q165">
            <v>0</v>
          </cell>
          <cell r="S165">
            <v>0</v>
          </cell>
          <cell r="U165">
            <v>0</v>
          </cell>
          <cell r="Y165">
            <v>15266.16</v>
          </cell>
          <cell r="AB165">
            <v>3800.16</v>
          </cell>
          <cell r="AE165" t="str">
            <v>20140101KUUM_488</v>
          </cell>
        </row>
        <row r="166">
          <cell r="B166" t="str">
            <v>Feb 2016</v>
          </cell>
          <cell r="C166" t="str">
            <v>LS</v>
          </cell>
          <cell r="D166" t="str">
            <v>KUUM_489</v>
          </cell>
          <cell r="E166">
            <v>8281</v>
          </cell>
          <cell r="G166">
            <v>0</v>
          </cell>
          <cell r="H166">
            <v>0</v>
          </cell>
          <cell r="N166">
            <v>161148.26</v>
          </cell>
          <cell r="O166">
            <v>0</v>
          </cell>
          <cell r="Q166">
            <v>0</v>
          </cell>
          <cell r="S166">
            <v>0</v>
          </cell>
          <cell r="U166">
            <v>0</v>
          </cell>
          <cell r="Y166">
            <v>37512.93</v>
          </cell>
          <cell r="AB166">
            <v>6541.9900000000007</v>
          </cell>
          <cell r="AE166" t="str">
            <v>20140101KUUM_489</v>
          </cell>
        </row>
        <row r="167">
          <cell r="B167" t="str">
            <v>Feb 2016</v>
          </cell>
          <cell r="C167" t="str">
            <v>LS</v>
          </cell>
          <cell r="D167" t="str">
            <v>KUUM_490</v>
          </cell>
          <cell r="E167">
            <v>60</v>
          </cell>
          <cell r="G167">
            <v>0</v>
          </cell>
          <cell r="H167">
            <v>0</v>
          </cell>
          <cell r="N167">
            <v>928.2</v>
          </cell>
          <cell r="O167">
            <v>0</v>
          </cell>
          <cell r="Q167">
            <v>0</v>
          </cell>
          <cell r="S167">
            <v>0</v>
          </cell>
          <cell r="U167">
            <v>0</v>
          </cell>
          <cell r="Y167">
            <v>118.2</v>
          </cell>
          <cell r="AB167">
            <v>39.6</v>
          </cell>
          <cell r="AE167" t="str">
            <v>20140101KUUM_490</v>
          </cell>
        </row>
        <row r="168">
          <cell r="B168" t="str">
            <v>Feb 2016</v>
          </cell>
          <cell r="C168" t="str">
            <v>LS</v>
          </cell>
          <cell r="D168" t="str">
            <v>KUUM_491</v>
          </cell>
          <cell r="E168">
            <v>302</v>
          </cell>
          <cell r="G168">
            <v>0</v>
          </cell>
          <cell r="H168">
            <v>0</v>
          </cell>
          <cell r="N168">
            <v>6622.86</v>
          </cell>
          <cell r="O168">
            <v>0</v>
          </cell>
          <cell r="Q168">
            <v>0</v>
          </cell>
          <cell r="S168">
            <v>0</v>
          </cell>
          <cell r="U168">
            <v>0</v>
          </cell>
          <cell r="Y168">
            <v>1295.58</v>
          </cell>
          <cell r="AB168">
            <v>253.67999999999998</v>
          </cell>
          <cell r="AE168" t="str">
            <v>20140101KUUM_491</v>
          </cell>
        </row>
        <row r="169">
          <cell r="B169" t="str">
            <v>Feb 2016</v>
          </cell>
          <cell r="C169" t="str">
            <v>LS</v>
          </cell>
          <cell r="D169" t="str">
            <v>KUUM_492</v>
          </cell>
          <cell r="E169">
            <v>2</v>
          </cell>
          <cell r="G169">
            <v>0</v>
          </cell>
          <cell r="H169">
            <v>0</v>
          </cell>
          <cell r="N169">
            <v>30.74</v>
          </cell>
          <cell r="O169">
            <v>0</v>
          </cell>
          <cell r="Q169">
            <v>0</v>
          </cell>
          <cell r="S169">
            <v>0</v>
          </cell>
          <cell r="U169">
            <v>0</v>
          </cell>
          <cell r="Y169">
            <v>1.6</v>
          </cell>
          <cell r="AB169">
            <v>0.86</v>
          </cell>
          <cell r="AE169" t="str">
            <v>20140101KUUM_492</v>
          </cell>
        </row>
        <row r="170">
          <cell r="B170" t="str">
            <v>Feb 2016</v>
          </cell>
          <cell r="C170" t="str">
            <v>LS</v>
          </cell>
          <cell r="D170" t="str">
            <v>KUUM_493</v>
          </cell>
          <cell r="E170">
            <v>43</v>
          </cell>
          <cell r="G170">
            <v>0</v>
          </cell>
          <cell r="H170">
            <v>0</v>
          </cell>
          <cell r="N170">
            <v>1965.1</v>
          </cell>
          <cell r="O170">
            <v>0</v>
          </cell>
          <cell r="Q170">
            <v>0</v>
          </cell>
          <cell r="S170">
            <v>0</v>
          </cell>
          <cell r="U170">
            <v>0</v>
          </cell>
          <cell r="Y170">
            <v>447.63</v>
          </cell>
          <cell r="AB170">
            <v>73.099999999999994</v>
          </cell>
          <cell r="AE170" t="str">
            <v>20140101KUUM_493</v>
          </cell>
        </row>
        <row r="171">
          <cell r="B171" t="str">
            <v>Feb 2016</v>
          </cell>
          <cell r="C171" t="str">
            <v>LS</v>
          </cell>
          <cell r="D171" t="str">
            <v>KUUM_494</v>
          </cell>
          <cell r="E171">
            <v>179</v>
          </cell>
          <cell r="G171">
            <v>0</v>
          </cell>
          <cell r="H171">
            <v>0</v>
          </cell>
          <cell r="N171">
            <v>5078.2299999999996</v>
          </cell>
          <cell r="O171">
            <v>0</v>
          </cell>
          <cell r="Q171">
            <v>0</v>
          </cell>
          <cell r="S171">
            <v>0</v>
          </cell>
          <cell r="U171">
            <v>0</v>
          </cell>
          <cell r="Y171">
            <v>352.63</v>
          </cell>
          <cell r="AB171">
            <v>118.14</v>
          </cell>
          <cell r="AE171" t="str">
            <v>20140101KUUM_494</v>
          </cell>
        </row>
        <row r="172">
          <cell r="B172" t="str">
            <v>Feb 2016</v>
          </cell>
          <cell r="C172" t="str">
            <v>LS</v>
          </cell>
          <cell r="D172" t="str">
            <v>KUUM_495</v>
          </cell>
          <cell r="E172">
            <v>624</v>
          </cell>
          <cell r="G172">
            <v>0</v>
          </cell>
          <cell r="H172">
            <v>0</v>
          </cell>
          <cell r="N172">
            <v>21733.919999999998</v>
          </cell>
          <cell r="O172">
            <v>0</v>
          </cell>
          <cell r="Q172">
            <v>0</v>
          </cell>
          <cell r="S172">
            <v>0</v>
          </cell>
          <cell r="U172">
            <v>0</v>
          </cell>
          <cell r="Y172">
            <v>2676.96</v>
          </cell>
          <cell r="AB172">
            <v>524.16</v>
          </cell>
          <cell r="AE172" t="str">
            <v>20140101KUUM_495</v>
          </cell>
        </row>
        <row r="173">
          <cell r="B173" t="str">
            <v>Feb 2016</v>
          </cell>
          <cell r="C173" t="str">
            <v>LS</v>
          </cell>
          <cell r="D173" t="str">
            <v>KUUM_496</v>
          </cell>
          <cell r="E173">
            <v>156</v>
          </cell>
          <cell r="G173">
            <v>0</v>
          </cell>
          <cell r="H173">
            <v>0</v>
          </cell>
          <cell r="N173">
            <v>9140.0400000000009</v>
          </cell>
          <cell r="O173">
            <v>0</v>
          </cell>
          <cell r="Q173">
            <v>0</v>
          </cell>
          <cell r="S173">
            <v>0</v>
          </cell>
          <cell r="U173">
            <v>0</v>
          </cell>
          <cell r="Y173">
            <v>1623.96</v>
          </cell>
          <cell r="AB173">
            <v>265.2</v>
          </cell>
          <cell r="AE173" t="str">
            <v>20140101KUUM_496</v>
          </cell>
        </row>
        <row r="174">
          <cell r="B174" t="str">
            <v>Feb 2016</v>
          </cell>
          <cell r="C174" t="str">
            <v>LS</v>
          </cell>
          <cell r="D174" t="str">
            <v>KUUM_497</v>
          </cell>
          <cell r="E174">
            <v>8</v>
          </cell>
          <cell r="G174">
            <v>0</v>
          </cell>
          <cell r="H174">
            <v>0</v>
          </cell>
          <cell r="N174">
            <v>122.8</v>
          </cell>
          <cell r="O174">
            <v>0</v>
          </cell>
          <cell r="Q174">
            <v>0</v>
          </cell>
          <cell r="S174">
            <v>0</v>
          </cell>
          <cell r="U174">
            <v>0</v>
          </cell>
          <cell r="Y174">
            <v>9.0399999999999991</v>
          </cell>
          <cell r="AB174">
            <v>2.72</v>
          </cell>
          <cell r="AE174" t="str">
            <v>20140101KUUM_497</v>
          </cell>
        </row>
        <row r="175">
          <cell r="B175" t="str">
            <v>Feb 2016</v>
          </cell>
          <cell r="C175" t="str">
            <v>LS</v>
          </cell>
          <cell r="D175" t="str">
            <v>KUUM_498</v>
          </cell>
          <cell r="E175">
            <v>30</v>
          </cell>
          <cell r="G175">
            <v>0</v>
          </cell>
          <cell r="H175">
            <v>0</v>
          </cell>
          <cell r="N175">
            <v>531.6</v>
          </cell>
          <cell r="O175">
            <v>0</v>
          </cell>
          <cell r="Q175">
            <v>0</v>
          </cell>
          <cell r="S175">
            <v>0</v>
          </cell>
          <cell r="U175">
            <v>0</v>
          </cell>
          <cell r="Y175">
            <v>69.900000000000006</v>
          </cell>
          <cell r="AB175">
            <v>17.399999999999999</v>
          </cell>
          <cell r="AE175" t="str">
            <v>20140101KUUM_498</v>
          </cell>
        </row>
        <row r="176">
          <cell r="B176" t="str">
            <v>Feb 2016</v>
          </cell>
          <cell r="C176" t="str">
            <v>LS</v>
          </cell>
          <cell r="D176" t="str">
            <v>KUUM_499</v>
          </cell>
          <cell r="E176">
            <v>24</v>
          </cell>
          <cell r="G176">
            <v>0</v>
          </cell>
          <cell r="H176">
            <v>0</v>
          </cell>
          <cell r="N176">
            <v>515.76</v>
          </cell>
          <cell r="O176">
            <v>0</v>
          </cell>
          <cell r="Q176">
            <v>0</v>
          </cell>
          <cell r="S176">
            <v>0</v>
          </cell>
          <cell r="U176">
            <v>0</v>
          </cell>
          <cell r="Y176">
            <v>108.72</v>
          </cell>
          <cell r="AB176">
            <v>18.96</v>
          </cell>
          <cell r="AE176" t="str">
            <v>20140101KUUM_499</v>
          </cell>
        </row>
        <row r="177">
          <cell r="B177" t="str">
            <v>Feb 2016</v>
          </cell>
          <cell r="C177" t="str">
            <v>ODL</v>
          </cell>
          <cell r="D177" t="str">
            <v>ODL</v>
          </cell>
          <cell r="E177">
            <v>0</v>
          </cell>
          <cell r="G177">
            <v>9323849</v>
          </cell>
          <cell r="N177">
            <v>0</v>
          </cell>
          <cell r="O177">
            <v>2106668</v>
          </cell>
          <cell r="Q177">
            <v>40098</v>
          </cell>
          <cell r="S177">
            <v>50583</v>
          </cell>
          <cell r="U177">
            <v>2197349</v>
          </cell>
          <cell r="Y177">
            <v>0</v>
          </cell>
          <cell r="AB177">
            <v>0</v>
          </cell>
          <cell r="AE177" t="str">
            <v>20140101ODL</v>
          </cell>
        </row>
        <row r="178">
          <cell r="B178" t="str">
            <v>Mar 2016</v>
          </cell>
          <cell r="C178" t="str">
            <v>LS</v>
          </cell>
          <cell r="D178" t="str">
            <v>KUUM_300</v>
          </cell>
          <cell r="E178">
            <v>0</v>
          </cell>
          <cell r="G178">
            <v>0</v>
          </cell>
          <cell r="H178">
            <v>0</v>
          </cell>
          <cell r="N178">
            <v>0</v>
          </cell>
          <cell r="O178">
            <v>0</v>
          </cell>
          <cell r="Q178">
            <v>0</v>
          </cell>
          <cell r="S178">
            <v>0</v>
          </cell>
          <cell r="U178">
            <v>0</v>
          </cell>
          <cell r="Y178">
            <v>0</v>
          </cell>
          <cell r="AB178">
            <v>0</v>
          </cell>
          <cell r="AE178" t="str">
            <v>20140101KUUM_300</v>
          </cell>
        </row>
        <row r="179">
          <cell r="B179" t="str">
            <v>Mar 2016</v>
          </cell>
          <cell r="C179" t="str">
            <v>LS</v>
          </cell>
          <cell r="D179" t="str">
            <v>KUUM_301</v>
          </cell>
          <cell r="E179">
            <v>0</v>
          </cell>
          <cell r="G179">
            <v>0</v>
          </cell>
          <cell r="H179">
            <v>0</v>
          </cell>
          <cell r="N179">
            <v>0</v>
          </cell>
          <cell r="O179">
            <v>0</v>
          </cell>
          <cell r="Q179">
            <v>0</v>
          </cell>
          <cell r="S179">
            <v>0</v>
          </cell>
          <cell r="U179">
            <v>0</v>
          </cell>
          <cell r="Y179">
            <v>0</v>
          </cell>
          <cell r="AB179">
            <v>0</v>
          </cell>
          <cell r="AE179" t="str">
            <v>20140101KUUM_301</v>
          </cell>
        </row>
        <row r="180">
          <cell r="B180" t="str">
            <v>Mar 2016</v>
          </cell>
          <cell r="C180" t="str">
            <v>LS</v>
          </cell>
          <cell r="D180" t="str">
            <v>KUUM_360</v>
          </cell>
          <cell r="E180">
            <v>178</v>
          </cell>
          <cell r="G180">
            <v>0</v>
          </cell>
          <cell r="H180">
            <v>0</v>
          </cell>
          <cell r="N180">
            <v>9848.74</v>
          </cell>
          <cell r="O180">
            <v>0</v>
          </cell>
          <cell r="Q180">
            <v>0</v>
          </cell>
          <cell r="S180">
            <v>0</v>
          </cell>
          <cell r="U180">
            <v>0</v>
          </cell>
          <cell r="Y180">
            <v>311.5</v>
          </cell>
          <cell r="AB180">
            <v>428.98</v>
          </cell>
          <cell r="AE180" t="str">
            <v>20140101KUUM_360</v>
          </cell>
        </row>
        <row r="181">
          <cell r="B181" t="str">
            <v>Mar 2016</v>
          </cell>
          <cell r="C181" t="str">
            <v>LS</v>
          </cell>
          <cell r="D181" t="str">
            <v>KUUM_361</v>
          </cell>
          <cell r="E181">
            <v>25</v>
          </cell>
          <cell r="G181">
            <v>0</v>
          </cell>
          <cell r="H181">
            <v>0</v>
          </cell>
          <cell r="N181">
            <v>2079</v>
          </cell>
          <cell r="O181">
            <v>0</v>
          </cell>
          <cell r="Q181">
            <v>0</v>
          </cell>
          <cell r="S181">
            <v>0</v>
          </cell>
          <cell r="U181">
            <v>0</v>
          </cell>
          <cell r="Y181">
            <v>43.75</v>
          </cell>
          <cell r="AB181">
            <v>60.25</v>
          </cell>
          <cell r="AE181" t="str">
            <v>20140101KUUM_361</v>
          </cell>
        </row>
        <row r="182">
          <cell r="B182" t="str">
            <v>Mar 2016</v>
          </cell>
          <cell r="C182" t="str">
            <v>LS</v>
          </cell>
          <cell r="D182" t="str">
            <v>KUUM_362</v>
          </cell>
          <cell r="E182">
            <v>43</v>
          </cell>
          <cell r="G182">
            <v>0</v>
          </cell>
          <cell r="H182">
            <v>0</v>
          </cell>
          <cell r="N182">
            <v>2570.54</v>
          </cell>
          <cell r="O182">
            <v>0</v>
          </cell>
          <cell r="Q182">
            <v>0</v>
          </cell>
          <cell r="S182">
            <v>0</v>
          </cell>
          <cell r="U182">
            <v>0</v>
          </cell>
          <cell r="Y182">
            <v>75.25</v>
          </cell>
          <cell r="AB182">
            <v>103.63000000000001</v>
          </cell>
          <cell r="AE182" t="str">
            <v>20140101KUUM_362</v>
          </cell>
        </row>
        <row r="183">
          <cell r="B183" t="str">
            <v>Mar 2016</v>
          </cell>
          <cell r="C183" t="str">
            <v>LS</v>
          </cell>
          <cell r="D183" t="str">
            <v>KUUM_363</v>
          </cell>
          <cell r="E183">
            <v>5</v>
          </cell>
          <cell r="G183">
            <v>0</v>
          </cell>
          <cell r="H183">
            <v>0</v>
          </cell>
          <cell r="N183">
            <v>308.75</v>
          </cell>
          <cell r="O183">
            <v>0</v>
          </cell>
          <cell r="Q183">
            <v>0</v>
          </cell>
          <cell r="S183">
            <v>0</v>
          </cell>
          <cell r="U183">
            <v>0</v>
          </cell>
          <cell r="Y183">
            <v>8.75</v>
          </cell>
          <cell r="AB183">
            <v>12.05</v>
          </cell>
          <cell r="AE183" t="str">
            <v>20140101KUUM_363</v>
          </cell>
        </row>
        <row r="184">
          <cell r="B184" t="str">
            <v>Mar 2016</v>
          </cell>
          <cell r="C184" t="str">
            <v>LS</v>
          </cell>
          <cell r="D184" t="str">
            <v>KUUM_364</v>
          </cell>
          <cell r="E184">
            <v>1</v>
          </cell>
          <cell r="G184">
            <v>0</v>
          </cell>
          <cell r="H184">
            <v>0</v>
          </cell>
          <cell r="N184">
            <v>63.11</v>
          </cell>
          <cell r="O184">
            <v>0</v>
          </cell>
          <cell r="Q184">
            <v>0</v>
          </cell>
          <cell r="S184">
            <v>0</v>
          </cell>
          <cell r="U184">
            <v>0</v>
          </cell>
          <cell r="Y184">
            <v>1.75</v>
          </cell>
          <cell r="AB184">
            <v>2.41</v>
          </cell>
          <cell r="AE184" t="str">
            <v>20140101KUUM_364</v>
          </cell>
        </row>
        <row r="185">
          <cell r="B185" t="str">
            <v>Mar 2016</v>
          </cell>
          <cell r="C185" t="str">
            <v>LS</v>
          </cell>
          <cell r="D185" t="str">
            <v>KUUM_365</v>
          </cell>
          <cell r="E185">
            <v>5</v>
          </cell>
          <cell r="G185">
            <v>0</v>
          </cell>
          <cell r="H185">
            <v>0</v>
          </cell>
          <cell r="N185">
            <v>404.7</v>
          </cell>
          <cell r="O185">
            <v>0</v>
          </cell>
          <cell r="Q185">
            <v>0</v>
          </cell>
          <cell r="S185">
            <v>0</v>
          </cell>
          <cell r="U185">
            <v>0</v>
          </cell>
          <cell r="Y185">
            <v>8.75</v>
          </cell>
          <cell r="AB185">
            <v>12.05</v>
          </cell>
          <cell r="AE185" t="str">
            <v>20140101KUUM_365</v>
          </cell>
        </row>
        <row r="186">
          <cell r="B186" t="str">
            <v>Mar 2016</v>
          </cell>
          <cell r="C186" t="str">
            <v>LS</v>
          </cell>
          <cell r="D186" t="str">
            <v>KUUM_366</v>
          </cell>
          <cell r="E186">
            <v>9</v>
          </cell>
          <cell r="G186">
            <v>0</v>
          </cell>
          <cell r="H186">
            <v>0</v>
          </cell>
          <cell r="N186">
            <v>710.73</v>
          </cell>
          <cell r="O186">
            <v>0</v>
          </cell>
          <cell r="Q186">
            <v>0</v>
          </cell>
          <cell r="S186">
            <v>0</v>
          </cell>
          <cell r="U186">
            <v>0</v>
          </cell>
          <cell r="Y186">
            <v>15.75</v>
          </cell>
          <cell r="AB186">
            <v>21.69</v>
          </cell>
          <cell r="AE186" t="str">
            <v>20140101KUUM_366</v>
          </cell>
        </row>
        <row r="187">
          <cell r="B187" t="str">
            <v>Mar 2016</v>
          </cell>
          <cell r="C187" t="str">
            <v>LS</v>
          </cell>
          <cell r="D187" t="str">
            <v>KUUM_367</v>
          </cell>
          <cell r="E187">
            <v>25</v>
          </cell>
          <cell r="G187">
            <v>0</v>
          </cell>
          <cell r="H187">
            <v>0</v>
          </cell>
          <cell r="N187">
            <v>1530.75</v>
          </cell>
          <cell r="O187">
            <v>0</v>
          </cell>
          <cell r="Q187">
            <v>0</v>
          </cell>
          <cell r="S187">
            <v>0</v>
          </cell>
          <cell r="U187">
            <v>0</v>
          </cell>
          <cell r="Y187">
            <v>43.75</v>
          </cell>
          <cell r="AB187">
            <v>60.25</v>
          </cell>
          <cell r="AE187" t="str">
            <v>20140101KUUM_367</v>
          </cell>
        </row>
        <row r="188">
          <cell r="B188" t="str">
            <v>Mar 2016</v>
          </cell>
          <cell r="C188" t="str">
            <v>LS</v>
          </cell>
          <cell r="D188" t="str">
            <v>KUUM_368</v>
          </cell>
          <cell r="E188">
            <v>1</v>
          </cell>
          <cell r="G188">
            <v>0</v>
          </cell>
          <cell r="H188">
            <v>0</v>
          </cell>
          <cell r="N188">
            <v>56.69</v>
          </cell>
          <cell r="O188">
            <v>0</v>
          </cell>
          <cell r="Q188">
            <v>0</v>
          </cell>
          <cell r="S188">
            <v>0</v>
          </cell>
          <cell r="U188">
            <v>0</v>
          </cell>
          <cell r="Y188">
            <v>1.75</v>
          </cell>
          <cell r="AB188">
            <v>2.41</v>
          </cell>
          <cell r="AE188" t="str">
            <v>20140101KUUM_368</v>
          </cell>
        </row>
        <row r="189">
          <cell r="B189" t="str">
            <v>Mar 2016</v>
          </cell>
          <cell r="C189" t="str">
            <v>LS</v>
          </cell>
          <cell r="D189" t="str">
            <v>KUUM_370</v>
          </cell>
          <cell r="E189">
            <v>15</v>
          </cell>
          <cell r="G189">
            <v>0</v>
          </cell>
          <cell r="H189">
            <v>0</v>
          </cell>
          <cell r="N189">
            <v>1117.8</v>
          </cell>
          <cell r="O189">
            <v>0</v>
          </cell>
          <cell r="Q189">
            <v>0</v>
          </cell>
          <cell r="S189">
            <v>0</v>
          </cell>
          <cell r="U189">
            <v>0</v>
          </cell>
          <cell r="Y189">
            <v>26.25</v>
          </cell>
          <cell r="AB189">
            <v>36.150000000000006</v>
          </cell>
          <cell r="AE189" t="str">
            <v>20140101KUUM_370</v>
          </cell>
        </row>
        <row r="190">
          <cell r="B190" t="str">
            <v>Mar 2016</v>
          </cell>
          <cell r="C190" t="str">
            <v>LS</v>
          </cell>
          <cell r="D190" t="str">
            <v>KUUM_372</v>
          </cell>
          <cell r="E190">
            <v>1</v>
          </cell>
          <cell r="G190">
            <v>0</v>
          </cell>
          <cell r="H190">
            <v>0</v>
          </cell>
          <cell r="N190">
            <v>82.3</v>
          </cell>
          <cell r="O190">
            <v>0</v>
          </cell>
          <cell r="Q190">
            <v>0</v>
          </cell>
          <cell r="S190">
            <v>0</v>
          </cell>
          <cell r="U190">
            <v>0</v>
          </cell>
          <cell r="Y190">
            <v>1.75</v>
          </cell>
          <cell r="AB190">
            <v>2.41</v>
          </cell>
          <cell r="AE190" t="str">
            <v>20140101KUUM_372</v>
          </cell>
        </row>
        <row r="191">
          <cell r="B191" t="str">
            <v>Mar 2016</v>
          </cell>
          <cell r="C191" t="str">
            <v>LS</v>
          </cell>
          <cell r="D191" t="str">
            <v>KUUM_373</v>
          </cell>
          <cell r="E191">
            <v>20</v>
          </cell>
          <cell r="G191">
            <v>0</v>
          </cell>
          <cell r="H191">
            <v>0</v>
          </cell>
          <cell r="N191">
            <v>1490.4</v>
          </cell>
          <cell r="O191">
            <v>0</v>
          </cell>
          <cell r="Q191">
            <v>0</v>
          </cell>
          <cell r="S191">
            <v>0</v>
          </cell>
          <cell r="U191">
            <v>0</v>
          </cell>
          <cell r="Y191">
            <v>35</v>
          </cell>
          <cell r="AB191">
            <v>48.2</v>
          </cell>
          <cell r="AE191" t="str">
            <v>20140101KUUM_373</v>
          </cell>
        </row>
        <row r="192">
          <cell r="B192" t="str">
            <v>Mar 2016</v>
          </cell>
          <cell r="C192" t="str">
            <v>LS</v>
          </cell>
          <cell r="D192" t="str">
            <v>KUUM_374</v>
          </cell>
          <cell r="E192">
            <v>4</v>
          </cell>
          <cell r="G192">
            <v>0</v>
          </cell>
          <cell r="H192">
            <v>0</v>
          </cell>
          <cell r="N192">
            <v>303.52</v>
          </cell>
          <cell r="O192">
            <v>0</v>
          </cell>
          <cell r="Q192">
            <v>0</v>
          </cell>
          <cell r="S192">
            <v>0</v>
          </cell>
          <cell r="U192">
            <v>0</v>
          </cell>
          <cell r="Y192">
            <v>7</v>
          </cell>
          <cell r="AB192">
            <v>9.64</v>
          </cell>
          <cell r="AE192" t="str">
            <v>20140101KUUM_374</v>
          </cell>
        </row>
        <row r="193">
          <cell r="B193" t="str">
            <v>Mar 2016</v>
          </cell>
          <cell r="C193" t="str">
            <v>LS</v>
          </cell>
          <cell r="D193" t="str">
            <v>KUUM_375</v>
          </cell>
          <cell r="E193">
            <v>3</v>
          </cell>
          <cell r="G193">
            <v>0</v>
          </cell>
          <cell r="H193">
            <v>0</v>
          </cell>
          <cell r="N193">
            <v>236.91</v>
          </cell>
          <cell r="O193">
            <v>0</v>
          </cell>
          <cell r="Q193">
            <v>0</v>
          </cell>
          <cell r="S193">
            <v>0</v>
          </cell>
          <cell r="U193">
            <v>0</v>
          </cell>
          <cell r="Y193">
            <v>5.25</v>
          </cell>
          <cell r="AB193">
            <v>7.23</v>
          </cell>
          <cell r="AE193" t="str">
            <v>20140101KUUM_375</v>
          </cell>
        </row>
        <row r="194">
          <cell r="B194" t="str">
            <v>Mar 2016</v>
          </cell>
          <cell r="C194" t="str">
            <v>LS</v>
          </cell>
          <cell r="D194" t="str">
            <v>KUUM_376</v>
          </cell>
          <cell r="E194">
            <v>2</v>
          </cell>
          <cell r="G194">
            <v>0</v>
          </cell>
          <cell r="H194">
            <v>0</v>
          </cell>
          <cell r="N194">
            <v>154.52000000000001</v>
          </cell>
          <cell r="O194">
            <v>0</v>
          </cell>
          <cell r="Q194">
            <v>0</v>
          </cell>
          <cell r="S194">
            <v>0</v>
          </cell>
          <cell r="U194">
            <v>0</v>
          </cell>
          <cell r="Y194">
            <v>3.5</v>
          </cell>
          <cell r="AB194">
            <v>4.82</v>
          </cell>
          <cell r="AE194" t="str">
            <v>20140101KUUM_376</v>
          </cell>
        </row>
        <row r="195">
          <cell r="B195" t="str">
            <v>Mar 2016</v>
          </cell>
          <cell r="C195" t="str">
            <v>LS</v>
          </cell>
          <cell r="D195" t="str">
            <v>KUUM_377</v>
          </cell>
          <cell r="E195">
            <v>51</v>
          </cell>
          <cell r="G195">
            <v>0</v>
          </cell>
          <cell r="H195">
            <v>0</v>
          </cell>
          <cell r="N195">
            <v>3273.69</v>
          </cell>
          <cell r="O195">
            <v>0</v>
          </cell>
          <cell r="Q195">
            <v>0</v>
          </cell>
          <cell r="S195">
            <v>0</v>
          </cell>
          <cell r="U195">
            <v>0</v>
          </cell>
          <cell r="Y195">
            <v>89.25</v>
          </cell>
          <cell r="AB195">
            <v>122.91000000000001</v>
          </cell>
          <cell r="AE195" t="str">
            <v>20140101KUUM_377</v>
          </cell>
        </row>
        <row r="196">
          <cell r="B196" t="str">
            <v>Mar 2016</v>
          </cell>
          <cell r="C196" t="str">
            <v>LS</v>
          </cell>
          <cell r="D196" t="str">
            <v>KUUM_378</v>
          </cell>
          <cell r="E196">
            <v>2</v>
          </cell>
          <cell r="G196">
            <v>0</v>
          </cell>
          <cell r="H196">
            <v>0</v>
          </cell>
          <cell r="N196">
            <v>151.80000000000001</v>
          </cell>
          <cell r="O196">
            <v>0</v>
          </cell>
          <cell r="Q196">
            <v>0</v>
          </cell>
          <cell r="S196">
            <v>0</v>
          </cell>
          <cell r="U196">
            <v>0</v>
          </cell>
          <cell r="Y196">
            <v>3.5</v>
          </cell>
          <cell r="AB196">
            <v>4.82</v>
          </cell>
          <cell r="AE196" t="str">
            <v>20140101KUUM_378</v>
          </cell>
        </row>
        <row r="197">
          <cell r="B197" t="str">
            <v>Mar 2016</v>
          </cell>
          <cell r="C197" t="str">
            <v>LS</v>
          </cell>
          <cell r="D197" t="str">
            <v>KUUM_401</v>
          </cell>
          <cell r="E197">
            <v>52</v>
          </cell>
          <cell r="G197">
            <v>0</v>
          </cell>
          <cell r="H197">
            <v>0</v>
          </cell>
          <cell r="N197">
            <v>772.72</v>
          </cell>
          <cell r="O197">
            <v>0</v>
          </cell>
          <cell r="Q197">
            <v>0</v>
          </cell>
          <cell r="S197">
            <v>0</v>
          </cell>
          <cell r="U197">
            <v>0</v>
          </cell>
          <cell r="Y197">
            <v>41.6</v>
          </cell>
          <cell r="AB197">
            <v>22.36</v>
          </cell>
          <cell r="AE197" t="str">
            <v>20140101KUUM_401</v>
          </cell>
        </row>
        <row r="198">
          <cell r="B198" t="str">
            <v>Mar 2016</v>
          </cell>
          <cell r="C198" t="str">
            <v>RLS</v>
          </cell>
          <cell r="D198" t="str">
            <v>KUUM_404</v>
          </cell>
          <cell r="E198">
            <v>7279</v>
          </cell>
          <cell r="G198">
            <v>0</v>
          </cell>
          <cell r="H198">
            <v>0</v>
          </cell>
          <cell r="N198">
            <v>76939.03</v>
          </cell>
          <cell r="O198">
            <v>0</v>
          </cell>
          <cell r="Q198">
            <v>0</v>
          </cell>
          <cell r="S198">
            <v>0</v>
          </cell>
          <cell r="U198">
            <v>0</v>
          </cell>
          <cell r="Y198">
            <v>14485.21</v>
          </cell>
          <cell r="AB198">
            <v>2838.81</v>
          </cell>
          <cell r="AE198" t="str">
            <v>20140101KUUM_404</v>
          </cell>
        </row>
        <row r="199">
          <cell r="B199" t="str">
            <v>Mar 2016</v>
          </cell>
          <cell r="C199" t="str">
            <v>RLS</v>
          </cell>
          <cell r="D199" t="str">
            <v>KUUM_405</v>
          </cell>
          <cell r="E199">
            <v>0</v>
          </cell>
          <cell r="G199">
            <v>0</v>
          </cell>
          <cell r="H199">
            <v>0</v>
          </cell>
          <cell r="N199">
            <v>0</v>
          </cell>
          <cell r="O199">
            <v>0</v>
          </cell>
          <cell r="Q199">
            <v>0</v>
          </cell>
          <cell r="S199">
            <v>0</v>
          </cell>
          <cell r="U199">
            <v>0</v>
          </cell>
          <cell r="Y199">
            <v>0</v>
          </cell>
          <cell r="AB199">
            <v>0</v>
          </cell>
          <cell r="AE199" t="str">
            <v>20140101KUUM_405</v>
          </cell>
        </row>
        <row r="200">
          <cell r="B200" t="str">
            <v>Mar 2016</v>
          </cell>
          <cell r="C200" t="str">
            <v>LS</v>
          </cell>
          <cell r="D200" t="str">
            <v>KUUM_407</v>
          </cell>
          <cell r="E200">
            <v>0</v>
          </cell>
          <cell r="G200">
            <v>0</v>
          </cell>
          <cell r="H200">
            <v>0</v>
          </cell>
          <cell r="N200">
            <v>0</v>
          </cell>
          <cell r="O200">
            <v>0</v>
          </cell>
          <cell r="Q200">
            <v>0</v>
          </cell>
          <cell r="S200">
            <v>0</v>
          </cell>
          <cell r="U200">
            <v>0</v>
          </cell>
          <cell r="Y200">
            <v>0</v>
          </cell>
          <cell r="AB200">
            <v>0</v>
          </cell>
          <cell r="AE200" t="str">
            <v>20140101KUUM_407</v>
          </cell>
        </row>
        <row r="201">
          <cell r="B201" t="str">
            <v>Mar 2016</v>
          </cell>
          <cell r="C201" t="str">
            <v>RLS</v>
          </cell>
          <cell r="D201" t="str">
            <v>KUUM_409</v>
          </cell>
          <cell r="E201">
            <v>143</v>
          </cell>
          <cell r="G201">
            <v>0</v>
          </cell>
          <cell r="H201">
            <v>0</v>
          </cell>
          <cell r="N201">
            <v>1674.53</v>
          </cell>
          <cell r="O201">
            <v>0</v>
          </cell>
          <cell r="Q201">
            <v>0</v>
          </cell>
          <cell r="S201">
            <v>0</v>
          </cell>
          <cell r="U201">
            <v>0</v>
          </cell>
          <cell r="Y201">
            <v>647.79</v>
          </cell>
          <cell r="AB201">
            <v>112.97</v>
          </cell>
          <cell r="AE201" t="str">
            <v>20140101KUUM_409</v>
          </cell>
        </row>
        <row r="202">
          <cell r="B202" t="str">
            <v>Mar 2016</v>
          </cell>
          <cell r="C202" t="str">
            <v>RLS</v>
          </cell>
          <cell r="D202" t="str">
            <v>KUUM_410</v>
          </cell>
          <cell r="E202">
            <v>240</v>
          </cell>
          <cell r="G202">
            <v>0</v>
          </cell>
          <cell r="H202">
            <v>0</v>
          </cell>
          <cell r="N202">
            <v>4862.3999999999996</v>
          </cell>
          <cell r="O202">
            <v>0</v>
          </cell>
          <cell r="Q202">
            <v>0</v>
          </cell>
          <cell r="S202">
            <v>0</v>
          </cell>
          <cell r="U202">
            <v>0</v>
          </cell>
          <cell r="Y202">
            <v>136.80000000000001</v>
          </cell>
          <cell r="AB202">
            <v>79.2</v>
          </cell>
          <cell r="AE202" t="str">
            <v>20140101KUUM_410</v>
          </cell>
        </row>
        <row r="203">
          <cell r="B203" t="str">
            <v>Mar 2016</v>
          </cell>
          <cell r="C203" t="str">
            <v>LS</v>
          </cell>
          <cell r="D203" t="str">
            <v>KUUM_411</v>
          </cell>
          <cell r="E203">
            <v>145</v>
          </cell>
          <cell r="G203">
            <v>0</v>
          </cell>
          <cell r="H203">
            <v>0</v>
          </cell>
          <cell r="N203">
            <v>3100.1</v>
          </cell>
          <cell r="O203">
            <v>0</v>
          </cell>
          <cell r="Q203">
            <v>0</v>
          </cell>
          <cell r="S203">
            <v>0</v>
          </cell>
          <cell r="U203">
            <v>0</v>
          </cell>
          <cell r="Y203">
            <v>116</v>
          </cell>
          <cell r="AB203">
            <v>62.35</v>
          </cell>
          <cell r="AE203" t="str">
            <v>20140101KUUM_411</v>
          </cell>
        </row>
        <row r="204">
          <cell r="B204" t="str">
            <v>Mar 2016</v>
          </cell>
          <cell r="C204" t="str">
            <v>RLS</v>
          </cell>
          <cell r="D204" t="str">
            <v>KUUM_412</v>
          </cell>
          <cell r="E204">
            <v>28</v>
          </cell>
          <cell r="G204">
            <v>0</v>
          </cell>
          <cell r="H204">
            <v>0</v>
          </cell>
          <cell r="N204">
            <v>863.52</v>
          </cell>
          <cell r="O204">
            <v>0</v>
          </cell>
          <cell r="Q204">
            <v>0</v>
          </cell>
          <cell r="S204">
            <v>0</v>
          </cell>
          <cell r="U204">
            <v>0</v>
          </cell>
          <cell r="Y204">
            <v>22.4</v>
          </cell>
          <cell r="AB204">
            <v>12.04</v>
          </cell>
          <cell r="AE204" t="str">
            <v>20140101KUUM_412</v>
          </cell>
        </row>
        <row r="205">
          <cell r="B205" t="str">
            <v>Mar 2016</v>
          </cell>
          <cell r="C205" t="str">
            <v>RLS</v>
          </cell>
          <cell r="D205" t="str">
            <v>KUUM_413</v>
          </cell>
          <cell r="E205">
            <v>96</v>
          </cell>
          <cell r="G205">
            <v>0</v>
          </cell>
          <cell r="H205">
            <v>0</v>
          </cell>
          <cell r="N205">
            <v>2997.12</v>
          </cell>
          <cell r="O205">
            <v>0</v>
          </cell>
          <cell r="Q205">
            <v>0</v>
          </cell>
          <cell r="S205">
            <v>0</v>
          </cell>
          <cell r="U205">
            <v>0</v>
          </cell>
          <cell r="Y205">
            <v>108.48</v>
          </cell>
          <cell r="AB205">
            <v>32.64</v>
          </cell>
          <cell r="AE205" t="str">
            <v>20140101KUUM_413</v>
          </cell>
        </row>
        <row r="206">
          <cell r="B206" t="str">
            <v>Mar 2016</v>
          </cell>
          <cell r="C206" t="str">
            <v>LS</v>
          </cell>
          <cell r="D206" t="str">
            <v>KUUM_414</v>
          </cell>
          <cell r="E206">
            <v>21</v>
          </cell>
          <cell r="G206">
            <v>0</v>
          </cell>
          <cell r="H206">
            <v>0</v>
          </cell>
          <cell r="N206">
            <v>647.64</v>
          </cell>
          <cell r="O206">
            <v>0</v>
          </cell>
          <cell r="Q206">
            <v>0</v>
          </cell>
          <cell r="S206">
            <v>0</v>
          </cell>
          <cell r="U206">
            <v>0</v>
          </cell>
          <cell r="Y206">
            <v>16.8</v>
          </cell>
          <cell r="AB206">
            <v>9.0299999999999994</v>
          </cell>
          <cell r="AE206" t="str">
            <v>20140101KUUM_414</v>
          </cell>
        </row>
        <row r="207">
          <cell r="B207" t="str">
            <v>Mar 2016</v>
          </cell>
          <cell r="C207" t="str">
            <v>LS</v>
          </cell>
          <cell r="D207" t="str">
            <v>KUUM_415</v>
          </cell>
          <cell r="E207">
            <v>10</v>
          </cell>
          <cell r="G207">
            <v>0</v>
          </cell>
          <cell r="H207">
            <v>0</v>
          </cell>
          <cell r="N207">
            <v>312.2</v>
          </cell>
          <cell r="O207">
            <v>0</v>
          </cell>
          <cell r="Q207">
            <v>0</v>
          </cell>
          <cell r="S207">
            <v>0</v>
          </cell>
          <cell r="U207">
            <v>0</v>
          </cell>
          <cell r="Y207">
            <v>11.3</v>
          </cell>
          <cell r="AB207">
            <v>3.4000000000000004</v>
          </cell>
          <cell r="AE207" t="str">
            <v>20140101KUUM_415</v>
          </cell>
        </row>
        <row r="208">
          <cell r="B208" t="str">
            <v>Mar 2016</v>
          </cell>
          <cell r="C208" t="str">
            <v>LS</v>
          </cell>
          <cell r="D208" t="str">
            <v>KUUM_420</v>
          </cell>
          <cell r="E208">
            <v>466</v>
          </cell>
          <cell r="G208">
            <v>0</v>
          </cell>
          <cell r="H208">
            <v>0</v>
          </cell>
          <cell r="N208">
            <v>7157.76</v>
          </cell>
          <cell r="O208">
            <v>0</v>
          </cell>
          <cell r="Q208">
            <v>0</v>
          </cell>
          <cell r="S208">
            <v>0</v>
          </cell>
          <cell r="U208">
            <v>0</v>
          </cell>
          <cell r="Y208">
            <v>526.58000000000004</v>
          </cell>
          <cell r="AB208">
            <v>158.44</v>
          </cell>
          <cell r="AE208" t="str">
            <v>20140101KUUM_420</v>
          </cell>
        </row>
        <row r="209">
          <cell r="B209" t="str">
            <v>Mar 2016</v>
          </cell>
          <cell r="C209" t="str">
            <v>RLS</v>
          </cell>
          <cell r="D209" t="str">
            <v>KUUM_421</v>
          </cell>
          <cell r="E209">
            <v>5</v>
          </cell>
          <cell r="G209">
            <v>0</v>
          </cell>
          <cell r="H209">
            <v>0</v>
          </cell>
          <cell r="N209">
            <v>16.95</v>
          </cell>
          <cell r="O209">
            <v>0</v>
          </cell>
          <cell r="Q209">
            <v>0</v>
          </cell>
          <cell r="S209">
            <v>0</v>
          </cell>
          <cell r="U209">
            <v>0</v>
          </cell>
          <cell r="Y209">
            <v>4.95</v>
          </cell>
          <cell r="AB209">
            <v>0.6</v>
          </cell>
          <cell r="AE209" t="str">
            <v>20140101KUUM_421</v>
          </cell>
        </row>
        <row r="210">
          <cell r="B210" t="str">
            <v>Mar 2016</v>
          </cell>
          <cell r="C210" t="str">
            <v>RLS</v>
          </cell>
          <cell r="D210" t="str">
            <v>KUUM_422</v>
          </cell>
          <cell r="E210">
            <v>678</v>
          </cell>
          <cell r="G210">
            <v>0</v>
          </cell>
          <cell r="H210">
            <v>0</v>
          </cell>
          <cell r="N210">
            <v>3078.12</v>
          </cell>
          <cell r="O210">
            <v>0</v>
          </cell>
          <cell r="Q210">
            <v>0</v>
          </cell>
          <cell r="S210">
            <v>0</v>
          </cell>
          <cell r="U210">
            <v>0</v>
          </cell>
          <cell r="Y210">
            <v>1315.32</v>
          </cell>
          <cell r="AB210">
            <v>108.48</v>
          </cell>
          <cell r="AE210" t="str">
            <v>20140101KUUM_422</v>
          </cell>
        </row>
        <row r="211">
          <cell r="B211" t="str">
            <v>Mar 2016</v>
          </cell>
          <cell r="C211" t="str">
            <v>RLS</v>
          </cell>
          <cell r="D211" t="str">
            <v>KUUM_424</v>
          </cell>
          <cell r="E211">
            <v>70</v>
          </cell>
          <cell r="G211">
            <v>0</v>
          </cell>
          <cell r="H211">
            <v>0</v>
          </cell>
          <cell r="N211">
            <v>474.6</v>
          </cell>
          <cell r="O211">
            <v>0</v>
          </cell>
          <cell r="Q211">
            <v>0</v>
          </cell>
          <cell r="S211">
            <v>0</v>
          </cell>
          <cell r="U211">
            <v>0</v>
          </cell>
          <cell r="Y211">
            <v>49</v>
          </cell>
          <cell r="AB211">
            <v>16.8</v>
          </cell>
          <cell r="AE211" t="str">
            <v>20140101KUUM_424</v>
          </cell>
        </row>
        <row r="212">
          <cell r="B212" t="str">
            <v>Mar 2016</v>
          </cell>
          <cell r="C212" t="str">
            <v>RLS</v>
          </cell>
          <cell r="D212" t="str">
            <v>KUUM_425</v>
          </cell>
          <cell r="E212">
            <v>2</v>
          </cell>
          <cell r="G212">
            <v>0</v>
          </cell>
          <cell r="H212">
            <v>0</v>
          </cell>
          <cell r="N212">
            <v>18.12</v>
          </cell>
          <cell r="O212">
            <v>0</v>
          </cell>
          <cell r="Q212">
            <v>0</v>
          </cell>
          <cell r="S212">
            <v>0</v>
          </cell>
          <cell r="U212">
            <v>0</v>
          </cell>
          <cell r="Y212">
            <v>8.6</v>
          </cell>
          <cell r="AB212">
            <v>0.66</v>
          </cell>
          <cell r="AE212" t="str">
            <v>20140101KUUM_425</v>
          </cell>
        </row>
        <row r="213">
          <cell r="B213" t="str">
            <v>Mar 2016</v>
          </cell>
          <cell r="C213" t="str">
            <v>RLS</v>
          </cell>
          <cell r="D213" t="str">
            <v>KUUM_426</v>
          </cell>
          <cell r="E213">
            <v>170</v>
          </cell>
          <cell r="G213">
            <v>0</v>
          </cell>
          <cell r="H213">
            <v>0</v>
          </cell>
          <cell r="N213">
            <v>1264.8</v>
          </cell>
          <cell r="O213">
            <v>0</v>
          </cell>
          <cell r="Q213">
            <v>0</v>
          </cell>
          <cell r="S213">
            <v>0</v>
          </cell>
          <cell r="U213">
            <v>0</v>
          </cell>
          <cell r="Y213">
            <v>136</v>
          </cell>
          <cell r="AB213">
            <v>73.099999999999994</v>
          </cell>
          <cell r="AE213" t="str">
            <v>20140101KUUM_426</v>
          </cell>
        </row>
        <row r="214">
          <cell r="B214" t="str">
            <v>Mar 2016</v>
          </cell>
          <cell r="C214" t="str">
            <v>LS</v>
          </cell>
          <cell r="D214" t="str">
            <v>KUUM_428</v>
          </cell>
          <cell r="E214">
            <v>36727</v>
          </cell>
          <cell r="G214">
            <v>0</v>
          </cell>
          <cell r="H214">
            <v>408</v>
          </cell>
          <cell r="N214">
            <v>287939.68</v>
          </cell>
          <cell r="O214">
            <v>0</v>
          </cell>
          <cell r="Q214">
            <v>0</v>
          </cell>
          <cell r="S214">
            <v>0</v>
          </cell>
          <cell r="U214">
            <v>0</v>
          </cell>
          <cell r="Y214">
            <v>41501.51</v>
          </cell>
          <cell r="AB214">
            <v>12487.18</v>
          </cell>
          <cell r="AE214" t="str">
            <v>20140101KUUM_428</v>
          </cell>
        </row>
        <row r="215">
          <cell r="B215" t="str">
            <v>Mar 2016</v>
          </cell>
          <cell r="C215" t="str">
            <v>LS</v>
          </cell>
          <cell r="D215" t="str">
            <v>KUUM_429</v>
          </cell>
          <cell r="E215">
            <v>0</v>
          </cell>
          <cell r="G215">
            <v>0</v>
          </cell>
          <cell r="H215">
            <v>0</v>
          </cell>
          <cell r="N215">
            <v>0</v>
          </cell>
          <cell r="O215">
            <v>0</v>
          </cell>
          <cell r="Q215">
            <v>0</v>
          </cell>
          <cell r="S215">
            <v>0</v>
          </cell>
          <cell r="U215">
            <v>0</v>
          </cell>
          <cell r="Y215">
            <v>0</v>
          </cell>
          <cell r="AB215">
            <v>0</v>
          </cell>
          <cell r="AE215" t="str">
            <v>20140101KUUM_429</v>
          </cell>
        </row>
        <row r="216">
          <cell r="B216" t="str">
            <v>Mar 2016</v>
          </cell>
          <cell r="C216" t="str">
            <v>LS</v>
          </cell>
          <cell r="D216" t="str">
            <v>KUUM_430</v>
          </cell>
          <cell r="E216">
            <v>1180</v>
          </cell>
          <cell r="G216">
            <v>0</v>
          </cell>
          <cell r="H216">
            <v>0</v>
          </cell>
          <cell r="N216">
            <v>25960</v>
          </cell>
          <cell r="O216">
            <v>0</v>
          </cell>
          <cell r="Q216">
            <v>0</v>
          </cell>
          <cell r="S216">
            <v>0</v>
          </cell>
          <cell r="U216">
            <v>0</v>
          </cell>
          <cell r="Y216">
            <v>1333.4</v>
          </cell>
          <cell r="AB216">
            <v>401.20000000000005</v>
          </cell>
          <cell r="AE216" t="str">
            <v>20140101KUUM_430</v>
          </cell>
        </row>
        <row r="217">
          <cell r="B217" t="str">
            <v>Mar 2016</v>
          </cell>
          <cell r="C217" t="str">
            <v>RLS</v>
          </cell>
          <cell r="D217" t="str">
            <v>KUUM_434</v>
          </cell>
          <cell r="E217">
            <v>5</v>
          </cell>
          <cell r="G217">
            <v>0</v>
          </cell>
          <cell r="H217">
            <v>0</v>
          </cell>
          <cell r="N217">
            <v>38.700000000000003</v>
          </cell>
          <cell r="O217">
            <v>0</v>
          </cell>
          <cell r="Q217">
            <v>0</v>
          </cell>
          <cell r="S217">
            <v>0</v>
          </cell>
          <cell r="U217">
            <v>0</v>
          </cell>
          <cell r="Y217">
            <v>3.5</v>
          </cell>
          <cell r="AB217">
            <v>1.2</v>
          </cell>
          <cell r="AE217" t="str">
            <v>20140101KUUM_434</v>
          </cell>
        </row>
        <row r="218">
          <cell r="B218" t="str">
            <v>Mar 2016</v>
          </cell>
          <cell r="C218" t="str">
            <v>RLS</v>
          </cell>
          <cell r="D218" t="str">
            <v>KUUM_440</v>
          </cell>
          <cell r="E218">
            <v>2</v>
          </cell>
          <cell r="G218">
            <v>0</v>
          </cell>
          <cell r="H218">
            <v>0</v>
          </cell>
          <cell r="N218">
            <v>27.22</v>
          </cell>
          <cell r="O218">
            <v>0</v>
          </cell>
          <cell r="Q218">
            <v>0</v>
          </cell>
          <cell r="S218">
            <v>0</v>
          </cell>
          <cell r="U218">
            <v>0</v>
          </cell>
          <cell r="Y218">
            <v>1.1399999999999999</v>
          </cell>
          <cell r="AB218">
            <v>0.66</v>
          </cell>
          <cell r="AE218" t="str">
            <v>20140101KUUM_440</v>
          </cell>
        </row>
        <row r="219">
          <cell r="B219" t="str">
            <v>Mar 2016</v>
          </cell>
          <cell r="C219" t="str">
            <v>RLS</v>
          </cell>
          <cell r="D219" t="str">
            <v>KUUM_446</v>
          </cell>
          <cell r="E219">
            <v>1086</v>
          </cell>
          <cell r="G219">
            <v>0</v>
          </cell>
          <cell r="H219">
            <v>0</v>
          </cell>
          <cell r="N219">
            <v>10382.16</v>
          </cell>
          <cell r="O219">
            <v>0</v>
          </cell>
          <cell r="Q219">
            <v>0</v>
          </cell>
          <cell r="S219">
            <v>0</v>
          </cell>
          <cell r="U219">
            <v>0</v>
          </cell>
          <cell r="Y219">
            <v>2161.14</v>
          </cell>
          <cell r="AB219">
            <v>423.54</v>
          </cell>
          <cell r="AE219" t="str">
            <v>20140101KUUM_446</v>
          </cell>
        </row>
        <row r="220">
          <cell r="B220" t="str">
            <v>Mar 2016</v>
          </cell>
          <cell r="C220" t="str">
            <v>RLS</v>
          </cell>
          <cell r="D220" t="str">
            <v>KUUM_447</v>
          </cell>
          <cell r="E220">
            <v>743</v>
          </cell>
          <cell r="G220">
            <v>0</v>
          </cell>
          <cell r="H220">
            <v>0</v>
          </cell>
          <cell r="N220">
            <v>8410.76</v>
          </cell>
          <cell r="O220">
            <v>0</v>
          </cell>
          <cell r="Q220">
            <v>0</v>
          </cell>
          <cell r="S220">
            <v>0</v>
          </cell>
          <cell r="U220">
            <v>0</v>
          </cell>
          <cell r="Y220">
            <v>2110.12</v>
          </cell>
          <cell r="AB220">
            <v>326.92</v>
          </cell>
          <cell r="AE220" t="str">
            <v>20140101KUUM_447</v>
          </cell>
        </row>
        <row r="221">
          <cell r="B221" t="str">
            <v>Mar 2016</v>
          </cell>
          <cell r="C221" t="str">
            <v>RLS</v>
          </cell>
          <cell r="D221" t="str">
            <v>KUUM_448</v>
          </cell>
          <cell r="E221">
            <v>1487</v>
          </cell>
          <cell r="G221">
            <v>0</v>
          </cell>
          <cell r="H221">
            <v>0</v>
          </cell>
          <cell r="N221">
            <v>19048.47</v>
          </cell>
          <cell r="O221">
            <v>0</v>
          </cell>
          <cell r="Q221">
            <v>0</v>
          </cell>
          <cell r="S221">
            <v>0</v>
          </cell>
          <cell r="U221">
            <v>0</v>
          </cell>
          <cell r="Y221">
            <v>6498.19</v>
          </cell>
          <cell r="AB221">
            <v>758.37</v>
          </cell>
          <cell r="AE221" t="str">
            <v>20140101KUUM_448</v>
          </cell>
        </row>
        <row r="222">
          <cell r="B222" t="str">
            <v>Mar 2016</v>
          </cell>
          <cell r="C222" t="str">
            <v>LS</v>
          </cell>
          <cell r="D222" t="str">
            <v>KUUM_450</v>
          </cell>
          <cell r="E222">
            <v>664</v>
          </cell>
          <cell r="G222">
            <v>0</v>
          </cell>
          <cell r="H222">
            <v>0</v>
          </cell>
          <cell r="N222">
            <v>9462</v>
          </cell>
          <cell r="O222">
            <v>0</v>
          </cell>
          <cell r="Q222">
            <v>0</v>
          </cell>
          <cell r="S222">
            <v>0</v>
          </cell>
          <cell r="U222">
            <v>0</v>
          </cell>
          <cell r="Y222">
            <v>1308.08</v>
          </cell>
          <cell r="AB222">
            <v>438.24</v>
          </cell>
          <cell r="AE222" t="str">
            <v>20140101KUUM_450</v>
          </cell>
        </row>
        <row r="223">
          <cell r="B223" t="str">
            <v>Mar 2016</v>
          </cell>
          <cell r="C223" t="str">
            <v>LS</v>
          </cell>
          <cell r="D223" t="str">
            <v>KUUM_451</v>
          </cell>
          <cell r="E223">
            <v>5146</v>
          </cell>
          <cell r="G223">
            <v>0</v>
          </cell>
          <cell r="H223">
            <v>0</v>
          </cell>
          <cell r="N223">
            <v>103949.2</v>
          </cell>
          <cell r="O223">
            <v>0</v>
          </cell>
          <cell r="Q223">
            <v>0</v>
          </cell>
          <cell r="S223">
            <v>0</v>
          </cell>
          <cell r="U223">
            <v>0</v>
          </cell>
          <cell r="Y223">
            <v>22076.34</v>
          </cell>
          <cell r="AB223">
            <v>4322.6399999999994</v>
          </cell>
          <cell r="AE223" t="str">
            <v>20140101KUUM_451</v>
          </cell>
        </row>
        <row r="224">
          <cell r="B224" t="str">
            <v>Mar 2016</v>
          </cell>
          <cell r="C224" t="str">
            <v>LS</v>
          </cell>
          <cell r="D224" t="str">
            <v>KUUM_452</v>
          </cell>
          <cell r="E224">
            <v>1044</v>
          </cell>
          <cell r="G224">
            <v>0</v>
          </cell>
          <cell r="H224">
            <v>0</v>
          </cell>
          <cell r="N224">
            <v>44213.4</v>
          </cell>
          <cell r="O224">
            <v>0</v>
          </cell>
          <cell r="Q224">
            <v>0</v>
          </cell>
          <cell r="S224">
            <v>0</v>
          </cell>
          <cell r="U224">
            <v>0</v>
          </cell>
          <cell r="Y224">
            <v>10868.04</v>
          </cell>
          <cell r="AB224">
            <v>1774.8</v>
          </cell>
          <cell r="AE224" t="str">
            <v>20140101KUUM_452</v>
          </cell>
        </row>
        <row r="225">
          <cell r="B225" t="str">
            <v>Mar 2016</v>
          </cell>
          <cell r="C225" t="str">
            <v>RLS</v>
          </cell>
          <cell r="D225" t="str">
            <v>KUUM_454</v>
          </cell>
          <cell r="E225">
            <v>151</v>
          </cell>
          <cell r="G225">
            <v>0</v>
          </cell>
          <cell r="H225">
            <v>0</v>
          </cell>
          <cell r="N225">
            <v>2816.15</v>
          </cell>
          <cell r="O225">
            <v>0</v>
          </cell>
          <cell r="Q225">
            <v>0</v>
          </cell>
          <cell r="S225">
            <v>0</v>
          </cell>
          <cell r="U225">
            <v>0</v>
          </cell>
          <cell r="Y225">
            <v>297.47000000000003</v>
          </cell>
          <cell r="AB225">
            <v>99.660000000000011</v>
          </cell>
          <cell r="AE225" t="str">
            <v>20140101KUUM_454</v>
          </cell>
        </row>
        <row r="226">
          <cell r="B226" t="str">
            <v>Mar 2016</v>
          </cell>
          <cell r="C226" t="str">
            <v>RLS</v>
          </cell>
          <cell r="D226" t="str">
            <v>KUUM_455</v>
          </cell>
          <cell r="E226">
            <v>1035</v>
          </cell>
          <cell r="G226">
            <v>0</v>
          </cell>
          <cell r="H226">
            <v>0</v>
          </cell>
          <cell r="N226">
            <v>25450.65</v>
          </cell>
          <cell r="O226">
            <v>0</v>
          </cell>
          <cell r="Q226">
            <v>0</v>
          </cell>
          <cell r="S226">
            <v>0</v>
          </cell>
          <cell r="U226">
            <v>0</v>
          </cell>
          <cell r="Y226">
            <v>4440.1499999999996</v>
          </cell>
          <cell r="AB226">
            <v>869.4</v>
          </cell>
          <cell r="AE226" t="str">
            <v>20140101KUUM_455</v>
          </cell>
        </row>
        <row r="227">
          <cell r="B227" t="str">
            <v>Mar 2016</v>
          </cell>
          <cell r="C227" t="str">
            <v>RLS</v>
          </cell>
          <cell r="D227" t="str">
            <v>KUUM_456</v>
          </cell>
          <cell r="E227">
            <v>140</v>
          </cell>
          <cell r="G227">
            <v>0</v>
          </cell>
          <cell r="H227">
            <v>0</v>
          </cell>
          <cell r="N227">
            <v>1661.8</v>
          </cell>
          <cell r="O227">
            <v>0</v>
          </cell>
          <cell r="Q227">
            <v>0</v>
          </cell>
          <cell r="S227">
            <v>0</v>
          </cell>
          <cell r="U227">
            <v>0</v>
          </cell>
          <cell r="Y227">
            <v>278.60000000000002</v>
          </cell>
          <cell r="AB227">
            <v>54.6</v>
          </cell>
          <cell r="AE227" t="str">
            <v>20140101KUUM_456</v>
          </cell>
        </row>
        <row r="228">
          <cell r="B228" t="str">
            <v>Mar 2016</v>
          </cell>
          <cell r="C228" t="str">
            <v>RLS</v>
          </cell>
          <cell r="D228" t="str">
            <v>KUUM_457</v>
          </cell>
          <cell r="E228">
            <v>454</v>
          </cell>
          <cell r="G228">
            <v>0</v>
          </cell>
          <cell r="H228">
            <v>0</v>
          </cell>
          <cell r="N228">
            <v>6065.44</v>
          </cell>
          <cell r="O228">
            <v>0</v>
          </cell>
          <cell r="Q228">
            <v>0</v>
          </cell>
          <cell r="S228">
            <v>0</v>
          </cell>
          <cell r="U228">
            <v>0</v>
          </cell>
          <cell r="Y228">
            <v>1289.3599999999999</v>
          </cell>
          <cell r="AB228">
            <v>199.76</v>
          </cell>
          <cell r="AE228" t="str">
            <v>20140101KUUM_457</v>
          </cell>
        </row>
        <row r="229">
          <cell r="B229" t="str">
            <v>Mar 2016</v>
          </cell>
          <cell r="C229" t="str">
            <v>RLS</v>
          </cell>
          <cell r="D229" t="str">
            <v>KUUM_458</v>
          </cell>
          <cell r="E229">
            <v>1480</v>
          </cell>
          <cell r="G229">
            <v>0</v>
          </cell>
          <cell r="H229">
            <v>0</v>
          </cell>
          <cell r="N229">
            <v>22318.400000000001</v>
          </cell>
          <cell r="O229">
            <v>0</v>
          </cell>
          <cell r="Q229">
            <v>0</v>
          </cell>
          <cell r="S229">
            <v>0</v>
          </cell>
          <cell r="U229">
            <v>0</v>
          </cell>
          <cell r="Y229">
            <v>6467.6</v>
          </cell>
          <cell r="AB229">
            <v>754.80000000000007</v>
          </cell>
          <cell r="AE229" t="str">
            <v>20140101KUUM_458</v>
          </cell>
        </row>
        <row r="230">
          <cell r="B230" t="str">
            <v>Mar 2016</v>
          </cell>
          <cell r="C230" t="str">
            <v>RLS</v>
          </cell>
          <cell r="D230" t="str">
            <v>KUUM_459</v>
          </cell>
          <cell r="E230">
            <v>228</v>
          </cell>
          <cell r="G230">
            <v>0</v>
          </cell>
          <cell r="H230">
            <v>0</v>
          </cell>
          <cell r="N230">
            <v>10656.72</v>
          </cell>
          <cell r="O230">
            <v>0</v>
          </cell>
          <cell r="Q230">
            <v>0</v>
          </cell>
          <cell r="S230">
            <v>0</v>
          </cell>
          <cell r="U230">
            <v>0</v>
          </cell>
          <cell r="Y230">
            <v>2373.48</v>
          </cell>
          <cell r="AB230">
            <v>387.59999999999997</v>
          </cell>
          <cell r="AE230" t="str">
            <v>20140101KUUM_459</v>
          </cell>
        </row>
        <row r="231">
          <cell r="B231" t="str">
            <v>Mar 2016</v>
          </cell>
          <cell r="C231" t="str">
            <v>RLS</v>
          </cell>
          <cell r="D231" t="str">
            <v>KUUM_460</v>
          </cell>
          <cell r="E231">
            <v>27</v>
          </cell>
          <cell r="G231">
            <v>0</v>
          </cell>
          <cell r="H231">
            <v>0</v>
          </cell>
          <cell r="N231">
            <v>733.05</v>
          </cell>
          <cell r="O231">
            <v>0</v>
          </cell>
          <cell r="Q231">
            <v>0</v>
          </cell>
          <cell r="S231">
            <v>0</v>
          </cell>
          <cell r="U231">
            <v>0</v>
          </cell>
          <cell r="Y231">
            <v>53.19</v>
          </cell>
          <cell r="AB231">
            <v>17.82</v>
          </cell>
          <cell r="AE231" t="str">
            <v>20140101KUUM_460</v>
          </cell>
        </row>
        <row r="232">
          <cell r="B232" t="str">
            <v>Mar 2016</v>
          </cell>
          <cell r="C232" t="str">
            <v>RLS</v>
          </cell>
          <cell r="D232" t="str">
            <v>KUUM_461</v>
          </cell>
          <cell r="E232">
            <v>6927</v>
          </cell>
          <cell r="G232">
            <v>0</v>
          </cell>
          <cell r="H232">
            <v>0</v>
          </cell>
          <cell r="N232">
            <v>52229.58</v>
          </cell>
          <cell r="O232">
            <v>0</v>
          </cell>
          <cell r="Q232">
            <v>0</v>
          </cell>
          <cell r="S232">
            <v>0</v>
          </cell>
          <cell r="U232">
            <v>0</v>
          </cell>
          <cell r="Y232">
            <v>3948.39</v>
          </cell>
          <cell r="AB232">
            <v>2285.9100000000003</v>
          </cell>
          <cell r="AE232" t="str">
            <v>20140101KUUM_461</v>
          </cell>
        </row>
        <row r="233">
          <cell r="B233" t="str">
            <v>Mar 2016</v>
          </cell>
          <cell r="C233" t="str">
            <v>LS</v>
          </cell>
          <cell r="D233" t="str">
            <v>KUUM_462</v>
          </cell>
          <cell r="E233">
            <v>8846</v>
          </cell>
          <cell r="G233">
            <v>0</v>
          </cell>
          <cell r="H233">
            <v>0</v>
          </cell>
          <cell r="N233">
            <v>76606.36</v>
          </cell>
          <cell r="O233">
            <v>0</v>
          </cell>
          <cell r="Q233">
            <v>0</v>
          </cell>
          <cell r="S233">
            <v>0</v>
          </cell>
          <cell r="U233">
            <v>0</v>
          </cell>
          <cell r="Y233">
            <v>7076.8</v>
          </cell>
          <cell r="AB233">
            <v>3803.7799999999997</v>
          </cell>
          <cell r="AE233" t="str">
            <v>20140101KUUM_462</v>
          </cell>
        </row>
        <row r="234">
          <cell r="B234" t="str">
            <v>Mar 2016</v>
          </cell>
          <cell r="C234" t="str">
            <v>LS</v>
          </cell>
          <cell r="D234" t="str">
            <v>KUUM_463</v>
          </cell>
          <cell r="E234">
            <v>20615</v>
          </cell>
          <cell r="G234">
            <v>0</v>
          </cell>
          <cell r="H234">
            <v>0</v>
          </cell>
          <cell r="N234">
            <v>188421.1</v>
          </cell>
          <cell r="O234">
            <v>0</v>
          </cell>
          <cell r="Q234">
            <v>0</v>
          </cell>
          <cell r="S234">
            <v>0</v>
          </cell>
          <cell r="U234">
            <v>0</v>
          </cell>
          <cell r="Y234">
            <v>23294.95</v>
          </cell>
          <cell r="AB234">
            <v>7009.1</v>
          </cell>
          <cell r="AE234" t="str">
            <v>20140101KUUM_463</v>
          </cell>
        </row>
        <row r="235">
          <cell r="B235" t="str">
            <v>Mar 2016</v>
          </cell>
          <cell r="C235" t="str">
            <v>LS</v>
          </cell>
          <cell r="D235" t="str">
            <v>KUUM_464</v>
          </cell>
          <cell r="E235">
            <v>7599</v>
          </cell>
          <cell r="G235">
            <v>0</v>
          </cell>
          <cell r="H235">
            <v>0</v>
          </cell>
          <cell r="N235">
            <v>108285.75</v>
          </cell>
          <cell r="O235">
            <v>0</v>
          </cell>
          <cell r="Q235">
            <v>0</v>
          </cell>
          <cell r="S235">
            <v>0</v>
          </cell>
          <cell r="U235">
            <v>0</v>
          </cell>
          <cell r="Y235">
            <v>17705.669999999998</v>
          </cell>
          <cell r="AB235">
            <v>4407.42</v>
          </cell>
          <cell r="AE235" t="str">
            <v>20140101KUUM_464</v>
          </cell>
        </row>
        <row r="236">
          <cell r="B236" t="str">
            <v>Mar 2016</v>
          </cell>
          <cell r="C236" t="str">
            <v>LS</v>
          </cell>
          <cell r="D236" t="str">
            <v>KUUM_465</v>
          </cell>
          <cell r="E236">
            <v>2814</v>
          </cell>
          <cell r="G236">
            <v>0</v>
          </cell>
          <cell r="H236">
            <v>0</v>
          </cell>
          <cell r="N236">
            <v>64271.76</v>
          </cell>
          <cell r="O236">
            <v>0</v>
          </cell>
          <cell r="Q236">
            <v>0</v>
          </cell>
          <cell r="S236">
            <v>0</v>
          </cell>
          <cell r="U236">
            <v>0</v>
          </cell>
          <cell r="Y236">
            <v>12747.42</v>
          </cell>
          <cell r="AB236">
            <v>2223.06</v>
          </cell>
          <cell r="AE236" t="str">
            <v>20140101KUUM_465</v>
          </cell>
        </row>
        <row r="237">
          <cell r="B237" t="str">
            <v>Mar 2016</v>
          </cell>
          <cell r="C237" t="str">
            <v>RLS</v>
          </cell>
          <cell r="D237" t="str">
            <v>KUUM_466</v>
          </cell>
          <cell r="E237">
            <v>858</v>
          </cell>
          <cell r="G237">
            <v>0</v>
          </cell>
          <cell r="H237">
            <v>0</v>
          </cell>
          <cell r="N237">
            <v>8253.9599999999991</v>
          </cell>
          <cell r="O237">
            <v>0</v>
          </cell>
          <cell r="Q237">
            <v>0</v>
          </cell>
          <cell r="S237">
            <v>0</v>
          </cell>
          <cell r="U237">
            <v>0</v>
          </cell>
          <cell r="Y237">
            <v>489.06</v>
          </cell>
          <cell r="AB237">
            <v>283.14</v>
          </cell>
          <cell r="AE237" t="str">
            <v>20140101KUUM_466</v>
          </cell>
        </row>
        <row r="238">
          <cell r="B238" t="str">
            <v>Mar 2016</v>
          </cell>
          <cell r="C238" t="str">
            <v>LS</v>
          </cell>
          <cell r="D238" t="str">
            <v>KUUM_467</v>
          </cell>
          <cell r="E238">
            <v>1355</v>
          </cell>
          <cell r="G238">
            <v>0</v>
          </cell>
          <cell r="H238">
            <v>0</v>
          </cell>
          <cell r="N238">
            <v>14593.35</v>
          </cell>
          <cell r="O238">
            <v>0</v>
          </cell>
          <cell r="Q238">
            <v>0</v>
          </cell>
          <cell r="S238">
            <v>0</v>
          </cell>
          <cell r="U238">
            <v>0</v>
          </cell>
          <cell r="Y238">
            <v>1084</v>
          </cell>
          <cell r="AB238">
            <v>582.65</v>
          </cell>
          <cell r="AE238" t="str">
            <v>20140101KUUM_467</v>
          </cell>
        </row>
        <row r="239">
          <cell r="B239" t="str">
            <v>Mar 2016</v>
          </cell>
          <cell r="C239" t="str">
            <v>LS</v>
          </cell>
          <cell r="D239" t="str">
            <v>KUUM_468</v>
          </cell>
          <cell r="E239">
            <v>3987</v>
          </cell>
          <cell r="G239">
            <v>0</v>
          </cell>
          <cell r="H239">
            <v>0</v>
          </cell>
          <cell r="N239">
            <v>44494.92</v>
          </cell>
          <cell r="O239">
            <v>0</v>
          </cell>
          <cell r="Q239">
            <v>0</v>
          </cell>
          <cell r="S239">
            <v>0</v>
          </cell>
          <cell r="U239">
            <v>0</v>
          </cell>
          <cell r="Y239">
            <v>4505.3100000000004</v>
          </cell>
          <cell r="AB239">
            <v>1355.5800000000002</v>
          </cell>
          <cell r="AE239" t="str">
            <v>20140101KUUM_468</v>
          </cell>
        </row>
        <row r="240">
          <cell r="B240" t="str">
            <v>Mar 2016</v>
          </cell>
          <cell r="C240" t="str">
            <v>RLS</v>
          </cell>
          <cell r="D240" t="str">
            <v>KUUM_469</v>
          </cell>
          <cell r="E240">
            <v>292</v>
          </cell>
          <cell r="G240">
            <v>0</v>
          </cell>
          <cell r="H240">
            <v>0</v>
          </cell>
          <cell r="N240">
            <v>9665.2000000000007</v>
          </cell>
          <cell r="O240">
            <v>0</v>
          </cell>
          <cell r="Q240">
            <v>0</v>
          </cell>
          <cell r="S240">
            <v>0</v>
          </cell>
          <cell r="U240">
            <v>0</v>
          </cell>
          <cell r="Y240">
            <v>1252.68</v>
          </cell>
          <cell r="AB240">
            <v>245.28</v>
          </cell>
          <cell r="AE240" t="str">
            <v>20140101KUUM_469</v>
          </cell>
        </row>
        <row r="241">
          <cell r="B241" t="str">
            <v>Mar 2016</v>
          </cell>
          <cell r="C241" t="str">
            <v>RLS</v>
          </cell>
          <cell r="D241" t="str">
            <v>KUUM_470</v>
          </cell>
          <cell r="E241">
            <v>61</v>
          </cell>
          <cell r="G241">
            <v>0</v>
          </cell>
          <cell r="H241">
            <v>0</v>
          </cell>
          <cell r="N241">
            <v>3370.25</v>
          </cell>
          <cell r="O241">
            <v>0</v>
          </cell>
          <cell r="Q241">
            <v>0</v>
          </cell>
          <cell r="S241">
            <v>0</v>
          </cell>
          <cell r="U241">
            <v>0</v>
          </cell>
          <cell r="Y241">
            <v>635.01</v>
          </cell>
          <cell r="AB241">
            <v>103.7</v>
          </cell>
          <cell r="AE241" t="str">
            <v>20140101KUUM_470</v>
          </cell>
        </row>
        <row r="242">
          <cell r="B242" t="str">
            <v>Mar 2016</v>
          </cell>
          <cell r="C242" t="str">
            <v>RLS</v>
          </cell>
          <cell r="D242" t="str">
            <v>KUUM_471</v>
          </cell>
          <cell r="E242">
            <v>3672</v>
          </cell>
          <cell r="G242">
            <v>0</v>
          </cell>
          <cell r="H242">
            <v>0</v>
          </cell>
          <cell r="N242">
            <v>38519.279999999999</v>
          </cell>
          <cell r="O242">
            <v>0</v>
          </cell>
          <cell r="Q242">
            <v>0</v>
          </cell>
          <cell r="S242">
            <v>0</v>
          </cell>
          <cell r="U242">
            <v>0</v>
          </cell>
          <cell r="Y242">
            <v>2093.04</v>
          </cell>
          <cell r="AB242">
            <v>1211.76</v>
          </cell>
          <cell r="AE242" t="str">
            <v>20140101KUUM_471</v>
          </cell>
        </row>
        <row r="243">
          <cell r="B243" t="str">
            <v>Mar 2016</v>
          </cell>
          <cell r="C243" t="str">
            <v>LS</v>
          </cell>
          <cell r="D243" t="str">
            <v>KUUM_472</v>
          </cell>
          <cell r="E243">
            <v>8733</v>
          </cell>
          <cell r="G243">
            <v>0</v>
          </cell>
          <cell r="H243">
            <v>0</v>
          </cell>
          <cell r="N243">
            <v>101302.8</v>
          </cell>
          <cell r="O243">
            <v>0</v>
          </cell>
          <cell r="Q243">
            <v>0</v>
          </cell>
          <cell r="S243">
            <v>0</v>
          </cell>
          <cell r="U243">
            <v>0</v>
          </cell>
          <cell r="Y243">
            <v>6986.4</v>
          </cell>
          <cell r="AB243">
            <v>3755.19</v>
          </cell>
          <cell r="AE243" t="str">
            <v>20140101KUUM_472</v>
          </cell>
        </row>
        <row r="244">
          <cell r="B244" t="str">
            <v>Mar 2016</v>
          </cell>
          <cell r="C244" t="str">
            <v>LS</v>
          </cell>
          <cell r="D244" t="str">
            <v>KUUM_473</v>
          </cell>
          <cell r="E244">
            <v>3397</v>
          </cell>
          <cell r="G244">
            <v>0</v>
          </cell>
          <cell r="H244">
            <v>0</v>
          </cell>
          <cell r="N244">
            <v>41783.1</v>
          </cell>
          <cell r="O244">
            <v>0</v>
          </cell>
          <cell r="Q244">
            <v>0</v>
          </cell>
          <cell r="S244">
            <v>0</v>
          </cell>
          <cell r="U244">
            <v>0</v>
          </cell>
          <cell r="Y244">
            <v>3838.61</v>
          </cell>
          <cell r="AB244">
            <v>1154.98</v>
          </cell>
          <cell r="AE244" t="str">
            <v>20140101KUUM_473</v>
          </cell>
        </row>
        <row r="245">
          <cell r="B245" t="str">
            <v>Mar 2016</v>
          </cell>
          <cell r="C245" t="str">
            <v>LS</v>
          </cell>
          <cell r="D245" t="str">
            <v>KUUM_474</v>
          </cell>
          <cell r="E245">
            <v>5157</v>
          </cell>
          <cell r="G245">
            <v>0</v>
          </cell>
          <cell r="H245">
            <v>0</v>
          </cell>
          <cell r="N245">
            <v>89783.37</v>
          </cell>
          <cell r="O245">
            <v>0</v>
          </cell>
          <cell r="Q245">
            <v>0</v>
          </cell>
          <cell r="S245">
            <v>0</v>
          </cell>
          <cell r="U245">
            <v>0</v>
          </cell>
          <cell r="Y245">
            <v>12015.81</v>
          </cell>
          <cell r="AB245">
            <v>2991.06</v>
          </cell>
          <cell r="AE245" t="str">
            <v>20140101KUUM_474</v>
          </cell>
        </row>
        <row r="246">
          <cell r="B246" t="str">
            <v>Mar 2016</v>
          </cell>
          <cell r="C246" t="str">
            <v>LS</v>
          </cell>
          <cell r="D246" t="str">
            <v>KUUM_475</v>
          </cell>
          <cell r="E246">
            <v>514</v>
          </cell>
          <cell r="G246">
            <v>0</v>
          </cell>
          <cell r="H246">
            <v>0</v>
          </cell>
          <cell r="N246">
            <v>12572.44</v>
          </cell>
          <cell r="O246">
            <v>0</v>
          </cell>
          <cell r="Q246">
            <v>0</v>
          </cell>
          <cell r="S246">
            <v>0</v>
          </cell>
          <cell r="U246">
            <v>0</v>
          </cell>
          <cell r="Y246">
            <v>2328.42</v>
          </cell>
          <cell r="AB246">
            <v>406.06</v>
          </cell>
          <cell r="AE246" t="str">
            <v>20140101KUUM_475</v>
          </cell>
        </row>
        <row r="247">
          <cell r="B247" t="str">
            <v>Mar 2016</v>
          </cell>
          <cell r="C247" t="str">
            <v>LS</v>
          </cell>
          <cell r="D247" t="str">
            <v>KUUM_476</v>
          </cell>
          <cell r="E247">
            <v>4568</v>
          </cell>
          <cell r="G247">
            <v>0</v>
          </cell>
          <cell r="H247">
            <v>0</v>
          </cell>
          <cell r="N247">
            <v>76696.72</v>
          </cell>
          <cell r="O247">
            <v>0</v>
          </cell>
          <cell r="Q247">
            <v>0</v>
          </cell>
          <cell r="S247">
            <v>0</v>
          </cell>
          <cell r="U247">
            <v>0</v>
          </cell>
          <cell r="Y247">
            <v>3654.4</v>
          </cell>
          <cell r="AB247">
            <v>1964.24</v>
          </cell>
          <cell r="AE247" t="str">
            <v>20140101KUUM_476</v>
          </cell>
        </row>
        <row r="248">
          <cell r="B248" t="str">
            <v>Mar 2016</v>
          </cell>
          <cell r="C248" t="str">
            <v>LS</v>
          </cell>
          <cell r="D248" t="str">
            <v>KUUM_477</v>
          </cell>
          <cell r="E248">
            <v>1063</v>
          </cell>
          <cell r="G248">
            <v>0</v>
          </cell>
          <cell r="H248">
            <v>0</v>
          </cell>
          <cell r="N248">
            <v>22291.11</v>
          </cell>
          <cell r="O248">
            <v>0</v>
          </cell>
          <cell r="Q248">
            <v>0</v>
          </cell>
          <cell r="S248">
            <v>0</v>
          </cell>
          <cell r="U248">
            <v>0</v>
          </cell>
          <cell r="Y248">
            <v>1201.19</v>
          </cell>
          <cell r="AB248">
            <v>361.42</v>
          </cell>
          <cell r="AE248" t="str">
            <v>20140101KUUM_477</v>
          </cell>
        </row>
        <row r="249">
          <cell r="B249" t="str">
            <v>Mar 2016</v>
          </cell>
          <cell r="C249" t="str">
            <v>LS</v>
          </cell>
          <cell r="D249" t="str">
            <v>KUUM_478</v>
          </cell>
          <cell r="E249">
            <v>1419</v>
          </cell>
          <cell r="G249">
            <v>0</v>
          </cell>
          <cell r="H249">
            <v>0</v>
          </cell>
          <cell r="N249">
            <v>38114.339999999997</v>
          </cell>
          <cell r="O249">
            <v>0</v>
          </cell>
          <cell r="Q249">
            <v>0</v>
          </cell>
          <cell r="S249">
            <v>0</v>
          </cell>
          <cell r="U249">
            <v>0</v>
          </cell>
          <cell r="Y249">
            <v>3306.27</v>
          </cell>
          <cell r="AB249">
            <v>823.02</v>
          </cell>
          <cell r="AE249" t="str">
            <v>20140101KUUM_478</v>
          </cell>
        </row>
        <row r="250">
          <cell r="B250" t="str">
            <v>Mar 2016</v>
          </cell>
          <cell r="C250" t="str">
            <v>LS</v>
          </cell>
          <cell r="D250" t="str">
            <v>KUUM_479</v>
          </cell>
          <cell r="E250">
            <v>961</v>
          </cell>
          <cell r="G250">
            <v>0</v>
          </cell>
          <cell r="H250">
            <v>0</v>
          </cell>
          <cell r="N250">
            <v>31828.32</v>
          </cell>
          <cell r="O250">
            <v>0</v>
          </cell>
          <cell r="Q250">
            <v>0</v>
          </cell>
          <cell r="S250">
            <v>0</v>
          </cell>
          <cell r="U250">
            <v>0</v>
          </cell>
          <cell r="Y250">
            <v>4353.33</v>
          </cell>
          <cell r="AB250">
            <v>759.19</v>
          </cell>
          <cell r="AE250" t="str">
            <v>20140101KUUM_479</v>
          </cell>
        </row>
        <row r="251">
          <cell r="B251" t="str">
            <v>Mar 2016</v>
          </cell>
          <cell r="C251" t="str">
            <v>LS</v>
          </cell>
          <cell r="D251" t="str">
            <v>KUUM_486</v>
          </cell>
          <cell r="E251">
            <v>0</v>
          </cell>
          <cell r="G251">
            <v>0</v>
          </cell>
          <cell r="H251">
            <v>0</v>
          </cell>
          <cell r="N251">
            <v>0</v>
          </cell>
          <cell r="O251">
            <v>0</v>
          </cell>
          <cell r="Q251">
            <v>0</v>
          </cell>
          <cell r="S251">
            <v>0</v>
          </cell>
          <cell r="U251">
            <v>0</v>
          </cell>
          <cell r="Y251">
            <v>0</v>
          </cell>
          <cell r="AB251">
            <v>0</v>
          </cell>
          <cell r="AE251" t="str">
            <v>20140101KUUM_486</v>
          </cell>
        </row>
        <row r="252">
          <cell r="B252" t="str">
            <v>Mar 2016</v>
          </cell>
          <cell r="C252" t="str">
            <v>LS</v>
          </cell>
          <cell r="D252" t="str">
            <v>KUUM_487</v>
          </cell>
          <cell r="E252">
            <v>11140</v>
          </cell>
          <cell r="G252">
            <v>0</v>
          </cell>
          <cell r="H252">
            <v>816</v>
          </cell>
          <cell r="N252">
            <v>100260</v>
          </cell>
          <cell r="O252">
            <v>0</v>
          </cell>
          <cell r="Q252">
            <v>0</v>
          </cell>
          <cell r="S252">
            <v>0</v>
          </cell>
          <cell r="U252">
            <v>0</v>
          </cell>
          <cell r="Y252">
            <v>12588.2</v>
          </cell>
          <cell r="AB252">
            <v>3787.6000000000004</v>
          </cell>
          <cell r="AE252" t="str">
            <v>20140101KUUM_487</v>
          </cell>
        </row>
        <row r="253">
          <cell r="B253" t="str">
            <v>Mar 2016</v>
          </cell>
          <cell r="C253" t="str">
            <v>LS</v>
          </cell>
          <cell r="D253" t="str">
            <v>KUUM_488</v>
          </cell>
          <cell r="E253">
            <v>6428</v>
          </cell>
          <cell r="G253">
            <v>0</v>
          </cell>
          <cell r="H253">
            <v>-12265</v>
          </cell>
          <cell r="N253">
            <v>87677.92</v>
          </cell>
          <cell r="O253">
            <v>0</v>
          </cell>
          <cell r="Q253">
            <v>0</v>
          </cell>
          <cell r="S253">
            <v>0</v>
          </cell>
          <cell r="U253">
            <v>0</v>
          </cell>
          <cell r="Y253">
            <v>14977.24</v>
          </cell>
          <cell r="AB253">
            <v>3728.24</v>
          </cell>
          <cell r="AE253" t="str">
            <v>20140101KUUM_488</v>
          </cell>
        </row>
        <row r="254">
          <cell r="B254" t="str">
            <v>Mar 2016</v>
          </cell>
          <cell r="C254" t="str">
            <v>LS</v>
          </cell>
          <cell r="D254" t="str">
            <v>KUUM_489</v>
          </cell>
          <cell r="E254">
            <v>8179</v>
          </cell>
          <cell r="G254">
            <v>0</v>
          </cell>
          <cell r="H254">
            <v>24093</v>
          </cell>
          <cell r="N254">
            <v>159163.34</v>
          </cell>
          <cell r="O254">
            <v>0</v>
          </cell>
          <cell r="Q254">
            <v>0</v>
          </cell>
          <cell r="S254">
            <v>0</v>
          </cell>
          <cell r="U254">
            <v>0</v>
          </cell>
          <cell r="Y254">
            <v>37050.870000000003</v>
          </cell>
          <cell r="AB254">
            <v>6461.41</v>
          </cell>
          <cell r="AE254" t="str">
            <v>20140101KUUM_489</v>
          </cell>
        </row>
        <row r="255">
          <cell r="B255" t="str">
            <v>Mar 2016</v>
          </cell>
          <cell r="C255" t="str">
            <v>LS</v>
          </cell>
          <cell r="D255" t="str">
            <v>KUUM_490</v>
          </cell>
          <cell r="E255">
            <v>58</v>
          </cell>
          <cell r="G255">
            <v>0</v>
          </cell>
          <cell r="H255">
            <v>0</v>
          </cell>
          <cell r="N255">
            <v>897.26</v>
          </cell>
          <cell r="O255">
            <v>0</v>
          </cell>
          <cell r="Q255">
            <v>0</v>
          </cell>
          <cell r="S255">
            <v>0</v>
          </cell>
          <cell r="U255">
            <v>0</v>
          </cell>
          <cell r="Y255">
            <v>114.26</v>
          </cell>
          <cell r="AB255">
            <v>38.28</v>
          </cell>
          <cell r="AE255" t="str">
            <v>20140101KUUM_490</v>
          </cell>
        </row>
        <row r="256">
          <cell r="B256" t="str">
            <v>Mar 2016</v>
          </cell>
          <cell r="C256" t="str">
            <v>LS</v>
          </cell>
          <cell r="D256" t="str">
            <v>KUUM_491</v>
          </cell>
          <cell r="E256">
            <v>314</v>
          </cell>
          <cell r="G256">
            <v>0</v>
          </cell>
          <cell r="H256">
            <v>0</v>
          </cell>
          <cell r="N256">
            <v>6886.02</v>
          </cell>
          <cell r="O256">
            <v>0</v>
          </cell>
          <cell r="Q256">
            <v>0</v>
          </cell>
          <cell r="S256">
            <v>0</v>
          </cell>
          <cell r="U256">
            <v>0</v>
          </cell>
          <cell r="Y256">
            <v>1347.06</v>
          </cell>
          <cell r="AB256">
            <v>263.76</v>
          </cell>
          <cell r="AE256" t="str">
            <v>20140101KUUM_491</v>
          </cell>
        </row>
        <row r="257">
          <cell r="B257" t="str">
            <v>Mar 2016</v>
          </cell>
          <cell r="C257" t="str">
            <v>LS</v>
          </cell>
          <cell r="D257" t="str">
            <v>KUUM_492</v>
          </cell>
          <cell r="E257">
            <v>2</v>
          </cell>
          <cell r="G257">
            <v>0</v>
          </cell>
          <cell r="H257">
            <v>0</v>
          </cell>
          <cell r="N257">
            <v>30.74</v>
          </cell>
          <cell r="O257">
            <v>0</v>
          </cell>
          <cell r="Q257">
            <v>0</v>
          </cell>
          <cell r="S257">
            <v>0</v>
          </cell>
          <cell r="U257">
            <v>0</v>
          </cell>
          <cell r="Y257">
            <v>1.6</v>
          </cell>
          <cell r="AB257">
            <v>0.86</v>
          </cell>
          <cell r="AE257" t="str">
            <v>20140101KUUM_492</v>
          </cell>
        </row>
        <row r="258">
          <cell r="B258" t="str">
            <v>Mar 2016</v>
          </cell>
          <cell r="C258" t="str">
            <v>LS</v>
          </cell>
          <cell r="D258" t="str">
            <v>KUUM_493</v>
          </cell>
          <cell r="E258">
            <v>43</v>
          </cell>
          <cell r="G258">
            <v>0</v>
          </cell>
          <cell r="H258">
            <v>0</v>
          </cell>
          <cell r="N258">
            <v>1965.1</v>
          </cell>
          <cell r="O258">
            <v>0</v>
          </cell>
          <cell r="Q258">
            <v>0</v>
          </cell>
          <cell r="S258">
            <v>0</v>
          </cell>
          <cell r="U258">
            <v>0</v>
          </cell>
          <cell r="Y258">
            <v>447.63</v>
          </cell>
          <cell r="AB258">
            <v>73.099999999999994</v>
          </cell>
          <cell r="AE258" t="str">
            <v>20140101KUUM_493</v>
          </cell>
        </row>
        <row r="259">
          <cell r="B259" t="str">
            <v>Mar 2016</v>
          </cell>
          <cell r="C259" t="str">
            <v>LS</v>
          </cell>
          <cell r="D259" t="str">
            <v>KUUM_494</v>
          </cell>
          <cell r="E259">
            <v>168</v>
          </cell>
          <cell r="G259">
            <v>0</v>
          </cell>
          <cell r="H259">
            <v>0</v>
          </cell>
          <cell r="N259">
            <v>4766.16</v>
          </cell>
          <cell r="O259">
            <v>0</v>
          </cell>
          <cell r="Q259">
            <v>0</v>
          </cell>
          <cell r="S259">
            <v>0</v>
          </cell>
          <cell r="U259">
            <v>0</v>
          </cell>
          <cell r="Y259">
            <v>330.96</v>
          </cell>
          <cell r="AB259">
            <v>110.88000000000001</v>
          </cell>
          <cell r="AE259" t="str">
            <v>20140101KUUM_494</v>
          </cell>
        </row>
        <row r="260">
          <cell r="B260" t="str">
            <v>Mar 2016</v>
          </cell>
          <cell r="C260" t="str">
            <v>LS</v>
          </cell>
          <cell r="D260" t="str">
            <v>KUUM_495</v>
          </cell>
          <cell r="E260">
            <v>626</v>
          </cell>
          <cell r="G260">
            <v>0</v>
          </cell>
          <cell r="H260">
            <v>0</v>
          </cell>
          <cell r="N260">
            <v>21803.58</v>
          </cell>
          <cell r="O260">
            <v>0</v>
          </cell>
          <cell r="Q260">
            <v>0</v>
          </cell>
          <cell r="S260">
            <v>0</v>
          </cell>
          <cell r="U260">
            <v>0</v>
          </cell>
          <cell r="Y260">
            <v>2685.54</v>
          </cell>
          <cell r="AB260">
            <v>525.84</v>
          </cell>
          <cell r="AE260" t="str">
            <v>20140101KUUM_495</v>
          </cell>
        </row>
        <row r="261">
          <cell r="B261" t="str">
            <v>Mar 2016</v>
          </cell>
          <cell r="C261" t="str">
            <v>LS</v>
          </cell>
          <cell r="D261" t="str">
            <v>KUUM_496</v>
          </cell>
          <cell r="E261">
            <v>157</v>
          </cell>
          <cell r="G261">
            <v>0</v>
          </cell>
          <cell r="H261">
            <v>0</v>
          </cell>
          <cell r="N261">
            <v>9198.6299999999992</v>
          </cell>
          <cell r="O261">
            <v>0</v>
          </cell>
          <cell r="Q261">
            <v>0</v>
          </cell>
          <cell r="S261">
            <v>0</v>
          </cell>
          <cell r="U261">
            <v>0</v>
          </cell>
          <cell r="Y261">
            <v>1634.37</v>
          </cell>
          <cell r="AB261">
            <v>266.89999999999998</v>
          </cell>
          <cell r="AE261" t="str">
            <v>20140101KUUM_496</v>
          </cell>
        </row>
        <row r="262">
          <cell r="B262" t="str">
            <v>Mar 2016</v>
          </cell>
          <cell r="C262" t="str">
            <v>LS</v>
          </cell>
          <cell r="D262" t="str">
            <v>KUUM_497</v>
          </cell>
          <cell r="E262">
            <v>10</v>
          </cell>
          <cell r="G262">
            <v>0</v>
          </cell>
          <cell r="H262">
            <v>0</v>
          </cell>
          <cell r="N262">
            <v>153.5</v>
          </cell>
          <cell r="O262">
            <v>0</v>
          </cell>
          <cell r="Q262">
            <v>0</v>
          </cell>
          <cell r="S262">
            <v>0</v>
          </cell>
          <cell r="U262">
            <v>0</v>
          </cell>
          <cell r="Y262">
            <v>11.3</v>
          </cell>
          <cell r="AB262">
            <v>3.4000000000000004</v>
          </cell>
          <cell r="AE262" t="str">
            <v>20140101KUUM_497</v>
          </cell>
        </row>
        <row r="263">
          <cell r="B263" t="str">
            <v>Mar 2016</v>
          </cell>
          <cell r="C263" t="str">
            <v>LS</v>
          </cell>
          <cell r="D263" t="str">
            <v>KUUM_498</v>
          </cell>
          <cell r="E263">
            <v>30</v>
          </cell>
          <cell r="G263">
            <v>0</v>
          </cell>
          <cell r="H263">
            <v>0</v>
          </cell>
          <cell r="N263">
            <v>531.6</v>
          </cell>
          <cell r="O263">
            <v>0</v>
          </cell>
          <cell r="Q263">
            <v>0</v>
          </cell>
          <cell r="S263">
            <v>0</v>
          </cell>
          <cell r="U263">
            <v>0</v>
          </cell>
          <cell r="Y263">
            <v>69.900000000000006</v>
          </cell>
          <cell r="AB263">
            <v>17.399999999999999</v>
          </cell>
          <cell r="AE263" t="str">
            <v>20140101KUUM_498</v>
          </cell>
        </row>
        <row r="264">
          <cell r="B264" t="str">
            <v>Mar 2016</v>
          </cell>
          <cell r="C264" t="str">
            <v>LS</v>
          </cell>
          <cell r="D264" t="str">
            <v>KUUM_499</v>
          </cell>
          <cell r="E264">
            <v>24</v>
          </cell>
          <cell r="G264">
            <v>0</v>
          </cell>
          <cell r="H264">
            <v>0</v>
          </cell>
          <cell r="N264">
            <v>515.76</v>
          </cell>
          <cell r="O264">
            <v>0</v>
          </cell>
          <cell r="Q264">
            <v>0</v>
          </cell>
          <cell r="S264">
            <v>0</v>
          </cell>
          <cell r="U264">
            <v>0</v>
          </cell>
          <cell r="Y264">
            <v>108.72</v>
          </cell>
          <cell r="AB264">
            <v>18.96</v>
          </cell>
          <cell r="AE264" t="str">
            <v>20140101KUUM_499</v>
          </cell>
        </row>
        <row r="265">
          <cell r="B265" t="str">
            <v>Mar 2016</v>
          </cell>
          <cell r="C265" t="str">
            <v>ODL</v>
          </cell>
          <cell r="D265" t="str">
            <v>ODL</v>
          </cell>
          <cell r="E265">
            <v>0</v>
          </cell>
          <cell r="G265">
            <v>9079099</v>
          </cell>
          <cell r="H265">
            <v>0</v>
          </cell>
          <cell r="N265">
            <v>0</v>
          </cell>
          <cell r="O265">
            <v>2136185</v>
          </cell>
          <cell r="Q265">
            <v>22089</v>
          </cell>
          <cell r="S265">
            <v>52323</v>
          </cell>
          <cell r="U265">
            <v>2210597</v>
          </cell>
          <cell r="Y265">
            <v>0</v>
          </cell>
          <cell r="AB265">
            <v>0</v>
          </cell>
          <cell r="AE265" t="str">
            <v>20140101ODL</v>
          </cell>
        </row>
        <row r="266">
          <cell r="B266" t="str">
            <v>Apr 2016</v>
          </cell>
          <cell r="C266" t="str">
            <v>LS</v>
          </cell>
          <cell r="D266" t="str">
            <v>KUUM_300</v>
          </cell>
          <cell r="E266">
            <v>0</v>
          </cell>
          <cell r="G266">
            <v>0</v>
          </cell>
          <cell r="H266">
            <v>0</v>
          </cell>
          <cell r="N266">
            <v>0</v>
          </cell>
          <cell r="O266">
            <v>0</v>
          </cell>
          <cell r="Q266">
            <v>0</v>
          </cell>
          <cell r="S266">
            <v>0</v>
          </cell>
          <cell r="U266">
            <v>0</v>
          </cell>
          <cell r="Y266">
            <v>0</v>
          </cell>
          <cell r="AB266">
            <v>0</v>
          </cell>
          <cell r="AE266" t="str">
            <v>20140101KUUM_300</v>
          </cell>
        </row>
        <row r="267">
          <cell r="B267" t="str">
            <v>Apr 2016</v>
          </cell>
          <cell r="C267" t="str">
            <v>LS</v>
          </cell>
          <cell r="D267" t="str">
            <v>KUUM_301</v>
          </cell>
          <cell r="E267">
            <v>0</v>
          </cell>
          <cell r="G267">
            <v>0</v>
          </cell>
          <cell r="H267">
            <v>0</v>
          </cell>
          <cell r="N267">
            <v>0</v>
          </cell>
          <cell r="O267">
            <v>0</v>
          </cell>
          <cell r="Q267">
            <v>0</v>
          </cell>
          <cell r="S267">
            <v>0</v>
          </cell>
          <cell r="U267">
            <v>0</v>
          </cell>
          <cell r="Y267">
            <v>0</v>
          </cell>
          <cell r="AB267">
            <v>0</v>
          </cell>
          <cell r="AE267" t="str">
            <v>20140101KUUM_301</v>
          </cell>
        </row>
        <row r="268">
          <cell r="B268" t="str">
            <v>Apr 2016</v>
          </cell>
          <cell r="C268" t="str">
            <v>LS</v>
          </cell>
          <cell r="D268" t="str">
            <v>KUUM_360</v>
          </cell>
          <cell r="E268">
            <v>178</v>
          </cell>
          <cell r="G268">
            <v>0</v>
          </cell>
          <cell r="H268">
            <v>0</v>
          </cell>
          <cell r="N268">
            <v>9848.74</v>
          </cell>
          <cell r="O268">
            <v>0</v>
          </cell>
          <cell r="Q268">
            <v>0</v>
          </cell>
          <cell r="S268">
            <v>0</v>
          </cell>
          <cell r="U268">
            <v>0</v>
          </cell>
          <cell r="Y268">
            <v>311.5</v>
          </cell>
          <cell r="AB268">
            <v>428.98</v>
          </cell>
          <cell r="AE268" t="str">
            <v>20140101KUUM_360</v>
          </cell>
        </row>
        <row r="269">
          <cell r="B269" t="str">
            <v>Apr 2016</v>
          </cell>
          <cell r="C269" t="str">
            <v>LS</v>
          </cell>
          <cell r="D269" t="str">
            <v>KUUM_361</v>
          </cell>
          <cell r="E269">
            <v>25</v>
          </cell>
          <cell r="G269">
            <v>0</v>
          </cell>
          <cell r="H269">
            <v>0</v>
          </cell>
          <cell r="N269">
            <v>2079</v>
          </cell>
          <cell r="O269">
            <v>0</v>
          </cell>
          <cell r="Q269">
            <v>0</v>
          </cell>
          <cell r="S269">
            <v>0</v>
          </cell>
          <cell r="U269">
            <v>0</v>
          </cell>
          <cell r="Y269">
            <v>43.75</v>
          </cell>
          <cell r="AB269">
            <v>60.25</v>
          </cell>
          <cell r="AE269" t="str">
            <v>20140101KUUM_361</v>
          </cell>
        </row>
        <row r="270">
          <cell r="B270" t="str">
            <v>Apr 2016</v>
          </cell>
          <cell r="C270" t="str">
            <v>LS</v>
          </cell>
          <cell r="D270" t="str">
            <v>KUUM_362</v>
          </cell>
          <cell r="E270">
            <v>43</v>
          </cell>
          <cell r="G270">
            <v>0</v>
          </cell>
          <cell r="H270">
            <v>0</v>
          </cell>
          <cell r="N270">
            <v>2570.54</v>
          </cell>
          <cell r="O270">
            <v>0</v>
          </cell>
          <cell r="Q270">
            <v>0</v>
          </cell>
          <cell r="S270">
            <v>0</v>
          </cell>
          <cell r="U270">
            <v>0</v>
          </cell>
          <cell r="Y270">
            <v>75.25</v>
          </cell>
          <cell r="AB270">
            <v>103.63000000000001</v>
          </cell>
          <cell r="AE270" t="str">
            <v>20140101KUUM_362</v>
          </cell>
        </row>
        <row r="271">
          <cell r="B271" t="str">
            <v>Apr 2016</v>
          </cell>
          <cell r="C271" t="str">
            <v>LS</v>
          </cell>
          <cell r="D271" t="str">
            <v>KUUM_363</v>
          </cell>
          <cell r="E271">
            <v>5</v>
          </cell>
          <cell r="G271">
            <v>0</v>
          </cell>
          <cell r="H271">
            <v>0</v>
          </cell>
          <cell r="N271">
            <v>308.75</v>
          </cell>
          <cell r="O271">
            <v>0</v>
          </cell>
          <cell r="Q271">
            <v>0</v>
          </cell>
          <cell r="S271">
            <v>0</v>
          </cell>
          <cell r="U271">
            <v>0</v>
          </cell>
          <cell r="Y271">
            <v>8.75</v>
          </cell>
          <cell r="AB271">
            <v>12.05</v>
          </cell>
          <cell r="AE271" t="str">
            <v>20140101KUUM_363</v>
          </cell>
        </row>
        <row r="272">
          <cell r="B272" t="str">
            <v>Apr 2016</v>
          </cell>
          <cell r="C272" t="str">
            <v>LS</v>
          </cell>
          <cell r="D272" t="str">
            <v>KUUM_364</v>
          </cell>
          <cell r="E272">
            <v>1</v>
          </cell>
          <cell r="G272">
            <v>0</v>
          </cell>
          <cell r="H272">
            <v>0</v>
          </cell>
          <cell r="N272">
            <v>63.11</v>
          </cell>
          <cell r="O272">
            <v>0</v>
          </cell>
          <cell r="Q272">
            <v>0</v>
          </cell>
          <cell r="S272">
            <v>0</v>
          </cell>
          <cell r="U272">
            <v>0</v>
          </cell>
          <cell r="Y272">
            <v>1.75</v>
          </cell>
          <cell r="AB272">
            <v>2.41</v>
          </cell>
          <cell r="AE272" t="str">
            <v>20140101KUUM_364</v>
          </cell>
        </row>
        <row r="273">
          <cell r="B273" t="str">
            <v>Apr 2016</v>
          </cell>
          <cell r="C273" t="str">
            <v>LS</v>
          </cell>
          <cell r="D273" t="str">
            <v>KUUM_365</v>
          </cell>
          <cell r="E273">
            <v>5</v>
          </cell>
          <cell r="G273">
            <v>0</v>
          </cell>
          <cell r="H273">
            <v>0</v>
          </cell>
          <cell r="N273">
            <v>404.7</v>
          </cell>
          <cell r="O273">
            <v>0</v>
          </cell>
          <cell r="Q273">
            <v>0</v>
          </cell>
          <cell r="S273">
            <v>0</v>
          </cell>
          <cell r="U273">
            <v>0</v>
          </cell>
          <cell r="Y273">
            <v>8.75</v>
          </cell>
          <cell r="AB273">
            <v>12.05</v>
          </cell>
          <cell r="AE273" t="str">
            <v>20140101KUUM_365</v>
          </cell>
        </row>
        <row r="274">
          <cell r="B274" t="str">
            <v>Apr 2016</v>
          </cell>
          <cell r="C274" t="str">
            <v>LS</v>
          </cell>
          <cell r="D274" t="str">
            <v>KUUM_366</v>
          </cell>
          <cell r="E274">
            <v>9</v>
          </cell>
          <cell r="G274">
            <v>0</v>
          </cell>
          <cell r="H274">
            <v>0</v>
          </cell>
          <cell r="N274">
            <v>710.73</v>
          </cell>
          <cell r="O274">
            <v>0</v>
          </cell>
          <cell r="Q274">
            <v>0</v>
          </cell>
          <cell r="S274">
            <v>0</v>
          </cell>
          <cell r="U274">
            <v>0</v>
          </cell>
          <cell r="Y274">
            <v>15.75</v>
          </cell>
          <cell r="AB274">
            <v>21.69</v>
          </cell>
          <cell r="AE274" t="str">
            <v>20140101KUUM_366</v>
          </cell>
        </row>
        <row r="275">
          <cell r="B275" t="str">
            <v>Apr 2016</v>
          </cell>
          <cell r="C275" t="str">
            <v>LS</v>
          </cell>
          <cell r="D275" t="str">
            <v>KUUM_367</v>
          </cell>
          <cell r="E275">
            <v>25</v>
          </cell>
          <cell r="G275">
            <v>0</v>
          </cell>
          <cell r="H275">
            <v>0</v>
          </cell>
          <cell r="N275">
            <v>1530.75</v>
          </cell>
          <cell r="O275">
            <v>0</v>
          </cell>
          <cell r="Q275">
            <v>0</v>
          </cell>
          <cell r="S275">
            <v>0</v>
          </cell>
          <cell r="U275">
            <v>0</v>
          </cell>
          <cell r="Y275">
            <v>43.75</v>
          </cell>
          <cell r="AB275">
            <v>60.25</v>
          </cell>
          <cell r="AE275" t="str">
            <v>20140101KUUM_367</v>
          </cell>
        </row>
        <row r="276">
          <cell r="B276" t="str">
            <v>Apr 2016</v>
          </cell>
          <cell r="C276" t="str">
            <v>LS</v>
          </cell>
          <cell r="D276" t="str">
            <v>KUUM_368</v>
          </cell>
          <cell r="E276">
            <v>1</v>
          </cell>
          <cell r="G276">
            <v>0</v>
          </cell>
          <cell r="H276">
            <v>0</v>
          </cell>
          <cell r="N276">
            <v>56.69</v>
          </cell>
          <cell r="O276">
            <v>0</v>
          </cell>
          <cell r="Q276">
            <v>0</v>
          </cell>
          <cell r="S276">
            <v>0</v>
          </cell>
          <cell r="U276">
            <v>0</v>
          </cell>
          <cell r="Y276">
            <v>1.75</v>
          </cell>
          <cell r="AB276">
            <v>2.41</v>
          </cell>
          <cell r="AE276" t="str">
            <v>20140101KUUM_368</v>
          </cell>
        </row>
        <row r="277">
          <cell r="B277" t="str">
            <v>Apr 2016</v>
          </cell>
          <cell r="C277" t="str">
            <v>LS</v>
          </cell>
          <cell r="D277" t="str">
            <v>KUUM_370</v>
          </cell>
          <cell r="E277">
            <v>15</v>
          </cell>
          <cell r="G277">
            <v>0</v>
          </cell>
          <cell r="H277">
            <v>0</v>
          </cell>
          <cell r="N277">
            <v>1117.8</v>
          </cell>
          <cell r="O277">
            <v>0</v>
          </cell>
          <cell r="Q277">
            <v>0</v>
          </cell>
          <cell r="S277">
            <v>0</v>
          </cell>
          <cell r="U277">
            <v>0</v>
          </cell>
          <cell r="Y277">
            <v>26.25</v>
          </cell>
          <cell r="AB277">
            <v>36.150000000000006</v>
          </cell>
          <cell r="AE277" t="str">
            <v>20140101KUUM_370</v>
          </cell>
        </row>
        <row r="278">
          <cell r="B278" t="str">
            <v>Apr 2016</v>
          </cell>
          <cell r="C278" t="str">
            <v>LS</v>
          </cell>
          <cell r="D278" t="str">
            <v>KUUM_372</v>
          </cell>
          <cell r="E278">
            <v>1</v>
          </cell>
          <cell r="G278">
            <v>0</v>
          </cell>
          <cell r="H278">
            <v>0</v>
          </cell>
          <cell r="N278">
            <v>82.3</v>
          </cell>
          <cell r="O278">
            <v>0</v>
          </cell>
          <cell r="Q278">
            <v>0</v>
          </cell>
          <cell r="S278">
            <v>0</v>
          </cell>
          <cell r="U278">
            <v>0</v>
          </cell>
          <cell r="Y278">
            <v>1.75</v>
          </cell>
          <cell r="AB278">
            <v>2.41</v>
          </cell>
          <cell r="AE278" t="str">
            <v>20140101KUUM_372</v>
          </cell>
        </row>
        <row r="279">
          <cell r="B279" t="str">
            <v>Apr 2016</v>
          </cell>
          <cell r="C279" t="str">
            <v>LS</v>
          </cell>
          <cell r="D279" t="str">
            <v>KUUM_373</v>
          </cell>
          <cell r="E279">
            <v>20</v>
          </cell>
          <cell r="G279">
            <v>0</v>
          </cell>
          <cell r="H279">
            <v>0</v>
          </cell>
          <cell r="N279">
            <v>1490.4</v>
          </cell>
          <cell r="O279">
            <v>0</v>
          </cell>
          <cell r="Q279">
            <v>0</v>
          </cell>
          <cell r="S279">
            <v>0</v>
          </cell>
          <cell r="U279">
            <v>0</v>
          </cell>
          <cell r="Y279">
            <v>35</v>
          </cell>
          <cell r="AB279">
            <v>48.2</v>
          </cell>
          <cell r="AE279" t="str">
            <v>20140101KUUM_373</v>
          </cell>
        </row>
        <row r="280">
          <cell r="B280" t="str">
            <v>Apr 2016</v>
          </cell>
          <cell r="C280" t="str">
            <v>LS</v>
          </cell>
          <cell r="D280" t="str">
            <v>KUUM_374</v>
          </cell>
          <cell r="E280">
            <v>4</v>
          </cell>
          <cell r="G280">
            <v>0</v>
          </cell>
          <cell r="H280">
            <v>0</v>
          </cell>
          <cell r="N280">
            <v>303.52</v>
          </cell>
          <cell r="O280">
            <v>0</v>
          </cell>
          <cell r="Q280">
            <v>0</v>
          </cell>
          <cell r="S280">
            <v>0</v>
          </cell>
          <cell r="U280">
            <v>0</v>
          </cell>
          <cell r="Y280">
            <v>7</v>
          </cell>
          <cell r="AB280">
            <v>9.64</v>
          </cell>
          <cell r="AE280" t="str">
            <v>20140101KUUM_374</v>
          </cell>
        </row>
        <row r="281">
          <cell r="B281" t="str">
            <v>Apr 2016</v>
          </cell>
          <cell r="C281" t="str">
            <v>LS</v>
          </cell>
          <cell r="D281" t="str">
            <v>KUUM_375</v>
          </cell>
          <cell r="E281">
            <v>3</v>
          </cell>
          <cell r="G281">
            <v>0</v>
          </cell>
          <cell r="H281">
            <v>0</v>
          </cell>
          <cell r="N281">
            <v>236.91</v>
          </cell>
          <cell r="O281">
            <v>0</v>
          </cell>
          <cell r="Q281">
            <v>0</v>
          </cell>
          <cell r="S281">
            <v>0</v>
          </cell>
          <cell r="U281">
            <v>0</v>
          </cell>
          <cell r="Y281">
            <v>5.25</v>
          </cell>
          <cell r="AB281">
            <v>7.23</v>
          </cell>
          <cell r="AE281" t="str">
            <v>20140101KUUM_375</v>
          </cell>
        </row>
        <row r="282">
          <cell r="B282" t="str">
            <v>Apr 2016</v>
          </cell>
          <cell r="C282" t="str">
            <v>LS</v>
          </cell>
          <cell r="D282" t="str">
            <v>KUUM_376</v>
          </cell>
          <cell r="E282">
            <v>2</v>
          </cell>
          <cell r="G282">
            <v>0</v>
          </cell>
          <cell r="H282">
            <v>0</v>
          </cell>
          <cell r="N282">
            <v>154.52000000000001</v>
          </cell>
          <cell r="O282">
            <v>0</v>
          </cell>
          <cell r="Q282">
            <v>0</v>
          </cell>
          <cell r="S282">
            <v>0</v>
          </cell>
          <cell r="U282">
            <v>0</v>
          </cell>
          <cell r="Y282">
            <v>3.5</v>
          </cell>
          <cell r="AB282">
            <v>4.82</v>
          </cell>
          <cell r="AE282" t="str">
            <v>20140101KUUM_376</v>
          </cell>
        </row>
        <row r="283">
          <cell r="B283" t="str">
            <v>Apr 2016</v>
          </cell>
          <cell r="C283" t="str">
            <v>LS</v>
          </cell>
          <cell r="D283" t="str">
            <v>KUUM_377</v>
          </cell>
          <cell r="E283">
            <v>51</v>
          </cell>
          <cell r="G283">
            <v>0</v>
          </cell>
          <cell r="H283">
            <v>58</v>
          </cell>
          <cell r="N283">
            <v>3273.69</v>
          </cell>
          <cell r="O283">
            <v>0</v>
          </cell>
          <cell r="Q283">
            <v>0</v>
          </cell>
          <cell r="S283">
            <v>0</v>
          </cell>
          <cell r="U283">
            <v>0</v>
          </cell>
          <cell r="Y283">
            <v>89.25</v>
          </cell>
          <cell r="AB283">
            <v>122.91000000000001</v>
          </cell>
          <cell r="AE283" t="str">
            <v>20140101KUUM_377</v>
          </cell>
        </row>
        <row r="284">
          <cell r="B284" t="str">
            <v>Apr 2016</v>
          </cell>
          <cell r="C284" t="str">
            <v>LS</v>
          </cell>
          <cell r="D284" t="str">
            <v>KUUM_378</v>
          </cell>
          <cell r="E284">
            <v>2</v>
          </cell>
          <cell r="G284">
            <v>0</v>
          </cell>
          <cell r="H284">
            <v>0</v>
          </cell>
          <cell r="N284">
            <v>151.80000000000001</v>
          </cell>
          <cell r="O284">
            <v>0</v>
          </cell>
          <cell r="Q284">
            <v>0</v>
          </cell>
          <cell r="S284">
            <v>0</v>
          </cell>
          <cell r="U284">
            <v>0</v>
          </cell>
          <cell r="Y284">
            <v>3.5</v>
          </cell>
          <cell r="AB284">
            <v>4.82</v>
          </cell>
          <cell r="AE284" t="str">
            <v>20140101KUUM_378</v>
          </cell>
        </row>
        <row r="285">
          <cell r="B285" t="str">
            <v>Apr 2016</v>
          </cell>
          <cell r="C285" t="str">
            <v>LS</v>
          </cell>
          <cell r="D285" t="str">
            <v>KUUM_401</v>
          </cell>
          <cell r="E285">
            <v>52</v>
          </cell>
          <cell r="G285">
            <v>0</v>
          </cell>
          <cell r="H285">
            <v>0</v>
          </cell>
          <cell r="N285">
            <v>772.72</v>
          </cell>
          <cell r="O285">
            <v>0</v>
          </cell>
          <cell r="Q285">
            <v>0</v>
          </cell>
          <cell r="S285">
            <v>0</v>
          </cell>
          <cell r="U285">
            <v>0</v>
          </cell>
          <cell r="Y285">
            <v>41.6</v>
          </cell>
          <cell r="AB285">
            <v>22.36</v>
          </cell>
          <cell r="AE285" t="str">
            <v>20140101KUUM_401</v>
          </cell>
        </row>
        <row r="286">
          <cell r="B286" t="str">
            <v>Apr 2016</v>
          </cell>
          <cell r="C286" t="str">
            <v>RLS</v>
          </cell>
          <cell r="D286" t="str">
            <v>KUUM_404</v>
          </cell>
          <cell r="E286">
            <v>7208</v>
          </cell>
          <cell r="G286">
            <v>0</v>
          </cell>
          <cell r="H286">
            <v>0</v>
          </cell>
          <cell r="N286">
            <v>76188.56</v>
          </cell>
          <cell r="O286">
            <v>0</v>
          </cell>
          <cell r="Q286">
            <v>0</v>
          </cell>
          <cell r="S286">
            <v>0</v>
          </cell>
          <cell r="U286">
            <v>0</v>
          </cell>
          <cell r="Y286">
            <v>14343.92</v>
          </cell>
          <cell r="AB286">
            <v>2811.12</v>
          </cell>
          <cell r="AE286" t="str">
            <v>20140101KUUM_404</v>
          </cell>
        </row>
        <row r="287">
          <cell r="B287" t="str">
            <v>Apr 2016</v>
          </cell>
          <cell r="C287" t="str">
            <v>RLS</v>
          </cell>
          <cell r="D287" t="str">
            <v>KUUM_405</v>
          </cell>
          <cell r="E287">
            <v>0</v>
          </cell>
          <cell r="G287">
            <v>0</v>
          </cell>
          <cell r="H287">
            <v>0</v>
          </cell>
          <cell r="N287">
            <v>0</v>
          </cell>
          <cell r="O287">
            <v>0</v>
          </cell>
          <cell r="Q287">
            <v>0</v>
          </cell>
          <cell r="S287">
            <v>0</v>
          </cell>
          <cell r="U287">
            <v>0</v>
          </cell>
          <cell r="Y287">
            <v>0</v>
          </cell>
          <cell r="AB287">
            <v>0</v>
          </cell>
          <cell r="AE287" t="str">
            <v>20140101KUUM_405</v>
          </cell>
        </row>
        <row r="288">
          <cell r="B288" t="str">
            <v>Apr 2016</v>
          </cell>
          <cell r="C288" t="str">
            <v>LS</v>
          </cell>
          <cell r="D288" t="str">
            <v>KUUM_407</v>
          </cell>
          <cell r="E288">
            <v>0</v>
          </cell>
          <cell r="G288">
            <v>0</v>
          </cell>
          <cell r="H288">
            <v>0</v>
          </cell>
          <cell r="N288">
            <v>0</v>
          </cell>
          <cell r="O288">
            <v>0</v>
          </cell>
          <cell r="Q288">
            <v>0</v>
          </cell>
          <cell r="S288">
            <v>0</v>
          </cell>
          <cell r="U288">
            <v>0</v>
          </cell>
          <cell r="Y288">
            <v>0</v>
          </cell>
          <cell r="AB288">
            <v>0</v>
          </cell>
          <cell r="AE288" t="str">
            <v>20140101KUUM_407</v>
          </cell>
        </row>
        <row r="289">
          <cell r="B289" t="str">
            <v>Apr 2016</v>
          </cell>
          <cell r="C289" t="str">
            <v>RLS</v>
          </cell>
          <cell r="D289" t="str">
            <v>KUUM_409</v>
          </cell>
          <cell r="E289">
            <v>141</v>
          </cell>
          <cell r="G289">
            <v>0</v>
          </cell>
          <cell r="H289">
            <v>0</v>
          </cell>
          <cell r="N289">
            <v>1651.11</v>
          </cell>
          <cell r="O289">
            <v>0</v>
          </cell>
          <cell r="Q289">
            <v>0</v>
          </cell>
          <cell r="S289">
            <v>0</v>
          </cell>
          <cell r="U289">
            <v>0</v>
          </cell>
          <cell r="Y289">
            <v>638.73</v>
          </cell>
          <cell r="AB289">
            <v>111.39</v>
          </cell>
          <cell r="AE289" t="str">
            <v>20140101KUUM_409</v>
          </cell>
        </row>
        <row r="290">
          <cell r="B290" t="str">
            <v>Apr 2016</v>
          </cell>
          <cell r="C290" t="str">
            <v>RLS</v>
          </cell>
          <cell r="D290" t="str">
            <v>KUUM_410</v>
          </cell>
          <cell r="E290">
            <v>240</v>
          </cell>
          <cell r="G290">
            <v>0</v>
          </cell>
          <cell r="H290">
            <v>0</v>
          </cell>
          <cell r="N290">
            <v>4862.3999999999996</v>
          </cell>
          <cell r="O290">
            <v>0</v>
          </cell>
          <cell r="Q290">
            <v>0</v>
          </cell>
          <cell r="S290">
            <v>0</v>
          </cell>
          <cell r="U290">
            <v>0</v>
          </cell>
          <cell r="Y290">
            <v>136.80000000000001</v>
          </cell>
          <cell r="AB290">
            <v>79.2</v>
          </cell>
          <cell r="AE290" t="str">
            <v>20140101KUUM_410</v>
          </cell>
        </row>
        <row r="291">
          <cell r="B291" t="str">
            <v>Apr 2016</v>
          </cell>
          <cell r="C291" t="str">
            <v>LS</v>
          </cell>
          <cell r="D291" t="str">
            <v>KUUM_411</v>
          </cell>
          <cell r="E291">
            <v>150</v>
          </cell>
          <cell r="G291">
            <v>0</v>
          </cell>
          <cell r="H291">
            <v>0</v>
          </cell>
          <cell r="N291">
            <v>3207</v>
          </cell>
          <cell r="O291">
            <v>0</v>
          </cell>
          <cell r="Q291">
            <v>0</v>
          </cell>
          <cell r="S291">
            <v>0</v>
          </cell>
          <cell r="U291">
            <v>0</v>
          </cell>
          <cell r="Y291">
            <v>120</v>
          </cell>
          <cell r="AB291">
            <v>64.5</v>
          </cell>
          <cell r="AE291" t="str">
            <v>20140101KUUM_411</v>
          </cell>
        </row>
        <row r="292">
          <cell r="B292" t="str">
            <v>Apr 2016</v>
          </cell>
          <cell r="C292" t="str">
            <v>RLS</v>
          </cell>
          <cell r="D292" t="str">
            <v>KUUM_412</v>
          </cell>
          <cell r="E292">
            <v>28</v>
          </cell>
          <cell r="G292">
            <v>0</v>
          </cell>
          <cell r="H292">
            <v>0</v>
          </cell>
          <cell r="N292">
            <v>863.52</v>
          </cell>
          <cell r="O292">
            <v>0</v>
          </cell>
          <cell r="Q292">
            <v>0</v>
          </cell>
          <cell r="S292">
            <v>0</v>
          </cell>
          <cell r="U292">
            <v>0</v>
          </cell>
          <cell r="Y292">
            <v>22.4</v>
          </cell>
          <cell r="AB292">
            <v>12.04</v>
          </cell>
          <cell r="AE292" t="str">
            <v>20140101KUUM_412</v>
          </cell>
        </row>
        <row r="293">
          <cell r="B293" t="str">
            <v>Apr 2016</v>
          </cell>
          <cell r="C293" t="str">
            <v>RLS</v>
          </cell>
          <cell r="D293" t="str">
            <v>KUUM_413</v>
          </cell>
          <cell r="E293">
            <v>96</v>
          </cell>
          <cell r="G293">
            <v>0</v>
          </cell>
          <cell r="H293">
            <v>0</v>
          </cell>
          <cell r="N293">
            <v>2997.12</v>
          </cell>
          <cell r="O293">
            <v>0</v>
          </cell>
          <cell r="Q293">
            <v>0</v>
          </cell>
          <cell r="S293">
            <v>0</v>
          </cell>
          <cell r="U293">
            <v>0</v>
          </cell>
          <cell r="Y293">
            <v>108.48</v>
          </cell>
          <cell r="AB293">
            <v>32.64</v>
          </cell>
          <cell r="AE293" t="str">
            <v>20140101KUUM_413</v>
          </cell>
        </row>
        <row r="294">
          <cell r="B294" t="str">
            <v>Apr 2016</v>
          </cell>
          <cell r="C294" t="str">
            <v>LS</v>
          </cell>
          <cell r="D294" t="str">
            <v>KUUM_414</v>
          </cell>
          <cell r="E294">
            <v>21</v>
          </cell>
          <cell r="G294">
            <v>0</v>
          </cell>
          <cell r="H294">
            <v>0</v>
          </cell>
          <cell r="N294">
            <v>647.64</v>
          </cell>
          <cell r="O294">
            <v>0</v>
          </cell>
          <cell r="Q294">
            <v>0</v>
          </cell>
          <cell r="S294">
            <v>0</v>
          </cell>
          <cell r="U294">
            <v>0</v>
          </cell>
          <cell r="Y294">
            <v>16.8</v>
          </cell>
          <cell r="AB294">
            <v>9.0299999999999994</v>
          </cell>
          <cell r="AE294" t="str">
            <v>20140101KUUM_414</v>
          </cell>
        </row>
        <row r="295">
          <cell r="B295" t="str">
            <v>Apr 2016</v>
          </cell>
          <cell r="C295" t="str">
            <v>LS</v>
          </cell>
          <cell r="D295" t="str">
            <v>KUUM_415</v>
          </cell>
          <cell r="E295">
            <v>10</v>
          </cell>
          <cell r="G295">
            <v>0</v>
          </cell>
          <cell r="H295">
            <v>0</v>
          </cell>
          <cell r="N295">
            <v>312.2</v>
          </cell>
          <cell r="O295">
            <v>0</v>
          </cell>
          <cell r="Q295">
            <v>0</v>
          </cell>
          <cell r="S295">
            <v>0</v>
          </cell>
          <cell r="U295">
            <v>0</v>
          </cell>
          <cell r="Y295">
            <v>11.3</v>
          </cell>
          <cell r="AB295">
            <v>3.4000000000000004</v>
          </cell>
          <cell r="AE295" t="str">
            <v>20140101KUUM_415</v>
          </cell>
        </row>
        <row r="296">
          <cell r="B296" t="str">
            <v>Apr 2016</v>
          </cell>
          <cell r="C296" t="str">
            <v>LS</v>
          </cell>
          <cell r="D296" t="str">
            <v>KUUM_420</v>
          </cell>
          <cell r="E296">
            <v>465</v>
          </cell>
          <cell r="G296">
            <v>0</v>
          </cell>
          <cell r="H296">
            <v>0</v>
          </cell>
          <cell r="N296">
            <v>7142.4</v>
          </cell>
          <cell r="O296">
            <v>0</v>
          </cell>
          <cell r="Q296">
            <v>0</v>
          </cell>
          <cell r="S296">
            <v>0</v>
          </cell>
          <cell r="U296">
            <v>0</v>
          </cell>
          <cell r="Y296">
            <v>525.45000000000005</v>
          </cell>
          <cell r="AB296">
            <v>158.10000000000002</v>
          </cell>
          <cell r="AE296" t="str">
            <v>20140101KUUM_420</v>
          </cell>
        </row>
        <row r="297">
          <cell r="B297" t="str">
            <v>Apr 2016</v>
          </cell>
          <cell r="C297" t="str">
            <v>RLS</v>
          </cell>
          <cell r="D297" t="str">
            <v>KUUM_421</v>
          </cell>
          <cell r="E297">
            <v>5</v>
          </cell>
          <cell r="G297">
            <v>0</v>
          </cell>
          <cell r="H297">
            <v>0</v>
          </cell>
          <cell r="N297">
            <v>16.95</v>
          </cell>
          <cell r="O297">
            <v>0</v>
          </cell>
          <cell r="Q297">
            <v>0</v>
          </cell>
          <cell r="S297">
            <v>0</v>
          </cell>
          <cell r="U297">
            <v>0</v>
          </cell>
          <cell r="Y297">
            <v>4.95</v>
          </cell>
          <cell r="AB297">
            <v>0.6</v>
          </cell>
          <cell r="AE297" t="str">
            <v>20140101KUUM_421</v>
          </cell>
        </row>
        <row r="298">
          <cell r="B298" t="str">
            <v>Apr 2016</v>
          </cell>
          <cell r="C298" t="str">
            <v>RLS</v>
          </cell>
          <cell r="D298" t="str">
            <v>KUUM_422</v>
          </cell>
          <cell r="E298">
            <v>676</v>
          </cell>
          <cell r="G298">
            <v>0</v>
          </cell>
          <cell r="H298">
            <v>0</v>
          </cell>
          <cell r="N298">
            <v>3069.04</v>
          </cell>
          <cell r="O298">
            <v>0</v>
          </cell>
          <cell r="Q298">
            <v>0</v>
          </cell>
          <cell r="S298">
            <v>0</v>
          </cell>
          <cell r="U298">
            <v>0</v>
          </cell>
          <cell r="Y298">
            <v>1311.44</v>
          </cell>
          <cell r="AB298">
            <v>108.16</v>
          </cell>
          <cell r="AE298" t="str">
            <v>20140101KUUM_422</v>
          </cell>
        </row>
        <row r="299">
          <cell r="B299" t="str">
            <v>Apr 2016</v>
          </cell>
          <cell r="C299" t="str">
            <v>RLS</v>
          </cell>
          <cell r="D299" t="str">
            <v>KUUM_424</v>
          </cell>
          <cell r="E299">
            <v>65</v>
          </cell>
          <cell r="G299">
            <v>0</v>
          </cell>
          <cell r="H299">
            <v>123</v>
          </cell>
          <cell r="N299">
            <v>440.7</v>
          </cell>
          <cell r="O299">
            <v>0</v>
          </cell>
          <cell r="Q299">
            <v>0</v>
          </cell>
          <cell r="S299">
            <v>0</v>
          </cell>
          <cell r="U299">
            <v>0</v>
          </cell>
          <cell r="Y299">
            <v>45.5</v>
          </cell>
          <cell r="AB299">
            <v>15.6</v>
          </cell>
          <cell r="AE299" t="str">
            <v>20140101KUUM_424</v>
          </cell>
        </row>
        <row r="300">
          <cell r="B300" t="str">
            <v>Apr 2016</v>
          </cell>
          <cell r="C300" t="str">
            <v>RLS</v>
          </cell>
          <cell r="D300" t="str">
            <v>KUUM_425</v>
          </cell>
          <cell r="E300">
            <v>2</v>
          </cell>
          <cell r="G300">
            <v>0</v>
          </cell>
          <cell r="H300">
            <v>0</v>
          </cell>
          <cell r="N300">
            <v>18.12</v>
          </cell>
          <cell r="O300">
            <v>0</v>
          </cell>
          <cell r="Q300">
            <v>0</v>
          </cell>
          <cell r="S300">
            <v>0</v>
          </cell>
          <cell r="U300">
            <v>0</v>
          </cell>
          <cell r="Y300">
            <v>8.6</v>
          </cell>
          <cell r="AB300">
            <v>0.66</v>
          </cell>
          <cell r="AE300" t="str">
            <v>20140101KUUM_425</v>
          </cell>
        </row>
        <row r="301">
          <cell r="B301" t="str">
            <v>Apr 2016</v>
          </cell>
          <cell r="C301" t="str">
            <v>RLS</v>
          </cell>
          <cell r="D301" t="str">
            <v>KUUM_426</v>
          </cell>
          <cell r="E301">
            <v>172</v>
          </cell>
          <cell r="G301">
            <v>0</v>
          </cell>
          <cell r="H301">
            <v>0</v>
          </cell>
          <cell r="N301">
            <v>1279.68</v>
          </cell>
          <cell r="O301">
            <v>0</v>
          </cell>
          <cell r="Q301">
            <v>0</v>
          </cell>
          <cell r="S301">
            <v>0</v>
          </cell>
          <cell r="U301">
            <v>0</v>
          </cell>
          <cell r="Y301">
            <v>137.6</v>
          </cell>
          <cell r="AB301">
            <v>73.959999999999994</v>
          </cell>
          <cell r="AE301" t="str">
            <v>20140101KUUM_426</v>
          </cell>
        </row>
        <row r="302">
          <cell r="B302" t="str">
            <v>Apr 2016</v>
          </cell>
          <cell r="C302" t="str">
            <v>LS</v>
          </cell>
          <cell r="D302" t="str">
            <v>KUUM_428</v>
          </cell>
          <cell r="E302">
            <v>36659</v>
          </cell>
          <cell r="G302">
            <v>0</v>
          </cell>
          <cell r="H302">
            <v>0</v>
          </cell>
          <cell r="N302">
            <v>287406.56</v>
          </cell>
          <cell r="O302">
            <v>0</v>
          </cell>
          <cell r="Q302">
            <v>0</v>
          </cell>
          <cell r="S302">
            <v>0</v>
          </cell>
          <cell r="U302">
            <v>0</v>
          </cell>
          <cell r="Y302">
            <v>41424.67</v>
          </cell>
          <cell r="AB302">
            <v>12464.060000000001</v>
          </cell>
          <cell r="AE302" t="str">
            <v>20140101KUUM_428</v>
          </cell>
        </row>
        <row r="303">
          <cell r="B303" t="str">
            <v>Apr 2016</v>
          </cell>
          <cell r="C303" t="str">
            <v>LS</v>
          </cell>
          <cell r="D303" t="str">
            <v>KUUM_429</v>
          </cell>
          <cell r="E303">
            <v>0</v>
          </cell>
          <cell r="G303">
            <v>0</v>
          </cell>
          <cell r="H303">
            <v>0</v>
          </cell>
          <cell r="N303">
            <v>0</v>
          </cell>
          <cell r="O303">
            <v>0</v>
          </cell>
          <cell r="Q303">
            <v>0</v>
          </cell>
          <cell r="S303">
            <v>0</v>
          </cell>
          <cell r="U303">
            <v>0</v>
          </cell>
          <cell r="Y303">
            <v>0</v>
          </cell>
          <cell r="AB303">
            <v>0</v>
          </cell>
          <cell r="AE303" t="str">
            <v>20140101KUUM_429</v>
          </cell>
        </row>
        <row r="304">
          <cell r="B304" t="str">
            <v>Apr 2016</v>
          </cell>
          <cell r="C304" t="str">
            <v>LS</v>
          </cell>
          <cell r="D304" t="str">
            <v>KUUM_430</v>
          </cell>
          <cell r="E304">
            <v>1180</v>
          </cell>
          <cell r="G304">
            <v>0</v>
          </cell>
          <cell r="H304">
            <v>0</v>
          </cell>
          <cell r="N304">
            <v>25960</v>
          </cell>
          <cell r="O304">
            <v>0</v>
          </cell>
          <cell r="Q304">
            <v>0</v>
          </cell>
          <cell r="S304">
            <v>0</v>
          </cell>
          <cell r="U304">
            <v>0</v>
          </cell>
          <cell r="Y304">
            <v>1333.4</v>
          </cell>
          <cell r="AB304">
            <v>401.20000000000005</v>
          </cell>
          <cell r="AE304" t="str">
            <v>20140101KUUM_430</v>
          </cell>
        </row>
        <row r="305">
          <cell r="B305" t="str">
            <v>Apr 2016</v>
          </cell>
          <cell r="C305" t="str">
            <v>RLS</v>
          </cell>
          <cell r="D305" t="str">
            <v>KUUM_434</v>
          </cell>
          <cell r="E305">
            <v>5</v>
          </cell>
          <cell r="G305">
            <v>0</v>
          </cell>
          <cell r="H305">
            <v>0</v>
          </cell>
          <cell r="N305">
            <v>38.700000000000003</v>
          </cell>
          <cell r="O305">
            <v>0</v>
          </cell>
          <cell r="Q305">
            <v>0</v>
          </cell>
          <cell r="S305">
            <v>0</v>
          </cell>
          <cell r="U305">
            <v>0</v>
          </cell>
          <cell r="Y305">
            <v>3.5</v>
          </cell>
          <cell r="AB305">
            <v>1.2</v>
          </cell>
          <cell r="AE305" t="str">
            <v>20140101KUUM_434</v>
          </cell>
        </row>
        <row r="306">
          <cell r="B306" t="str">
            <v>Apr 2016</v>
          </cell>
          <cell r="C306" t="str">
            <v>RLS</v>
          </cell>
          <cell r="D306" t="str">
            <v>KUUM_440</v>
          </cell>
          <cell r="E306">
            <v>2</v>
          </cell>
          <cell r="G306">
            <v>0</v>
          </cell>
          <cell r="H306">
            <v>0</v>
          </cell>
          <cell r="N306">
            <v>27.22</v>
          </cell>
          <cell r="O306">
            <v>0</v>
          </cell>
          <cell r="Q306">
            <v>0</v>
          </cell>
          <cell r="S306">
            <v>0</v>
          </cell>
          <cell r="U306">
            <v>0</v>
          </cell>
          <cell r="Y306">
            <v>1.1399999999999999</v>
          </cell>
          <cell r="AB306">
            <v>0.66</v>
          </cell>
          <cell r="AE306" t="str">
            <v>20140101KUUM_440</v>
          </cell>
        </row>
        <row r="307">
          <cell r="B307" t="str">
            <v>Apr 2016</v>
          </cell>
          <cell r="C307" t="str">
            <v>RLS</v>
          </cell>
          <cell r="D307" t="str">
            <v>KUUM_446</v>
          </cell>
          <cell r="E307">
            <v>1081</v>
          </cell>
          <cell r="G307">
            <v>0</v>
          </cell>
          <cell r="H307">
            <v>0</v>
          </cell>
          <cell r="N307">
            <v>10334.36</v>
          </cell>
          <cell r="O307">
            <v>0</v>
          </cell>
          <cell r="Q307">
            <v>0</v>
          </cell>
          <cell r="S307">
            <v>0</v>
          </cell>
          <cell r="U307">
            <v>0</v>
          </cell>
          <cell r="Y307">
            <v>2151.19</v>
          </cell>
          <cell r="AB307">
            <v>421.59000000000003</v>
          </cell>
          <cell r="AE307" t="str">
            <v>20140101KUUM_446</v>
          </cell>
        </row>
        <row r="308">
          <cell r="B308" t="str">
            <v>Apr 2016</v>
          </cell>
          <cell r="C308" t="str">
            <v>RLS</v>
          </cell>
          <cell r="D308" t="str">
            <v>KUUM_447</v>
          </cell>
          <cell r="E308">
            <v>742</v>
          </cell>
          <cell r="G308">
            <v>0</v>
          </cell>
          <cell r="H308">
            <v>0</v>
          </cell>
          <cell r="N308">
            <v>8399.44</v>
          </cell>
          <cell r="O308">
            <v>0</v>
          </cell>
          <cell r="Q308">
            <v>0</v>
          </cell>
          <cell r="S308">
            <v>0</v>
          </cell>
          <cell r="U308">
            <v>0</v>
          </cell>
          <cell r="Y308">
            <v>2107.2800000000002</v>
          </cell>
          <cell r="AB308">
            <v>326.48</v>
          </cell>
          <cell r="AE308" t="str">
            <v>20140101KUUM_447</v>
          </cell>
        </row>
        <row r="309">
          <cell r="B309" t="str">
            <v>Apr 2016</v>
          </cell>
          <cell r="C309" t="str">
            <v>RLS</v>
          </cell>
          <cell r="D309" t="str">
            <v>KUUM_448</v>
          </cell>
          <cell r="E309">
            <v>1480</v>
          </cell>
          <cell r="G309">
            <v>0</v>
          </cell>
          <cell r="H309">
            <v>0</v>
          </cell>
          <cell r="N309">
            <v>18958.8</v>
          </cell>
          <cell r="O309">
            <v>0</v>
          </cell>
          <cell r="Q309">
            <v>0</v>
          </cell>
          <cell r="S309">
            <v>0</v>
          </cell>
          <cell r="U309">
            <v>0</v>
          </cell>
          <cell r="Y309">
            <v>6467.6</v>
          </cell>
          <cell r="AB309">
            <v>754.80000000000007</v>
          </cell>
          <cell r="AE309" t="str">
            <v>20140101KUUM_448</v>
          </cell>
        </row>
        <row r="310">
          <cell r="B310" t="str">
            <v>Apr 2016</v>
          </cell>
          <cell r="C310" t="str">
            <v>LS</v>
          </cell>
          <cell r="D310" t="str">
            <v>KUUM_450</v>
          </cell>
          <cell r="E310">
            <v>660</v>
          </cell>
          <cell r="G310">
            <v>0</v>
          </cell>
          <cell r="H310">
            <v>0</v>
          </cell>
          <cell r="N310">
            <v>9405</v>
          </cell>
          <cell r="O310">
            <v>0</v>
          </cell>
          <cell r="Q310">
            <v>0</v>
          </cell>
          <cell r="S310">
            <v>0</v>
          </cell>
          <cell r="U310">
            <v>0</v>
          </cell>
          <cell r="Y310">
            <v>1300.2</v>
          </cell>
          <cell r="AB310">
            <v>435.6</v>
          </cell>
          <cell r="AE310" t="str">
            <v>20140101KUUM_450</v>
          </cell>
        </row>
        <row r="311">
          <cell r="B311" t="str">
            <v>Apr 2016</v>
          </cell>
          <cell r="C311" t="str">
            <v>LS</v>
          </cell>
          <cell r="D311" t="str">
            <v>KUUM_451</v>
          </cell>
          <cell r="E311">
            <v>5129</v>
          </cell>
          <cell r="G311">
            <v>0</v>
          </cell>
          <cell r="H311">
            <v>0</v>
          </cell>
          <cell r="N311">
            <v>103605.8</v>
          </cell>
          <cell r="O311">
            <v>0</v>
          </cell>
          <cell r="Q311">
            <v>0</v>
          </cell>
          <cell r="S311">
            <v>0</v>
          </cell>
          <cell r="U311">
            <v>0</v>
          </cell>
          <cell r="Y311">
            <v>22003.41</v>
          </cell>
          <cell r="AB311">
            <v>4308.3599999999997</v>
          </cell>
          <cell r="AE311" t="str">
            <v>20140101KUUM_451</v>
          </cell>
        </row>
        <row r="312">
          <cell r="B312" t="str">
            <v>Apr 2016</v>
          </cell>
          <cell r="C312" t="str">
            <v>LS</v>
          </cell>
          <cell r="D312" t="str">
            <v>KUUM_452</v>
          </cell>
          <cell r="E312">
            <v>1045</v>
          </cell>
          <cell r="G312">
            <v>0</v>
          </cell>
          <cell r="H312">
            <v>0</v>
          </cell>
          <cell r="N312">
            <v>44255.75</v>
          </cell>
          <cell r="O312">
            <v>0</v>
          </cell>
          <cell r="Q312">
            <v>0</v>
          </cell>
          <cell r="S312">
            <v>0</v>
          </cell>
          <cell r="U312">
            <v>0</v>
          </cell>
          <cell r="Y312">
            <v>10878.45</v>
          </cell>
          <cell r="AB312">
            <v>1776.5</v>
          </cell>
          <cell r="AE312" t="str">
            <v>20140101KUUM_452</v>
          </cell>
        </row>
        <row r="313">
          <cell r="B313" t="str">
            <v>Apr 2016</v>
          </cell>
          <cell r="C313" t="str">
            <v>RLS</v>
          </cell>
          <cell r="D313" t="str">
            <v>KUUM_454</v>
          </cell>
          <cell r="E313">
            <v>150</v>
          </cell>
          <cell r="G313">
            <v>0</v>
          </cell>
          <cell r="H313">
            <v>0</v>
          </cell>
          <cell r="N313">
            <v>2797.5</v>
          </cell>
          <cell r="O313">
            <v>0</v>
          </cell>
          <cell r="Q313">
            <v>0</v>
          </cell>
          <cell r="S313">
            <v>0</v>
          </cell>
          <cell r="U313">
            <v>0</v>
          </cell>
          <cell r="Y313">
            <v>295.5</v>
          </cell>
          <cell r="AB313">
            <v>99</v>
          </cell>
          <cell r="AE313" t="str">
            <v>20140101KUUM_454</v>
          </cell>
        </row>
        <row r="314">
          <cell r="B314" t="str">
            <v>Apr 2016</v>
          </cell>
          <cell r="C314" t="str">
            <v>RLS</v>
          </cell>
          <cell r="D314" t="str">
            <v>KUUM_455</v>
          </cell>
          <cell r="E314">
            <v>1022</v>
          </cell>
          <cell r="G314">
            <v>0</v>
          </cell>
          <cell r="H314">
            <v>0</v>
          </cell>
          <cell r="N314">
            <v>25130.98</v>
          </cell>
          <cell r="O314">
            <v>0</v>
          </cell>
          <cell r="Q314">
            <v>0</v>
          </cell>
          <cell r="S314">
            <v>0</v>
          </cell>
          <cell r="U314">
            <v>0</v>
          </cell>
          <cell r="Y314">
            <v>4384.38</v>
          </cell>
          <cell r="AB314">
            <v>858.48</v>
          </cell>
          <cell r="AE314" t="str">
            <v>20140101KUUM_455</v>
          </cell>
        </row>
        <row r="315">
          <cell r="B315" t="str">
            <v>Apr 2016</v>
          </cell>
          <cell r="C315" t="str">
            <v>RLS</v>
          </cell>
          <cell r="D315" t="str">
            <v>KUUM_456</v>
          </cell>
          <cell r="E315">
            <v>142</v>
          </cell>
          <cell r="G315">
            <v>0</v>
          </cell>
          <cell r="H315">
            <v>0</v>
          </cell>
          <cell r="N315">
            <v>1685.54</v>
          </cell>
          <cell r="O315">
            <v>0</v>
          </cell>
          <cell r="Q315">
            <v>0</v>
          </cell>
          <cell r="S315">
            <v>0</v>
          </cell>
          <cell r="U315">
            <v>0</v>
          </cell>
          <cell r="Y315">
            <v>282.58</v>
          </cell>
          <cell r="AB315">
            <v>55.38</v>
          </cell>
          <cell r="AE315" t="str">
            <v>20140101KUUM_456</v>
          </cell>
        </row>
        <row r="316">
          <cell r="B316" t="str">
            <v>Apr 2016</v>
          </cell>
          <cell r="C316" t="str">
            <v>RLS</v>
          </cell>
          <cell r="D316" t="str">
            <v>KUUM_457</v>
          </cell>
          <cell r="E316">
            <v>453</v>
          </cell>
          <cell r="G316">
            <v>0</v>
          </cell>
          <cell r="H316">
            <v>0</v>
          </cell>
          <cell r="N316">
            <v>6052.08</v>
          </cell>
          <cell r="O316">
            <v>0</v>
          </cell>
          <cell r="Q316">
            <v>0</v>
          </cell>
          <cell r="S316">
            <v>0</v>
          </cell>
          <cell r="U316">
            <v>0</v>
          </cell>
          <cell r="Y316">
            <v>1286.52</v>
          </cell>
          <cell r="AB316">
            <v>199.32</v>
          </cell>
          <cell r="AE316" t="str">
            <v>20140101KUUM_457</v>
          </cell>
        </row>
        <row r="317">
          <cell r="B317" t="str">
            <v>Apr 2016</v>
          </cell>
          <cell r="C317" t="str">
            <v>RLS</v>
          </cell>
          <cell r="D317" t="str">
            <v>KUUM_458</v>
          </cell>
          <cell r="E317">
            <v>1479</v>
          </cell>
          <cell r="G317">
            <v>0</v>
          </cell>
          <cell r="H317">
            <v>0</v>
          </cell>
          <cell r="N317">
            <v>22303.32</v>
          </cell>
          <cell r="O317">
            <v>0</v>
          </cell>
          <cell r="Q317">
            <v>0</v>
          </cell>
          <cell r="S317">
            <v>0</v>
          </cell>
          <cell r="U317">
            <v>0</v>
          </cell>
          <cell r="Y317">
            <v>6463.23</v>
          </cell>
          <cell r="AB317">
            <v>754.29</v>
          </cell>
          <cell r="AE317" t="str">
            <v>20140101KUUM_458</v>
          </cell>
        </row>
        <row r="318">
          <cell r="B318" t="str">
            <v>Apr 2016</v>
          </cell>
          <cell r="C318" t="str">
            <v>RLS</v>
          </cell>
          <cell r="D318" t="str">
            <v>KUUM_459</v>
          </cell>
          <cell r="E318">
            <v>224</v>
          </cell>
          <cell r="G318">
            <v>0</v>
          </cell>
          <cell r="H318">
            <v>0</v>
          </cell>
          <cell r="N318">
            <v>10469.76</v>
          </cell>
          <cell r="O318">
            <v>0</v>
          </cell>
          <cell r="Q318">
            <v>0</v>
          </cell>
          <cell r="S318">
            <v>0</v>
          </cell>
          <cell r="U318">
            <v>0</v>
          </cell>
          <cell r="Y318">
            <v>2331.84</v>
          </cell>
          <cell r="AB318">
            <v>380.8</v>
          </cell>
          <cell r="AE318" t="str">
            <v>20140101KUUM_459</v>
          </cell>
        </row>
        <row r="319">
          <cell r="B319" t="str">
            <v>Apr 2016</v>
          </cell>
          <cell r="C319" t="str">
            <v>RLS</v>
          </cell>
          <cell r="D319" t="str">
            <v>KUUM_460</v>
          </cell>
          <cell r="E319">
            <v>26</v>
          </cell>
          <cell r="G319">
            <v>0</v>
          </cell>
          <cell r="H319">
            <v>1869</v>
          </cell>
          <cell r="N319">
            <v>705.9</v>
          </cell>
          <cell r="O319">
            <v>0</v>
          </cell>
          <cell r="Q319">
            <v>0</v>
          </cell>
          <cell r="S319">
            <v>0</v>
          </cell>
          <cell r="U319">
            <v>0</v>
          </cell>
          <cell r="Y319">
            <v>51.22</v>
          </cell>
          <cell r="AB319">
            <v>17.16</v>
          </cell>
          <cell r="AE319" t="str">
            <v>20140101KUUM_460</v>
          </cell>
        </row>
        <row r="320">
          <cell r="B320" t="str">
            <v>Apr 2016</v>
          </cell>
          <cell r="C320" t="str">
            <v>RLS</v>
          </cell>
          <cell r="D320" t="str">
            <v>KUUM_461</v>
          </cell>
          <cell r="E320">
            <v>6932</v>
          </cell>
          <cell r="G320">
            <v>0</v>
          </cell>
          <cell r="H320">
            <v>0</v>
          </cell>
          <cell r="N320">
            <v>52267.28</v>
          </cell>
          <cell r="O320">
            <v>0</v>
          </cell>
          <cell r="Q320">
            <v>0</v>
          </cell>
          <cell r="S320">
            <v>0</v>
          </cell>
          <cell r="U320">
            <v>0</v>
          </cell>
          <cell r="Y320">
            <v>3951.24</v>
          </cell>
          <cell r="AB320">
            <v>2287.56</v>
          </cell>
          <cell r="AE320" t="str">
            <v>20140101KUUM_461</v>
          </cell>
        </row>
        <row r="321">
          <cell r="B321" t="str">
            <v>Apr 2016</v>
          </cell>
          <cell r="C321" t="str">
            <v>LS</v>
          </cell>
          <cell r="D321" t="str">
            <v>KUUM_462</v>
          </cell>
          <cell r="E321">
            <v>8852</v>
          </cell>
          <cell r="G321">
            <v>0</v>
          </cell>
          <cell r="H321">
            <v>0</v>
          </cell>
          <cell r="N321">
            <v>76658.320000000007</v>
          </cell>
          <cell r="O321">
            <v>0</v>
          </cell>
          <cell r="Q321">
            <v>0</v>
          </cell>
          <cell r="S321">
            <v>0</v>
          </cell>
          <cell r="U321">
            <v>0</v>
          </cell>
          <cell r="Y321">
            <v>7081.6</v>
          </cell>
          <cell r="AB321">
            <v>3806.36</v>
          </cell>
          <cell r="AE321" t="str">
            <v>20140101KUUM_462</v>
          </cell>
        </row>
        <row r="322">
          <cell r="B322" t="str">
            <v>Apr 2016</v>
          </cell>
          <cell r="C322" t="str">
            <v>LS</v>
          </cell>
          <cell r="D322" t="str">
            <v>KUUM_463</v>
          </cell>
          <cell r="E322">
            <v>19948</v>
          </cell>
          <cell r="G322">
            <v>0</v>
          </cell>
          <cell r="H322">
            <v>0</v>
          </cell>
          <cell r="N322">
            <v>182324.72</v>
          </cell>
          <cell r="O322">
            <v>0</v>
          </cell>
          <cell r="Q322">
            <v>0</v>
          </cell>
          <cell r="S322">
            <v>0</v>
          </cell>
          <cell r="U322">
            <v>0</v>
          </cell>
          <cell r="Y322">
            <v>22541.24</v>
          </cell>
          <cell r="AB322">
            <v>6782.3200000000006</v>
          </cell>
          <cell r="AE322" t="str">
            <v>20140101KUUM_463</v>
          </cell>
        </row>
        <row r="323">
          <cell r="B323" t="str">
            <v>Apr 2016</v>
          </cell>
          <cell r="C323" t="str">
            <v>LS</v>
          </cell>
          <cell r="D323" t="str">
            <v>KUUM_464</v>
          </cell>
          <cell r="E323">
            <v>7558</v>
          </cell>
          <cell r="G323">
            <v>0</v>
          </cell>
          <cell r="H323">
            <v>0</v>
          </cell>
          <cell r="N323">
            <v>107701.5</v>
          </cell>
          <cell r="O323">
            <v>0</v>
          </cell>
          <cell r="Q323">
            <v>0</v>
          </cell>
          <cell r="S323">
            <v>0</v>
          </cell>
          <cell r="U323">
            <v>0</v>
          </cell>
          <cell r="Y323">
            <v>17610.14</v>
          </cell>
          <cell r="AB323">
            <v>4383.6399999999994</v>
          </cell>
          <cell r="AE323" t="str">
            <v>20140101KUUM_464</v>
          </cell>
        </row>
        <row r="324">
          <cell r="B324" t="str">
            <v>Apr 2016</v>
          </cell>
          <cell r="C324" t="str">
            <v>LS</v>
          </cell>
          <cell r="D324" t="str">
            <v>KUUM_465</v>
          </cell>
          <cell r="E324">
            <v>2807</v>
          </cell>
          <cell r="G324">
            <v>0</v>
          </cell>
          <cell r="H324">
            <v>0</v>
          </cell>
          <cell r="N324">
            <v>64111.88</v>
          </cell>
          <cell r="O324">
            <v>0</v>
          </cell>
          <cell r="Q324">
            <v>0</v>
          </cell>
          <cell r="S324">
            <v>0</v>
          </cell>
          <cell r="U324">
            <v>0</v>
          </cell>
          <cell r="Y324">
            <v>12715.71</v>
          </cell>
          <cell r="AB324">
            <v>2217.5300000000002</v>
          </cell>
          <cell r="AE324" t="str">
            <v>20140101KUUM_465</v>
          </cell>
        </row>
        <row r="325">
          <cell r="B325" t="str">
            <v>Apr 2016</v>
          </cell>
          <cell r="C325" t="str">
            <v>RLS</v>
          </cell>
          <cell r="D325" t="str">
            <v>KUUM_466</v>
          </cell>
          <cell r="E325">
            <v>854</v>
          </cell>
          <cell r="G325">
            <v>0</v>
          </cell>
          <cell r="H325">
            <v>0</v>
          </cell>
          <cell r="N325">
            <v>8215.48</v>
          </cell>
          <cell r="O325">
            <v>0</v>
          </cell>
          <cell r="Q325">
            <v>0</v>
          </cell>
          <cell r="S325">
            <v>0</v>
          </cell>
          <cell r="U325">
            <v>0</v>
          </cell>
          <cell r="Y325">
            <v>486.78</v>
          </cell>
          <cell r="AB325">
            <v>281.82</v>
          </cell>
          <cell r="AE325" t="str">
            <v>20140101KUUM_466</v>
          </cell>
        </row>
        <row r="326">
          <cell r="B326" t="str">
            <v>Apr 2016</v>
          </cell>
          <cell r="C326" t="str">
            <v>LS</v>
          </cell>
          <cell r="D326" t="str">
            <v>KUUM_467</v>
          </cell>
          <cell r="E326">
            <v>1355</v>
          </cell>
          <cell r="G326">
            <v>0</v>
          </cell>
          <cell r="H326">
            <v>0</v>
          </cell>
          <cell r="N326">
            <v>14593.35</v>
          </cell>
          <cell r="O326">
            <v>0</v>
          </cell>
          <cell r="Q326">
            <v>0</v>
          </cell>
          <cell r="S326">
            <v>0</v>
          </cell>
          <cell r="U326">
            <v>0</v>
          </cell>
          <cell r="Y326">
            <v>1084</v>
          </cell>
          <cell r="AB326">
            <v>582.65</v>
          </cell>
          <cell r="AE326" t="str">
            <v>20140101KUUM_467</v>
          </cell>
        </row>
        <row r="327">
          <cell r="B327" t="str">
            <v>Apr 2016</v>
          </cell>
          <cell r="C327" t="str">
            <v>LS</v>
          </cell>
          <cell r="D327" t="str">
            <v>KUUM_468</v>
          </cell>
          <cell r="E327">
            <v>4026</v>
          </cell>
          <cell r="G327">
            <v>0</v>
          </cell>
          <cell r="H327">
            <v>0</v>
          </cell>
          <cell r="N327">
            <v>44930.16</v>
          </cell>
          <cell r="O327">
            <v>0</v>
          </cell>
          <cell r="Q327">
            <v>0</v>
          </cell>
          <cell r="S327">
            <v>0</v>
          </cell>
          <cell r="U327">
            <v>0</v>
          </cell>
          <cell r="Y327">
            <v>4549.38</v>
          </cell>
          <cell r="AB327">
            <v>1368.8400000000001</v>
          </cell>
          <cell r="AE327" t="str">
            <v>20140101KUUM_468</v>
          </cell>
        </row>
        <row r="328">
          <cell r="B328" t="str">
            <v>Apr 2016</v>
          </cell>
          <cell r="C328" t="str">
            <v>RLS</v>
          </cell>
          <cell r="D328" t="str">
            <v>KUUM_469</v>
          </cell>
          <cell r="E328">
            <v>294</v>
          </cell>
          <cell r="G328">
            <v>0</v>
          </cell>
          <cell r="H328">
            <v>0</v>
          </cell>
          <cell r="N328">
            <v>9731.4</v>
          </cell>
          <cell r="O328">
            <v>0</v>
          </cell>
          <cell r="Q328">
            <v>0</v>
          </cell>
          <cell r="S328">
            <v>0</v>
          </cell>
          <cell r="U328">
            <v>0</v>
          </cell>
          <cell r="Y328">
            <v>1261.26</v>
          </cell>
          <cell r="AB328">
            <v>246.95999999999998</v>
          </cell>
          <cell r="AE328" t="str">
            <v>20140101KUUM_469</v>
          </cell>
        </row>
        <row r="329">
          <cell r="B329" t="str">
            <v>Apr 2016</v>
          </cell>
          <cell r="C329" t="str">
            <v>RLS</v>
          </cell>
          <cell r="D329" t="str">
            <v>KUUM_470</v>
          </cell>
          <cell r="E329">
            <v>61</v>
          </cell>
          <cell r="G329">
            <v>0</v>
          </cell>
          <cell r="H329">
            <v>0</v>
          </cell>
          <cell r="N329">
            <v>3370.25</v>
          </cell>
          <cell r="O329">
            <v>0</v>
          </cell>
          <cell r="Q329">
            <v>0</v>
          </cell>
          <cell r="S329">
            <v>0</v>
          </cell>
          <cell r="U329">
            <v>0</v>
          </cell>
          <cell r="Y329">
            <v>635.01</v>
          </cell>
          <cell r="AB329">
            <v>103.7</v>
          </cell>
          <cell r="AE329" t="str">
            <v>20140101KUUM_470</v>
          </cell>
        </row>
        <row r="330">
          <cell r="B330" t="str">
            <v>Apr 2016</v>
          </cell>
          <cell r="C330" t="str">
            <v>RLS</v>
          </cell>
          <cell r="D330" t="str">
            <v>KUUM_471</v>
          </cell>
          <cell r="E330">
            <v>3667</v>
          </cell>
          <cell r="G330">
            <v>0</v>
          </cell>
          <cell r="H330">
            <v>0</v>
          </cell>
          <cell r="N330">
            <v>38466.83</v>
          </cell>
          <cell r="O330">
            <v>0</v>
          </cell>
          <cell r="Q330">
            <v>0</v>
          </cell>
          <cell r="S330">
            <v>0</v>
          </cell>
          <cell r="U330">
            <v>0</v>
          </cell>
          <cell r="Y330">
            <v>2090.19</v>
          </cell>
          <cell r="AB330">
            <v>1210.1100000000001</v>
          </cell>
          <cell r="AE330" t="str">
            <v>20140101KUUM_471</v>
          </cell>
        </row>
        <row r="331">
          <cell r="B331" t="str">
            <v>Apr 2016</v>
          </cell>
          <cell r="C331" t="str">
            <v>LS</v>
          </cell>
          <cell r="D331" t="str">
            <v>KUUM_472</v>
          </cell>
          <cell r="E331">
            <v>8745</v>
          </cell>
          <cell r="G331">
            <v>0</v>
          </cell>
          <cell r="H331">
            <v>0</v>
          </cell>
          <cell r="N331">
            <v>101442</v>
          </cell>
          <cell r="O331">
            <v>0</v>
          </cell>
          <cell r="Q331">
            <v>0</v>
          </cell>
          <cell r="S331">
            <v>0</v>
          </cell>
          <cell r="U331">
            <v>0</v>
          </cell>
          <cell r="Y331">
            <v>6996</v>
          </cell>
          <cell r="AB331">
            <v>3760.35</v>
          </cell>
          <cell r="AE331" t="str">
            <v>20140101KUUM_472</v>
          </cell>
        </row>
        <row r="332">
          <cell r="B332" t="str">
            <v>Apr 2016</v>
          </cell>
          <cell r="C332" t="str">
            <v>LS</v>
          </cell>
          <cell r="D332" t="str">
            <v>KUUM_473</v>
          </cell>
          <cell r="E332">
            <v>3397</v>
          </cell>
          <cell r="G332">
            <v>0</v>
          </cell>
          <cell r="H332">
            <v>0</v>
          </cell>
          <cell r="N332">
            <v>41783.1</v>
          </cell>
          <cell r="O332">
            <v>0</v>
          </cell>
          <cell r="Q332">
            <v>0</v>
          </cell>
          <cell r="S332">
            <v>0</v>
          </cell>
          <cell r="U332">
            <v>0</v>
          </cell>
          <cell r="Y332">
            <v>3838.61</v>
          </cell>
          <cell r="AB332">
            <v>1154.98</v>
          </cell>
          <cell r="AE332" t="str">
            <v>20140101KUUM_473</v>
          </cell>
        </row>
        <row r="333">
          <cell r="B333" t="str">
            <v>Apr 2016</v>
          </cell>
          <cell r="C333" t="str">
            <v>LS</v>
          </cell>
          <cell r="D333" t="str">
            <v>KUUM_474</v>
          </cell>
          <cell r="E333">
            <v>5168</v>
          </cell>
          <cell r="G333">
            <v>0</v>
          </cell>
          <cell r="H333">
            <v>0</v>
          </cell>
          <cell r="N333">
            <v>89974.88</v>
          </cell>
          <cell r="O333">
            <v>0</v>
          </cell>
          <cell r="Q333">
            <v>0</v>
          </cell>
          <cell r="S333">
            <v>0</v>
          </cell>
          <cell r="U333">
            <v>0</v>
          </cell>
          <cell r="Y333">
            <v>12041.44</v>
          </cell>
          <cell r="AB333">
            <v>2997.4399999999996</v>
          </cell>
          <cell r="AE333" t="str">
            <v>20140101KUUM_474</v>
          </cell>
        </row>
        <row r="334">
          <cell r="B334" t="str">
            <v>Apr 2016</v>
          </cell>
          <cell r="C334" t="str">
            <v>LS</v>
          </cell>
          <cell r="D334" t="str">
            <v>KUUM_475</v>
          </cell>
          <cell r="E334">
            <v>515</v>
          </cell>
          <cell r="G334">
            <v>0</v>
          </cell>
          <cell r="H334">
            <v>0</v>
          </cell>
          <cell r="N334">
            <v>12596.9</v>
          </cell>
          <cell r="O334">
            <v>0</v>
          </cell>
          <cell r="Q334">
            <v>0</v>
          </cell>
          <cell r="S334">
            <v>0</v>
          </cell>
          <cell r="U334">
            <v>0</v>
          </cell>
          <cell r="Y334">
            <v>2332.9499999999998</v>
          </cell>
          <cell r="AB334">
            <v>406.85</v>
          </cell>
          <cell r="AE334" t="str">
            <v>20140101KUUM_475</v>
          </cell>
        </row>
        <row r="335">
          <cell r="B335" t="str">
            <v>Apr 2016</v>
          </cell>
          <cell r="C335" t="str">
            <v>LS</v>
          </cell>
          <cell r="D335" t="str">
            <v>KUUM_476</v>
          </cell>
          <cell r="E335">
            <v>4570</v>
          </cell>
          <cell r="G335">
            <v>0</v>
          </cell>
          <cell r="H335">
            <v>0</v>
          </cell>
          <cell r="N335">
            <v>76730.3</v>
          </cell>
          <cell r="O335">
            <v>0</v>
          </cell>
          <cell r="Q335">
            <v>0</v>
          </cell>
          <cell r="S335">
            <v>0</v>
          </cell>
          <cell r="U335">
            <v>0</v>
          </cell>
          <cell r="Y335">
            <v>3656</v>
          </cell>
          <cell r="AB335">
            <v>1965.1</v>
          </cell>
          <cell r="AE335" t="str">
            <v>20140101KUUM_476</v>
          </cell>
        </row>
        <row r="336">
          <cell r="B336" t="str">
            <v>Apr 2016</v>
          </cell>
          <cell r="C336" t="str">
            <v>LS</v>
          </cell>
          <cell r="D336" t="str">
            <v>KUUM_477</v>
          </cell>
          <cell r="E336">
            <v>1063</v>
          </cell>
          <cell r="G336">
            <v>0</v>
          </cell>
          <cell r="H336">
            <v>0</v>
          </cell>
          <cell r="N336">
            <v>22291.11</v>
          </cell>
          <cell r="O336">
            <v>0</v>
          </cell>
          <cell r="Q336">
            <v>0</v>
          </cell>
          <cell r="S336">
            <v>0</v>
          </cell>
          <cell r="U336">
            <v>0</v>
          </cell>
          <cell r="Y336">
            <v>1201.19</v>
          </cell>
          <cell r="AB336">
            <v>361.42</v>
          </cell>
          <cell r="AE336" t="str">
            <v>20140101KUUM_477</v>
          </cell>
        </row>
        <row r="337">
          <cell r="B337" t="str">
            <v>Apr 2016</v>
          </cell>
          <cell r="C337" t="str">
            <v>LS</v>
          </cell>
          <cell r="D337" t="str">
            <v>KUUM_478</v>
          </cell>
          <cell r="E337">
            <v>1411</v>
          </cell>
          <cell r="G337">
            <v>0</v>
          </cell>
          <cell r="H337">
            <v>24</v>
          </cell>
          <cell r="N337">
            <v>37899.46</v>
          </cell>
          <cell r="O337">
            <v>0</v>
          </cell>
          <cell r="Q337">
            <v>0</v>
          </cell>
          <cell r="S337">
            <v>0</v>
          </cell>
          <cell r="U337">
            <v>0</v>
          </cell>
          <cell r="Y337">
            <v>3287.63</v>
          </cell>
          <cell r="AB337">
            <v>818.38</v>
          </cell>
          <cell r="AE337" t="str">
            <v>20140101KUUM_478</v>
          </cell>
        </row>
        <row r="338">
          <cell r="B338" t="str">
            <v>Apr 2016</v>
          </cell>
          <cell r="C338" t="str">
            <v>LS</v>
          </cell>
          <cell r="D338" t="str">
            <v>KUUM_479</v>
          </cell>
          <cell r="E338">
            <v>951</v>
          </cell>
          <cell r="G338">
            <v>0</v>
          </cell>
          <cell r="H338">
            <v>-1313</v>
          </cell>
          <cell r="N338">
            <v>31497.119999999999</v>
          </cell>
          <cell r="O338">
            <v>0</v>
          </cell>
          <cell r="Q338">
            <v>0</v>
          </cell>
          <cell r="S338">
            <v>0</v>
          </cell>
          <cell r="U338">
            <v>0</v>
          </cell>
          <cell r="Y338">
            <v>4308.03</v>
          </cell>
          <cell r="AB338">
            <v>751.29000000000008</v>
          </cell>
          <cell r="AE338" t="str">
            <v>20140101KUUM_479</v>
          </cell>
        </row>
        <row r="339">
          <cell r="B339" t="str">
            <v>Apr 2016</v>
          </cell>
          <cell r="C339" t="str">
            <v>LS</v>
          </cell>
          <cell r="D339" t="str">
            <v>KUUM_486</v>
          </cell>
          <cell r="E339">
            <v>0</v>
          </cell>
          <cell r="G339">
            <v>0</v>
          </cell>
          <cell r="H339">
            <v>2841</v>
          </cell>
          <cell r="N339">
            <v>0</v>
          </cell>
          <cell r="O339">
            <v>0</v>
          </cell>
          <cell r="Q339">
            <v>0</v>
          </cell>
          <cell r="S339">
            <v>0</v>
          </cell>
          <cell r="U339">
            <v>0</v>
          </cell>
          <cell r="Y339">
            <v>0</v>
          </cell>
          <cell r="AB339">
            <v>0</v>
          </cell>
          <cell r="AE339" t="str">
            <v>20140101KUUM_486</v>
          </cell>
        </row>
        <row r="340">
          <cell r="B340" t="str">
            <v>Apr 2016</v>
          </cell>
          <cell r="C340" t="str">
            <v>LS</v>
          </cell>
          <cell r="D340" t="str">
            <v>KUUM_487</v>
          </cell>
          <cell r="E340">
            <v>11151</v>
          </cell>
          <cell r="G340">
            <v>0</v>
          </cell>
          <cell r="H340">
            <v>0</v>
          </cell>
          <cell r="N340">
            <v>100359</v>
          </cell>
          <cell r="O340">
            <v>0</v>
          </cell>
          <cell r="Q340">
            <v>0</v>
          </cell>
          <cell r="S340">
            <v>0</v>
          </cell>
          <cell r="U340">
            <v>0</v>
          </cell>
          <cell r="Y340">
            <v>12600.63</v>
          </cell>
          <cell r="AB340">
            <v>3791.34</v>
          </cell>
          <cell r="AE340" t="str">
            <v>20140101KUUM_487</v>
          </cell>
        </row>
        <row r="341">
          <cell r="B341" t="str">
            <v>Apr 2016</v>
          </cell>
          <cell r="C341" t="str">
            <v>LS</v>
          </cell>
          <cell r="D341" t="str">
            <v>KUUM_488</v>
          </cell>
          <cell r="E341">
            <v>6634</v>
          </cell>
          <cell r="G341">
            <v>0</v>
          </cell>
          <cell r="H341">
            <v>0</v>
          </cell>
          <cell r="N341">
            <v>90487.76</v>
          </cell>
          <cell r="O341">
            <v>0</v>
          </cell>
          <cell r="Q341">
            <v>0</v>
          </cell>
          <cell r="S341">
            <v>0</v>
          </cell>
          <cell r="U341">
            <v>0</v>
          </cell>
          <cell r="Y341">
            <v>15457.22</v>
          </cell>
          <cell r="AB341">
            <v>3847.72</v>
          </cell>
          <cell r="AE341" t="str">
            <v>20140101KUUM_488</v>
          </cell>
        </row>
        <row r="342">
          <cell r="B342" t="str">
            <v>Apr 2016</v>
          </cell>
          <cell r="C342" t="str">
            <v>LS</v>
          </cell>
          <cell r="D342" t="str">
            <v>KUUM_489</v>
          </cell>
          <cell r="E342">
            <v>8349</v>
          </cell>
          <cell r="G342">
            <v>0</v>
          </cell>
          <cell r="H342">
            <v>0</v>
          </cell>
          <cell r="N342">
            <v>162471.54</v>
          </cell>
          <cell r="O342">
            <v>0</v>
          </cell>
          <cell r="Q342">
            <v>0</v>
          </cell>
          <cell r="S342">
            <v>0</v>
          </cell>
          <cell r="U342">
            <v>0</v>
          </cell>
          <cell r="Y342">
            <v>37820.97</v>
          </cell>
          <cell r="AB342">
            <v>6595.71</v>
          </cell>
          <cell r="AE342" t="str">
            <v>20140101KUUM_489</v>
          </cell>
        </row>
        <row r="343">
          <cell r="B343" t="str">
            <v>Apr 2016</v>
          </cell>
          <cell r="C343" t="str">
            <v>LS</v>
          </cell>
          <cell r="D343" t="str">
            <v>KUUM_490</v>
          </cell>
          <cell r="E343">
            <v>58</v>
          </cell>
          <cell r="G343">
            <v>0</v>
          </cell>
          <cell r="H343">
            <v>0</v>
          </cell>
          <cell r="N343">
            <v>897.26</v>
          </cell>
          <cell r="O343">
            <v>0</v>
          </cell>
          <cell r="Q343">
            <v>0</v>
          </cell>
          <cell r="S343">
            <v>0</v>
          </cell>
          <cell r="U343">
            <v>0</v>
          </cell>
          <cell r="Y343">
            <v>114.26</v>
          </cell>
          <cell r="AB343">
            <v>38.28</v>
          </cell>
          <cell r="AE343" t="str">
            <v>20140101KUUM_490</v>
          </cell>
        </row>
        <row r="344">
          <cell r="B344" t="str">
            <v>Apr 2016</v>
          </cell>
          <cell r="C344" t="str">
            <v>LS</v>
          </cell>
          <cell r="D344" t="str">
            <v>KUUM_491</v>
          </cell>
          <cell r="E344">
            <v>301</v>
          </cell>
          <cell r="G344">
            <v>0</v>
          </cell>
          <cell r="H344">
            <v>0</v>
          </cell>
          <cell r="N344">
            <v>6600.93</v>
          </cell>
          <cell r="O344">
            <v>0</v>
          </cell>
          <cell r="Q344">
            <v>0</v>
          </cell>
          <cell r="S344">
            <v>0</v>
          </cell>
          <cell r="U344">
            <v>0</v>
          </cell>
          <cell r="Y344">
            <v>1291.29</v>
          </cell>
          <cell r="AB344">
            <v>252.84</v>
          </cell>
          <cell r="AE344" t="str">
            <v>20140101KUUM_491</v>
          </cell>
        </row>
        <row r="345">
          <cell r="B345" t="str">
            <v>Apr 2016</v>
          </cell>
          <cell r="C345" t="str">
            <v>LS</v>
          </cell>
          <cell r="D345" t="str">
            <v>KUUM_492</v>
          </cell>
          <cell r="E345">
            <v>2</v>
          </cell>
          <cell r="G345">
            <v>0</v>
          </cell>
          <cell r="H345">
            <v>0</v>
          </cell>
          <cell r="N345">
            <v>30.74</v>
          </cell>
          <cell r="O345">
            <v>0</v>
          </cell>
          <cell r="Q345">
            <v>0</v>
          </cell>
          <cell r="S345">
            <v>0</v>
          </cell>
          <cell r="U345">
            <v>0</v>
          </cell>
          <cell r="Y345">
            <v>1.6</v>
          </cell>
          <cell r="AB345">
            <v>0.86</v>
          </cell>
          <cell r="AE345" t="str">
            <v>20140101KUUM_492</v>
          </cell>
        </row>
        <row r="346">
          <cell r="B346" t="str">
            <v>Apr 2016</v>
          </cell>
          <cell r="C346" t="str">
            <v>LS</v>
          </cell>
          <cell r="D346" t="str">
            <v>KUUM_493</v>
          </cell>
          <cell r="E346">
            <v>43</v>
          </cell>
          <cell r="G346">
            <v>0</v>
          </cell>
          <cell r="H346">
            <v>0</v>
          </cell>
          <cell r="N346">
            <v>1965.1</v>
          </cell>
          <cell r="O346">
            <v>0</v>
          </cell>
          <cell r="Q346">
            <v>0</v>
          </cell>
          <cell r="S346">
            <v>0</v>
          </cell>
          <cell r="U346">
            <v>0</v>
          </cell>
          <cell r="Y346">
            <v>447.63</v>
          </cell>
          <cell r="AB346">
            <v>73.099999999999994</v>
          </cell>
          <cell r="AE346" t="str">
            <v>20140101KUUM_493</v>
          </cell>
        </row>
        <row r="347">
          <cell r="B347" t="str">
            <v>Apr 2016</v>
          </cell>
          <cell r="C347" t="str">
            <v>LS</v>
          </cell>
          <cell r="D347" t="str">
            <v>KUUM_494</v>
          </cell>
          <cell r="E347">
            <v>168</v>
          </cell>
          <cell r="G347">
            <v>0</v>
          </cell>
          <cell r="H347">
            <v>0</v>
          </cell>
          <cell r="N347">
            <v>4766.16</v>
          </cell>
          <cell r="O347">
            <v>0</v>
          </cell>
          <cell r="Q347">
            <v>0</v>
          </cell>
          <cell r="S347">
            <v>0</v>
          </cell>
          <cell r="U347">
            <v>0</v>
          </cell>
          <cell r="Y347">
            <v>330.96</v>
          </cell>
          <cell r="AB347">
            <v>110.88000000000001</v>
          </cell>
          <cell r="AE347" t="str">
            <v>20140101KUUM_494</v>
          </cell>
        </row>
        <row r="348">
          <cell r="B348" t="str">
            <v>Apr 2016</v>
          </cell>
          <cell r="C348" t="str">
            <v>LS</v>
          </cell>
          <cell r="D348" t="str">
            <v>KUUM_495</v>
          </cell>
          <cell r="E348">
            <v>620</v>
          </cell>
          <cell r="G348">
            <v>0</v>
          </cell>
          <cell r="H348">
            <v>0</v>
          </cell>
          <cell r="N348">
            <v>21594.6</v>
          </cell>
          <cell r="O348">
            <v>0</v>
          </cell>
          <cell r="Q348">
            <v>0</v>
          </cell>
          <cell r="S348">
            <v>0</v>
          </cell>
          <cell r="U348">
            <v>0</v>
          </cell>
          <cell r="Y348">
            <v>2659.8</v>
          </cell>
          <cell r="AB348">
            <v>520.79999999999995</v>
          </cell>
          <cell r="AE348" t="str">
            <v>20140101KUUM_495</v>
          </cell>
        </row>
        <row r="349">
          <cell r="B349" t="str">
            <v>Apr 2016</v>
          </cell>
          <cell r="C349" t="str">
            <v>LS</v>
          </cell>
          <cell r="D349" t="str">
            <v>KUUM_496</v>
          </cell>
          <cell r="E349">
            <v>157</v>
          </cell>
          <cell r="G349">
            <v>0</v>
          </cell>
          <cell r="H349">
            <v>0</v>
          </cell>
          <cell r="N349">
            <v>9198.6299999999992</v>
          </cell>
          <cell r="O349">
            <v>0</v>
          </cell>
          <cell r="Q349">
            <v>0</v>
          </cell>
          <cell r="S349">
            <v>0</v>
          </cell>
          <cell r="U349">
            <v>0</v>
          </cell>
          <cell r="Y349">
            <v>1634.37</v>
          </cell>
          <cell r="AB349">
            <v>266.89999999999998</v>
          </cell>
          <cell r="AE349" t="str">
            <v>20140101KUUM_496</v>
          </cell>
        </row>
        <row r="350">
          <cell r="B350" t="str">
            <v>Apr 2016</v>
          </cell>
          <cell r="C350" t="str">
            <v>LS</v>
          </cell>
          <cell r="D350" t="str">
            <v>KUUM_497</v>
          </cell>
          <cell r="E350">
            <v>10</v>
          </cell>
          <cell r="G350">
            <v>0</v>
          </cell>
          <cell r="H350">
            <v>0</v>
          </cell>
          <cell r="N350">
            <v>153.5</v>
          </cell>
          <cell r="O350">
            <v>0</v>
          </cell>
          <cell r="Q350">
            <v>0</v>
          </cell>
          <cell r="S350">
            <v>0</v>
          </cell>
          <cell r="U350">
            <v>0</v>
          </cell>
          <cell r="Y350">
            <v>11.3</v>
          </cell>
          <cell r="AB350">
            <v>3.4000000000000004</v>
          </cell>
          <cell r="AE350" t="str">
            <v>20140101KUUM_497</v>
          </cell>
        </row>
        <row r="351">
          <cell r="B351" t="str">
            <v>Apr 2016</v>
          </cell>
          <cell r="C351" t="str">
            <v>LS</v>
          </cell>
          <cell r="D351" t="str">
            <v>KUUM_498</v>
          </cell>
          <cell r="E351">
            <v>12</v>
          </cell>
          <cell r="G351">
            <v>0</v>
          </cell>
          <cell r="H351">
            <v>0</v>
          </cell>
          <cell r="N351">
            <v>212.64</v>
          </cell>
          <cell r="O351">
            <v>0</v>
          </cell>
          <cell r="Q351">
            <v>0</v>
          </cell>
          <cell r="S351">
            <v>0</v>
          </cell>
          <cell r="U351">
            <v>0</v>
          </cell>
          <cell r="Y351">
            <v>27.96</v>
          </cell>
          <cell r="AB351">
            <v>6.9599999999999991</v>
          </cell>
          <cell r="AE351" t="str">
            <v>20140101KUUM_498</v>
          </cell>
        </row>
        <row r="352">
          <cell r="B352" t="str">
            <v>Apr 2016</v>
          </cell>
          <cell r="C352" t="str">
            <v>LS</v>
          </cell>
          <cell r="D352" t="str">
            <v>KUUM_499</v>
          </cell>
          <cell r="E352">
            <v>24</v>
          </cell>
          <cell r="G352">
            <v>0</v>
          </cell>
          <cell r="H352">
            <v>0</v>
          </cell>
          <cell r="N352">
            <v>515.76</v>
          </cell>
          <cell r="O352">
            <v>0</v>
          </cell>
          <cell r="Q352">
            <v>0</v>
          </cell>
          <cell r="S352">
            <v>0</v>
          </cell>
          <cell r="U352">
            <v>0</v>
          </cell>
          <cell r="Y352">
            <v>108.72</v>
          </cell>
          <cell r="AB352">
            <v>18.96</v>
          </cell>
          <cell r="AE352" t="str">
            <v>20140101KUUM_499</v>
          </cell>
        </row>
        <row r="353">
          <cell r="B353" t="str">
            <v>Apr 2016</v>
          </cell>
          <cell r="C353" t="str">
            <v>ODL</v>
          </cell>
          <cell r="D353" t="str">
            <v>ODL</v>
          </cell>
          <cell r="E353">
            <v>0</v>
          </cell>
          <cell r="G353">
            <v>8978325</v>
          </cell>
          <cell r="H353">
            <v>0</v>
          </cell>
          <cell r="N353">
            <v>0</v>
          </cell>
          <cell r="O353">
            <v>2131619</v>
          </cell>
          <cell r="Q353">
            <v>34795</v>
          </cell>
          <cell r="S353">
            <v>67369</v>
          </cell>
          <cell r="U353">
            <v>2233783</v>
          </cell>
          <cell r="Y353">
            <v>0</v>
          </cell>
          <cell r="AB353">
            <v>0</v>
          </cell>
          <cell r="AE353" t="str">
            <v>20140101ODL</v>
          </cell>
        </row>
        <row r="354">
          <cell r="B354" t="str">
            <v>May 2016</v>
          </cell>
          <cell r="C354" t="str">
            <v>LS</v>
          </cell>
          <cell r="D354" t="str">
            <v>KUUM_300</v>
          </cell>
          <cell r="E354">
            <v>0</v>
          </cell>
          <cell r="G354">
            <v>0</v>
          </cell>
          <cell r="N354">
            <v>0</v>
          </cell>
          <cell r="O354">
            <v>0</v>
          </cell>
          <cell r="Q354">
            <v>0</v>
          </cell>
          <cell r="S354">
            <v>0</v>
          </cell>
          <cell r="U354">
            <v>0</v>
          </cell>
          <cell r="Y354">
            <v>0</v>
          </cell>
          <cell r="AB354">
            <v>0</v>
          </cell>
          <cell r="AE354" t="str">
            <v>20140101KUUM_300</v>
          </cell>
        </row>
        <row r="355">
          <cell r="B355" t="str">
            <v>May 2016</v>
          </cell>
          <cell r="C355" t="str">
            <v>LS</v>
          </cell>
          <cell r="D355" t="str">
            <v>KUUM_301</v>
          </cell>
          <cell r="E355">
            <v>0</v>
          </cell>
          <cell r="G355">
            <v>0</v>
          </cell>
          <cell r="N355">
            <v>0</v>
          </cell>
          <cell r="O355">
            <v>0</v>
          </cell>
          <cell r="Q355">
            <v>0</v>
          </cell>
          <cell r="S355">
            <v>0</v>
          </cell>
          <cell r="U355">
            <v>0</v>
          </cell>
          <cell r="Y355">
            <v>0</v>
          </cell>
          <cell r="AB355">
            <v>0</v>
          </cell>
          <cell r="AE355" t="str">
            <v>20140101KUUM_301</v>
          </cell>
        </row>
        <row r="356">
          <cell r="B356" t="str">
            <v>May 2016</v>
          </cell>
          <cell r="C356" t="str">
            <v>LS</v>
          </cell>
          <cell r="D356" t="str">
            <v>KUUM_360</v>
          </cell>
          <cell r="E356">
            <v>179</v>
          </cell>
          <cell r="G356">
            <v>0</v>
          </cell>
          <cell r="H356">
            <v>0</v>
          </cell>
          <cell r="N356">
            <v>9904.07</v>
          </cell>
          <cell r="O356">
            <v>0</v>
          </cell>
          <cell r="Q356">
            <v>0</v>
          </cell>
          <cell r="S356">
            <v>0</v>
          </cell>
          <cell r="U356">
            <v>0</v>
          </cell>
          <cell r="Y356">
            <v>313.25</v>
          </cell>
          <cell r="AB356">
            <v>431.39000000000004</v>
          </cell>
          <cell r="AE356" t="str">
            <v>20140101KUUM_360</v>
          </cell>
        </row>
        <row r="357">
          <cell r="B357" t="str">
            <v>May 2016</v>
          </cell>
          <cell r="C357" t="str">
            <v>LS</v>
          </cell>
          <cell r="D357" t="str">
            <v>KUUM_361</v>
          </cell>
          <cell r="E357">
            <v>25</v>
          </cell>
          <cell r="G357">
            <v>0</v>
          </cell>
          <cell r="H357">
            <v>0</v>
          </cell>
          <cell r="N357">
            <v>2079</v>
          </cell>
          <cell r="O357">
            <v>0</v>
          </cell>
          <cell r="Q357">
            <v>0</v>
          </cell>
          <cell r="S357">
            <v>0</v>
          </cell>
          <cell r="U357">
            <v>0</v>
          </cell>
          <cell r="Y357">
            <v>43.75</v>
          </cell>
          <cell r="AB357">
            <v>60.25</v>
          </cell>
          <cell r="AE357" t="str">
            <v>20140101KUUM_361</v>
          </cell>
        </row>
        <row r="358">
          <cell r="B358" t="str">
            <v>May 2016</v>
          </cell>
          <cell r="C358" t="str">
            <v>LS</v>
          </cell>
          <cell r="D358" t="str">
            <v>KUUM_362</v>
          </cell>
          <cell r="E358">
            <v>43</v>
          </cell>
          <cell r="G358">
            <v>0</v>
          </cell>
          <cell r="H358">
            <v>0</v>
          </cell>
          <cell r="N358">
            <v>2570.54</v>
          </cell>
          <cell r="O358">
            <v>0</v>
          </cell>
          <cell r="Q358">
            <v>0</v>
          </cell>
          <cell r="S358">
            <v>0</v>
          </cell>
          <cell r="U358">
            <v>0</v>
          </cell>
          <cell r="Y358">
            <v>75.25</v>
          </cell>
          <cell r="AB358">
            <v>103.63000000000001</v>
          </cell>
          <cell r="AE358" t="str">
            <v>20140101KUUM_362</v>
          </cell>
        </row>
        <row r="359">
          <cell r="B359" t="str">
            <v>May 2016</v>
          </cell>
          <cell r="C359" t="str">
            <v>LS</v>
          </cell>
          <cell r="D359" t="str">
            <v>KUUM_363</v>
          </cell>
          <cell r="E359">
            <v>5</v>
          </cell>
          <cell r="G359">
            <v>0</v>
          </cell>
          <cell r="H359">
            <v>0</v>
          </cell>
          <cell r="N359">
            <v>308.75</v>
          </cell>
          <cell r="O359">
            <v>0</v>
          </cell>
          <cell r="Q359">
            <v>0</v>
          </cell>
          <cell r="S359">
            <v>0</v>
          </cell>
          <cell r="U359">
            <v>0</v>
          </cell>
          <cell r="Y359">
            <v>8.75</v>
          </cell>
          <cell r="AB359">
            <v>12.05</v>
          </cell>
          <cell r="AE359" t="str">
            <v>20140101KUUM_363</v>
          </cell>
        </row>
        <row r="360">
          <cell r="B360" t="str">
            <v>May 2016</v>
          </cell>
          <cell r="C360" t="str">
            <v>LS</v>
          </cell>
          <cell r="D360" t="str">
            <v>KUUM_364</v>
          </cell>
          <cell r="E360">
            <v>1</v>
          </cell>
          <cell r="G360">
            <v>0</v>
          </cell>
          <cell r="H360">
            <v>0</v>
          </cell>
          <cell r="N360">
            <v>63.11</v>
          </cell>
          <cell r="O360">
            <v>0</v>
          </cell>
          <cell r="Q360">
            <v>0</v>
          </cell>
          <cell r="S360">
            <v>0</v>
          </cell>
          <cell r="U360">
            <v>0</v>
          </cell>
          <cell r="Y360">
            <v>1.75</v>
          </cell>
          <cell r="AB360">
            <v>2.41</v>
          </cell>
          <cell r="AE360" t="str">
            <v>20140101KUUM_364</v>
          </cell>
        </row>
        <row r="361">
          <cell r="B361" t="str">
            <v>May 2016</v>
          </cell>
          <cell r="C361" t="str">
            <v>LS</v>
          </cell>
          <cell r="D361" t="str">
            <v>KUUM_365</v>
          </cell>
          <cell r="E361">
            <v>5</v>
          </cell>
          <cell r="G361">
            <v>0</v>
          </cell>
          <cell r="H361">
            <v>0</v>
          </cell>
          <cell r="N361">
            <v>404.7</v>
          </cell>
          <cell r="O361">
            <v>0</v>
          </cell>
          <cell r="Q361">
            <v>0</v>
          </cell>
          <cell r="S361">
            <v>0</v>
          </cell>
          <cell r="U361">
            <v>0</v>
          </cell>
          <cell r="Y361">
            <v>8.75</v>
          </cell>
          <cell r="AB361">
            <v>12.05</v>
          </cell>
          <cell r="AE361" t="str">
            <v>20140101KUUM_365</v>
          </cell>
        </row>
        <row r="362">
          <cell r="B362" t="str">
            <v>May 2016</v>
          </cell>
          <cell r="C362" t="str">
            <v>LS</v>
          </cell>
          <cell r="D362" t="str">
            <v>KUUM_366</v>
          </cell>
          <cell r="E362">
            <v>9</v>
          </cell>
          <cell r="G362">
            <v>0</v>
          </cell>
          <cell r="H362">
            <v>0</v>
          </cell>
          <cell r="N362">
            <v>710.73</v>
          </cell>
          <cell r="O362">
            <v>0</v>
          </cell>
          <cell r="Q362">
            <v>0</v>
          </cell>
          <cell r="S362">
            <v>0</v>
          </cell>
          <cell r="U362">
            <v>0</v>
          </cell>
          <cell r="Y362">
            <v>15.75</v>
          </cell>
          <cell r="AB362">
            <v>21.69</v>
          </cell>
          <cell r="AE362" t="str">
            <v>20140101KUUM_366</v>
          </cell>
        </row>
        <row r="363">
          <cell r="B363" t="str">
            <v>May 2016</v>
          </cell>
          <cell r="C363" t="str">
            <v>LS</v>
          </cell>
          <cell r="D363" t="str">
            <v>KUUM_367</v>
          </cell>
          <cell r="E363">
            <v>25</v>
          </cell>
          <cell r="G363">
            <v>0</v>
          </cell>
          <cell r="H363">
            <v>0</v>
          </cell>
          <cell r="N363">
            <v>1530.75</v>
          </cell>
          <cell r="O363">
            <v>0</v>
          </cell>
          <cell r="Q363">
            <v>0</v>
          </cell>
          <cell r="S363">
            <v>0</v>
          </cell>
          <cell r="U363">
            <v>0</v>
          </cell>
          <cell r="Y363">
            <v>43.75</v>
          </cell>
          <cell r="AB363">
            <v>60.25</v>
          </cell>
          <cell r="AE363" t="str">
            <v>20140101KUUM_367</v>
          </cell>
        </row>
        <row r="364">
          <cell r="B364" t="str">
            <v>May 2016</v>
          </cell>
          <cell r="C364" t="str">
            <v>LS</v>
          </cell>
          <cell r="D364" t="str">
            <v>KUUM_368</v>
          </cell>
          <cell r="E364">
            <v>1</v>
          </cell>
          <cell r="G364">
            <v>0</v>
          </cell>
          <cell r="H364">
            <v>0</v>
          </cell>
          <cell r="N364">
            <v>56.69</v>
          </cell>
          <cell r="O364">
            <v>0</v>
          </cell>
          <cell r="Q364">
            <v>0</v>
          </cell>
          <cell r="S364">
            <v>0</v>
          </cell>
          <cell r="U364">
            <v>0</v>
          </cell>
          <cell r="Y364">
            <v>1.75</v>
          </cell>
          <cell r="AB364">
            <v>2.41</v>
          </cell>
          <cell r="AE364" t="str">
            <v>20140101KUUM_368</v>
          </cell>
        </row>
        <row r="365">
          <cell r="B365" t="str">
            <v>May 2016</v>
          </cell>
          <cell r="C365" t="str">
            <v>LS</v>
          </cell>
          <cell r="D365" t="str">
            <v>KUUM_370</v>
          </cell>
          <cell r="E365">
            <v>15</v>
          </cell>
          <cell r="G365">
            <v>0</v>
          </cell>
          <cell r="H365">
            <v>0</v>
          </cell>
          <cell r="N365">
            <v>1117.8</v>
          </cell>
          <cell r="O365">
            <v>0</v>
          </cell>
          <cell r="Q365">
            <v>0</v>
          </cell>
          <cell r="S365">
            <v>0</v>
          </cell>
          <cell r="U365">
            <v>0</v>
          </cell>
          <cell r="Y365">
            <v>26.25</v>
          </cell>
          <cell r="AB365">
            <v>36.150000000000006</v>
          </cell>
          <cell r="AE365" t="str">
            <v>20140101KUUM_370</v>
          </cell>
        </row>
        <row r="366">
          <cell r="B366" t="str">
            <v>May 2016</v>
          </cell>
          <cell r="C366" t="str">
            <v>LS</v>
          </cell>
          <cell r="D366" t="str">
            <v>KUUM_372</v>
          </cell>
          <cell r="E366">
            <v>1</v>
          </cell>
          <cell r="G366">
            <v>0</v>
          </cell>
          <cell r="H366">
            <v>0</v>
          </cell>
          <cell r="N366">
            <v>82.3</v>
          </cell>
          <cell r="O366">
            <v>0</v>
          </cell>
          <cell r="Q366">
            <v>0</v>
          </cell>
          <cell r="S366">
            <v>0</v>
          </cell>
          <cell r="U366">
            <v>0</v>
          </cell>
          <cell r="Y366">
            <v>1.75</v>
          </cell>
          <cell r="AB366">
            <v>2.41</v>
          </cell>
          <cell r="AE366" t="str">
            <v>20140101KUUM_372</v>
          </cell>
        </row>
        <row r="367">
          <cell r="B367" t="str">
            <v>May 2016</v>
          </cell>
          <cell r="C367" t="str">
            <v>LS</v>
          </cell>
          <cell r="D367" t="str">
            <v>KUUM_373</v>
          </cell>
          <cell r="E367">
            <v>20</v>
          </cell>
          <cell r="G367">
            <v>0</v>
          </cell>
          <cell r="H367">
            <v>0</v>
          </cell>
          <cell r="N367">
            <v>1490.4</v>
          </cell>
          <cell r="O367">
            <v>0</v>
          </cell>
          <cell r="Q367">
            <v>0</v>
          </cell>
          <cell r="S367">
            <v>0</v>
          </cell>
          <cell r="U367">
            <v>0</v>
          </cell>
          <cell r="Y367">
            <v>35</v>
          </cell>
          <cell r="AB367">
            <v>48.2</v>
          </cell>
          <cell r="AE367" t="str">
            <v>20140101KUUM_373</v>
          </cell>
        </row>
        <row r="368">
          <cell r="B368" t="str">
            <v>May 2016</v>
          </cell>
          <cell r="C368" t="str">
            <v>LS</v>
          </cell>
          <cell r="D368" t="str">
            <v>KUUM_374</v>
          </cell>
          <cell r="E368">
            <v>4</v>
          </cell>
          <cell r="G368">
            <v>0</v>
          </cell>
          <cell r="H368">
            <v>0</v>
          </cell>
          <cell r="N368">
            <v>303.52</v>
          </cell>
          <cell r="O368">
            <v>0</v>
          </cell>
          <cell r="Q368">
            <v>0</v>
          </cell>
          <cell r="S368">
            <v>0</v>
          </cell>
          <cell r="U368">
            <v>0</v>
          </cell>
          <cell r="Y368">
            <v>7</v>
          </cell>
          <cell r="AB368">
            <v>9.64</v>
          </cell>
          <cell r="AE368" t="str">
            <v>20140101KUUM_374</v>
          </cell>
        </row>
        <row r="369">
          <cell r="B369" t="str">
            <v>May 2016</v>
          </cell>
          <cell r="C369" t="str">
            <v>LS</v>
          </cell>
          <cell r="D369" t="str">
            <v>KUUM_375</v>
          </cell>
          <cell r="E369">
            <v>3</v>
          </cell>
          <cell r="G369">
            <v>0</v>
          </cell>
          <cell r="H369">
            <v>0</v>
          </cell>
          <cell r="N369">
            <v>236.91</v>
          </cell>
          <cell r="O369">
            <v>0</v>
          </cell>
          <cell r="Q369">
            <v>0</v>
          </cell>
          <cell r="S369">
            <v>0</v>
          </cell>
          <cell r="U369">
            <v>0</v>
          </cell>
          <cell r="Y369">
            <v>5.25</v>
          </cell>
          <cell r="AB369">
            <v>7.23</v>
          </cell>
          <cell r="AE369" t="str">
            <v>20140101KUUM_375</v>
          </cell>
        </row>
        <row r="370">
          <cell r="B370" t="str">
            <v>May 2016</v>
          </cell>
          <cell r="C370" t="str">
            <v>LS</v>
          </cell>
          <cell r="D370" t="str">
            <v>KUUM_376</v>
          </cell>
          <cell r="E370">
            <v>2</v>
          </cell>
          <cell r="G370">
            <v>0</v>
          </cell>
          <cell r="H370">
            <v>3355</v>
          </cell>
          <cell r="N370">
            <v>154.52000000000001</v>
          </cell>
          <cell r="O370">
            <v>0</v>
          </cell>
          <cell r="Q370">
            <v>0</v>
          </cell>
          <cell r="S370">
            <v>0</v>
          </cell>
          <cell r="U370">
            <v>0</v>
          </cell>
          <cell r="Y370">
            <v>3.5</v>
          </cell>
          <cell r="AB370">
            <v>4.82</v>
          </cell>
          <cell r="AE370" t="str">
            <v>20140101KUUM_376</v>
          </cell>
        </row>
        <row r="371">
          <cell r="B371" t="str">
            <v>May 2016</v>
          </cell>
          <cell r="C371" t="str">
            <v>LS</v>
          </cell>
          <cell r="D371" t="str">
            <v>KUUM_377</v>
          </cell>
          <cell r="E371">
            <v>51</v>
          </cell>
          <cell r="G371">
            <v>0</v>
          </cell>
          <cell r="H371">
            <v>0</v>
          </cell>
          <cell r="N371">
            <v>3273.69</v>
          </cell>
          <cell r="O371">
            <v>0</v>
          </cell>
          <cell r="Q371">
            <v>0</v>
          </cell>
          <cell r="S371">
            <v>0</v>
          </cell>
          <cell r="U371">
            <v>0</v>
          </cell>
          <cell r="Y371">
            <v>89.25</v>
          </cell>
          <cell r="AB371">
            <v>122.91000000000001</v>
          </cell>
          <cell r="AE371" t="str">
            <v>20140101KUUM_377</v>
          </cell>
        </row>
        <row r="372">
          <cell r="B372" t="str">
            <v>May 2016</v>
          </cell>
          <cell r="C372" t="str">
            <v>LS</v>
          </cell>
          <cell r="D372" t="str">
            <v>KUUM_378</v>
          </cell>
          <cell r="E372">
            <v>2</v>
          </cell>
          <cell r="G372">
            <v>0</v>
          </cell>
          <cell r="H372">
            <v>0</v>
          </cell>
          <cell r="N372">
            <v>151.80000000000001</v>
          </cell>
          <cell r="O372">
            <v>0</v>
          </cell>
          <cell r="Q372">
            <v>0</v>
          </cell>
          <cell r="S372">
            <v>0</v>
          </cell>
          <cell r="U372">
            <v>0</v>
          </cell>
          <cell r="Y372">
            <v>3.5</v>
          </cell>
          <cell r="AB372">
            <v>4.82</v>
          </cell>
          <cell r="AE372" t="str">
            <v>20140101KUUM_378</v>
          </cell>
        </row>
        <row r="373">
          <cell r="B373" t="str">
            <v>May 2016</v>
          </cell>
          <cell r="C373" t="str">
            <v>LS</v>
          </cell>
          <cell r="D373" t="str">
            <v>KUUM_401</v>
          </cell>
          <cell r="E373">
            <v>52</v>
          </cell>
          <cell r="G373">
            <v>0</v>
          </cell>
          <cell r="H373">
            <v>0</v>
          </cell>
          <cell r="N373">
            <v>772.72</v>
          </cell>
          <cell r="O373">
            <v>0</v>
          </cell>
          <cell r="Q373">
            <v>0</v>
          </cell>
          <cell r="S373">
            <v>0</v>
          </cell>
          <cell r="U373">
            <v>0</v>
          </cell>
          <cell r="Y373">
            <v>41.6</v>
          </cell>
          <cell r="AB373">
            <v>22.36</v>
          </cell>
          <cell r="AE373" t="str">
            <v>20140101KUUM_401</v>
          </cell>
        </row>
        <row r="374">
          <cell r="B374" t="str">
            <v>May 2016</v>
          </cell>
          <cell r="C374" t="str">
            <v>RLS</v>
          </cell>
          <cell r="D374" t="str">
            <v>KUUM_404</v>
          </cell>
          <cell r="E374">
            <v>7158</v>
          </cell>
          <cell r="G374">
            <v>0</v>
          </cell>
          <cell r="H374">
            <v>0</v>
          </cell>
          <cell r="N374">
            <v>75660.06</v>
          </cell>
          <cell r="O374">
            <v>0</v>
          </cell>
          <cell r="Q374">
            <v>0</v>
          </cell>
          <cell r="S374">
            <v>0</v>
          </cell>
          <cell r="U374">
            <v>0</v>
          </cell>
          <cell r="Y374">
            <v>14244.42</v>
          </cell>
          <cell r="AB374">
            <v>2791.62</v>
          </cell>
          <cell r="AE374" t="str">
            <v>20140101KUUM_404</v>
          </cell>
        </row>
        <row r="375">
          <cell r="B375" t="str">
            <v>May 2016</v>
          </cell>
          <cell r="C375" t="str">
            <v>RLS</v>
          </cell>
          <cell r="D375" t="str">
            <v>KUUM_405</v>
          </cell>
          <cell r="E375">
            <v>0</v>
          </cell>
          <cell r="G375">
            <v>0</v>
          </cell>
          <cell r="H375">
            <v>0</v>
          </cell>
          <cell r="N375">
            <v>0</v>
          </cell>
          <cell r="O375">
            <v>0</v>
          </cell>
          <cell r="Q375">
            <v>0</v>
          </cell>
          <cell r="S375">
            <v>0</v>
          </cell>
          <cell r="U375">
            <v>0</v>
          </cell>
          <cell r="Y375">
            <v>0</v>
          </cell>
          <cell r="AB375">
            <v>0</v>
          </cell>
          <cell r="AE375" t="str">
            <v>20140101KUUM_405</v>
          </cell>
        </row>
        <row r="376">
          <cell r="B376" t="str">
            <v>May 2016</v>
          </cell>
          <cell r="C376" t="str">
            <v>LS</v>
          </cell>
          <cell r="D376" t="str">
            <v>KUUM_407</v>
          </cell>
          <cell r="E376">
            <v>0</v>
          </cell>
          <cell r="G376">
            <v>0</v>
          </cell>
          <cell r="H376">
            <v>0</v>
          </cell>
          <cell r="N376">
            <v>0</v>
          </cell>
          <cell r="O376">
            <v>0</v>
          </cell>
          <cell r="Q376">
            <v>0</v>
          </cell>
          <cell r="S376">
            <v>0</v>
          </cell>
          <cell r="U376">
            <v>0</v>
          </cell>
          <cell r="Y376">
            <v>0</v>
          </cell>
          <cell r="AB376">
            <v>0</v>
          </cell>
          <cell r="AE376" t="str">
            <v>20140101KUUM_407</v>
          </cell>
        </row>
        <row r="377">
          <cell r="B377" t="str">
            <v>May 2016</v>
          </cell>
          <cell r="C377" t="str">
            <v>RLS</v>
          </cell>
          <cell r="D377" t="str">
            <v>KUUM_409</v>
          </cell>
          <cell r="E377">
            <v>142</v>
          </cell>
          <cell r="G377">
            <v>0</v>
          </cell>
          <cell r="H377">
            <v>0</v>
          </cell>
          <cell r="N377">
            <v>1662.82</v>
          </cell>
          <cell r="O377">
            <v>0</v>
          </cell>
          <cell r="Q377">
            <v>0</v>
          </cell>
          <cell r="S377">
            <v>0</v>
          </cell>
          <cell r="U377">
            <v>0</v>
          </cell>
          <cell r="Y377">
            <v>643.26</v>
          </cell>
          <cell r="AB377">
            <v>112.18</v>
          </cell>
          <cell r="AE377" t="str">
            <v>20140101KUUM_409</v>
          </cell>
        </row>
        <row r="378">
          <cell r="B378" t="str">
            <v>May 2016</v>
          </cell>
          <cell r="C378" t="str">
            <v>RLS</v>
          </cell>
          <cell r="D378" t="str">
            <v>KUUM_410</v>
          </cell>
          <cell r="E378">
            <v>242</v>
          </cell>
          <cell r="G378">
            <v>0</v>
          </cell>
          <cell r="H378">
            <v>0</v>
          </cell>
          <cell r="N378">
            <v>4902.92</v>
          </cell>
          <cell r="O378">
            <v>0</v>
          </cell>
          <cell r="Q378">
            <v>0</v>
          </cell>
          <cell r="S378">
            <v>0</v>
          </cell>
          <cell r="U378">
            <v>0</v>
          </cell>
          <cell r="Y378">
            <v>137.94</v>
          </cell>
          <cell r="AB378">
            <v>79.86</v>
          </cell>
          <cell r="AE378" t="str">
            <v>20140101KUUM_410</v>
          </cell>
        </row>
        <row r="379">
          <cell r="B379" t="str">
            <v>May 2016</v>
          </cell>
          <cell r="C379" t="str">
            <v>LS</v>
          </cell>
          <cell r="D379" t="str">
            <v>KUUM_411</v>
          </cell>
          <cell r="E379">
            <v>151</v>
          </cell>
          <cell r="G379">
            <v>0</v>
          </cell>
          <cell r="H379">
            <v>0</v>
          </cell>
          <cell r="N379">
            <v>3228.38</v>
          </cell>
          <cell r="O379">
            <v>0</v>
          </cell>
          <cell r="Q379">
            <v>0</v>
          </cell>
          <cell r="S379">
            <v>0</v>
          </cell>
          <cell r="U379">
            <v>0</v>
          </cell>
          <cell r="Y379">
            <v>120.8</v>
          </cell>
          <cell r="AB379">
            <v>64.929999999999993</v>
          </cell>
          <cell r="AE379" t="str">
            <v>20140101KUUM_411</v>
          </cell>
        </row>
        <row r="380">
          <cell r="B380" t="str">
            <v>May 2016</v>
          </cell>
          <cell r="C380" t="str">
            <v>RLS</v>
          </cell>
          <cell r="D380" t="str">
            <v>KUUM_412</v>
          </cell>
          <cell r="E380">
            <v>28</v>
          </cell>
          <cell r="G380">
            <v>0</v>
          </cell>
          <cell r="H380">
            <v>0</v>
          </cell>
          <cell r="N380">
            <v>863.52</v>
          </cell>
          <cell r="O380">
            <v>0</v>
          </cell>
          <cell r="Q380">
            <v>0</v>
          </cell>
          <cell r="S380">
            <v>0</v>
          </cell>
          <cell r="U380">
            <v>0</v>
          </cell>
          <cell r="Y380">
            <v>22.4</v>
          </cell>
          <cell r="AB380">
            <v>12.04</v>
          </cell>
          <cell r="AE380" t="str">
            <v>20140101KUUM_412</v>
          </cell>
        </row>
        <row r="381">
          <cell r="B381" t="str">
            <v>May 2016</v>
          </cell>
          <cell r="C381" t="str">
            <v>RLS</v>
          </cell>
          <cell r="D381" t="str">
            <v>KUUM_413</v>
          </cell>
          <cell r="E381">
            <v>97</v>
          </cell>
          <cell r="G381">
            <v>0</v>
          </cell>
          <cell r="H381">
            <v>0</v>
          </cell>
          <cell r="N381">
            <v>3028.34</v>
          </cell>
          <cell r="O381">
            <v>0</v>
          </cell>
          <cell r="Q381">
            <v>0</v>
          </cell>
          <cell r="S381">
            <v>0</v>
          </cell>
          <cell r="U381">
            <v>0</v>
          </cell>
          <cell r="Y381">
            <v>109.61</v>
          </cell>
          <cell r="AB381">
            <v>32.980000000000004</v>
          </cell>
          <cell r="AE381" t="str">
            <v>20140101KUUM_413</v>
          </cell>
        </row>
        <row r="382">
          <cell r="B382" t="str">
            <v>May 2016</v>
          </cell>
          <cell r="C382" t="str">
            <v>LS</v>
          </cell>
          <cell r="D382" t="str">
            <v>KUUM_414</v>
          </cell>
          <cell r="E382">
            <v>21</v>
          </cell>
          <cell r="G382">
            <v>0</v>
          </cell>
          <cell r="H382">
            <v>0</v>
          </cell>
          <cell r="N382">
            <v>647.64</v>
          </cell>
          <cell r="O382">
            <v>0</v>
          </cell>
          <cell r="Q382">
            <v>0</v>
          </cell>
          <cell r="S382">
            <v>0</v>
          </cell>
          <cell r="U382">
            <v>0</v>
          </cell>
          <cell r="Y382">
            <v>16.8</v>
          </cell>
          <cell r="AB382">
            <v>9.0299999999999994</v>
          </cell>
          <cell r="AE382" t="str">
            <v>20140101KUUM_414</v>
          </cell>
        </row>
        <row r="383">
          <cell r="B383" t="str">
            <v>May 2016</v>
          </cell>
          <cell r="C383" t="str">
            <v>LS</v>
          </cell>
          <cell r="D383" t="str">
            <v>KUUM_415</v>
          </cell>
          <cell r="E383">
            <v>10</v>
          </cell>
          <cell r="G383">
            <v>0</v>
          </cell>
          <cell r="H383">
            <v>0</v>
          </cell>
          <cell r="N383">
            <v>312.2</v>
          </cell>
          <cell r="O383">
            <v>0</v>
          </cell>
          <cell r="Q383">
            <v>0</v>
          </cell>
          <cell r="S383">
            <v>0</v>
          </cell>
          <cell r="U383">
            <v>0</v>
          </cell>
          <cell r="Y383">
            <v>11.3</v>
          </cell>
          <cell r="AB383">
            <v>3.4000000000000004</v>
          </cell>
          <cell r="AE383" t="str">
            <v>20140101KUUM_415</v>
          </cell>
        </row>
        <row r="384">
          <cell r="B384" t="str">
            <v>May 2016</v>
          </cell>
          <cell r="C384" t="str">
            <v>LS</v>
          </cell>
          <cell r="D384" t="str">
            <v>KUUM_420</v>
          </cell>
          <cell r="E384">
            <v>470</v>
          </cell>
          <cell r="G384">
            <v>0</v>
          </cell>
          <cell r="H384">
            <v>0</v>
          </cell>
          <cell r="N384">
            <v>7219.2</v>
          </cell>
          <cell r="O384">
            <v>0</v>
          </cell>
          <cell r="Q384">
            <v>0</v>
          </cell>
          <cell r="S384">
            <v>0</v>
          </cell>
          <cell r="U384">
            <v>0</v>
          </cell>
          <cell r="Y384">
            <v>531.1</v>
          </cell>
          <cell r="AB384">
            <v>159.80000000000001</v>
          </cell>
          <cell r="AE384" t="str">
            <v>20140101KUUM_420</v>
          </cell>
        </row>
        <row r="385">
          <cell r="B385" t="str">
            <v>May 2016</v>
          </cell>
          <cell r="C385" t="str">
            <v>RLS</v>
          </cell>
          <cell r="D385" t="str">
            <v>KUUM_421</v>
          </cell>
          <cell r="E385">
            <v>5</v>
          </cell>
          <cell r="G385">
            <v>0</v>
          </cell>
          <cell r="H385">
            <v>0</v>
          </cell>
          <cell r="N385">
            <v>16.95</v>
          </cell>
          <cell r="O385">
            <v>0</v>
          </cell>
          <cell r="Q385">
            <v>0</v>
          </cell>
          <cell r="S385">
            <v>0</v>
          </cell>
          <cell r="U385">
            <v>0</v>
          </cell>
          <cell r="Y385">
            <v>4.95</v>
          </cell>
          <cell r="AB385">
            <v>0.6</v>
          </cell>
          <cell r="AE385" t="str">
            <v>20140101KUUM_421</v>
          </cell>
        </row>
        <row r="386">
          <cell r="B386" t="str">
            <v>May 2016</v>
          </cell>
          <cell r="C386" t="str">
            <v>RLS</v>
          </cell>
          <cell r="D386" t="str">
            <v>KUUM_422</v>
          </cell>
          <cell r="E386">
            <v>679</v>
          </cell>
          <cell r="G386">
            <v>0</v>
          </cell>
          <cell r="H386">
            <v>1275</v>
          </cell>
          <cell r="N386">
            <v>3082.66</v>
          </cell>
          <cell r="O386">
            <v>0</v>
          </cell>
          <cell r="Q386">
            <v>0</v>
          </cell>
          <cell r="S386">
            <v>0</v>
          </cell>
          <cell r="U386">
            <v>0</v>
          </cell>
          <cell r="Y386">
            <v>1317.26</v>
          </cell>
          <cell r="AB386">
            <v>108.64</v>
          </cell>
          <cell r="AE386" t="str">
            <v>20140101KUUM_422</v>
          </cell>
        </row>
        <row r="387">
          <cell r="B387" t="str">
            <v>May 2016</v>
          </cell>
          <cell r="C387" t="str">
            <v>RLS</v>
          </cell>
          <cell r="D387" t="str">
            <v>KUUM_424</v>
          </cell>
          <cell r="E387">
            <v>47</v>
          </cell>
          <cell r="G387">
            <v>0</v>
          </cell>
          <cell r="H387">
            <v>0</v>
          </cell>
          <cell r="N387">
            <v>318.66000000000003</v>
          </cell>
          <cell r="O387">
            <v>0</v>
          </cell>
          <cell r="Q387">
            <v>0</v>
          </cell>
          <cell r="S387">
            <v>0</v>
          </cell>
          <cell r="U387">
            <v>0</v>
          </cell>
          <cell r="Y387">
            <v>32.9</v>
          </cell>
          <cell r="AB387">
            <v>11.28</v>
          </cell>
          <cell r="AE387" t="str">
            <v>20140101KUUM_424</v>
          </cell>
        </row>
        <row r="388">
          <cell r="B388" t="str">
            <v>May 2016</v>
          </cell>
          <cell r="C388" t="str">
            <v>RLS</v>
          </cell>
          <cell r="D388" t="str">
            <v>KUUM_425</v>
          </cell>
          <cell r="E388">
            <v>2</v>
          </cell>
          <cell r="G388">
            <v>0</v>
          </cell>
          <cell r="H388">
            <v>0</v>
          </cell>
          <cell r="N388">
            <v>18.12</v>
          </cell>
          <cell r="O388">
            <v>0</v>
          </cell>
          <cell r="Q388">
            <v>0</v>
          </cell>
          <cell r="S388">
            <v>0</v>
          </cell>
          <cell r="U388">
            <v>0</v>
          </cell>
          <cell r="Y388">
            <v>8.6</v>
          </cell>
          <cell r="AB388">
            <v>0.66</v>
          </cell>
          <cell r="AE388" t="str">
            <v>20140101KUUM_425</v>
          </cell>
        </row>
        <row r="389">
          <cell r="B389" t="str">
            <v>May 2016</v>
          </cell>
          <cell r="C389" t="str">
            <v>RLS</v>
          </cell>
          <cell r="D389" t="str">
            <v>KUUM_426</v>
          </cell>
          <cell r="E389">
            <v>171</v>
          </cell>
          <cell r="G389">
            <v>0</v>
          </cell>
          <cell r="H389">
            <v>0</v>
          </cell>
          <cell r="N389">
            <v>1272.24</v>
          </cell>
          <cell r="O389">
            <v>0</v>
          </cell>
          <cell r="Q389">
            <v>0</v>
          </cell>
          <cell r="S389">
            <v>0</v>
          </cell>
          <cell r="U389">
            <v>0</v>
          </cell>
          <cell r="Y389">
            <v>136.80000000000001</v>
          </cell>
          <cell r="AB389">
            <v>73.53</v>
          </cell>
          <cell r="AE389" t="str">
            <v>20140101KUUM_426</v>
          </cell>
        </row>
        <row r="390">
          <cell r="B390" t="str">
            <v>May 2016</v>
          </cell>
          <cell r="C390" t="str">
            <v>LS</v>
          </cell>
          <cell r="D390" t="str">
            <v>KUUM_428</v>
          </cell>
          <cell r="E390">
            <v>36951</v>
          </cell>
          <cell r="G390">
            <v>0</v>
          </cell>
          <cell r="H390">
            <v>0</v>
          </cell>
          <cell r="N390">
            <v>289695.84000000003</v>
          </cell>
          <cell r="O390">
            <v>0</v>
          </cell>
          <cell r="Q390">
            <v>0</v>
          </cell>
          <cell r="S390">
            <v>0</v>
          </cell>
          <cell r="U390">
            <v>0</v>
          </cell>
          <cell r="Y390">
            <v>41754.629999999997</v>
          </cell>
          <cell r="AB390">
            <v>12563.34</v>
          </cell>
          <cell r="AE390" t="str">
            <v>20140101KUUM_428</v>
          </cell>
        </row>
        <row r="391">
          <cell r="B391" t="str">
            <v>May 2016</v>
          </cell>
          <cell r="C391" t="str">
            <v>LS</v>
          </cell>
          <cell r="D391" t="str">
            <v>KUUM_429</v>
          </cell>
          <cell r="E391">
            <v>0</v>
          </cell>
          <cell r="G391">
            <v>0</v>
          </cell>
          <cell r="H391">
            <v>0</v>
          </cell>
          <cell r="N391">
            <v>0</v>
          </cell>
          <cell r="O391">
            <v>0</v>
          </cell>
          <cell r="Q391">
            <v>0</v>
          </cell>
          <cell r="S391">
            <v>0</v>
          </cell>
          <cell r="U391">
            <v>0</v>
          </cell>
          <cell r="Y391">
            <v>0</v>
          </cell>
          <cell r="AB391">
            <v>0</v>
          </cell>
          <cell r="AE391" t="str">
            <v>20140101KUUM_429</v>
          </cell>
        </row>
        <row r="392">
          <cell r="B392" t="str">
            <v>May 2016</v>
          </cell>
          <cell r="C392" t="str">
            <v>LS</v>
          </cell>
          <cell r="D392" t="str">
            <v>KUUM_430</v>
          </cell>
          <cell r="E392">
            <v>1194</v>
          </cell>
          <cell r="G392">
            <v>0</v>
          </cell>
          <cell r="H392">
            <v>0</v>
          </cell>
          <cell r="N392">
            <v>26268</v>
          </cell>
          <cell r="O392">
            <v>0</v>
          </cell>
          <cell r="Q392">
            <v>0</v>
          </cell>
          <cell r="S392">
            <v>0</v>
          </cell>
          <cell r="U392">
            <v>0</v>
          </cell>
          <cell r="Y392">
            <v>1349.22</v>
          </cell>
          <cell r="AB392">
            <v>405.96000000000004</v>
          </cell>
          <cell r="AE392" t="str">
            <v>20140101KUUM_430</v>
          </cell>
        </row>
        <row r="393">
          <cell r="B393" t="str">
            <v>May 2016</v>
          </cell>
          <cell r="C393" t="str">
            <v>RLS</v>
          </cell>
          <cell r="D393" t="str">
            <v>KUUM_434</v>
          </cell>
          <cell r="E393">
            <v>3</v>
          </cell>
          <cell r="G393">
            <v>0</v>
          </cell>
          <cell r="H393">
            <v>0</v>
          </cell>
          <cell r="N393">
            <v>23.22</v>
          </cell>
          <cell r="O393">
            <v>0</v>
          </cell>
          <cell r="Q393">
            <v>0</v>
          </cell>
          <cell r="S393">
            <v>0</v>
          </cell>
          <cell r="U393">
            <v>0</v>
          </cell>
          <cell r="Y393">
            <v>2.1</v>
          </cell>
          <cell r="AB393">
            <v>0.72</v>
          </cell>
          <cell r="AE393" t="str">
            <v>20140101KUUM_434</v>
          </cell>
        </row>
        <row r="394">
          <cell r="B394" t="str">
            <v>May 2016</v>
          </cell>
          <cell r="C394" t="str">
            <v>RLS</v>
          </cell>
          <cell r="D394" t="str">
            <v>KUUM_440</v>
          </cell>
          <cell r="E394">
            <v>2</v>
          </cell>
          <cell r="G394">
            <v>0</v>
          </cell>
          <cell r="H394">
            <v>0</v>
          </cell>
          <cell r="N394">
            <v>27.22</v>
          </cell>
          <cell r="O394">
            <v>0</v>
          </cell>
          <cell r="Q394">
            <v>0</v>
          </cell>
          <cell r="S394">
            <v>0</v>
          </cell>
          <cell r="U394">
            <v>0</v>
          </cell>
          <cell r="Y394">
            <v>1.1399999999999999</v>
          </cell>
          <cell r="AB394">
            <v>0.66</v>
          </cell>
          <cell r="AE394" t="str">
            <v>20140101KUUM_440</v>
          </cell>
        </row>
        <row r="395">
          <cell r="B395" t="str">
            <v>May 2016</v>
          </cell>
          <cell r="C395" t="str">
            <v>RLS</v>
          </cell>
          <cell r="D395" t="str">
            <v>KUUM_446</v>
          </cell>
          <cell r="E395">
            <v>1088</v>
          </cell>
          <cell r="G395">
            <v>0</v>
          </cell>
          <cell r="H395">
            <v>0</v>
          </cell>
          <cell r="N395">
            <v>10401.280000000001</v>
          </cell>
          <cell r="O395">
            <v>0</v>
          </cell>
          <cell r="Q395">
            <v>0</v>
          </cell>
          <cell r="S395">
            <v>0</v>
          </cell>
          <cell r="U395">
            <v>0</v>
          </cell>
          <cell r="Y395">
            <v>2165.12</v>
          </cell>
          <cell r="AB395">
            <v>424.32</v>
          </cell>
          <cell r="AE395" t="str">
            <v>20140101KUUM_446</v>
          </cell>
        </row>
        <row r="396">
          <cell r="B396" t="str">
            <v>May 2016</v>
          </cell>
          <cell r="C396" t="str">
            <v>RLS</v>
          </cell>
          <cell r="D396" t="str">
            <v>KUUM_447</v>
          </cell>
          <cell r="E396">
            <v>748</v>
          </cell>
          <cell r="G396">
            <v>0</v>
          </cell>
          <cell r="H396">
            <v>0</v>
          </cell>
          <cell r="N396">
            <v>8467.36</v>
          </cell>
          <cell r="O396">
            <v>0</v>
          </cell>
          <cell r="Q396">
            <v>0</v>
          </cell>
          <cell r="S396">
            <v>0</v>
          </cell>
          <cell r="U396">
            <v>0</v>
          </cell>
          <cell r="Y396">
            <v>2124.3200000000002</v>
          </cell>
          <cell r="AB396">
            <v>329.12</v>
          </cell>
          <cell r="AE396" t="str">
            <v>20140101KUUM_447</v>
          </cell>
        </row>
        <row r="397">
          <cell r="B397" t="str">
            <v>May 2016</v>
          </cell>
          <cell r="C397" t="str">
            <v>RLS</v>
          </cell>
          <cell r="D397" t="str">
            <v>KUUM_448</v>
          </cell>
          <cell r="E397">
            <v>1489</v>
          </cell>
          <cell r="G397">
            <v>0</v>
          </cell>
          <cell r="H397">
            <v>0</v>
          </cell>
          <cell r="N397">
            <v>19074.09</v>
          </cell>
          <cell r="O397">
            <v>0</v>
          </cell>
          <cell r="Q397">
            <v>0</v>
          </cell>
          <cell r="S397">
            <v>0</v>
          </cell>
          <cell r="U397">
            <v>0</v>
          </cell>
          <cell r="Y397">
            <v>6506.93</v>
          </cell>
          <cell r="AB397">
            <v>759.39</v>
          </cell>
          <cell r="AE397" t="str">
            <v>20140101KUUM_448</v>
          </cell>
        </row>
        <row r="398">
          <cell r="B398" t="str">
            <v>May 2016</v>
          </cell>
          <cell r="C398" t="str">
            <v>LS</v>
          </cell>
          <cell r="D398" t="str">
            <v>KUUM_450</v>
          </cell>
          <cell r="E398">
            <v>674</v>
          </cell>
          <cell r="G398">
            <v>0</v>
          </cell>
          <cell r="H398">
            <v>0</v>
          </cell>
          <cell r="N398">
            <v>9604.5</v>
          </cell>
          <cell r="O398">
            <v>0</v>
          </cell>
          <cell r="Q398">
            <v>0</v>
          </cell>
          <cell r="S398">
            <v>0</v>
          </cell>
          <cell r="U398">
            <v>0</v>
          </cell>
          <cell r="Y398">
            <v>1327.78</v>
          </cell>
          <cell r="AB398">
            <v>444.84000000000003</v>
          </cell>
          <cell r="AE398" t="str">
            <v>20140101KUUM_450</v>
          </cell>
        </row>
        <row r="399">
          <cell r="B399" t="str">
            <v>May 2016</v>
          </cell>
          <cell r="C399" t="str">
            <v>LS</v>
          </cell>
          <cell r="D399" t="str">
            <v>KUUM_451</v>
          </cell>
          <cell r="E399">
            <v>5222</v>
          </cell>
          <cell r="G399">
            <v>0</v>
          </cell>
          <cell r="H399">
            <v>0</v>
          </cell>
          <cell r="N399">
            <v>105484.4</v>
          </cell>
          <cell r="O399">
            <v>0</v>
          </cell>
          <cell r="Q399">
            <v>0</v>
          </cell>
          <cell r="S399">
            <v>0</v>
          </cell>
          <cell r="U399">
            <v>0</v>
          </cell>
          <cell r="Y399">
            <v>22402.38</v>
          </cell>
          <cell r="AB399">
            <v>4386.4799999999996</v>
          </cell>
          <cell r="AE399" t="str">
            <v>20140101KUUM_451</v>
          </cell>
        </row>
        <row r="400">
          <cell r="B400" t="str">
            <v>May 2016</v>
          </cell>
          <cell r="C400" t="str">
            <v>LS</v>
          </cell>
          <cell r="D400" t="str">
            <v>KUUM_452</v>
          </cell>
          <cell r="E400">
            <v>1046</v>
          </cell>
          <cell r="G400">
            <v>0</v>
          </cell>
          <cell r="H400">
            <v>0</v>
          </cell>
          <cell r="N400">
            <v>44298.1</v>
          </cell>
          <cell r="O400">
            <v>0</v>
          </cell>
          <cell r="Q400">
            <v>0</v>
          </cell>
          <cell r="S400">
            <v>0</v>
          </cell>
          <cell r="U400">
            <v>0</v>
          </cell>
          <cell r="Y400">
            <v>10888.86</v>
          </cell>
          <cell r="AB400">
            <v>1778.2</v>
          </cell>
          <cell r="AE400" t="str">
            <v>20140101KUUM_452</v>
          </cell>
        </row>
        <row r="401">
          <cell r="B401" t="str">
            <v>May 2016</v>
          </cell>
          <cell r="C401" t="str">
            <v>RLS</v>
          </cell>
          <cell r="D401" t="str">
            <v>KUUM_454</v>
          </cell>
          <cell r="E401">
            <v>152</v>
          </cell>
          <cell r="G401">
            <v>0</v>
          </cell>
          <cell r="H401">
            <v>0</v>
          </cell>
          <cell r="N401">
            <v>2834.8</v>
          </cell>
          <cell r="O401">
            <v>0</v>
          </cell>
          <cell r="Q401">
            <v>0</v>
          </cell>
          <cell r="S401">
            <v>0</v>
          </cell>
          <cell r="U401">
            <v>0</v>
          </cell>
          <cell r="Y401">
            <v>299.44</v>
          </cell>
          <cell r="AB401">
            <v>100.32000000000001</v>
          </cell>
          <cell r="AE401" t="str">
            <v>20140101KUUM_454</v>
          </cell>
        </row>
        <row r="402">
          <cell r="B402" t="str">
            <v>May 2016</v>
          </cell>
          <cell r="C402" t="str">
            <v>RLS</v>
          </cell>
          <cell r="D402" t="str">
            <v>KUUM_455</v>
          </cell>
          <cell r="E402">
            <v>1059</v>
          </cell>
          <cell r="G402">
            <v>0</v>
          </cell>
          <cell r="H402">
            <v>0</v>
          </cell>
          <cell r="N402">
            <v>26040.81</v>
          </cell>
          <cell r="O402">
            <v>0</v>
          </cell>
          <cell r="Q402">
            <v>0</v>
          </cell>
          <cell r="S402">
            <v>0</v>
          </cell>
          <cell r="U402">
            <v>0</v>
          </cell>
          <cell r="Y402">
            <v>4543.1099999999997</v>
          </cell>
          <cell r="AB402">
            <v>889.56</v>
          </cell>
          <cell r="AE402" t="str">
            <v>20140101KUUM_455</v>
          </cell>
        </row>
        <row r="403">
          <cell r="B403" t="str">
            <v>May 2016</v>
          </cell>
          <cell r="C403" t="str">
            <v>RLS</v>
          </cell>
          <cell r="D403" t="str">
            <v>KUUM_456</v>
          </cell>
          <cell r="E403">
            <v>141</v>
          </cell>
          <cell r="G403">
            <v>0</v>
          </cell>
          <cell r="H403">
            <v>0</v>
          </cell>
          <cell r="N403">
            <v>1673.67</v>
          </cell>
          <cell r="O403">
            <v>0</v>
          </cell>
          <cell r="Q403">
            <v>0</v>
          </cell>
          <cell r="S403">
            <v>0</v>
          </cell>
          <cell r="U403">
            <v>0</v>
          </cell>
          <cell r="Y403">
            <v>280.58999999999997</v>
          </cell>
          <cell r="AB403">
            <v>54.99</v>
          </cell>
          <cell r="AE403" t="str">
            <v>20140101KUUM_456</v>
          </cell>
        </row>
        <row r="404">
          <cell r="B404" t="str">
            <v>May 2016</v>
          </cell>
          <cell r="C404" t="str">
            <v>RLS</v>
          </cell>
          <cell r="D404" t="str">
            <v>KUUM_457</v>
          </cell>
          <cell r="E404">
            <v>457</v>
          </cell>
          <cell r="G404">
            <v>0</v>
          </cell>
          <cell r="H404">
            <v>0</v>
          </cell>
          <cell r="N404">
            <v>6105.52</v>
          </cell>
          <cell r="O404">
            <v>0</v>
          </cell>
          <cell r="Q404">
            <v>0</v>
          </cell>
          <cell r="S404">
            <v>0</v>
          </cell>
          <cell r="U404">
            <v>0</v>
          </cell>
          <cell r="Y404">
            <v>1297.8800000000001</v>
          </cell>
          <cell r="AB404">
            <v>201.08</v>
          </cell>
          <cell r="AE404" t="str">
            <v>20140101KUUM_457</v>
          </cell>
        </row>
        <row r="405">
          <cell r="B405" t="str">
            <v>May 2016</v>
          </cell>
          <cell r="C405" t="str">
            <v>RLS</v>
          </cell>
          <cell r="D405" t="str">
            <v>KUUM_458</v>
          </cell>
          <cell r="E405">
            <v>1485</v>
          </cell>
          <cell r="G405">
            <v>0</v>
          </cell>
          <cell r="H405">
            <v>0</v>
          </cell>
          <cell r="N405">
            <v>22393.8</v>
          </cell>
          <cell r="O405">
            <v>0</v>
          </cell>
          <cell r="Q405">
            <v>0</v>
          </cell>
          <cell r="S405">
            <v>0</v>
          </cell>
          <cell r="U405">
            <v>0</v>
          </cell>
          <cell r="Y405">
            <v>6489.45</v>
          </cell>
          <cell r="AB405">
            <v>757.35</v>
          </cell>
          <cell r="AE405" t="str">
            <v>20140101KUUM_458</v>
          </cell>
        </row>
        <row r="406">
          <cell r="B406" t="str">
            <v>May 2016</v>
          </cell>
          <cell r="C406" t="str">
            <v>RLS</v>
          </cell>
          <cell r="D406" t="str">
            <v>KUUM_459</v>
          </cell>
          <cell r="E406">
            <v>225</v>
          </cell>
          <cell r="G406">
            <v>0</v>
          </cell>
          <cell r="H406">
            <v>0</v>
          </cell>
          <cell r="N406">
            <v>10516.5</v>
          </cell>
          <cell r="O406">
            <v>0</v>
          </cell>
          <cell r="Q406">
            <v>0</v>
          </cell>
          <cell r="S406">
            <v>0</v>
          </cell>
          <cell r="U406">
            <v>0</v>
          </cell>
          <cell r="Y406">
            <v>2342.25</v>
          </cell>
          <cell r="AB406">
            <v>382.5</v>
          </cell>
          <cell r="AE406" t="str">
            <v>20140101KUUM_459</v>
          </cell>
        </row>
        <row r="407">
          <cell r="B407" t="str">
            <v>May 2016</v>
          </cell>
          <cell r="C407" t="str">
            <v>RLS</v>
          </cell>
          <cell r="D407" t="str">
            <v>KUUM_460</v>
          </cell>
          <cell r="E407">
            <v>26</v>
          </cell>
          <cell r="G407">
            <v>0</v>
          </cell>
          <cell r="H407">
            <v>0</v>
          </cell>
          <cell r="N407">
            <v>705.9</v>
          </cell>
          <cell r="O407">
            <v>0</v>
          </cell>
          <cell r="Q407">
            <v>0</v>
          </cell>
          <cell r="S407">
            <v>0</v>
          </cell>
          <cell r="U407">
            <v>0</v>
          </cell>
          <cell r="Y407">
            <v>51.22</v>
          </cell>
          <cell r="AB407">
            <v>17.16</v>
          </cell>
          <cell r="AE407" t="str">
            <v>20140101KUUM_460</v>
          </cell>
        </row>
        <row r="408">
          <cell r="B408" t="str">
            <v>May 2016</v>
          </cell>
          <cell r="C408" t="str">
            <v>RLS</v>
          </cell>
          <cell r="D408" t="str">
            <v>KUUM_461</v>
          </cell>
          <cell r="E408">
            <v>4404</v>
          </cell>
          <cell r="G408">
            <v>0</v>
          </cell>
          <cell r="H408">
            <v>0</v>
          </cell>
          <cell r="N408">
            <v>33206.160000000003</v>
          </cell>
          <cell r="O408">
            <v>0</v>
          </cell>
          <cell r="Q408">
            <v>0</v>
          </cell>
          <cell r="S408">
            <v>0</v>
          </cell>
          <cell r="U408">
            <v>0</v>
          </cell>
          <cell r="Y408">
            <v>2510.2800000000002</v>
          </cell>
          <cell r="AB408">
            <v>1453.3200000000002</v>
          </cell>
          <cell r="AE408" t="str">
            <v>20140101KUUM_461</v>
          </cell>
        </row>
        <row r="409">
          <cell r="B409" t="str">
            <v>May 2016</v>
          </cell>
          <cell r="C409" t="str">
            <v>LS</v>
          </cell>
          <cell r="D409" t="str">
            <v>KUUM_462</v>
          </cell>
          <cell r="E409">
            <v>8921</v>
          </cell>
          <cell r="G409">
            <v>0</v>
          </cell>
          <cell r="H409">
            <v>0</v>
          </cell>
          <cell r="N409">
            <v>77255.86</v>
          </cell>
          <cell r="O409">
            <v>0</v>
          </cell>
          <cell r="Q409">
            <v>0</v>
          </cell>
          <cell r="S409">
            <v>0</v>
          </cell>
          <cell r="U409">
            <v>0</v>
          </cell>
          <cell r="Y409">
            <v>7136.8</v>
          </cell>
          <cell r="AB409">
            <v>3836.0299999999997</v>
          </cell>
          <cell r="AE409" t="str">
            <v>20140101KUUM_462</v>
          </cell>
        </row>
        <row r="410">
          <cell r="B410" t="str">
            <v>May 2016</v>
          </cell>
          <cell r="C410" t="str">
            <v>LS</v>
          </cell>
          <cell r="D410" t="str">
            <v>KUUM_463</v>
          </cell>
          <cell r="E410">
            <v>20402</v>
          </cell>
          <cell r="G410">
            <v>0</v>
          </cell>
          <cell r="H410">
            <v>0</v>
          </cell>
          <cell r="N410">
            <v>186474.28</v>
          </cell>
          <cell r="O410">
            <v>0</v>
          </cell>
          <cell r="Q410">
            <v>0</v>
          </cell>
          <cell r="S410">
            <v>0</v>
          </cell>
          <cell r="U410">
            <v>0</v>
          </cell>
          <cell r="Y410">
            <v>23054.26</v>
          </cell>
          <cell r="AB410">
            <v>6936.68</v>
          </cell>
          <cell r="AE410" t="str">
            <v>20140101KUUM_463</v>
          </cell>
        </row>
        <row r="411">
          <cell r="B411" t="str">
            <v>May 2016</v>
          </cell>
          <cell r="C411" t="str">
            <v>LS</v>
          </cell>
          <cell r="D411" t="str">
            <v>KUUM_464</v>
          </cell>
          <cell r="E411">
            <v>7454</v>
          </cell>
          <cell r="G411">
            <v>0</v>
          </cell>
          <cell r="H411">
            <v>0</v>
          </cell>
          <cell r="N411">
            <v>106219.5</v>
          </cell>
          <cell r="O411">
            <v>0</v>
          </cell>
          <cell r="Q411">
            <v>0</v>
          </cell>
          <cell r="S411">
            <v>0</v>
          </cell>
          <cell r="U411">
            <v>0</v>
          </cell>
          <cell r="Y411">
            <v>17367.82</v>
          </cell>
          <cell r="AB411">
            <v>4323.32</v>
          </cell>
          <cell r="AE411" t="str">
            <v>20140101KUUM_464</v>
          </cell>
        </row>
        <row r="412">
          <cell r="B412" t="str">
            <v>May 2016</v>
          </cell>
          <cell r="C412" t="str">
            <v>LS</v>
          </cell>
          <cell r="D412" t="str">
            <v>KUUM_465</v>
          </cell>
          <cell r="E412">
            <v>2835</v>
          </cell>
          <cell r="G412">
            <v>0</v>
          </cell>
          <cell r="H412">
            <v>0</v>
          </cell>
          <cell r="N412">
            <v>64751.4</v>
          </cell>
          <cell r="O412">
            <v>0</v>
          </cell>
          <cell r="Q412">
            <v>0</v>
          </cell>
          <cell r="S412">
            <v>0</v>
          </cell>
          <cell r="U412">
            <v>0</v>
          </cell>
          <cell r="Y412">
            <v>12842.55</v>
          </cell>
          <cell r="AB412">
            <v>2239.65</v>
          </cell>
          <cell r="AE412" t="str">
            <v>20140101KUUM_465</v>
          </cell>
        </row>
        <row r="413">
          <cell r="B413" t="str">
            <v>May 2016</v>
          </cell>
          <cell r="C413" t="str">
            <v>RLS</v>
          </cell>
          <cell r="D413" t="str">
            <v>KUUM_466</v>
          </cell>
          <cell r="E413">
            <v>865</v>
          </cell>
          <cell r="G413">
            <v>0</v>
          </cell>
          <cell r="H413">
            <v>0</v>
          </cell>
          <cell r="N413">
            <v>8321.2999999999993</v>
          </cell>
          <cell r="O413">
            <v>0</v>
          </cell>
          <cell r="Q413">
            <v>0</v>
          </cell>
          <cell r="S413">
            <v>0</v>
          </cell>
          <cell r="U413">
            <v>0</v>
          </cell>
          <cell r="Y413">
            <v>493.05</v>
          </cell>
          <cell r="AB413">
            <v>285.45</v>
          </cell>
          <cell r="AE413" t="str">
            <v>20140101KUUM_466</v>
          </cell>
        </row>
        <row r="414">
          <cell r="B414" t="str">
            <v>May 2016</v>
          </cell>
          <cell r="C414" t="str">
            <v>LS</v>
          </cell>
          <cell r="D414" t="str">
            <v>KUUM_467</v>
          </cell>
          <cell r="E414">
            <v>1370</v>
          </cell>
          <cell r="G414">
            <v>0</v>
          </cell>
          <cell r="H414">
            <v>0</v>
          </cell>
          <cell r="N414">
            <v>14754.9</v>
          </cell>
          <cell r="O414">
            <v>0</v>
          </cell>
          <cell r="Q414">
            <v>0</v>
          </cell>
          <cell r="S414">
            <v>0</v>
          </cell>
          <cell r="U414">
            <v>0</v>
          </cell>
          <cell r="Y414">
            <v>1096</v>
          </cell>
          <cell r="AB414">
            <v>589.1</v>
          </cell>
          <cell r="AE414" t="str">
            <v>20140101KUUM_467</v>
          </cell>
        </row>
        <row r="415">
          <cell r="B415" t="str">
            <v>May 2016</v>
          </cell>
          <cell r="C415" t="str">
            <v>LS</v>
          </cell>
          <cell r="D415" t="str">
            <v>KUUM_468</v>
          </cell>
          <cell r="E415">
            <v>4061</v>
          </cell>
          <cell r="G415">
            <v>0</v>
          </cell>
          <cell r="H415">
            <v>0</v>
          </cell>
          <cell r="N415">
            <v>45320.76</v>
          </cell>
          <cell r="O415">
            <v>0</v>
          </cell>
          <cell r="Q415">
            <v>0</v>
          </cell>
          <cell r="S415">
            <v>0</v>
          </cell>
          <cell r="U415">
            <v>0</v>
          </cell>
          <cell r="Y415">
            <v>4588.93</v>
          </cell>
          <cell r="AB415">
            <v>1380.74</v>
          </cell>
          <cell r="AE415" t="str">
            <v>20140101KUUM_468</v>
          </cell>
        </row>
        <row r="416">
          <cell r="B416" t="str">
            <v>May 2016</v>
          </cell>
          <cell r="C416" t="str">
            <v>RLS</v>
          </cell>
          <cell r="D416" t="str">
            <v>KUUM_469</v>
          </cell>
          <cell r="E416">
            <v>296</v>
          </cell>
          <cell r="G416">
            <v>0</v>
          </cell>
          <cell r="H416">
            <v>0</v>
          </cell>
          <cell r="N416">
            <v>9797.6</v>
          </cell>
          <cell r="O416">
            <v>0</v>
          </cell>
          <cell r="Q416">
            <v>0</v>
          </cell>
          <cell r="S416">
            <v>0</v>
          </cell>
          <cell r="U416">
            <v>0</v>
          </cell>
          <cell r="Y416">
            <v>1269.8399999999999</v>
          </cell>
          <cell r="AB416">
            <v>248.64</v>
          </cell>
          <cell r="AE416" t="str">
            <v>20140101KUUM_469</v>
          </cell>
        </row>
        <row r="417">
          <cell r="B417" t="str">
            <v>May 2016</v>
          </cell>
          <cell r="C417" t="str">
            <v>RLS</v>
          </cell>
          <cell r="D417" t="str">
            <v>KUUM_470</v>
          </cell>
          <cell r="E417">
            <v>61</v>
          </cell>
          <cell r="G417">
            <v>0</v>
          </cell>
          <cell r="H417">
            <v>0</v>
          </cell>
          <cell r="N417">
            <v>3370.25</v>
          </cell>
          <cell r="O417">
            <v>0</v>
          </cell>
          <cell r="Q417">
            <v>0</v>
          </cell>
          <cell r="S417">
            <v>0</v>
          </cell>
          <cell r="U417">
            <v>0</v>
          </cell>
          <cell r="Y417">
            <v>635.01</v>
          </cell>
          <cell r="AB417">
            <v>103.7</v>
          </cell>
          <cell r="AE417" t="str">
            <v>20140101KUUM_470</v>
          </cell>
        </row>
        <row r="418">
          <cell r="B418" t="str">
            <v>May 2016</v>
          </cell>
          <cell r="C418" t="str">
            <v>RLS</v>
          </cell>
          <cell r="D418" t="str">
            <v>KUUM_471</v>
          </cell>
          <cell r="E418">
            <v>3695</v>
          </cell>
          <cell r="G418">
            <v>0</v>
          </cell>
          <cell r="H418">
            <v>0</v>
          </cell>
          <cell r="N418">
            <v>38760.550000000003</v>
          </cell>
          <cell r="O418">
            <v>0</v>
          </cell>
          <cell r="Q418">
            <v>0</v>
          </cell>
          <cell r="S418">
            <v>0</v>
          </cell>
          <cell r="U418">
            <v>0</v>
          </cell>
          <cell r="Y418">
            <v>2106.15</v>
          </cell>
          <cell r="AB418">
            <v>1219.3500000000001</v>
          </cell>
          <cell r="AE418" t="str">
            <v>20140101KUUM_471</v>
          </cell>
        </row>
        <row r="419">
          <cell r="B419" t="str">
            <v>May 2016</v>
          </cell>
          <cell r="C419" t="str">
            <v>LS</v>
          </cell>
          <cell r="D419" t="str">
            <v>KUUM_472</v>
          </cell>
          <cell r="E419">
            <v>8811</v>
          </cell>
          <cell r="G419">
            <v>0</v>
          </cell>
          <cell r="H419">
            <v>0</v>
          </cell>
          <cell r="N419">
            <v>102207.6</v>
          </cell>
          <cell r="O419">
            <v>0</v>
          </cell>
          <cell r="Q419">
            <v>0</v>
          </cell>
          <cell r="S419">
            <v>0</v>
          </cell>
          <cell r="U419">
            <v>0</v>
          </cell>
          <cell r="Y419">
            <v>7048.8</v>
          </cell>
          <cell r="AB419">
            <v>3788.73</v>
          </cell>
          <cell r="AE419" t="str">
            <v>20140101KUUM_472</v>
          </cell>
        </row>
        <row r="420">
          <cell r="B420" t="str">
            <v>May 2016</v>
          </cell>
          <cell r="C420" t="str">
            <v>LS</v>
          </cell>
          <cell r="D420" t="str">
            <v>KUUM_473</v>
          </cell>
          <cell r="E420">
            <v>3418</v>
          </cell>
          <cell r="G420">
            <v>0</v>
          </cell>
          <cell r="H420">
            <v>0</v>
          </cell>
          <cell r="N420">
            <v>42041.4</v>
          </cell>
          <cell r="O420">
            <v>0</v>
          </cell>
          <cell r="Q420">
            <v>0</v>
          </cell>
          <cell r="S420">
            <v>0</v>
          </cell>
          <cell r="U420">
            <v>0</v>
          </cell>
          <cell r="Y420">
            <v>3862.34</v>
          </cell>
          <cell r="AB420">
            <v>1162.1200000000001</v>
          </cell>
          <cell r="AE420" t="str">
            <v>20140101KUUM_473</v>
          </cell>
        </row>
        <row r="421">
          <cell r="B421" t="str">
            <v>May 2016</v>
          </cell>
          <cell r="C421" t="str">
            <v>LS</v>
          </cell>
          <cell r="D421" t="str">
            <v>KUUM_474</v>
          </cell>
          <cell r="E421">
            <v>5209</v>
          </cell>
          <cell r="G421">
            <v>0</v>
          </cell>
          <cell r="H421">
            <v>0</v>
          </cell>
          <cell r="N421">
            <v>90688.69</v>
          </cell>
          <cell r="O421">
            <v>0</v>
          </cell>
          <cell r="Q421">
            <v>0</v>
          </cell>
          <cell r="S421">
            <v>0</v>
          </cell>
          <cell r="U421">
            <v>0</v>
          </cell>
          <cell r="Y421">
            <v>12136.97</v>
          </cell>
          <cell r="AB421">
            <v>3021.22</v>
          </cell>
          <cell r="AE421" t="str">
            <v>20140101KUUM_474</v>
          </cell>
        </row>
        <row r="422">
          <cell r="B422" t="str">
            <v>May 2016</v>
          </cell>
          <cell r="C422" t="str">
            <v>LS</v>
          </cell>
          <cell r="D422" t="str">
            <v>KUUM_475</v>
          </cell>
          <cell r="E422">
            <v>519</v>
          </cell>
          <cell r="G422">
            <v>0</v>
          </cell>
          <cell r="H422">
            <v>0</v>
          </cell>
          <cell r="N422">
            <v>12694.74</v>
          </cell>
          <cell r="O422">
            <v>0</v>
          </cell>
          <cell r="Q422">
            <v>0</v>
          </cell>
          <cell r="S422">
            <v>0</v>
          </cell>
          <cell r="U422">
            <v>0</v>
          </cell>
          <cell r="Y422">
            <v>2351.0700000000002</v>
          </cell>
          <cell r="AB422">
            <v>410.01</v>
          </cell>
          <cell r="AE422" t="str">
            <v>20140101KUUM_475</v>
          </cell>
        </row>
        <row r="423">
          <cell r="B423" t="str">
            <v>May 2016</v>
          </cell>
          <cell r="C423" t="str">
            <v>LS</v>
          </cell>
          <cell r="D423" t="str">
            <v>KUUM_476</v>
          </cell>
          <cell r="E423">
            <v>4601</v>
          </cell>
          <cell r="G423">
            <v>0</v>
          </cell>
          <cell r="H423">
            <v>0</v>
          </cell>
          <cell r="N423">
            <v>77250.789999999994</v>
          </cell>
          <cell r="O423">
            <v>0</v>
          </cell>
          <cell r="Q423">
            <v>0</v>
          </cell>
          <cell r="S423">
            <v>0</v>
          </cell>
          <cell r="U423">
            <v>0</v>
          </cell>
          <cell r="Y423">
            <v>3680.8</v>
          </cell>
          <cell r="AB423">
            <v>1978.43</v>
          </cell>
          <cell r="AE423" t="str">
            <v>20140101KUUM_476</v>
          </cell>
        </row>
        <row r="424">
          <cell r="B424" t="str">
            <v>May 2016</v>
          </cell>
          <cell r="C424" t="str">
            <v>LS</v>
          </cell>
          <cell r="D424" t="str">
            <v>KUUM_477</v>
          </cell>
          <cell r="E424">
            <v>1060</v>
          </cell>
          <cell r="G424">
            <v>0</v>
          </cell>
          <cell r="H424">
            <v>-50</v>
          </cell>
          <cell r="N424">
            <v>22228.2</v>
          </cell>
          <cell r="O424">
            <v>0</v>
          </cell>
          <cell r="Q424">
            <v>0</v>
          </cell>
          <cell r="S424">
            <v>0</v>
          </cell>
          <cell r="U424">
            <v>0</v>
          </cell>
          <cell r="Y424">
            <v>1197.8</v>
          </cell>
          <cell r="AB424">
            <v>360.40000000000003</v>
          </cell>
          <cell r="AE424" t="str">
            <v>20140101KUUM_477</v>
          </cell>
        </row>
        <row r="425">
          <cell r="B425" t="str">
            <v>May 2016</v>
          </cell>
          <cell r="C425" t="str">
            <v>LS</v>
          </cell>
          <cell r="D425" t="str">
            <v>KUUM_478</v>
          </cell>
          <cell r="E425">
            <v>1423</v>
          </cell>
          <cell r="G425">
            <v>0</v>
          </cell>
          <cell r="H425">
            <v>0</v>
          </cell>
          <cell r="N425">
            <v>38221.78</v>
          </cell>
          <cell r="O425">
            <v>0</v>
          </cell>
          <cell r="Q425">
            <v>0</v>
          </cell>
          <cell r="S425">
            <v>0</v>
          </cell>
          <cell r="U425">
            <v>0</v>
          </cell>
          <cell r="Y425">
            <v>3315.59</v>
          </cell>
          <cell r="AB425">
            <v>825.33999999999992</v>
          </cell>
          <cell r="AE425" t="str">
            <v>20140101KUUM_478</v>
          </cell>
        </row>
        <row r="426">
          <cell r="B426" t="str">
            <v>May 2016</v>
          </cell>
          <cell r="C426" t="str">
            <v>LS</v>
          </cell>
          <cell r="D426" t="str">
            <v>KUUM_479</v>
          </cell>
          <cell r="E426">
            <v>956</v>
          </cell>
          <cell r="G426">
            <v>0</v>
          </cell>
          <cell r="H426">
            <v>0</v>
          </cell>
          <cell r="N426">
            <v>31662.720000000001</v>
          </cell>
          <cell r="O426">
            <v>0</v>
          </cell>
          <cell r="Q426">
            <v>0</v>
          </cell>
          <cell r="S426">
            <v>0</v>
          </cell>
          <cell r="U426">
            <v>0</v>
          </cell>
          <cell r="Y426">
            <v>4330.68</v>
          </cell>
          <cell r="AB426">
            <v>755.24</v>
          </cell>
          <cell r="AE426" t="str">
            <v>20140101KUUM_479</v>
          </cell>
        </row>
        <row r="427">
          <cell r="B427" t="str">
            <v>May 2016</v>
          </cell>
          <cell r="C427" t="str">
            <v>LS</v>
          </cell>
          <cell r="D427" t="str">
            <v>KUUM_486</v>
          </cell>
          <cell r="E427">
            <v>0</v>
          </cell>
          <cell r="G427">
            <v>0</v>
          </cell>
          <cell r="H427">
            <v>0</v>
          </cell>
          <cell r="N427">
            <v>0</v>
          </cell>
          <cell r="O427">
            <v>0</v>
          </cell>
          <cell r="Q427">
            <v>0</v>
          </cell>
          <cell r="S427">
            <v>0</v>
          </cell>
          <cell r="U427">
            <v>0</v>
          </cell>
          <cell r="Y427">
            <v>0</v>
          </cell>
          <cell r="AB427">
            <v>0</v>
          </cell>
          <cell r="AE427" t="str">
            <v>20140101KUUM_486</v>
          </cell>
        </row>
        <row r="428">
          <cell r="B428" t="str">
            <v>May 2016</v>
          </cell>
          <cell r="C428" t="str">
            <v>LS</v>
          </cell>
          <cell r="D428" t="str">
            <v>KUUM_487</v>
          </cell>
          <cell r="E428">
            <v>11252</v>
          </cell>
          <cell r="G428">
            <v>0</v>
          </cell>
          <cell r="H428">
            <v>0</v>
          </cell>
          <cell r="N428">
            <v>101268</v>
          </cell>
          <cell r="O428">
            <v>0</v>
          </cell>
          <cell r="Q428">
            <v>0</v>
          </cell>
          <cell r="S428">
            <v>0</v>
          </cell>
          <cell r="U428">
            <v>0</v>
          </cell>
          <cell r="Y428">
            <v>12714.76</v>
          </cell>
          <cell r="AB428">
            <v>3825.6800000000003</v>
          </cell>
          <cell r="AE428" t="str">
            <v>20140101KUUM_487</v>
          </cell>
        </row>
        <row r="429">
          <cell r="B429" t="str">
            <v>May 2016</v>
          </cell>
          <cell r="C429" t="str">
            <v>LS</v>
          </cell>
          <cell r="D429" t="str">
            <v>KUUM_488</v>
          </cell>
          <cell r="E429">
            <v>6689</v>
          </cell>
          <cell r="G429">
            <v>0</v>
          </cell>
          <cell r="H429">
            <v>0</v>
          </cell>
          <cell r="N429">
            <v>91237.96</v>
          </cell>
          <cell r="O429">
            <v>0</v>
          </cell>
          <cell r="Q429">
            <v>0</v>
          </cell>
          <cell r="S429">
            <v>0</v>
          </cell>
          <cell r="U429">
            <v>0</v>
          </cell>
          <cell r="Y429">
            <v>15585.37</v>
          </cell>
          <cell r="AB429">
            <v>3879.62</v>
          </cell>
          <cell r="AE429" t="str">
            <v>20140101KUUM_488</v>
          </cell>
        </row>
        <row r="430">
          <cell r="B430" t="str">
            <v>May 2016</v>
          </cell>
          <cell r="C430" t="str">
            <v>LS</v>
          </cell>
          <cell r="D430" t="str">
            <v>KUUM_489</v>
          </cell>
          <cell r="E430">
            <v>8376</v>
          </cell>
          <cell r="G430">
            <v>0</v>
          </cell>
          <cell r="H430">
            <v>0</v>
          </cell>
          <cell r="N430">
            <v>162996.96</v>
          </cell>
          <cell r="O430">
            <v>0</v>
          </cell>
          <cell r="Q430">
            <v>0</v>
          </cell>
          <cell r="S430">
            <v>0</v>
          </cell>
          <cell r="U430">
            <v>0</v>
          </cell>
          <cell r="Y430">
            <v>37943.279999999999</v>
          </cell>
          <cell r="AB430">
            <v>6617.04</v>
          </cell>
          <cell r="AE430" t="str">
            <v>20140101KUUM_489</v>
          </cell>
        </row>
        <row r="431">
          <cell r="B431" t="str">
            <v>May 2016</v>
          </cell>
          <cell r="C431" t="str">
            <v>LS</v>
          </cell>
          <cell r="D431" t="str">
            <v>KUUM_490</v>
          </cell>
          <cell r="E431">
            <v>58</v>
          </cell>
          <cell r="G431">
            <v>0</v>
          </cell>
          <cell r="H431">
            <v>0</v>
          </cell>
          <cell r="N431">
            <v>897.26</v>
          </cell>
          <cell r="O431">
            <v>0</v>
          </cell>
          <cell r="Q431">
            <v>0</v>
          </cell>
          <cell r="S431">
            <v>0</v>
          </cell>
          <cell r="U431">
            <v>0</v>
          </cell>
          <cell r="Y431">
            <v>114.26</v>
          </cell>
          <cell r="AB431">
            <v>38.28</v>
          </cell>
          <cell r="AE431" t="str">
            <v>20140101KUUM_490</v>
          </cell>
        </row>
        <row r="432">
          <cell r="B432" t="str">
            <v>May 2016</v>
          </cell>
          <cell r="C432" t="str">
            <v>LS</v>
          </cell>
          <cell r="D432" t="str">
            <v>KUUM_491</v>
          </cell>
          <cell r="E432">
            <v>297</v>
          </cell>
          <cell r="G432">
            <v>0</v>
          </cell>
          <cell r="H432">
            <v>0</v>
          </cell>
          <cell r="N432">
            <v>6513.21</v>
          </cell>
          <cell r="O432">
            <v>0</v>
          </cell>
          <cell r="Q432">
            <v>0</v>
          </cell>
          <cell r="S432">
            <v>0</v>
          </cell>
          <cell r="U432">
            <v>0</v>
          </cell>
          <cell r="Y432">
            <v>1274.1300000000001</v>
          </cell>
          <cell r="AB432">
            <v>249.48</v>
          </cell>
          <cell r="AE432" t="str">
            <v>20140101KUUM_491</v>
          </cell>
        </row>
        <row r="433">
          <cell r="B433" t="str">
            <v>May 2016</v>
          </cell>
          <cell r="C433" t="str">
            <v>LS</v>
          </cell>
          <cell r="D433" t="str">
            <v>KUUM_492</v>
          </cell>
          <cell r="E433">
            <v>2</v>
          </cell>
          <cell r="G433">
            <v>0</v>
          </cell>
          <cell r="H433">
            <v>0</v>
          </cell>
          <cell r="N433">
            <v>30.74</v>
          </cell>
          <cell r="O433">
            <v>0</v>
          </cell>
          <cell r="Q433">
            <v>0</v>
          </cell>
          <cell r="S433">
            <v>0</v>
          </cell>
          <cell r="U433">
            <v>0</v>
          </cell>
          <cell r="Y433">
            <v>1.6</v>
          </cell>
          <cell r="AB433">
            <v>0.86</v>
          </cell>
          <cell r="AE433" t="str">
            <v>20140101KUUM_492</v>
          </cell>
        </row>
        <row r="434">
          <cell r="B434" t="str">
            <v>May 2016</v>
          </cell>
          <cell r="C434" t="str">
            <v>LS</v>
          </cell>
          <cell r="D434" t="str">
            <v>KUUM_493</v>
          </cell>
          <cell r="E434">
            <v>43</v>
          </cell>
          <cell r="G434">
            <v>0</v>
          </cell>
          <cell r="H434">
            <v>0</v>
          </cell>
          <cell r="N434">
            <v>1965.1</v>
          </cell>
          <cell r="O434">
            <v>0</v>
          </cell>
          <cell r="Q434">
            <v>0</v>
          </cell>
          <cell r="S434">
            <v>0</v>
          </cell>
          <cell r="U434">
            <v>0</v>
          </cell>
          <cell r="Y434">
            <v>447.63</v>
          </cell>
          <cell r="AB434">
            <v>73.099999999999994</v>
          </cell>
          <cell r="AE434" t="str">
            <v>20140101KUUM_493</v>
          </cell>
        </row>
        <row r="435">
          <cell r="B435" t="str">
            <v>May 2016</v>
          </cell>
          <cell r="C435" t="str">
            <v>LS</v>
          </cell>
          <cell r="D435" t="str">
            <v>KUUM_494</v>
          </cell>
          <cell r="E435">
            <v>170</v>
          </cell>
          <cell r="G435">
            <v>0</v>
          </cell>
          <cell r="H435">
            <v>0</v>
          </cell>
          <cell r="N435">
            <v>4822.8999999999996</v>
          </cell>
          <cell r="O435">
            <v>0</v>
          </cell>
          <cell r="Q435">
            <v>0</v>
          </cell>
          <cell r="S435">
            <v>0</v>
          </cell>
          <cell r="U435">
            <v>0</v>
          </cell>
          <cell r="Y435">
            <v>334.9</v>
          </cell>
          <cell r="AB435">
            <v>112.2</v>
          </cell>
          <cell r="AE435" t="str">
            <v>20140101KUUM_494</v>
          </cell>
        </row>
        <row r="436">
          <cell r="B436" t="str">
            <v>May 2016</v>
          </cell>
          <cell r="C436" t="str">
            <v>LS</v>
          </cell>
          <cell r="D436" t="str">
            <v>KUUM_495</v>
          </cell>
          <cell r="E436">
            <v>626</v>
          </cell>
          <cell r="G436">
            <v>0</v>
          </cell>
          <cell r="H436">
            <v>0</v>
          </cell>
          <cell r="N436">
            <v>21803.58</v>
          </cell>
          <cell r="O436">
            <v>0</v>
          </cell>
          <cell r="Q436">
            <v>0</v>
          </cell>
          <cell r="S436">
            <v>0</v>
          </cell>
          <cell r="U436">
            <v>0</v>
          </cell>
          <cell r="Y436">
            <v>2685.54</v>
          </cell>
          <cell r="AB436">
            <v>525.84</v>
          </cell>
          <cell r="AE436" t="str">
            <v>20140101KUUM_495</v>
          </cell>
        </row>
        <row r="437">
          <cell r="B437" t="str">
            <v>May 2016</v>
          </cell>
          <cell r="C437" t="str">
            <v>LS</v>
          </cell>
          <cell r="D437" t="str">
            <v>KUUM_496</v>
          </cell>
          <cell r="E437">
            <v>155</v>
          </cell>
          <cell r="G437">
            <v>0</v>
          </cell>
          <cell r="H437">
            <v>0</v>
          </cell>
          <cell r="N437">
            <v>9081.4500000000007</v>
          </cell>
          <cell r="O437">
            <v>0</v>
          </cell>
          <cell r="Q437">
            <v>0</v>
          </cell>
          <cell r="S437">
            <v>0</v>
          </cell>
          <cell r="U437">
            <v>0</v>
          </cell>
          <cell r="Y437">
            <v>1613.55</v>
          </cell>
          <cell r="AB437">
            <v>263.5</v>
          </cell>
          <cell r="AE437" t="str">
            <v>20140101KUUM_496</v>
          </cell>
        </row>
        <row r="438">
          <cell r="B438" t="str">
            <v>May 2016</v>
          </cell>
          <cell r="C438" t="str">
            <v>LS</v>
          </cell>
          <cell r="D438" t="str">
            <v>KUUM_497</v>
          </cell>
          <cell r="E438">
            <v>10</v>
          </cell>
          <cell r="G438">
            <v>0</v>
          </cell>
          <cell r="H438">
            <v>0</v>
          </cell>
          <cell r="N438">
            <v>153.5</v>
          </cell>
          <cell r="O438">
            <v>0</v>
          </cell>
          <cell r="Q438">
            <v>0</v>
          </cell>
          <cell r="S438">
            <v>0</v>
          </cell>
          <cell r="U438">
            <v>0</v>
          </cell>
          <cell r="Y438">
            <v>11.3</v>
          </cell>
          <cell r="AB438">
            <v>3.4000000000000004</v>
          </cell>
          <cell r="AE438" t="str">
            <v>20140101KUUM_497</v>
          </cell>
        </row>
        <row r="439">
          <cell r="B439" t="str">
            <v>May 2016</v>
          </cell>
          <cell r="C439" t="str">
            <v>LS</v>
          </cell>
          <cell r="D439" t="str">
            <v>KUUM_498</v>
          </cell>
          <cell r="E439">
            <v>24</v>
          </cell>
          <cell r="G439">
            <v>0</v>
          </cell>
          <cell r="H439">
            <v>0</v>
          </cell>
          <cell r="N439">
            <v>425.28</v>
          </cell>
          <cell r="O439">
            <v>0</v>
          </cell>
          <cell r="Q439">
            <v>0</v>
          </cell>
          <cell r="S439">
            <v>0</v>
          </cell>
          <cell r="U439">
            <v>0</v>
          </cell>
          <cell r="Y439">
            <v>55.92</v>
          </cell>
          <cell r="AB439">
            <v>13.919999999999998</v>
          </cell>
          <cell r="AE439" t="str">
            <v>20140101KUUM_498</v>
          </cell>
        </row>
        <row r="440">
          <cell r="B440" t="str">
            <v>May 2016</v>
          </cell>
          <cell r="C440" t="str">
            <v>LS</v>
          </cell>
          <cell r="D440" t="str">
            <v>KUUM_499</v>
          </cell>
          <cell r="E440">
            <v>24</v>
          </cell>
          <cell r="G440">
            <v>0</v>
          </cell>
          <cell r="H440">
            <v>0</v>
          </cell>
          <cell r="N440">
            <v>515.76</v>
          </cell>
          <cell r="O440">
            <v>0</v>
          </cell>
          <cell r="Q440">
            <v>0</v>
          </cell>
          <cell r="S440">
            <v>0</v>
          </cell>
          <cell r="U440">
            <v>0</v>
          </cell>
          <cell r="Y440">
            <v>108.72</v>
          </cell>
          <cell r="AB440">
            <v>18.96</v>
          </cell>
          <cell r="AE440" t="str">
            <v>20140101KUUM_499</v>
          </cell>
        </row>
        <row r="441">
          <cell r="B441" t="str">
            <v>May 2016</v>
          </cell>
          <cell r="C441" t="str">
            <v>ODL</v>
          </cell>
          <cell r="D441" t="str">
            <v>ODL</v>
          </cell>
          <cell r="E441">
            <v>0</v>
          </cell>
          <cell r="G441">
            <v>9612592</v>
          </cell>
          <cell r="H441">
            <v>0</v>
          </cell>
          <cell r="N441">
            <v>0</v>
          </cell>
          <cell r="O441">
            <v>2129635</v>
          </cell>
          <cell r="Q441">
            <v>8675</v>
          </cell>
          <cell r="S441">
            <v>65195</v>
          </cell>
          <cell r="U441">
            <v>2203505</v>
          </cell>
          <cell r="Y441">
            <v>0</v>
          </cell>
          <cell r="AB441">
            <v>0</v>
          </cell>
          <cell r="AE441" t="str">
            <v>20140101ODL</v>
          </cell>
        </row>
        <row r="442">
          <cell r="B442" t="str">
            <v>Jun 2016</v>
          </cell>
          <cell r="C442" t="str">
            <v>LS</v>
          </cell>
          <cell r="D442" t="str">
            <v>KUUM_300</v>
          </cell>
          <cell r="E442">
            <v>0</v>
          </cell>
          <cell r="G442">
            <v>0</v>
          </cell>
          <cell r="N442">
            <v>0</v>
          </cell>
          <cell r="O442">
            <v>0</v>
          </cell>
          <cell r="Q442">
            <v>0</v>
          </cell>
          <cell r="S442">
            <v>0</v>
          </cell>
          <cell r="U442">
            <v>0</v>
          </cell>
          <cell r="Y442">
            <v>0</v>
          </cell>
          <cell r="AB442">
            <v>0</v>
          </cell>
          <cell r="AE442" t="str">
            <v>20140101KUUM_300</v>
          </cell>
        </row>
        <row r="443">
          <cell r="B443" t="str">
            <v>Jun 2016</v>
          </cell>
          <cell r="C443" t="str">
            <v>LS</v>
          </cell>
          <cell r="D443" t="str">
            <v>KUUM_301</v>
          </cell>
          <cell r="E443">
            <v>0</v>
          </cell>
          <cell r="G443">
            <v>0</v>
          </cell>
          <cell r="N443">
            <v>0</v>
          </cell>
          <cell r="O443">
            <v>0</v>
          </cell>
          <cell r="Q443">
            <v>0</v>
          </cell>
          <cell r="S443">
            <v>0</v>
          </cell>
          <cell r="U443">
            <v>0</v>
          </cell>
          <cell r="Y443">
            <v>0</v>
          </cell>
          <cell r="AB443">
            <v>0</v>
          </cell>
          <cell r="AE443" t="str">
            <v>20140101KUUM_301</v>
          </cell>
        </row>
        <row r="444">
          <cell r="B444" t="str">
            <v>Jun 2016</v>
          </cell>
          <cell r="C444" t="str">
            <v>LS</v>
          </cell>
          <cell r="D444" t="str">
            <v>KUUM_360</v>
          </cell>
          <cell r="E444">
            <v>178</v>
          </cell>
          <cell r="G444">
            <v>0</v>
          </cell>
          <cell r="N444">
            <v>9848.74</v>
          </cell>
          <cell r="O444">
            <v>0</v>
          </cell>
          <cell r="Q444">
            <v>0</v>
          </cell>
          <cell r="S444">
            <v>0</v>
          </cell>
          <cell r="U444">
            <v>0</v>
          </cell>
          <cell r="Y444">
            <v>311.5</v>
          </cell>
          <cell r="AB444">
            <v>428.98</v>
          </cell>
          <cell r="AE444" t="str">
            <v>20140101KUUM_360</v>
          </cell>
        </row>
        <row r="445">
          <cell r="B445" t="str">
            <v>Jun 2016</v>
          </cell>
          <cell r="C445" t="str">
            <v>LS</v>
          </cell>
          <cell r="D445" t="str">
            <v>KUUM_361</v>
          </cell>
          <cell r="E445">
            <v>25</v>
          </cell>
          <cell r="G445">
            <v>0</v>
          </cell>
          <cell r="N445">
            <v>2079</v>
          </cell>
          <cell r="O445">
            <v>0</v>
          </cell>
          <cell r="Q445">
            <v>0</v>
          </cell>
          <cell r="S445">
            <v>0</v>
          </cell>
          <cell r="U445">
            <v>0</v>
          </cell>
          <cell r="Y445">
            <v>43.75</v>
          </cell>
          <cell r="AB445">
            <v>60.25</v>
          </cell>
          <cell r="AE445" t="str">
            <v>20140101KUUM_361</v>
          </cell>
        </row>
        <row r="446">
          <cell r="B446" t="str">
            <v>Jun 2016</v>
          </cell>
          <cell r="C446" t="str">
            <v>LS</v>
          </cell>
          <cell r="D446" t="str">
            <v>KUUM_362</v>
          </cell>
          <cell r="E446">
            <v>43</v>
          </cell>
          <cell r="G446">
            <v>0</v>
          </cell>
          <cell r="N446">
            <v>2570.54</v>
          </cell>
          <cell r="O446">
            <v>0</v>
          </cell>
          <cell r="Q446">
            <v>0</v>
          </cell>
          <cell r="S446">
            <v>0</v>
          </cell>
          <cell r="U446">
            <v>0</v>
          </cell>
          <cell r="Y446">
            <v>75.25</v>
          </cell>
          <cell r="AB446">
            <v>103.63000000000001</v>
          </cell>
          <cell r="AE446" t="str">
            <v>20140101KUUM_362</v>
          </cell>
        </row>
        <row r="447">
          <cell r="B447" t="str">
            <v>Jun 2016</v>
          </cell>
          <cell r="C447" t="str">
            <v>LS</v>
          </cell>
          <cell r="D447" t="str">
            <v>KUUM_363</v>
          </cell>
          <cell r="E447">
            <v>5</v>
          </cell>
          <cell r="G447">
            <v>0</v>
          </cell>
          <cell r="N447">
            <v>308.75</v>
          </cell>
          <cell r="O447">
            <v>0</v>
          </cell>
          <cell r="Q447">
            <v>0</v>
          </cell>
          <cell r="S447">
            <v>0</v>
          </cell>
          <cell r="U447">
            <v>0</v>
          </cell>
          <cell r="Y447">
            <v>8.75</v>
          </cell>
          <cell r="AB447">
            <v>12.05</v>
          </cell>
          <cell r="AE447" t="str">
            <v>20140101KUUM_363</v>
          </cell>
        </row>
        <row r="448">
          <cell r="B448" t="str">
            <v>Jun 2016</v>
          </cell>
          <cell r="C448" t="str">
            <v>LS</v>
          </cell>
          <cell r="D448" t="str">
            <v>KUUM_364</v>
          </cell>
          <cell r="E448">
            <v>1</v>
          </cell>
          <cell r="G448">
            <v>0</v>
          </cell>
          <cell r="N448">
            <v>63.11</v>
          </cell>
          <cell r="O448">
            <v>0</v>
          </cell>
          <cell r="Q448">
            <v>0</v>
          </cell>
          <cell r="S448">
            <v>0</v>
          </cell>
          <cell r="U448">
            <v>0</v>
          </cell>
          <cell r="Y448">
            <v>1.75</v>
          </cell>
          <cell r="AB448">
            <v>2.41</v>
          </cell>
          <cell r="AE448" t="str">
            <v>20140101KUUM_364</v>
          </cell>
        </row>
        <row r="449">
          <cell r="B449" t="str">
            <v>Jun 2016</v>
          </cell>
          <cell r="C449" t="str">
            <v>LS</v>
          </cell>
          <cell r="D449" t="str">
            <v>KUUM_365</v>
          </cell>
          <cell r="E449">
            <v>5</v>
          </cell>
          <cell r="G449">
            <v>0</v>
          </cell>
          <cell r="N449">
            <v>404.7</v>
          </cell>
          <cell r="O449">
            <v>0</v>
          </cell>
          <cell r="Q449">
            <v>0</v>
          </cell>
          <cell r="S449">
            <v>0</v>
          </cell>
          <cell r="U449">
            <v>0</v>
          </cell>
          <cell r="Y449">
            <v>8.75</v>
          </cell>
          <cell r="AB449">
            <v>12.05</v>
          </cell>
          <cell r="AE449" t="str">
            <v>20140101KUUM_365</v>
          </cell>
        </row>
        <row r="450">
          <cell r="B450" t="str">
            <v>Jun 2016</v>
          </cell>
          <cell r="C450" t="str">
            <v>LS</v>
          </cell>
          <cell r="D450" t="str">
            <v>KUUM_366</v>
          </cell>
          <cell r="E450">
            <v>9</v>
          </cell>
          <cell r="G450">
            <v>0</v>
          </cell>
          <cell r="N450">
            <v>710.73</v>
          </cell>
          <cell r="O450">
            <v>0</v>
          </cell>
          <cell r="Q450">
            <v>0</v>
          </cell>
          <cell r="S450">
            <v>0</v>
          </cell>
          <cell r="U450">
            <v>0</v>
          </cell>
          <cell r="Y450">
            <v>15.75</v>
          </cell>
          <cell r="AB450">
            <v>21.69</v>
          </cell>
          <cell r="AE450" t="str">
            <v>20140101KUUM_366</v>
          </cell>
        </row>
        <row r="451">
          <cell r="B451" t="str">
            <v>Jun 2016</v>
          </cell>
          <cell r="C451" t="str">
            <v>LS</v>
          </cell>
          <cell r="D451" t="str">
            <v>KUUM_367</v>
          </cell>
          <cell r="E451">
            <v>25</v>
          </cell>
          <cell r="G451">
            <v>0</v>
          </cell>
          <cell r="N451">
            <v>1530.75</v>
          </cell>
          <cell r="O451">
            <v>0</v>
          </cell>
          <cell r="Q451">
            <v>0</v>
          </cell>
          <cell r="S451">
            <v>0</v>
          </cell>
          <cell r="U451">
            <v>0</v>
          </cell>
          <cell r="Y451">
            <v>43.75</v>
          </cell>
          <cell r="AB451">
            <v>60.25</v>
          </cell>
          <cell r="AE451" t="str">
            <v>20140101KUUM_367</v>
          </cell>
        </row>
        <row r="452">
          <cell r="B452" t="str">
            <v>Jun 2016</v>
          </cell>
          <cell r="C452" t="str">
            <v>LS</v>
          </cell>
          <cell r="D452" t="str">
            <v>KUUM_368</v>
          </cell>
          <cell r="E452">
            <v>1</v>
          </cell>
          <cell r="G452">
            <v>0</v>
          </cell>
          <cell r="N452">
            <v>56.69</v>
          </cell>
          <cell r="O452">
            <v>0</v>
          </cell>
          <cell r="Q452">
            <v>0</v>
          </cell>
          <cell r="S452">
            <v>0</v>
          </cell>
          <cell r="U452">
            <v>0</v>
          </cell>
          <cell r="Y452">
            <v>1.75</v>
          </cell>
          <cell r="AB452">
            <v>2.41</v>
          </cell>
          <cell r="AE452" t="str">
            <v>20140101KUUM_368</v>
          </cell>
        </row>
        <row r="453">
          <cell r="B453" t="str">
            <v>Jun 2016</v>
          </cell>
          <cell r="C453" t="str">
            <v>LS</v>
          </cell>
          <cell r="D453" t="str">
            <v>KUUM_370</v>
          </cell>
          <cell r="E453">
            <v>15</v>
          </cell>
          <cell r="G453">
            <v>0</v>
          </cell>
          <cell r="N453">
            <v>1117.8</v>
          </cell>
          <cell r="O453">
            <v>0</v>
          </cell>
          <cell r="Q453">
            <v>0</v>
          </cell>
          <cell r="S453">
            <v>0</v>
          </cell>
          <cell r="U453">
            <v>0</v>
          </cell>
          <cell r="Y453">
            <v>26.25</v>
          </cell>
          <cell r="AB453">
            <v>36.150000000000006</v>
          </cell>
          <cell r="AE453" t="str">
            <v>20140101KUUM_370</v>
          </cell>
        </row>
        <row r="454">
          <cell r="B454" t="str">
            <v>Jun 2016</v>
          </cell>
          <cell r="C454" t="str">
            <v>LS</v>
          </cell>
          <cell r="D454" t="str">
            <v>KUUM_372</v>
          </cell>
          <cell r="E454">
            <v>1</v>
          </cell>
          <cell r="G454">
            <v>0</v>
          </cell>
          <cell r="N454">
            <v>82.3</v>
          </cell>
          <cell r="O454">
            <v>0</v>
          </cell>
          <cell r="Q454">
            <v>0</v>
          </cell>
          <cell r="S454">
            <v>0</v>
          </cell>
          <cell r="U454">
            <v>0</v>
          </cell>
          <cell r="Y454">
            <v>1.75</v>
          </cell>
          <cell r="AB454">
            <v>2.41</v>
          </cell>
          <cell r="AE454" t="str">
            <v>20140101KUUM_372</v>
          </cell>
        </row>
        <row r="455">
          <cell r="B455" t="str">
            <v>Jun 2016</v>
          </cell>
          <cell r="C455" t="str">
            <v>LS</v>
          </cell>
          <cell r="D455" t="str">
            <v>KUUM_373</v>
          </cell>
          <cell r="E455">
            <v>20</v>
          </cell>
          <cell r="G455">
            <v>0</v>
          </cell>
          <cell r="N455">
            <v>1490.4</v>
          </cell>
          <cell r="O455">
            <v>0</v>
          </cell>
          <cell r="Q455">
            <v>0</v>
          </cell>
          <cell r="S455">
            <v>0</v>
          </cell>
          <cell r="U455">
            <v>0</v>
          </cell>
          <cell r="Y455">
            <v>35</v>
          </cell>
          <cell r="AB455">
            <v>48.2</v>
          </cell>
          <cell r="AE455" t="str">
            <v>20140101KUUM_373</v>
          </cell>
        </row>
        <row r="456">
          <cell r="B456" t="str">
            <v>Jun 2016</v>
          </cell>
          <cell r="C456" t="str">
            <v>LS</v>
          </cell>
          <cell r="D456" t="str">
            <v>KUUM_374</v>
          </cell>
          <cell r="E456">
            <v>4</v>
          </cell>
          <cell r="G456">
            <v>0</v>
          </cell>
          <cell r="N456">
            <v>303.52</v>
          </cell>
          <cell r="O456">
            <v>0</v>
          </cell>
          <cell r="Q456">
            <v>0</v>
          </cell>
          <cell r="S456">
            <v>0</v>
          </cell>
          <cell r="U456">
            <v>0</v>
          </cell>
          <cell r="Y456">
            <v>7</v>
          </cell>
          <cell r="AB456">
            <v>9.64</v>
          </cell>
          <cell r="AE456" t="str">
            <v>20140101KUUM_374</v>
          </cell>
        </row>
        <row r="457">
          <cell r="B457" t="str">
            <v>Jun 2016</v>
          </cell>
          <cell r="C457" t="str">
            <v>LS</v>
          </cell>
          <cell r="D457" t="str">
            <v>KUUM_375</v>
          </cell>
          <cell r="E457">
            <v>3</v>
          </cell>
          <cell r="G457">
            <v>0</v>
          </cell>
          <cell r="N457">
            <v>236.91</v>
          </cell>
          <cell r="O457">
            <v>0</v>
          </cell>
          <cell r="Q457">
            <v>0</v>
          </cell>
          <cell r="S457">
            <v>0</v>
          </cell>
          <cell r="U457">
            <v>0</v>
          </cell>
          <cell r="Y457">
            <v>5.25</v>
          </cell>
          <cell r="AB457">
            <v>7.23</v>
          </cell>
          <cell r="AE457" t="str">
            <v>20140101KUUM_375</v>
          </cell>
        </row>
        <row r="458">
          <cell r="B458" t="str">
            <v>Jun 2016</v>
          </cell>
          <cell r="C458" t="str">
            <v>LS</v>
          </cell>
          <cell r="D458" t="str">
            <v>KUUM_376</v>
          </cell>
          <cell r="E458">
            <v>2</v>
          </cell>
          <cell r="G458">
            <v>0</v>
          </cell>
          <cell r="N458">
            <v>154.52000000000001</v>
          </cell>
          <cell r="O458">
            <v>0</v>
          </cell>
          <cell r="Q458">
            <v>0</v>
          </cell>
          <cell r="S458">
            <v>0</v>
          </cell>
          <cell r="U458">
            <v>0</v>
          </cell>
          <cell r="Y458">
            <v>3.5</v>
          </cell>
          <cell r="AB458">
            <v>4.82</v>
          </cell>
          <cell r="AE458" t="str">
            <v>20140101KUUM_376</v>
          </cell>
        </row>
        <row r="459">
          <cell r="B459" t="str">
            <v>Jun 2016</v>
          </cell>
          <cell r="C459" t="str">
            <v>LS</v>
          </cell>
          <cell r="D459" t="str">
            <v>KUUM_377</v>
          </cell>
          <cell r="E459">
            <v>51</v>
          </cell>
          <cell r="G459">
            <v>0</v>
          </cell>
          <cell r="N459">
            <v>3273.69</v>
          </cell>
          <cell r="O459">
            <v>0</v>
          </cell>
          <cell r="Q459">
            <v>0</v>
          </cell>
          <cell r="S459">
            <v>0</v>
          </cell>
          <cell r="U459">
            <v>0</v>
          </cell>
          <cell r="Y459">
            <v>89.25</v>
          </cell>
          <cell r="AB459">
            <v>122.91000000000001</v>
          </cell>
          <cell r="AE459" t="str">
            <v>20140101KUUM_377</v>
          </cell>
        </row>
        <row r="460">
          <cell r="B460" t="str">
            <v>Jun 2016</v>
          </cell>
          <cell r="C460" t="str">
            <v>LS</v>
          </cell>
          <cell r="D460" t="str">
            <v>KUUM_378</v>
          </cell>
          <cell r="E460">
            <v>2</v>
          </cell>
          <cell r="G460">
            <v>0</v>
          </cell>
          <cell r="N460">
            <v>151.80000000000001</v>
          </cell>
          <cell r="O460">
            <v>0</v>
          </cell>
          <cell r="Q460">
            <v>0</v>
          </cell>
          <cell r="S460">
            <v>0</v>
          </cell>
          <cell r="U460">
            <v>0</v>
          </cell>
          <cell r="Y460">
            <v>3.5</v>
          </cell>
          <cell r="AB460">
            <v>4.82</v>
          </cell>
          <cell r="AE460" t="str">
            <v>20140101KUUM_378</v>
          </cell>
        </row>
        <row r="461">
          <cell r="B461" t="str">
            <v>Jun 2016</v>
          </cell>
          <cell r="C461" t="str">
            <v>LS</v>
          </cell>
          <cell r="D461" t="str">
            <v>KUUM_401</v>
          </cell>
          <cell r="E461">
            <v>52</v>
          </cell>
          <cell r="G461">
            <v>0</v>
          </cell>
          <cell r="N461">
            <v>772.72</v>
          </cell>
          <cell r="O461">
            <v>0</v>
          </cell>
          <cell r="Q461">
            <v>0</v>
          </cell>
          <cell r="S461">
            <v>0</v>
          </cell>
          <cell r="U461">
            <v>0</v>
          </cell>
          <cell r="Y461">
            <v>41.6</v>
          </cell>
          <cell r="AB461">
            <v>22.36</v>
          </cell>
          <cell r="AE461" t="str">
            <v>20140101KUUM_401</v>
          </cell>
        </row>
        <row r="462">
          <cell r="B462" t="str">
            <v>Jun 2016</v>
          </cell>
          <cell r="C462" t="str">
            <v>RLS</v>
          </cell>
          <cell r="D462" t="str">
            <v>KUUM_404</v>
          </cell>
          <cell r="E462">
            <v>7151</v>
          </cell>
          <cell r="G462">
            <v>0</v>
          </cell>
          <cell r="N462">
            <v>75586.070000000007</v>
          </cell>
          <cell r="O462">
            <v>0</v>
          </cell>
          <cell r="Q462">
            <v>0</v>
          </cell>
          <cell r="S462">
            <v>0</v>
          </cell>
          <cell r="U462">
            <v>0</v>
          </cell>
          <cell r="Y462">
            <v>14230.49</v>
          </cell>
          <cell r="AB462">
            <v>2788.89</v>
          </cell>
          <cell r="AE462" t="str">
            <v>20140101KUUM_404</v>
          </cell>
        </row>
        <row r="463">
          <cell r="B463" t="str">
            <v>Jun 2016</v>
          </cell>
          <cell r="C463" t="str">
            <v>RLS</v>
          </cell>
          <cell r="D463" t="str">
            <v>KUUM_405</v>
          </cell>
          <cell r="E463">
            <v>0</v>
          </cell>
          <cell r="G463">
            <v>0</v>
          </cell>
          <cell r="N463">
            <v>0</v>
          </cell>
          <cell r="O463">
            <v>0</v>
          </cell>
          <cell r="Q463">
            <v>0</v>
          </cell>
          <cell r="S463">
            <v>0</v>
          </cell>
          <cell r="U463">
            <v>0</v>
          </cell>
          <cell r="Y463">
            <v>0</v>
          </cell>
          <cell r="AB463">
            <v>0</v>
          </cell>
          <cell r="AE463" t="str">
            <v>20140101KUUM_405</v>
          </cell>
        </row>
        <row r="464">
          <cell r="B464" t="str">
            <v>Jun 2016</v>
          </cell>
          <cell r="C464" t="str">
            <v>LS</v>
          </cell>
          <cell r="D464" t="str">
            <v>KUUM_407</v>
          </cell>
          <cell r="E464">
            <v>0</v>
          </cell>
          <cell r="G464">
            <v>0</v>
          </cell>
          <cell r="N464">
            <v>0</v>
          </cell>
          <cell r="O464">
            <v>0</v>
          </cell>
          <cell r="Q464">
            <v>0</v>
          </cell>
          <cell r="S464">
            <v>0</v>
          </cell>
          <cell r="U464">
            <v>0</v>
          </cell>
          <cell r="Y464">
            <v>0</v>
          </cell>
          <cell r="AB464">
            <v>0</v>
          </cell>
          <cell r="AE464" t="str">
            <v>20140101KUUM_407</v>
          </cell>
        </row>
        <row r="465">
          <cell r="B465" t="str">
            <v>Jun 2016</v>
          </cell>
          <cell r="C465" t="str">
            <v>RLS</v>
          </cell>
          <cell r="D465" t="str">
            <v>KUUM_409</v>
          </cell>
          <cell r="E465">
            <v>141</v>
          </cell>
          <cell r="G465">
            <v>0</v>
          </cell>
          <cell r="N465">
            <v>1651.11</v>
          </cell>
          <cell r="O465">
            <v>0</v>
          </cell>
          <cell r="Q465">
            <v>0</v>
          </cell>
          <cell r="S465">
            <v>0</v>
          </cell>
          <cell r="U465">
            <v>0</v>
          </cell>
          <cell r="Y465">
            <v>638.73</v>
          </cell>
          <cell r="AB465">
            <v>111.39</v>
          </cell>
          <cell r="AE465" t="str">
            <v>20140101KUUM_409</v>
          </cell>
        </row>
        <row r="466">
          <cell r="B466" t="str">
            <v>Jun 2016</v>
          </cell>
          <cell r="C466" t="str">
            <v>RLS</v>
          </cell>
          <cell r="D466" t="str">
            <v>KUUM_410</v>
          </cell>
          <cell r="E466">
            <v>241</v>
          </cell>
          <cell r="G466">
            <v>0</v>
          </cell>
          <cell r="N466">
            <v>4882.66</v>
          </cell>
          <cell r="O466">
            <v>0</v>
          </cell>
          <cell r="Q466">
            <v>0</v>
          </cell>
          <cell r="S466">
            <v>0</v>
          </cell>
          <cell r="U466">
            <v>0</v>
          </cell>
          <cell r="Y466">
            <v>137.37</v>
          </cell>
          <cell r="AB466">
            <v>79.53</v>
          </cell>
          <cell r="AE466" t="str">
            <v>20140101KUUM_410</v>
          </cell>
        </row>
        <row r="467">
          <cell r="B467" t="str">
            <v>Jun 2016</v>
          </cell>
          <cell r="C467" t="str">
            <v>LS</v>
          </cell>
          <cell r="D467" t="str">
            <v>KUUM_411</v>
          </cell>
          <cell r="E467">
            <v>150</v>
          </cell>
          <cell r="G467">
            <v>0</v>
          </cell>
          <cell r="N467">
            <v>3207</v>
          </cell>
          <cell r="O467">
            <v>0</v>
          </cell>
          <cell r="Q467">
            <v>0</v>
          </cell>
          <cell r="S467">
            <v>0</v>
          </cell>
          <cell r="U467">
            <v>0</v>
          </cell>
          <cell r="Y467">
            <v>120</v>
          </cell>
          <cell r="AB467">
            <v>64.5</v>
          </cell>
          <cell r="AE467" t="str">
            <v>20140101KUUM_411</v>
          </cell>
        </row>
        <row r="468">
          <cell r="B468" t="str">
            <v>Jun 2016</v>
          </cell>
          <cell r="C468" t="str">
            <v>RLS</v>
          </cell>
          <cell r="D468" t="str">
            <v>KUUM_412</v>
          </cell>
          <cell r="E468">
            <v>28</v>
          </cell>
          <cell r="G468">
            <v>0</v>
          </cell>
          <cell r="N468">
            <v>863.52</v>
          </cell>
          <cell r="O468">
            <v>0</v>
          </cell>
          <cell r="Q468">
            <v>0</v>
          </cell>
          <cell r="S468">
            <v>0</v>
          </cell>
          <cell r="U468">
            <v>0</v>
          </cell>
          <cell r="Y468">
            <v>22.4</v>
          </cell>
          <cell r="AB468">
            <v>12.04</v>
          </cell>
          <cell r="AE468" t="str">
            <v>20140101KUUM_412</v>
          </cell>
        </row>
        <row r="469">
          <cell r="B469" t="str">
            <v>Jun 2016</v>
          </cell>
          <cell r="C469" t="str">
            <v>RLS</v>
          </cell>
          <cell r="D469" t="str">
            <v>KUUM_413</v>
          </cell>
          <cell r="E469">
            <v>96</v>
          </cell>
          <cell r="G469">
            <v>0</v>
          </cell>
          <cell r="N469">
            <v>2997.12</v>
          </cell>
          <cell r="O469">
            <v>0</v>
          </cell>
          <cell r="Q469">
            <v>0</v>
          </cell>
          <cell r="S469">
            <v>0</v>
          </cell>
          <cell r="U469">
            <v>0</v>
          </cell>
          <cell r="Y469">
            <v>108.48</v>
          </cell>
          <cell r="AB469">
            <v>32.64</v>
          </cell>
          <cell r="AE469" t="str">
            <v>20140101KUUM_413</v>
          </cell>
        </row>
        <row r="470">
          <cell r="B470" t="str">
            <v>Jun 2016</v>
          </cell>
          <cell r="C470" t="str">
            <v>LS</v>
          </cell>
          <cell r="D470" t="str">
            <v>KUUM_414</v>
          </cell>
          <cell r="E470">
            <v>21</v>
          </cell>
          <cell r="G470">
            <v>0</v>
          </cell>
          <cell r="N470">
            <v>647.64</v>
          </cell>
          <cell r="O470">
            <v>0</v>
          </cell>
          <cell r="Q470">
            <v>0</v>
          </cell>
          <cell r="S470">
            <v>0</v>
          </cell>
          <cell r="U470">
            <v>0</v>
          </cell>
          <cell r="Y470">
            <v>16.8</v>
          </cell>
          <cell r="AB470">
            <v>9.0299999999999994</v>
          </cell>
          <cell r="AE470" t="str">
            <v>20140101KUUM_414</v>
          </cell>
        </row>
        <row r="471">
          <cell r="B471" t="str">
            <v>Jun 2016</v>
          </cell>
          <cell r="C471" t="str">
            <v>LS</v>
          </cell>
          <cell r="D471" t="str">
            <v>KUUM_415</v>
          </cell>
          <cell r="E471">
            <v>10</v>
          </cell>
          <cell r="G471">
            <v>0</v>
          </cell>
          <cell r="N471">
            <v>312.2</v>
          </cell>
          <cell r="O471">
            <v>0</v>
          </cell>
          <cell r="Q471">
            <v>0</v>
          </cell>
          <cell r="S471">
            <v>0</v>
          </cell>
          <cell r="U471">
            <v>0</v>
          </cell>
          <cell r="Y471">
            <v>11.3</v>
          </cell>
          <cell r="AB471">
            <v>3.4000000000000004</v>
          </cell>
          <cell r="AE471" t="str">
            <v>20140101KUUM_415</v>
          </cell>
        </row>
        <row r="472">
          <cell r="B472" t="str">
            <v>Jun 2016</v>
          </cell>
          <cell r="C472" t="str">
            <v>LS</v>
          </cell>
          <cell r="D472" t="str">
            <v>KUUM_420</v>
          </cell>
          <cell r="E472">
            <v>478</v>
          </cell>
          <cell r="G472">
            <v>0</v>
          </cell>
          <cell r="N472">
            <v>7342.08</v>
          </cell>
          <cell r="O472">
            <v>0</v>
          </cell>
          <cell r="Q472">
            <v>0</v>
          </cell>
          <cell r="S472">
            <v>0</v>
          </cell>
          <cell r="U472">
            <v>0</v>
          </cell>
          <cell r="Y472">
            <v>540.14</v>
          </cell>
          <cell r="AB472">
            <v>162.52000000000001</v>
          </cell>
          <cell r="AE472" t="str">
            <v>20140101KUUM_420</v>
          </cell>
        </row>
        <row r="473">
          <cell r="B473" t="str">
            <v>Jun 2016</v>
          </cell>
          <cell r="C473" t="str">
            <v>RLS</v>
          </cell>
          <cell r="D473" t="str">
            <v>KUUM_421</v>
          </cell>
          <cell r="E473">
            <v>5</v>
          </cell>
          <cell r="G473">
            <v>0</v>
          </cell>
          <cell r="N473">
            <v>16.95</v>
          </cell>
          <cell r="O473">
            <v>0</v>
          </cell>
          <cell r="Q473">
            <v>0</v>
          </cell>
          <cell r="S473">
            <v>0</v>
          </cell>
          <cell r="U473">
            <v>0</v>
          </cell>
          <cell r="Y473">
            <v>4.95</v>
          </cell>
          <cell r="AB473">
            <v>0.6</v>
          </cell>
          <cell r="AE473" t="str">
            <v>20140101KUUM_421</v>
          </cell>
        </row>
        <row r="474">
          <cell r="B474" t="str">
            <v>Jun 2016</v>
          </cell>
          <cell r="C474" t="str">
            <v>RLS</v>
          </cell>
          <cell r="D474" t="str">
            <v>KUUM_422</v>
          </cell>
          <cell r="E474">
            <v>674</v>
          </cell>
          <cell r="G474">
            <v>0</v>
          </cell>
          <cell r="N474">
            <v>3059.96</v>
          </cell>
          <cell r="O474">
            <v>0</v>
          </cell>
          <cell r="Q474">
            <v>0</v>
          </cell>
          <cell r="S474">
            <v>0</v>
          </cell>
          <cell r="U474">
            <v>0</v>
          </cell>
          <cell r="Y474">
            <v>1307.56</v>
          </cell>
          <cell r="AB474">
            <v>107.84</v>
          </cell>
          <cell r="AE474" t="str">
            <v>20140101KUUM_422</v>
          </cell>
        </row>
        <row r="475">
          <cell r="B475" t="str">
            <v>Jun 2016</v>
          </cell>
          <cell r="C475" t="str">
            <v>RLS</v>
          </cell>
          <cell r="D475" t="str">
            <v>KUUM_424</v>
          </cell>
          <cell r="E475">
            <v>47</v>
          </cell>
          <cell r="G475">
            <v>0</v>
          </cell>
          <cell r="N475">
            <v>318.66000000000003</v>
          </cell>
          <cell r="O475">
            <v>0</v>
          </cell>
          <cell r="Q475">
            <v>0</v>
          </cell>
          <cell r="S475">
            <v>0</v>
          </cell>
          <cell r="U475">
            <v>0</v>
          </cell>
          <cell r="Y475">
            <v>32.9</v>
          </cell>
          <cell r="AB475">
            <v>11.28</v>
          </cell>
          <cell r="AE475" t="str">
            <v>20140101KUUM_424</v>
          </cell>
        </row>
        <row r="476">
          <cell r="B476" t="str">
            <v>Jun 2016</v>
          </cell>
          <cell r="C476" t="str">
            <v>RLS</v>
          </cell>
          <cell r="D476" t="str">
            <v>KUUM_425</v>
          </cell>
          <cell r="E476">
            <v>2</v>
          </cell>
          <cell r="G476">
            <v>0</v>
          </cell>
          <cell r="N476">
            <v>18.12</v>
          </cell>
          <cell r="O476">
            <v>0</v>
          </cell>
          <cell r="Q476">
            <v>0</v>
          </cell>
          <cell r="S476">
            <v>0</v>
          </cell>
          <cell r="U476">
            <v>0</v>
          </cell>
          <cell r="Y476">
            <v>8.6</v>
          </cell>
          <cell r="AB476">
            <v>0.66</v>
          </cell>
          <cell r="AE476" t="str">
            <v>20140101KUUM_425</v>
          </cell>
        </row>
        <row r="477">
          <cell r="B477" t="str">
            <v>Jun 2016</v>
          </cell>
          <cell r="C477" t="str">
            <v>RLS</v>
          </cell>
          <cell r="D477" t="str">
            <v>KUUM_426</v>
          </cell>
          <cell r="E477">
            <v>173</v>
          </cell>
          <cell r="G477">
            <v>0</v>
          </cell>
          <cell r="N477">
            <v>1287.1199999999999</v>
          </cell>
          <cell r="O477">
            <v>0</v>
          </cell>
          <cell r="Q477">
            <v>0</v>
          </cell>
          <cell r="S477">
            <v>0</v>
          </cell>
          <cell r="U477">
            <v>0</v>
          </cell>
          <cell r="Y477">
            <v>138.4</v>
          </cell>
          <cell r="AB477">
            <v>74.39</v>
          </cell>
          <cell r="AE477" t="str">
            <v>20140101KUUM_426</v>
          </cell>
        </row>
        <row r="478">
          <cell r="B478" t="str">
            <v>Jun 2016</v>
          </cell>
          <cell r="C478" t="str">
            <v>LS</v>
          </cell>
          <cell r="D478" t="str">
            <v>KUUM_428</v>
          </cell>
          <cell r="E478">
            <v>36760</v>
          </cell>
          <cell r="G478">
            <v>0</v>
          </cell>
          <cell r="N478">
            <v>288198.40000000002</v>
          </cell>
          <cell r="O478">
            <v>0</v>
          </cell>
          <cell r="Q478">
            <v>0</v>
          </cell>
          <cell r="S478">
            <v>0</v>
          </cell>
          <cell r="U478">
            <v>0</v>
          </cell>
          <cell r="Y478">
            <v>41538.800000000003</v>
          </cell>
          <cell r="AB478">
            <v>12498.400000000001</v>
          </cell>
          <cell r="AE478" t="str">
            <v>20140101KUUM_428</v>
          </cell>
        </row>
        <row r="479">
          <cell r="B479" t="str">
            <v>Jun 2016</v>
          </cell>
          <cell r="C479" t="str">
            <v>LS</v>
          </cell>
          <cell r="D479" t="str">
            <v>KUUM_429</v>
          </cell>
          <cell r="E479">
            <v>0</v>
          </cell>
          <cell r="G479">
            <v>0</v>
          </cell>
          <cell r="N479">
            <v>0</v>
          </cell>
          <cell r="O479">
            <v>0</v>
          </cell>
          <cell r="Q479">
            <v>0</v>
          </cell>
          <cell r="S479">
            <v>0</v>
          </cell>
          <cell r="U479">
            <v>0</v>
          </cell>
          <cell r="Y479">
            <v>0</v>
          </cell>
          <cell r="AB479">
            <v>0</v>
          </cell>
          <cell r="AE479" t="str">
            <v>20140101KUUM_429</v>
          </cell>
        </row>
        <row r="480">
          <cell r="B480" t="str">
            <v>Jun 2016</v>
          </cell>
          <cell r="C480" t="str">
            <v>LS</v>
          </cell>
          <cell r="D480" t="str">
            <v>KUUM_430</v>
          </cell>
          <cell r="E480">
            <v>1176</v>
          </cell>
          <cell r="G480">
            <v>0</v>
          </cell>
          <cell r="N480">
            <v>25872</v>
          </cell>
          <cell r="O480">
            <v>0</v>
          </cell>
          <cell r="Q480">
            <v>0</v>
          </cell>
          <cell r="S480">
            <v>0</v>
          </cell>
          <cell r="U480">
            <v>0</v>
          </cell>
          <cell r="Y480">
            <v>1328.88</v>
          </cell>
          <cell r="AB480">
            <v>399.84000000000003</v>
          </cell>
          <cell r="AE480" t="str">
            <v>20140101KUUM_430</v>
          </cell>
        </row>
        <row r="481">
          <cell r="B481" t="str">
            <v>Jun 2016</v>
          </cell>
          <cell r="C481" t="str">
            <v>RLS</v>
          </cell>
          <cell r="D481" t="str">
            <v>KUUM_434</v>
          </cell>
          <cell r="E481">
            <v>3</v>
          </cell>
          <cell r="G481">
            <v>0</v>
          </cell>
          <cell r="N481">
            <v>23.22</v>
          </cell>
          <cell r="O481">
            <v>0</v>
          </cell>
          <cell r="Q481">
            <v>0</v>
          </cell>
          <cell r="S481">
            <v>0</v>
          </cell>
          <cell r="U481">
            <v>0</v>
          </cell>
          <cell r="Y481">
            <v>2.1</v>
          </cell>
          <cell r="AB481">
            <v>0.72</v>
          </cell>
          <cell r="AE481" t="str">
            <v>20140101KUUM_434</v>
          </cell>
        </row>
        <row r="482">
          <cell r="B482" t="str">
            <v>Jun 2016</v>
          </cell>
          <cell r="C482" t="str">
            <v>RLS</v>
          </cell>
          <cell r="D482" t="str">
            <v>KUUM_440</v>
          </cell>
          <cell r="E482">
            <v>2</v>
          </cell>
          <cell r="G482">
            <v>0</v>
          </cell>
          <cell r="N482">
            <v>27.22</v>
          </cell>
          <cell r="O482">
            <v>0</v>
          </cell>
          <cell r="Q482">
            <v>0</v>
          </cell>
          <cell r="S482">
            <v>0</v>
          </cell>
          <cell r="U482">
            <v>0</v>
          </cell>
          <cell r="Y482">
            <v>1.1399999999999999</v>
          </cell>
          <cell r="AB482">
            <v>0.66</v>
          </cell>
          <cell r="AE482" t="str">
            <v>20140101KUUM_440</v>
          </cell>
        </row>
        <row r="483">
          <cell r="B483" t="str">
            <v>Jun 2016</v>
          </cell>
          <cell r="C483" t="str">
            <v>RLS</v>
          </cell>
          <cell r="D483" t="str">
            <v>KUUM_446</v>
          </cell>
          <cell r="E483">
            <v>1086</v>
          </cell>
          <cell r="G483">
            <v>0</v>
          </cell>
          <cell r="N483">
            <v>10382.16</v>
          </cell>
          <cell r="O483">
            <v>0</v>
          </cell>
          <cell r="Q483">
            <v>0</v>
          </cell>
          <cell r="S483">
            <v>0</v>
          </cell>
          <cell r="U483">
            <v>0</v>
          </cell>
          <cell r="Y483">
            <v>2161.14</v>
          </cell>
          <cell r="AB483">
            <v>423.54</v>
          </cell>
          <cell r="AE483" t="str">
            <v>20140101KUUM_446</v>
          </cell>
        </row>
        <row r="484">
          <cell r="B484" t="str">
            <v>Jun 2016</v>
          </cell>
          <cell r="C484" t="str">
            <v>RLS</v>
          </cell>
          <cell r="D484" t="str">
            <v>KUUM_447</v>
          </cell>
          <cell r="E484">
            <v>713</v>
          </cell>
          <cell r="G484">
            <v>0</v>
          </cell>
          <cell r="N484">
            <v>8071.16</v>
          </cell>
          <cell r="O484">
            <v>0</v>
          </cell>
          <cell r="Q484">
            <v>0</v>
          </cell>
          <cell r="S484">
            <v>0</v>
          </cell>
          <cell r="U484">
            <v>0</v>
          </cell>
          <cell r="Y484">
            <v>2024.92</v>
          </cell>
          <cell r="AB484">
            <v>313.72000000000003</v>
          </cell>
          <cell r="AE484" t="str">
            <v>20140101KUUM_447</v>
          </cell>
        </row>
        <row r="485">
          <cell r="B485" t="str">
            <v>Jun 2016</v>
          </cell>
          <cell r="C485" t="str">
            <v>RLS</v>
          </cell>
          <cell r="D485" t="str">
            <v>KUUM_448</v>
          </cell>
          <cell r="E485">
            <v>1484</v>
          </cell>
          <cell r="G485">
            <v>0</v>
          </cell>
          <cell r="N485">
            <v>19010.04</v>
          </cell>
          <cell r="O485">
            <v>0</v>
          </cell>
          <cell r="Q485">
            <v>0</v>
          </cell>
          <cell r="S485">
            <v>0</v>
          </cell>
          <cell r="U485">
            <v>0</v>
          </cell>
          <cell r="Y485">
            <v>6485.08</v>
          </cell>
          <cell r="AB485">
            <v>756.84</v>
          </cell>
          <cell r="AE485" t="str">
            <v>20140101KUUM_448</v>
          </cell>
        </row>
        <row r="486">
          <cell r="B486" t="str">
            <v>Jun 2016</v>
          </cell>
          <cell r="C486" t="str">
            <v>LS</v>
          </cell>
          <cell r="D486" t="str">
            <v>KUUM_450</v>
          </cell>
          <cell r="E486">
            <v>670</v>
          </cell>
          <cell r="G486">
            <v>0</v>
          </cell>
          <cell r="N486">
            <v>9547.5</v>
          </cell>
          <cell r="O486">
            <v>0</v>
          </cell>
          <cell r="Q486">
            <v>0</v>
          </cell>
          <cell r="S486">
            <v>0</v>
          </cell>
          <cell r="U486">
            <v>0</v>
          </cell>
          <cell r="Y486">
            <v>1319.9</v>
          </cell>
          <cell r="AB486">
            <v>442.20000000000005</v>
          </cell>
          <cell r="AE486" t="str">
            <v>20140101KUUM_450</v>
          </cell>
        </row>
        <row r="487">
          <cell r="B487" t="str">
            <v>Jun 2016</v>
          </cell>
          <cell r="C487" t="str">
            <v>LS</v>
          </cell>
          <cell r="D487" t="str">
            <v>KUUM_451</v>
          </cell>
          <cell r="E487">
            <v>5215</v>
          </cell>
          <cell r="G487">
            <v>0</v>
          </cell>
          <cell r="N487">
            <v>105343</v>
          </cell>
          <cell r="O487">
            <v>0</v>
          </cell>
          <cell r="Q487">
            <v>0</v>
          </cell>
          <cell r="S487">
            <v>0</v>
          </cell>
          <cell r="U487">
            <v>0</v>
          </cell>
          <cell r="Y487">
            <v>22372.35</v>
          </cell>
          <cell r="AB487">
            <v>4380.5999999999995</v>
          </cell>
          <cell r="AE487" t="str">
            <v>20140101KUUM_451</v>
          </cell>
        </row>
        <row r="488">
          <cell r="B488" t="str">
            <v>Jun 2016</v>
          </cell>
          <cell r="C488" t="str">
            <v>LS</v>
          </cell>
          <cell r="D488" t="str">
            <v>KUUM_452</v>
          </cell>
          <cell r="E488">
            <v>1044</v>
          </cell>
          <cell r="G488">
            <v>0</v>
          </cell>
          <cell r="N488">
            <v>44213.4</v>
          </cell>
          <cell r="O488">
            <v>0</v>
          </cell>
          <cell r="Q488">
            <v>0</v>
          </cell>
          <cell r="S488">
            <v>0</v>
          </cell>
          <cell r="U488">
            <v>0</v>
          </cell>
          <cell r="Y488">
            <v>10868.04</v>
          </cell>
          <cell r="AB488">
            <v>1774.8</v>
          </cell>
          <cell r="AE488" t="str">
            <v>20140101KUUM_452</v>
          </cell>
        </row>
        <row r="489">
          <cell r="B489" t="str">
            <v>Jun 2016</v>
          </cell>
          <cell r="C489" t="str">
            <v>RLS</v>
          </cell>
          <cell r="D489" t="str">
            <v>KUUM_454</v>
          </cell>
          <cell r="E489">
            <v>150</v>
          </cell>
          <cell r="G489">
            <v>0</v>
          </cell>
          <cell r="N489">
            <v>2797.5</v>
          </cell>
          <cell r="O489">
            <v>0</v>
          </cell>
          <cell r="Q489">
            <v>0</v>
          </cell>
          <cell r="S489">
            <v>0</v>
          </cell>
          <cell r="U489">
            <v>0</v>
          </cell>
          <cell r="Y489">
            <v>295.5</v>
          </cell>
          <cell r="AB489">
            <v>99</v>
          </cell>
          <cell r="AE489" t="str">
            <v>20140101KUUM_454</v>
          </cell>
        </row>
        <row r="490">
          <cell r="B490" t="str">
            <v>Jun 2016</v>
          </cell>
          <cell r="C490" t="str">
            <v>RLS</v>
          </cell>
          <cell r="D490" t="str">
            <v>KUUM_455</v>
          </cell>
          <cell r="E490">
            <v>1029</v>
          </cell>
          <cell r="G490">
            <v>0</v>
          </cell>
          <cell r="N490">
            <v>25303.11</v>
          </cell>
          <cell r="O490">
            <v>0</v>
          </cell>
          <cell r="Q490">
            <v>0</v>
          </cell>
          <cell r="S490">
            <v>0</v>
          </cell>
          <cell r="U490">
            <v>0</v>
          </cell>
          <cell r="Y490">
            <v>4414.41</v>
          </cell>
          <cell r="AB490">
            <v>864.36</v>
          </cell>
          <cell r="AE490" t="str">
            <v>20140101KUUM_455</v>
          </cell>
        </row>
        <row r="491">
          <cell r="B491" t="str">
            <v>Jun 2016</v>
          </cell>
          <cell r="C491" t="str">
            <v>RLS</v>
          </cell>
          <cell r="D491" t="str">
            <v>KUUM_456</v>
          </cell>
          <cell r="E491">
            <v>141</v>
          </cell>
          <cell r="G491">
            <v>0</v>
          </cell>
          <cell r="N491">
            <v>1673.67</v>
          </cell>
          <cell r="O491">
            <v>0</v>
          </cell>
          <cell r="Q491">
            <v>0</v>
          </cell>
          <cell r="S491">
            <v>0</v>
          </cell>
          <cell r="U491">
            <v>0</v>
          </cell>
          <cell r="Y491">
            <v>280.58999999999997</v>
          </cell>
          <cell r="AB491">
            <v>54.99</v>
          </cell>
          <cell r="AE491" t="str">
            <v>20140101KUUM_456</v>
          </cell>
        </row>
        <row r="492">
          <cell r="B492" t="str">
            <v>Jun 2016</v>
          </cell>
          <cell r="C492" t="str">
            <v>RLS</v>
          </cell>
          <cell r="D492" t="str">
            <v>KUUM_457</v>
          </cell>
          <cell r="E492">
            <v>454</v>
          </cell>
          <cell r="G492">
            <v>0</v>
          </cell>
          <cell r="N492">
            <v>6065.44</v>
          </cell>
          <cell r="O492">
            <v>0</v>
          </cell>
          <cell r="Q492">
            <v>0</v>
          </cell>
          <cell r="S492">
            <v>0</v>
          </cell>
          <cell r="U492">
            <v>0</v>
          </cell>
          <cell r="Y492">
            <v>1289.3599999999999</v>
          </cell>
          <cell r="AB492">
            <v>199.76</v>
          </cell>
          <cell r="AE492" t="str">
            <v>20140101KUUM_457</v>
          </cell>
        </row>
        <row r="493">
          <cell r="B493" t="str">
            <v>Jun 2016</v>
          </cell>
          <cell r="C493" t="str">
            <v>RLS</v>
          </cell>
          <cell r="D493" t="str">
            <v>KUUM_458</v>
          </cell>
          <cell r="E493">
            <v>1464</v>
          </cell>
          <cell r="G493">
            <v>0</v>
          </cell>
          <cell r="N493">
            <v>22077.119999999999</v>
          </cell>
          <cell r="O493">
            <v>0</v>
          </cell>
          <cell r="Q493">
            <v>0</v>
          </cell>
          <cell r="S493">
            <v>0</v>
          </cell>
          <cell r="U493">
            <v>0</v>
          </cell>
          <cell r="Y493">
            <v>6397.68</v>
          </cell>
          <cell r="AB493">
            <v>746.64</v>
          </cell>
          <cell r="AE493" t="str">
            <v>20140101KUUM_458</v>
          </cell>
        </row>
        <row r="494">
          <cell r="B494" t="str">
            <v>Jun 2016</v>
          </cell>
          <cell r="C494" t="str">
            <v>RLS</v>
          </cell>
          <cell r="D494" t="str">
            <v>KUUM_459</v>
          </cell>
          <cell r="E494">
            <v>227</v>
          </cell>
          <cell r="G494">
            <v>0</v>
          </cell>
          <cell r="N494">
            <v>10609.98</v>
          </cell>
          <cell r="O494">
            <v>0</v>
          </cell>
          <cell r="Q494">
            <v>0</v>
          </cell>
          <cell r="S494">
            <v>0</v>
          </cell>
          <cell r="U494">
            <v>0</v>
          </cell>
          <cell r="Y494">
            <v>2363.0700000000002</v>
          </cell>
          <cell r="AB494">
            <v>385.9</v>
          </cell>
          <cell r="AE494" t="str">
            <v>20140101KUUM_459</v>
          </cell>
        </row>
        <row r="495">
          <cell r="B495" t="str">
            <v>Jun 2016</v>
          </cell>
          <cell r="C495" t="str">
            <v>RLS</v>
          </cell>
          <cell r="D495" t="str">
            <v>KUUM_460</v>
          </cell>
          <cell r="E495">
            <v>26</v>
          </cell>
          <cell r="G495">
            <v>0</v>
          </cell>
          <cell r="N495">
            <v>705.9</v>
          </cell>
          <cell r="O495">
            <v>0</v>
          </cell>
          <cell r="Q495">
            <v>0</v>
          </cell>
          <cell r="S495">
            <v>0</v>
          </cell>
          <cell r="U495">
            <v>0</v>
          </cell>
          <cell r="Y495">
            <v>51.22</v>
          </cell>
          <cell r="AB495">
            <v>17.16</v>
          </cell>
          <cell r="AE495" t="str">
            <v>20140101KUUM_460</v>
          </cell>
        </row>
        <row r="496">
          <cell r="B496" t="str">
            <v>Jun 2016</v>
          </cell>
          <cell r="C496" t="str">
            <v>RLS</v>
          </cell>
          <cell r="D496" t="str">
            <v>KUUM_461</v>
          </cell>
          <cell r="E496">
            <v>6948</v>
          </cell>
          <cell r="G496">
            <v>0</v>
          </cell>
          <cell r="N496">
            <v>52387.92</v>
          </cell>
          <cell r="O496">
            <v>0</v>
          </cell>
          <cell r="Q496">
            <v>0</v>
          </cell>
          <cell r="S496">
            <v>0</v>
          </cell>
          <cell r="U496">
            <v>0</v>
          </cell>
          <cell r="Y496">
            <v>3960.36</v>
          </cell>
          <cell r="AB496">
            <v>2292.84</v>
          </cell>
          <cell r="AE496" t="str">
            <v>20140101KUUM_461</v>
          </cell>
        </row>
        <row r="497">
          <cell r="B497" t="str">
            <v>Jun 2016</v>
          </cell>
          <cell r="C497" t="str">
            <v>LS</v>
          </cell>
          <cell r="D497" t="str">
            <v>KUUM_462</v>
          </cell>
          <cell r="E497">
            <v>8771</v>
          </cell>
          <cell r="G497">
            <v>0</v>
          </cell>
          <cell r="N497">
            <v>75956.86</v>
          </cell>
          <cell r="O497">
            <v>0</v>
          </cell>
          <cell r="Q497">
            <v>0</v>
          </cell>
          <cell r="S497">
            <v>0</v>
          </cell>
          <cell r="U497">
            <v>0</v>
          </cell>
          <cell r="Y497">
            <v>7016.8</v>
          </cell>
          <cell r="AB497">
            <v>3771.5299999999997</v>
          </cell>
          <cell r="AE497" t="str">
            <v>20140101KUUM_462</v>
          </cell>
        </row>
        <row r="498">
          <cell r="B498" t="str">
            <v>Jun 2016</v>
          </cell>
          <cell r="C498" t="str">
            <v>LS</v>
          </cell>
          <cell r="D498" t="str">
            <v>KUUM_463</v>
          </cell>
          <cell r="E498">
            <v>20445</v>
          </cell>
          <cell r="G498">
            <v>0</v>
          </cell>
          <cell r="N498">
            <v>186867.3</v>
          </cell>
          <cell r="O498">
            <v>0</v>
          </cell>
          <cell r="Q498">
            <v>0</v>
          </cell>
          <cell r="S498">
            <v>0</v>
          </cell>
          <cell r="U498">
            <v>0</v>
          </cell>
          <cell r="Y498">
            <v>23102.85</v>
          </cell>
          <cell r="AB498">
            <v>6951.3</v>
          </cell>
          <cell r="AE498" t="str">
            <v>20140101KUUM_463</v>
          </cell>
        </row>
        <row r="499">
          <cell r="B499" t="str">
            <v>Jun 2016</v>
          </cell>
          <cell r="C499" t="str">
            <v>LS</v>
          </cell>
          <cell r="D499" t="str">
            <v>KUUM_464</v>
          </cell>
          <cell r="E499">
            <v>7600</v>
          </cell>
          <cell r="G499">
            <v>0</v>
          </cell>
          <cell r="N499">
            <v>108300</v>
          </cell>
          <cell r="O499">
            <v>0</v>
          </cell>
          <cell r="Q499">
            <v>0</v>
          </cell>
          <cell r="S499">
            <v>0</v>
          </cell>
          <cell r="U499">
            <v>0</v>
          </cell>
          <cell r="Y499">
            <v>17708</v>
          </cell>
          <cell r="AB499">
            <v>4408</v>
          </cell>
          <cell r="AE499" t="str">
            <v>20140101KUUM_464</v>
          </cell>
        </row>
        <row r="500">
          <cell r="B500" t="str">
            <v>Jun 2016</v>
          </cell>
          <cell r="C500" t="str">
            <v>LS</v>
          </cell>
          <cell r="D500" t="str">
            <v>KUUM_465</v>
          </cell>
          <cell r="E500">
            <v>2817</v>
          </cell>
          <cell r="G500">
            <v>0</v>
          </cell>
          <cell r="N500">
            <v>64340.28</v>
          </cell>
          <cell r="O500">
            <v>0</v>
          </cell>
          <cell r="Q500">
            <v>0</v>
          </cell>
          <cell r="S500">
            <v>0</v>
          </cell>
          <cell r="U500">
            <v>0</v>
          </cell>
          <cell r="Y500">
            <v>12761.01</v>
          </cell>
          <cell r="AB500">
            <v>2225.4300000000003</v>
          </cell>
          <cell r="AE500" t="str">
            <v>20140101KUUM_465</v>
          </cell>
        </row>
        <row r="501">
          <cell r="B501" t="str">
            <v>Jun 2016</v>
          </cell>
          <cell r="C501" t="str">
            <v>RLS</v>
          </cell>
          <cell r="D501" t="str">
            <v>KUUM_466</v>
          </cell>
          <cell r="E501">
            <v>866</v>
          </cell>
          <cell r="G501">
            <v>0</v>
          </cell>
          <cell r="N501">
            <v>8330.92</v>
          </cell>
          <cell r="O501">
            <v>0</v>
          </cell>
          <cell r="Q501">
            <v>0</v>
          </cell>
          <cell r="S501">
            <v>0</v>
          </cell>
          <cell r="U501">
            <v>0</v>
          </cell>
          <cell r="Y501">
            <v>493.62</v>
          </cell>
          <cell r="AB501">
            <v>285.78000000000003</v>
          </cell>
          <cell r="AE501" t="str">
            <v>20140101KUUM_466</v>
          </cell>
        </row>
        <row r="502">
          <cell r="B502" t="str">
            <v>Jun 2016</v>
          </cell>
          <cell r="C502" t="str">
            <v>LS</v>
          </cell>
          <cell r="D502" t="str">
            <v>KUUM_467</v>
          </cell>
          <cell r="E502">
            <v>1367</v>
          </cell>
          <cell r="G502">
            <v>0</v>
          </cell>
          <cell r="N502">
            <v>14722.59</v>
          </cell>
          <cell r="O502">
            <v>0</v>
          </cell>
          <cell r="Q502">
            <v>0</v>
          </cell>
          <cell r="S502">
            <v>0</v>
          </cell>
          <cell r="U502">
            <v>0</v>
          </cell>
          <cell r="Y502">
            <v>1093.5999999999999</v>
          </cell>
          <cell r="AB502">
            <v>587.80999999999995</v>
          </cell>
          <cell r="AE502" t="str">
            <v>20140101KUUM_467</v>
          </cell>
        </row>
        <row r="503">
          <cell r="B503" t="str">
            <v>Jun 2016</v>
          </cell>
          <cell r="C503" t="str">
            <v>LS</v>
          </cell>
          <cell r="D503" t="str">
            <v>KUUM_468</v>
          </cell>
          <cell r="E503">
            <v>4042</v>
          </cell>
          <cell r="G503">
            <v>0</v>
          </cell>
          <cell r="N503">
            <v>45108.72</v>
          </cell>
          <cell r="O503">
            <v>0</v>
          </cell>
          <cell r="Q503">
            <v>0</v>
          </cell>
          <cell r="S503">
            <v>0</v>
          </cell>
          <cell r="U503">
            <v>0</v>
          </cell>
          <cell r="Y503">
            <v>4567.46</v>
          </cell>
          <cell r="AB503">
            <v>1374.2800000000002</v>
          </cell>
          <cell r="AE503" t="str">
            <v>20140101KUUM_468</v>
          </cell>
        </row>
        <row r="504">
          <cell r="B504" t="str">
            <v>Jun 2016</v>
          </cell>
          <cell r="C504" t="str">
            <v>RLS</v>
          </cell>
          <cell r="D504" t="str">
            <v>KUUM_469</v>
          </cell>
          <cell r="E504">
            <v>296</v>
          </cell>
          <cell r="G504">
            <v>0</v>
          </cell>
          <cell r="N504">
            <v>9797.6</v>
          </cell>
          <cell r="O504">
            <v>0</v>
          </cell>
          <cell r="Q504">
            <v>0</v>
          </cell>
          <cell r="S504">
            <v>0</v>
          </cell>
          <cell r="U504">
            <v>0</v>
          </cell>
          <cell r="Y504">
            <v>1269.8399999999999</v>
          </cell>
          <cell r="AB504">
            <v>248.64</v>
          </cell>
          <cell r="AE504" t="str">
            <v>20140101KUUM_469</v>
          </cell>
        </row>
        <row r="505">
          <cell r="B505" t="str">
            <v>Jun 2016</v>
          </cell>
          <cell r="C505" t="str">
            <v>RLS</v>
          </cell>
          <cell r="D505" t="str">
            <v>KUUM_470</v>
          </cell>
          <cell r="E505">
            <v>61</v>
          </cell>
          <cell r="G505">
            <v>0</v>
          </cell>
          <cell r="N505">
            <v>3370.25</v>
          </cell>
          <cell r="O505">
            <v>0</v>
          </cell>
          <cell r="Q505">
            <v>0</v>
          </cell>
          <cell r="S505">
            <v>0</v>
          </cell>
          <cell r="U505">
            <v>0</v>
          </cell>
          <cell r="Y505">
            <v>635.01</v>
          </cell>
          <cell r="AB505">
            <v>103.7</v>
          </cell>
          <cell r="AE505" t="str">
            <v>20140101KUUM_470</v>
          </cell>
        </row>
        <row r="506">
          <cell r="B506" t="str">
            <v>Jun 2016</v>
          </cell>
          <cell r="C506" t="str">
            <v>RLS</v>
          </cell>
          <cell r="D506" t="str">
            <v>KUUM_471</v>
          </cell>
          <cell r="E506">
            <v>3675</v>
          </cell>
          <cell r="G506">
            <v>0</v>
          </cell>
          <cell r="N506">
            <v>38550.75</v>
          </cell>
          <cell r="O506">
            <v>0</v>
          </cell>
          <cell r="Q506">
            <v>0</v>
          </cell>
          <cell r="S506">
            <v>0</v>
          </cell>
          <cell r="U506">
            <v>0</v>
          </cell>
          <cell r="Y506">
            <v>2094.75</v>
          </cell>
          <cell r="AB506">
            <v>1212.75</v>
          </cell>
          <cell r="AE506" t="str">
            <v>20140101KUUM_471</v>
          </cell>
        </row>
        <row r="507">
          <cell r="B507" t="str">
            <v>Jun 2016</v>
          </cell>
          <cell r="C507" t="str">
            <v>LS</v>
          </cell>
          <cell r="D507" t="str">
            <v>KUUM_472</v>
          </cell>
          <cell r="E507">
            <v>8789</v>
          </cell>
          <cell r="G507">
            <v>0</v>
          </cell>
          <cell r="N507">
            <v>101952.4</v>
          </cell>
          <cell r="O507">
            <v>0</v>
          </cell>
          <cell r="Q507">
            <v>0</v>
          </cell>
          <cell r="S507">
            <v>0</v>
          </cell>
          <cell r="U507">
            <v>0</v>
          </cell>
          <cell r="Y507">
            <v>7031.2</v>
          </cell>
          <cell r="AB507">
            <v>3779.27</v>
          </cell>
          <cell r="AE507" t="str">
            <v>20140101KUUM_472</v>
          </cell>
        </row>
        <row r="508">
          <cell r="B508" t="str">
            <v>Jun 2016</v>
          </cell>
          <cell r="C508" t="str">
            <v>LS</v>
          </cell>
          <cell r="D508" t="str">
            <v>KUUM_473</v>
          </cell>
          <cell r="E508">
            <v>3381</v>
          </cell>
          <cell r="G508">
            <v>0</v>
          </cell>
          <cell r="N508">
            <v>41586.300000000003</v>
          </cell>
          <cell r="O508">
            <v>0</v>
          </cell>
          <cell r="Q508">
            <v>0</v>
          </cell>
          <cell r="S508">
            <v>0</v>
          </cell>
          <cell r="U508">
            <v>0</v>
          </cell>
          <cell r="Y508">
            <v>3820.53</v>
          </cell>
          <cell r="AB508">
            <v>1149.5400000000002</v>
          </cell>
          <cell r="AE508" t="str">
            <v>20140101KUUM_473</v>
          </cell>
        </row>
        <row r="509">
          <cell r="B509" t="str">
            <v>Jun 2016</v>
          </cell>
          <cell r="C509" t="str">
            <v>LS</v>
          </cell>
          <cell r="D509" t="str">
            <v>KUUM_474</v>
          </cell>
          <cell r="E509">
            <v>5208</v>
          </cell>
          <cell r="G509">
            <v>0</v>
          </cell>
          <cell r="N509">
            <v>90671.28</v>
          </cell>
          <cell r="O509">
            <v>0</v>
          </cell>
          <cell r="Q509">
            <v>0</v>
          </cell>
          <cell r="S509">
            <v>0</v>
          </cell>
          <cell r="U509">
            <v>0</v>
          </cell>
          <cell r="Y509">
            <v>12134.64</v>
          </cell>
          <cell r="AB509">
            <v>3020.64</v>
          </cell>
          <cell r="AE509" t="str">
            <v>20140101KUUM_474</v>
          </cell>
        </row>
        <row r="510">
          <cell r="B510" t="str">
            <v>Jun 2016</v>
          </cell>
          <cell r="C510" t="str">
            <v>LS</v>
          </cell>
          <cell r="D510" t="str">
            <v>KUUM_475</v>
          </cell>
          <cell r="E510">
            <v>509</v>
          </cell>
          <cell r="G510">
            <v>0</v>
          </cell>
          <cell r="N510">
            <v>12450.14</v>
          </cell>
          <cell r="O510">
            <v>0</v>
          </cell>
          <cell r="Q510">
            <v>0</v>
          </cell>
          <cell r="S510">
            <v>0</v>
          </cell>
          <cell r="U510">
            <v>0</v>
          </cell>
          <cell r="Y510">
            <v>2305.77</v>
          </cell>
          <cell r="AB510">
            <v>402.11</v>
          </cell>
          <cell r="AE510" t="str">
            <v>20140101KUUM_475</v>
          </cell>
        </row>
        <row r="511">
          <cell r="B511" t="str">
            <v>Jun 2016</v>
          </cell>
          <cell r="C511" t="str">
            <v>LS</v>
          </cell>
          <cell r="D511" t="str">
            <v>KUUM_476</v>
          </cell>
          <cell r="E511">
            <v>4575</v>
          </cell>
          <cell r="G511">
            <v>0</v>
          </cell>
          <cell r="N511">
            <v>76814.25</v>
          </cell>
          <cell r="O511">
            <v>0</v>
          </cell>
          <cell r="Q511">
            <v>0</v>
          </cell>
          <cell r="S511">
            <v>0</v>
          </cell>
          <cell r="U511">
            <v>0</v>
          </cell>
          <cell r="Y511">
            <v>3660</v>
          </cell>
          <cell r="AB511">
            <v>1967.25</v>
          </cell>
          <cell r="AE511" t="str">
            <v>20140101KUUM_476</v>
          </cell>
        </row>
        <row r="512">
          <cell r="B512" t="str">
            <v>Jun 2016</v>
          </cell>
          <cell r="C512" t="str">
            <v>LS</v>
          </cell>
          <cell r="D512" t="str">
            <v>KUUM_477</v>
          </cell>
          <cell r="E512">
            <v>1055</v>
          </cell>
          <cell r="G512">
            <v>0</v>
          </cell>
          <cell r="N512">
            <v>22123.35</v>
          </cell>
          <cell r="O512">
            <v>0</v>
          </cell>
          <cell r="Q512">
            <v>0</v>
          </cell>
          <cell r="S512">
            <v>0</v>
          </cell>
          <cell r="U512">
            <v>0</v>
          </cell>
          <cell r="Y512">
            <v>1192.1500000000001</v>
          </cell>
          <cell r="AB512">
            <v>358.70000000000005</v>
          </cell>
          <cell r="AE512" t="str">
            <v>20140101KUUM_477</v>
          </cell>
        </row>
        <row r="513">
          <cell r="B513" t="str">
            <v>Jun 2016</v>
          </cell>
          <cell r="C513" t="str">
            <v>LS</v>
          </cell>
          <cell r="D513" t="str">
            <v>KUUM_478</v>
          </cell>
          <cell r="E513">
            <v>1411</v>
          </cell>
          <cell r="G513">
            <v>0</v>
          </cell>
          <cell r="N513">
            <v>37899.46</v>
          </cell>
          <cell r="O513">
            <v>0</v>
          </cell>
          <cell r="Q513">
            <v>0</v>
          </cell>
          <cell r="S513">
            <v>0</v>
          </cell>
          <cell r="U513">
            <v>0</v>
          </cell>
          <cell r="Y513">
            <v>3287.63</v>
          </cell>
          <cell r="AB513">
            <v>818.38</v>
          </cell>
          <cell r="AE513" t="str">
            <v>20140101KUUM_478</v>
          </cell>
        </row>
        <row r="514">
          <cell r="B514" t="str">
            <v>Jun 2016</v>
          </cell>
          <cell r="C514" t="str">
            <v>LS</v>
          </cell>
          <cell r="D514" t="str">
            <v>KUUM_479</v>
          </cell>
          <cell r="E514">
            <v>943</v>
          </cell>
          <cell r="G514">
            <v>0</v>
          </cell>
          <cell r="N514">
            <v>31232.16</v>
          </cell>
          <cell r="O514">
            <v>0</v>
          </cell>
          <cell r="Q514">
            <v>0</v>
          </cell>
          <cell r="S514">
            <v>0</v>
          </cell>
          <cell r="U514">
            <v>0</v>
          </cell>
          <cell r="Y514">
            <v>4271.79</v>
          </cell>
          <cell r="AB514">
            <v>744.97</v>
          </cell>
          <cell r="AE514" t="str">
            <v>20140101KUUM_479</v>
          </cell>
        </row>
        <row r="515">
          <cell r="B515" t="str">
            <v>Jun 2016</v>
          </cell>
          <cell r="C515" t="str">
            <v>LS</v>
          </cell>
          <cell r="D515" t="str">
            <v>KUUM_486</v>
          </cell>
          <cell r="E515">
            <v>0</v>
          </cell>
          <cell r="G515">
            <v>0</v>
          </cell>
          <cell r="N515">
            <v>0</v>
          </cell>
          <cell r="O515">
            <v>0</v>
          </cell>
          <cell r="Q515">
            <v>0</v>
          </cell>
          <cell r="S515">
            <v>0</v>
          </cell>
          <cell r="U515">
            <v>0</v>
          </cell>
          <cell r="Y515">
            <v>0</v>
          </cell>
          <cell r="AB515">
            <v>0</v>
          </cell>
          <cell r="AE515" t="str">
            <v>20140101KUUM_486</v>
          </cell>
        </row>
        <row r="516">
          <cell r="B516" t="str">
            <v>Jun 2016</v>
          </cell>
          <cell r="C516" t="str">
            <v>LS</v>
          </cell>
          <cell r="D516" t="str">
            <v>KUUM_487</v>
          </cell>
          <cell r="E516">
            <v>11195</v>
          </cell>
          <cell r="G516">
            <v>0</v>
          </cell>
          <cell r="N516">
            <v>100755</v>
          </cell>
          <cell r="O516">
            <v>0</v>
          </cell>
          <cell r="Q516">
            <v>0</v>
          </cell>
          <cell r="S516">
            <v>0</v>
          </cell>
          <cell r="U516">
            <v>0</v>
          </cell>
          <cell r="Y516">
            <v>12650.35</v>
          </cell>
          <cell r="AB516">
            <v>3806.3</v>
          </cell>
          <cell r="AE516" t="str">
            <v>20140101KUUM_487</v>
          </cell>
        </row>
        <row r="517">
          <cell r="B517" t="str">
            <v>Jun 2016</v>
          </cell>
          <cell r="C517" t="str">
            <v>LS</v>
          </cell>
          <cell r="D517" t="str">
            <v>KUUM_488</v>
          </cell>
          <cell r="E517">
            <v>6647</v>
          </cell>
          <cell r="G517">
            <v>0</v>
          </cell>
          <cell r="N517">
            <v>90665.08</v>
          </cell>
          <cell r="O517">
            <v>0</v>
          </cell>
          <cell r="Q517">
            <v>0</v>
          </cell>
          <cell r="S517">
            <v>0</v>
          </cell>
          <cell r="U517">
            <v>0</v>
          </cell>
          <cell r="Y517">
            <v>15487.51</v>
          </cell>
          <cell r="AB517">
            <v>3855.2599999999998</v>
          </cell>
          <cell r="AE517" t="str">
            <v>20140101KUUM_488</v>
          </cell>
        </row>
        <row r="518">
          <cell r="B518" t="str">
            <v>Jun 2016</v>
          </cell>
          <cell r="C518" t="str">
            <v>LS</v>
          </cell>
          <cell r="D518" t="str">
            <v>KUUM_489</v>
          </cell>
          <cell r="E518">
            <v>8399</v>
          </cell>
          <cell r="G518">
            <v>0</v>
          </cell>
          <cell r="N518">
            <v>163444.54</v>
          </cell>
          <cell r="O518">
            <v>0</v>
          </cell>
          <cell r="Q518">
            <v>0</v>
          </cell>
          <cell r="S518">
            <v>0</v>
          </cell>
          <cell r="U518">
            <v>0</v>
          </cell>
          <cell r="Y518">
            <v>38047.47</v>
          </cell>
          <cell r="AB518">
            <v>6635.21</v>
          </cell>
          <cell r="AE518" t="str">
            <v>20140101KUUM_489</v>
          </cell>
        </row>
        <row r="519">
          <cell r="B519" t="str">
            <v>Jun 2016</v>
          </cell>
          <cell r="C519" t="str">
            <v>LS</v>
          </cell>
          <cell r="D519" t="str">
            <v>KUUM_490</v>
          </cell>
          <cell r="E519">
            <v>58</v>
          </cell>
          <cell r="G519">
            <v>0</v>
          </cell>
          <cell r="N519">
            <v>897.26</v>
          </cell>
          <cell r="O519">
            <v>0</v>
          </cell>
          <cell r="Q519">
            <v>0</v>
          </cell>
          <cell r="S519">
            <v>0</v>
          </cell>
          <cell r="U519">
            <v>0</v>
          </cell>
          <cell r="Y519">
            <v>114.26</v>
          </cell>
          <cell r="AB519">
            <v>38.28</v>
          </cell>
          <cell r="AE519" t="str">
            <v>20140101KUUM_490</v>
          </cell>
        </row>
        <row r="520">
          <cell r="B520" t="str">
            <v>Jun 2016</v>
          </cell>
          <cell r="C520" t="str">
            <v>LS</v>
          </cell>
          <cell r="D520" t="str">
            <v>KUUM_491</v>
          </cell>
          <cell r="E520">
            <v>313</v>
          </cell>
          <cell r="G520">
            <v>0</v>
          </cell>
          <cell r="N520">
            <v>6864.09</v>
          </cell>
          <cell r="O520">
            <v>0</v>
          </cell>
          <cell r="Q520">
            <v>0</v>
          </cell>
          <cell r="S520">
            <v>0</v>
          </cell>
          <cell r="U520">
            <v>0</v>
          </cell>
          <cell r="Y520">
            <v>1342.77</v>
          </cell>
          <cell r="AB520">
            <v>262.92</v>
          </cell>
          <cell r="AE520" t="str">
            <v>20140101KUUM_491</v>
          </cell>
        </row>
        <row r="521">
          <cell r="B521" t="str">
            <v>Jun 2016</v>
          </cell>
          <cell r="C521" t="str">
            <v>LS</v>
          </cell>
          <cell r="D521" t="str">
            <v>KUUM_492</v>
          </cell>
          <cell r="E521">
            <v>2</v>
          </cell>
          <cell r="G521">
            <v>0</v>
          </cell>
          <cell r="N521">
            <v>30.74</v>
          </cell>
          <cell r="O521">
            <v>0</v>
          </cell>
          <cell r="Q521">
            <v>0</v>
          </cell>
          <cell r="S521">
            <v>0</v>
          </cell>
          <cell r="U521">
            <v>0</v>
          </cell>
          <cell r="Y521">
            <v>1.6</v>
          </cell>
          <cell r="AB521">
            <v>0.86</v>
          </cell>
          <cell r="AE521" t="str">
            <v>20140101KUUM_492</v>
          </cell>
        </row>
        <row r="522">
          <cell r="B522" t="str">
            <v>Jun 2016</v>
          </cell>
          <cell r="C522" t="str">
            <v>LS</v>
          </cell>
          <cell r="D522" t="str">
            <v>KUUM_493</v>
          </cell>
          <cell r="E522">
            <v>43</v>
          </cell>
          <cell r="G522">
            <v>0</v>
          </cell>
          <cell r="N522">
            <v>1965.1</v>
          </cell>
          <cell r="O522">
            <v>0</v>
          </cell>
          <cell r="Q522">
            <v>0</v>
          </cell>
          <cell r="S522">
            <v>0</v>
          </cell>
          <cell r="U522">
            <v>0</v>
          </cell>
          <cell r="Y522">
            <v>447.63</v>
          </cell>
          <cell r="AB522">
            <v>73.099999999999994</v>
          </cell>
          <cell r="AE522" t="str">
            <v>20140101KUUM_493</v>
          </cell>
        </row>
        <row r="523">
          <cell r="B523" t="str">
            <v>Jun 2016</v>
          </cell>
          <cell r="C523" t="str">
            <v>LS</v>
          </cell>
          <cell r="D523" t="str">
            <v>KUUM_494</v>
          </cell>
          <cell r="E523">
            <v>168</v>
          </cell>
          <cell r="G523">
            <v>0</v>
          </cell>
          <cell r="N523">
            <v>4766.16</v>
          </cell>
          <cell r="O523">
            <v>0</v>
          </cell>
          <cell r="Q523">
            <v>0</v>
          </cell>
          <cell r="S523">
            <v>0</v>
          </cell>
          <cell r="U523">
            <v>0</v>
          </cell>
          <cell r="Y523">
            <v>330.96</v>
          </cell>
          <cell r="AB523">
            <v>110.88000000000001</v>
          </cell>
          <cell r="AE523" t="str">
            <v>20140101KUUM_494</v>
          </cell>
        </row>
        <row r="524">
          <cell r="B524" t="str">
            <v>Jun 2016</v>
          </cell>
          <cell r="C524" t="str">
            <v>LS</v>
          </cell>
          <cell r="D524" t="str">
            <v>KUUM_495</v>
          </cell>
          <cell r="E524">
            <v>634</v>
          </cell>
          <cell r="G524">
            <v>0</v>
          </cell>
          <cell r="N524">
            <v>22082.22</v>
          </cell>
          <cell r="O524">
            <v>0</v>
          </cell>
          <cell r="Q524">
            <v>0</v>
          </cell>
          <cell r="S524">
            <v>0</v>
          </cell>
          <cell r="U524">
            <v>0</v>
          </cell>
          <cell r="Y524">
            <v>2719.86</v>
          </cell>
          <cell r="AB524">
            <v>532.55999999999995</v>
          </cell>
          <cell r="AE524" t="str">
            <v>20140101KUUM_495</v>
          </cell>
        </row>
        <row r="525">
          <cell r="B525" t="str">
            <v>Jun 2016</v>
          </cell>
          <cell r="C525" t="str">
            <v>LS</v>
          </cell>
          <cell r="D525" t="str">
            <v>KUUM_496</v>
          </cell>
          <cell r="E525">
            <v>154</v>
          </cell>
          <cell r="G525">
            <v>0</v>
          </cell>
          <cell r="N525">
            <v>9022.86</v>
          </cell>
          <cell r="O525">
            <v>0</v>
          </cell>
          <cell r="Q525">
            <v>0</v>
          </cell>
          <cell r="S525">
            <v>0</v>
          </cell>
          <cell r="U525">
            <v>0</v>
          </cell>
          <cell r="Y525">
            <v>1603.14</v>
          </cell>
          <cell r="AB525">
            <v>261.8</v>
          </cell>
          <cell r="AE525" t="str">
            <v>20140101KUUM_496</v>
          </cell>
        </row>
        <row r="526">
          <cell r="B526" t="str">
            <v>Jun 2016</v>
          </cell>
          <cell r="C526" t="str">
            <v>LS</v>
          </cell>
          <cell r="D526" t="str">
            <v>KUUM_497</v>
          </cell>
          <cell r="E526">
            <v>10</v>
          </cell>
          <cell r="G526">
            <v>0</v>
          </cell>
          <cell r="H526">
            <v>0</v>
          </cell>
          <cell r="N526">
            <v>153.5</v>
          </cell>
          <cell r="O526">
            <v>0</v>
          </cell>
          <cell r="Q526">
            <v>0</v>
          </cell>
          <cell r="S526">
            <v>0</v>
          </cell>
          <cell r="U526">
            <v>0</v>
          </cell>
          <cell r="Y526">
            <v>11.3</v>
          </cell>
          <cell r="AB526">
            <v>3.4000000000000004</v>
          </cell>
          <cell r="AE526" t="str">
            <v>20140101KUUM_497</v>
          </cell>
        </row>
        <row r="527">
          <cell r="B527" t="str">
            <v>Jun 2016</v>
          </cell>
          <cell r="C527" t="str">
            <v>LS</v>
          </cell>
          <cell r="D527" t="str">
            <v>KUUM_498</v>
          </cell>
          <cell r="E527">
            <v>26</v>
          </cell>
          <cell r="G527">
            <v>0</v>
          </cell>
          <cell r="H527">
            <v>0</v>
          </cell>
          <cell r="N527">
            <v>460.72</v>
          </cell>
          <cell r="O527">
            <v>0</v>
          </cell>
          <cell r="Q527">
            <v>0</v>
          </cell>
          <cell r="S527">
            <v>0</v>
          </cell>
          <cell r="U527">
            <v>0</v>
          </cell>
          <cell r="Y527">
            <v>60.58</v>
          </cell>
          <cell r="AB527">
            <v>15.079999999999998</v>
          </cell>
          <cell r="AE527" t="str">
            <v>20140101KUUM_498</v>
          </cell>
        </row>
        <row r="528">
          <cell r="B528" t="str">
            <v>Jun 2016</v>
          </cell>
          <cell r="C528" t="str">
            <v>LS</v>
          </cell>
          <cell r="D528" t="str">
            <v>KUUM_499</v>
          </cell>
          <cell r="E528">
            <v>25</v>
          </cell>
          <cell r="G528">
            <v>0</v>
          </cell>
          <cell r="H528">
            <v>0</v>
          </cell>
          <cell r="N528">
            <v>537.25</v>
          </cell>
          <cell r="O528">
            <v>0</v>
          </cell>
          <cell r="Q528">
            <v>0</v>
          </cell>
          <cell r="S528">
            <v>0</v>
          </cell>
          <cell r="U528">
            <v>0</v>
          </cell>
          <cell r="Y528">
            <v>113.25</v>
          </cell>
          <cell r="AB528">
            <v>19.75</v>
          </cell>
          <cell r="AE528" t="str">
            <v>20140101KUUM_499</v>
          </cell>
        </row>
        <row r="529">
          <cell r="B529" t="str">
            <v>Jun 2016</v>
          </cell>
          <cell r="C529" t="str">
            <v>ODL</v>
          </cell>
          <cell r="D529" t="str">
            <v>ODL</v>
          </cell>
          <cell r="E529">
            <v>0</v>
          </cell>
          <cell r="G529">
            <v>9184135</v>
          </cell>
          <cell r="H529">
            <v>0</v>
          </cell>
          <cell r="N529">
            <v>0</v>
          </cell>
          <cell r="O529">
            <v>2142961</v>
          </cell>
          <cell r="Q529">
            <v>18955</v>
          </cell>
          <cell r="S529">
            <v>54240</v>
          </cell>
          <cell r="U529">
            <v>2216156</v>
          </cell>
          <cell r="Y529">
            <v>0</v>
          </cell>
          <cell r="AB529">
            <v>0</v>
          </cell>
          <cell r="AE529" t="str">
            <v>20140101ODL</v>
          </cell>
        </row>
        <row r="530">
          <cell r="B530" t="str">
            <v>Jul 2015</v>
          </cell>
          <cell r="C530" t="str">
            <v>LS</v>
          </cell>
          <cell r="D530" t="str">
            <v>KUUM_300</v>
          </cell>
          <cell r="E530">
            <v>0</v>
          </cell>
          <cell r="G530">
            <v>0</v>
          </cell>
          <cell r="H530">
            <v>0</v>
          </cell>
          <cell r="N530">
            <v>0</v>
          </cell>
          <cell r="O530">
            <v>0</v>
          </cell>
          <cell r="Q530">
            <v>0</v>
          </cell>
          <cell r="S530">
            <v>0</v>
          </cell>
          <cell r="U530">
            <v>0</v>
          </cell>
          <cell r="Y530">
            <v>0</v>
          </cell>
          <cell r="AB530">
            <v>0</v>
          </cell>
          <cell r="AE530" t="str">
            <v>20140101KUUM_300</v>
          </cell>
        </row>
        <row r="531">
          <cell r="B531" t="str">
            <v>Jul 2015</v>
          </cell>
          <cell r="C531" t="str">
            <v>LS</v>
          </cell>
          <cell r="D531" t="str">
            <v>KUUM_301</v>
          </cell>
          <cell r="E531">
            <v>0</v>
          </cell>
          <cell r="G531">
            <v>0</v>
          </cell>
          <cell r="H531">
            <v>0</v>
          </cell>
          <cell r="N531">
            <v>0</v>
          </cell>
          <cell r="O531">
            <v>0</v>
          </cell>
          <cell r="Q531">
            <v>0</v>
          </cell>
          <cell r="S531">
            <v>0</v>
          </cell>
          <cell r="U531">
            <v>0</v>
          </cell>
          <cell r="Y531">
            <v>0</v>
          </cell>
          <cell r="AB531">
            <v>0</v>
          </cell>
          <cell r="AE531" t="str">
            <v>20140101KUUM_301</v>
          </cell>
        </row>
        <row r="532">
          <cell r="B532" t="str">
            <v>Jul 2015</v>
          </cell>
          <cell r="C532" t="str">
            <v>LS</v>
          </cell>
          <cell r="D532" t="str">
            <v>KUUM_360</v>
          </cell>
          <cell r="E532">
            <v>178</v>
          </cell>
          <cell r="G532">
            <v>0</v>
          </cell>
          <cell r="H532">
            <v>0</v>
          </cell>
          <cell r="N532">
            <v>9848.74</v>
          </cell>
          <cell r="O532">
            <v>0</v>
          </cell>
          <cell r="Q532">
            <v>0</v>
          </cell>
          <cell r="S532">
            <v>0</v>
          </cell>
          <cell r="U532">
            <v>0</v>
          </cell>
          <cell r="Y532">
            <v>311.5</v>
          </cell>
          <cell r="AB532">
            <v>428.98</v>
          </cell>
          <cell r="AE532" t="str">
            <v>20140101KUUM_360</v>
          </cell>
        </row>
        <row r="533">
          <cell r="B533" t="str">
            <v>Jul 2015</v>
          </cell>
          <cell r="C533" t="str">
            <v>LS</v>
          </cell>
          <cell r="D533" t="str">
            <v>KUUM_361</v>
          </cell>
          <cell r="E533">
            <v>25</v>
          </cell>
          <cell r="G533">
            <v>0</v>
          </cell>
          <cell r="H533">
            <v>0</v>
          </cell>
          <cell r="N533">
            <v>2079</v>
          </cell>
          <cell r="O533">
            <v>0</v>
          </cell>
          <cell r="Q533">
            <v>0</v>
          </cell>
          <cell r="S533">
            <v>0</v>
          </cell>
          <cell r="U533">
            <v>0</v>
          </cell>
          <cell r="Y533">
            <v>43.75</v>
          </cell>
          <cell r="AB533">
            <v>60.25</v>
          </cell>
          <cell r="AE533" t="str">
            <v>20140101KUUM_361</v>
          </cell>
        </row>
        <row r="534">
          <cell r="B534" t="str">
            <v>Jul 2015</v>
          </cell>
          <cell r="C534" t="str">
            <v>LS</v>
          </cell>
          <cell r="D534" t="str">
            <v>KUUM_362</v>
          </cell>
          <cell r="E534">
            <v>43</v>
          </cell>
          <cell r="G534">
            <v>0</v>
          </cell>
          <cell r="H534">
            <v>0</v>
          </cell>
          <cell r="N534">
            <v>2570.54</v>
          </cell>
          <cell r="O534">
            <v>0</v>
          </cell>
          <cell r="Q534">
            <v>0</v>
          </cell>
          <cell r="S534">
            <v>0</v>
          </cell>
          <cell r="U534">
            <v>0</v>
          </cell>
          <cell r="Y534">
            <v>75.25</v>
          </cell>
          <cell r="AB534">
            <v>103.63000000000001</v>
          </cell>
          <cell r="AE534" t="str">
            <v>20140101KUUM_362</v>
          </cell>
        </row>
        <row r="535">
          <cell r="B535" t="str">
            <v>Jul 2015</v>
          </cell>
          <cell r="C535" t="str">
            <v>LS</v>
          </cell>
          <cell r="D535" t="str">
            <v>KUUM_363</v>
          </cell>
          <cell r="E535">
            <v>5</v>
          </cell>
          <cell r="G535">
            <v>0</v>
          </cell>
          <cell r="H535">
            <v>0</v>
          </cell>
          <cell r="N535">
            <v>308.75</v>
          </cell>
          <cell r="O535">
            <v>0</v>
          </cell>
          <cell r="Q535">
            <v>0</v>
          </cell>
          <cell r="S535">
            <v>0</v>
          </cell>
          <cell r="U535">
            <v>0</v>
          </cell>
          <cell r="Y535">
            <v>8.75</v>
          </cell>
          <cell r="AB535">
            <v>12.05</v>
          </cell>
          <cell r="AE535" t="str">
            <v>20140101KUUM_363</v>
          </cell>
        </row>
        <row r="536">
          <cell r="B536" t="str">
            <v>Jul 2015</v>
          </cell>
          <cell r="C536" t="str">
            <v>LS</v>
          </cell>
          <cell r="D536" t="str">
            <v>KUUM_364</v>
          </cell>
          <cell r="E536">
            <v>1</v>
          </cell>
          <cell r="G536">
            <v>0</v>
          </cell>
          <cell r="H536">
            <v>0</v>
          </cell>
          <cell r="N536">
            <v>63.11</v>
          </cell>
          <cell r="O536">
            <v>0</v>
          </cell>
          <cell r="Q536">
            <v>0</v>
          </cell>
          <cell r="S536">
            <v>0</v>
          </cell>
          <cell r="U536">
            <v>0</v>
          </cell>
          <cell r="Y536">
            <v>1.75</v>
          </cell>
          <cell r="AB536">
            <v>2.41</v>
          </cell>
          <cell r="AE536" t="str">
            <v>20140101KUUM_364</v>
          </cell>
        </row>
        <row r="537">
          <cell r="B537" t="str">
            <v>Jul 2015</v>
          </cell>
          <cell r="C537" t="str">
            <v>LS</v>
          </cell>
          <cell r="D537" t="str">
            <v>KUUM_365</v>
          </cell>
          <cell r="E537">
            <v>5</v>
          </cell>
          <cell r="G537">
            <v>0</v>
          </cell>
          <cell r="H537">
            <v>0</v>
          </cell>
          <cell r="N537">
            <v>404.7</v>
          </cell>
          <cell r="O537">
            <v>0</v>
          </cell>
          <cell r="Q537">
            <v>0</v>
          </cell>
          <cell r="S537">
            <v>0</v>
          </cell>
          <cell r="U537">
            <v>0</v>
          </cell>
          <cell r="Y537">
            <v>8.75</v>
          </cell>
          <cell r="AB537">
            <v>12.05</v>
          </cell>
          <cell r="AE537" t="str">
            <v>20140101KUUM_365</v>
          </cell>
        </row>
        <row r="538">
          <cell r="B538" t="str">
            <v>Jul 2015</v>
          </cell>
          <cell r="C538" t="str">
            <v>LS</v>
          </cell>
          <cell r="D538" t="str">
            <v>KUUM_366</v>
          </cell>
          <cell r="E538">
            <v>9</v>
          </cell>
          <cell r="G538">
            <v>0</v>
          </cell>
          <cell r="H538">
            <v>0</v>
          </cell>
          <cell r="N538">
            <v>710.73</v>
          </cell>
          <cell r="O538">
            <v>0</v>
          </cell>
          <cell r="Q538">
            <v>0</v>
          </cell>
          <cell r="S538">
            <v>0</v>
          </cell>
          <cell r="U538">
            <v>0</v>
          </cell>
          <cell r="Y538">
            <v>15.75</v>
          </cell>
          <cell r="AB538">
            <v>21.69</v>
          </cell>
          <cell r="AE538" t="str">
            <v>20140101KUUM_366</v>
          </cell>
        </row>
        <row r="539">
          <cell r="B539" t="str">
            <v>Jul 2015</v>
          </cell>
          <cell r="C539" t="str">
            <v>LS</v>
          </cell>
          <cell r="D539" t="str">
            <v>KUUM_367</v>
          </cell>
          <cell r="E539">
            <v>25</v>
          </cell>
          <cell r="G539">
            <v>0</v>
          </cell>
          <cell r="H539">
            <v>0</v>
          </cell>
          <cell r="N539">
            <v>1530.75</v>
          </cell>
          <cell r="O539">
            <v>0</v>
          </cell>
          <cell r="Q539">
            <v>0</v>
          </cell>
          <cell r="S539">
            <v>0</v>
          </cell>
          <cell r="U539">
            <v>0</v>
          </cell>
          <cell r="Y539">
            <v>43.75</v>
          </cell>
          <cell r="AB539">
            <v>60.25</v>
          </cell>
          <cell r="AE539" t="str">
            <v>20140101KUUM_367</v>
          </cell>
        </row>
        <row r="540">
          <cell r="B540" t="str">
            <v>Jul 2015</v>
          </cell>
          <cell r="C540" t="str">
            <v>LS</v>
          </cell>
          <cell r="D540" t="str">
            <v>KUUM_368</v>
          </cell>
          <cell r="E540">
            <v>1</v>
          </cell>
          <cell r="G540">
            <v>0</v>
          </cell>
          <cell r="H540">
            <v>0</v>
          </cell>
          <cell r="N540">
            <v>56.69</v>
          </cell>
          <cell r="O540">
            <v>0</v>
          </cell>
          <cell r="Q540">
            <v>0</v>
          </cell>
          <cell r="S540">
            <v>0</v>
          </cell>
          <cell r="U540">
            <v>0</v>
          </cell>
          <cell r="Y540">
            <v>1.75</v>
          </cell>
          <cell r="AB540">
            <v>2.41</v>
          </cell>
          <cell r="AE540" t="str">
            <v>20140101KUUM_368</v>
          </cell>
        </row>
        <row r="541">
          <cell r="B541" t="str">
            <v>Jul 2015</v>
          </cell>
          <cell r="C541" t="str">
            <v>LS</v>
          </cell>
          <cell r="D541" t="str">
            <v>KUUM_370</v>
          </cell>
          <cell r="E541">
            <v>15</v>
          </cell>
          <cell r="G541">
            <v>0</v>
          </cell>
          <cell r="H541">
            <v>0</v>
          </cell>
          <cell r="N541">
            <v>1117.8</v>
          </cell>
          <cell r="O541">
            <v>0</v>
          </cell>
          <cell r="Q541">
            <v>0</v>
          </cell>
          <cell r="S541">
            <v>0</v>
          </cell>
          <cell r="U541">
            <v>0</v>
          </cell>
          <cell r="Y541">
            <v>26.25</v>
          </cell>
          <cell r="AB541">
            <v>36.150000000000006</v>
          </cell>
          <cell r="AE541" t="str">
            <v>20140101KUUM_370</v>
          </cell>
        </row>
        <row r="542">
          <cell r="B542" t="str">
            <v>Jul 2015</v>
          </cell>
          <cell r="C542" t="str">
            <v>LS</v>
          </cell>
          <cell r="D542" t="str">
            <v>KUUM_372</v>
          </cell>
          <cell r="E542">
            <v>1</v>
          </cell>
          <cell r="G542">
            <v>0</v>
          </cell>
          <cell r="H542">
            <v>0</v>
          </cell>
          <cell r="N542">
            <v>82.3</v>
          </cell>
          <cell r="O542">
            <v>0</v>
          </cell>
          <cell r="Q542">
            <v>0</v>
          </cell>
          <cell r="S542">
            <v>0</v>
          </cell>
          <cell r="U542">
            <v>0</v>
          </cell>
          <cell r="Y542">
            <v>1.75</v>
          </cell>
          <cell r="AB542">
            <v>2.41</v>
          </cell>
          <cell r="AE542" t="str">
            <v>20140101KUUM_372</v>
          </cell>
        </row>
        <row r="543">
          <cell r="B543" t="str">
            <v>Jul 2015</v>
          </cell>
          <cell r="C543" t="str">
            <v>LS</v>
          </cell>
          <cell r="D543" t="str">
            <v>KUUM_373</v>
          </cell>
          <cell r="E543">
            <v>20</v>
          </cell>
          <cell r="G543">
            <v>0</v>
          </cell>
          <cell r="H543">
            <v>0</v>
          </cell>
          <cell r="N543">
            <v>1490.4</v>
          </cell>
          <cell r="O543">
            <v>0</v>
          </cell>
          <cell r="Q543">
            <v>0</v>
          </cell>
          <cell r="S543">
            <v>0</v>
          </cell>
          <cell r="U543">
            <v>0</v>
          </cell>
          <cell r="Y543">
            <v>35</v>
          </cell>
          <cell r="AB543">
            <v>48.2</v>
          </cell>
          <cell r="AE543" t="str">
            <v>20140101KUUM_373</v>
          </cell>
        </row>
        <row r="544">
          <cell r="B544" t="str">
            <v>Jul 2015</v>
          </cell>
          <cell r="C544" t="str">
            <v>LS</v>
          </cell>
          <cell r="D544" t="str">
            <v>KUUM_374</v>
          </cell>
          <cell r="E544">
            <v>4</v>
          </cell>
          <cell r="G544">
            <v>0</v>
          </cell>
          <cell r="H544">
            <v>2034</v>
          </cell>
          <cell r="N544">
            <v>303.52</v>
          </cell>
          <cell r="O544">
            <v>0</v>
          </cell>
          <cell r="Q544">
            <v>0</v>
          </cell>
          <cell r="S544">
            <v>0</v>
          </cell>
          <cell r="U544">
            <v>0</v>
          </cell>
          <cell r="Y544">
            <v>7</v>
          </cell>
          <cell r="AB544">
            <v>9.64</v>
          </cell>
          <cell r="AE544" t="str">
            <v>20140101KUUM_374</v>
          </cell>
        </row>
        <row r="545">
          <cell r="B545" t="str">
            <v>Jul 2015</v>
          </cell>
          <cell r="C545" t="str">
            <v>LS</v>
          </cell>
          <cell r="D545" t="str">
            <v>KUUM_375</v>
          </cell>
          <cell r="E545">
            <v>3</v>
          </cell>
          <cell r="G545">
            <v>0</v>
          </cell>
          <cell r="H545">
            <v>0</v>
          </cell>
          <cell r="N545">
            <v>236.91</v>
          </cell>
          <cell r="O545">
            <v>0</v>
          </cell>
          <cell r="Q545">
            <v>0</v>
          </cell>
          <cell r="S545">
            <v>0</v>
          </cell>
          <cell r="U545">
            <v>0</v>
          </cell>
          <cell r="Y545">
            <v>5.25</v>
          </cell>
          <cell r="AB545">
            <v>7.23</v>
          </cell>
          <cell r="AE545" t="str">
            <v>20140101KUUM_375</v>
          </cell>
        </row>
        <row r="546">
          <cell r="B546" t="str">
            <v>Jul 2015</v>
          </cell>
          <cell r="C546" t="str">
            <v>LS</v>
          </cell>
          <cell r="D546" t="str">
            <v>KUUM_376</v>
          </cell>
          <cell r="E546">
            <v>2</v>
          </cell>
          <cell r="G546">
            <v>0</v>
          </cell>
          <cell r="H546">
            <v>0</v>
          </cell>
          <cell r="N546">
            <v>154.52000000000001</v>
          </cell>
          <cell r="O546">
            <v>0</v>
          </cell>
          <cell r="Q546">
            <v>0</v>
          </cell>
          <cell r="S546">
            <v>0</v>
          </cell>
          <cell r="U546">
            <v>0</v>
          </cell>
          <cell r="Y546">
            <v>3.5</v>
          </cell>
          <cell r="AB546">
            <v>4.82</v>
          </cell>
          <cell r="AE546" t="str">
            <v>20140101KUUM_376</v>
          </cell>
        </row>
        <row r="547">
          <cell r="B547" t="str">
            <v>Jul 2015</v>
          </cell>
          <cell r="C547" t="str">
            <v>LS</v>
          </cell>
          <cell r="D547" t="str">
            <v>KUUM_377</v>
          </cell>
          <cell r="E547">
            <v>51</v>
          </cell>
          <cell r="G547">
            <v>0</v>
          </cell>
          <cell r="H547">
            <v>0</v>
          </cell>
          <cell r="N547">
            <v>3273.69</v>
          </cell>
          <cell r="O547">
            <v>0</v>
          </cell>
          <cell r="Q547">
            <v>0</v>
          </cell>
          <cell r="S547">
            <v>0</v>
          </cell>
          <cell r="U547">
            <v>0</v>
          </cell>
          <cell r="Y547">
            <v>89.25</v>
          </cell>
          <cell r="AB547">
            <v>122.91000000000001</v>
          </cell>
          <cell r="AE547" t="str">
            <v>20140101KUUM_377</v>
          </cell>
        </row>
        <row r="548">
          <cell r="B548" t="str">
            <v>Jul 2015</v>
          </cell>
          <cell r="C548" t="str">
            <v>LS</v>
          </cell>
          <cell r="D548" t="str">
            <v>KUUM_378</v>
          </cell>
          <cell r="E548">
            <v>2</v>
          </cell>
          <cell r="G548">
            <v>0</v>
          </cell>
          <cell r="H548">
            <v>0</v>
          </cell>
          <cell r="N548">
            <v>151.80000000000001</v>
          </cell>
          <cell r="O548">
            <v>0</v>
          </cell>
          <cell r="Q548">
            <v>0</v>
          </cell>
          <cell r="S548">
            <v>0</v>
          </cell>
          <cell r="U548">
            <v>0</v>
          </cell>
          <cell r="Y548">
            <v>3.5</v>
          </cell>
          <cell r="AB548">
            <v>4.82</v>
          </cell>
          <cell r="AE548" t="str">
            <v>20140101KUUM_378</v>
          </cell>
        </row>
        <row r="549">
          <cell r="B549" t="str">
            <v>Jul 2015</v>
          </cell>
          <cell r="C549" t="str">
            <v>LS</v>
          </cell>
          <cell r="D549" t="str">
            <v>KUUM_401</v>
          </cell>
          <cell r="E549">
            <v>52</v>
          </cell>
          <cell r="G549">
            <v>0</v>
          </cell>
          <cell r="H549">
            <v>0</v>
          </cell>
          <cell r="N549">
            <v>772.72</v>
          </cell>
          <cell r="O549">
            <v>0</v>
          </cell>
          <cell r="Q549">
            <v>0</v>
          </cell>
          <cell r="S549">
            <v>0</v>
          </cell>
          <cell r="U549">
            <v>0</v>
          </cell>
          <cell r="Y549">
            <v>41.6</v>
          </cell>
          <cell r="AB549">
            <v>22.36</v>
          </cell>
          <cell r="AE549" t="str">
            <v>20140101KUUM_401</v>
          </cell>
        </row>
        <row r="550">
          <cell r="B550" t="str">
            <v>Jul 2015</v>
          </cell>
          <cell r="C550" t="str">
            <v>RLS</v>
          </cell>
          <cell r="D550" t="str">
            <v>KUUM_404</v>
          </cell>
          <cell r="E550">
            <v>7070</v>
          </cell>
          <cell r="G550">
            <v>0</v>
          </cell>
          <cell r="H550">
            <v>0</v>
          </cell>
          <cell r="N550">
            <v>74729.899999999994</v>
          </cell>
          <cell r="O550">
            <v>0</v>
          </cell>
          <cell r="Q550">
            <v>0</v>
          </cell>
          <cell r="S550">
            <v>0</v>
          </cell>
          <cell r="U550">
            <v>0</v>
          </cell>
          <cell r="Y550">
            <v>14069.3</v>
          </cell>
          <cell r="AB550">
            <v>2757.3</v>
          </cell>
          <cell r="AE550" t="str">
            <v>20140101KUUM_404</v>
          </cell>
        </row>
        <row r="551">
          <cell r="B551" t="str">
            <v>Jul 2015</v>
          </cell>
          <cell r="C551" t="str">
            <v>RLS</v>
          </cell>
          <cell r="D551" t="str">
            <v>KUUM_405</v>
          </cell>
          <cell r="E551">
            <v>0</v>
          </cell>
          <cell r="G551">
            <v>0</v>
          </cell>
          <cell r="H551">
            <v>0</v>
          </cell>
          <cell r="N551">
            <v>0</v>
          </cell>
          <cell r="O551">
            <v>0</v>
          </cell>
          <cell r="Q551">
            <v>0</v>
          </cell>
          <cell r="S551">
            <v>0</v>
          </cell>
          <cell r="U551">
            <v>0</v>
          </cell>
          <cell r="Y551">
            <v>0</v>
          </cell>
          <cell r="AB551">
            <v>0</v>
          </cell>
          <cell r="AE551" t="str">
            <v>20140101KUUM_405</v>
          </cell>
        </row>
        <row r="552">
          <cell r="B552" t="str">
            <v>Jul 2015</v>
          </cell>
          <cell r="C552" t="str">
            <v>LS</v>
          </cell>
          <cell r="D552" t="str">
            <v>KUUM_407</v>
          </cell>
          <cell r="E552">
            <v>0</v>
          </cell>
          <cell r="G552">
            <v>0</v>
          </cell>
          <cell r="H552">
            <v>0</v>
          </cell>
          <cell r="N552">
            <v>0</v>
          </cell>
          <cell r="O552">
            <v>0</v>
          </cell>
          <cell r="Q552">
            <v>0</v>
          </cell>
          <cell r="S552">
            <v>0</v>
          </cell>
          <cell r="U552">
            <v>0</v>
          </cell>
          <cell r="Y552">
            <v>0</v>
          </cell>
          <cell r="AB552">
            <v>0</v>
          </cell>
          <cell r="AE552" t="str">
            <v>20140101KUUM_407</v>
          </cell>
        </row>
        <row r="553">
          <cell r="B553" t="str">
            <v>Jul 2015</v>
          </cell>
          <cell r="C553" t="str">
            <v>RLS</v>
          </cell>
          <cell r="D553" t="str">
            <v>KUUM_409</v>
          </cell>
          <cell r="E553">
            <v>137</v>
          </cell>
          <cell r="G553">
            <v>0</v>
          </cell>
          <cell r="H553">
            <v>0</v>
          </cell>
          <cell r="N553">
            <v>1604.27</v>
          </cell>
          <cell r="O553">
            <v>0</v>
          </cell>
          <cell r="Q553">
            <v>0</v>
          </cell>
          <cell r="S553">
            <v>0</v>
          </cell>
          <cell r="U553">
            <v>0</v>
          </cell>
          <cell r="Y553">
            <v>620.61</v>
          </cell>
          <cell r="AB553">
            <v>108.23</v>
          </cell>
          <cell r="AE553" t="str">
            <v>20140101KUUM_409</v>
          </cell>
        </row>
        <row r="554">
          <cell r="B554" t="str">
            <v>Jul 2015</v>
          </cell>
          <cell r="C554" t="str">
            <v>RLS</v>
          </cell>
          <cell r="D554" t="str">
            <v>KUUM_410</v>
          </cell>
          <cell r="E554">
            <v>239</v>
          </cell>
          <cell r="G554">
            <v>0</v>
          </cell>
          <cell r="H554">
            <v>0</v>
          </cell>
          <cell r="N554">
            <v>4842.1400000000003</v>
          </cell>
          <cell r="O554">
            <v>0</v>
          </cell>
          <cell r="Q554">
            <v>0</v>
          </cell>
          <cell r="S554">
            <v>0</v>
          </cell>
          <cell r="U554">
            <v>0</v>
          </cell>
          <cell r="Y554">
            <v>136.22999999999999</v>
          </cell>
          <cell r="AB554">
            <v>78.87</v>
          </cell>
          <cell r="AE554" t="str">
            <v>20140101KUUM_410</v>
          </cell>
        </row>
        <row r="555">
          <cell r="B555" t="str">
            <v>Jul 2015</v>
          </cell>
          <cell r="C555" t="str">
            <v>LS</v>
          </cell>
          <cell r="D555" t="str">
            <v>KUUM_411</v>
          </cell>
          <cell r="E555">
            <v>150</v>
          </cell>
          <cell r="G555">
            <v>0</v>
          </cell>
          <cell r="H555">
            <v>0</v>
          </cell>
          <cell r="N555">
            <v>3207</v>
          </cell>
          <cell r="O555">
            <v>0</v>
          </cell>
          <cell r="Q555">
            <v>0</v>
          </cell>
          <cell r="S555">
            <v>0</v>
          </cell>
          <cell r="U555">
            <v>0</v>
          </cell>
          <cell r="Y555">
            <v>120</v>
          </cell>
          <cell r="AB555">
            <v>64.5</v>
          </cell>
          <cell r="AE555" t="str">
            <v>20140101KUUM_411</v>
          </cell>
        </row>
        <row r="556">
          <cell r="B556" t="str">
            <v>Jul 2015</v>
          </cell>
          <cell r="C556" t="str">
            <v>RLS</v>
          </cell>
          <cell r="D556" t="str">
            <v>KUUM_412</v>
          </cell>
          <cell r="E556">
            <v>28</v>
          </cell>
          <cell r="G556">
            <v>0</v>
          </cell>
          <cell r="H556">
            <v>0</v>
          </cell>
          <cell r="N556">
            <v>863.52</v>
          </cell>
          <cell r="O556">
            <v>0</v>
          </cell>
          <cell r="Q556">
            <v>0</v>
          </cell>
          <cell r="S556">
            <v>0</v>
          </cell>
          <cell r="U556">
            <v>0</v>
          </cell>
          <cell r="Y556">
            <v>22.4</v>
          </cell>
          <cell r="AB556">
            <v>12.04</v>
          </cell>
          <cell r="AE556" t="str">
            <v>20140101KUUM_412</v>
          </cell>
        </row>
        <row r="557">
          <cell r="B557" t="str">
            <v>Jul 2015</v>
          </cell>
          <cell r="C557" t="str">
            <v>RLS</v>
          </cell>
          <cell r="D557" t="str">
            <v>KUUM_413</v>
          </cell>
          <cell r="E557">
            <v>96</v>
          </cell>
          <cell r="G557">
            <v>0</v>
          </cell>
          <cell r="H557">
            <v>0</v>
          </cell>
          <cell r="N557">
            <v>2997.12</v>
          </cell>
          <cell r="O557">
            <v>0</v>
          </cell>
          <cell r="Q557">
            <v>0</v>
          </cell>
          <cell r="S557">
            <v>0</v>
          </cell>
          <cell r="U557">
            <v>0</v>
          </cell>
          <cell r="Y557">
            <v>108.48</v>
          </cell>
          <cell r="AB557">
            <v>32.64</v>
          </cell>
          <cell r="AE557" t="str">
            <v>20140101KUUM_413</v>
          </cell>
        </row>
        <row r="558">
          <cell r="B558" t="str">
            <v>Jul 2015</v>
          </cell>
          <cell r="C558" t="str">
            <v>LS</v>
          </cell>
          <cell r="D558" t="str">
            <v>KUUM_414</v>
          </cell>
          <cell r="E558">
            <v>21</v>
          </cell>
          <cell r="G558">
            <v>0</v>
          </cell>
          <cell r="H558">
            <v>0</v>
          </cell>
          <cell r="N558">
            <v>647.64</v>
          </cell>
          <cell r="O558">
            <v>0</v>
          </cell>
          <cell r="Q558">
            <v>0</v>
          </cell>
          <cell r="S558">
            <v>0</v>
          </cell>
          <cell r="U558">
            <v>0</v>
          </cell>
          <cell r="Y558">
            <v>16.8</v>
          </cell>
          <cell r="AB558">
            <v>9.0299999999999994</v>
          </cell>
          <cell r="AE558" t="str">
            <v>20140101KUUM_414</v>
          </cell>
        </row>
        <row r="559">
          <cell r="B559" t="str">
            <v>Jul 2015</v>
          </cell>
          <cell r="C559" t="str">
            <v>LS</v>
          </cell>
          <cell r="D559" t="str">
            <v>KUUM_415</v>
          </cell>
          <cell r="E559">
            <v>10</v>
          </cell>
          <cell r="G559">
            <v>0</v>
          </cell>
          <cell r="H559">
            <v>0</v>
          </cell>
          <cell r="N559">
            <v>312.2</v>
          </cell>
          <cell r="O559">
            <v>0</v>
          </cell>
          <cell r="Q559">
            <v>0</v>
          </cell>
          <cell r="S559">
            <v>0</v>
          </cell>
          <cell r="U559">
            <v>0</v>
          </cell>
          <cell r="Y559">
            <v>11.3</v>
          </cell>
          <cell r="AB559">
            <v>3.4000000000000004</v>
          </cell>
          <cell r="AE559" t="str">
            <v>20140101KUUM_415</v>
          </cell>
        </row>
        <row r="560">
          <cell r="B560" t="str">
            <v>Jul 2015</v>
          </cell>
          <cell r="C560" t="str">
            <v>LS</v>
          </cell>
          <cell r="D560" t="str">
            <v>KUUM_420</v>
          </cell>
          <cell r="E560">
            <v>476</v>
          </cell>
          <cell r="G560">
            <v>0</v>
          </cell>
          <cell r="H560">
            <v>1593</v>
          </cell>
          <cell r="N560">
            <v>7311.36</v>
          </cell>
          <cell r="O560">
            <v>0</v>
          </cell>
          <cell r="Q560">
            <v>0</v>
          </cell>
          <cell r="S560">
            <v>0</v>
          </cell>
          <cell r="U560">
            <v>0</v>
          </cell>
          <cell r="Y560">
            <v>537.88</v>
          </cell>
          <cell r="AB560">
            <v>161.84</v>
          </cell>
          <cell r="AE560" t="str">
            <v>20140101KUUM_420</v>
          </cell>
        </row>
        <row r="561">
          <cell r="B561" t="str">
            <v>Jul 2015</v>
          </cell>
          <cell r="C561" t="str">
            <v>RLS</v>
          </cell>
          <cell r="D561" t="str">
            <v>KUUM_421</v>
          </cell>
          <cell r="E561">
            <v>5</v>
          </cell>
          <cell r="G561">
            <v>0</v>
          </cell>
          <cell r="H561">
            <v>0</v>
          </cell>
          <cell r="N561">
            <v>16.95</v>
          </cell>
          <cell r="O561">
            <v>0</v>
          </cell>
          <cell r="Q561">
            <v>0</v>
          </cell>
          <cell r="S561">
            <v>0</v>
          </cell>
          <cell r="U561">
            <v>0</v>
          </cell>
          <cell r="Y561">
            <v>4.95</v>
          </cell>
          <cell r="AB561">
            <v>0.6</v>
          </cell>
          <cell r="AE561" t="str">
            <v>20140101KUUM_421</v>
          </cell>
        </row>
        <row r="562">
          <cell r="B562" t="str">
            <v>Jul 2015</v>
          </cell>
          <cell r="C562" t="str">
            <v>RLS</v>
          </cell>
          <cell r="D562" t="str">
            <v>KUUM_422</v>
          </cell>
          <cell r="E562">
            <v>666</v>
          </cell>
          <cell r="G562">
            <v>0</v>
          </cell>
          <cell r="H562">
            <v>0</v>
          </cell>
          <cell r="N562">
            <v>3023.64</v>
          </cell>
          <cell r="O562">
            <v>0</v>
          </cell>
          <cell r="Q562">
            <v>0</v>
          </cell>
          <cell r="S562">
            <v>0</v>
          </cell>
          <cell r="U562">
            <v>0</v>
          </cell>
          <cell r="Y562">
            <v>1292.04</v>
          </cell>
          <cell r="AB562">
            <v>106.56</v>
          </cell>
          <cell r="AE562" t="str">
            <v>20140101KUUM_422</v>
          </cell>
        </row>
        <row r="563">
          <cell r="B563" t="str">
            <v>Jul 2015</v>
          </cell>
          <cell r="C563" t="str">
            <v>RLS</v>
          </cell>
          <cell r="D563" t="str">
            <v>KUUM_424</v>
          </cell>
          <cell r="E563">
            <v>49</v>
          </cell>
          <cell r="G563">
            <v>0</v>
          </cell>
          <cell r="H563">
            <v>0</v>
          </cell>
          <cell r="N563">
            <v>332.22</v>
          </cell>
          <cell r="O563">
            <v>0</v>
          </cell>
          <cell r="Q563">
            <v>0</v>
          </cell>
          <cell r="S563">
            <v>0</v>
          </cell>
          <cell r="U563">
            <v>0</v>
          </cell>
          <cell r="Y563">
            <v>34.299999999999997</v>
          </cell>
          <cell r="AB563">
            <v>11.76</v>
          </cell>
          <cell r="AE563" t="str">
            <v>20140101KUUM_424</v>
          </cell>
        </row>
        <row r="564">
          <cell r="B564" t="str">
            <v>Jul 2015</v>
          </cell>
          <cell r="C564" t="str">
            <v>RLS</v>
          </cell>
          <cell r="D564" t="str">
            <v>KUUM_425</v>
          </cell>
          <cell r="E564">
            <v>2</v>
          </cell>
          <cell r="G564">
            <v>0</v>
          </cell>
          <cell r="H564">
            <v>0</v>
          </cell>
          <cell r="N564">
            <v>18.12</v>
          </cell>
          <cell r="O564">
            <v>0</v>
          </cell>
          <cell r="Q564">
            <v>0</v>
          </cell>
          <cell r="S564">
            <v>0</v>
          </cell>
          <cell r="U564">
            <v>0</v>
          </cell>
          <cell r="Y564">
            <v>8.6</v>
          </cell>
          <cell r="AB564">
            <v>0.66</v>
          </cell>
          <cell r="AE564" t="str">
            <v>20140101KUUM_425</v>
          </cell>
        </row>
        <row r="565">
          <cell r="B565" t="str">
            <v>Jul 2015</v>
          </cell>
          <cell r="C565" t="str">
            <v>RLS</v>
          </cell>
          <cell r="D565" t="str">
            <v>KUUM_426</v>
          </cell>
          <cell r="E565">
            <v>176</v>
          </cell>
          <cell r="G565">
            <v>0</v>
          </cell>
          <cell r="H565">
            <v>0</v>
          </cell>
          <cell r="N565">
            <v>1309.44</v>
          </cell>
          <cell r="O565">
            <v>0</v>
          </cell>
          <cell r="Q565">
            <v>0</v>
          </cell>
          <cell r="S565">
            <v>0</v>
          </cell>
          <cell r="U565">
            <v>0</v>
          </cell>
          <cell r="Y565">
            <v>140.80000000000001</v>
          </cell>
          <cell r="AB565">
            <v>75.679999999999993</v>
          </cell>
          <cell r="AE565" t="str">
            <v>20140101KUUM_426</v>
          </cell>
        </row>
        <row r="566">
          <cell r="B566" t="str">
            <v>Jul 2015</v>
          </cell>
          <cell r="C566" t="str">
            <v>LS</v>
          </cell>
          <cell r="D566" t="str">
            <v>KUUM_428</v>
          </cell>
          <cell r="E566">
            <v>36590</v>
          </cell>
          <cell r="G566">
            <v>0</v>
          </cell>
          <cell r="H566">
            <v>0</v>
          </cell>
          <cell r="N566">
            <v>286865.59999999998</v>
          </cell>
          <cell r="O566">
            <v>0</v>
          </cell>
          <cell r="Q566">
            <v>0</v>
          </cell>
          <cell r="S566">
            <v>0</v>
          </cell>
          <cell r="U566">
            <v>0</v>
          </cell>
          <cell r="Y566">
            <v>41346.699999999997</v>
          </cell>
          <cell r="AB566">
            <v>12440.6</v>
          </cell>
          <cell r="AE566" t="str">
            <v>20140101KUUM_428</v>
          </cell>
        </row>
        <row r="567">
          <cell r="B567" t="str">
            <v>Jul 2015</v>
          </cell>
          <cell r="C567" t="str">
            <v>LS</v>
          </cell>
          <cell r="D567" t="str">
            <v>KUUM_429</v>
          </cell>
          <cell r="E567">
            <v>0</v>
          </cell>
          <cell r="G567">
            <v>0</v>
          </cell>
          <cell r="H567">
            <v>0</v>
          </cell>
          <cell r="N567">
            <v>0</v>
          </cell>
          <cell r="O567">
            <v>0</v>
          </cell>
          <cell r="Q567">
            <v>0</v>
          </cell>
          <cell r="S567">
            <v>0</v>
          </cell>
          <cell r="U567">
            <v>0</v>
          </cell>
          <cell r="Y567">
            <v>0</v>
          </cell>
          <cell r="AB567">
            <v>0</v>
          </cell>
          <cell r="AE567" t="str">
            <v>20140101KUUM_429</v>
          </cell>
        </row>
        <row r="568">
          <cell r="B568" t="str">
            <v>Jul 2015</v>
          </cell>
          <cell r="C568" t="str">
            <v>LS</v>
          </cell>
          <cell r="D568" t="str">
            <v>KUUM_430</v>
          </cell>
          <cell r="E568">
            <v>1178</v>
          </cell>
          <cell r="G568">
            <v>0</v>
          </cell>
          <cell r="H568">
            <v>0</v>
          </cell>
          <cell r="N568">
            <v>25916</v>
          </cell>
          <cell r="O568">
            <v>0</v>
          </cell>
          <cell r="Q568">
            <v>0</v>
          </cell>
          <cell r="S568">
            <v>0</v>
          </cell>
          <cell r="U568">
            <v>0</v>
          </cell>
          <cell r="Y568">
            <v>1331.14</v>
          </cell>
          <cell r="AB568">
            <v>400.52000000000004</v>
          </cell>
          <cell r="AE568" t="str">
            <v>20140101KUUM_430</v>
          </cell>
        </row>
        <row r="569">
          <cell r="B569" t="str">
            <v>Jul 2015</v>
          </cell>
          <cell r="C569" t="str">
            <v>RLS</v>
          </cell>
          <cell r="D569" t="str">
            <v>KUUM_434</v>
          </cell>
          <cell r="E569">
            <v>0</v>
          </cell>
          <cell r="G569">
            <v>0</v>
          </cell>
          <cell r="H569">
            <v>0</v>
          </cell>
          <cell r="N569">
            <v>0</v>
          </cell>
          <cell r="O569">
            <v>0</v>
          </cell>
          <cell r="Q569">
            <v>0</v>
          </cell>
          <cell r="S569">
            <v>0</v>
          </cell>
          <cell r="U569">
            <v>0</v>
          </cell>
          <cell r="Y569">
            <v>0</v>
          </cell>
          <cell r="AB569">
            <v>0</v>
          </cell>
          <cell r="AE569" t="str">
            <v>20140101KUUM_434</v>
          </cell>
        </row>
        <row r="570">
          <cell r="B570" t="str">
            <v>Jul 2015</v>
          </cell>
          <cell r="C570" t="str">
            <v>RLS</v>
          </cell>
          <cell r="D570" t="str">
            <v>KUUM_440</v>
          </cell>
          <cell r="E570">
            <v>2</v>
          </cell>
          <cell r="G570">
            <v>0</v>
          </cell>
          <cell r="H570">
            <v>0</v>
          </cell>
          <cell r="N570">
            <v>27.22</v>
          </cell>
          <cell r="O570">
            <v>0</v>
          </cell>
          <cell r="Q570">
            <v>0</v>
          </cell>
          <cell r="S570">
            <v>0</v>
          </cell>
          <cell r="U570">
            <v>0</v>
          </cell>
          <cell r="Y570">
            <v>1.1399999999999999</v>
          </cell>
          <cell r="AB570">
            <v>0.66</v>
          </cell>
          <cell r="AE570" t="str">
            <v>20140101KUUM_440</v>
          </cell>
        </row>
        <row r="571">
          <cell r="B571" t="str">
            <v>Jul 2015</v>
          </cell>
          <cell r="C571" t="str">
            <v>RLS</v>
          </cell>
          <cell r="D571" t="str">
            <v>KUUM_446</v>
          </cell>
          <cell r="E571">
            <v>1077</v>
          </cell>
          <cell r="G571">
            <v>0</v>
          </cell>
          <cell r="H571">
            <v>0</v>
          </cell>
          <cell r="N571">
            <v>10296.120000000001</v>
          </cell>
          <cell r="O571">
            <v>0</v>
          </cell>
          <cell r="Q571">
            <v>0</v>
          </cell>
          <cell r="S571">
            <v>0</v>
          </cell>
          <cell r="U571">
            <v>0</v>
          </cell>
          <cell r="Y571">
            <v>2143.23</v>
          </cell>
          <cell r="AB571">
            <v>420.03000000000003</v>
          </cell>
          <cell r="AE571" t="str">
            <v>20140101KUUM_446</v>
          </cell>
        </row>
        <row r="572">
          <cell r="B572" t="str">
            <v>Jul 2015</v>
          </cell>
          <cell r="C572" t="str">
            <v>RLS</v>
          </cell>
          <cell r="D572" t="str">
            <v>KUUM_447</v>
          </cell>
          <cell r="E572">
            <v>709</v>
          </cell>
          <cell r="G572">
            <v>0</v>
          </cell>
          <cell r="H572">
            <v>0</v>
          </cell>
          <cell r="N572">
            <v>8025.88</v>
          </cell>
          <cell r="O572">
            <v>0</v>
          </cell>
          <cell r="Q572">
            <v>0</v>
          </cell>
          <cell r="S572">
            <v>0</v>
          </cell>
          <cell r="U572">
            <v>0</v>
          </cell>
          <cell r="Y572">
            <v>2013.56</v>
          </cell>
          <cell r="AB572">
            <v>311.95999999999998</v>
          </cell>
          <cell r="AE572" t="str">
            <v>20140101KUUM_447</v>
          </cell>
        </row>
        <row r="573">
          <cell r="B573" t="str">
            <v>Jul 2015</v>
          </cell>
          <cell r="C573" t="str">
            <v>RLS</v>
          </cell>
          <cell r="D573" t="str">
            <v>KUUM_448</v>
          </cell>
          <cell r="E573">
            <v>1481</v>
          </cell>
          <cell r="G573">
            <v>0</v>
          </cell>
          <cell r="H573">
            <v>0</v>
          </cell>
          <cell r="N573">
            <v>18971.61</v>
          </cell>
          <cell r="O573">
            <v>0</v>
          </cell>
          <cell r="Q573">
            <v>0</v>
          </cell>
          <cell r="S573">
            <v>0</v>
          </cell>
          <cell r="U573">
            <v>0</v>
          </cell>
          <cell r="Y573">
            <v>6471.97</v>
          </cell>
          <cell r="AB573">
            <v>755.31000000000006</v>
          </cell>
          <cell r="AE573" t="str">
            <v>20140101KUUM_448</v>
          </cell>
        </row>
        <row r="574">
          <cell r="B574" t="str">
            <v>Jul 2015</v>
          </cell>
          <cell r="C574" t="str">
            <v>LS</v>
          </cell>
          <cell r="D574" t="str">
            <v>KUUM_450</v>
          </cell>
          <cell r="E574">
            <v>672</v>
          </cell>
          <cell r="G574">
            <v>0</v>
          </cell>
          <cell r="H574">
            <v>0</v>
          </cell>
          <cell r="N574">
            <v>9576</v>
          </cell>
          <cell r="O574">
            <v>0</v>
          </cell>
          <cell r="Q574">
            <v>0</v>
          </cell>
          <cell r="S574">
            <v>0</v>
          </cell>
          <cell r="U574">
            <v>0</v>
          </cell>
          <cell r="Y574">
            <v>1323.84</v>
          </cell>
          <cell r="AB574">
            <v>443.52000000000004</v>
          </cell>
          <cell r="AE574" t="str">
            <v>20140101KUUM_450</v>
          </cell>
        </row>
        <row r="575">
          <cell r="B575" t="str">
            <v>Jul 2015</v>
          </cell>
          <cell r="C575" t="str">
            <v>LS</v>
          </cell>
          <cell r="D575" t="str">
            <v>KUUM_451</v>
          </cell>
          <cell r="E575">
            <v>5245</v>
          </cell>
          <cell r="G575">
            <v>0</v>
          </cell>
          <cell r="H575">
            <v>0</v>
          </cell>
          <cell r="N575">
            <v>105949</v>
          </cell>
          <cell r="O575">
            <v>0</v>
          </cell>
          <cell r="Q575">
            <v>0</v>
          </cell>
          <cell r="S575">
            <v>0</v>
          </cell>
          <cell r="U575">
            <v>0</v>
          </cell>
          <cell r="Y575">
            <v>22501.05</v>
          </cell>
          <cell r="AB575">
            <v>4405.8</v>
          </cell>
          <cell r="AE575" t="str">
            <v>20140101KUUM_451</v>
          </cell>
        </row>
        <row r="576">
          <cell r="B576" t="str">
            <v>Jul 2015</v>
          </cell>
          <cell r="C576" t="str">
            <v>LS</v>
          </cell>
          <cell r="D576" t="str">
            <v>KUUM_452</v>
          </cell>
          <cell r="E576">
            <v>1047</v>
          </cell>
          <cell r="G576">
            <v>0</v>
          </cell>
          <cell r="H576">
            <v>0</v>
          </cell>
          <cell r="N576">
            <v>44340.45</v>
          </cell>
          <cell r="O576">
            <v>0</v>
          </cell>
          <cell r="Q576">
            <v>0</v>
          </cell>
          <cell r="S576">
            <v>0</v>
          </cell>
          <cell r="U576">
            <v>0</v>
          </cell>
          <cell r="Y576">
            <v>10899.27</v>
          </cell>
          <cell r="AB576">
            <v>1779.8999999999999</v>
          </cell>
          <cell r="AE576" t="str">
            <v>20140101KUUM_452</v>
          </cell>
        </row>
        <row r="577">
          <cell r="B577" t="str">
            <v>Jul 2015</v>
          </cell>
          <cell r="C577" t="str">
            <v>RLS</v>
          </cell>
          <cell r="D577" t="str">
            <v>KUUM_454</v>
          </cell>
          <cell r="E577">
            <v>152</v>
          </cell>
          <cell r="G577">
            <v>0</v>
          </cell>
          <cell r="H577">
            <v>0</v>
          </cell>
          <cell r="N577">
            <v>2834.8</v>
          </cell>
          <cell r="O577">
            <v>0</v>
          </cell>
          <cell r="Q577">
            <v>0</v>
          </cell>
          <cell r="S577">
            <v>0</v>
          </cell>
          <cell r="U577">
            <v>0</v>
          </cell>
          <cell r="Y577">
            <v>299.44</v>
          </cell>
          <cell r="AB577">
            <v>100.32000000000001</v>
          </cell>
          <cell r="AE577" t="str">
            <v>20140101KUUM_454</v>
          </cell>
        </row>
        <row r="578">
          <cell r="B578" t="str">
            <v>Jul 2015</v>
          </cell>
          <cell r="C578" t="str">
            <v>RLS</v>
          </cell>
          <cell r="D578" t="str">
            <v>KUUM_455</v>
          </cell>
          <cell r="E578">
            <v>1030</v>
          </cell>
          <cell r="G578">
            <v>0</v>
          </cell>
          <cell r="H578">
            <v>0</v>
          </cell>
          <cell r="N578">
            <v>25327.7</v>
          </cell>
          <cell r="O578">
            <v>0</v>
          </cell>
          <cell r="Q578">
            <v>0</v>
          </cell>
          <cell r="S578">
            <v>0</v>
          </cell>
          <cell r="U578">
            <v>0</v>
          </cell>
          <cell r="Y578">
            <v>4418.7</v>
          </cell>
          <cell r="AB578">
            <v>865.19999999999993</v>
          </cell>
          <cell r="AE578" t="str">
            <v>20140101KUUM_455</v>
          </cell>
        </row>
        <row r="579">
          <cell r="B579" t="str">
            <v>Jul 2015</v>
          </cell>
          <cell r="C579" t="str">
            <v>RLS</v>
          </cell>
          <cell r="D579" t="str">
            <v>KUUM_456</v>
          </cell>
          <cell r="E579">
            <v>141</v>
          </cell>
          <cell r="G579">
            <v>0</v>
          </cell>
          <cell r="H579">
            <v>0</v>
          </cell>
          <cell r="N579">
            <v>1673.67</v>
          </cell>
          <cell r="O579">
            <v>0</v>
          </cell>
          <cell r="Q579">
            <v>0</v>
          </cell>
          <cell r="S579">
            <v>0</v>
          </cell>
          <cell r="U579">
            <v>0</v>
          </cell>
          <cell r="Y579">
            <v>280.58999999999997</v>
          </cell>
          <cell r="AB579">
            <v>54.99</v>
          </cell>
          <cell r="AE579" t="str">
            <v>20140101KUUM_456</v>
          </cell>
        </row>
        <row r="580">
          <cell r="B580" t="str">
            <v>Jul 2015</v>
          </cell>
          <cell r="C580" t="str">
            <v>RLS</v>
          </cell>
          <cell r="D580" t="str">
            <v>KUUM_457</v>
          </cell>
          <cell r="E580">
            <v>452</v>
          </cell>
          <cell r="G580">
            <v>0</v>
          </cell>
          <cell r="H580">
            <v>0</v>
          </cell>
          <cell r="N580">
            <v>6038.72</v>
          </cell>
          <cell r="O580">
            <v>0</v>
          </cell>
          <cell r="Q580">
            <v>0</v>
          </cell>
          <cell r="S580">
            <v>0</v>
          </cell>
          <cell r="U580">
            <v>0</v>
          </cell>
          <cell r="Y580">
            <v>1283.68</v>
          </cell>
          <cell r="AB580">
            <v>198.88</v>
          </cell>
          <cell r="AE580" t="str">
            <v>20140101KUUM_457</v>
          </cell>
        </row>
        <row r="581">
          <cell r="B581" t="str">
            <v>Jul 2015</v>
          </cell>
          <cell r="C581" t="str">
            <v>RLS</v>
          </cell>
          <cell r="D581" t="str">
            <v>KUUM_458</v>
          </cell>
          <cell r="E581">
            <v>1457</v>
          </cell>
          <cell r="G581">
            <v>0</v>
          </cell>
          <cell r="H581">
            <v>0</v>
          </cell>
          <cell r="N581">
            <v>21971.56</v>
          </cell>
          <cell r="O581">
            <v>0</v>
          </cell>
          <cell r="Q581">
            <v>0</v>
          </cell>
          <cell r="S581">
            <v>0</v>
          </cell>
          <cell r="U581">
            <v>0</v>
          </cell>
          <cell r="Y581">
            <v>6367.09</v>
          </cell>
          <cell r="AB581">
            <v>743.07</v>
          </cell>
          <cell r="AE581" t="str">
            <v>20140101KUUM_458</v>
          </cell>
        </row>
        <row r="582">
          <cell r="B582" t="str">
            <v>Jul 2015</v>
          </cell>
          <cell r="C582" t="str">
            <v>RLS</v>
          </cell>
          <cell r="D582" t="str">
            <v>KUUM_459</v>
          </cell>
          <cell r="E582">
            <v>222</v>
          </cell>
          <cell r="G582">
            <v>0</v>
          </cell>
          <cell r="H582">
            <v>0</v>
          </cell>
          <cell r="N582">
            <v>10376.280000000001</v>
          </cell>
          <cell r="O582">
            <v>0</v>
          </cell>
          <cell r="Q582">
            <v>0</v>
          </cell>
          <cell r="S582">
            <v>0</v>
          </cell>
          <cell r="U582">
            <v>0</v>
          </cell>
          <cell r="Y582">
            <v>2311.02</v>
          </cell>
          <cell r="AB582">
            <v>377.4</v>
          </cell>
          <cell r="AE582" t="str">
            <v>20140101KUUM_459</v>
          </cell>
        </row>
        <row r="583">
          <cell r="B583" t="str">
            <v>Jul 2015</v>
          </cell>
          <cell r="C583" t="str">
            <v>RLS</v>
          </cell>
          <cell r="D583" t="str">
            <v>KUUM_460</v>
          </cell>
          <cell r="E583">
            <v>26</v>
          </cell>
          <cell r="G583">
            <v>0</v>
          </cell>
          <cell r="H583">
            <v>0</v>
          </cell>
          <cell r="N583">
            <v>705.9</v>
          </cell>
          <cell r="O583">
            <v>0</v>
          </cell>
          <cell r="Q583">
            <v>0</v>
          </cell>
          <cell r="S583">
            <v>0</v>
          </cell>
          <cell r="U583">
            <v>0</v>
          </cell>
          <cell r="Y583">
            <v>51.22</v>
          </cell>
          <cell r="AB583">
            <v>17.16</v>
          </cell>
          <cell r="AE583" t="str">
            <v>20140101KUUM_460</v>
          </cell>
        </row>
        <row r="584">
          <cell r="B584" t="str">
            <v>Jul 2015</v>
          </cell>
          <cell r="C584" t="str">
            <v>RLS</v>
          </cell>
          <cell r="D584" t="str">
            <v>KUUM_461</v>
          </cell>
          <cell r="E584">
            <v>6980</v>
          </cell>
          <cell r="G584">
            <v>0</v>
          </cell>
          <cell r="H584">
            <v>0</v>
          </cell>
          <cell r="N584">
            <v>52629.2</v>
          </cell>
          <cell r="O584">
            <v>0</v>
          </cell>
          <cell r="Q584">
            <v>0</v>
          </cell>
          <cell r="S584">
            <v>0</v>
          </cell>
          <cell r="U584">
            <v>0</v>
          </cell>
          <cell r="Y584">
            <v>3978.6</v>
          </cell>
          <cell r="AB584">
            <v>2303.4</v>
          </cell>
          <cell r="AE584" t="str">
            <v>20140101KUUM_461</v>
          </cell>
        </row>
        <row r="585">
          <cell r="B585" t="str">
            <v>Jul 2015</v>
          </cell>
          <cell r="C585" t="str">
            <v>LS</v>
          </cell>
          <cell r="D585" t="str">
            <v>KUUM_462</v>
          </cell>
          <cell r="E585">
            <v>8948</v>
          </cell>
          <cell r="G585">
            <v>0</v>
          </cell>
          <cell r="H585">
            <v>0</v>
          </cell>
          <cell r="N585">
            <v>77489.679999999993</v>
          </cell>
          <cell r="O585">
            <v>0</v>
          </cell>
          <cell r="Q585">
            <v>0</v>
          </cell>
          <cell r="S585">
            <v>0</v>
          </cell>
          <cell r="U585">
            <v>0</v>
          </cell>
          <cell r="Y585">
            <v>7158.4</v>
          </cell>
          <cell r="AB585">
            <v>3847.64</v>
          </cell>
          <cell r="AE585" t="str">
            <v>20140101KUUM_462</v>
          </cell>
        </row>
        <row r="586">
          <cell r="B586" t="str">
            <v>Jul 2015</v>
          </cell>
          <cell r="C586" t="str">
            <v>LS</v>
          </cell>
          <cell r="D586" t="str">
            <v>KUUM_463</v>
          </cell>
          <cell r="E586">
            <v>20988</v>
          </cell>
          <cell r="G586">
            <v>0</v>
          </cell>
          <cell r="H586">
            <v>0</v>
          </cell>
          <cell r="N586">
            <v>191830.32</v>
          </cell>
          <cell r="O586">
            <v>0</v>
          </cell>
          <cell r="Q586">
            <v>0</v>
          </cell>
          <cell r="S586">
            <v>0</v>
          </cell>
          <cell r="U586">
            <v>0</v>
          </cell>
          <cell r="Y586">
            <v>23716.44</v>
          </cell>
          <cell r="AB586">
            <v>7135.92</v>
          </cell>
          <cell r="AE586" t="str">
            <v>20140101KUUM_463</v>
          </cell>
        </row>
        <row r="587">
          <cell r="B587" t="str">
            <v>Jul 2015</v>
          </cell>
          <cell r="C587" t="str">
            <v>LS</v>
          </cell>
          <cell r="D587" t="str">
            <v>KUUM_464</v>
          </cell>
          <cell r="E587">
            <v>7748</v>
          </cell>
          <cell r="G587">
            <v>0</v>
          </cell>
          <cell r="H587">
            <v>0</v>
          </cell>
          <cell r="N587">
            <v>110409</v>
          </cell>
          <cell r="O587">
            <v>0</v>
          </cell>
          <cell r="Q587">
            <v>0</v>
          </cell>
          <cell r="S587">
            <v>0</v>
          </cell>
          <cell r="U587">
            <v>0</v>
          </cell>
          <cell r="Y587">
            <v>18052.84</v>
          </cell>
          <cell r="AB587">
            <v>4493.8399999999992</v>
          </cell>
          <cell r="AE587" t="str">
            <v>20140101KUUM_464</v>
          </cell>
        </row>
        <row r="588">
          <cell r="B588" t="str">
            <v>Jul 2015</v>
          </cell>
          <cell r="C588" t="str">
            <v>LS</v>
          </cell>
          <cell r="D588" t="str">
            <v>KUUM_465</v>
          </cell>
          <cell r="E588">
            <v>2794</v>
          </cell>
          <cell r="G588">
            <v>0</v>
          </cell>
          <cell r="H588">
            <v>0</v>
          </cell>
          <cell r="N588">
            <v>63814.96</v>
          </cell>
          <cell r="O588">
            <v>0</v>
          </cell>
          <cell r="Q588">
            <v>0</v>
          </cell>
          <cell r="S588">
            <v>0</v>
          </cell>
          <cell r="U588">
            <v>0</v>
          </cell>
          <cell r="Y588">
            <v>12656.82</v>
          </cell>
          <cell r="AB588">
            <v>2207.2600000000002</v>
          </cell>
          <cell r="AE588" t="str">
            <v>20140101KUUM_465</v>
          </cell>
        </row>
        <row r="589">
          <cell r="B589" t="str">
            <v>Jul 2015</v>
          </cell>
          <cell r="C589" t="str">
            <v>RLS</v>
          </cell>
          <cell r="D589" t="str">
            <v>KUUM_466</v>
          </cell>
          <cell r="E589">
            <v>995</v>
          </cell>
          <cell r="G589">
            <v>0</v>
          </cell>
          <cell r="H589">
            <v>0</v>
          </cell>
          <cell r="N589">
            <v>9571.9</v>
          </cell>
          <cell r="O589">
            <v>0</v>
          </cell>
          <cell r="Q589">
            <v>0</v>
          </cell>
          <cell r="S589">
            <v>0</v>
          </cell>
          <cell r="U589">
            <v>0</v>
          </cell>
          <cell r="Y589">
            <v>567.15</v>
          </cell>
          <cell r="AB589">
            <v>328.35</v>
          </cell>
          <cell r="AE589" t="str">
            <v>20140101KUUM_466</v>
          </cell>
        </row>
        <row r="590">
          <cell r="B590" t="str">
            <v>Jul 2015</v>
          </cell>
          <cell r="C590" t="str">
            <v>LS</v>
          </cell>
          <cell r="D590" t="str">
            <v>KUUM_467</v>
          </cell>
          <cell r="E590">
            <v>1475</v>
          </cell>
          <cell r="G590">
            <v>0</v>
          </cell>
          <cell r="H590">
            <v>0</v>
          </cell>
          <cell r="N590">
            <v>15885.75</v>
          </cell>
          <cell r="O590">
            <v>0</v>
          </cell>
          <cell r="Q590">
            <v>0</v>
          </cell>
          <cell r="S590">
            <v>0</v>
          </cell>
          <cell r="U590">
            <v>0</v>
          </cell>
          <cell r="Y590">
            <v>1180</v>
          </cell>
          <cell r="AB590">
            <v>634.25</v>
          </cell>
          <cell r="AE590" t="str">
            <v>20140101KUUM_467</v>
          </cell>
        </row>
        <row r="591">
          <cell r="B591" t="str">
            <v>Jul 2015</v>
          </cell>
          <cell r="C591" t="str">
            <v>LS</v>
          </cell>
          <cell r="D591" t="str">
            <v>KUUM_468</v>
          </cell>
          <cell r="E591">
            <v>4065</v>
          </cell>
          <cell r="G591">
            <v>0</v>
          </cell>
          <cell r="H591">
            <v>0</v>
          </cell>
          <cell r="N591">
            <v>45365.4</v>
          </cell>
          <cell r="O591">
            <v>0</v>
          </cell>
          <cell r="Q591">
            <v>0</v>
          </cell>
          <cell r="S591">
            <v>0</v>
          </cell>
          <cell r="U591">
            <v>0</v>
          </cell>
          <cell r="Y591">
            <v>4593.45</v>
          </cell>
          <cell r="AB591">
            <v>1382.1000000000001</v>
          </cell>
          <cell r="AE591" t="str">
            <v>20140101KUUM_468</v>
          </cell>
        </row>
        <row r="592">
          <cell r="B592" t="str">
            <v>Jul 2015</v>
          </cell>
          <cell r="C592" t="str">
            <v>RLS</v>
          </cell>
          <cell r="D592" t="str">
            <v>KUUM_469</v>
          </cell>
          <cell r="E592">
            <v>293</v>
          </cell>
          <cell r="G592">
            <v>0</v>
          </cell>
          <cell r="H592">
            <v>0</v>
          </cell>
          <cell r="N592">
            <v>9698.2999999999993</v>
          </cell>
          <cell r="O592">
            <v>0</v>
          </cell>
          <cell r="Q592">
            <v>0</v>
          </cell>
          <cell r="S592">
            <v>0</v>
          </cell>
          <cell r="U592">
            <v>0</v>
          </cell>
          <cell r="Y592">
            <v>1256.97</v>
          </cell>
          <cell r="AB592">
            <v>246.12</v>
          </cell>
          <cell r="AE592" t="str">
            <v>20140101KUUM_469</v>
          </cell>
        </row>
        <row r="593">
          <cell r="B593" t="str">
            <v>Jul 2015</v>
          </cell>
          <cell r="C593" t="str">
            <v>RLS</v>
          </cell>
          <cell r="D593" t="str">
            <v>KUUM_470</v>
          </cell>
          <cell r="E593">
            <v>61</v>
          </cell>
          <cell r="G593">
            <v>0</v>
          </cell>
          <cell r="H593">
            <v>0</v>
          </cell>
          <cell r="N593">
            <v>3370.25</v>
          </cell>
          <cell r="O593">
            <v>0</v>
          </cell>
          <cell r="Q593">
            <v>0</v>
          </cell>
          <cell r="S593">
            <v>0</v>
          </cell>
          <cell r="U593">
            <v>0</v>
          </cell>
          <cell r="Y593">
            <v>635.01</v>
          </cell>
          <cell r="AB593">
            <v>103.7</v>
          </cell>
          <cell r="AE593" t="str">
            <v>20140101KUUM_470</v>
          </cell>
        </row>
        <row r="594">
          <cell r="B594" t="str">
            <v>Jul 2015</v>
          </cell>
          <cell r="C594" t="str">
            <v>RLS</v>
          </cell>
          <cell r="D594" t="str">
            <v>KUUM_471</v>
          </cell>
          <cell r="E594">
            <v>3658</v>
          </cell>
          <cell r="G594">
            <v>0</v>
          </cell>
          <cell r="H594">
            <v>0</v>
          </cell>
          <cell r="N594">
            <v>38372.42</v>
          </cell>
          <cell r="O594">
            <v>0</v>
          </cell>
          <cell r="Q594">
            <v>0</v>
          </cell>
          <cell r="S594">
            <v>0</v>
          </cell>
          <cell r="U594">
            <v>0</v>
          </cell>
          <cell r="Y594">
            <v>2085.06</v>
          </cell>
          <cell r="AB594">
            <v>1207.1400000000001</v>
          </cell>
          <cell r="AE594" t="str">
            <v>20140101KUUM_471</v>
          </cell>
        </row>
        <row r="595">
          <cell r="B595" t="str">
            <v>Jul 2015</v>
          </cell>
          <cell r="C595" t="str">
            <v>LS</v>
          </cell>
          <cell r="D595" t="str">
            <v>KUUM_472</v>
          </cell>
          <cell r="E595">
            <v>8782</v>
          </cell>
          <cell r="G595">
            <v>0</v>
          </cell>
          <cell r="H595">
            <v>0</v>
          </cell>
          <cell r="N595">
            <v>101871.2</v>
          </cell>
          <cell r="O595">
            <v>0</v>
          </cell>
          <cell r="Q595">
            <v>0</v>
          </cell>
          <cell r="S595">
            <v>0</v>
          </cell>
          <cell r="U595">
            <v>0</v>
          </cell>
          <cell r="Y595">
            <v>7025.6</v>
          </cell>
          <cell r="AB595">
            <v>3776.2599999999998</v>
          </cell>
          <cell r="AE595" t="str">
            <v>20140101KUUM_472</v>
          </cell>
        </row>
        <row r="596">
          <cell r="B596" t="str">
            <v>Jul 2015</v>
          </cell>
          <cell r="C596" t="str">
            <v>LS</v>
          </cell>
          <cell r="D596" t="str">
            <v>KUUM_473</v>
          </cell>
          <cell r="E596">
            <v>3388</v>
          </cell>
          <cell r="G596">
            <v>0</v>
          </cell>
          <cell r="H596">
            <v>0</v>
          </cell>
          <cell r="N596">
            <v>41672.400000000001</v>
          </cell>
          <cell r="O596">
            <v>0</v>
          </cell>
          <cell r="Q596">
            <v>0</v>
          </cell>
          <cell r="S596">
            <v>0</v>
          </cell>
          <cell r="U596">
            <v>0</v>
          </cell>
          <cell r="Y596">
            <v>3828.44</v>
          </cell>
          <cell r="AB596">
            <v>1151.92</v>
          </cell>
          <cell r="AE596" t="str">
            <v>20140101KUUM_473</v>
          </cell>
        </row>
        <row r="597">
          <cell r="B597" t="str">
            <v>Jul 2015</v>
          </cell>
          <cell r="C597" t="str">
            <v>LS</v>
          </cell>
          <cell r="D597" t="str">
            <v>KUUM_474</v>
          </cell>
          <cell r="E597">
            <v>5209</v>
          </cell>
          <cell r="G597">
            <v>0</v>
          </cell>
          <cell r="H597">
            <v>0</v>
          </cell>
          <cell r="N597">
            <v>90688.69</v>
          </cell>
          <cell r="O597">
            <v>0</v>
          </cell>
          <cell r="Q597">
            <v>0</v>
          </cell>
          <cell r="S597">
            <v>0</v>
          </cell>
          <cell r="U597">
            <v>0</v>
          </cell>
          <cell r="Y597">
            <v>12136.97</v>
          </cell>
          <cell r="AB597">
            <v>3021.22</v>
          </cell>
          <cell r="AE597" t="str">
            <v>20140101KUUM_474</v>
          </cell>
        </row>
        <row r="598">
          <cell r="B598" t="str">
            <v>Jul 2015</v>
          </cell>
          <cell r="C598" t="str">
            <v>LS</v>
          </cell>
          <cell r="D598" t="str">
            <v>KUUM_475</v>
          </cell>
          <cell r="E598">
            <v>508</v>
          </cell>
          <cell r="G598">
            <v>0</v>
          </cell>
          <cell r="H598">
            <v>0</v>
          </cell>
          <cell r="N598">
            <v>12425.68</v>
          </cell>
          <cell r="O598">
            <v>0</v>
          </cell>
          <cell r="Q598">
            <v>0</v>
          </cell>
          <cell r="S598">
            <v>0</v>
          </cell>
          <cell r="U598">
            <v>0</v>
          </cell>
          <cell r="Y598">
            <v>2301.2399999999998</v>
          </cell>
          <cell r="AB598">
            <v>401.32</v>
          </cell>
          <cell r="AE598" t="str">
            <v>20140101KUUM_475</v>
          </cell>
        </row>
        <row r="599">
          <cell r="B599" t="str">
            <v>Jul 2015</v>
          </cell>
          <cell r="C599" t="str">
            <v>LS</v>
          </cell>
          <cell r="D599" t="str">
            <v>KUUM_476</v>
          </cell>
          <cell r="E599">
            <v>4553</v>
          </cell>
          <cell r="G599">
            <v>0</v>
          </cell>
          <cell r="H599">
            <v>0</v>
          </cell>
          <cell r="N599">
            <v>76444.87</v>
          </cell>
          <cell r="O599">
            <v>0</v>
          </cell>
          <cell r="Q599">
            <v>0</v>
          </cell>
          <cell r="S599">
            <v>0</v>
          </cell>
          <cell r="U599">
            <v>0</v>
          </cell>
          <cell r="Y599">
            <v>3642.4</v>
          </cell>
          <cell r="AB599">
            <v>1957.79</v>
          </cell>
          <cell r="AE599" t="str">
            <v>20140101KUUM_476</v>
          </cell>
        </row>
        <row r="600">
          <cell r="B600" t="str">
            <v>Jul 2015</v>
          </cell>
          <cell r="C600" t="str">
            <v>LS</v>
          </cell>
          <cell r="D600" t="str">
            <v>KUUM_477</v>
          </cell>
          <cell r="E600">
            <v>1050</v>
          </cell>
          <cell r="G600">
            <v>0</v>
          </cell>
          <cell r="H600">
            <v>0</v>
          </cell>
          <cell r="N600">
            <v>22018.5</v>
          </cell>
          <cell r="O600">
            <v>0</v>
          </cell>
          <cell r="Q600">
            <v>0</v>
          </cell>
          <cell r="S600">
            <v>0</v>
          </cell>
          <cell r="U600">
            <v>0</v>
          </cell>
          <cell r="Y600">
            <v>1186.5</v>
          </cell>
          <cell r="AB600">
            <v>357</v>
          </cell>
          <cell r="AE600" t="str">
            <v>20140101KUUM_477</v>
          </cell>
        </row>
        <row r="601">
          <cell r="B601" t="str">
            <v>Jul 2015</v>
          </cell>
          <cell r="C601" t="str">
            <v>LS</v>
          </cell>
          <cell r="D601" t="str">
            <v>KUUM_478</v>
          </cell>
          <cell r="E601">
            <v>1406</v>
          </cell>
          <cell r="G601">
            <v>0</v>
          </cell>
          <cell r="H601">
            <v>0</v>
          </cell>
          <cell r="N601">
            <v>37765.160000000003</v>
          </cell>
          <cell r="O601">
            <v>0</v>
          </cell>
          <cell r="Q601">
            <v>0</v>
          </cell>
          <cell r="S601">
            <v>0</v>
          </cell>
          <cell r="U601">
            <v>0</v>
          </cell>
          <cell r="Y601">
            <v>3275.98</v>
          </cell>
          <cell r="AB601">
            <v>815.4799999999999</v>
          </cell>
          <cell r="AE601" t="str">
            <v>20140101KUUM_478</v>
          </cell>
        </row>
        <row r="602">
          <cell r="B602" t="str">
            <v>Jul 2015</v>
          </cell>
          <cell r="C602" t="str">
            <v>LS</v>
          </cell>
          <cell r="D602" t="str">
            <v>KUUM_479</v>
          </cell>
          <cell r="E602">
            <v>946</v>
          </cell>
          <cell r="G602">
            <v>0</v>
          </cell>
          <cell r="H602">
            <v>0</v>
          </cell>
          <cell r="N602">
            <v>31331.52</v>
          </cell>
          <cell r="O602">
            <v>0</v>
          </cell>
          <cell r="Q602">
            <v>0</v>
          </cell>
          <cell r="S602">
            <v>0</v>
          </cell>
          <cell r="U602">
            <v>0</v>
          </cell>
          <cell r="Y602">
            <v>4285.38</v>
          </cell>
          <cell r="AB602">
            <v>747.34</v>
          </cell>
          <cell r="AE602" t="str">
            <v>20140101KUUM_479</v>
          </cell>
        </row>
        <row r="603">
          <cell r="B603" t="str">
            <v>Jul 2015</v>
          </cell>
          <cell r="C603" t="str">
            <v>LS</v>
          </cell>
          <cell r="D603" t="str">
            <v>KUUM_486</v>
          </cell>
          <cell r="E603">
            <v>0</v>
          </cell>
          <cell r="G603">
            <v>0</v>
          </cell>
          <cell r="H603">
            <v>0</v>
          </cell>
          <cell r="N603">
            <v>0</v>
          </cell>
          <cell r="O603">
            <v>0</v>
          </cell>
          <cell r="Q603">
            <v>0</v>
          </cell>
          <cell r="S603">
            <v>0</v>
          </cell>
          <cell r="U603">
            <v>0</v>
          </cell>
          <cell r="Y603">
            <v>0</v>
          </cell>
          <cell r="AB603">
            <v>0</v>
          </cell>
          <cell r="AE603" t="str">
            <v>20140101KUUM_486</v>
          </cell>
        </row>
        <row r="604">
          <cell r="B604" t="str">
            <v>Jul 2015</v>
          </cell>
          <cell r="C604" t="str">
            <v>LS</v>
          </cell>
          <cell r="D604" t="str">
            <v>KUUM_487</v>
          </cell>
          <cell r="E604">
            <v>11139</v>
          </cell>
          <cell r="G604">
            <v>0</v>
          </cell>
          <cell r="H604">
            <v>0</v>
          </cell>
          <cell r="N604">
            <v>100251</v>
          </cell>
          <cell r="O604">
            <v>0</v>
          </cell>
          <cell r="Q604">
            <v>0</v>
          </cell>
          <cell r="S604">
            <v>0</v>
          </cell>
          <cell r="U604">
            <v>0</v>
          </cell>
          <cell r="Y604">
            <v>12587.07</v>
          </cell>
          <cell r="AB604">
            <v>3787.26</v>
          </cell>
          <cell r="AE604" t="str">
            <v>20140101KUUM_487</v>
          </cell>
        </row>
        <row r="605">
          <cell r="B605" t="str">
            <v>Jul 2015</v>
          </cell>
          <cell r="C605" t="str">
            <v>LS</v>
          </cell>
          <cell r="D605" t="str">
            <v>KUUM_488</v>
          </cell>
          <cell r="E605">
            <v>6653</v>
          </cell>
          <cell r="G605">
            <v>0</v>
          </cell>
          <cell r="H605">
            <v>0</v>
          </cell>
          <cell r="N605">
            <v>90746.92</v>
          </cell>
          <cell r="O605">
            <v>0</v>
          </cell>
          <cell r="Q605">
            <v>0</v>
          </cell>
          <cell r="S605">
            <v>0</v>
          </cell>
          <cell r="U605">
            <v>0</v>
          </cell>
          <cell r="Y605">
            <v>15501.49</v>
          </cell>
          <cell r="AB605">
            <v>3858.74</v>
          </cell>
          <cell r="AE605" t="str">
            <v>20140101KUUM_488</v>
          </cell>
        </row>
        <row r="606">
          <cell r="B606" t="str">
            <v>Jul 2015</v>
          </cell>
          <cell r="C606" t="str">
            <v>LS</v>
          </cell>
          <cell r="D606" t="str">
            <v>KUUM_489</v>
          </cell>
          <cell r="E606">
            <v>8370</v>
          </cell>
          <cell r="G606">
            <v>0</v>
          </cell>
          <cell r="H606">
            <v>0</v>
          </cell>
          <cell r="N606">
            <v>162880.20000000001</v>
          </cell>
          <cell r="O606">
            <v>0</v>
          </cell>
          <cell r="Q606">
            <v>0</v>
          </cell>
          <cell r="S606">
            <v>0</v>
          </cell>
          <cell r="U606">
            <v>0</v>
          </cell>
          <cell r="Y606">
            <v>37916.1</v>
          </cell>
          <cell r="AB606">
            <v>6612.3</v>
          </cell>
          <cell r="AE606" t="str">
            <v>20140101KUUM_489</v>
          </cell>
        </row>
        <row r="607">
          <cell r="B607" t="str">
            <v>Jul 2015</v>
          </cell>
          <cell r="C607" t="str">
            <v>LS</v>
          </cell>
          <cell r="D607" t="str">
            <v>KUUM_490</v>
          </cell>
          <cell r="E607">
            <v>60</v>
          </cell>
          <cell r="G607">
            <v>0</v>
          </cell>
          <cell r="H607">
            <v>0</v>
          </cell>
          <cell r="N607">
            <v>928.2</v>
          </cell>
          <cell r="O607">
            <v>0</v>
          </cell>
          <cell r="Q607">
            <v>0</v>
          </cell>
          <cell r="S607">
            <v>0</v>
          </cell>
          <cell r="U607">
            <v>0</v>
          </cell>
          <cell r="Y607">
            <v>118.2</v>
          </cell>
          <cell r="AB607">
            <v>39.6</v>
          </cell>
          <cell r="AE607" t="str">
            <v>20140101KUUM_490</v>
          </cell>
        </row>
        <row r="608">
          <cell r="B608" t="str">
            <v>Jul 2015</v>
          </cell>
          <cell r="C608" t="str">
            <v>LS</v>
          </cell>
          <cell r="D608" t="str">
            <v>KUUM_491</v>
          </cell>
          <cell r="E608">
            <v>303</v>
          </cell>
          <cell r="G608">
            <v>0</v>
          </cell>
          <cell r="H608">
            <v>0</v>
          </cell>
          <cell r="N608">
            <v>6644.79</v>
          </cell>
          <cell r="O608">
            <v>0</v>
          </cell>
          <cell r="Q608">
            <v>0</v>
          </cell>
          <cell r="S608">
            <v>0</v>
          </cell>
          <cell r="U608">
            <v>0</v>
          </cell>
          <cell r="Y608">
            <v>1299.8699999999999</v>
          </cell>
          <cell r="AB608">
            <v>254.51999999999998</v>
          </cell>
          <cell r="AE608" t="str">
            <v>20140101KUUM_491</v>
          </cell>
        </row>
        <row r="609">
          <cell r="B609" t="str">
            <v>Jul 2015</v>
          </cell>
          <cell r="C609" t="str">
            <v>LS</v>
          </cell>
          <cell r="D609" t="str">
            <v>KUUM_492</v>
          </cell>
          <cell r="E609">
            <v>2</v>
          </cell>
          <cell r="G609">
            <v>0</v>
          </cell>
          <cell r="H609">
            <v>0</v>
          </cell>
          <cell r="N609">
            <v>30.74</v>
          </cell>
          <cell r="O609">
            <v>0</v>
          </cell>
          <cell r="Q609">
            <v>0</v>
          </cell>
          <cell r="S609">
            <v>0</v>
          </cell>
          <cell r="U609">
            <v>0</v>
          </cell>
          <cell r="Y609">
            <v>1.6</v>
          </cell>
          <cell r="AB609">
            <v>0.86</v>
          </cell>
          <cell r="AE609" t="str">
            <v>20140101KUUM_492</v>
          </cell>
        </row>
        <row r="610">
          <cell r="B610" t="str">
            <v>Jul 2015</v>
          </cell>
          <cell r="C610" t="str">
            <v>LS</v>
          </cell>
          <cell r="D610" t="str">
            <v>KUUM_493</v>
          </cell>
          <cell r="E610">
            <v>43</v>
          </cell>
          <cell r="G610">
            <v>0</v>
          </cell>
          <cell r="H610">
            <v>-125</v>
          </cell>
          <cell r="N610">
            <v>1965.1</v>
          </cell>
          <cell r="O610">
            <v>0</v>
          </cell>
          <cell r="Q610">
            <v>0</v>
          </cell>
          <cell r="S610">
            <v>0</v>
          </cell>
          <cell r="U610">
            <v>0</v>
          </cell>
          <cell r="Y610">
            <v>447.63</v>
          </cell>
          <cell r="AB610">
            <v>73.099999999999994</v>
          </cell>
          <cell r="AE610" t="str">
            <v>20140101KUUM_493</v>
          </cell>
        </row>
        <row r="611">
          <cell r="B611" t="str">
            <v>Jul 2015</v>
          </cell>
          <cell r="C611" t="str">
            <v>LS</v>
          </cell>
          <cell r="D611" t="str">
            <v>KUUM_494</v>
          </cell>
          <cell r="E611">
            <v>182</v>
          </cell>
          <cell r="G611">
            <v>0</v>
          </cell>
          <cell r="H611">
            <v>0</v>
          </cell>
          <cell r="N611">
            <v>5163.34</v>
          </cell>
          <cell r="O611">
            <v>0</v>
          </cell>
          <cell r="Q611">
            <v>0</v>
          </cell>
          <cell r="S611">
            <v>0</v>
          </cell>
          <cell r="U611">
            <v>0</v>
          </cell>
          <cell r="Y611">
            <v>358.54</v>
          </cell>
          <cell r="AB611">
            <v>120.12</v>
          </cell>
          <cell r="AE611" t="str">
            <v>20140101KUUM_494</v>
          </cell>
        </row>
        <row r="612">
          <cell r="B612" t="str">
            <v>Jul 2015</v>
          </cell>
          <cell r="C612" t="str">
            <v>LS</v>
          </cell>
          <cell r="D612" t="str">
            <v>KUUM_495</v>
          </cell>
          <cell r="E612">
            <v>648</v>
          </cell>
          <cell r="G612">
            <v>0</v>
          </cell>
          <cell r="H612">
            <v>0</v>
          </cell>
          <cell r="N612">
            <v>22569.84</v>
          </cell>
          <cell r="O612">
            <v>0</v>
          </cell>
          <cell r="Q612">
            <v>0</v>
          </cell>
          <cell r="S612">
            <v>0</v>
          </cell>
          <cell r="U612">
            <v>0</v>
          </cell>
          <cell r="Y612">
            <v>2779.92</v>
          </cell>
          <cell r="AB612">
            <v>544.31999999999994</v>
          </cell>
          <cell r="AE612" t="str">
            <v>20140101KUUM_495</v>
          </cell>
        </row>
        <row r="613">
          <cell r="B613" t="str">
            <v>Jul 2015</v>
          </cell>
          <cell r="C613" t="str">
            <v>LS</v>
          </cell>
          <cell r="D613" t="str">
            <v>KUUM_496</v>
          </cell>
          <cell r="E613">
            <v>154</v>
          </cell>
          <cell r="G613">
            <v>0</v>
          </cell>
          <cell r="H613">
            <v>0</v>
          </cell>
          <cell r="N613">
            <v>9022.86</v>
          </cell>
          <cell r="O613">
            <v>0</v>
          </cell>
          <cell r="Q613">
            <v>0</v>
          </cell>
          <cell r="S613">
            <v>0</v>
          </cell>
          <cell r="U613">
            <v>0</v>
          </cell>
          <cell r="Y613">
            <v>1603.14</v>
          </cell>
          <cell r="AB613">
            <v>261.8</v>
          </cell>
          <cell r="AE613" t="str">
            <v>20140101KUUM_496</v>
          </cell>
        </row>
        <row r="614">
          <cell r="B614" t="str">
            <v>Jul 2015</v>
          </cell>
          <cell r="C614" t="str">
            <v>LS</v>
          </cell>
          <cell r="D614" t="str">
            <v>KUUM_497</v>
          </cell>
          <cell r="E614">
            <v>10</v>
          </cell>
          <cell r="G614">
            <v>0</v>
          </cell>
          <cell r="H614">
            <v>0</v>
          </cell>
          <cell r="N614">
            <v>153.5</v>
          </cell>
          <cell r="O614">
            <v>0</v>
          </cell>
          <cell r="Q614">
            <v>0</v>
          </cell>
          <cell r="S614">
            <v>0</v>
          </cell>
          <cell r="U614">
            <v>0</v>
          </cell>
          <cell r="Y614">
            <v>11.3</v>
          </cell>
          <cell r="AB614">
            <v>3.4000000000000004</v>
          </cell>
          <cell r="AE614" t="str">
            <v>20140101KUUM_497</v>
          </cell>
        </row>
        <row r="615">
          <cell r="B615" t="str">
            <v>Jul 2015</v>
          </cell>
          <cell r="C615" t="str">
            <v>LS</v>
          </cell>
          <cell r="D615" t="str">
            <v>KUUM_498</v>
          </cell>
          <cell r="E615">
            <v>26</v>
          </cell>
          <cell r="G615">
            <v>0</v>
          </cell>
          <cell r="H615">
            <v>0</v>
          </cell>
          <cell r="N615">
            <v>460.72</v>
          </cell>
          <cell r="O615">
            <v>0</v>
          </cell>
          <cell r="Q615">
            <v>0</v>
          </cell>
          <cell r="S615">
            <v>0</v>
          </cell>
          <cell r="U615">
            <v>0</v>
          </cell>
          <cell r="Y615">
            <v>60.58</v>
          </cell>
          <cell r="AB615">
            <v>15.079999999999998</v>
          </cell>
          <cell r="AE615" t="str">
            <v>20140101KUUM_498</v>
          </cell>
        </row>
        <row r="616">
          <cell r="B616" t="str">
            <v>Jul 2015</v>
          </cell>
          <cell r="C616" t="str">
            <v>LS</v>
          </cell>
          <cell r="D616" t="str">
            <v>KUUM_499</v>
          </cell>
          <cell r="E616">
            <v>30</v>
          </cell>
          <cell r="G616">
            <v>0</v>
          </cell>
          <cell r="H616">
            <v>0</v>
          </cell>
          <cell r="N616">
            <v>644.70000000000005</v>
          </cell>
          <cell r="O616">
            <v>0</v>
          </cell>
          <cell r="Q616">
            <v>0</v>
          </cell>
          <cell r="S616">
            <v>0</v>
          </cell>
          <cell r="U616">
            <v>0</v>
          </cell>
          <cell r="Y616">
            <v>135.9</v>
          </cell>
          <cell r="AB616">
            <v>23.700000000000003</v>
          </cell>
          <cell r="AE616" t="str">
            <v>20140101KUUM_499</v>
          </cell>
        </row>
        <row r="617">
          <cell r="B617" t="str">
            <v>Jul 2015</v>
          </cell>
          <cell r="C617" t="str">
            <v>ODL</v>
          </cell>
          <cell r="D617" t="str">
            <v>ODL</v>
          </cell>
          <cell r="E617">
            <v>0</v>
          </cell>
          <cell r="G617">
            <v>8653918</v>
          </cell>
          <cell r="H617">
            <v>0</v>
          </cell>
          <cell r="N617">
            <v>0</v>
          </cell>
          <cell r="O617">
            <v>2150525</v>
          </cell>
          <cell r="Q617">
            <v>16979</v>
          </cell>
          <cell r="S617">
            <v>37127</v>
          </cell>
          <cell r="U617">
            <v>2204631</v>
          </cell>
          <cell r="Y617">
            <v>0</v>
          </cell>
          <cell r="AB617">
            <v>0</v>
          </cell>
          <cell r="AE617" t="str">
            <v>20140101ODL</v>
          </cell>
        </row>
        <row r="618">
          <cell r="B618" t="str">
            <v>Aug 2015</v>
          </cell>
          <cell r="C618" t="str">
            <v>LS</v>
          </cell>
          <cell r="D618" t="str">
            <v>KUUM_300</v>
          </cell>
          <cell r="E618">
            <v>0</v>
          </cell>
          <cell r="G618">
            <v>0</v>
          </cell>
          <cell r="H618">
            <v>0</v>
          </cell>
          <cell r="N618">
            <v>0</v>
          </cell>
          <cell r="O618">
            <v>0</v>
          </cell>
          <cell r="Q618">
            <v>0</v>
          </cell>
          <cell r="S618">
            <v>0</v>
          </cell>
          <cell r="U618">
            <v>0</v>
          </cell>
          <cell r="Y618">
            <v>0</v>
          </cell>
          <cell r="AB618">
            <v>0</v>
          </cell>
          <cell r="AE618" t="str">
            <v>20140101KUUM_300</v>
          </cell>
        </row>
        <row r="619">
          <cell r="B619" t="str">
            <v>Aug 2015</v>
          </cell>
          <cell r="C619" t="str">
            <v>LS</v>
          </cell>
          <cell r="D619" t="str">
            <v>KUUM_301</v>
          </cell>
          <cell r="E619">
            <v>0</v>
          </cell>
          <cell r="G619">
            <v>0</v>
          </cell>
          <cell r="H619">
            <v>0</v>
          </cell>
          <cell r="N619">
            <v>0</v>
          </cell>
          <cell r="O619">
            <v>0</v>
          </cell>
          <cell r="Q619">
            <v>0</v>
          </cell>
          <cell r="S619">
            <v>0</v>
          </cell>
          <cell r="U619">
            <v>0</v>
          </cell>
          <cell r="Y619">
            <v>0</v>
          </cell>
          <cell r="AB619">
            <v>0</v>
          </cell>
          <cell r="AE619" t="str">
            <v>20140101KUUM_301</v>
          </cell>
        </row>
        <row r="620">
          <cell r="B620" t="str">
            <v>Aug 2015</v>
          </cell>
          <cell r="C620" t="str">
            <v>LS</v>
          </cell>
          <cell r="D620" t="str">
            <v>KUUM_360</v>
          </cell>
          <cell r="E620">
            <v>177</v>
          </cell>
          <cell r="G620">
            <v>0</v>
          </cell>
          <cell r="H620">
            <v>0</v>
          </cell>
          <cell r="N620">
            <v>9793.41</v>
          </cell>
          <cell r="O620">
            <v>0</v>
          </cell>
          <cell r="Q620">
            <v>0</v>
          </cell>
          <cell r="S620">
            <v>0</v>
          </cell>
          <cell r="U620">
            <v>0</v>
          </cell>
          <cell r="Y620">
            <v>309.75</v>
          </cell>
          <cell r="AB620">
            <v>426.57000000000005</v>
          </cell>
          <cell r="AE620" t="str">
            <v>20140101KUUM_360</v>
          </cell>
        </row>
        <row r="621">
          <cell r="B621" t="str">
            <v>Aug 2015</v>
          </cell>
          <cell r="C621" t="str">
            <v>LS</v>
          </cell>
          <cell r="D621" t="str">
            <v>KUUM_361</v>
          </cell>
          <cell r="E621">
            <v>25</v>
          </cell>
          <cell r="G621">
            <v>0</v>
          </cell>
          <cell r="H621">
            <v>0</v>
          </cell>
          <cell r="N621">
            <v>2079</v>
          </cell>
          <cell r="O621">
            <v>0</v>
          </cell>
          <cell r="Q621">
            <v>0</v>
          </cell>
          <cell r="S621">
            <v>0</v>
          </cell>
          <cell r="U621">
            <v>0</v>
          </cell>
          <cell r="Y621">
            <v>43.75</v>
          </cell>
          <cell r="AB621">
            <v>60.25</v>
          </cell>
          <cell r="AE621" t="str">
            <v>20140101KUUM_361</v>
          </cell>
        </row>
        <row r="622">
          <cell r="B622" t="str">
            <v>Aug 2015</v>
          </cell>
          <cell r="C622" t="str">
            <v>LS</v>
          </cell>
          <cell r="D622" t="str">
            <v>KUUM_362</v>
          </cell>
          <cell r="E622">
            <v>43</v>
          </cell>
          <cell r="G622">
            <v>0</v>
          </cell>
          <cell r="H622">
            <v>0</v>
          </cell>
          <cell r="N622">
            <v>2570.54</v>
          </cell>
          <cell r="O622">
            <v>0</v>
          </cell>
          <cell r="Q622">
            <v>0</v>
          </cell>
          <cell r="S622">
            <v>0</v>
          </cell>
          <cell r="U622">
            <v>0</v>
          </cell>
          <cell r="Y622">
            <v>75.25</v>
          </cell>
          <cell r="AB622">
            <v>103.63000000000001</v>
          </cell>
          <cell r="AE622" t="str">
            <v>20140101KUUM_362</v>
          </cell>
        </row>
        <row r="623">
          <cell r="B623" t="str">
            <v>Aug 2015</v>
          </cell>
          <cell r="C623" t="str">
            <v>LS</v>
          </cell>
          <cell r="D623" t="str">
            <v>KUUM_363</v>
          </cell>
          <cell r="E623">
            <v>5</v>
          </cell>
          <cell r="G623">
            <v>0</v>
          </cell>
          <cell r="H623">
            <v>0</v>
          </cell>
          <cell r="N623">
            <v>308.75</v>
          </cell>
          <cell r="O623">
            <v>0</v>
          </cell>
          <cell r="Q623">
            <v>0</v>
          </cell>
          <cell r="S623">
            <v>0</v>
          </cell>
          <cell r="U623">
            <v>0</v>
          </cell>
          <cell r="Y623">
            <v>8.75</v>
          </cell>
          <cell r="AB623">
            <v>12.05</v>
          </cell>
          <cell r="AE623" t="str">
            <v>20140101KUUM_363</v>
          </cell>
        </row>
        <row r="624">
          <cell r="B624" t="str">
            <v>Aug 2015</v>
          </cell>
          <cell r="C624" t="str">
            <v>LS</v>
          </cell>
          <cell r="D624" t="str">
            <v>KUUM_364</v>
          </cell>
          <cell r="E624">
            <v>1</v>
          </cell>
          <cell r="G624">
            <v>0</v>
          </cell>
          <cell r="H624">
            <v>0</v>
          </cell>
          <cell r="N624">
            <v>63.11</v>
          </cell>
          <cell r="O624">
            <v>0</v>
          </cell>
          <cell r="Q624">
            <v>0</v>
          </cell>
          <cell r="S624">
            <v>0</v>
          </cell>
          <cell r="U624">
            <v>0</v>
          </cell>
          <cell r="Y624">
            <v>1.75</v>
          </cell>
          <cell r="AB624">
            <v>2.41</v>
          </cell>
          <cell r="AE624" t="str">
            <v>20140101KUUM_364</v>
          </cell>
        </row>
        <row r="625">
          <cell r="B625" t="str">
            <v>Aug 2015</v>
          </cell>
          <cell r="C625" t="str">
            <v>LS</v>
          </cell>
          <cell r="D625" t="str">
            <v>KUUM_365</v>
          </cell>
          <cell r="E625">
            <v>5</v>
          </cell>
          <cell r="G625">
            <v>0</v>
          </cell>
          <cell r="H625">
            <v>0</v>
          </cell>
          <cell r="N625">
            <v>404.7</v>
          </cell>
          <cell r="O625">
            <v>0</v>
          </cell>
          <cell r="Q625">
            <v>0</v>
          </cell>
          <cell r="S625">
            <v>0</v>
          </cell>
          <cell r="U625">
            <v>0</v>
          </cell>
          <cell r="Y625">
            <v>8.75</v>
          </cell>
          <cell r="AB625">
            <v>12.05</v>
          </cell>
          <cell r="AE625" t="str">
            <v>20140101KUUM_365</v>
          </cell>
        </row>
        <row r="626">
          <cell r="B626" t="str">
            <v>Aug 2015</v>
          </cell>
          <cell r="C626" t="str">
            <v>LS</v>
          </cell>
          <cell r="D626" t="str">
            <v>KUUM_366</v>
          </cell>
          <cell r="E626">
            <v>9</v>
          </cell>
          <cell r="G626">
            <v>0</v>
          </cell>
          <cell r="H626">
            <v>0</v>
          </cell>
          <cell r="N626">
            <v>710.73</v>
          </cell>
          <cell r="O626">
            <v>0</v>
          </cell>
          <cell r="Q626">
            <v>0</v>
          </cell>
          <cell r="S626">
            <v>0</v>
          </cell>
          <cell r="U626">
            <v>0</v>
          </cell>
          <cell r="Y626">
            <v>15.75</v>
          </cell>
          <cell r="AB626">
            <v>21.69</v>
          </cell>
          <cell r="AE626" t="str">
            <v>20140101KUUM_366</v>
          </cell>
        </row>
        <row r="627">
          <cell r="B627" t="str">
            <v>Aug 2015</v>
          </cell>
          <cell r="C627" t="str">
            <v>LS</v>
          </cell>
          <cell r="D627" t="str">
            <v>KUUM_367</v>
          </cell>
          <cell r="E627">
            <v>25</v>
          </cell>
          <cell r="G627">
            <v>0</v>
          </cell>
          <cell r="H627">
            <v>0</v>
          </cell>
          <cell r="N627">
            <v>1530.75</v>
          </cell>
          <cell r="O627">
            <v>0</v>
          </cell>
          <cell r="Q627">
            <v>0</v>
          </cell>
          <cell r="S627">
            <v>0</v>
          </cell>
          <cell r="U627">
            <v>0</v>
          </cell>
          <cell r="Y627">
            <v>43.75</v>
          </cell>
          <cell r="AB627">
            <v>60.25</v>
          </cell>
          <cell r="AE627" t="str">
            <v>20140101KUUM_367</v>
          </cell>
        </row>
        <row r="628">
          <cell r="B628" t="str">
            <v>Aug 2015</v>
          </cell>
          <cell r="C628" t="str">
            <v>LS</v>
          </cell>
          <cell r="D628" t="str">
            <v>KUUM_368</v>
          </cell>
          <cell r="E628">
            <v>1</v>
          </cell>
          <cell r="G628">
            <v>0</v>
          </cell>
          <cell r="H628">
            <v>0</v>
          </cell>
          <cell r="N628">
            <v>56.69</v>
          </cell>
          <cell r="O628">
            <v>0</v>
          </cell>
          <cell r="Q628">
            <v>0</v>
          </cell>
          <cell r="S628">
            <v>0</v>
          </cell>
          <cell r="U628">
            <v>0</v>
          </cell>
          <cell r="Y628">
            <v>1.75</v>
          </cell>
          <cell r="AB628">
            <v>2.41</v>
          </cell>
          <cell r="AE628" t="str">
            <v>20140101KUUM_368</v>
          </cell>
        </row>
        <row r="629">
          <cell r="B629" t="str">
            <v>Aug 2015</v>
          </cell>
          <cell r="C629" t="str">
            <v>LS</v>
          </cell>
          <cell r="D629" t="str">
            <v>KUUM_370</v>
          </cell>
          <cell r="E629">
            <v>15</v>
          </cell>
          <cell r="G629">
            <v>0</v>
          </cell>
          <cell r="H629">
            <v>0</v>
          </cell>
          <cell r="N629">
            <v>1117.8</v>
          </cell>
          <cell r="O629">
            <v>0</v>
          </cell>
          <cell r="Q629">
            <v>0</v>
          </cell>
          <cell r="S629">
            <v>0</v>
          </cell>
          <cell r="U629">
            <v>0</v>
          </cell>
          <cell r="Y629">
            <v>26.25</v>
          </cell>
          <cell r="AB629">
            <v>36.150000000000006</v>
          </cell>
          <cell r="AE629" t="str">
            <v>20140101KUUM_370</v>
          </cell>
        </row>
        <row r="630">
          <cell r="B630" t="str">
            <v>Aug 2015</v>
          </cell>
          <cell r="C630" t="str">
            <v>LS</v>
          </cell>
          <cell r="D630" t="str">
            <v>KUUM_372</v>
          </cell>
          <cell r="E630">
            <v>1</v>
          </cell>
          <cell r="G630">
            <v>0</v>
          </cell>
          <cell r="H630">
            <v>0</v>
          </cell>
          <cell r="N630">
            <v>82.3</v>
          </cell>
          <cell r="O630">
            <v>0</v>
          </cell>
          <cell r="Q630">
            <v>0</v>
          </cell>
          <cell r="S630">
            <v>0</v>
          </cell>
          <cell r="U630">
            <v>0</v>
          </cell>
          <cell r="Y630">
            <v>1.75</v>
          </cell>
          <cell r="AB630">
            <v>2.41</v>
          </cell>
          <cell r="AE630" t="str">
            <v>20140101KUUM_372</v>
          </cell>
        </row>
        <row r="631">
          <cell r="B631" t="str">
            <v>Aug 2015</v>
          </cell>
          <cell r="C631" t="str">
            <v>LS</v>
          </cell>
          <cell r="D631" t="str">
            <v>KUUM_373</v>
          </cell>
          <cell r="E631">
            <v>20</v>
          </cell>
          <cell r="G631">
            <v>0</v>
          </cell>
          <cell r="H631">
            <v>0</v>
          </cell>
          <cell r="N631">
            <v>1490.4</v>
          </cell>
          <cell r="O631">
            <v>0</v>
          </cell>
          <cell r="Q631">
            <v>0</v>
          </cell>
          <cell r="S631">
            <v>0</v>
          </cell>
          <cell r="U631">
            <v>0</v>
          </cell>
          <cell r="Y631">
            <v>35</v>
          </cell>
          <cell r="AB631">
            <v>48.2</v>
          </cell>
          <cell r="AE631" t="str">
            <v>20140101KUUM_373</v>
          </cell>
        </row>
        <row r="632">
          <cell r="B632" t="str">
            <v>Aug 2015</v>
          </cell>
          <cell r="C632" t="str">
            <v>LS</v>
          </cell>
          <cell r="D632" t="str">
            <v>KUUM_374</v>
          </cell>
          <cell r="E632">
            <v>4</v>
          </cell>
          <cell r="G632">
            <v>0</v>
          </cell>
          <cell r="H632">
            <v>0</v>
          </cell>
          <cell r="N632">
            <v>303.52</v>
          </cell>
          <cell r="O632">
            <v>0</v>
          </cell>
          <cell r="Q632">
            <v>0</v>
          </cell>
          <cell r="S632">
            <v>0</v>
          </cell>
          <cell r="U632">
            <v>0</v>
          </cell>
          <cell r="Y632">
            <v>7</v>
          </cell>
          <cell r="AB632">
            <v>9.64</v>
          </cell>
          <cell r="AE632" t="str">
            <v>20140101KUUM_374</v>
          </cell>
        </row>
        <row r="633">
          <cell r="B633" t="str">
            <v>Aug 2015</v>
          </cell>
          <cell r="C633" t="str">
            <v>LS</v>
          </cell>
          <cell r="D633" t="str">
            <v>KUUM_375</v>
          </cell>
          <cell r="E633">
            <v>3</v>
          </cell>
          <cell r="G633">
            <v>0</v>
          </cell>
          <cell r="H633">
            <v>0</v>
          </cell>
          <cell r="N633">
            <v>236.91</v>
          </cell>
          <cell r="O633">
            <v>0</v>
          </cell>
          <cell r="Q633">
            <v>0</v>
          </cell>
          <cell r="S633">
            <v>0</v>
          </cell>
          <cell r="U633">
            <v>0</v>
          </cell>
          <cell r="Y633">
            <v>5.25</v>
          </cell>
          <cell r="AB633">
            <v>7.23</v>
          </cell>
          <cell r="AE633" t="str">
            <v>20140101KUUM_375</v>
          </cell>
        </row>
        <row r="634">
          <cell r="B634" t="str">
            <v>Aug 2015</v>
          </cell>
          <cell r="C634" t="str">
            <v>LS</v>
          </cell>
          <cell r="D634" t="str">
            <v>KUUM_376</v>
          </cell>
          <cell r="E634">
            <v>2</v>
          </cell>
          <cell r="G634">
            <v>0</v>
          </cell>
          <cell r="H634">
            <v>0</v>
          </cell>
          <cell r="N634">
            <v>154.52000000000001</v>
          </cell>
          <cell r="O634">
            <v>0</v>
          </cell>
          <cell r="Q634">
            <v>0</v>
          </cell>
          <cell r="S634">
            <v>0</v>
          </cell>
          <cell r="U634">
            <v>0</v>
          </cell>
          <cell r="Y634">
            <v>3.5</v>
          </cell>
          <cell r="AB634">
            <v>4.82</v>
          </cell>
          <cell r="AE634" t="str">
            <v>20140101KUUM_376</v>
          </cell>
        </row>
        <row r="635">
          <cell r="B635" t="str">
            <v>Aug 2015</v>
          </cell>
          <cell r="C635" t="str">
            <v>LS</v>
          </cell>
          <cell r="D635" t="str">
            <v>KUUM_377</v>
          </cell>
          <cell r="E635">
            <v>51</v>
          </cell>
          <cell r="G635">
            <v>0</v>
          </cell>
          <cell r="H635">
            <v>0</v>
          </cell>
          <cell r="N635">
            <v>3273.69</v>
          </cell>
          <cell r="O635">
            <v>0</v>
          </cell>
          <cell r="Q635">
            <v>0</v>
          </cell>
          <cell r="S635">
            <v>0</v>
          </cell>
          <cell r="U635">
            <v>0</v>
          </cell>
          <cell r="Y635">
            <v>89.25</v>
          </cell>
          <cell r="AB635">
            <v>122.91000000000001</v>
          </cell>
          <cell r="AE635" t="str">
            <v>20140101KUUM_377</v>
          </cell>
        </row>
        <row r="636">
          <cell r="B636" t="str">
            <v>Aug 2015</v>
          </cell>
          <cell r="C636" t="str">
            <v>LS</v>
          </cell>
          <cell r="D636" t="str">
            <v>KUUM_378</v>
          </cell>
          <cell r="E636">
            <v>2</v>
          </cell>
          <cell r="G636">
            <v>0</v>
          </cell>
          <cell r="H636">
            <v>0</v>
          </cell>
          <cell r="N636">
            <v>151.80000000000001</v>
          </cell>
          <cell r="O636">
            <v>0</v>
          </cell>
          <cell r="Q636">
            <v>0</v>
          </cell>
          <cell r="S636">
            <v>0</v>
          </cell>
          <cell r="U636">
            <v>0</v>
          </cell>
          <cell r="Y636">
            <v>3.5</v>
          </cell>
          <cell r="AB636">
            <v>4.82</v>
          </cell>
          <cell r="AE636" t="str">
            <v>20140101KUUM_378</v>
          </cell>
        </row>
        <row r="637">
          <cell r="B637" t="str">
            <v>Aug 2015</v>
          </cell>
          <cell r="C637" t="str">
            <v>LS</v>
          </cell>
          <cell r="D637" t="str">
            <v>KUUM_401</v>
          </cell>
          <cell r="E637">
            <v>52</v>
          </cell>
          <cell r="G637">
            <v>0</v>
          </cell>
          <cell r="H637">
            <v>0</v>
          </cell>
          <cell r="N637">
            <v>772.72</v>
          </cell>
          <cell r="O637">
            <v>0</v>
          </cell>
          <cell r="Q637">
            <v>0</v>
          </cell>
          <cell r="S637">
            <v>0</v>
          </cell>
          <cell r="U637">
            <v>0</v>
          </cell>
          <cell r="Y637">
            <v>41.6</v>
          </cell>
          <cell r="AB637">
            <v>22.36</v>
          </cell>
          <cell r="AE637" t="str">
            <v>20140101KUUM_401</v>
          </cell>
        </row>
        <row r="638">
          <cell r="B638" t="str">
            <v>Aug 2015</v>
          </cell>
          <cell r="C638" t="str">
            <v>RLS</v>
          </cell>
          <cell r="D638" t="str">
            <v>KUUM_404</v>
          </cell>
          <cell r="E638">
            <v>7030</v>
          </cell>
          <cell r="G638">
            <v>0</v>
          </cell>
          <cell r="H638">
            <v>0</v>
          </cell>
          <cell r="N638">
            <v>74307.100000000006</v>
          </cell>
          <cell r="O638">
            <v>0</v>
          </cell>
          <cell r="Q638">
            <v>0</v>
          </cell>
          <cell r="S638">
            <v>0</v>
          </cell>
          <cell r="U638">
            <v>0</v>
          </cell>
          <cell r="Y638">
            <v>13989.7</v>
          </cell>
          <cell r="AB638">
            <v>2741.7000000000003</v>
          </cell>
          <cell r="AE638" t="str">
            <v>20140101KUUM_404</v>
          </cell>
        </row>
        <row r="639">
          <cell r="B639" t="str">
            <v>Aug 2015</v>
          </cell>
          <cell r="C639" t="str">
            <v>RLS</v>
          </cell>
          <cell r="D639" t="str">
            <v>KUUM_405</v>
          </cell>
          <cell r="E639">
            <v>0</v>
          </cell>
          <cell r="G639">
            <v>0</v>
          </cell>
          <cell r="H639">
            <v>0</v>
          </cell>
          <cell r="N639">
            <v>0</v>
          </cell>
          <cell r="O639">
            <v>0</v>
          </cell>
          <cell r="Q639">
            <v>0</v>
          </cell>
          <cell r="S639">
            <v>0</v>
          </cell>
          <cell r="U639">
            <v>0</v>
          </cell>
          <cell r="Y639">
            <v>0</v>
          </cell>
          <cell r="AB639">
            <v>0</v>
          </cell>
          <cell r="AE639" t="str">
            <v>20140101KUUM_405</v>
          </cell>
        </row>
        <row r="640">
          <cell r="B640" t="str">
            <v>Aug 2015</v>
          </cell>
          <cell r="C640" t="str">
            <v>LS</v>
          </cell>
          <cell r="D640" t="str">
            <v>KUUM_407</v>
          </cell>
          <cell r="E640">
            <v>0</v>
          </cell>
          <cell r="G640">
            <v>0</v>
          </cell>
          <cell r="H640">
            <v>0</v>
          </cell>
          <cell r="N640">
            <v>0</v>
          </cell>
          <cell r="O640">
            <v>0</v>
          </cell>
          <cell r="Q640">
            <v>0</v>
          </cell>
          <cell r="S640">
            <v>0</v>
          </cell>
          <cell r="U640">
            <v>0</v>
          </cell>
          <cell r="Y640">
            <v>0</v>
          </cell>
          <cell r="AB640">
            <v>0</v>
          </cell>
          <cell r="AE640" t="str">
            <v>20140101KUUM_407</v>
          </cell>
        </row>
        <row r="641">
          <cell r="B641" t="str">
            <v>Aug 2015</v>
          </cell>
          <cell r="C641" t="str">
            <v>RLS</v>
          </cell>
          <cell r="D641" t="str">
            <v>KUUM_409</v>
          </cell>
          <cell r="E641">
            <v>136</v>
          </cell>
          <cell r="G641">
            <v>0</v>
          </cell>
          <cell r="H641">
            <v>0</v>
          </cell>
          <cell r="N641">
            <v>1592.56</v>
          </cell>
          <cell r="O641">
            <v>0</v>
          </cell>
          <cell r="Q641">
            <v>0</v>
          </cell>
          <cell r="S641">
            <v>0</v>
          </cell>
          <cell r="U641">
            <v>0</v>
          </cell>
          <cell r="Y641">
            <v>616.08000000000004</v>
          </cell>
          <cell r="AB641">
            <v>107.44</v>
          </cell>
          <cell r="AE641" t="str">
            <v>20140101KUUM_409</v>
          </cell>
        </row>
        <row r="642">
          <cell r="B642" t="str">
            <v>Aug 2015</v>
          </cell>
          <cell r="C642" t="str">
            <v>RLS</v>
          </cell>
          <cell r="D642" t="str">
            <v>KUUM_410</v>
          </cell>
          <cell r="E642">
            <v>238</v>
          </cell>
          <cell r="G642">
            <v>0</v>
          </cell>
          <cell r="H642">
            <v>0</v>
          </cell>
          <cell r="N642">
            <v>4821.88</v>
          </cell>
          <cell r="O642">
            <v>0</v>
          </cell>
          <cell r="Q642">
            <v>0</v>
          </cell>
          <cell r="S642">
            <v>0</v>
          </cell>
          <cell r="U642">
            <v>0</v>
          </cell>
          <cell r="Y642">
            <v>135.66</v>
          </cell>
          <cell r="AB642">
            <v>78.540000000000006</v>
          </cell>
          <cell r="AE642" t="str">
            <v>20140101KUUM_410</v>
          </cell>
        </row>
        <row r="643">
          <cell r="B643" t="str">
            <v>Aug 2015</v>
          </cell>
          <cell r="C643" t="str">
            <v>LS</v>
          </cell>
          <cell r="D643" t="str">
            <v>KUUM_411</v>
          </cell>
          <cell r="E643">
            <v>149</v>
          </cell>
          <cell r="G643">
            <v>0</v>
          </cell>
          <cell r="H643">
            <v>0</v>
          </cell>
          <cell r="N643">
            <v>3185.62</v>
          </cell>
          <cell r="O643">
            <v>0</v>
          </cell>
          <cell r="Q643">
            <v>0</v>
          </cell>
          <cell r="S643">
            <v>0</v>
          </cell>
          <cell r="U643">
            <v>0</v>
          </cell>
          <cell r="Y643">
            <v>119.2</v>
          </cell>
          <cell r="AB643">
            <v>64.069999999999993</v>
          </cell>
          <cell r="AE643" t="str">
            <v>20140101KUUM_411</v>
          </cell>
        </row>
        <row r="644">
          <cell r="B644" t="str">
            <v>Aug 2015</v>
          </cell>
          <cell r="C644" t="str">
            <v>RLS</v>
          </cell>
          <cell r="D644" t="str">
            <v>KUUM_412</v>
          </cell>
          <cell r="E644">
            <v>28</v>
          </cell>
          <cell r="G644">
            <v>0</v>
          </cell>
          <cell r="H644">
            <v>0</v>
          </cell>
          <cell r="N644">
            <v>863.52</v>
          </cell>
          <cell r="O644">
            <v>0</v>
          </cell>
          <cell r="Q644">
            <v>0</v>
          </cell>
          <cell r="S644">
            <v>0</v>
          </cell>
          <cell r="U644">
            <v>0</v>
          </cell>
          <cell r="Y644">
            <v>22.4</v>
          </cell>
          <cell r="AB644">
            <v>12.04</v>
          </cell>
          <cell r="AE644" t="str">
            <v>20140101KUUM_412</v>
          </cell>
        </row>
        <row r="645">
          <cell r="B645" t="str">
            <v>Aug 2015</v>
          </cell>
          <cell r="C645" t="str">
            <v>RLS</v>
          </cell>
          <cell r="D645" t="str">
            <v>KUUM_413</v>
          </cell>
          <cell r="E645">
            <v>95</v>
          </cell>
          <cell r="G645">
            <v>0</v>
          </cell>
          <cell r="H645">
            <v>0</v>
          </cell>
          <cell r="N645">
            <v>2965.9</v>
          </cell>
          <cell r="O645">
            <v>0</v>
          </cell>
          <cell r="Q645">
            <v>0</v>
          </cell>
          <cell r="S645">
            <v>0</v>
          </cell>
          <cell r="U645">
            <v>0</v>
          </cell>
          <cell r="Y645">
            <v>107.35</v>
          </cell>
          <cell r="AB645">
            <v>32.300000000000004</v>
          </cell>
          <cell r="AE645" t="str">
            <v>20140101KUUM_413</v>
          </cell>
        </row>
        <row r="646">
          <cell r="B646" t="str">
            <v>Aug 2015</v>
          </cell>
          <cell r="C646" t="str">
            <v>LS</v>
          </cell>
          <cell r="D646" t="str">
            <v>KUUM_414</v>
          </cell>
          <cell r="E646">
            <v>21</v>
          </cell>
          <cell r="G646">
            <v>0</v>
          </cell>
          <cell r="H646">
            <v>0</v>
          </cell>
          <cell r="N646">
            <v>647.64</v>
          </cell>
          <cell r="O646">
            <v>0</v>
          </cell>
          <cell r="Q646">
            <v>0</v>
          </cell>
          <cell r="S646">
            <v>0</v>
          </cell>
          <cell r="U646">
            <v>0</v>
          </cell>
          <cell r="Y646">
            <v>16.8</v>
          </cell>
          <cell r="AB646">
            <v>9.0299999999999994</v>
          </cell>
          <cell r="AE646" t="str">
            <v>20140101KUUM_414</v>
          </cell>
        </row>
        <row r="647">
          <cell r="B647" t="str">
            <v>Aug 2015</v>
          </cell>
          <cell r="C647" t="str">
            <v>LS</v>
          </cell>
          <cell r="D647" t="str">
            <v>KUUM_415</v>
          </cell>
          <cell r="E647">
            <v>10</v>
          </cell>
          <cell r="G647">
            <v>0</v>
          </cell>
          <cell r="H647">
            <v>2493</v>
          </cell>
          <cell r="N647">
            <v>312.2</v>
          </cell>
          <cell r="O647">
            <v>0</v>
          </cell>
          <cell r="Q647">
            <v>0</v>
          </cell>
          <cell r="S647">
            <v>0</v>
          </cell>
          <cell r="U647">
            <v>0</v>
          </cell>
          <cell r="Y647">
            <v>11.3</v>
          </cell>
          <cell r="AB647">
            <v>3.4000000000000004</v>
          </cell>
          <cell r="AE647" t="str">
            <v>20140101KUUM_415</v>
          </cell>
        </row>
        <row r="648">
          <cell r="B648" t="str">
            <v>Aug 2015</v>
          </cell>
          <cell r="C648" t="str">
            <v>LS</v>
          </cell>
          <cell r="D648" t="str">
            <v>KUUM_420</v>
          </cell>
          <cell r="E648">
            <v>473</v>
          </cell>
          <cell r="G648">
            <v>0</v>
          </cell>
          <cell r="H648">
            <v>0</v>
          </cell>
          <cell r="N648">
            <v>7265.28</v>
          </cell>
          <cell r="O648">
            <v>0</v>
          </cell>
          <cell r="Q648">
            <v>0</v>
          </cell>
          <cell r="S648">
            <v>0</v>
          </cell>
          <cell r="U648">
            <v>0</v>
          </cell>
          <cell r="Y648">
            <v>534.49</v>
          </cell>
          <cell r="AB648">
            <v>160.82000000000002</v>
          </cell>
          <cell r="AE648" t="str">
            <v>20140101KUUM_420</v>
          </cell>
        </row>
        <row r="649">
          <cell r="B649" t="str">
            <v>Aug 2015</v>
          </cell>
          <cell r="C649" t="str">
            <v>RLS</v>
          </cell>
          <cell r="D649" t="str">
            <v>KUUM_421</v>
          </cell>
          <cell r="E649">
            <v>5</v>
          </cell>
          <cell r="G649">
            <v>0</v>
          </cell>
          <cell r="H649">
            <v>0</v>
          </cell>
          <cell r="N649">
            <v>16.95</v>
          </cell>
          <cell r="O649">
            <v>0</v>
          </cell>
          <cell r="Q649">
            <v>0</v>
          </cell>
          <cell r="S649">
            <v>0</v>
          </cell>
          <cell r="U649">
            <v>0</v>
          </cell>
          <cell r="Y649">
            <v>4.95</v>
          </cell>
          <cell r="AB649">
            <v>0.6</v>
          </cell>
          <cell r="AE649" t="str">
            <v>20140101KUUM_421</v>
          </cell>
        </row>
        <row r="650">
          <cell r="B650" t="str">
            <v>Aug 2015</v>
          </cell>
          <cell r="C650" t="str">
            <v>RLS</v>
          </cell>
          <cell r="D650" t="str">
            <v>KUUM_422</v>
          </cell>
          <cell r="E650">
            <v>662</v>
          </cell>
          <cell r="G650">
            <v>0</v>
          </cell>
          <cell r="H650">
            <v>0</v>
          </cell>
          <cell r="N650">
            <v>3005.48</v>
          </cell>
          <cell r="O650">
            <v>0</v>
          </cell>
          <cell r="Q650">
            <v>0</v>
          </cell>
          <cell r="S650">
            <v>0</v>
          </cell>
          <cell r="U650">
            <v>0</v>
          </cell>
          <cell r="Y650">
            <v>1284.28</v>
          </cell>
          <cell r="AB650">
            <v>105.92</v>
          </cell>
          <cell r="AE650" t="str">
            <v>20140101KUUM_422</v>
          </cell>
        </row>
        <row r="651">
          <cell r="B651" t="str">
            <v>Aug 2015</v>
          </cell>
          <cell r="C651" t="str">
            <v>RLS</v>
          </cell>
          <cell r="D651" t="str">
            <v>KUUM_424</v>
          </cell>
          <cell r="E651">
            <v>49</v>
          </cell>
          <cell r="G651">
            <v>0</v>
          </cell>
          <cell r="H651">
            <v>0</v>
          </cell>
          <cell r="N651">
            <v>332.22</v>
          </cell>
          <cell r="O651">
            <v>0</v>
          </cell>
          <cell r="Q651">
            <v>0</v>
          </cell>
          <cell r="S651">
            <v>0</v>
          </cell>
          <cell r="U651">
            <v>0</v>
          </cell>
          <cell r="Y651">
            <v>34.299999999999997</v>
          </cell>
          <cell r="AB651">
            <v>11.76</v>
          </cell>
          <cell r="AE651" t="str">
            <v>20140101KUUM_424</v>
          </cell>
        </row>
        <row r="652">
          <cell r="B652" t="str">
            <v>Aug 2015</v>
          </cell>
          <cell r="C652" t="str">
            <v>RLS</v>
          </cell>
          <cell r="D652" t="str">
            <v>KUUM_425</v>
          </cell>
          <cell r="E652">
            <v>2</v>
          </cell>
          <cell r="G652">
            <v>0</v>
          </cell>
          <cell r="H652">
            <v>0</v>
          </cell>
          <cell r="N652">
            <v>18.12</v>
          </cell>
          <cell r="O652">
            <v>0</v>
          </cell>
          <cell r="Q652">
            <v>0</v>
          </cell>
          <cell r="S652">
            <v>0</v>
          </cell>
          <cell r="U652">
            <v>0</v>
          </cell>
          <cell r="Y652">
            <v>8.6</v>
          </cell>
          <cell r="AB652">
            <v>0.66</v>
          </cell>
          <cell r="AE652" t="str">
            <v>20140101KUUM_425</v>
          </cell>
        </row>
        <row r="653">
          <cell r="B653" t="str">
            <v>Aug 2015</v>
          </cell>
          <cell r="C653" t="str">
            <v>RLS</v>
          </cell>
          <cell r="D653" t="str">
            <v>KUUM_426</v>
          </cell>
          <cell r="E653">
            <v>175</v>
          </cell>
          <cell r="G653">
            <v>0</v>
          </cell>
          <cell r="H653">
            <v>0</v>
          </cell>
          <cell r="N653">
            <v>1302</v>
          </cell>
          <cell r="O653">
            <v>0</v>
          </cell>
          <cell r="Q653">
            <v>0</v>
          </cell>
          <cell r="S653">
            <v>0</v>
          </cell>
          <cell r="U653">
            <v>0</v>
          </cell>
          <cell r="Y653">
            <v>140</v>
          </cell>
          <cell r="AB653">
            <v>75.25</v>
          </cell>
          <cell r="AE653" t="str">
            <v>20140101KUUM_426</v>
          </cell>
        </row>
        <row r="654">
          <cell r="B654" t="str">
            <v>Aug 2015</v>
          </cell>
          <cell r="C654" t="str">
            <v>LS</v>
          </cell>
          <cell r="D654" t="str">
            <v>KUUM_428</v>
          </cell>
          <cell r="E654">
            <v>36380</v>
          </cell>
          <cell r="G654">
            <v>0</v>
          </cell>
          <cell r="H654">
            <v>0</v>
          </cell>
          <cell r="N654">
            <v>285219.20000000001</v>
          </cell>
          <cell r="O654">
            <v>0</v>
          </cell>
          <cell r="Q654">
            <v>0</v>
          </cell>
          <cell r="S654">
            <v>0</v>
          </cell>
          <cell r="U654">
            <v>0</v>
          </cell>
          <cell r="Y654">
            <v>41109.4</v>
          </cell>
          <cell r="AB654">
            <v>12369.2</v>
          </cell>
          <cell r="AE654" t="str">
            <v>20140101KUUM_428</v>
          </cell>
        </row>
        <row r="655">
          <cell r="B655" t="str">
            <v>Aug 2015</v>
          </cell>
          <cell r="C655" t="str">
            <v>LS</v>
          </cell>
          <cell r="D655" t="str">
            <v>KUUM_429</v>
          </cell>
          <cell r="E655">
            <v>0</v>
          </cell>
          <cell r="G655">
            <v>0</v>
          </cell>
          <cell r="H655">
            <v>0</v>
          </cell>
          <cell r="N655">
            <v>0</v>
          </cell>
          <cell r="O655">
            <v>0</v>
          </cell>
          <cell r="Q655">
            <v>0</v>
          </cell>
          <cell r="S655">
            <v>0</v>
          </cell>
          <cell r="U655">
            <v>0</v>
          </cell>
          <cell r="Y655">
            <v>0</v>
          </cell>
          <cell r="AB655">
            <v>0</v>
          </cell>
          <cell r="AE655" t="str">
            <v>20140101KUUM_429</v>
          </cell>
        </row>
        <row r="656">
          <cell r="B656" t="str">
            <v>Aug 2015</v>
          </cell>
          <cell r="C656" t="str">
            <v>LS</v>
          </cell>
          <cell r="D656" t="str">
            <v>KUUM_430</v>
          </cell>
          <cell r="E656">
            <v>1171</v>
          </cell>
          <cell r="G656">
            <v>0</v>
          </cell>
          <cell r="H656">
            <v>0</v>
          </cell>
          <cell r="N656">
            <v>25762</v>
          </cell>
          <cell r="O656">
            <v>0</v>
          </cell>
          <cell r="Q656">
            <v>0</v>
          </cell>
          <cell r="S656">
            <v>0</v>
          </cell>
          <cell r="U656">
            <v>0</v>
          </cell>
          <cell r="Y656">
            <v>1323.23</v>
          </cell>
          <cell r="AB656">
            <v>398.14000000000004</v>
          </cell>
          <cell r="AE656" t="str">
            <v>20140101KUUM_430</v>
          </cell>
        </row>
        <row r="657">
          <cell r="B657" t="str">
            <v>Aug 2015</v>
          </cell>
          <cell r="C657" t="str">
            <v>RLS</v>
          </cell>
          <cell r="D657" t="str">
            <v>KUUM_434</v>
          </cell>
          <cell r="E657">
            <v>0</v>
          </cell>
          <cell r="G657">
            <v>0</v>
          </cell>
          <cell r="H657">
            <v>0</v>
          </cell>
          <cell r="N657">
            <v>0</v>
          </cell>
          <cell r="O657">
            <v>0</v>
          </cell>
          <cell r="Q657">
            <v>0</v>
          </cell>
          <cell r="S657">
            <v>0</v>
          </cell>
          <cell r="U657">
            <v>0</v>
          </cell>
          <cell r="Y657">
            <v>0</v>
          </cell>
          <cell r="AB657">
            <v>0</v>
          </cell>
          <cell r="AE657" t="str">
            <v>20140101KUUM_434</v>
          </cell>
        </row>
        <row r="658">
          <cell r="B658" t="str">
            <v>Aug 2015</v>
          </cell>
          <cell r="C658" t="str">
            <v>RLS</v>
          </cell>
          <cell r="D658" t="str">
            <v>KUUM_440</v>
          </cell>
          <cell r="E658">
            <v>2</v>
          </cell>
          <cell r="G658">
            <v>0</v>
          </cell>
          <cell r="H658">
            <v>0</v>
          </cell>
          <cell r="N658">
            <v>27.22</v>
          </cell>
          <cell r="O658">
            <v>0</v>
          </cell>
          <cell r="Q658">
            <v>0</v>
          </cell>
          <cell r="S658">
            <v>0</v>
          </cell>
          <cell r="U658">
            <v>0</v>
          </cell>
          <cell r="Y658">
            <v>1.1399999999999999</v>
          </cell>
          <cell r="AB658">
            <v>0.66</v>
          </cell>
          <cell r="AE658" t="str">
            <v>20140101KUUM_440</v>
          </cell>
        </row>
        <row r="659">
          <cell r="B659" t="str">
            <v>Aug 2015</v>
          </cell>
          <cell r="C659" t="str">
            <v>RLS</v>
          </cell>
          <cell r="D659" t="str">
            <v>KUUM_446</v>
          </cell>
          <cell r="E659">
            <v>1068</v>
          </cell>
          <cell r="G659">
            <v>0</v>
          </cell>
          <cell r="H659">
            <v>0</v>
          </cell>
          <cell r="N659">
            <v>10210.08</v>
          </cell>
          <cell r="O659">
            <v>0</v>
          </cell>
          <cell r="Q659">
            <v>0</v>
          </cell>
          <cell r="S659">
            <v>0</v>
          </cell>
          <cell r="U659">
            <v>0</v>
          </cell>
          <cell r="Y659">
            <v>2125.3200000000002</v>
          </cell>
          <cell r="AB659">
            <v>416.52000000000004</v>
          </cell>
          <cell r="AE659" t="str">
            <v>20140101KUUM_446</v>
          </cell>
        </row>
        <row r="660">
          <cell r="B660" t="str">
            <v>Aug 2015</v>
          </cell>
          <cell r="C660" t="str">
            <v>RLS</v>
          </cell>
          <cell r="D660" t="str">
            <v>KUUM_447</v>
          </cell>
          <cell r="E660">
            <v>705</v>
          </cell>
          <cell r="G660">
            <v>0</v>
          </cell>
          <cell r="H660">
            <v>0</v>
          </cell>
          <cell r="N660">
            <v>7980.6</v>
          </cell>
          <cell r="O660">
            <v>0</v>
          </cell>
          <cell r="Q660">
            <v>0</v>
          </cell>
          <cell r="S660">
            <v>0</v>
          </cell>
          <cell r="U660">
            <v>0</v>
          </cell>
          <cell r="Y660">
            <v>2002.2</v>
          </cell>
          <cell r="AB660">
            <v>310.2</v>
          </cell>
          <cell r="AE660" t="str">
            <v>20140101KUUM_447</v>
          </cell>
        </row>
        <row r="661">
          <cell r="B661" t="str">
            <v>Aug 2015</v>
          </cell>
          <cell r="C661" t="str">
            <v>RLS</v>
          </cell>
          <cell r="D661" t="str">
            <v>KUUM_448</v>
          </cell>
          <cell r="E661">
            <v>1473</v>
          </cell>
          <cell r="G661">
            <v>0</v>
          </cell>
          <cell r="H661">
            <v>0</v>
          </cell>
          <cell r="N661">
            <v>18869.13</v>
          </cell>
          <cell r="O661">
            <v>0</v>
          </cell>
          <cell r="Q661">
            <v>0</v>
          </cell>
          <cell r="S661">
            <v>0</v>
          </cell>
          <cell r="U661">
            <v>0</v>
          </cell>
          <cell r="Y661">
            <v>6437.01</v>
          </cell>
          <cell r="AB661">
            <v>751.23</v>
          </cell>
          <cell r="AE661" t="str">
            <v>20140101KUUM_448</v>
          </cell>
        </row>
        <row r="662">
          <cell r="B662" t="str">
            <v>Aug 2015</v>
          </cell>
          <cell r="C662" t="str">
            <v>LS</v>
          </cell>
          <cell r="D662" t="str">
            <v>KUUM_450</v>
          </cell>
          <cell r="E662">
            <v>668</v>
          </cell>
          <cell r="G662">
            <v>0</v>
          </cell>
          <cell r="H662">
            <v>0</v>
          </cell>
          <cell r="N662">
            <v>9519</v>
          </cell>
          <cell r="O662">
            <v>0</v>
          </cell>
          <cell r="Q662">
            <v>0</v>
          </cell>
          <cell r="S662">
            <v>0</v>
          </cell>
          <cell r="U662">
            <v>0</v>
          </cell>
          <cell r="Y662">
            <v>1315.96</v>
          </cell>
          <cell r="AB662">
            <v>440.88</v>
          </cell>
          <cell r="AE662" t="str">
            <v>20140101KUUM_450</v>
          </cell>
        </row>
        <row r="663">
          <cell r="B663" t="str">
            <v>Aug 2015</v>
          </cell>
          <cell r="C663" t="str">
            <v>LS</v>
          </cell>
          <cell r="D663" t="str">
            <v>KUUM_451</v>
          </cell>
          <cell r="E663">
            <v>5215</v>
          </cell>
          <cell r="G663">
            <v>0</v>
          </cell>
          <cell r="H663">
            <v>0</v>
          </cell>
          <cell r="N663">
            <v>105343</v>
          </cell>
          <cell r="O663">
            <v>0</v>
          </cell>
          <cell r="Q663">
            <v>0</v>
          </cell>
          <cell r="S663">
            <v>0</v>
          </cell>
          <cell r="U663">
            <v>0</v>
          </cell>
          <cell r="Y663">
            <v>22372.35</v>
          </cell>
          <cell r="AB663">
            <v>4380.5999999999995</v>
          </cell>
          <cell r="AE663" t="str">
            <v>20140101KUUM_451</v>
          </cell>
        </row>
        <row r="664">
          <cell r="B664" t="str">
            <v>Aug 2015</v>
          </cell>
          <cell r="C664" t="str">
            <v>LS</v>
          </cell>
          <cell r="D664" t="str">
            <v>KUUM_452</v>
          </cell>
          <cell r="E664">
            <v>1041</v>
          </cell>
          <cell r="G664">
            <v>0</v>
          </cell>
          <cell r="H664">
            <v>0</v>
          </cell>
          <cell r="N664">
            <v>44086.35</v>
          </cell>
          <cell r="O664">
            <v>0</v>
          </cell>
          <cell r="Q664">
            <v>0</v>
          </cell>
          <cell r="S664">
            <v>0</v>
          </cell>
          <cell r="U664">
            <v>0</v>
          </cell>
          <cell r="Y664">
            <v>10836.81</v>
          </cell>
          <cell r="AB664">
            <v>1769.7</v>
          </cell>
          <cell r="AE664" t="str">
            <v>20140101KUUM_452</v>
          </cell>
        </row>
        <row r="665">
          <cell r="B665" t="str">
            <v>Aug 2015</v>
          </cell>
          <cell r="C665" t="str">
            <v>RLS</v>
          </cell>
          <cell r="D665" t="str">
            <v>KUUM_454</v>
          </cell>
          <cell r="E665">
            <v>151</v>
          </cell>
          <cell r="G665">
            <v>0</v>
          </cell>
          <cell r="H665">
            <v>0</v>
          </cell>
          <cell r="N665">
            <v>2816.15</v>
          </cell>
          <cell r="O665">
            <v>0</v>
          </cell>
          <cell r="Q665">
            <v>0</v>
          </cell>
          <cell r="S665">
            <v>0</v>
          </cell>
          <cell r="U665">
            <v>0</v>
          </cell>
          <cell r="Y665">
            <v>297.47000000000003</v>
          </cell>
          <cell r="AB665">
            <v>99.660000000000011</v>
          </cell>
          <cell r="AE665" t="str">
            <v>20140101KUUM_454</v>
          </cell>
        </row>
        <row r="666">
          <cell r="B666" t="str">
            <v>Aug 2015</v>
          </cell>
          <cell r="C666" t="str">
            <v>RLS</v>
          </cell>
          <cell r="D666" t="str">
            <v>KUUM_455</v>
          </cell>
          <cell r="E666">
            <v>1024</v>
          </cell>
          <cell r="G666">
            <v>0</v>
          </cell>
          <cell r="H666">
            <v>0</v>
          </cell>
          <cell r="N666">
            <v>25180.16</v>
          </cell>
          <cell r="O666">
            <v>0</v>
          </cell>
          <cell r="Q666">
            <v>0</v>
          </cell>
          <cell r="S666">
            <v>0</v>
          </cell>
          <cell r="U666">
            <v>0</v>
          </cell>
          <cell r="Y666">
            <v>4392.96</v>
          </cell>
          <cell r="AB666">
            <v>860.16</v>
          </cell>
          <cell r="AE666" t="str">
            <v>20140101KUUM_455</v>
          </cell>
        </row>
        <row r="667">
          <cell r="B667" t="str">
            <v>Aug 2015</v>
          </cell>
          <cell r="C667" t="str">
            <v>RLS</v>
          </cell>
          <cell r="D667" t="str">
            <v>KUUM_456</v>
          </cell>
          <cell r="E667">
            <v>140</v>
          </cell>
          <cell r="G667">
            <v>0</v>
          </cell>
          <cell r="H667">
            <v>0</v>
          </cell>
          <cell r="N667">
            <v>1661.8</v>
          </cell>
          <cell r="O667">
            <v>0</v>
          </cell>
          <cell r="Q667">
            <v>0</v>
          </cell>
          <cell r="S667">
            <v>0</v>
          </cell>
          <cell r="U667">
            <v>0</v>
          </cell>
          <cell r="Y667">
            <v>278.60000000000002</v>
          </cell>
          <cell r="AB667">
            <v>54.6</v>
          </cell>
          <cell r="AE667" t="str">
            <v>20140101KUUM_456</v>
          </cell>
        </row>
        <row r="668">
          <cell r="B668" t="str">
            <v>Aug 2015</v>
          </cell>
          <cell r="C668" t="str">
            <v>RLS</v>
          </cell>
          <cell r="D668" t="str">
            <v>KUUM_457</v>
          </cell>
          <cell r="E668">
            <v>449</v>
          </cell>
          <cell r="G668">
            <v>0</v>
          </cell>
          <cell r="H668">
            <v>70</v>
          </cell>
          <cell r="N668">
            <v>5998.64</v>
          </cell>
          <cell r="O668">
            <v>0</v>
          </cell>
          <cell r="Q668">
            <v>0</v>
          </cell>
          <cell r="S668">
            <v>0</v>
          </cell>
          <cell r="U668">
            <v>0</v>
          </cell>
          <cell r="Y668">
            <v>1275.1600000000001</v>
          </cell>
          <cell r="AB668">
            <v>197.56</v>
          </cell>
          <cell r="AE668" t="str">
            <v>20140101KUUM_457</v>
          </cell>
        </row>
        <row r="669">
          <cell r="B669" t="str">
            <v>Aug 2015</v>
          </cell>
          <cell r="C669" t="str">
            <v>RLS</v>
          </cell>
          <cell r="D669" t="str">
            <v>KUUM_458</v>
          </cell>
          <cell r="E669">
            <v>1449</v>
          </cell>
          <cell r="G669">
            <v>0</v>
          </cell>
          <cell r="H669">
            <v>0</v>
          </cell>
          <cell r="N669">
            <v>21850.92</v>
          </cell>
          <cell r="O669">
            <v>0</v>
          </cell>
          <cell r="Q669">
            <v>0</v>
          </cell>
          <cell r="S669">
            <v>0</v>
          </cell>
          <cell r="U669">
            <v>0</v>
          </cell>
          <cell r="Y669">
            <v>6332.13</v>
          </cell>
          <cell r="AB669">
            <v>738.99</v>
          </cell>
          <cell r="AE669" t="str">
            <v>20140101KUUM_458</v>
          </cell>
        </row>
        <row r="670">
          <cell r="B670" t="str">
            <v>Aug 2015</v>
          </cell>
          <cell r="C670" t="str">
            <v>RLS</v>
          </cell>
          <cell r="D670" t="str">
            <v>KUUM_459</v>
          </cell>
          <cell r="E670">
            <v>221</v>
          </cell>
          <cell r="G670">
            <v>0</v>
          </cell>
          <cell r="H670">
            <v>0</v>
          </cell>
          <cell r="N670">
            <v>10329.540000000001</v>
          </cell>
          <cell r="O670">
            <v>0</v>
          </cell>
          <cell r="Q670">
            <v>0</v>
          </cell>
          <cell r="S670">
            <v>0</v>
          </cell>
          <cell r="U670">
            <v>0</v>
          </cell>
          <cell r="Y670">
            <v>2300.61</v>
          </cell>
          <cell r="AB670">
            <v>375.7</v>
          </cell>
          <cell r="AE670" t="str">
            <v>20140101KUUM_459</v>
          </cell>
        </row>
        <row r="671">
          <cell r="B671" t="str">
            <v>Aug 2015</v>
          </cell>
          <cell r="C671" t="str">
            <v>RLS</v>
          </cell>
          <cell r="D671" t="str">
            <v>KUUM_460</v>
          </cell>
          <cell r="E671">
            <v>26</v>
          </cell>
          <cell r="G671">
            <v>0</v>
          </cell>
          <cell r="H671">
            <v>0</v>
          </cell>
          <cell r="N671">
            <v>705.9</v>
          </cell>
          <cell r="O671">
            <v>0</v>
          </cell>
          <cell r="Q671">
            <v>0</v>
          </cell>
          <cell r="S671">
            <v>0</v>
          </cell>
          <cell r="U671">
            <v>0</v>
          </cell>
          <cell r="Y671">
            <v>51.22</v>
          </cell>
          <cell r="AB671">
            <v>17.16</v>
          </cell>
          <cell r="AE671" t="str">
            <v>20140101KUUM_460</v>
          </cell>
        </row>
        <row r="672">
          <cell r="B672" t="str">
            <v>Aug 2015</v>
          </cell>
          <cell r="C672" t="str">
            <v>RLS</v>
          </cell>
          <cell r="D672" t="str">
            <v>KUUM_461</v>
          </cell>
          <cell r="E672">
            <v>6941</v>
          </cell>
          <cell r="G672">
            <v>0</v>
          </cell>
          <cell r="H672">
            <v>0</v>
          </cell>
          <cell r="N672">
            <v>52335.14</v>
          </cell>
          <cell r="O672">
            <v>0</v>
          </cell>
          <cell r="Q672">
            <v>0</v>
          </cell>
          <cell r="S672">
            <v>0</v>
          </cell>
          <cell r="U672">
            <v>0</v>
          </cell>
          <cell r="Y672">
            <v>3956.37</v>
          </cell>
          <cell r="AB672">
            <v>2290.5300000000002</v>
          </cell>
          <cell r="AE672" t="str">
            <v>20140101KUUM_461</v>
          </cell>
        </row>
        <row r="673">
          <cell r="B673" t="str">
            <v>Aug 2015</v>
          </cell>
          <cell r="C673" t="str">
            <v>LS</v>
          </cell>
          <cell r="D673" t="str">
            <v>KUUM_462</v>
          </cell>
          <cell r="E673">
            <v>8897</v>
          </cell>
          <cell r="G673">
            <v>0</v>
          </cell>
          <cell r="H673">
            <v>0</v>
          </cell>
          <cell r="N673">
            <v>77048.02</v>
          </cell>
          <cell r="O673">
            <v>0</v>
          </cell>
          <cell r="Q673">
            <v>0</v>
          </cell>
          <cell r="S673">
            <v>0</v>
          </cell>
          <cell r="U673">
            <v>0</v>
          </cell>
          <cell r="Y673">
            <v>7117.6</v>
          </cell>
          <cell r="AB673">
            <v>3825.71</v>
          </cell>
          <cell r="AE673" t="str">
            <v>20140101KUUM_462</v>
          </cell>
        </row>
        <row r="674">
          <cell r="B674" t="str">
            <v>Aug 2015</v>
          </cell>
          <cell r="C674" t="str">
            <v>LS</v>
          </cell>
          <cell r="D674" t="str">
            <v>KUUM_463</v>
          </cell>
          <cell r="E674">
            <v>20867</v>
          </cell>
          <cell r="G674">
            <v>0</v>
          </cell>
          <cell r="H674">
            <v>0</v>
          </cell>
          <cell r="N674">
            <v>190724.38</v>
          </cell>
          <cell r="O674">
            <v>0</v>
          </cell>
          <cell r="Q674">
            <v>0</v>
          </cell>
          <cell r="S674">
            <v>0</v>
          </cell>
          <cell r="U674">
            <v>0</v>
          </cell>
          <cell r="Y674">
            <v>23579.71</v>
          </cell>
          <cell r="AB674">
            <v>7094.7800000000007</v>
          </cell>
          <cell r="AE674" t="str">
            <v>20140101KUUM_463</v>
          </cell>
        </row>
        <row r="675">
          <cell r="B675" t="str">
            <v>Aug 2015</v>
          </cell>
          <cell r="C675" t="str">
            <v>LS</v>
          </cell>
          <cell r="D675" t="str">
            <v>KUUM_464</v>
          </cell>
          <cell r="E675">
            <v>7704</v>
          </cell>
          <cell r="G675">
            <v>0</v>
          </cell>
          <cell r="H675">
            <v>0</v>
          </cell>
          <cell r="N675">
            <v>109782</v>
          </cell>
          <cell r="O675">
            <v>0</v>
          </cell>
          <cell r="Q675">
            <v>0</v>
          </cell>
          <cell r="S675">
            <v>0</v>
          </cell>
          <cell r="U675">
            <v>0</v>
          </cell>
          <cell r="Y675">
            <v>17950.32</v>
          </cell>
          <cell r="AB675">
            <v>4468.32</v>
          </cell>
          <cell r="AE675" t="str">
            <v>20140101KUUM_464</v>
          </cell>
        </row>
        <row r="676">
          <cell r="B676" t="str">
            <v>Aug 2015</v>
          </cell>
          <cell r="C676" t="str">
            <v>LS</v>
          </cell>
          <cell r="D676" t="str">
            <v>KUUM_465</v>
          </cell>
          <cell r="E676">
            <v>2778</v>
          </cell>
          <cell r="G676">
            <v>0</v>
          </cell>
          <cell r="H676">
            <v>0</v>
          </cell>
          <cell r="N676">
            <v>63449.52</v>
          </cell>
          <cell r="O676">
            <v>0</v>
          </cell>
          <cell r="Q676">
            <v>0</v>
          </cell>
          <cell r="S676">
            <v>0</v>
          </cell>
          <cell r="U676">
            <v>0</v>
          </cell>
          <cell r="Y676">
            <v>12584.34</v>
          </cell>
          <cell r="AB676">
            <v>2194.62</v>
          </cell>
          <cell r="AE676" t="str">
            <v>20140101KUUM_465</v>
          </cell>
        </row>
        <row r="677">
          <cell r="B677" t="str">
            <v>Aug 2015</v>
          </cell>
          <cell r="C677" t="str">
            <v>RLS</v>
          </cell>
          <cell r="D677" t="str">
            <v>KUUM_466</v>
          </cell>
          <cell r="E677">
            <v>989</v>
          </cell>
          <cell r="G677">
            <v>0</v>
          </cell>
          <cell r="H677">
            <v>0</v>
          </cell>
          <cell r="N677">
            <v>9514.18</v>
          </cell>
          <cell r="O677">
            <v>0</v>
          </cell>
          <cell r="Q677">
            <v>0</v>
          </cell>
          <cell r="S677">
            <v>0</v>
          </cell>
          <cell r="U677">
            <v>0</v>
          </cell>
          <cell r="Y677">
            <v>563.73</v>
          </cell>
          <cell r="AB677">
            <v>326.37</v>
          </cell>
          <cell r="AE677" t="str">
            <v>20140101KUUM_466</v>
          </cell>
        </row>
        <row r="678">
          <cell r="B678" t="str">
            <v>Aug 2015</v>
          </cell>
          <cell r="C678" t="str">
            <v>LS</v>
          </cell>
          <cell r="D678" t="str">
            <v>KUUM_467</v>
          </cell>
          <cell r="E678">
            <v>1467</v>
          </cell>
          <cell r="G678">
            <v>0</v>
          </cell>
          <cell r="H678">
            <v>0</v>
          </cell>
          <cell r="N678">
            <v>15799.59</v>
          </cell>
          <cell r="O678">
            <v>0</v>
          </cell>
          <cell r="Q678">
            <v>0</v>
          </cell>
          <cell r="S678">
            <v>0</v>
          </cell>
          <cell r="U678">
            <v>0</v>
          </cell>
          <cell r="Y678">
            <v>1173.5999999999999</v>
          </cell>
          <cell r="AB678">
            <v>630.80999999999995</v>
          </cell>
          <cell r="AE678" t="str">
            <v>20140101KUUM_467</v>
          </cell>
        </row>
        <row r="679">
          <cell r="B679" t="str">
            <v>Aug 2015</v>
          </cell>
          <cell r="C679" t="str">
            <v>LS</v>
          </cell>
          <cell r="D679" t="str">
            <v>KUUM_468</v>
          </cell>
          <cell r="E679">
            <v>4042</v>
          </cell>
          <cell r="G679">
            <v>0</v>
          </cell>
          <cell r="H679">
            <v>0</v>
          </cell>
          <cell r="N679">
            <v>45108.72</v>
          </cell>
          <cell r="O679">
            <v>0</v>
          </cell>
          <cell r="Q679">
            <v>0</v>
          </cell>
          <cell r="S679">
            <v>0</v>
          </cell>
          <cell r="U679">
            <v>0</v>
          </cell>
          <cell r="Y679">
            <v>4567.46</v>
          </cell>
          <cell r="AB679">
            <v>1374.2800000000002</v>
          </cell>
          <cell r="AE679" t="str">
            <v>20140101KUUM_468</v>
          </cell>
        </row>
        <row r="680">
          <cell r="B680" t="str">
            <v>Aug 2015</v>
          </cell>
          <cell r="C680" t="str">
            <v>RLS</v>
          </cell>
          <cell r="D680" t="str">
            <v>KUUM_469</v>
          </cell>
          <cell r="E680">
            <v>291</v>
          </cell>
          <cell r="G680">
            <v>0</v>
          </cell>
          <cell r="H680">
            <v>0</v>
          </cell>
          <cell r="N680">
            <v>9632.1</v>
          </cell>
          <cell r="O680">
            <v>0</v>
          </cell>
          <cell r="Q680">
            <v>0</v>
          </cell>
          <cell r="S680">
            <v>0</v>
          </cell>
          <cell r="U680">
            <v>0</v>
          </cell>
          <cell r="Y680">
            <v>1248.3900000000001</v>
          </cell>
          <cell r="AB680">
            <v>244.44</v>
          </cell>
          <cell r="AE680" t="str">
            <v>20140101KUUM_469</v>
          </cell>
        </row>
        <row r="681">
          <cell r="B681" t="str">
            <v>Aug 2015</v>
          </cell>
          <cell r="C681" t="str">
            <v>RLS</v>
          </cell>
          <cell r="D681" t="str">
            <v>KUUM_470</v>
          </cell>
          <cell r="E681">
            <v>61</v>
          </cell>
          <cell r="G681">
            <v>0</v>
          </cell>
          <cell r="H681">
            <v>0</v>
          </cell>
          <cell r="N681">
            <v>3370.25</v>
          </cell>
          <cell r="O681">
            <v>0</v>
          </cell>
          <cell r="Q681">
            <v>0</v>
          </cell>
          <cell r="S681">
            <v>0</v>
          </cell>
          <cell r="U681">
            <v>0</v>
          </cell>
          <cell r="Y681">
            <v>635.01</v>
          </cell>
          <cell r="AB681">
            <v>103.7</v>
          </cell>
          <cell r="AE681" t="str">
            <v>20140101KUUM_470</v>
          </cell>
        </row>
        <row r="682">
          <cell r="B682" t="str">
            <v>Aug 2015</v>
          </cell>
          <cell r="C682" t="str">
            <v>RLS</v>
          </cell>
          <cell r="D682" t="str">
            <v>KUUM_471</v>
          </cell>
          <cell r="E682">
            <v>3637</v>
          </cell>
          <cell r="G682">
            <v>0</v>
          </cell>
          <cell r="H682">
            <v>0</v>
          </cell>
          <cell r="N682">
            <v>38152.129999999997</v>
          </cell>
          <cell r="O682">
            <v>0</v>
          </cell>
          <cell r="Q682">
            <v>0</v>
          </cell>
          <cell r="S682">
            <v>0</v>
          </cell>
          <cell r="U682">
            <v>0</v>
          </cell>
          <cell r="Y682">
            <v>2073.09</v>
          </cell>
          <cell r="AB682">
            <v>1200.21</v>
          </cell>
          <cell r="AE682" t="str">
            <v>20140101KUUM_471</v>
          </cell>
        </row>
        <row r="683">
          <cell r="B683" t="str">
            <v>Aug 2015</v>
          </cell>
          <cell r="C683" t="str">
            <v>LS</v>
          </cell>
          <cell r="D683" t="str">
            <v>KUUM_472</v>
          </cell>
          <cell r="E683">
            <v>8732</v>
          </cell>
          <cell r="G683">
            <v>0</v>
          </cell>
          <cell r="H683">
            <v>0</v>
          </cell>
          <cell r="N683">
            <v>101291.2</v>
          </cell>
          <cell r="O683">
            <v>0</v>
          </cell>
          <cell r="Q683">
            <v>0</v>
          </cell>
          <cell r="S683">
            <v>0</v>
          </cell>
          <cell r="U683">
            <v>0</v>
          </cell>
          <cell r="Y683">
            <v>6985.6</v>
          </cell>
          <cell r="AB683">
            <v>3754.7599999999998</v>
          </cell>
          <cell r="AE683" t="str">
            <v>20140101KUUM_472</v>
          </cell>
        </row>
        <row r="684">
          <cell r="B684" t="str">
            <v>Aug 2015</v>
          </cell>
          <cell r="C684" t="str">
            <v>LS</v>
          </cell>
          <cell r="D684" t="str">
            <v>KUUM_473</v>
          </cell>
          <cell r="E684">
            <v>3369</v>
          </cell>
          <cell r="G684">
            <v>0</v>
          </cell>
          <cell r="H684">
            <v>0</v>
          </cell>
          <cell r="N684">
            <v>41438.699999999997</v>
          </cell>
          <cell r="O684">
            <v>0</v>
          </cell>
          <cell r="Q684">
            <v>0</v>
          </cell>
          <cell r="S684">
            <v>0</v>
          </cell>
          <cell r="U684">
            <v>0</v>
          </cell>
          <cell r="Y684">
            <v>3806.97</v>
          </cell>
          <cell r="AB684">
            <v>1145.46</v>
          </cell>
          <cell r="AE684" t="str">
            <v>20140101KUUM_473</v>
          </cell>
        </row>
        <row r="685">
          <cell r="B685" t="str">
            <v>Aug 2015</v>
          </cell>
          <cell r="C685" t="str">
            <v>LS</v>
          </cell>
          <cell r="D685" t="str">
            <v>KUUM_474</v>
          </cell>
          <cell r="E685">
            <v>5180</v>
          </cell>
          <cell r="G685">
            <v>0</v>
          </cell>
          <cell r="H685">
            <v>0</v>
          </cell>
          <cell r="N685">
            <v>90183.8</v>
          </cell>
          <cell r="O685">
            <v>0</v>
          </cell>
          <cell r="Q685">
            <v>0</v>
          </cell>
          <cell r="S685">
            <v>0</v>
          </cell>
          <cell r="U685">
            <v>0</v>
          </cell>
          <cell r="Y685">
            <v>12069.4</v>
          </cell>
          <cell r="AB685">
            <v>3004.3999999999996</v>
          </cell>
          <cell r="AE685" t="str">
            <v>20140101KUUM_474</v>
          </cell>
        </row>
        <row r="686">
          <cell r="B686" t="str">
            <v>Aug 2015</v>
          </cell>
          <cell r="C686" t="str">
            <v>LS</v>
          </cell>
          <cell r="D686" t="str">
            <v>KUUM_475</v>
          </cell>
          <cell r="E686">
            <v>505</v>
          </cell>
          <cell r="G686">
            <v>0</v>
          </cell>
          <cell r="H686">
            <v>0</v>
          </cell>
          <cell r="N686">
            <v>12352.3</v>
          </cell>
          <cell r="O686">
            <v>0</v>
          </cell>
          <cell r="Q686">
            <v>0</v>
          </cell>
          <cell r="S686">
            <v>0</v>
          </cell>
          <cell r="U686">
            <v>0</v>
          </cell>
          <cell r="Y686">
            <v>2287.65</v>
          </cell>
          <cell r="AB686">
            <v>398.95000000000005</v>
          </cell>
          <cell r="AE686" t="str">
            <v>20140101KUUM_475</v>
          </cell>
        </row>
        <row r="687">
          <cell r="B687" t="str">
            <v>Aug 2015</v>
          </cell>
          <cell r="C687" t="str">
            <v>LS</v>
          </cell>
          <cell r="D687" t="str">
            <v>KUUM_476</v>
          </cell>
          <cell r="E687">
            <v>4527</v>
          </cell>
          <cell r="G687">
            <v>0</v>
          </cell>
          <cell r="H687">
            <v>0</v>
          </cell>
          <cell r="N687">
            <v>76008.33</v>
          </cell>
          <cell r="O687">
            <v>0</v>
          </cell>
          <cell r="Q687">
            <v>0</v>
          </cell>
          <cell r="S687">
            <v>0</v>
          </cell>
          <cell r="U687">
            <v>0</v>
          </cell>
          <cell r="Y687">
            <v>3621.6</v>
          </cell>
          <cell r="AB687">
            <v>1946.61</v>
          </cell>
          <cell r="AE687" t="str">
            <v>20140101KUUM_476</v>
          </cell>
        </row>
        <row r="688">
          <cell r="B688" t="str">
            <v>Aug 2015</v>
          </cell>
          <cell r="C688" t="str">
            <v>LS</v>
          </cell>
          <cell r="D688" t="str">
            <v>KUUM_477</v>
          </cell>
          <cell r="E688">
            <v>1044</v>
          </cell>
          <cell r="G688">
            <v>0</v>
          </cell>
          <cell r="H688">
            <v>0</v>
          </cell>
          <cell r="N688">
            <v>21892.68</v>
          </cell>
          <cell r="O688">
            <v>0</v>
          </cell>
          <cell r="Q688">
            <v>0</v>
          </cell>
          <cell r="S688">
            <v>0</v>
          </cell>
          <cell r="U688">
            <v>0</v>
          </cell>
          <cell r="Y688">
            <v>1179.72</v>
          </cell>
          <cell r="AB688">
            <v>354.96000000000004</v>
          </cell>
          <cell r="AE688" t="str">
            <v>20140101KUUM_477</v>
          </cell>
        </row>
        <row r="689">
          <cell r="B689" t="str">
            <v>Aug 2015</v>
          </cell>
          <cell r="C689" t="str">
            <v>LS</v>
          </cell>
          <cell r="D689" t="str">
            <v>KUUM_478</v>
          </cell>
          <cell r="E689">
            <v>1398</v>
          </cell>
          <cell r="G689">
            <v>0</v>
          </cell>
          <cell r="H689">
            <v>0</v>
          </cell>
          <cell r="N689">
            <v>37550.28</v>
          </cell>
          <cell r="O689">
            <v>0</v>
          </cell>
          <cell r="Q689">
            <v>0</v>
          </cell>
          <cell r="S689">
            <v>0</v>
          </cell>
          <cell r="U689">
            <v>0</v>
          </cell>
          <cell r="Y689">
            <v>3257.34</v>
          </cell>
          <cell r="AB689">
            <v>810.83999999999992</v>
          </cell>
          <cell r="AE689" t="str">
            <v>20140101KUUM_478</v>
          </cell>
        </row>
        <row r="690">
          <cell r="B690" t="str">
            <v>Aug 2015</v>
          </cell>
          <cell r="C690" t="str">
            <v>LS</v>
          </cell>
          <cell r="D690" t="str">
            <v>KUUM_479</v>
          </cell>
          <cell r="E690">
            <v>941</v>
          </cell>
          <cell r="G690">
            <v>0</v>
          </cell>
          <cell r="H690">
            <v>0</v>
          </cell>
          <cell r="N690">
            <v>31165.919999999998</v>
          </cell>
          <cell r="O690">
            <v>0</v>
          </cell>
          <cell r="Q690">
            <v>0</v>
          </cell>
          <cell r="S690">
            <v>0</v>
          </cell>
          <cell r="U690">
            <v>0</v>
          </cell>
          <cell r="Y690">
            <v>4262.7299999999996</v>
          </cell>
          <cell r="AB690">
            <v>743.39</v>
          </cell>
          <cell r="AE690" t="str">
            <v>20140101KUUM_479</v>
          </cell>
        </row>
        <row r="691">
          <cell r="B691" t="str">
            <v>Aug 2015</v>
          </cell>
          <cell r="C691" t="str">
            <v>LS</v>
          </cell>
          <cell r="D691" t="str">
            <v>KUUM_486</v>
          </cell>
          <cell r="E691">
            <v>0</v>
          </cell>
          <cell r="G691">
            <v>0</v>
          </cell>
          <cell r="H691">
            <v>0</v>
          </cell>
          <cell r="N691">
            <v>0</v>
          </cell>
          <cell r="O691">
            <v>0</v>
          </cell>
          <cell r="Q691">
            <v>0</v>
          </cell>
          <cell r="S691">
            <v>0</v>
          </cell>
          <cell r="U691">
            <v>0</v>
          </cell>
          <cell r="Y691">
            <v>0</v>
          </cell>
          <cell r="AB691">
            <v>0</v>
          </cell>
          <cell r="AE691" t="str">
            <v>20140101KUUM_486</v>
          </cell>
        </row>
        <row r="692">
          <cell r="B692" t="str">
            <v>Aug 2015</v>
          </cell>
          <cell r="C692" t="str">
            <v>LS</v>
          </cell>
          <cell r="D692" t="str">
            <v>KUUM_487</v>
          </cell>
          <cell r="E692">
            <v>11076</v>
          </cell>
          <cell r="G692">
            <v>0</v>
          </cell>
          <cell r="H692">
            <v>0</v>
          </cell>
          <cell r="N692">
            <v>99684</v>
          </cell>
          <cell r="O692">
            <v>0</v>
          </cell>
          <cell r="Q692">
            <v>0</v>
          </cell>
          <cell r="S692">
            <v>0</v>
          </cell>
          <cell r="U692">
            <v>0</v>
          </cell>
          <cell r="Y692">
            <v>12515.88</v>
          </cell>
          <cell r="AB692">
            <v>3765.84</v>
          </cell>
          <cell r="AE692" t="str">
            <v>20140101KUUM_487</v>
          </cell>
        </row>
        <row r="693">
          <cell r="B693" t="str">
            <v>Aug 2015</v>
          </cell>
          <cell r="C693" t="str">
            <v>LS</v>
          </cell>
          <cell r="D693" t="str">
            <v>KUUM_488</v>
          </cell>
          <cell r="E693">
            <v>6615</v>
          </cell>
          <cell r="G693">
            <v>0</v>
          </cell>
          <cell r="N693">
            <v>90228.6</v>
          </cell>
          <cell r="O693">
            <v>0</v>
          </cell>
          <cell r="Q693">
            <v>0</v>
          </cell>
          <cell r="S693">
            <v>0</v>
          </cell>
          <cell r="U693">
            <v>0</v>
          </cell>
          <cell r="Y693">
            <v>15412.95</v>
          </cell>
          <cell r="AB693">
            <v>3836.7</v>
          </cell>
          <cell r="AE693" t="str">
            <v>20140101KUUM_488</v>
          </cell>
        </row>
        <row r="694">
          <cell r="B694" t="str">
            <v>Aug 2015</v>
          </cell>
          <cell r="C694" t="str">
            <v>LS</v>
          </cell>
          <cell r="D694" t="str">
            <v>KUUM_489</v>
          </cell>
          <cell r="E694">
            <v>8323</v>
          </cell>
          <cell r="G694">
            <v>0</v>
          </cell>
          <cell r="N694">
            <v>161965.57999999999</v>
          </cell>
          <cell r="O694">
            <v>0</v>
          </cell>
          <cell r="Q694">
            <v>0</v>
          </cell>
          <cell r="S694">
            <v>0</v>
          </cell>
          <cell r="U694">
            <v>0</v>
          </cell>
          <cell r="Y694">
            <v>37703.19</v>
          </cell>
          <cell r="AB694">
            <v>6575.17</v>
          </cell>
          <cell r="AE694" t="str">
            <v>20140101KUUM_489</v>
          </cell>
        </row>
        <row r="695">
          <cell r="B695" t="str">
            <v>Aug 2015</v>
          </cell>
          <cell r="C695" t="str">
            <v>LS</v>
          </cell>
          <cell r="D695" t="str">
            <v>KUUM_490</v>
          </cell>
          <cell r="E695">
            <v>60</v>
          </cell>
          <cell r="G695">
            <v>0</v>
          </cell>
          <cell r="N695">
            <v>928.2</v>
          </cell>
          <cell r="O695">
            <v>0</v>
          </cell>
          <cell r="Q695">
            <v>0</v>
          </cell>
          <cell r="S695">
            <v>0</v>
          </cell>
          <cell r="U695">
            <v>0</v>
          </cell>
          <cell r="Y695">
            <v>118.2</v>
          </cell>
          <cell r="AB695">
            <v>39.6</v>
          </cell>
          <cell r="AE695" t="str">
            <v>20140101KUUM_490</v>
          </cell>
        </row>
        <row r="696">
          <cell r="B696" t="str">
            <v>Aug 2015</v>
          </cell>
          <cell r="C696" t="str">
            <v>LS</v>
          </cell>
          <cell r="D696" t="str">
            <v>KUUM_491</v>
          </cell>
          <cell r="E696">
            <v>301</v>
          </cell>
          <cell r="G696">
            <v>0</v>
          </cell>
          <cell r="N696">
            <v>6600.93</v>
          </cell>
          <cell r="O696">
            <v>0</v>
          </cell>
          <cell r="Q696">
            <v>0</v>
          </cell>
          <cell r="S696">
            <v>0</v>
          </cell>
          <cell r="U696">
            <v>0</v>
          </cell>
          <cell r="Y696">
            <v>1291.29</v>
          </cell>
          <cell r="AB696">
            <v>252.84</v>
          </cell>
          <cell r="AE696" t="str">
            <v>20140101KUUM_491</v>
          </cell>
        </row>
        <row r="697">
          <cell r="B697" t="str">
            <v>Aug 2015</v>
          </cell>
          <cell r="C697" t="str">
            <v>LS</v>
          </cell>
          <cell r="D697" t="str">
            <v>KUUM_492</v>
          </cell>
          <cell r="E697">
            <v>2</v>
          </cell>
          <cell r="G697">
            <v>0</v>
          </cell>
          <cell r="N697">
            <v>30.74</v>
          </cell>
          <cell r="O697">
            <v>0</v>
          </cell>
          <cell r="Q697">
            <v>0</v>
          </cell>
          <cell r="S697">
            <v>0</v>
          </cell>
          <cell r="U697">
            <v>0</v>
          </cell>
          <cell r="Y697">
            <v>1.6</v>
          </cell>
          <cell r="AB697">
            <v>0.86</v>
          </cell>
          <cell r="AE697" t="str">
            <v>20140101KUUM_492</v>
          </cell>
        </row>
        <row r="698">
          <cell r="B698" t="str">
            <v>Aug 2015</v>
          </cell>
          <cell r="C698" t="str">
            <v>LS</v>
          </cell>
          <cell r="D698" t="str">
            <v>KUUM_493</v>
          </cell>
          <cell r="E698">
            <v>43</v>
          </cell>
          <cell r="G698">
            <v>0</v>
          </cell>
          <cell r="H698">
            <v>0</v>
          </cell>
          <cell r="N698">
            <v>1965.1</v>
          </cell>
          <cell r="O698">
            <v>0</v>
          </cell>
          <cell r="Q698">
            <v>0</v>
          </cell>
          <cell r="S698">
            <v>0</v>
          </cell>
          <cell r="U698">
            <v>0</v>
          </cell>
          <cell r="Y698">
            <v>447.63</v>
          </cell>
          <cell r="AB698">
            <v>73.099999999999994</v>
          </cell>
          <cell r="AE698" t="str">
            <v>20140101KUUM_493</v>
          </cell>
        </row>
        <row r="699">
          <cell r="B699" t="str">
            <v>Aug 2015</v>
          </cell>
          <cell r="C699" t="str">
            <v>LS</v>
          </cell>
          <cell r="D699" t="str">
            <v>KUUM_494</v>
          </cell>
          <cell r="E699">
            <v>181</v>
          </cell>
          <cell r="G699">
            <v>0</v>
          </cell>
          <cell r="H699">
            <v>0</v>
          </cell>
          <cell r="N699">
            <v>5134.97</v>
          </cell>
          <cell r="O699">
            <v>0</v>
          </cell>
          <cell r="Q699">
            <v>0</v>
          </cell>
          <cell r="S699">
            <v>0</v>
          </cell>
          <cell r="U699">
            <v>0</v>
          </cell>
          <cell r="Y699">
            <v>356.57</v>
          </cell>
          <cell r="AB699">
            <v>119.46000000000001</v>
          </cell>
          <cell r="AE699" t="str">
            <v>20140101KUUM_494</v>
          </cell>
        </row>
        <row r="700">
          <cell r="B700" t="str">
            <v>Aug 2015</v>
          </cell>
          <cell r="C700" t="str">
            <v>LS</v>
          </cell>
          <cell r="D700" t="str">
            <v>KUUM_495</v>
          </cell>
          <cell r="E700">
            <v>644</v>
          </cell>
          <cell r="G700">
            <v>0</v>
          </cell>
          <cell r="H700">
            <v>0</v>
          </cell>
          <cell r="N700">
            <v>22430.52</v>
          </cell>
          <cell r="O700">
            <v>0</v>
          </cell>
          <cell r="Q700">
            <v>0</v>
          </cell>
          <cell r="S700">
            <v>0</v>
          </cell>
          <cell r="U700">
            <v>0</v>
          </cell>
          <cell r="Y700">
            <v>2762.76</v>
          </cell>
          <cell r="AB700">
            <v>540.96</v>
          </cell>
          <cell r="AE700" t="str">
            <v>20140101KUUM_495</v>
          </cell>
        </row>
        <row r="701">
          <cell r="B701" t="str">
            <v>Aug 2015</v>
          </cell>
          <cell r="C701" t="str">
            <v>LS</v>
          </cell>
          <cell r="D701" t="str">
            <v>KUUM_496</v>
          </cell>
          <cell r="E701">
            <v>153</v>
          </cell>
          <cell r="G701">
            <v>0</v>
          </cell>
          <cell r="H701">
            <v>0</v>
          </cell>
          <cell r="N701">
            <v>8964.27</v>
          </cell>
          <cell r="O701">
            <v>0</v>
          </cell>
          <cell r="Q701">
            <v>0</v>
          </cell>
          <cell r="S701">
            <v>0</v>
          </cell>
          <cell r="U701">
            <v>0</v>
          </cell>
          <cell r="Y701">
            <v>1592.73</v>
          </cell>
          <cell r="AB701">
            <v>260.09999999999997</v>
          </cell>
          <cell r="AE701" t="str">
            <v>20140101KUUM_496</v>
          </cell>
        </row>
        <row r="702">
          <cell r="B702" t="str">
            <v>Aug 2015</v>
          </cell>
          <cell r="C702" t="str">
            <v>LS</v>
          </cell>
          <cell r="D702" t="str">
            <v>KUUM_497</v>
          </cell>
          <cell r="E702">
            <v>10</v>
          </cell>
          <cell r="G702">
            <v>0</v>
          </cell>
          <cell r="H702">
            <v>0</v>
          </cell>
          <cell r="N702">
            <v>153.5</v>
          </cell>
          <cell r="O702">
            <v>0</v>
          </cell>
          <cell r="Q702">
            <v>0</v>
          </cell>
          <cell r="S702">
            <v>0</v>
          </cell>
          <cell r="U702">
            <v>0</v>
          </cell>
          <cell r="Y702">
            <v>11.3</v>
          </cell>
          <cell r="AB702">
            <v>3.4000000000000004</v>
          </cell>
          <cell r="AE702" t="str">
            <v>20140101KUUM_497</v>
          </cell>
        </row>
        <row r="703">
          <cell r="B703" t="str">
            <v>Aug 2015</v>
          </cell>
          <cell r="C703" t="str">
            <v>LS</v>
          </cell>
          <cell r="D703" t="str">
            <v>KUUM_498</v>
          </cell>
          <cell r="E703">
            <v>26</v>
          </cell>
          <cell r="G703">
            <v>0</v>
          </cell>
          <cell r="H703">
            <v>0</v>
          </cell>
          <cell r="N703">
            <v>460.72</v>
          </cell>
          <cell r="O703">
            <v>0</v>
          </cell>
          <cell r="Q703">
            <v>0</v>
          </cell>
          <cell r="S703">
            <v>0</v>
          </cell>
          <cell r="U703">
            <v>0</v>
          </cell>
          <cell r="Y703">
            <v>60.58</v>
          </cell>
          <cell r="AB703">
            <v>15.079999999999998</v>
          </cell>
          <cell r="AE703" t="str">
            <v>20140101KUUM_498</v>
          </cell>
        </row>
        <row r="704">
          <cell r="B704" t="str">
            <v>Aug 2015</v>
          </cell>
          <cell r="C704" t="str">
            <v>LS</v>
          </cell>
          <cell r="D704" t="str">
            <v>KUUM_499</v>
          </cell>
          <cell r="E704">
            <v>25</v>
          </cell>
          <cell r="G704">
            <v>0</v>
          </cell>
          <cell r="H704">
            <v>0</v>
          </cell>
          <cell r="N704">
            <v>537.25</v>
          </cell>
          <cell r="O704">
            <v>0</v>
          </cell>
          <cell r="Q704">
            <v>0</v>
          </cell>
          <cell r="S704">
            <v>0</v>
          </cell>
          <cell r="U704">
            <v>0</v>
          </cell>
          <cell r="Y704">
            <v>113.25</v>
          </cell>
          <cell r="AB704">
            <v>19.75</v>
          </cell>
          <cell r="AE704" t="str">
            <v>20140101KUUM_499</v>
          </cell>
        </row>
        <row r="705">
          <cell r="B705" t="str">
            <v>Aug 2015</v>
          </cell>
          <cell r="C705" t="str">
            <v>ODL</v>
          </cell>
          <cell r="D705" t="str">
            <v>ODL</v>
          </cell>
          <cell r="E705">
            <v>0</v>
          </cell>
          <cell r="G705">
            <v>9030466</v>
          </cell>
          <cell r="H705">
            <v>0</v>
          </cell>
          <cell r="N705">
            <v>0</v>
          </cell>
          <cell r="O705">
            <v>2138496</v>
          </cell>
          <cell r="Q705">
            <v>19370</v>
          </cell>
          <cell r="S705">
            <v>38247</v>
          </cell>
          <cell r="U705">
            <v>2196113</v>
          </cell>
          <cell r="Y705">
            <v>0</v>
          </cell>
          <cell r="AB705">
            <v>0</v>
          </cell>
          <cell r="AE705" t="str">
            <v>20140101ODL</v>
          </cell>
        </row>
        <row r="706">
          <cell r="B706" t="str">
            <v>Sep 2015</v>
          </cell>
          <cell r="C706" t="str">
            <v>LS</v>
          </cell>
          <cell r="D706" t="str">
            <v>KUUM_300</v>
          </cell>
          <cell r="E706">
            <v>0</v>
          </cell>
          <cell r="G706">
            <v>0</v>
          </cell>
          <cell r="H706">
            <v>0</v>
          </cell>
          <cell r="N706">
            <v>0</v>
          </cell>
          <cell r="O706">
            <v>0</v>
          </cell>
          <cell r="Q706">
            <v>0</v>
          </cell>
          <cell r="S706">
            <v>0</v>
          </cell>
          <cell r="U706">
            <v>0</v>
          </cell>
          <cell r="Y706">
            <v>0</v>
          </cell>
          <cell r="AB706">
            <v>0</v>
          </cell>
          <cell r="AE706" t="str">
            <v>20140101KUUM_300</v>
          </cell>
        </row>
        <row r="707">
          <cell r="B707" t="str">
            <v>Sep 2015</v>
          </cell>
          <cell r="C707" t="str">
            <v>LS</v>
          </cell>
          <cell r="D707" t="str">
            <v>KUUM_301</v>
          </cell>
          <cell r="E707">
            <v>0</v>
          </cell>
          <cell r="G707">
            <v>0</v>
          </cell>
          <cell r="H707">
            <v>0</v>
          </cell>
          <cell r="N707">
            <v>0</v>
          </cell>
          <cell r="O707">
            <v>0</v>
          </cell>
          <cell r="Q707">
            <v>0</v>
          </cell>
          <cell r="S707">
            <v>0</v>
          </cell>
          <cell r="U707">
            <v>0</v>
          </cell>
          <cell r="Y707">
            <v>0</v>
          </cell>
          <cell r="AB707">
            <v>0</v>
          </cell>
          <cell r="AE707" t="str">
            <v>20140101KUUM_301</v>
          </cell>
        </row>
        <row r="708">
          <cell r="B708" t="str">
            <v>Sep 2015</v>
          </cell>
          <cell r="C708" t="str">
            <v>LS</v>
          </cell>
          <cell r="D708" t="str">
            <v>KUUM_360</v>
          </cell>
          <cell r="E708">
            <v>172</v>
          </cell>
          <cell r="G708">
            <v>0</v>
          </cell>
          <cell r="H708">
            <v>0</v>
          </cell>
          <cell r="N708">
            <v>9516.76</v>
          </cell>
          <cell r="O708">
            <v>0</v>
          </cell>
          <cell r="Q708">
            <v>0</v>
          </cell>
          <cell r="S708">
            <v>0</v>
          </cell>
          <cell r="U708">
            <v>0</v>
          </cell>
          <cell r="Y708">
            <v>301</v>
          </cell>
          <cell r="AB708">
            <v>414.52000000000004</v>
          </cell>
          <cell r="AE708" t="str">
            <v>20140101KUUM_360</v>
          </cell>
        </row>
        <row r="709">
          <cell r="B709" t="str">
            <v>Sep 2015</v>
          </cell>
          <cell r="C709" t="str">
            <v>LS</v>
          </cell>
          <cell r="D709" t="str">
            <v>KUUM_361</v>
          </cell>
          <cell r="E709">
            <v>26</v>
          </cell>
          <cell r="G709">
            <v>0</v>
          </cell>
          <cell r="H709">
            <v>0</v>
          </cell>
          <cell r="N709">
            <v>2162.16</v>
          </cell>
          <cell r="O709">
            <v>0</v>
          </cell>
          <cell r="Q709">
            <v>0</v>
          </cell>
          <cell r="S709">
            <v>0</v>
          </cell>
          <cell r="U709">
            <v>0</v>
          </cell>
          <cell r="Y709">
            <v>45.5</v>
          </cell>
          <cell r="AB709">
            <v>62.660000000000004</v>
          </cell>
          <cell r="AE709" t="str">
            <v>20140101KUUM_361</v>
          </cell>
        </row>
        <row r="710">
          <cell r="B710" t="str">
            <v>Sep 2015</v>
          </cell>
          <cell r="C710" t="str">
            <v>LS</v>
          </cell>
          <cell r="D710" t="str">
            <v>KUUM_362</v>
          </cell>
          <cell r="E710">
            <v>40</v>
          </cell>
          <cell r="G710">
            <v>0</v>
          </cell>
          <cell r="H710">
            <v>0</v>
          </cell>
          <cell r="N710">
            <v>2391.1999999999998</v>
          </cell>
          <cell r="O710">
            <v>0</v>
          </cell>
          <cell r="Q710">
            <v>0</v>
          </cell>
          <cell r="S710">
            <v>0</v>
          </cell>
          <cell r="U710">
            <v>0</v>
          </cell>
          <cell r="Y710">
            <v>70</v>
          </cell>
          <cell r="AB710">
            <v>96.4</v>
          </cell>
          <cell r="AE710" t="str">
            <v>20140101KUUM_362</v>
          </cell>
        </row>
        <row r="711">
          <cell r="B711" t="str">
            <v>Sep 2015</v>
          </cell>
          <cell r="C711" t="str">
            <v>LS</v>
          </cell>
          <cell r="D711" t="str">
            <v>KUUM_363</v>
          </cell>
          <cell r="E711">
            <v>5</v>
          </cell>
          <cell r="G711">
            <v>0</v>
          </cell>
          <cell r="H711">
            <v>0</v>
          </cell>
          <cell r="N711">
            <v>308.75</v>
          </cell>
          <cell r="O711">
            <v>0</v>
          </cell>
          <cell r="Q711">
            <v>0</v>
          </cell>
          <cell r="S711">
            <v>0</v>
          </cell>
          <cell r="U711">
            <v>0</v>
          </cell>
          <cell r="Y711">
            <v>8.75</v>
          </cell>
          <cell r="AB711">
            <v>12.05</v>
          </cell>
          <cell r="AE711" t="str">
            <v>20140101KUUM_363</v>
          </cell>
        </row>
        <row r="712">
          <cell r="B712" t="str">
            <v>Sep 2015</v>
          </cell>
          <cell r="C712" t="str">
            <v>LS</v>
          </cell>
          <cell r="D712" t="str">
            <v>KUUM_364</v>
          </cell>
          <cell r="E712">
            <v>1</v>
          </cell>
          <cell r="G712">
            <v>0</v>
          </cell>
          <cell r="H712">
            <v>0</v>
          </cell>
          <cell r="N712">
            <v>63.11</v>
          </cell>
          <cell r="O712">
            <v>0</v>
          </cell>
          <cell r="Q712">
            <v>0</v>
          </cell>
          <cell r="S712">
            <v>0</v>
          </cell>
          <cell r="U712">
            <v>0</v>
          </cell>
          <cell r="Y712">
            <v>1.75</v>
          </cell>
          <cell r="AB712">
            <v>2.41</v>
          </cell>
          <cell r="AE712" t="str">
            <v>20140101KUUM_364</v>
          </cell>
        </row>
        <row r="713">
          <cell r="B713" t="str">
            <v>Sep 2015</v>
          </cell>
          <cell r="C713" t="str">
            <v>LS</v>
          </cell>
          <cell r="D713" t="str">
            <v>KUUM_365</v>
          </cell>
          <cell r="E713">
            <v>5</v>
          </cell>
          <cell r="G713">
            <v>0</v>
          </cell>
          <cell r="H713">
            <v>0</v>
          </cell>
          <cell r="N713">
            <v>404.7</v>
          </cell>
          <cell r="O713">
            <v>0</v>
          </cell>
          <cell r="Q713">
            <v>0</v>
          </cell>
          <cell r="S713">
            <v>0</v>
          </cell>
          <cell r="U713">
            <v>0</v>
          </cell>
          <cell r="Y713">
            <v>8.75</v>
          </cell>
          <cell r="AB713">
            <v>12.05</v>
          </cell>
          <cell r="AE713" t="str">
            <v>20140101KUUM_365</v>
          </cell>
        </row>
        <row r="714">
          <cell r="B714" t="str">
            <v>Sep 2015</v>
          </cell>
          <cell r="C714" t="str">
            <v>LS</v>
          </cell>
          <cell r="D714" t="str">
            <v>KUUM_366</v>
          </cell>
          <cell r="E714">
            <v>10</v>
          </cell>
          <cell r="G714">
            <v>0</v>
          </cell>
          <cell r="H714">
            <v>0</v>
          </cell>
          <cell r="N714">
            <v>789.7</v>
          </cell>
          <cell r="O714">
            <v>0</v>
          </cell>
          <cell r="Q714">
            <v>0</v>
          </cell>
          <cell r="S714">
            <v>0</v>
          </cell>
          <cell r="U714">
            <v>0</v>
          </cell>
          <cell r="Y714">
            <v>17.5</v>
          </cell>
          <cell r="AB714">
            <v>24.1</v>
          </cell>
          <cell r="AE714" t="str">
            <v>20140101KUUM_366</v>
          </cell>
        </row>
        <row r="715">
          <cell r="B715" t="str">
            <v>Sep 2015</v>
          </cell>
          <cell r="C715" t="str">
            <v>LS</v>
          </cell>
          <cell r="D715" t="str">
            <v>KUUM_367</v>
          </cell>
          <cell r="E715">
            <v>24</v>
          </cell>
          <cell r="G715">
            <v>0</v>
          </cell>
          <cell r="H715">
            <v>0</v>
          </cell>
          <cell r="N715">
            <v>1469.52</v>
          </cell>
          <cell r="O715">
            <v>0</v>
          </cell>
          <cell r="Q715">
            <v>0</v>
          </cell>
          <cell r="S715">
            <v>0</v>
          </cell>
          <cell r="U715">
            <v>0</v>
          </cell>
          <cell r="Y715">
            <v>42</v>
          </cell>
          <cell r="AB715">
            <v>57.84</v>
          </cell>
          <cell r="AE715" t="str">
            <v>20140101KUUM_367</v>
          </cell>
        </row>
        <row r="716">
          <cell r="B716" t="str">
            <v>Sep 2015</v>
          </cell>
          <cell r="C716" t="str">
            <v>LS</v>
          </cell>
          <cell r="D716" t="str">
            <v>KUUM_368</v>
          </cell>
          <cell r="E716">
            <v>1</v>
          </cell>
          <cell r="G716">
            <v>0</v>
          </cell>
          <cell r="H716">
            <v>0</v>
          </cell>
          <cell r="N716">
            <v>56.69</v>
          </cell>
          <cell r="O716">
            <v>0</v>
          </cell>
          <cell r="Q716">
            <v>0</v>
          </cell>
          <cell r="S716">
            <v>0</v>
          </cell>
          <cell r="U716">
            <v>0</v>
          </cell>
          <cell r="Y716">
            <v>1.75</v>
          </cell>
          <cell r="AB716">
            <v>2.41</v>
          </cell>
          <cell r="AE716" t="str">
            <v>20140101KUUM_368</v>
          </cell>
        </row>
        <row r="717">
          <cell r="B717" t="str">
            <v>Sep 2015</v>
          </cell>
          <cell r="C717" t="str">
            <v>LS</v>
          </cell>
          <cell r="D717" t="str">
            <v>KUUM_370</v>
          </cell>
          <cell r="E717">
            <v>16</v>
          </cell>
          <cell r="G717">
            <v>0</v>
          </cell>
          <cell r="H717">
            <v>0</v>
          </cell>
          <cell r="N717">
            <v>1192.32</v>
          </cell>
          <cell r="O717">
            <v>0</v>
          </cell>
          <cell r="Q717">
            <v>0</v>
          </cell>
          <cell r="S717">
            <v>0</v>
          </cell>
          <cell r="U717">
            <v>0</v>
          </cell>
          <cell r="Y717">
            <v>28</v>
          </cell>
          <cell r="AB717">
            <v>38.56</v>
          </cell>
          <cell r="AE717" t="str">
            <v>20140101KUUM_370</v>
          </cell>
        </row>
        <row r="718">
          <cell r="B718" t="str">
            <v>Sep 2015</v>
          </cell>
          <cell r="C718" t="str">
            <v>LS</v>
          </cell>
          <cell r="D718" t="str">
            <v>KUUM_372</v>
          </cell>
          <cell r="E718">
            <v>1</v>
          </cell>
          <cell r="G718">
            <v>0</v>
          </cell>
          <cell r="H718">
            <v>0</v>
          </cell>
          <cell r="N718">
            <v>82.3</v>
          </cell>
          <cell r="O718">
            <v>0</v>
          </cell>
          <cell r="Q718">
            <v>0</v>
          </cell>
          <cell r="S718">
            <v>0</v>
          </cell>
          <cell r="U718">
            <v>0</v>
          </cell>
          <cell r="Y718">
            <v>1.75</v>
          </cell>
          <cell r="AB718">
            <v>2.41</v>
          </cell>
          <cell r="AE718" t="str">
            <v>20140101KUUM_372</v>
          </cell>
        </row>
        <row r="719">
          <cell r="B719" t="str">
            <v>Sep 2015</v>
          </cell>
          <cell r="C719" t="str">
            <v>LS</v>
          </cell>
          <cell r="D719" t="str">
            <v>KUUM_373</v>
          </cell>
          <cell r="E719">
            <v>19</v>
          </cell>
          <cell r="G719">
            <v>0</v>
          </cell>
          <cell r="H719">
            <v>0</v>
          </cell>
          <cell r="N719">
            <v>1415.88</v>
          </cell>
          <cell r="O719">
            <v>0</v>
          </cell>
          <cell r="Q719">
            <v>0</v>
          </cell>
          <cell r="S719">
            <v>0</v>
          </cell>
          <cell r="U719">
            <v>0</v>
          </cell>
          <cell r="Y719">
            <v>33.25</v>
          </cell>
          <cell r="AB719">
            <v>45.790000000000006</v>
          </cell>
          <cell r="AE719" t="str">
            <v>20140101KUUM_373</v>
          </cell>
        </row>
        <row r="720">
          <cell r="B720" t="str">
            <v>Sep 2015</v>
          </cell>
          <cell r="C720" t="str">
            <v>LS</v>
          </cell>
          <cell r="D720" t="str">
            <v>KUUM_374</v>
          </cell>
          <cell r="E720">
            <v>4</v>
          </cell>
          <cell r="G720">
            <v>0</v>
          </cell>
          <cell r="H720">
            <v>0</v>
          </cell>
          <cell r="N720">
            <v>303.52</v>
          </cell>
          <cell r="O720">
            <v>0</v>
          </cell>
          <cell r="Q720">
            <v>0</v>
          </cell>
          <cell r="S720">
            <v>0</v>
          </cell>
          <cell r="U720">
            <v>0</v>
          </cell>
          <cell r="Y720">
            <v>7</v>
          </cell>
          <cell r="AB720">
            <v>9.64</v>
          </cell>
          <cell r="AE720" t="str">
            <v>20140101KUUM_374</v>
          </cell>
        </row>
        <row r="721">
          <cell r="B721" t="str">
            <v>Sep 2015</v>
          </cell>
          <cell r="C721" t="str">
            <v>LS</v>
          </cell>
          <cell r="D721" t="str">
            <v>KUUM_375</v>
          </cell>
          <cell r="E721">
            <v>3</v>
          </cell>
          <cell r="G721">
            <v>0</v>
          </cell>
          <cell r="H721">
            <v>0</v>
          </cell>
          <cell r="N721">
            <v>236.91</v>
          </cell>
          <cell r="O721">
            <v>0</v>
          </cell>
          <cell r="Q721">
            <v>0</v>
          </cell>
          <cell r="S721">
            <v>0</v>
          </cell>
          <cell r="U721">
            <v>0</v>
          </cell>
          <cell r="Y721">
            <v>5.25</v>
          </cell>
          <cell r="AB721">
            <v>7.23</v>
          </cell>
          <cell r="AE721" t="str">
            <v>20140101KUUM_375</v>
          </cell>
        </row>
        <row r="722">
          <cell r="B722" t="str">
            <v>Sep 2015</v>
          </cell>
          <cell r="C722" t="str">
            <v>LS</v>
          </cell>
          <cell r="D722" t="str">
            <v>KUUM_376</v>
          </cell>
          <cell r="E722">
            <v>2</v>
          </cell>
          <cell r="G722">
            <v>0</v>
          </cell>
          <cell r="H722">
            <v>0</v>
          </cell>
          <cell r="N722">
            <v>154.52000000000001</v>
          </cell>
          <cell r="O722">
            <v>0</v>
          </cell>
          <cell r="Q722">
            <v>0</v>
          </cell>
          <cell r="S722">
            <v>0</v>
          </cell>
          <cell r="U722">
            <v>0</v>
          </cell>
          <cell r="Y722">
            <v>3.5</v>
          </cell>
          <cell r="AB722">
            <v>4.82</v>
          </cell>
          <cell r="AE722" t="str">
            <v>20140101KUUM_376</v>
          </cell>
        </row>
        <row r="723">
          <cell r="B723" t="str">
            <v>Sep 2015</v>
          </cell>
          <cell r="C723" t="str">
            <v>LS</v>
          </cell>
          <cell r="D723" t="str">
            <v>KUUM_377</v>
          </cell>
          <cell r="E723">
            <v>49</v>
          </cell>
          <cell r="G723">
            <v>0</v>
          </cell>
          <cell r="H723">
            <v>0</v>
          </cell>
          <cell r="N723">
            <v>3145.31</v>
          </cell>
          <cell r="O723">
            <v>0</v>
          </cell>
          <cell r="Q723">
            <v>0</v>
          </cell>
          <cell r="S723">
            <v>0</v>
          </cell>
          <cell r="U723">
            <v>0</v>
          </cell>
          <cell r="Y723">
            <v>85.75</v>
          </cell>
          <cell r="AB723">
            <v>118.09</v>
          </cell>
          <cell r="AE723" t="str">
            <v>20140101KUUM_377</v>
          </cell>
        </row>
        <row r="724">
          <cell r="B724" t="str">
            <v>Sep 2015</v>
          </cell>
          <cell r="C724" t="str">
            <v>LS</v>
          </cell>
          <cell r="D724" t="str">
            <v>KUUM_378</v>
          </cell>
          <cell r="E724">
            <v>2</v>
          </cell>
          <cell r="G724">
            <v>0</v>
          </cell>
          <cell r="H724">
            <v>0</v>
          </cell>
          <cell r="N724">
            <v>151.80000000000001</v>
          </cell>
          <cell r="O724">
            <v>0</v>
          </cell>
          <cell r="Q724">
            <v>0</v>
          </cell>
          <cell r="S724">
            <v>0</v>
          </cell>
          <cell r="U724">
            <v>0</v>
          </cell>
          <cell r="Y724">
            <v>3.5</v>
          </cell>
          <cell r="AB724">
            <v>4.82</v>
          </cell>
          <cell r="AE724" t="str">
            <v>20140101KUUM_378</v>
          </cell>
        </row>
        <row r="725">
          <cell r="B725" t="str">
            <v>Sep 2015</v>
          </cell>
          <cell r="C725" t="str">
            <v>LS</v>
          </cell>
          <cell r="D725" t="str">
            <v>KUUM_401</v>
          </cell>
          <cell r="E725">
            <v>50</v>
          </cell>
          <cell r="G725">
            <v>0</v>
          </cell>
          <cell r="H725">
            <v>0</v>
          </cell>
          <cell r="N725">
            <v>743</v>
          </cell>
          <cell r="O725">
            <v>0</v>
          </cell>
          <cell r="Q725">
            <v>0</v>
          </cell>
          <cell r="S725">
            <v>0</v>
          </cell>
          <cell r="U725">
            <v>0</v>
          </cell>
          <cell r="Y725">
            <v>40</v>
          </cell>
          <cell r="AB725">
            <v>21.5</v>
          </cell>
          <cell r="AE725" t="str">
            <v>20140101KUUM_401</v>
          </cell>
        </row>
        <row r="726">
          <cell r="B726" t="str">
            <v>Sep 2015</v>
          </cell>
          <cell r="C726" t="str">
            <v>RLS</v>
          </cell>
          <cell r="D726" t="str">
            <v>KUUM_404</v>
          </cell>
          <cell r="E726">
            <v>7169</v>
          </cell>
          <cell r="G726">
            <v>0</v>
          </cell>
          <cell r="H726">
            <v>0</v>
          </cell>
          <cell r="N726">
            <v>75776.33</v>
          </cell>
          <cell r="O726">
            <v>0</v>
          </cell>
          <cell r="Q726">
            <v>0</v>
          </cell>
          <cell r="S726">
            <v>0</v>
          </cell>
          <cell r="U726">
            <v>0</v>
          </cell>
          <cell r="Y726">
            <v>14266.31</v>
          </cell>
          <cell r="AB726">
            <v>2795.9100000000003</v>
          </cell>
          <cell r="AE726" t="str">
            <v>20140101KUUM_404</v>
          </cell>
        </row>
        <row r="727">
          <cell r="B727" t="str">
            <v>Sep 2015</v>
          </cell>
          <cell r="C727" t="str">
            <v>RLS</v>
          </cell>
          <cell r="D727" t="str">
            <v>KUUM_405</v>
          </cell>
          <cell r="E727">
            <v>0</v>
          </cell>
          <cell r="G727">
            <v>0</v>
          </cell>
          <cell r="H727">
            <v>0</v>
          </cell>
          <cell r="N727">
            <v>0</v>
          </cell>
          <cell r="O727">
            <v>0</v>
          </cell>
          <cell r="Q727">
            <v>0</v>
          </cell>
          <cell r="S727">
            <v>0</v>
          </cell>
          <cell r="U727">
            <v>0</v>
          </cell>
          <cell r="Y727">
            <v>0</v>
          </cell>
          <cell r="AB727">
            <v>0</v>
          </cell>
          <cell r="AE727" t="str">
            <v>20140101KUUM_405</v>
          </cell>
        </row>
        <row r="728">
          <cell r="B728" t="str">
            <v>Sep 2015</v>
          </cell>
          <cell r="C728" t="str">
            <v>LS</v>
          </cell>
          <cell r="D728" t="str">
            <v>KUUM_407</v>
          </cell>
          <cell r="E728">
            <v>0</v>
          </cell>
          <cell r="G728">
            <v>0</v>
          </cell>
          <cell r="H728">
            <v>0</v>
          </cell>
          <cell r="N728">
            <v>0</v>
          </cell>
          <cell r="O728">
            <v>0</v>
          </cell>
          <cell r="Q728">
            <v>0</v>
          </cell>
          <cell r="S728">
            <v>0</v>
          </cell>
          <cell r="U728">
            <v>0</v>
          </cell>
          <cell r="Y728">
            <v>0</v>
          </cell>
          <cell r="AB728">
            <v>0</v>
          </cell>
          <cell r="AE728" t="str">
            <v>20140101KUUM_407</v>
          </cell>
        </row>
        <row r="729">
          <cell r="B729" t="str">
            <v>Sep 2015</v>
          </cell>
          <cell r="C729" t="str">
            <v>RLS</v>
          </cell>
          <cell r="D729" t="str">
            <v>KUUM_409</v>
          </cell>
          <cell r="E729">
            <v>134</v>
          </cell>
          <cell r="G729">
            <v>0</v>
          </cell>
          <cell r="H729">
            <v>0</v>
          </cell>
          <cell r="N729">
            <v>1569.14</v>
          </cell>
          <cell r="O729">
            <v>0</v>
          </cell>
          <cell r="Q729">
            <v>0</v>
          </cell>
          <cell r="S729">
            <v>0</v>
          </cell>
          <cell r="U729">
            <v>0</v>
          </cell>
          <cell r="Y729">
            <v>607.02</v>
          </cell>
          <cell r="AB729">
            <v>105.86</v>
          </cell>
          <cell r="AE729" t="str">
            <v>20140101KUUM_409</v>
          </cell>
        </row>
        <row r="730">
          <cell r="B730" t="str">
            <v>Sep 2015</v>
          </cell>
          <cell r="C730" t="str">
            <v>RLS</v>
          </cell>
          <cell r="D730" t="str">
            <v>KUUM_410</v>
          </cell>
          <cell r="E730">
            <v>236</v>
          </cell>
          <cell r="G730">
            <v>0</v>
          </cell>
          <cell r="H730">
            <v>0</v>
          </cell>
          <cell r="N730">
            <v>4781.3599999999997</v>
          </cell>
          <cell r="O730">
            <v>0</v>
          </cell>
          <cell r="Q730">
            <v>0</v>
          </cell>
          <cell r="S730">
            <v>0</v>
          </cell>
          <cell r="U730">
            <v>0</v>
          </cell>
          <cell r="Y730">
            <v>134.52000000000001</v>
          </cell>
          <cell r="AB730">
            <v>77.88000000000001</v>
          </cell>
          <cell r="AE730" t="str">
            <v>20140101KUUM_410</v>
          </cell>
        </row>
        <row r="731">
          <cell r="B731" t="str">
            <v>Sep 2015</v>
          </cell>
          <cell r="C731" t="str">
            <v>LS</v>
          </cell>
          <cell r="D731" t="str">
            <v>KUUM_411</v>
          </cell>
          <cell r="E731">
            <v>142</v>
          </cell>
          <cell r="G731">
            <v>0</v>
          </cell>
          <cell r="H731">
            <v>0</v>
          </cell>
          <cell r="N731">
            <v>3035.96</v>
          </cell>
          <cell r="O731">
            <v>0</v>
          </cell>
          <cell r="Q731">
            <v>0</v>
          </cell>
          <cell r="S731">
            <v>0</v>
          </cell>
          <cell r="U731">
            <v>0</v>
          </cell>
          <cell r="Y731">
            <v>113.6</v>
          </cell>
          <cell r="AB731">
            <v>61.06</v>
          </cell>
          <cell r="AE731" t="str">
            <v>20140101KUUM_411</v>
          </cell>
        </row>
        <row r="732">
          <cell r="B732" t="str">
            <v>Sep 2015</v>
          </cell>
          <cell r="C732" t="str">
            <v>RLS</v>
          </cell>
          <cell r="D732" t="str">
            <v>KUUM_412</v>
          </cell>
          <cell r="E732">
            <v>28</v>
          </cell>
          <cell r="G732">
            <v>0</v>
          </cell>
          <cell r="H732">
            <v>0</v>
          </cell>
          <cell r="N732">
            <v>863.52</v>
          </cell>
          <cell r="O732">
            <v>0</v>
          </cell>
          <cell r="Q732">
            <v>0</v>
          </cell>
          <cell r="S732">
            <v>0</v>
          </cell>
          <cell r="U732">
            <v>0</v>
          </cell>
          <cell r="Y732">
            <v>22.4</v>
          </cell>
          <cell r="AB732">
            <v>12.04</v>
          </cell>
          <cell r="AE732" t="str">
            <v>20140101KUUM_412</v>
          </cell>
        </row>
        <row r="733">
          <cell r="B733" t="str">
            <v>Sep 2015</v>
          </cell>
          <cell r="C733" t="str">
            <v>RLS</v>
          </cell>
          <cell r="D733" t="str">
            <v>KUUM_413</v>
          </cell>
          <cell r="E733">
            <v>95</v>
          </cell>
          <cell r="G733">
            <v>0</v>
          </cell>
          <cell r="H733">
            <v>0</v>
          </cell>
          <cell r="N733">
            <v>2965.9</v>
          </cell>
          <cell r="O733">
            <v>0</v>
          </cell>
          <cell r="Q733">
            <v>0</v>
          </cell>
          <cell r="S733">
            <v>0</v>
          </cell>
          <cell r="U733">
            <v>0</v>
          </cell>
          <cell r="Y733">
            <v>107.35</v>
          </cell>
          <cell r="AB733">
            <v>32.300000000000004</v>
          </cell>
          <cell r="AE733" t="str">
            <v>20140101KUUM_413</v>
          </cell>
        </row>
        <row r="734">
          <cell r="B734" t="str">
            <v>Sep 2015</v>
          </cell>
          <cell r="C734" t="str">
            <v>LS</v>
          </cell>
          <cell r="D734" t="str">
            <v>KUUM_414</v>
          </cell>
          <cell r="E734">
            <v>21</v>
          </cell>
          <cell r="G734">
            <v>0</v>
          </cell>
          <cell r="H734">
            <v>0</v>
          </cell>
          <cell r="N734">
            <v>647.64</v>
          </cell>
          <cell r="O734">
            <v>0</v>
          </cell>
          <cell r="Q734">
            <v>0</v>
          </cell>
          <cell r="S734">
            <v>0</v>
          </cell>
          <cell r="U734">
            <v>0</v>
          </cell>
          <cell r="Y734">
            <v>16.8</v>
          </cell>
          <cell r="AB734">
            <v>9.0299999999999994</v>
          </cell>
          <cell r="AE734" t="str">
            <v>20140101KUUM_414</v>
          </cell>
        </row>
        <row r="735">
          <cell r="B735" t="str">
            <v>Sep 2015</v>
          </cell>
          <cell r="C735" t="str">
            <v>LS</v>
          </cell>
          <cell r="D735" t="str">
            <v>KUUM_415</v>
          </cell>
          <cell r="E735">
            <v>10</v>
          </cell>
          <cell r="G735">
            <v>0</v>
          </cell>
          <cell r="H735">
            <v>0</v>
          </cell>
          <cell r="N735">
            <v>312.2</v>
          </cell>
          <cell r="O735">
            <v>0</v>
          </cell>
          <cell r="Q735">
            <v>0</v>
          </cell>
          <cell r="S735">
            <v>0</v>
          </cell>
          <cell r="U735">
            <v>0</v>
          </cell>
          <cell r="Y735">
            <v>11.3</v>
          </cell>
          <cell r="AB735">
            <v>3.4000000000000004</v>
          </cell>
          <cell r="AE735" t="str">
            <v>20140101KUUM_415</v>
          </cell>
        </row>
        <row r="736">
          <cell r="B736" t="str">
            <v>Sep 2015</v>
          </cell>
          <cell r="C736" t="str">
            <v>LS</v>
          </cell>
          <cell r="D736" t="str">
            <v>KUUM_420</v>
          </cell>
          <cell r="E736">
            <v>448</v>
          </cell>
          <cell r="G736">
            <v>0</v>
          </cell>
          <cell r="H736">
            <v>0</v>
          </cell>
          <cell r="N736">
            <v>6881.28</v>
          </cell>
          <cell r="O736">
            <v>0</v>
          </cell>
          <cell r="Q736">
            <v>0</v>
          </cell>
          <cell r="S736">
            <v>0</v>
          </cell>
          <cell r="U736">
            <v>0</v>
          </cell>
          <cell r="Y736">
            <v>506.24</v>
          </cell>
          <cell r="AB736">
            <v>152.32000000000002</v>
          </cell>
          <cell r="AE736" t="str">
            <v>20140101KUUM_420</v>
          </cell>
        </row>
        <row r="737">
          <cell r="B737" t="str">
            <v>Sep 2015</v>
          </cell>
          <cell r="C737" t="str">
            <v>RLS</v>
          </cell>
          <cell r="D737" t="str">
            <v>KUUM_421</v>
          </cell>
          <cell r="E737">
            <v>5</v>
          </cell>
          <cell r="G737">
            <v>0</v>
          </cell>
          <cell r="H737">
            <v>0</v>
          </cell>
          <cell r="N737">
            <v>16.95</v>
          </cell>
          <cell r="O737">
            <v>0</v>
          </cell>
          <cell r="Q737">
            <v>0</v>
          </cell>
          <cell r="S737">
            <v>0</v>
          </cell>
          <cell r="U737">
            <v>0</v>
          </cell>
          <cell r="Y737">
            <v>4.95</v>
          </cell>
          <cell r="AB737">
            <v>0.6</v>
          </cell>
          <cell r="AE737" t="str">
            <v>20140101KUUM_421</v>
          </cell>
        </row>
        <row r="738">
          <cell r="B738" t="str">
            <v>Sep 2015</v>
          </cell>
          <cell r="C738" t="str">
            <v>RLS</v>
          </cell>
          <cell r="D738" t="str">
            <v>KUUM_422</v>
          </cell>
          <cell r="E738">
            <v>680</v>
          </cell>
          <cell r="G738">
            <v>0</v>
          </cell>
          <cell r="H738">
            <v>0</v>
          </cell>
          <cell r="N738">
            <v>3087.2</v>
          </cell>
          <cell r="O738">
            <v>0</v>
          </cell>
          <cell r="Q738">
            <v>0</v>
          </cell>
          <cell r="S738">
            <v>0</v>
          </cell>
          <cell r="U738">
            <v>0</v>
          </cell>
          <cell r="Y738">
            <v>1319.2</v>
          </cell>
          <cell r="AB738">
            <v>108.8</v>
          </cell>
          <cell r="AE738" t="str">
            <v>20140101KUUM_422</v>
          </cell>
        </row>
        <row r="739">
          <cell r="B739" t="str">
            <v>Sep 2015</v>
          </cell>
          <cell r="C739" t="str">
            <v>RLS</v>
          </cell>
          <cell r="D739" t="str">
            <v>KUUM_424</v>
          </cell>
          <cell r="E739">
            <v>134</v>
          </cell>
          <cell r="G739">
            <v>0</v>
          </cell>
          <cell r="H739">
            <v>0</v>
          </cell>
          <cell r="N739">
            <v>908.52</v>
          </cell>
          <cell r="O739">
            <v>0</v>
          </cell>
          <cell r="Q739">
            <v>0</v>
          </cell>
          <cell r="S739">
            <v>0</v>
          </cell>
          <cell r="U739">
            <v>0</v>
          </cell>
          <cell r="Y739">
            <v>93.8</v>
          </cell>
          <cell r="AB739">
            <v>32.159999999999997</v>
          </cell>
          <cell r="AE739" t="str">
            <v>20140101KUUM_424</v>
          </cell>
        </row>
        <row r="740">
          <cell r="B740" t="str">
            <v>Sep 2015</v>
          </cell>
          <cell r="C740" t="str">
            <v>RLS</v>
          </cell>
          <cell r="D740" t="str">
            <v>KUUM_425</v>
          </cell>
          <cell r="E740">
            <v>2</v>
          </cell>
          <cell r="G740">
            <v>0</v>
          </cell>
          <cell r="H740">
            <v>0</v>
          </cell>
          <cell r="N740">
            <v>18.12</v>
          </cell>
          <cell r="O740">
            <v>0</v>
          </cell>
          <cell r="Q740">
            <v>0</v>
          </cell>
          <cell r="S740">
            <v>0</v>
          </cell>
          <cell r="U740">
            <v>0</v>
          </cell>
          <cell r="Y740">
            <v>8.6</v>
          </cell>
          <cell r="AB740">
            <v>0.66</v>
          </cell>
          <cell r="AE740" t="str">
            <v>20140101KUUM_425</v>
          </cell>
        </row>
        <row r="741">
          <cell r="B741" t="str">
            <v>Sep 2015</v>
          </cell>
          <cell r="C741" t="str">
            <v>RLS</v>
          </cell>
          <cell r="D741" t="str">
            <v>KUUM_426</v>
          </cell>
          <cell r="E741">
            <v>161</v>
          </cell>
          <cell r="G741">
            <v>0</v>
          </cell>
          <cell r="H741">
            <v>0</v>
          </cell>
          <cell r="N741">
            <v>1197.8399999999999</v>
          </cell>
          <cell r="O741">
            <v>0</v>
          </cell>
          <cell r="Q741">
            <v>0</v>
          </cell>
          <cell r="S741">
            <v>0</v>
          </cell>
          <cell r="U741">
            <v>0</v>
          </cell>
          <cell r="Y741">
            <v>128.80000000000001</v>
          </cell>
          <cell r="AB741">
            <v>69.23</v>
          </cell>
          <cell r="AE741" t="str">
            <v>20140101KUUM_426</v>
          </cell>
        </row>
        <row r="742">
          <cell r="B742" t="str">
            <v>Sep 2015</v>
          </cell>
          <cell r="C742" t="str">
            <v>LS</v>
          </cell>
          <cell r="D742" t="str">
            <v>KUUM_428</v>
          </cell>
          <cell r="E742">
            <v>34832</v>
          </cell>
          <cell r="G742">
            <v>0</v>
          </cell>
          <cell r="H742">
            <v>0</v>
          </cell>
          <cell r="N742">
            <v>273082.88</v>
          </cell>
          <cell r="O742">
            <v>0</v>
          </cell>
          <cell r="Q742">
            <v>0</v>
          </cell>
          <cell r="S742">
            <v>0</v>
          </cell>
          <cell r="U742">
            <v>0</v>
          </cell>
          <cell r="Y742">
            <v>39360.160000000003</v>
          </cell>
          <cell r="AB742">
            <v>11842.880000000001</v>
          </cell>
          <cell r="AE742" t="str">
            <v>20140101KUUM_428</v>
          </cell>
        </row>
        <row r="743">
          <cell r="B743" t="str">
            <v>Sep 2015</v>
          </cell>
          <cell r="C743" t="str">
            <v>LS</v>
          </cell>
          <cell r="D743" t="str">
            <v>KUUM_429</v>
          </cell>
          <cell r="E743">
            <v>0</v>
          </cell>
          <cell r="G743">
            <v>0</v>
          </cell>
          <cell r="H743">
            <v>0</v>
          </cell>
          <cell r="N743">
            <v>0</v>
          </cell>
          <cell r="O743">
            <v>0</v>
          </cell>
          <cell r="Q743">
            <v>0</v>
          </cell>
          <cell r="S743">
            <v>0</v>
          </cell>
          <cell r="U743">
            <v>0</v>
          </cell>
          <cell r="Y743">
            <v>0</v>
          </cell>
          <cell r="AB743">
            <v>0</v>
          </cell>
          <cell r="AE743" t="str">
            <v>20140101KUUM_429</v>
          </cell>
        </row>
        <row r="744">
          <cell r="B744" t="str">
            <v>Sep 2015</v>
          </cell>
          <cell r="C744" t="str">
            <v>LS</v>
          </cell>
          <cell r="D744" t="str">
            <v>KUUM_430</v>
          </cell>
          <cell r="E744">
            <v>1087</v>
          </cell>
          <cell r="G744">
            <v>0</v>
          </cell>
          <cell r="H744">
            <v>0</v>
          </cell>
          <cell r="N744">
            <v>23914</v>
          </cell>
          <cell r="O744">
            <v>0</v>
          </cell>
          <cell r="Q744">
            <v>0</v>
          </cell>
          <cell r="S744">
            <v>0</v>
          </cell>
          <cell r="U744">
            <v>0</v>
          </cell>
          <cell r="Y744">
            <v>1228.31</v>
          </cell>
          <cell r="AB744">
            <v>369.58000000000004</v>
          </cell>
          <cell r="AE744" t="str">
            <v>20140101KUUM_430</v>
          </cell>
        </row>
        <row r="745">
          <cell r="B745" t="str">
            <v>Sep 2015</v>
          </cell>
          <cell r="C745" t="str">
            <v>RLS</v>
          </cell>
          <cell r="D745" t="str">
            <v>KUUM_434</v>
          </cell>
          <cell r="E745">
            <v>8</v>
          </cell>
          <cell r="G745">
            <v>0</v>
          </cell>
          <cell r="H745">
            <v>0</v>
          </cell>
          <cell r="N745">
            <v>61.92</v>
          </cell>
          <cell r="O745">
            <v>0</v>
          </cell>
          <cell r="Q745">
            <v>0</v>
          </cell>
          <cell r="S745">
            <v>0</v>
          </cell>
          <cell r="U745">
            <v>0</v>
          </cell>
          <cell r="Y745">
            <v>5.6</v>
          </cell>
          <cell r="AB745">
            <v>1.92</v>
          </cell>
          <cell r="AE745" t="str">
            <v>20140101KUUM_434</v>
          </cell>
        </row>
        <row r="746">
          <cell r="B746" t="str">
            <v>Sep 2015</v>
          </cell>
          <cell r="C746" t="str">
            <v>RLS</v>
          </cell>
          <cell r="D746" t="str">
            <v>KUUM_440</v>
          </cell>
          <cell r="E746">
            <v>2</v>
          </cell>
          <cell r="G746">
            <v>0</v>
          </cell>
          <cell r="H746">
            <v>0</v>
          </cell>
          <cell r="N746">
            <v>27.22</v>
          </cell>
          <cell r="O746">
            <v>0</v>
          </cell>
          <cell r="Q746">
            <v>0</v>
          </cell>
          <cell r="S746">
            <v>0</v>
          </cell>
          <cell r="U746">
            <v>0</v>
          </cell>
          <cell r="Y746">
            <v>1.1399999999999999</v>
          </cell>
          <cell r="AB746">
            <v>0.66</v>
          </cell>
          <cell r="AE746" t="str">
            <v>20140101KUUM_440</v>
          </cell>
        </row>
        <row r="747">
          <cell r="B747" t="str">
            <v>Sep 2015</v>
          </cell>
          <cell r="C747" t="str">
            <v>RLS</v>
          </cell>
          <cell r="D747" t="str">
            <v>KUUM_446</v>
          </cell>
          <cell r="E747">
            <v>1038</v>
          </cell>
          <cell r="G747">
            <v>0</v>
          </cell>
          <cell r="H747">
            <v>0</v>
          </cell>
          <cell r="N747">
            <v>9923.2800000000007</v>
          </cell>
          <cell r="O747">
            <v>0</v>
          </cell>
          <cell r="Q747">
            <v>0</v>
          </cell>
          <cell r="S747">
            <v>0</v>
          </cell>
          <cell r="U747">
            <v>0</v>
          </cell>
          <cell r="Y747">
            <v>2065.62</v>
          </cell>
          <cell r="AB747">
            <v>404.82</v>
          </cell>
          <cell r="AE747" t="str">
            <v>20140101KUUM_446</v>
          </cell>
        </row>
        <row r="748">
          <cell r="B748" t="str">
            <v>Sep 2015</v>
          </cell>
          <cell r="C748" t="str">
            <v>RLS</v>
          </cell>
          <cell r="D748" t="str">
            <v>KUUM_447</v>
          </cell>
          <cell r="E748">
            <v>728</v>
          </cell>
          <cell r="G748">
            <v>0</v>
          </cell>
          <cell r="H748">
            <v>0</v>
          </cell>
          <cell r="N748">
            <v>8240.9599999999991</v>
          </cell>
          <cell r="O748">
            <v>0</v>
          </cell>
          <cell r="Q748">
            <v>0</v>
          </cell>
          <cell r="S748">
            <v>0</v>
          </cell>
          <cell r="U748">
            <v>0</v>
          </cell>
          <cell r="Y748">
            <v>2067.52</v>
          </cell>
          <cell r="AB748">
            <v>320.32</v>
          </cell>
          <cell r="AE748" t="str">
            <v>20140101KUUM_447</v>
          </cell>
        </row>
        <row r="749">
          <cell r="B749" t="str">
            <v>Sep 2015</v>
          </cell>
          <cell r="C749" t="str">
            <v>RLS</v>
          </cell>
          <cell r="D749" t="str">
            <v>KUUM_448</v>
          </cell>
          <cell r="E749">
            <v>1562</v>
          </cell>
          <cell r="G749">
            <v>0</v>
          </cell>
          <cell r="H749">
            <v>0</v>
          </cell>
          <cell r="N749">
            <v>20009.22</v>
          </cell>
          <cell r="O749">
            <v>0</v>
          </cell>
          <cell r="Q749">
            <v>0</v>
          </cell>
          <cell r="S749">
            <v>0</v>
          </cell>
          <cell r="U749">
            <v>0</v>
          </cell>
          <cell r="Y749">
            <v>6825.94</v>
          </cell>
          <cell r="AB749">
            <v>796.62</v>
          </cell>
          <cell r="AE749" t="str">
            <v>20140101KUUM_448</v>
          </cell>
        </row>
        <row r="750">
          <cell r="B750" t="str">
            <v>Sep 2015</v>
          </cell>
          <cell r="C750" t="str">
            <v>LS</v>
          </cell>
          <cell r="D750" t="str">
            <v>KUUM_450</v>
          </cell>
          <cell r="E750">
            <v>614</v>
          </cell>
          <cell r="G750">
            <v>0</v>
          </cell>
          <cell r="H750">
            <v>0</v>
          </cell>
          <cell r="N750">
            <v>8749.5</v>
          </cell>
          <cell r="O750">
            <v>0</v>
          </cell>
          <cell r="Q750">
            <v>0</v>
          </cell>
          <cell r="S750">
            <v>0</v>
          </cell>
          <cell r="U750">
            <v>0</v>
          </cell>
          <cell r="Y750">
            <v>1209.58</v>
          </cell>
          <cell r="AB750">
            <v>405.24</v>
          </cell>
          <cell r="AE750" t="str">
            <v>20140101KUUM_450</v>
          </cell>
        </row>
        <row r="751">
          <cell r="B751" t="str">
            <v>Sep 2015</v>
          </cell>
          <cell r="C751" t="str">
            <v>LS</v>
          </cell>
          <cell r="D751" t="str">
            <v>KUUM_451</v>
          </cell>
          <cell r="E751">
            <v>4845</v>
          </cell>
          <cell r="G751">
            <v>0</v>
          </cell>
          <cell r="H751">
            <v>0</v>
          </cell>
          <cell r="N751">
            <v>97869</v>
          </cell>
          <cell r="O751">
            <v>0</v>
          </cell>
          <cell r="Q751">
            <v>0</v>
          </cell>
          <cell r="S751">
            <v>0</v>
          </cell>
          <cell r="U751">
            <v>0</v>
          </cell>
          <cell r="Y751">
            <v>20785.05</v>
          </cell>
          <cell r="AB751">
            <v>4069.7999999999997</v>
          </cell>
          <cell r="AE751" t="str">
            <v>20140101KUUM_451</v>
          </cell>
        </row>
        <row r="752">
          <cell r="B752" t="str">
            <v>Sep 2015</v>
          </cell>
          <cell r="C752" t="str">
            <v>LS</v>
          </cell>
          <cell r="D752" t="str">
            <v>KUUM_452</v>
          </cell>
          <cell r="E752">
            <v>993</v>
          </cell>
          <cell r="G752">
            <v>0</v>
          </cell>
          <cell r="H752">
            <v>0</v>
          </cell>
          <cell r="N752">
            <v>42053.55</v>
          </cell>
          <cell r="O752">
            <v>0</v>
          </cell>
          <cell r="Q752">
            <v>0</v>
          </cell>
          <cell r="S752">
            <v>0</v>
          </cell>
          <cell r="U752">
            <v>0</v>
          </cell>
          <cell r="Y752">
            <v>10337.129999999999</v>
          </cell>
          <cell r="AB752">
            <v>1688.1</v>
          </cell>
          <cell r="AE752" t="str">
            <v>20140101KUUM_452</v>
          </cell>
        </row>
        <row r="753">
          <cell r="B753" t="str">
            <v>Sep 2015</v>
          </cell>
          <cell r="C753" t="str">
            <v>RLS</v>
          </cell>
          <cell r="D753" t="str">
            <v>KUUM_454</v>
          </cell>
          <cell r="E753">
            <v>142</v>
          </cell>
          <cell r="G753">
            <v>0</v>
          </cell>
          <cell r="H753">
            <v>0</v>
          </cell>
          <cell r="N753">
            <v>2648.3</v>
          </cell>
          <cell r="O753">
            <v>0</v>
          </cell>
          <cell r="Q753">
            <v>0</v>
          </cell>
          <cell r="S753">
            <v>0</v>
          </cell>
          <cell r="U753">
            <v>0</v>
          </cell>
          <cell r="Y753">
            <v>279.74</v>
          </cell>
          <cell r="AB753">
            <v>93.72</v>
          </cell>
          <cell r="AE753" t="str">
            <v>20140101KUUM_454</v>
          </cell>
        </row>
        <row r="754">
          <cell r="B754" t="str">
            <v>Sep 2015</v>
          </cell>
          <cell r="C754" t="str">
            <v>RLS</v>
          </cell>
          <cell r="D754" t="str">
            <v>KUUM_455</v>
          </cell>
          <cell r="E754">
            <v>991</v>
          </cell>
          <cell r="G754">
            <v>0</v>
          </cell>
          <cell r="H754">
            <v>0</v>
          </cell>
          <cell r="N754">
            <v>24368.69</v>
          </cell>
          <cell r="O754">
            <v>0</v>
          </cell>
          <cell r="Q754">
            <v>0</v>
          </cell>
          <cell r="S754">
            <v>0</v>
          </cell>
          <cell r="U754">
            <v>0</v>
          </cell>
          <cell r="Y754">
            <v>4251.3900000000003</v>
          </cell>
          <cell r="AB754">
            <v>832.43999999999994</v>
          </cell>
          <cell r="AE754" t="str">
            <v>20140101KUUM_455</v>
          </cell>
        </row>
        <row r="755">
          <cell r="B755" t="str">
            <v>Sep 2015</v>
          </cell>
          <cell r="C755" t="str">
            <v>RLS</v>
          </cell>
          <cell r="D755" t="str">
            <v>KUUM_456</v>
          </cell>
          <cell r="E755">
            <v>135</v>
          </cell>
          <cell r="G755">
            <v>0</v>
          </cell>
          <cell r="H755">
            <v>0</v>
          </cell>
          <cell r="N755">
            <v>1602.45</v>
          </cell>
          <cell r="O755">
            <v>0</v>
          </cell>
          <cell r="Q755">
            <v>0</v>
          </cell>
          <cell r="S755">
            <v>0</v>
          </cell>
          <cell r="U755">
            <v>0</v>
          </cell>
          <cell r="Y755">
            <v>268.64999999999998</v>
          </cell>
          <cell r="AB755">
            <v>52.65</v>
          </cell>
          <cell r="AE755" t="str">
            <v>20140101KUUM_456</v>
          </cell>
        </row>
        <row r="756">
          <cell r="B756" t="str">
            <v>Sep 2015</v>
          </cell>
          <cell r="C756" t="str">
            <v>RLS</v>
          </cell>
          <cell r="D756" t="str">
            <v>KUUM_457</v>
          </cell>
          <cell r="E756">
            <v>440</v>
          </cell>
          <cell r="G756">
            <v>0</v>
          </cell>
          <cell r="H756">
            <v>-93</v>
          </cell>
          <cell r="N756">
            <v>5878.4</v>
          </cell>
          <cell r="O756">
            <v>0</v>
          </cell>
          <cell r="Q756">
            <v>0</v>
          </cell>
          <cell r="S756">
            <v>0</v>
          </cell>
          <cell r="U756">
            <v>0</v>
          </cell>
          <cell r="Y756">
            <v>1249.5999999999999</v>
          </cell>
          <cell r="AB756">
            <v>193.6</v>
          </cell>
          <cell r="AE756" t="str">
            <v>20140101KUUM_457</v>
          </cell>
        </row>
        <row r="757">
          <cell r="B757" t="str">
            <v>Sep 2015</v>
          </cell>
          <cell r="C757" t="str">
            <v>RLS</v>
          </cell>
          <cell r="D757" t="str">
            <v>KUUM_458</v>
          </cell>
          <cell r="E757">
            <v>1451</v>
          </cell>
          <cell r="G757">
            <v>0</v>
          </cell>
          <cell r="H757">
            <v>0</v>
          </cell>
          <cell r="N757">
            <v>21881.08</v>
          </cell>
          <cell r="O757">
            <v>0</v>
          </cell>
          <cell r="Q757">
            <v>0</v>
          </cell>
          <cell r="S757">
            <v>0</v>
          </cell>
          <cell r="U757">
            <v>0</v>
          </cell>
          <cell r="Y757">
            <v>6340.87</v>
          </cell>
          <cell r="AB757">
            <v>740.01</v>
          </cell>
          <cell r="AE757" t="str">
            <v>20140101KUUM_458</v>
          </cell>
        </row>
        <row r="758">
          <cell r="B758" t="str">
            <v>Sep 2015</v>
          </cell>
          <cell r="C758" t="str">
            <v>RLS</v>
          </cell>
          <cell r="D758" t="str">
            <v>KUUM_459</v>
          </cell>
          <cell r="E758">
            <v>216</v>
          </cell>
          <cell r="G758">
            <v>0</v>
          </cell>
          <cell r="H758">
            <v>0</v>
          </cell>
          <cell r="N758">
            <v>10095.84</v>
          </cell>
          <cell r="O758">
            <v>0</v>
          </cell>
          <cell r="Q758">
            <v>0</v>
          </cell>
          <cell r="S758">
            <v>0</v>
          </cell>
          <cell r="U758">
            <v>0</v>
          </cell>
          <cell r="Y758">
            <v>2248.56</v>
          </cell>
          <cell r="AB758">
            <v>367.2</v>
          </cell>
          <cell r="AE758" t="str">
            <v>20140101KUUM_459</v>
          </cell>
        </row>
        <row r="759">
          <cell r="B759" t="str">
            <v>Sep 2015</v>
          </cell>
          <cell r="C759" t="str">
            <v>RLS</v>
          </cell>
          <cell r="D759" t="str">
            <v>KUUM_460</v>
          </cell>
          <cell r="E759">
            <v>27</v>
          </cell>
          <cell r="G759">
            <v>0</v>
          </cell>
          <cell r="H759">
            <v>0</v>
          </cell>
          <cell r="N759">
            <v>733.05</v>
          </cell>
          <cell r="O759">
            <v>0</v>
          </cell>
          <cell r="Q759">
            <v>0</v>
          </cell>
          <cell r="S759">
            <v>0</v>
          </cell>
          <cell r="U759">
            <v>0</v>
          </cell>
          <cell r="Y759">
            <v>53.19</v>
          </cell>
          <cell r="AB759">
            <v>17.82</v>
          </cell>
          <cell r="AE759" t="str">
            <v>20140101KUUM_460</v>
          </cell>
        </row>
        <row r="760">
          <cell r="B760" t="str">
            <v>Sep 2015</v>
          </cell>
          <cell r="C760" t="str">
            <v>RLS</v>
          </cell>
          <cell r="D760" t="str">
            <v>KUUM_461</v>
          </cell>
          <cell r="E760">
            <v>6651</v>
          </cell>
          <cell r="G760">
            <v>0</v>
          </cell>
          <cell r="H760">
            <v>0</v>
          </cell>
          <cell r="N760">
            <v>50148.54</v>
          </cell>
          <cell r="O760">
            <v>0</v>
          </cell>
          <cell r="Q760">
            <v>0</v>
          </cell>
          <cell r="S760">
            <v>0</v>
          </cell>
          <cell r="U760">
            <v>0</v>
          </cell>
          <cell r="Y760">
            <v>3791.07</v>
          </cell>
          <cell r="AB760">
            <v>2194.83</v>
          </cell>
          <cell r="AE760" t="str">
            <v>20140101KUUM_461</v>
          </cell>
        </row>
        <row r="761">
          <cell r="B761" t="str">
            <v>Sep 2015</v>
          </cell>
          <cell r="C761" t="str">
            <v>LS</v>
          </cell>
          <cell r="D761" t="str">
            <v>KUUM_462</v>
          </cell>
          <cell r="E761">
            <v>7035</v>
          </cell>
          <cell r="G761">
            <v>0</v>
          </cell>
          <cell r="H761">
            <v>0</v>
          </cell>
          <cell r="N761">
            <v>60923.1</v>
          </cell>
          <cell r="O761">
            <v>0</v>
          </cell>
          <cell r="Q761">
            <v>0</v>
          </cell>
          <cell r="S761">
            <v>0</v>
          </cell>
          <cell r="U761">
            <v>0</v>
          </cell>
          <cell r="Y761">
            <v>5628</v>
          </cell>
          <cell r="AB761">
            <v>3025.0499999999997</v>
          </cell>
          <cell r="AE761" t="str">
            <v>20140101KUUM_462</v>
          </cell>
        </row>
        <row r="762">
          <cell r="B762" t="str">
            <v>Sep 2015</v>
          </cell>
          <cell r="C762" t="str">
            <v>LS</v>
          </cell>
          <cell r="D762" t="str">
            <v>KUUM_463</v>
          </cell>
          <cell r="E762">
            <v>19648</v>
          </cell>
          <cell r="G762">
            <v>0</v>
          </cell>
          <cell r="H762">
            <v>0</v>
          </cell>
          <cell r="N762">
            <v>179582.72</v>
          </cell>
          <cell r="O762">
            <v>0</v>
          </cell>
          <cell r="Q762">
            <v>0</v>
          </cell>
          <cell r="S762">
            <v>0</v>
          </cell>
          <cell r="U762">
            <v>0</v>
          </cell>
          <cell r="Y762">
            <v>22202.240000000002</v>
          </cell>
          <cell r="AB762">
            <v>6680.3200000000006</v>
          </cell>
          <cell r="AE762" t="str">
            <v>20140101KUUM_463</v>
          </cell>
        </row>
        <row r="763">
          <cell r="B763" t="str">
            <v>Sep 2015</v>
          </cell>
          <cell r="C763" t="str">
            <v>LS</v>
          </cell>
          <cell r="D763" t="str">
            <v>KUUM_464</v>
          </cell>
          <cell r="E763">
            <v>7196</v>
          </cell>
          <cell r="G763">
            <v>0</v>
          </cell>
          <cell r="H763">
            <v>0</v>
          </cell>
          <cell r="N763">
            <v>102543</v>
          </cell>
          <cell r="O763">
            <v>0</v>
          </cell>
          <cell r="Q763">
            <v>0</v>
          </cell>
          <cell r="S763">
            <v>0</v>
          </cell>
          <cell r="U763">
            <v>0</v>
          </cell>
          <cell r="Y763">
            <v>16766.68</v>
          </cell>
          <cell r="AB763">
            <v>4173.6799999999994</v>
          </cell>
          <cell r="AE763" t="str">
            <v>20140101KUUM_464</v>
          </cell>
        </row>
        <row r="764">
          <cell r="B764" t="str">
            <v>Sep 2015</v>
          </cell>
          <cell r="C764" t="str">
            <v>LS</v>
          </cell>
          <cell r="D764" t="str">
            <v>KUUM_465</v>
          </cell>
          <cell r="E764">
            <v>2704</v>
          </cell>
          <cell r="G764">
            <v>0</v>
          </cell>
          <cell r="H764">
            <v>0</v>
          </cell>
          <cell r="N764">
            <v>61759.360000000001</v>
          </cell>
          <cell r="O764">
            <v>0</v>
          </cell>
          <cell r="Q764">
            <v>0</v>
          </cell>
          <cell r="S764">
            <v>0</v>
          </cell>
          <cell r="U764">
            <v>0</v>
          </cell>
          <cell r="Y764">
            <v>12249.12</v>
          </cell>
          <cell r="AB764">
            <v>2136.1600000000003</v>
          </cell>
          <cell r="AE764" t="str">
            <v>20140101KUUM_465</v>
          </cell>
        </row>
        <row r="765">
          <cell r="B765" t="str">
            <v>Sep 2015</v>
          </cell>
          <cell r="C765" t="str">
            <v>RLS</v>
          </cell>
          <cell r="D765" t="str">
            <v>KUUM_466</v>
          </cell>
          <cell r="E765">
            <v>828</v>
          </cell>
          <cell r="G765">
            <v>0</v>
          </cell>
          <cell r="H765">
            <v>0</v>
          </cell>
          <cell r="N765">
            <v>7965.36</v>
          </cell>
          <cell r="O765">
            <v>0</v>
          </cell>
          <cell r="Q765">
            <v>0</v>
          </cell>
          <cell r="S765">
            <v>0</v>
          </cell>
          <cell r="U765">
            <v>0</v>
          </cell>
          <cell r="Y765">
            <v>471.96</v>
          </cell>
          <cell r="AB765">
            <v>273.24</v>
          </cell>
          <cell r="AE765" t="str">
            <v>20140101KUUM_466</v>
          </cell>
        </row>
        <row r="766">
          <cell r="B766" t="str">
            <v>Sep 2015</v>
          </cell>
          <cell r="C766" t="str">
            <v>LS</v>
          </cell>
          <cell r="D766" t="str">
            <v>KUUM_467</v>
          </cell>
          <cell r="E766">
            <v>1211</v>
          </cell>
          <cell r="G766">
            <v>0</v>
          </cell>
          <cell r="H766">
            <v>0</v>
          </cell>
          <cell r="N766">
            <v>13042.47</v>
          </cell>
          <cell r="O766">
            <v>0</v>
          </cell>
          <cell r="Q766">
            <v>0</v>
          </cell>
          <cell r="S766">
            <v>0</v>
          </cell>
          <cell r="U766">
            <v>0</v>
          </cell>
          <cell r="Y766">
            <v>968.8</v>
          </cell>
          <cell r="AB766">
            <v>520.73</v>
          </cell>
          <cell r="AE766" t="str">
            <v>20140101KUUM_467</v>
          </cell>
        </row>
        <row r="767">
          <cell r="B767" t="str">
            <v>Sep 2015</v>
          </cell>
          <cell r="C767" t="str">
            <v>LS</v>
          </cell>
          <cell r="D767" t="str">
            <v>KUUM_468</v>
          </cell>
          <cell r="E767">
            <v>3811</v>
          </cell>
          <cell r="G767">
            <v>0</v>
          </cell>
          <cell r="H767">
            <v>0</v>
          </cell>
          <cell r="N767">
            <v>42530.76</v>
          </cell>
          <cell r="O767">
            <v>0</v>
          </cell>
          <cell r="Q767">
            <v>0</v>
          </cell>
          <cell r="S767">
            <v>0</v>
          </cell>
          <cell r="U767">
            <v>0</v>
          </cell>
          <cell r="Y767">
            <v>4306.43</v>
          </cell>
          <cell r="AB767">
            <v>1295.74</v>
          </cell>
          <cell r="AE767" t="str">
            <v>20140101KUUM_468</v>
          </cell>
        </row>
        <row r="768">
          <cell r="B768" t="str">
            <v>Sep 2015</v>
          </cell>
          <cell r="C768" t="str">
            <v>RLS</v>
          </cell>
          <cell r="D768" t="str">
            <v>KUUM_469</v>
          </cell>
          <cell r="E768">
            <v>283</v>
          </cell>
          <cell r="G768">
            <v>0</v>
          </cell>
          <cell r="H768">
            <v>0</v>
          </cell>
          <cell r="N768">
            <v>9367.2999999999993</v>
          </cell>
          <cell r="O768">
            <v>0</v>
          </cell>
          <cell r="Q768">
            <v>0</v>
          </cell>
          <cell r="S768">
            <v>0</v>
          </cell>
          <cell r="U768">
            <v>0</v>
          </cell>
          <cell r="Y768">
            <v>1214.07</v>
          </cell>
          <cell r="AB768">
            <v>237.72</v>
          </cell>
          <cell r="AE768" t="str">
            <v>20140101KUUM_469</v>
          </cell>
        </row>
        <row r="769">
          <cell r="B769" t="str">
            <v>Sep 2015</v>
          </cell>
          <cell r="C769" t="str">
            <v>RLS</v>
          </cell>
          <cell r="D769" t="str">
            <v>KUUM_470</v>
          </cell>
          <cell r="E769">
            <v>68</v>
          </cell>
          <cell r="G769">
            <v>0</v>
          </cell>
          <cell r="H769">
            <v>0</v>
          </cell>
          <cell r="N769">
            <v>3757</v>
          </cell>
          <cell r="O769">
            <v>0</v>
          </cell>
          <cell r="Q769">
            <v>0</v>
          </cell>
          <cell r="S769">
            <v>0</v>
          </cell>
          <cell r="U769">
            <v>0</v>
          </cell>
          <cell r="Y769">
            <v>707.88</v>
          </cell>
          <cell r="AB769">
            <v>115.6</v>
          </cell>
          <cell r="AE769" t="str">
            <v>20140101KUUM_470</v>
          </cell>
        </row>
        <row r="770">
          <cell r="B770" t="str">
            <v>Sep 2015</v>
          </cell>
          <cell r="C770" t="str">
            <v>RLS</v>
          </cell>
          <cell r="D770" t="str">
            <v>KUUM_471</v>
          </cell>
          <cell r="E770">
            <v>3586</v>
          </cell>
          <cell r="G770">
            <v>0</v>
          </cell>
          <cell r="H770">
            <v>0</v>
          </cell>
          <cell r="N770">
            <v>37617.14</v>
          </cell>
          <cell r="O770">
            <v>0</v>
          </cell>
          <cell r="Q770">
            <v>0</v>
          </cell>
          <cell r="S770">
            <v>0</v>
          </cell>
          <cell r="U770">
            <v>0</v>
          </cell>
          <cell r="Y770">
            <v>2044.02</v>
          </cell>
          <cell r="AB770">
            <v>1183.3800000000001</v>
          </cell>
          <cell r="AE770" t="str">
            <v>20140101KUUM_471</v>
          </cell>
        </row>
        <row r="771">
          <cell r="B771" t="str">
            <v>Sep 2015</v>
          </cell>
          <cell r="C771" t="str">
            <v>LS</v>
          </cell>
          <cell r="D771" t="str">
            <v>KUUM_472</v>
          </cell>
          <cell r="E771">
            <v>8391</v>
          </cell>
          <cell r="G771">
            <v>0</v>
          </cell>
          <cell r="H771">
            <v>0</v>
          </cell>
          <cell r="N771">
            <v>97335.6</v>
          </cell>
          <cell r="O771">
            <v>0</v>
          </cell>
          <cell r="Q771">
            <v>0</v>
          </cell>
          <cell r="S771">
            <v>0</v>
          </cell>
          <cell r="U771">
            <v>0</v>
          </cell>
          <cell r="Y771">
            <v>6712.8</v>
          </cell>
          <cell r="AB771">
            <v>3608.13</v>
          </cell>
          <cell r="AE771" t="str">
            <v>20140101KUUM_472</v>
          </cell>
        </row>
        <row r="772">
          <cell r="B772" t="str">
            <v>Sep 2015</v>
          </cell>
          <cell r="C772" t="str">
            <v>LS</v>
          </cell>
          <cell r="D772" t="str">
            <v>KUUM_473</v>
          </cell>
          <cell r="E772">
            <v>3288</v>
          </cell>
          <cell r="G772">
            <v>0</v>
          </cell>
          <cell r="H772">
            <v>0</v>
          </cell>
          <cell r="N772">
            <v>40442.400000000001</v>
          </cell>
          <cell r="O772">
            <v>0</v>
          </cell>
          <cell r="Q772">
            <v>0</v>
          </cell>
          <cell r="S772">
            <v>0</v>
          </cell>
          <cell r="U772">
            <v>0</v>
          </cell>
          <cell r="Y772">
            <v>3715.44</v>
          </cell>
          <cell r="AB772">
            <v>1117.92</v>
          </cell>
          <cell r="AE772" t="str">
            <v>20140101KUUM_473</v>
          </cell>
        </row>
        <row r="773">
          <cell r="B773" t="str">
            <v>Sep 2015</v>
          </cell>
          <cell r="C773" t="str">
            <v>LS</v>
          </cell>
          <cell r="D773" t="str">
            <v>KUUM_474</v>
          </cell>
          <cell r="E773">
            <v>4910</v>
          </cell>
          <cell r="G773">
            <v>0</v>
          </cell>
          <cell r="H773">
            <v>0</v>
          </cell>
          <cell r="N773">
            <v>85483.1</v>
          </cell>
          <cell r="O773">
            <v>0</v>
          </cell>
          <cell r="Q773">
            <v>0</v>
          </cell>
          <cell r="S773">
            <v>0</v>
          </cell>
          <cell r="U773">
            <v>0</v>
          </cell>
          <cell r="Y773">
            <v>11440.3</v>
          </cell>
          <cell r="AB773">
            <v>2847.7999999999997</v>
          </cell>
          <cell r="AE773" t="str">
            <v>20140101KUUM_474</v>
          </cell>
        </row>
        <row r="774">
          <cell r="B774" t="str">
            <v>Sep 2015</v>
          </cell>
          <cell r="C774" t="str">
            <v>LS</v>
          </cell>
          <cell r="D774" t="str">
            <v>KUUM_475</v>
          </cell>
          <cell r="E774">
            <v>470</v>
          </cell>
          <cell r="G774">
            <v>0</v>
          </cell>
          <cell r="H774">
            <v>254</v>
          </cell>
          <cell r="N774">
            <v>11496.2</v>
          </cell>
          <cell r="O774">
            <v>0</v>
          </cell>
          <cell r="Q774">
            <v>0</v>
          </cell>
          <cell r="S774">
            <v>0</v>
          </cell>
          <cell r="U774">
            <v>0</v>
          </cell>
          <cell r="Y774">
            <v>2129.1</v>
          </cell>
          <cell r="AB774">
            <v>371.3</v>
          </cell>
          <cell r="AE774" t="str">
            <v>20140101KUUM_475</v>
          </cell>
        </row>
        <row r="775">
          <cell r="B775" t="str">
            <v>Sep 2015</v>
          </cell>
          <cell r="C775" t="str">
            <v>LS</v>
          </cell>
          <cell r="D775" t="str">
            <v>KUUM_476</v>
          </cell>
          <cell r="E775">
            <v>4455</v>
          </cell>
          <cell r="G775">
            <v>0</v>
          </cell>
          <cell r="H775">
            <v>0</v>
          </cell>
          <cell r="N775">
            <v>74799.45</v>
          </cell>
          <cell r="O775">
            <v>0</v>
          </cell>
          <cell r="Q775">
            <v>0</v>
          </cell>
          <cell r="S775">
            <v>0</v>
          </cell>
          <cell r="U775">
            <v>0</v>
          </cell>
          <cell r="Y775">
            <v>3564</v>
          </cell>
          <cell r="AB775">
            <v>1915.6499999999999</v>
          </cell>
          <cell r="AE775" t="str">
            <v>20140101KUUM_476</v>
          </cell>
        </row>
        <row r="776">
          <cell r="B776" t="str">
            <v>Sep 2015</v>
          </cell>
          <cell r="C776" t="str">
            <v>LS</v>
          </cell>
          <cell r="D776" t="str">
            <v>KUUM_477</v>
          </cell>
          <cell r="E776">
            <v>1033</v>
          </cell>
          <cell r="G776">
            <v>0</v>
          </cell>
          <cell r="H776">
            <v>0</v>
          </cell>
          <cell r="N776">
            <v>21662.01</v>
          </cell>
          <cell r="O776">
            <v>0</v>
          </cell>
          <cell r="Q776">
            <v>0</v>
          </cell>
          <cell r="S776">
            <v>0</v>
          </cell>
          <cell r="U776">
            <v>0</v>
          </cell>
          <cell r="Y776">
            <v>1167.29</v>
          </cell>
          <cell r="AB776">
            <v>351.22</v>
          </cell>
          <cell r="AE776" t="str">
            <v>20140101KUUM_477</v>
          </cell>
        </row>
        <row r="777">
          <cell r="B777" t="str">
            <v>Sep 2015</v>
          </cell>
          <cell r="C777" t="str">
            <v>LS</v>
          </cell>
          <cell r="D777" t="str">
            <v>KUUM_478</v>
          </cell>
          <cell r="E777">
            <v>1364</v>
          </cell>
          <cell r="G777">
            <v>0</v>
          </cell>
          <cell r="H777">
            <v>0</v>
          </cell>
          <cell r="N777">
            <v>36637.040000000001</v>
          </cell>
          <cell r="O777">
            <v>0</v>
          </cell>
          <cell r="Q777">
            <v>0</v>
          </cell>
          <cell r="S777">
            <v>0</v>
          </cell>
          <cell r="U777">
            <v>0</v>
          </cell>
          <cell r="Y777">
            <v>3178.12</v>
          </cell>
          <cell r="AB777">
            <v>791.11999999999989</v>
          </cell>
          <cell r="AE777" t="str">
            <v>20140101KUUM_478</v>
          </cell>
        </row>
        <row r="778">
          <cell r="B778" t="str">
            <v>Sep 2015</v>
          </cell>
          <cell r="C778" t="str">
            <v>LS</v>
          </cell>
          <cell r="D778" t="str">
            <v>KUUM_479</v>
          </cell>
          <cell r="E778">
            <v>889</v>
          </cell>
          <cell r="G778">
            <v>0</v>
          </cell>
          <cell r="H778">
            <v>0</v>
          </cell>
          <cell r="N778">
            <v>29443.68</v>
          </cell>
          <cell r="O778">
            <v>0</v>
          </cell>
          <cell r="Q778">
            <v>0</v>
          </cell>
          <cell r="S778">
            <v>0</v>
          </cell>
          <cell r="U778">
            <v>0</v>
          </cell>
          <cell r="Y778">
            <v>4027.17</v>
          </cell>
          <cell r="AB778">
            <v>702.31000000000006</v>
          </cell>
          <cell r="AE778" t="str">
            <v>20140101KUUM_479</v>
          </cell>
        </row>
        <row r="779">
          <cell r="B779" t="str">
            <v>Sep 2015</v>
          </cell>
          <cell r="C779" t="str">
            <v>LS</v>
          </cell>
          <cell r="D779" t="str">
            <v>KUUM_486</v>
          </cell>
          <cell r="E779">
            <v>0</v>
          </cell>
          <cell r="G779">
            <v>0</v>
          </cell>
          <cell r="H779">
            <v>0</v>
          </cell>
          <cell r="N779">
            <v>0</v>
          </cell>
          <cell r="O779">
            <v>0</v>
          </cell>
          <cell r="Q779">
            <v>0</v>
          </cell>
          <cell r="S779">
            <v>0</v>
          </cell>
          <cell r="U779">
            <v>0</v>
          </cell>
          <cell r="Y779">
            <v>0</v>
          </cell>
          <cell r="AB779">
            <v>0</v>
          </cell>
          <cell r="AE779" t="str">
            <v>20140101KUUM_486</v>
          </cell>
        </row>
        <row r="780">
          <cell r="B780" t="str">
            <v>Sep 2015</v>
          </cell>
          <cell r="C780" t="str">
            <v>LS</v>
          </cell>
          <cell r="D780" t="str">
            <v>KUUM_487</v>
          </cell>
          <cell r="E780">
            <v>10616</v>
          </cell>
          <cell r="G780">
            <v>0</v>
          </cell>
          <cell r="H780">
            <v>0</v>
          </cell>
          <cell r="N780">
            <v>95544</v>
          </cell>
          <cell r="O780">
            <v>0</v>
          </cell>
          <cell r="Q780">
            <v>0</v>
          </cell>
          <cell r="S780">
            <v>0</v>
          </cell>
          <cell r="U780">
            <v>0</v>
          </cell>
          <cell r="Y780">
            <v>11996.08</v>
          </cell>
          <cell r="AB780">
            <v>3609.44</v>
          </cell>
          <cell r="AE780" t="str">
            <v>20140101KUUM_487</v>
          </cell>
        </row>
        <row r="781">
          <cell r="B781" t="str">
            <v>Sep 2015</v>
          </cell>
          <cell r="C781" t="str">
            <v>LS</v>
          </cell>
          <cell r="D781" t="str">
            <v>KUUM_488</v>
          </cell>
          <cell r="E781">
            <v>6292</v>
          </cell>
          <cell r="G781">
            <v>0</v>
          </cell>
          <cell r="H781">
            <v>0</v>
          </cell>
          <cell r="N781">
            <v>85822.88</v>
          </cell>
          <cell r="O781">
            <v>0</v>
          </cell>
          <cell r="Q781">
            <v>0</v>
          </cell>
          <cell r="S781">
            <v>0</v>
          </cell>
          <cell r="U781">
            <v>0</v>
          </cell>
          <cell r="Y781">
            <v>14660.36</v>
          </cell>
          <cell r="AB781">
            <v>3649.3599999999997</v>
          </cell>
          <cell r="AE781" t="str">
            <v>20140101KUUM_488</v>
          </cell>
        </row>
        <row r="782">
          <cell r="B782" t="str">
            <v>Sep 2015</v>
          </cell>
          <cell r="C782" t="str">
            <v>LS</v>
          </cell>
          <cell r="D782" t="str">
            <v>KUUM_489</v>
          </cell>
          <cell r="E782">
            <v>7976</v>
          </cell>
          <cell r="G782">
            <v>0</v>
          </cell>
          <cell r="H782">
            <v>0</v>
          </cell>
          <cell r="N782">
            <v>155212.96</v>
          </cell>
          <cell r="O782">
            <v>0</v>
          </cell>
          <cell r="Q782">
            <v>0</v>
          </cell>
          <cell r="S782">
            <v>0</v>
          </cell>
          <cell r="U782">
            <v>0</v>
          </cell>
          <cell r="Y782">
            <v>36131.279999999999</v>
          </cell>
          <cell r="AB782">
            <v>6301.04</v>
          </cell>
          <cell r="AE782" t="str">
            <v>20140101KUUM_489</v>
          </cell>
        </row>
        <row r="783">
          <cell r="B783" t="str">
            <v>Sep 2015</v>
          </cell>
          <cell r="C783" t="str">
            <v>LS</v>
          </cell>
          <cell r="D783" t="str">
            <v>KUUM_490</v>
          </cell>
          <cell r="E783">
            <v>56</v>
          </cell>
          <cell r="G783">
            <v>0</v>
          </cell>
          <cell r="H783">
            <v>0</v>
          </cell>
          <cell r="N783">
            <v>866.32</v>
          </cell>
          <cell r="O783">
            <v>0</v>
          </cell>
          <cell r="Q783">
            <v>0</v>
          </cell>
          <cell r="S783">
            <v>0</v>
          </cell>
          <cell r="U783">
            <v>0</v>
          </cell>
          <cell r="Y783">
            <v>110.32</v>
          </cell>
          <cell r="AB783">
            <v>36.96</v>
          </cell>
          <cell r="AE783" t="str">
            <v>20140101KUUM_490</v>
          </cell>
        </row>
        <row r="784">
          <cell r="B784" t="str">
            <v>Sep 2015</v>
          </cell>
          <cell r="C784" t="str">
            <v>LS</v>
          </cell>
          <cell r="D784" t="str">
            <v>KUUM_491</v>
          </cell>
          <cell r="E784">
            <v>311</v>
          </cell>
          <cell r="G784">
            <v>0</v>
          </cell>
          <cell r="H784">
            <v>0</v>
          </cell>
          <cell r="N784">
            <v>6820.23</v>
          </cell>
          <cell r="O784">
            <v>0</v>
          </cell>
          <cell r="Q784">
            <v>0</v>
          </cell>
          <cell r="S784">
            <v>0</v>
          </cell>
          <cell r="U784">
            <v>0</v>
          </cell>
          <cell r="Y784">
            <v>1334.19</v>
          </cell>
          <cell r="AB784">
            <v>261.24</v>
          </cell>
          <cell r="AE784" t="str">
            <v>20140101KUUM_491</v>
          </cell>
        </row>
        <row r="785">
          <cell r="B785" t="str">
            <v>Sep 2015</v>
          </cell>
          <cell r="C785" t="str">
            <v>LS</v>
          </cell>
          <cell r="D785" t="str">
            <v>KUUM_492</v>
          </cell>
          <cell r="E785">
            <v>2</v>
          </cell>
          <cell r="G785">
            <v>0</v>
          </cell>
          <cell r="H785">
            <v>0</v>
          </cell>
          <cell r="N785">
            <v>30.74</v>
          </cell>
          <cell r="O785">
            <v>0</v>
          </cell>
          <cell r="Q785">
            <v>0</v>
          </cell>
          <cell r="S785">
            <v>0</v>
          </cell>
          <cell r="U785">
            <v>0</v>
          </cell>
          <cell r="Y785">
            <v>1.6</v>
          </cell>
          <cell r="AB785">
            <v>0.86</v>
          </cell>
          <cell r="AE785" t="str">
            <v>20140101KUUM_492</v>
          </cell>
        </row>
        <row r="786">
          <cell r="B786" t="str">
            <v>Sep 2015</v>
          </cell>
          <cell r="C786" t="str">
            <v>LS</v>
          </cell>
          <cell r="D786" t="str">
            <v>KUUM_493</v>
          </cell>
          <cell r="E786">
            <v>48</v>
          </cell>
          <cell r="G786">
            <v>0</v>
          </cell>
          <cell r="H786">
            <v>0</v>
          </cell>
          <cell r="N786">
            <v>2193.6</v>
          </cell>
          <cell r="O786">
            <v>0</v>
          </cell>
          <cell r="Q786">
            <v>0</v>
          </cell>
          <cell r="S786">
            <v>0</v>
          </cell>
          <cell r="U786">
            <v>0</v>
          </cell>
          <cell r="Y786">
            <v>499.68</v>
          </cell>
          <cell r="AB786">
            <v>81.599999999999994</v>
          </cell>
          <cell r="AE786" t="str">
            <v>20140101KUUM_493</v>
          </cell>
        </row>
        <row r="787">
          <cell r="B787" t="str">
            <v>Sep 2015</v>
          </cell>
          <cell r="C787" t="str">
            <v>LS</v>
          </cell>
          <cell r="D787" t="str">
            <v>KUUM_494</v>
          </cell>
          <cell r="E787">
            <v>191</v>
          </cell>
          <cell r="G787">
            <v>0</v>
          </cell>
          <cell r="H787">
            <v>0</v>
          </cell>
          <cell r="N787">
            <v>5418.67</v>
          </cell>
          <cell r="O787">
            <v>0</v>
          </cell>
          <cell r="Q787">
            <v>0</v>
          </cell>
          <cell r="S787">
            <v>0</v>
          </cell>
          <cell r="U787">
            <v>0</v>
          </cell>
          <cell r="Y787">
            <v>376.27</v>
          </cell>
          <cell r="AB787">
            <v>126.06</v>
          </cell>
          <cell r="AE787" t="str">
            <v>20140101KUUM_494</v>
          </cell>
        </row>
        <row r="788">
          <cell r="B788" t="str">
            <v>Sep 2015</v>
          </cell>
          <cell r="C788" t="str">
            <v>LS</v>
          </cell>
          <cell r="D788" t="str">
            <v>KUUM_495</v>
          </cell>
          <cell r="E788">
            <v>612</v>
          </cell>
          <cell r="G788">
            <v>0</v>
          </cell>
          <cell r="H788">
            <v>0</v>
          </cell>
          <cell r="N788">
            <v>21315.96</v>
          </cell>
          <cell r="O788">
            <v>0</v>
          </cell>
          <cell r="Q788">
            <v>0</v>
          </cell>
          <cell r="S788">
            <v>0</v>
          </cell>
          <cell r="U788">
            <v>0</v>
          </cell>
          <cell r="Y788">
            <v>2625.48</v>
          </cell>
          <cell r="AB788">
            <v>514.07999999999993</v>
          </cell>
          <cell r="AE788" t="str">
            <v>20140101KUUM_495</v>
          </cell>
        </row>
        <row r="789">
          <cell r="B789" t="str">
            <v>Sep 2015</v>
          </cell>
          <cell r="C789" t="str">
            <v>LS</v>
          </cell>
          <cell r="D789" t="str">
            <v>KUUM_496</v>
          </cell>
          <cell r="E789">
            <v>159</v>
          </cell>
          <cell r="G789">
            <v>0</v>
          </cell>
          <cell r="H789">
            <v>0</v>
          </cell>
          <cell r="N789">
            <v>9315.81</v>
          </cell>
          <cell r="O789">
            <v>0</v>
          </cell>
          <cell r="Q789">
            <v>0</v>
          </cell>
          <cell r="S789">
            <v>0</v>
          </cell>
          <cell r="U789">
            <v>0</v>
          </cell>
          <cell r="Y789">
            <v>1655.19</v>
          </cell>
          <cell r="AB789">
            <v>270.3</v>
          </cell>
          <cell r="AE789" t="str">
            <v>20140101KUUM_496</v>
          </cell>
        </row>
        <row r="790">
          <cell r="B790" t="str">
            <v>Sep 2015</v>
          </cell>
          <cell r="C790" t="str">
            <v>LS</v>
          </cell>
          <cell r="D790" t="str">
            <v>KUUM_497</v>
          </cell>
          <cell r="E790">
            <v>7</v>
          </cell>
          <cell r="G790">
            <v>0</v>
          </cell>
          <cell r="H790">
            <v>0</v>
          </cell>
          <cell r="N790">
            <v>107.45</v>
          </cell>
          <cell r="O790">
            <v>0</v>
          </cell>
          <cell r="Q790">
            <v>0</v>
          </cell>
          <cell r="S790">
            <v>0</v>
          </cell>
          <cell r="U790">
            <v>0</v>
          </cell>
          <cell r="Y790">
            <v>7.91</v>
          </cell>
          <cell r="AB790">
            <v>2.3800000000000003</v>
          </cell>
          <cell r="AE790" t="str">
            <v>20140101KUUM_497</v>
          </cell>
        </row>
        <row r="791">
          <cell r="B791" t="str">
            <v>Sep 2015</v>
          </cell>
          <cell r="C791" t="str">
            <v>LS</v>
          </cell>
          <cell r="D791" t="str">
            <v>KUUM_498</v>
          </cell>
          <cell r="E791">
            <v>20</v>
          </cell>
          <cell r="G791">
            <v>0</v>
          </cell>
          <cell r="H791">
            <v>0</v>
          </cell>
          <cell r="N791">
            <v>354.4</v>
          </cell>
          <cell r="O791">
            <v>0</v>
          </cell>
          <cell r="Q791">
            <v>0</v>
          </cell>
          <cell r="S791">
            <v>0</v>
          </cell>
          <cell r="U791">
            <v>0</v>
          </cell>
          <cell r="Y791">
            <v>46.6</v>
          </cell>
          <cell r="AB791">
            <v>11.6</v>
          </cell>
          <cell r="AE791" t="str">
            <v>20140101KUUM_498</v>
          </cell>
        </row>
        <row r="792">
          <cell r="B792" t="str">
            <v>Sep 2015</v>
          </cell>
          <cell r="C792" t="str">
            <v>LS</v>
          </cell>
          <cell r="D792" t="str">
            <v>KUUM_499</v>
          </cell>
          <cell r="E792">
            <v>19</v>
          </cell>
          <cell r="G792">
            <v>0</v>
          </cell>
          <cell r="H792">
            <v>0</v>
          </cell>
          <cell r="N792">
            <v>408.31</v>
          </cell>
          <cell r="O792">
            <v>0</v>
          </cell>
          <cell r="Q792">
            <v>0</v>
          </cell>
          <cell r="S792">
            <v>0</v>
          </cell>
          <cell r="U792">
            <v>0</v>
          </cell>
          <cell r="Y792">
            <v>86.07</v>
          </cell>
          <cell r="AB792">
            <v>15.010000000000002</v>
          </cell>
          <cell r="AE792" t="str">
            <v>20140101KUUM_499</v>
          </cell>
        </row>
        <row r="793">
          <cell r="B793" t="str">
            <v>Sep 2015</v>
          </cell>
          <cell r="C793" t="str">
            <v>ODL</v>
          </cell>
          <cell r="D793" t="str">
            <v>ODL</v>
          </cell>
          <cell r="E793">
            <v>0</v>
          </cell>
          <cell r="G793">
            <v>8710078</v>
          </cell>
          <cell r="H793">
            <v>0</v>
          </cell>
          <cell r="N793">
            <v>0</v>
          </cell>
          <cell r="O793">
            <v>2038334</v>
          </cell>
          <cell r="Q793">
            <v>3654</v>
          </cell>
          <cell r="S793">
            <v>49611</v>
          </cell>
          <cell r="U793">
            <v>2091599</v>
          </cell>
          <cell r="Y793">
            <v>0</v>
          </cell>
          <cell r="AB793">
            <v>0</v>
          </cell>
          <cell r="AE793" t="str">
            <v>20140101ODL</v>
          </cell>
        </row>
        <row r="794">
          <cell r="B794" t="str">
            <v>Oct 2015</v>
          </cell>
          <cell r="C794" t="str">
            <v>LS</v>
          </cell>
          <cell r="D794" t="str">
            <v>KUUM_300</v>
          </cell>
          <cell r="E794">
            <v>0</v>
          </cell>
          <cell r="G794">
            <v>0</v>
          </cell>
          <cell r="H794">
            <v>0</v>
          </cell>
          <cell r="N794">
            <v>0</v>
          </cell>
          <cell r="O794">
            <v>0</v>
          </cell>
          <cell r="Q794">
            <v>0</v>
          </cell>
          <cell r="S794">
            <v>0</v>
          </cell>
          <cell r="U794">
            <v>0</v>
          </cell>
          <cell r="Y794">
            <v>0</v>
          </cell>
          <cell r="AB794">
            <v>0</v>
          </cell>
          <cell r="AE794" t="str">
            <v>20140101KUUM_300</v>
          </cell>
        </row>
        <row r="795">
          <cell r="B795" t="str">
            <v>Oct 2015</v>
          </cell>
          <cell r="C795" t="str">
            <v>LS</v>
          </cell>
          <cell r="D795" t="str">
            <v>KUUM_301</v>
          </cell>
          <cell r="E795">
            <v>0</v>
          </cell>
          <cell r="G795">
            <v>0</v>
          </cell>
          <cell r="H795">
            <v>0</v>
          </cell>
          <cell r="N795">
            <v>0</v>
          </cell>
          <cell r="O795">
            <v>0</v>
          </cell>
          <cell r="Q795">
            <v>0</v>
          </cell>
          <cell r="S795">
            <v>0</v>
          </cell>
          <cell r="U795">
            <v>0</v>
          </cell>
          <cell r="Y795">
            <v>0</v>
          </cell>
          <cell r="AB795">
            <v>0</v>
          </cell>
          <cell r="AE795" t="str">
            <v>20140101KUUM_301</v>
          </cell>
        </row>
        <row r="796">
          <cell r="B796" t="str">
            <v>Oct 2015</v>
          </cell>
          <cell r="C796" t="str">
            <v>LS</v>
          </cell>
          <cell r="D796" t="str">
            <v>KUUM_360</v>
          </cell>
          <cell r="E796">
            <v>172</v>
          </cell>
          <cell r="G796">
            <v>0</v>
          </cell>
          <cell r="H796">
            <v>0</v>
          </cell>
          <cell r="N796">
            <v>9516.76</v>
          </cell>
          <cell r="O796">
            <v>0</v>
          </cell>
          <cell r="Q796">
            <v>0</v>
          </cell>
          <cell r="S796">
            <v>0</v>
          </cell>
          <cell r="U796">
            <v>0</v>
          </cell>
          <cell r="Y796">
            <v>301</v>
          </cell>
          <cell r="AB796">
            <v>414.52000000000004</v>
          </cell>
          <cell r="AE796" t="str">
            <v>20140101KUUM_360</v>
          </cell>
        </row>
        <row r="797">
          <cell r="B797" t="str">
            <v>Oct 2015</v>
          </cell>
          <cell r="C797" t="str">
            <v>LS</v>
          </cell>
          <cell r="D797" t="str">
            <v>KUUM_361</v>
          </cell>
          <cell r="E797">
            <v>26</v>
          </cell>
          <cell r="G797">
            <v>0</v>
          </cell>
          <cell r="H797">
            <v>0</v>
          </cell>
          <cell r="N797">
            <v>2162.16</v>
          </cell>
          <cell r="O797">
            <v>0</v>
          </cell>
          <cell r="Q797">
            <v>0</v>
          </cell>
          <cell r="S797">
            <v>0</v>
          </cell>
          <cell r="U797">
            <v>0</v>
          </cell>
          <cell r="Y797">
            <v>45.5</v>
          </cell>
          <cell r="AB797">
            <v>62.660000000000004</v>
          </cell>
          <cell r="AE797" t="str">
            <v>20140101KUUM_361</v>
          </cell>
        </row>
        <row r="798">
          <cell r="B798" t="str">
            <v>Oct 2015</v>
          </cell>
          <cell r="C798" t="str">
            <v>LS</v>
          </cell>
          <cell r="D798" t="str">
            <v>KUUM_362</v>
          </cell>
          <cell r="E798">
            <v>44</v>
          </cell>
          <cell r="G798">
            <v>0</v>
          </cell>
          <cell r="H798">
            <v>0</v>
          </cell>
          <cell r="N798">
            <v>2630.32</v>
          </cell>
          <cell r="O798">
            <v>0</v>
          </cell>
          <cell r="Q798">
            <v>0</v>
          </cell>
          <cell r="S798">
            <v>0</v>
          </cell>
          <cell r="U798">
            <v>0</v>
          </cell>
          <cell r="Y798">
            <v>77</v>
          </cell>
          <cell r="AB798">
            <v>106.04</v>
          </cell>
          <cell r="AE798" t="str">
            <v>20140101KUUM_362</v>
          </cell>
        </row>
        <row r="799">
          <cell r="B799" t="str">
            <v>Oct 2015</v>
          </cell>
          <cell r="C799" t="str">
            <v>LS</v>
          </cell>
          <cell r="D799" t="str">
            <v>KUUM_363</v>
          </cell>
          <cell r="E799">
            <v>5</v>
          </cell>
          <cell r="G799">
            <v>0</v>
          </cell>
          <cell r="H799">
            <v>0</v>
          </cell>
          <cell r="N799">
            <v>308.75</v>
          </cell>
          <cell r="O799">
            <v>0</v>
          </cell>
          <cell r="Q799">
            <v>0</v>
          </cell>
          <cell r="S799">
            <v>0</v>
          </cell>
          <cell r="U799">
            <v>0</v>
          </cell>
          <cell r="Y799">
            <v>8.75</v>
          </cell>
          <cell r="AB799">
            <v>12.05</v>
          </cell>
          <cell r="AE799" t="str">
            <v>20140101KUUM_363</v>
          </cell>
        </row>
        <row r="800">
          <cell r="B800" t="str">
            <v>Oct 2015</v>
          </cell>
          <cell r="C800" t="str">
            <v>LS</v>
          </cell>
          <cell r="D800" t="str">
            <v>KUUM_364</v>
          </cell>
          <cell r="E800">
            <v>1</v>
          </cell>
          <cell r="G800">
            <v>0</v>
          </cell>
          <cell r="H800">
            <v>0</v>
          </cell>
          <cell r="N800">
            <v>63.11</v>
          </cell>
          <cell r="O800">
            <v>0</v>
          </cell>
          <cell r="Q800">
            <v>0</v>
          </cell>
          <cell r="S800">
            <v>0</v>
          </cell>
          <cell r="U800">
            <v>0</v>
          </cell>
          <cell r="Y800">
            <v>1.75</v>
          </cell>
          <cell r="AB800">
            <v>2.41</v>
          </cell>
          <cell r="AE800" t="str">
            <v>20140101KUUM_364</v>
          </cell>
        </row>
        <row r="801">
          <cell r="B801" t="str">
            <v>Oct 2015</v>
          </cell>
          <cell r="C801" t="str">
            <v>LS</v>
          </cell>
          <cell r="D801" t="str">
            <v>KUUM_365</v>
          </cell>
          <cell r="E801">
            <v>5</v>
          </cell>
          <cell r="G801">
            <v>0</v>
          </cell>
          <cell r="H801">
            <v>0</v>
          </cell>
          <cell r="N801">
            <v>404.7</v>
          </cell>
          <cell r="O801">
            <v>0</v>
          </cell>
          <cell r="Q801">
            <v>0</v>
          </cell>
          <cell r="S801">
            <v>0</v>
          </cell>
          <cell r="U801">
            <v>0</v>
          </cell>
          <cell r="Y801">
            <v>8.75</v>
          </cell>
          <cell r="AB801">
            <v>12.05</v>
          </cell>
          <cell r="AE801" t="str">
            <v>20140101KUUM_365</v>
          </cell>
        </row>
        <row r="802">
          <cell r="B802" t="str">
            <v>Oct 2015</v>
          </cell>
          <cell r="C802" t="str">
            <v>LS</v>
          </cell>
          <cell r="D802" t="str">
            <v>KUUM_366</v>
          </cell>
          <cell r="E802">
            <v>10</v>
          </cell>
          <cell r="G802">
            <v>0</v>
          </cell>
          <cell r="H802">
            <v>0</v>
          </cell>
          <cell r="N802">
            <v>789.7</v>
          </cell>
          <cell r="O802">
            <v>0</v>
          </cell>
          <cell r="Q802">
            <v>0</v>
          </cell>
          <cell r="S802">
            <v>0</v>
          </cell>
          <cell r="U802">
            <v>0</v>
          </cell>
          <cell r="Y802">
            <v>17.5</v>
          </cell>
          <cell r="AB802">
            <v>24.1</v>
          </cell>
          <cell r="AE802" t="str">
            <v>20140101KUUM_366</v>
          </cell>
        </row>
        <row r="803">
          <cell r="B803" t="str">
            <v>Oct 2015</v>
          </cell>
          <cell r="C803" t="str">
            <v>LS</v>
          </cell>
          <cell r="D803" t="str">
            <v>KUUM_367</v>
          </cell>
          <cell r="E803">
            <v>24</v>
          </cell>
          <cell r="G803">
            <v>0</v>
          </cell>
          <cell r="H803">
            <v>0</v>
          </cell>
          <cell r="N803">
            <v>1469.52</v>
          </cell>
          <cell r="O803">
            <v>0</v>
          </cell>
          <cell r="Q803">
            <v>0</v>
          </cell>
          <cell r="S803">
            <v>0</v>
          </cell>
          <cell r="U803">
            <v>0</v>
          </cell>
          <cell r="Y803">
            <v>42</v>
          </cell>
          <cell r="AB803">
            <v>57.84</v>
          </cell>
          <cell r="AE803" t="str">
            <v>20140101KUUM_367</v>
          </cell>
        </row>
        <row r="804">
          <cell r="B804" t="str">
            <v>Oct 2015</v>
          </cell>
          <cell r="C804" t="str">
            <v>LS</v>
          </cell>
          <cell r="D804" t="str">
            <v>KUUM_368</v>
          </cell>
          <cell r="E804">
            <v>1</v>
          </cell>
          <cell r="G804">
            <v>0</v>
          </cell>
          <cell r="H804">
            <v>0</v>
          </cell>
          <cell r="N804">
            <v>56.69</v>
          </cell>
          <cell r="O804">
            <v>0</v>
          </cell>
          <cell r="Q804">
            <v>0</v>
          </cell>
          <cell r="S804">
            <v>0</v>
          </cell>
          <cell r="U804">
            <v>0</v>
          </cell>
          <cell r="Y804">
            <v>1.75</v>
          </cell>
          <cell r="AB804">
            <v>2.41</v>
          </cell>
          <cell r="AE804" t="str">
            <v>20140101KUUM_368</v>
          </cell>
        </row>
        <row r="805">
          <cell r="B805" t="str">
            <v>Oct 2015</v>
          </cell>
          <cell r="C805" t="str">
            <v>LS</v>
          </cell>
          <cell r="D805" t="str">
            <v>KUUM_370</v>
          </cell>
          <cell r="E805">
            <v>16</v>
          </cell>
          <cell r="G805">
            <v>0</v>
          </cell>
          <cell r="H805">
            <v>0</v>
          </cell>
          <cell r="N805">
            <v>1192.32</v>
          </cell>
          <cell r="O805">
            <v>0</v>
          </cell>
          <cell r="Q805">
            <v>0</v>
          </cell>
          <cell r="S805">
            <v>0</v>
          </cell>
          <cell r="U805">
            <v>0</v>
          </cell>
          <cell r="Y805">
            <v>28</v>
          </cell>
          <cell r="AB805">
            <v>38.56</v>
          </cell>
          <cell r="AE805" t="str">
            <v>20140101KUUM_370</v>
          </cell>
        </row>
        <row r="806">
          <cell r="B806" t="str">
            <v>Oct 2015</v>
          </cell>
          <cell r="C806" t="str">
            <v>LS</v>
          </cell>
          <cell r="D806" t="str">
            <v>KUUM_372</v>
          </cell>
          <cell r="E806">
            <v>1</v>
          </cell>
          <cell r="G806">
            <v>0</v>
          </cell>
          <cell r="H806">
            <v>0</v>
          </cell>
          <cell r="N806">
            <v>82.3</v>
          </cell>
          <cell r="O806">
            <v>0</v>
          </cell>
          <cell r="Q806">
            <v>0</v>
          </cell>
          <cell r="S806">
            <v>0</v>
          </cell>
          <cell r="U806">
            <v>0</v>
          </cell>
          <cell r="Y806">
            <v>1.75</v>
          </cell>
          <cell r="AB806">
            <v>2.41</v>
          </cell>
          <cell r="AE806" t="str">
            <v>20140101KUUM_372</v>
          </cell>
        </row>
        <row r="807">
          <cell r="B807" t="str">
            <v>Oct 2015</v>
          </cell>
          <cell r="C807" t="str">
            <v>LS</v>
          </cell>
          <cell r="D807" t="str">
            <v>KUUM_373</v>
          </cell>
          <cell r="E807">
            <v>19</v>
          </cell>
          <cell r="G807">
            <v>0</v>
          </cell>
          <cell r="H807">
            <v>0</v>
          </cell>
          <cell r="N807">
            <v>1415.88</v>
          </cell>
          <cell r="O807">
            <v>0</v>
          </cell>
          <cell r="Q807">
            <v>0</v>
          </cell>
          <cell r="S807">
            <v>0</v>
          </cell>
          <cell r="U807">
            <v>0</v>
          </cell>
          <cell r="Y807">
            <v>33.25</v>
          </cell>
          <cell r="AB807">
            <v>45.790000000000006</v>
          </cell>
          <cell r="AE807" t="str">
            <v>20140101KUUM_373</v>
          </cell>
        </row>
        <row r="808">
          <cell r="B808" t="str">
            <v>Oct 2015</v>
          </cell>
          <cell r="C808" t="str">
            <v>LS</v>
          </cell>
          <cell r="D808" t="str">
            <v>KUUM_374</v>
          </cell>
          <cell r="E808">
            <v>4</v>
          </cell>
          <cell r="G808">
            <v>0</v>
          </cell>
          <cell r="H808">
            <v>0</v>
          </cell>
          <cell r="N808">
            <v>303.52</v>
          </cell>
          <cell r="O808">
            <v>0</v>
          </cell>
          <cell r="Q808">
            <v>0</v>
          </cell>
          <cell r="S808">
            <v>0</v>
          </cell>
          <cell r="U808">
            <v>0</v>
          </cell>
          <cell r="Y808">
            <v>7</v>
          </cell>
          <cell r="AB808">
            <v>9.64</v>
          </cell>
          <cell r="AE808" t="str">
            <v>20140101KUUM_374</v>
          </cell>
        </row>
        <row r="809">
          <cell r="B809" t="str">
            <v>Oct 2015</v>
          </cell>
          <cell r="C809" t="str">
            <v>LS</v>
          </cell>
          <cell r="D809" t="str">
            <v>KUUM_375</v>
          </cell>
          <cell r="E809">
            <v>3</v>
          </cell>
          <cell r="G809">
            <v>0</v>
          </cell>
          <cell r="H809">
            <v>0</v>
          </cell>
          <cell r="N809">
            <v>236.91</v>
          </cell>
          <cell r="O809">
            <v>0</v>
          </cell>
          <cell r="Q809">
            <v>0</v>
          </cell>
          <cell r="S809">
            <v>0</v>
          </cell>
          <cell r="U809">
            <v>0</v>
          </cell>
          <cell r="Y809">
            <v>5.25</v>
          </cell>
          <cell r="AB809">
            <v>7.23</v>
          </cell>
          <cell r="AE809" t="str">
            <v>20140101KUUM_375</v>
          </cell>
        </row>
        <row r="810">
          <cell r="B810" t="str">
            <v>Oct 2015</v>
          </cell>
          <cell r="C810" t="str">
            <v>LS</v>
          </cell>
          <cell r="D810" t="str">
            <v>KUUM_376</v>
          </cell>
          <cell r="E810">
            <v>2</v>
          </cell>
          <cell r="G810">
            <v>0</v>
          </cell>
          <cell r="H810">
            <v>0</v>
          </cell>
          <cell r="N810">
            <v>154.52000000000001</v>
          </cell>
          <cell r="O810">
            <v>0</v>
          </cell>
          <cell r="Q810">
            <v>0</v>
          </cell>
          <cell r="S810">
            <v>0</v>
          </cell>
          <cell r="U810">
            <v>0</v>
          </cell>
          <cell r="Y810">
            <v>3.5</v>
          </cell>
          <cell r="AB810">
            <v>4.82</v>
          </cell>
          <cell r="AE810" t="str">
            <v>20140101KUUM_376</v>
          </cell>
        </row>
        <row r="811">
          <cell r="B811" t="str">
            <v>Oct 2015</v>
          </cell>
          <cell r="C811" t="str">
            <v>LS</v>
          </cell>
          <cell r="D811" t="str">
            <v>KUUM_377</v>
          </cell>
          <cell r="E811">
            <v>49</v>
          </cell>
          <cell r="G811">
            <v>0</v>
          </cell>
          <cell r="H811">
            <v>0</v>
          </cell>
          <cell r="N811">
            <v>3145.31</v>
          </cell>
          <cell r="O811">
            <v>0</v>
          </cell>
          <cell r="Q811">
            <v>0</v>
          </cell>
          <cell r="S811">
            <v>0</v>
          </cell>
          <cell r="U811">
            <v>0</v>
          </cell>
          <cell r="Y811">
            <v>85.75</v>
          </cell>
          <cell r="AB811">
            <v>118.09</v>
          </cell>
          <cell r="AE811" t="str">
            <v>20140101KUUM_377</v>
          </cell>
        </row>
        <row r="812">
          <cell r="B812" t="str">
            <v>Oct 2015</v>
          </cell>
          <cell r="C812" t="str">
            <v>LS</v>
          </cell>
          <cell r="D812" t="str">
            <v>KUUM_378</v>
          </cell>
          <cell r="E812">
            <v>2</v>
          </cell>
          <cell r="G812">
            <v>0</v>
          </cell>
          <cell r="H812">
            <v>0</v>
          </cell>
          <cell r="N812">
            <v>151.80000000000001</v>
          </cell>
          <cell r="O812">
            <v>0</v>
          </cell>
          <cell r="Q812">
            <v>0</v>
          </cell>
          <cell r="S812">
            <v>0</v>
          </cell>
          <cell r="U812">
            <v>0</v>
          </cell>
          <cell r="Y812">
            <v>3.5</v>
          </cell>
          <cell r="AB812">
            <v>4.82</v>
          </cell>
          <cell r="AE812" t="str">
            <v>20140101KUUM_378</v>
          </cell>
        </row>
        <row r="813">
          <cell r="B813" t="str">
            <v>Oct 2015</v>
          </cell>
          <cell r="C813" t="str">
            <v>LS</v>
          </cell>
          <cell r="D813" t="str">
            <v>KUUM_401</v>
          </cell>
          <cell r="E813">
            <v>56</v>
          </cell>
          <cell r="G813">
            <v>0</v>
          </cell>
          <cell r="H813">
            <v>0</v>
          </cell>
          <cell r="N813">
            <v>832.16</v>
          </cell>
          <cell r="O813">
            <v>0</v>
          </cell>
          <cell r="Q813">
            <v>0</v>
          </cell>
          <cell r="S813">
            <v>0</v>
          </cell>
          <cell r="U813">
            <v>0</v>
          </cell>
          <cell r="Y813">
            <v>44.8</v>
          </cell>
          <cell r="AB813">
            <v>24.08</v>
          </cell>
          <cell r="AE813" t="str">
            <v>20140101KUUM_401</v>
          </cell>
        </row>
        <row r="814">
          <cell r="B814" t="str">
            <v>Oct 2015</v>
          </cell>
          <cell r="C814" t="str">
            <v>RLS</v>
          </cell>
          <cell r="D814" t="str">
            <v>KUUM_404</v>
          </cell>
          <cell r="E814">
            <v>7156</v>
          </cell>
          <cell r="G814">
            <v>0</v>
          </cell>
          <cell r="H814">
            <v>0</v>
          </cell>
          <cell r="N814">
            <v>75638.92</v>
          </cell>
          <cell r="O814">
            <v>0</v>
          </cell>
          <cell r="Q814">
            <v>0</v>
          </cell>
          <cell r="S814">
            <v>0</v>
          </cell>
          <cell r="U814">
            <v>0</v>
          </cell>
          <cell r="Y814">
            <v>14240.44</v>
          </cell>
          <cell r="AB814">
            <v>2790.84</v>
          </cell>
          <cell r="AE814" t="str">
            <v>20140101KUUM_404</v>
          </cell>
        </row>
        <row r="815">
          <cell r="B815" t="str">
            <v>Oct 2015</v>
          </cell>
          <cell r="C815" t="str">
            <v>RLS</v>
          </cell>
          <cell r="D815" t="str">
            <v>KUUM_405</v>
          </cell>
          <cell r="E815">
            <v>0</v>
          </cell>
          <cell r="G815">
            <v>0</v>
          </cell>
          <cell r="H815">
            <v>0</v>
          </cell>
          <cell r="N815">
            <v>0</v>
          </cell>
          <cell r="O815">
            <v>0</v>
          </cell>
          <cell r="Q815">
            <v>0</v>
          </cell>
          <cell r="S815">
            <v>0</v>
          </cell>
          <cell r="U815">
            <v>0</v>
          </cell>
          <cell r="Y815">
            <v>0</v>
          </cell>
          <cell r="AB815">
            <v>0</v>
          </cell>
          <cell r="AE815" t="str">
            <v>20140101KUUM_405</v>
          </cell>
        </row>
        <row r="816">
          <cell r="B816" t="str">
            <v>Oct 2015</v>
          </cell>
          <cell r="C816" t="str">
            <v>LS</v>
          </cell>
          <cell r="D816" t="str">
            <v>KUUM_407</v>
          </cell>
          <cell r="E816">
            <v>0</v>
          </cell>
          <cell r="G816">
            <v>0</v>
          </cell>
          <cell r="H816">
            <v>0</v>
          </cell>
          <cell r="N816">
            <v>0</v>
          </cell>
          <cell r="O816">
            <v>0</v>
          </cell>
          <cell r="Q816">
            <v>0</v>
          </cell>
          <cell r="S816">
            <v>0</v>
          </cell>
          <cell r="U816">
            <v>0</v>
          </cell>
          <cell r="Y816">
            <v>0</v>
          </cell>
          <cell r="AB816">
            <v>0</v>
          </cell>
          <cell r="AE816" t="str">
            <v>20140101KUUM_407</v>
          </cell>
        </row>
        <row r="817">
          <cell r="B817" t="str">
            <v>Oct 2015</v>
          </cell>
          <cell r="C817" t="str">
            <v>RLS</v>
          </cell>
          <cell r="D817" t="str">
            <v>KUUM_409</v>
          </cell>
          <cell r="E817">
            <v>134</v>
          </cell>
          <cell r="G817">
            <v>0</v>
          </cell>
          <cell r="H817">
            <v>0</v>
          </cell>
          <cell r="N817">
            <v>1569.14</v>
          </cell>
          <cell r="O817">
            <v>0</v>
          </cell>
          <cell r="Q817">
            <v>0</v>
          </cell>
          <cell r="S817">
            <v>0</v>
          </cell>
          <cell r="U817">
            <v>0</v>
          </cell>
          <cell r="Y817">
            <v>607.02</v>
          </cell>
          <cell r="AB817">
            <v>105.86</v>
          </cell>
          <cell r="AE817" t="str">
            <v>20140101KUUM_409</v>
          </cell>
        </row>
        <row r="818">
          <cell r="B818" t="str">
            <v>Oct 2015</v>
          </cell>
          <cell r="C818" t="str">
            <v>RLS</v>
          </cell>
          <cell r="D818" t="str">
            <v>KUUM_410</v>
          </cell>
          <cell r="E818">
            <v>236</v>
          </cell>
          <cell r="G818">
            <v>0</v>
          </cell>
          <cell r="H818">
            <v>0</v>
          </cell>
          <cell r="N818">
            <v>4781.3599999999997</v>
          </cell>
          <cell r="O818">
            <v>0</v>
          </cell>
          <cell r="Q818">
            <v>0</v>
          </cell>
          <cell r="S818">
            <v>0</v>
          </cell>
          <cell r="U818">
            <v>0</v>
          </cell>
          <cell r="Y818">
            <v>134.52000000000001</v>
          </cell>
          <cell r="AB818">
            <v>77.88000000000001</v>
          </cell>
          <cell r="AE818" t="str">
            <v>20140101KUUM_410</v>
          </cell>
        </row>
        <row r="819">
          <cell r="B819" t="str">
            <v>Oct 2015</v>
          </cell>
          <cell r="C819" t="str">
            <v>LS</v>
          </cell>
          <cell r="D819" t="str">
            <v>KUUM_411</v>
          </cell>
          <cell r="E819">
            <v>142</v>
          </cell>
          <cell r="G819">
            <v>0</v>
          </cell>
          <cell r="H819">
            <v>0</v>
          </cell>
          <cell r="N819">
            <v>3035.96</v>
          </cell>
          <cell r="O819">
            <v>0</v>
          </cell>
          <cell r="Q819">
            <v>0</v>
          </cell>
          <cell r="S819">
            <v>0</v>
          </cell>
          <cell r="U819">
            <v>0</v>
          </cell>
          <cell r="Y819">
            <v>113.6</v>
          </cell>
          <cell r="AB819">
            <v>61.06</v>
          </cell>
          <cell r="AE819" t="str">
            <v>20140101KUUM_411</v>
          </cell>
        </row>
        <row r="820">
          <cell r="B820" t="str">
            <v>Oct 2015</v>
          </cell>
          <cell r="C820" t="str">
            <v>RLS</v>
          </cell>
          <cell r="D820" t="str">
            <v>KUUM_412</v>
          </cell>
          <cell r="E820">
            <v>28</v>
          </cell>
          <cell r="G820">
            <v>0</v>
          </cell>
          <cell r="H820">
            <v>0</v>
          </cell>
          <cell r="N820">
            <v>863.52</v>
          </cell>
          <cell r="O820">
            <v>0</v>
          </cell>
          <cell r="Q820">
            <v>0</v>
          </cell>
          <cell r="S820">
            <v>0</v>
          </cell>
          <cell r="U820">
            <v>0</v>
          </cell>
          <cell r="Y820">
            <v>22.4</v>
          </cell>
          <cell r="AB820">
            <v>12.04</v>
          </cell>
          <cell r="AE820" t="str">
            <v>20140101KUUM_412</v>
          </cell>
        </row>
        <row r="821">
          <cell r="B821" t="str">
            <v>Oct 2015</v>
          </cell>
          <cell r="C821" t="str">
            <v>RLS</v>
          </cell>
          <cell r="D821" t="str">
            <v>KUUM_413</v>
          </cell>
          <cell r="E821">
            <v>95</v>
          </cell>
          <cell r="G821">
            <v>0</v>
          </cell>
          <cell r="H821">
            <v>0</v>
          </cell>
          <cell r="N821">
            <v>2965.9</v>
          </cell>
          <cell r="O821">
            <v>0</v>
          </cell>
          <cell r="Q821">
            <v>0</v>
          </cell>
          <cell r="S821">
            <v>0</v>
          </cell>
          <cell r="U821">
            <v>0</v>
          </cell>
          <cell r="Y821">
            <v>107.35</v>
          </cell>
          <cell r="AB821">
            <v>32.300000000000004</v>
          </cell>
          <cell r="AE821" t="str">
            <v>20140101KUUM_413</v>
          </cell>
        </row>
        <row r="822">
          <cell r="B822" t="str">
            <v>Oct 2015</v>
          </cell>
          <cell r="C822" t="str">
            <v>LS</v>
          </cell>
          <cell r="D822" t="str">
            <v>KUUM_414</v>
          </cell>
          <cell r="E822">
            <v>21</v>
          </cell>
          <cell r="G822">
            <v>0</v>
          </cell>
          <cell r="H822">
            <v>0</v>
          </cell>
          <cell r="N822">
            <v>647.64</v>
          </cell>
          <cell r="O822">
            <v>0</v>
          </cell>
          <cell r="Q822">
            <v>0</v>
          </cell>
          <cell r="S822">
            <v>0</v>
          </cell>
          <cell r="U822">
            <v>0</v>
          </cell>
          <cell r="Y822">
            <v>16.8</v>
          </cell>
          <cell r="AB822">
            <v>9.0299999999999994</v>
          </cell>
          <cell r="AE822" t="str">
            <v>20140101KUUM_414</v>
          </cell>
        </row>
        <row r="823">
          <cell r="B823" t="str">
            <v>Oct 2015</v>
          </cell>
          <cell r="C823" t="str">
            <v>LS</v>
          </cell>
          <cell r="D823" t="str">
            <v>KUUM_415</v>
          </cell>
          <cell r="E823">
            <v>10</v>
          </cell>
          <cell r="G823">
            <v>0</v>
          </cell>
          <cell r="H823">
            <v>0</v>
          </cell>
          <cell r="N823">
            <v>312.2</v>
          </cell>
          <cell r="O823">
            <v>0</v>
          </cell>
          <cell r="Q823">
            <v>0</v>
          </cell>
          <cell r="S823">
            <v>0</v>
          </cell>
          <cell r="U823">
            <v>0</v>
          </cell>
          <cell r="Y823">
            <v>11.3</v>
          </cell>
          <cell r="AB823">
            <v>3.4000000000000004</v>
          </cell>
          <cell r="AE823" t="str">
            <v>20140101KUUM_415</v>
          </cell>
        </row>
        <row r="824">
          <cell r="B824" t="str">
            <v>Oct 2015</v>
          </cell>
          <cell r="C824" t="str">
            <v>LS</v>
          </cell>
          <cell r="D824" t="str">
            <v>KUUM_420</v>
          </cell>
          <cell r="E824">
            <v>468</v>
          </cell>
          <cell r="G824">
            <v>0</v>
          </cell>
          <cell r="H824">
            <v>0</v>
          </cell>
          <cell r="N824">
            <v>7188.48</v>
          </cell>
          <cell r="O824">
            <v>0</v>
          </cell>
          <cell r="Q824">
            <v>0</v>
          </cell>
          <cell r="S824">
            <v>0</v>
          </cell>
          <cell r="U824">
            <v>0</v>
          </cell>
          <cell r="Y824">
            <v>528.84</v>
          </cell>
          <cell r="AB824">
            <v>159.12</v>
          </cell>
          <cell r="AE824" t="str">
            <v>20140101KUUM_420</v>
          </cell>
        </row>
        <row r="825">
          <cell r="B825" t="str">
            <v>Oct 2015</v>
          </cell>
          <cell r="C825" t="str">
            <v>RLS</v>
          </cell>
          <cell r="D825" t="str">
            <v>KUUM_421</v>
          </cell>
          <cell r="E825">
            <v>5</v>
          </cell>
          <cell r="G825">
            <v>0</v>
          </cell>
          <cell r="H825">
            <v>0</v>
          </cell>
          <cell r="N825">
            <v>16.95</v>
          </cell>
          <cell r="O825">
            <v>0</v>
          </cell>
          <cell r="Q825">
            <v>0</v>
          </cell>
          <cell r="S825">
            <v>0</v>
          </cell>
          <cell r="U825">
            <v>0</v>
          </cell>
          <cell r="Y825">
            <v>4.95</v>
          </cell>
          <cell r="AB825">
            <v>0.6</v>
          </cell>
          <cell r="AE825" t="str">
            <v>20140101KUUM_421</v>
          </cell>
        </row>
        <row r="826">
          <cell r="B826" t="str">
            <v>Oct 2015</v>
          </cell>
          <cell r="C826" t="str">
            <v>RLS</v>
          </cell>
          <cell r="D826" t="str">
            <v>KUUM_422</v>
          </cell>
          <cell r="E826">
            <v>676</v>
          </cell>
          <cell r="G826">
            <v>0</v>
          </cell>
          <cell r="H826">
            <v>0</v>
          </cell>
          <cell r="N826">
            <v>3069.04</v>
          </cell>
          <cell r="O826">
            <v>0</v>
          </cell>
          <cell r="Q826">
            <v>0</v>
          </cell>
          <cell r="S826">
            <v>0</v>
          </cell>
          <cell r="U826">
            <v>0</v>
          </cell>
          <cell r="Y826">
            <v>1311.44</v>
          </cell>
          <cell r="AB826">
            <v>108.16</v>
          </cell>
          <cell r="AE826" t="str">
            <v>20140101KUUM_422</v>
          </cell>
        </row>
        <row r="827">
          <cell r="B827" t="str">
            <v>Oct 2015</v>
          </cell>
          <cell r="C827" t="str">
            <v>RLS</v>
          </cell>
          <cell r="D827" t="str">
            <v>KUUM_424</v>
          </cell>
          <cell r="E827">
            <v>120</v>
          </cell>
          <cell r="G827">
            <v>0</v>
          </cell>
          <cell r="H827">
            <v>0</v>
          </cell>
          <cell r="N827">
            <v>813.6</v>
          </cell>
          <cell r="O827">
            <v>0</v>
          </cell>
          <cell r="Q827">
            <v>0</v>
          </cell>
          <cell r="S827">
            <v>0</v>
          </cell>
          <cell r="U827">
            <v>0</v>
          </cell>
          <cell r="Y827">
            <v>84</v>
          </cell>
          <cell r="AB827">
            <v>28.799999999999997</v>
          </cell>
          <cell r="AE827" t="str">
            <v>20140101KUUM_424</v>
          </cell>
        </row>
        <row r="828">
          <cell r="B828" t="str">
            <v>Oct 2015</v>
          </cell>
          <cell r="C828" t="str">
            <v>RLS</v>
          </cell>
          <cell r="D828" t="str">
            <v>KUUM_425</v>
          </cell>
          <cell r="E828">
            <v>2</v>
          </cell>
          <cell r="G828">
            <v>0</v>
          </cell>
          <cell r="H828">
            <v>0</v>
          </cell>
          <cell r="N828">
            <v>18.12</v>
          </cell>
          <cell r="O828">
            <v>0</v>
          </cell>
          <cell r="Q828">
            <v>0</v>
          </cell>
          <cell r="S828">
            <v>0</v>
          </cell>
          <cell r="U828">
            <v>0</v>
          </cell>
          <cell r="Y828">
            <v>8.6</v>
          </cell>
          <cell r="AB828">
            <v>0.66</v>
          </cell>
          <cell r="AE828" t="str">
            <v>20140101KUUM_425</v>
          </cell>
        </row>
        <row r="829">
          <cell r="B829" t="str">
            <v>Oct 2015</v>
          </cell>
          <cell r="C829" t="str">
            <v>RLS</v>
          </cell>
          <cell r="D829" t="str">
            <v>KUUM_426</v>
          </cell>
          <cell r="E829">
            <v>162</v>
          </cell>
          <cell r="G829">
            <v>0</v>
          </cell>
          <cell r="H829">
            <v>0</v>
          </cell>
          <cell r="N829">
            <v>1205.28</v>
          </cell>
          <cell r="O829">
            <v>0</v>
          </cell>
          <cell r="Q829">
            <v>0</v>
          </cell>
          <cell r="S829">
            <v>0</v>
          </cell>
          <cell r="U829">
            <v>0</v>
          </cell>
          <cell r="Y829">
            <v>129.6</v>
          </cell>
          <cell r="AB829">
            <v>69.66</v>
          </cell>
          <cell r="AE829" t="str">
            <v>20140101KUUM_426</v>
          </cell>
        </row>
        <row r="830">
          <cell r="B830" t="str">
            <v>Oct 2015</v>
          </cell>
          <cell r="C830" t="str">
            <v>LS</v>
          </cell>
          <cell r="D830" t="str">
            <v>KUUM_428</v>
          </cell>
          <cell r="E830">
            <v>34926</v>
          </cell>
          <cell r="G830">
            <v>0</v>
          </cell>
          <cell r="H830">
            <v>0</v>
          </cell>
          <cell r="N830">
            <v>273819.84000000003</v>
          </cell>
          <cell r="O830">
            <v>0</v>
          </cell>
          <cell r="Q830">
            <v>0</v>
          </cell>
          <cell r="S830">
            <v>0</v>
          </cell>
          <cell r="U830">
            <v>0</v>
          </cell>
          <cell r="Y830">
            <v>39466.379999999997</v>
          </cell>
          <cell r="AB830">
            <v>11874.84</v>
          </cell>
          <cell r="AE830" t="str">
            <v>20140101KUUM_428</v>
          </cell>
        </row>
        <row r="831">
          <cell r="B831" t="str">
            <v>Oct 2015</v>
          </cell>
          <cell r="C831" t="str">
            <v>LS</v>
          </cell>
          <cell r="D831" t="str">
            <v>KUUM_429</v>
          </cell>
          <cell r="E831">
            <v>0</v>
          </cell>
          <cell r="G831">
            <v>0</v>
          </cell>
          <cell r="H831">
            <v>0</v>
          </cell>
          <cell r="N831">
            <v>0</v>
          </cell>
          <cell r="O831">
            <v>0</v>
          </cell>
          <cell r="Q831">
            <v>0</v>
          </cell>
          <cell r="S831">
            <v>0</v>
          </cell>
          <cell r="U831">
            <v>0</v>
          </cell>
          <cell r="Y831">
            <v>0</v>
          </cell>
          <cell r="AB831">
            <v>0</v>
          </cell>
          <cell r="AE831" t="str">
            <v>20140101KUUM_429</v>
          </cell>
        </row>
        <row r="832">
          <cell r="B832" t="str">
            <v>Oct 2015</v>
          </cell>
          <cell r="C832" t="str">
            <v>LS</v>
          </cell>
          <cell r="D832" t="str">
            <v>KUUM_430</v>
          </cell>
          <cell r="E832">
            <v>1146</v>
          </cell>
          <cell r="G832">
            <v>0</v>
          </cell>
          <cell r="H832">
            <v>0</v>
          </cell>
          <cell r="N832">
            <v>25212</v>
          </cell>
          <cell r="O832">
            <v>0</v>
          </cell>
          <cell r="Q832">
            <v>0</v>
          </cell>
          <cell r="S832">
            <v>0</v>
          </cell>
          <cell r="U832">
            <v>0</v>
          </cell>
          <cell r="Y832">
            <v>1294.98</v>
          </cell>
          <cell r="AB832">
            <v>389.64000000000004</v>
          </cell>
          <cell r="AE832" t="str">
            <v>20140101KUUM_430</v>
          </cell>
        </row>
        <row r="833">
          <cell r="B833" t="str">
            <v>Oct 2015</v>
          </cell>
          <cell r="C833" t="str">
            <v>RLS</v>
          </cell>
          <cell r="D833" t="str">
            <v>KUUM_434</v>
          </cell>
          <cell r="E833">
            <v>16</v>
          </cell>
          <cell r="G833">
            <v>0</v>
          </cell>
          <cell r="H833">
            <v>0</v>
          </cell>
          <cell r="N833">
            <v>123.84</v>
          </cell>
          <cell r="O833">
            <v>0</v>
          </cell>
          <cell r="Q833">
            <v>0</v>
          </cell>
          <cell r="S833">
            <v>0</v>
          </cell>
          <cell r="U833">
            <v>0</v>
          </cell>
          <cell r="Y833">
            <v>11.2</v>
          </cell>
          <cell r="AB833">
            <v>3.84</v>
          </cell>
          <cell r="AE833" t="str">
            <v>20140101KUUM_434</v>
          </cell>
        </row>
        <row r="834">
          <cell r="B834" t="str">
            <v>Oct 2015</v>
          </cell>
          <cell r="C834" t="str">
            <v>RLS</v>
          </cell>
          <cell r="D834" t="str">
            <v>KUUM_440</v>
          </cell>
          <cell r="E834">
            <v>2</v>
          </cell>
          <cell r="G834">
            <v>0</v>
          </cell>
          <cell r="H834">
            <v>0</v>
          </cell>
          <cell r="N834">
            <v>27.22</v>
          </cell>
          <cell r="O834">
            <v>0</v>
          </cell>
          <cell r="Q834">
            <v>0</v>
          </cell>
          <cell r="S834">
            <v>0</v>
          </cell>
          <cell r="U834">
            <v>0</v>
          </cell>
          <cell r="Y834">
            <v>1.1399999999999999</v>
          </cell>
          <cell r="AB834">
            <v>0.66</v>
          </cell>
          <cell r="AE834" t="str">
            <v>20140101KUUM_440</v>
          </cell>
        </row>
        <row r="835">
          <cell r="B835" t="str">
            <v>Oct 2015</v>
          </cell>
          <cell r="C835" t="str">
            <v>RLS</v>
          </cell>
          <cell r="D835" t="str">
            <v>KUUM_446</v>
          </cell>
          <cell r="E835">
            <v>1070</v>
          </cell>
          <cell r="G835">
            <v>0</v>
          </cell>
          <cell r="H835">
            <v>0</v>
          </cell>
          <cell r="N835">
            <v>10229.200000000001</v>
          </cell>
          <cell r="O835">
            <v>0</v>
          </cell>
          <cell r="Q835">
            <v>0</v>
          </cell>
          <cell r="S835">
            <v>0</v>
          </cell>
          <cell r="U835">
            <v>0</v>
          </cell>
          <cell r="Y835">
            <v>2129.3000000000002</v>
          </cell>
          <cell r="AB835">
            <v>417.3</v>
          </cell>
          <cell r="AE835" t="str">
            <v>20140101KUUM_446</v>
          </cell>
        </row>
        <row r="836">
          <cell r="B836" t="str">
            <v>Oct 2015</v>
          </cell>
          <cell r="C836" t="str">
            <v>RLS</v>
          </cell>
          <cell r="D836" t="str">
            <v>KUUM_447</v>
          </cell>
          <cell r="E836">
            <v>734</v>
          </cell>
          <cell r="G836">
            <v>0</v>
          </cell>
          <cell r="H836">
            <v>0</v>
          </cell>
          <cell r="N836">
            <v>8308.8799999999992</v>
          </cell>
          <cell r="O836">
            <v>0</v>
          </cell>
          <cell r="Q836">
            <v>0</v>
          </cell>
          <cell r="S836">
            <v>0</v>
          </cell>
          <cell r="U836">
            <v>0</v>
          </cell>
          <cell r="Y836">
            <v>2084.56</v>
          </cell>
          <cell r="AB836">
            <v>322.95999999999998</v>
          </cell>
          <cell r="AE836" t="str">
            <v>20140101KUUM_447</v>
          </cell>
        </row>
        <row r="837">
          <cell r="B837" t="str">
            <v>Oct 2015</v>
          </cell>
          <cell r="C837" t="str">
            <v>RLS</v>
          </cell>
          <cell r="D837" t="str">
            <v>KUUM_448</v>
          </cell>
          <cell r="E837">
            <v>1606</v>
          </cell>
          <cell r="G837">
            <v>0</v>
          </cell>
          <cell r="H837">
            <v>0</v>
          </cell>
          <cell r="N837">
            <v>20572.86</v>
          </cell>
          <cell r="O837">
            <v>0</v>
          </cell>
          <cell r="Q837">
            <v>0</v>
          </cell>
          <cell r="S837">
            <v>0</v>
          </cell>
          <cell r="U837">
            <v>0</v>
          </cell>
          <cell r="Y837">
            <v>7018.22</v>
          </cell>
          <cell r="AB837">
            <v>819.06000000000006</v>
          </cell>
          <cell r="AE837" t="str">
            <v>20140101KUUM_448</v>
          </cell>
        </row>
        <row r="838">
          <cell r="B838" t="str">
            <v>Oct 2015</v>
          </cell>
          <cell r="C838" t="str">
            <v>LS</v>
          </cell>
          <cell r="D838" t="str">
            <v>KUUM_450</v>
          </cell>
          <cell r="E838">
            <v>614</v>
          </cell>
          <cell r="G838">
            <v>0</v>
          </cell>
          <cell r="H838">
            <v>0</v>
          </cell>
          <cell r="N838">
            <v>8749.5</v>
          </cell>
          <cell r="O838">
            <v>0</v>
          </cell>
          <cell r="Q838">
            <v>0</v>
          </cell>
          <cell r="S838">
            <v>0</v>
          </cell>
          <cell r="U838">
            <v>0</v>
          </cell>
          <cell r="Y838">
            <v>1209.58</v>
          </cell>
          <cell r="AB838">
            <v>405.24</v>
          </cell>
          <cell r="AE838" t="str">
            <v>20140101KUUM_450</v>
          </cell>
        </row>
        <row r="839">
          <cell r="B839" t="str">
            <v>Oct 2015</v>
          </cell>
          <cell r="C839" t="str">
            <v>LS</v>
          </cell>
          <cell r="D839" t="str">
            <v>KUUM_451</v>
          </cell>
          <cell r="E839">
            <v>5013</v>
          </cell>
          <cell r="G839">
            <v>0</v>
          </cell>
          <cell r="H839">
            <v>0</v>
          </cell>
          <cell r="N839">
            <v>101262.6</v>
          </cell>
          <cell r="O839">
            <v>0</v>
          </cell>
          <cell r="Q839">
            <v>0</v>
          </cell>
          <cell r="S839">
            <v>0</v>
          </cell>
          <cell r="U839">
            <v>0</v>
          </cell>
          <cell r="Y839">
            <v>21505.77</v>
          </cell>
          <cell r="AB839">
            <v>4210.92</v>
          </cell>
          <cell r="AE839" t="str">
            <v>20140101KUUM_451</v>
          </cell>
        </row>
        <row r="840">
          <cell r="B840" t="str">
            <v>Oct 2015</v>
          </cell>
          <cell r="C840" t="str">
            <v>LS</v>
          </cell>
          <cell r="D840" t="str">
            <v>KUUM_452</v>
          </cell>
          <cell r="E840">
            <v>1038</v>
          </cell>
          <cell r="G840">
            <v>0</v>
          </cell>
          <cell r="H840">
            <v>0</v>
          </cell>
          <cell r="N840">
            <v>43959.3</v>
          </cell>
          <cell r="O840">
            <v>0</v>
          </cell>
          <cell r="Q840">
            <v>0</v>
          </cell>
          <cell r="S840">
            <v>0</v>
          </cell>
          <cell r="U840">
            <v>0</v>
          </cell>
          <cell r="Y840">
            <v>10805.58</v>
          </cell>
          <cell r="AB840">
            <v>1764.6</v>
          </cell>
          <cell r="AE840" t="str">
            <v>20140101KUUM_452</v>
          </cell>
        </row>
        <row r="841">
          <cell r="B841" t="str">
            <v>Oct 2015</v>
          </cell>
          <cell r="C841" t="str">
            <v>RLS</v>
          </cell>
          <cell r="D841" t="str">
            <v>KUUM_454</v>
          </cell>
          <cell r="E841">
            <v>124</v>
          </cell>
          <cell r="G841">
            <v>0</v>
          </cell>
          <cell r="H841">
            <v>0</v>
          </cell>
          <cell r="N841">
            <v>2312.6</v>
          </cell>
          <cell r="O841">
            <v>0</v>
          </cell>
          <cell r="Q841">
            <v>0</v>
          </cell>
          <cell r="S841">
            <v>0</v>
          </cell>
          <cell r="U841">
            <v>0</v>
          </cell>
          <cell r="Y841">
            <v>244.28</v>
          </cell>
          <cell r="AB841">
            <v>81.84</v>
          </cell>
          <cell r="AE841" t="str">
            <v>20140101KUUM_454</v>
          </cell>
        </row>
        <row r="842">
          <cell r="B842" t="str">
            <v>Oct 2015</v>
          </cell>
          <cell r="C842" t="str">
            <v>RLS</v>
          </cell>
          <cell r="D842" t="str">
            <v>KUUM_455</v>
          </cell>
          <cell r="E842">
            <v>1027</v>
          </cell>
          <cell r="G842">
            <v>0</v>
          </cell>
          <cell r="H842">
            <v>0</v>
          </cell>
          <cell r="N842">
            <v>25253.93</v>
          </cell>
          <cell r="O842">
            <v>0</v>
          </cell>
          <cell r="Q842">
            <v>0</v>
          </cell>
          <cell r="S842">
            <v>0</v>
          </cell>
          <cell r="U842">
            <v>0</v>
          </cell>
          <cell r="Y842">
            <v>4405.83</v>
          </cell>
          <cell r="AB842">
            <v>862.68</v>
          </cell>
          <cell r="AE842" t="str">
            <v>20140101KUUM_455</v>
          </cell>
        </row>
        <row r="843">
          <cell r="B843" t="str">
            <v>Oct 2015</v>
          </cell>
          <cell r="C843" t="str">
            <v>RLS</v>
          </cell>
          <cell r="D843" t="str">
            <v>KUUM_456</v>
          </cell>
          <cell r="E843">
            <v>126</v>
          </cell>
          <cell r="G843">
            <v>0</v>
          </cell>
          <cell r="H843">
            <v>0</v>
          </cell>
          <cell r="N843">
            <v>1495.62</v>
          </cell>
          <cell r="O843">
            <v>0</v>
          </cell>
          <cell r="Q843">
            <v>0</v>
          </cell>
          <cell r="S843">
            <v>0</v>
          </cell>
          <cell r="U843">
            <v>0</v>
          </cell>
          <cell r="Y843">
            <v>250.74</v>
          </cell>
          <cell r="AB843">
            <v>49.14</v>
          </cell>
          <cell r="AE843" t="str">
            <v>20140101KUUM_456</v>
          </cell>
        </row>
        <row r="844">
          <cell r="B844" t="str">
            <v>Oct 2015</v>
          </cell>
          <cell r="C844" t="str">
            <v>RLS</v>
          </cell>
          <cell r="D844" t="str">
            <v>KUUM_457</v>
          </cell>
          <cell r="E844">
            <v>402</v>
          </cell>
          <cell r="G844">
            <v>0</v>
          </cell>
          <cell r="H844">
            <v>0</v>
          </cell>
          <cell r="N844">
            <v>5370.72</v>
          </cell>
          <cell r="O844">
            <v>0</v>
          </cell>
          <cell r="Q844">
            <v>0</v>
          </cell>
          <cell r="S844">
            <v>0</v>
          </cell>
          <cell r="U844">
            <v>0</v>
          </cell>
          <cell r="Y844">
            <v>1141.68</v>
          </cell>
          <cell r="AB844">
            <v>176.88</v>
          </cell>
          <cell r="AE844" t="str">
            <v>20140101KUUM_457</v>
          </cell>
        </row>
        <row r="845">
          <cell r="B845" t="str">
            <v>Oct 2015</v>
          </cell>
          <cell r="C845" t="str">
            <v>RLS</v>
          </cell>
          <cell r="D845" t="str">
            <v>KUUM_458</v>
          </cell>
          <cell r="E845">
            <v>1593</v>
          </cell>
          <cell r="G845">
            <v>0</v>
          </cell>
          <cell r="H845">
            <v>0</v>
          </cell>
          <cell r="N845">
            <v>24022.44</v>
          </cell>
          <cell r="O845">
            <v>0</v>
          </cell>
          <cell r="Q845">
            <v>0</v>
          </cell>
          <cell r="S845">
            <v>0</v>
          </cell>
          <cell r="U845">
            <v>0</v>
          </cell>
          <cell r="Y845">
            <v>6961.41</v>
          </cell>
          <cell r="AB845">
            <v>812.43000000000006</v>
          </cell>
          <cell r="AE845" t="str">
            <v>20140101KUUM_458</v>
          </cell>
        </row>
        <row r="846">
          <cell r="B846" t="str">
            <v>Oct 2015</v>
          </cell>
          <cell r="C846" t="str">
            <v>RLS</v>
          </cell>
          <cell r="D846" t="str">
            <v>KUUM_459</v>
          </cell>
          <cell r="E846">
            <v>246</v>
          </cell>
          <cell r="G846">
            <v>0</v>
          </cell>
          <cell r="H846">
            <v>0</v>
          </cell>
          <cell r="N846">
            <v>11498.04</v>
          </cell>
          <cell r="O846">
            <v>0</v>
          </cell>
          <cell r="Q846">
            <v>0</v>
          </cell>
          <cell r="S846">
            <v>0</v>
          </cell>
          <cell r="U846">
            <v>0</v>
          </cell>
          <cell r="Y846">
            <v>2560.86</v>
          </cell>
          <cell r="AB846">
            <v>418.2</v>
          </cell>
          <cell r="AE846" t="str">
            <v>20140101KUUM_459</v>
          </cell>
        </row>
        <row r="847">
          <cell r="B847" t="str">
            <v>Oct 2015</v>
          </cell>
          <cell r="C847" t="str">
            <v>RLS</v>
          </cell>
          <cell r="D847" t="str">
            <v>KUUM_460</v>
          </cell>
          <cell r="E847">
            <v>-249</v>
          </cell>
          <cell r="G847">
            <v>0</v>
          </cell>
          <cell r="H847">
            <v>0</v>
          </cell>
          <cell r="N847">
            <v>-6760.35</v>
          </cell>
          <cell r="O847">
            <v>0</v>
          </cell>
          <cell r="Q847">
            <v>0</v>
          </cell>
          <cell r="S847">
            <v>0</v>
          </cell>
          <cell r="U847">
            <v>0</v>
          </cell>
          <cell r="Y847">
            <v>-490.53</v>
          </cell>
          <cell r="AB847">
            <v>-164.34</v>
          </cell>
          <cell r="AE847" t="str">
            <v>20140101KUUM_460</v>
          </cell>
        </row>
        <row r="848">
          <cell r="B848" t="str">
            <v>Oct 2015</v>
          </cell>
          <cell r="C848" t="str">
            <v>RLS</v>
          </cell>
          <cell r="D848" t="str">
            <v>KUUM_461</v>
          </cell>
          <cell r="E848">
            <v>6468</v>
          </cell>
          <cell r="G848">
            <v>0</v>
          </cell>
          <cell r="H848">
            <v>0</v>
          </cell>
          <cell r="N848">
            <v>48768.72</v>
          </cell>
          <cell r="O848">
            <v>0</v>
          </cell>
          <cell r="Q848">
            <v>0</v>
          </cell>
          <cell r="S848">
            <v>0</v>
          </cell>
          <cell r="U848">
            <v>0</v>
          </cell>
          <cell r="Y848">
            <v>3686.76</v>
          </cell>
          <cell r="AB848">
            <v>2134.44</v>
          </cell>
          <cell r="AE848" t="str">
            <v>20140101KUUM_461</v>
          </cell>
        </row>
        <row r="849">
          <cell r="B849" t="str">
            <v>Oct 2015</v>
          </cell>
          <cell r="C849" t="str">
            <v>LS</v>
          </cell>
          <cell r="D849" t="str">
            <v>KUUM_462</v>
          </cell>
          <cell r="E849">
            <v>9867</v>
          </cell>
          <cell r="G849">
            <v>0</v>
          </cell>
          <cell r="H849">
            <v>0</v>
          </cell>
          <cell r="N849">
            <v>85448.22</v>
          </cell>
          <cell r="O849">
            <v>0</v>
          </cell>
          <cell r="Q849">
            <v>0</v>
          </cell>
          <cell r="S849">
            <v>0</v>
          </cell>
          <cell r="U849">
            <v>0</v>
          </cell>
          <cell r="Y849">
            <v>7893.6</v>
          </cell>
          <cell r="AB849">
            <v>4242.8099999999995</v>
          </cell>
          <cell r="AE849" t="str">
            <v>20140101KUUM_462</v>
          </cell>
        </row>
        <row r="850">
          <cell r="B850" t="str">
            <v>Oct 2015</v>
          </cell>
          <cell r="C850" t="str">
            <v>LS</v>
          </cell>
          <cell r="D850" t="str">
            <v>KUUM_463</v>
          </cell>
          <cell r="E850">
            <v>20338</v>
          </cell>
          <cell r="G850">
            <v>0</v>
          </cell>
          <cell r="H850">
            <v>0</v>
          </cell>
          <cell r="N850">
            <v>185889.32</v>
          </cell>
          <cell r="O850">
            <v>0</v>
          </cell>
          <cell r="Q850">
            <v>0</v>
          </cell>
          <cell r="S850">
            <v>0</v>
          </cell>
          <cell r="U850">
            <v>0</v>
          </cell>
          <cell r="Y850">
            <v>22981.94</v>
          </cell>
          <cell r="AB850">
            <v>6914.92</v>
          </cell>
          <cell r="AE850" t="str">
            <v>20140101KUUM_463</v>
          </cell>
        </row>
        <row r="851">
          <cell r="B851" t="str">
            <v>Oct 2015</v>
          </cell>
          <cell r="C851" t="str">
            <v>LS</v>
          </cell>
          <cell r="D851" t="str">
            <v>KUUM_464</v>
          </cell>
          <cell r="E851">
            <v>7723</v>
          </cell>
          <cell r="G851">
            <v>0</v>
          </cell>
          <cell r="H851">
            <v>0</v>
          </cell>
          <cell r="N851">
            <v>110052.75</v>
          </cell>
          <cell r="O851">
            <v>0</v>
          </cell>
          <cell r="Q851">
            <v>0</v>
          </cell>
          <cell r="S851">
            <v>0</v>
          </cell>
          <cell r="U851">
            <v>0</v>
          </cell>
          <cell r="Y851">
            <v>17994.59</v>
          </cell>
          <cell r="AB851">
            <v>4479.34</v>
          </cell>
          <cell r="AE851" t="str">
            <v>20140101KUUM_464</v>
          </cell>
        </row>
        <row r="852">
          <cell r="B852" t="str">
            <v>Oct 2015</v>
          </cell>
          <cell r="C852" t="str">
            <v>LS</v>
          </cell>
          <cell r="D852" t="str">
            <v>KUUM_465</v>
          </cell>
          <cell r="E852">
            <v>2855</v>
          </cell>
          <cell r="G852">
            <v>0</v>
          </cell>
          <cell r="H852">
            <v>0</v>
          </cell>
          <cell r="N852">
            <v>65208.2</v>
          </cell>
          <cell r="O852">
            <v>0</v>
          </cell>
          <cell r="Q852">
            <v>0</v>
          </cell>
          <cell r="S852">
            <v>0</v>
          </cell>
          <cell r="U852">
            <v>0</v>
          </cell>
          <cell r="Y852">
            <v>12933.15</v>
          </cell>
          <cell r="AB852">
            <v>2255.4500000000003</v>
          </cell>
          <cell r="AE852" t="str">
            <v>20140101KUUM_465</v>
          </cell>
        </row>
        <row r="853">
          <cell r="B853" t="str">
            <v>Oct 2015</v>
          </cell>
          <cell r="C853" t="str">
            <v>RLS</v>
          </cell>
          <cell r="D853" t="str">
            <v>KUUM_466</v>
          </cell>
          <cell r="E853">
            <v>804</v>
          </cell>
          <cell r="G853">
            <v>0</v>
          </cell>
          <cell r="H853">
            <v>0</v>
          </cell>
          <cell r="N853">
            <v>7734.48</v>
          </cell>
          <cell r="O853">
            <v>0</v>
          </cell>
          <cell r="Q853">
            <v>0</v>
          </cell>
          <cell r="S853">
            <v>0</v>
          </cell>
          <cell r="U853">
            <v>0</v>
          </cell>
          <cell r="Y853">
            <v>458.28</v>
          </cell>
          <cell r="AB853">
            <v>265.32</v>
          </cell>
          <cell r="AE853" t="str">
            <v>20140101KUUM_466</v>
          </cell>
        </row>
        <row r="854">
          <cell r="B854" t="str">
            <v>Oct 2015</v>
          </cell>
          <cell r="C854" t="str">
            <v>LS</v>
          </cell>
          <cell r="D854" t="str">
            <v>KUUM_467</v>
          </cell>
          <cell r="E854">
            <v>1329</v>
          </cell>
          <cell r="G854">
            <v>0</v>
          </cell>
          <cell r="H854">
            <v>0</v>
          </cell>
          <cell r="N854">
            <v>14313.33</v>
          </cell>
          <cell r="O854">
            <v>0</v>
          </cell>
          <cell r="Q854">
            <v>0</v>
          </cell>
          <cell r="S854">
            <v>0</v>
          </cell>
          <cell r="U854">
            <v>0</v>
          </cell>
          <cell r="Y854">
            <v>1063.2</v>
          </cell>
          <cell r="AB854">
            <v>571.47</v>
          </cell>
          <cell r="AE854" t="str">
            <v>20140101KUUM_467</v>
          </cell>
        </row>
        <row r="855">
          <cell r="B855" t="str">
            <v>Oct 2015</v>
          </cell>
          <cell r="C855" t="str">
            <v>LS</v>
          </cell>
          <cell r="D855" t="str">
            <v>KUUM_468</v>
          </cell>
          <cell r="E855">
            <v>3982</v>
          </cell>
          <cell r="G855">
            <v>0</v>
          </cell>
          <cell r="H855">
            <v>0</v>
          </cell>
          <cell r="N855">
            <v>44439.12</v>
          </cell>
          <cell r="O855">
            <v>0</v>
          </cell>
          <cell r="Q855">
            <v>0</v>
          </cell>
          <cell r="S855">
            <v>0</v>
          </cell>
          <cell r="U855">
            <v>0</v>
          </cell>
          <cell r="Y855">
            <v>4499.66</v>
          </cell>
          <cell r="AB855">
            <v>1353.88</v>
          </cell>
          <cell r="AE855" t="str">
            <v>20140101KUUM_468</v>
          </cell>
        </row>
        <row r="856">
          <cell r="B856" t="str">
            <v>Oct 2015</v>
          </cell>
          <cell r="C856" t="str">
            <v>RLS</v>
          </cell>
          <cell r="D856" t="str">
            <v>KUUM_469</v>
          </cell>
          <cell r="E856">
            <v>291</v>
          </cell>
          <cell r="G856">
            <v>0</v>
          </cell>
          <cell r="H856">
            <v>0</v>
          </cell>
          <cell r="N856">
            <v>9632.1</v>
          </cell>
          <cell r="O856">
            <v>0</v>
          </cell>
          <cell r="Q856">
            <v>0</v>
          </cell>
          <cell r="S856">
            <v>0</v>
          </cell>
          <cell r="U856">
            <v>0</v>
          </cell>
          <cell r="Y856">
            <v>1248.3900000000001</v>
          </cell>
          <cell r="AB856">
            <v>244.44</v>
          </cell>
          <cell r="AE856" t="str">
            <v>20140101KUUM_469</v>
          </cell>
        </row>
        <row r="857">
          <cell r="B857" t="str">
            <v>Oct 2015</v>
          </cell>
          <cell r="C857" t="str">
            <v>RLS</v>
          </cell>
          <cell r="D857" t="str">
            <v>KUUM_470</v>
          </cell>
          <cell r="E857">
            <v>-36</v>
          </cell>
          <cell r="G857">
            <v>0</v>
          </cell>
          <cell r="H857">
            <v>0</v>
          </cell>
          <cell r="N857">
            <v>-1989</v>
          </cell>
          <cell r="O857">
            <v>0</v>
          </cell>
          <cell r="Q857">
            <v>0</v>
          </cell>
          <cell r="S857">
            <v>0</v>
          </cell>
          <cell r="U857">
            <v>0</v>
          </cell>
          <cell r="Y857">
            <v>-374.76</v>
          </cell>
          <cell r="AB857">
            <v>-61.199999999999996</v>
          </cell>
          <cell r="AE857" t="str">
            <v>20140101KUUM_470</v>
          </cell>
        </row>
        <row r="858">
          <cell r="B858" t="str">
            <v>Oct 2015</v>
          </cell>
          <cell r="C858" t="str">
            <v>RLS</v>
          </cell>
          <cell r="D858" t="str">
            <v>KUUM_471</v>
          </cell>
          <cell r="E858">
            <v>3400</v>
          </cell>
          <cell r="G858">
            <v>0</v>
          </cell>
          <cell r="H858">
            <v>0</v>
          </cell>
          <cell r="N858">
            <v>35666</v>
          </cell>
          <cell r="O858">
            <v>0</v>
          </cell>
          <cell r="Q858">
            <v>0</v>
          </cell>
          <cell r="S858">
            <v>0</v>
          </cell>
          <cell r="U858">
            <v>0</v>
          </cell>
          <cell r="Y858">
            <v>1938</v>
          </cell>
          <cell r="AB858">
            <v>1122</v>
          </cell>
          <cell r="AE858" t="str">
            <v>20140101KUUM_471</v>
          </cell>
        </row>
        <row r="859">
          <cell r="B859" t="str">
            <v>Oct 2015</v>
          </cell>
          <cell r="C859" t="str">
            <v>LS</v>
          </cell>
          <cell r="D859" t="str">
            <v>KUUM_472</v>
          </cell>
          <cell r="E859">
            <v>8623</v>
          </cell>
          <cell r="G859">
            <v>0</v>
          </cell>
          <cell r="H859">
            <v>0</v>
          </cell>
          <cell r="N859">
            <v>100026.8</v>
          </cell>
          <cell r="O859">
            <v>0</v>
          </cell>
          <cell r="Q859">
            <v>0</v>
          </cell>
          <cell r="S859">
            <v>0</v>
          </cell>
          <cell r="U859">
            <v>0</v>
          </cell>
          <cell r="Y859">
            <v>6898.4</v>
          </cell>
          <cell r="AB859">
            <v>3707.89</v>
          </cell>
          <cell r="AE859" t="str">
            <v>20140101KUUM_472</v>
          </cell>
        </row>
        <row r="860">
          <cell r="B860" t="str">
            <v>Oct 2015</v>
          </cell>
          <cell r="C860" t="str">
            <v>LS</v>
          </cell>
          <cell r="D860" t="str">
            <v>KUUM_473</v>
          </cell>
          <cell r="E860">
            <v>3232</v>
          </cell>
          <cell r="G860">
            <v>0</v>
          </cell>
          <cell r="H860">
            <v>0</v>
          </cell>
          <cell r="N860">
            <v>39753.599999999999</v>
          </cell>
          <cell r="O860">
            <v>0</v>
          </cell>
          <cell r="Q860">
            <v>0</v>
          </cell>
          <cell r="S860">
            <v>0</v>
          </cell>
          <cell r="U860">
            <v>0</v>
          </cell>
          <cell r="Y860">
            <v>3652.16</v>
          </cell>
          <cell r="AB860">
            <v>1098.8800000000001</v>
          </cell>
          <cell r="AE860" t="str">
            <v>20140101KUUM_473</v>
          </cell>
        </row>
        <row r="861">
          <cell r="B861" t="str">
            <v>Oct 2015</v>
          </cell>
          <cell r="C861" t="str">
            <v>LS</v>
          </cell>
          <cell r="D861" t="str">
            <v>KUUM_474</v>
          </cell>
          <cell r="E861">
            <v>5197</v>
          </cell>
          <cell r="G861">
            <v>0</v>
          </cell>
          <cell r="H861">
            <v>0</v>
          </cell>
          <cell r="N861">
            <v>90479.77</v>
          </cell>
          <cell r="O861">
            <v>0</v>
          </cell>
          <cell r="Q861">
            <v>0</v>
          </cell>
          <cell r="S861">
            <v>0</v>
          </cell>
          <cell r="U861">
            <v>0</v>
          </cell>
          <cell r="Y861">
            <v>12109.01</v>
          </cell>
          <cell r="AB861">
            <v>3014.2599999999998</v>
          </cell>
          <cell r="AE861" t="str">
            <v>20140101KUUM_474</v>
          </cell>
        </row>
        <row r="862">
          <cell r="B862" t="str">
            <v>Oct 2015</v>
          </cell>
          <cell r="C862" t="str">
            <v>LS</v>
          </cell>
          <cell r="D862" t="str">
            <v>KUUM_475</v>
          </cell>
          <cell r="E862">
            <v>453</v>
          </cell>
          <cell r="G862">
            <v>0</v>
          </cell>
          <cell r="H862">
            <v>0</v>
          </cell>
          <cell r="N862">
            <v>11080.38</v>
          </cell>
          <cell r="O862">
            <v>0</v>
          </cell>
          <cell r="Q862">
            <v>0</v>
          </cell>
          <cell r="S862">
            <v>0</v>
          </cell>
          <cell r="U862">
            <v>0</v>
          </cell>
          <cell r="Y862">
            <v>2052.09</v>
          </cell>
          <cell r="AB862">
            <v>357.87</v>
          </cell>
          <cell r="AE862" t="str">
            <v>20140101KUUM_475</v>
          </cell>
        </row>
        <row r="863">
          <cell r="B863" t="str">
            <v>Oct 2015</v>
          </cell>
          <cell r="C863" t="str">
            <v>LS</v>
          </cell>
          <cell r="D863" t="str">
            <v>KUUM_476</v>
          </cell>
          <cell r="E863">
            <v>4555</v>
          </cell>
          <cell r="G863">
            <v>0</v>
          </cell>
          <cell r="H863">
            <v>0</v>
          </cell>
          <cell r="N863">
            <v>76478.45</v>
          </cell>
          <cell r="O863">
            <v>0</v>
          </cell>
          <cell r="Q863">
            <v>0</v>
          </cell>
          <cell r="S863">
            <v>0</v>
          </cell>
          <cell r="U863">
            <v>0</v>
          </cell>
          <cell r="Y863">
            <v>3644</v>
          </cell>
          <cell r="AB863">
            <v>1958.6499999999999</v>
          </cell>
          <cell r="AE863" t="str">
            <v>20140101KUUM_476</v>
          </cell>
        </row>
        <row r="864">
          <cell r="B864" t="str">
            <v>Oct 2015</v>
          </cell>
          <cell r="C864" t="str">
            <v>LS</v>
          </cell>
          <cell r="D864" t="str">
            <v>KUUM_477</v>
          </cell>
          <cell r="E864">
            <v>1021</v>
          </cell>
          <cell r="G864">
            <v>0</v>
          </cell>
          <cell r="H864">
            <v>0</v>
          </cell>
          <cell r="N864">
            <v>21410.37</v>
          </cell>
          <cell r="O864">
            <v>0</v>
          </cell>
          <cell r="Q864">
            <v>0</v>
          </cell>
          <cell r="S864">
            <v>0</v>
          </cell>
          <cell r="U864">
            <v>0</v>
          </cell>
          <cell r="Y864">
            <v>1153.73</v>
          </cell>
          <cell r="AB864">
            <v>347.14000000000004</v>
          </cell>
          <cell r="AE864" t="str">
            <v>20140101KUUM_477</v>
          </cell>
        </row>
        <row r="865">
          <cell r="B865" t="str">
            <v>Oct 2015</v>
          </cell>
          <cell r="C865" t="str">
            <v>LS</v>
          </cell>
          <cell r="D865" t="str">
            <v>KUUM_478</v>
          </cell>
          <cell r="E865">
            <v>1392</v>
          </cell>
          <cell r="G865">
            <v>0</v>
          </cell>
          <cell r="H865">
            <v>0</v>
          </cell>
          <cell r="N865">
            <v>37389.120000000003</v>
          </cell>
          <cell r="O865">
            <v>0</v>
          </cell>
          <cell r="Q865">
            <v>0</v>
          </cell>
          <cell r="S865">
            <v>0</v>
          </cell>
          <cell r="U865">
            <v>0</v>
          </cell>
          <cell r="Y865">
            <v>3243.36</v>
          </cell>
          <cell r="AB865">
            <v>807.3599999999999</v>
          </cell>
          <cell r="AE865" t="str">
            <v>20140101KUUM_478</v>
          </cell>
        </row>
        <row r="866">
          <cell r="B866" t="str">
            <v>Oct 2015</v>
          </cell>
          <cell r="C866" t="str">
            <v>LS</v>
          </cell>
          <cell r="D866" t="str">
            <v>KUUM_479</v>
          </cell>
          <cell r="E866">
            <v>999</v>
          </cell>
          <cell r="G866">
            <v>0</v>
          </cell>
          <cell r="H866">
            <v>0</v>
          </cell>
          <cell r="N866">
            <v>33086.879999999997</v>
          </cell>
          <cell r="O866">
            <v>0</v>
          </cell>
          <cell r="Q866">
            <v>0</v>
          </cell>
          <cell r="S866">
            <v>0</v>
          </cell>
          <cell r="U866">
            <v>0</v>
          </cell>
          <cell r="Y866">
            <v>4525.47</v>
          </cell>
          <cell r="AB866">
            <v>789.21</v>
          </cell>
          <cell r="AE866" t="str">
            <v>20140101KUUM_479</v>
          </cell>
        </row>
        <row r="867">
          <cell r="B867" t="str">
            <v>Oct 2015</v>
          </cell>
          <cell r="C867" t="str">
            <v>LS</v>
          </cell>
          <cell r="D867" t="str">
            <v>KUUM_486</v>
          </cell>
          <cell r="E867">
            <v>0</v>
          </cell>
          <cell r="G867">
            <v>0</v>
          </cell>
          <cell r="H867">
            <v>0</v>
          </cell>
          <cell r="N867">
            <v>0</v>
          </cell>
          <cell r="O867">
            <v>0</v>
          </cell>
          <cell r="Q867">
            <v>0</v>
          </cell>
          <cell r="S867">
            <v>0</v>
          </cell>
          <cell r="U867">
            <v>0</v>
          </cell>
          <cell r="Y867">
            <v>0</v>
          </cell>
          <cell r="AB867">
            <v>0</v>
          </cell>
          <cell r="AE867" t="str">
            <v>20140101KUUM_486</v>
          </cell>
        </row>
        <row r="868">
          <cell r="B868" t="str">
            <v>Oct 2015</v>
          </cell>
          <cell r="C868" t="str">
            <v>LS</v>
          </cell>
          <cell r="D868" t="str">
            <v>KUUM_487</v>
          </cell>
          <cell r="E868">
            <v>10673</v>
          </cell>
          <cell r="G868">
            <v>0</v>
          </cell>
          <cell r="H868">
            <v>0</v>
          </cell>
          <cell r="N868">
            <v>96057</v>
          </cell>
          <cell r="O868">
            <v>0</v>
          </cell>
          <cell r="Q868">
            <v>0</v>
          </cell>
          <cell r="S868">
            <v>0</v>
          </cell>
          <cell r="U868">
            <v>0</v>
          </cell>
          <cell r="Y868">
            <v>12060.49</v>
          </cell>
          <cell r="AB868">
            <v>3628.82</v>
          </cell>
          <cell r="AE868" t="str">
            <v>20140101KUUM_487</v>
          </cell>
        </row>
        <row r="869">
          <cell r="B869" t="str">
            <v>Oct 2015</v>
          </cell>
          <cell r="C869" t="str">
            <v>LS</v>
          </cell>
          <cell r="D869" t="str">
            <v>KUUM_488</v>
          </cell>
          <cell r="E869">
            <v>6332</v>
          </cell>
          <cell r="G869">
            <v>0</v>
          </cell>
          <cell r="H869">
            <v>0</v>
          </cell>
          <cell r="N869">
            <v>86368.48</v>
          </cell>
          <cell r="O869">
            <v>0</v>
          </cell>
          <cell r="Q869">
            <v>0</v>
          </cell>
          <cell r="S869">
            <v>0</v>
          </cell>
          <cell r="U869">
            <v>0</v>
          </cell>
          <cell r="Y869">
            <v>14753.56</v>
          </cell>
          <cell r="AB869">
            <v>3672.56</v>
          </cell>
          <cell r="AE869" t="str">
            <v>20140101KUUM_488</v>
          </cell>
        </row>
        <row r="870">
          <cell r="B870" t="str">
            <v>Oct 2015</v>
          </cell>
          <cell r="C870" t="str">
            <v>LS</v>
          </cell>
          <cell r="D870" t="str">
            <v>KUUM_489</v>
          </cell>
          <cell r="E870">
            <v>8016</v>
          </cell>
          <cell r="G870">
            <v>0</v>
          </cell>
          <cell r="H870">
            <v>0</v>
          </cell>
          <cell r="N870">
            <v>155991.35999999999</v>
          </cell>
          <cell r="O870">
            <v>0</v>
          </cell>
          <cell r="Q870">
            <v>0</v>
          </cell>
          <cell r="S870">
            <v>0</v>
          </cell>
          <cell r="U870">
            <v>0</v>
          </cell>
          <cell r="Y870">
            <v>36312.480000000003</v>
          </cell>
          <cell r="AB870">
            <v>6332.64</v>
          </cell>
          <cell r="AE870" t="str">
            <v>20140101KUUM_489</v>
          </cell>
        </row>
        <row r="871">
          <cell r="B871" t="str">
            <v>Oct 2015</v>
          </cell>
          <cell r="C871" t="str">
            <v>LS</v>
          </cell>
          <cell r="D871" t="str">
            <v>KUUM_490</v>
          </cell>
          <cell r="E871">
            <v>56</v>
          </cell>
          <cell r="G871">
            <v>0</v>
          </cell>
          <cell r="H871">
            <v>0</v>
          </cell>
          <cell r="N871">
            <v>866.32</v>
          </cell>
          <cell r="O871">
            <v>0</v>
          </cell>
          <cell r="Q871">
            <v>0</v>
          </cell>
          <cell r="S871">
            <v>0</v>
          </cell>
          <cell r="U871">
            <v>0</v>
          </cell>
          <cell r="Y871">
            <v>110.32</v>
          </cell>
          <cell r="AB871">
            <v>36.96</v>
          </cell>
          <cell r="AE871" t="str">
            <v>20140101KUUM_490</v>
          </cell>
        </row>
        <row r="872">
          <cell r="B872" t="str">
            <v>Oct 2015</v>
          </cell>
          <cell r="C872" t="str">
            <v>LS</v>
          </cell>
          <cell r="D872" t="str">
            <v>KUUM_491</v>
          </cell>
          <cell r="E872">
            <v>317</v>
          </cell>
          <cell r="G872">
            <v>0</v>
          </cell>
          <cell r="H872">
            <v>0</v>
          </cell>
          <cell r="N872">
            <v>6951.81</v>
          </cell>
          <cell r="O872">
            <v>0</v>
          </cell>
          <cell r="Q872">
            <v>0</v>
          </cell>
          <cell r="S872">
            <v>0</v>
          </cell>
          <cell r="U872">
            <v>0</v>
          </cell>
          <cell r="Y872">
            <v>1359.93</v>
          </cell>
          <cell r="AB872">
            <v>266.27999999999997</v>
          </cell>
          <cell r="AE872" t="str">
            <v>20140101KUUM_491</v>
          </cell>
        </row>
        <row r="873">
          <cell r="B873" t="str">
            <v>Oct 2015</v>
          </cell>
          <cell r="C873" t="str">
            <v>LS</v>
          </cell>
          <cell r="D873" t="str">
            <v>KUUM_492</v>
          </cell>
          <cell r="E873">
            <v>2</v>
          </cell>
          <cell r="G873">
            <v>0</v>
          </cell>
          <cell r="H873">
            <v>0</v>
          </cell>
          <cell r="N873">
            <v>30.74</v>
          </cell>
          <cell r="O873">
            <v>0</v>
          </cell>
          <cell r="Q873">
            <v>0</v>
          </cell>
          <cell r="S873">
            <v>0</v>
          </cell>
          <cell r="U873">
            <v>0</v>
          </cell>
          <cell r="Y873">
            <v>1.6</v>
          </cell>
          <cell r="AB873">
            <v>0.86</v>
          </cell>
          <cell r="AE873" t="str">
            <v>20140101KUUM_492</v>
          </cell>
        </row>
        <row r="874">
          <cell r="B874" t="str">
            <v>Oct 2015</v>
          </cell>
          <cell r="C874" t="str">
            <v>LS</v>
          </cell>
          <cell r="D874" t="str">
            <v>KUUM_493</v>
          </cell>
          <cell r="E874">
            <v>47</v>
          </cell>
          <cell r="G874">
            <v>0</v>
          </cell>
          <cell r="H874">
            <v>0</v>
          </cell>
          <cell r="N874">
            <v>2147.9</v>
          </cell>
          <cell r="O874">
            <v>0</v>
          </cell>
          <cell r="Q874">
            <v>0</v>
          </cell>
          <cell r="S874">
            <v>0</v>
          </cell>
          <cell r="U874">
            <v>0</v>
          </cell>
          <cell r="Y874">
            <v>489.27</v>
          </cell>
          <cell r="AB874">
            <v>79.899999999999991</v>
          </cell>
          <cell r="AE874" t="str">
            <v>20140101KUUM_493</v>
          </cell>
        </row>
        <row r="875">
          <cell r="B875" t="str">
            <v>Oct 2015</v>
          </cell>
          <cell r="C875" t="str">
            <v>LS</v>
          </cell>
          <cell r="D875" t="str">
            <v>KUUM_494</v>
          </cell>
          <cell r="E875">
            <v>191</v>
          </cell>
          <cell r="G875">
            <v>0</v>
          </cell>
          <cell r="H875">
            <v>0</v>
          </cell>
          <cell r="N875">
            <v>5418.67</v>
          </cell>
          <cell r="O875">
            <v>0</v>
          </cell>
          <cell r="Q875">
            <v>0</v>
          </cell>
          <cell r="S875">
            <v>0</v>
          </cell>
          <cell r="U875">
            <v>0</v>
          </cell>
          <cell r="Y875">
            <v>376.27</v>
          </cell>
          <cell r="AB875">
            <v>126.06</v>
          </cell>
          <cell r="AE875" t="str">
            <v>20140101KUUM_494</v>
          </cell>
        </row>
        <row r="876">
          <cell r="B876" t="str">
            <v>Oct 2015</v>
          </cell>
          <cell r="C876" t="str">
            <v>LS</v>
          </cell>
          <cell r="D876" t="str">
            <v>KUUM_495</v>
          </cell>
          <cell r="E876">
            <v>624</v>
          </cell>
          <cell r="G876">
            <v>0</v>
          </cell>
          <cell r="H876">
            <v>0</v>
          </cell>
          <cell r="N876">
            <v>21733.919999999998</v>
          </cell>
          <cell r="O876">
            <v>0</v>
          </cell>
          <cell r="Q876">
            <v>0</v>
          </cell>
          <cell r="S876">
            <v>0</v>
          </cell>
          <cell r="U876">
            <v>0</v>
          </cell>
          <cell r="Y876">
            <v>2676.96</v>
          </cell>
          <cell r="AB876">
            <v>524.16</v>
          </cell>
          <cell r="AE876" t="str">
            <v>20140101KUUM_495</v>
          </cell>
        </row>
        <row r="877">
          <cell r="B877" t="str">
            <v>Oct 2015</v>
          </cell>
          <cell r="C877" t="str">
            <v>LS</v>
          </cell>
          <cell r="D877" t="str">
            <v>KUUM_496</v>
          </cell>
          <cell r="E877">
            <v>159</v>
          </cell>
          <cell r="G877">
            <v>0</v>
          </cell>
          <cell r="H877">
            <v>0</v>
          </cell>
          <cell r="N877">
            <v>9315.81</v>
          </cell>
          <cell r="O877">
            <v>0</v>
          </cell>
          <cell r="Q877">
            <v>0</v>
          </cell>
          <cell r="S877">
            <v>0</v>
          </cell>
          <cell r="U877">
            <v>0</v>
          </cell>
          <cell r="Y877">
            <v>1655.19</v>
          </cell>
          <cell r="AB877">
            <v>270.3</v>
          </cell>
          <cell r="AE877" t="str">
            <v>20140101KUUM_496</v>
          </cell>
        </row>
        <row r="878">
          <cell r="B878" t="str">
            <v>Oct 2015</v>
          </cell>
          <cell r="C878" t="str">
            <v>LS</v>
          </cell>
          <cell r="D878" t="str">
            <v>KUUM_497</v>
          </cell>
          <cell r="E878">
            <v>7</v>
          </cell>
          <cell r="G878">
            <v>0</v>
          </cell>
          <cell r="H878">
            <v>0</v>
          </cell>
          <cell r="N878">
            <v>107.45</v>
          </cell>
          <cell r="O878">
            <v>0</v>
          </cell>
          <cell r="Q878">
            <v>0</v>
          </cell>
          <cell r="S878">
            <v>0</v>
          </cell>
          <cell r="U878">
            <v>0</v>
          </cell>
          <cell r="Y878">
            <v>7.91</v>
          </cell>
          <cell r="AB878">
            <v>2.3800000000000003</v>
          </cell>
          <cell r="AE878" t="str">
            <v>20140101KUUM_497</v>
          </cell>
        </row>
        <row r="879">
          <cell r="B879" t="str">
            <v>Oct 2015</v>
          </cell>
          <cell r="C879" t="str">
            <v>LS</v>
          </cell>
          <cell r="D879" t="str">
            <v>KUUM_498</v>
          </cell>
          <cell r="E879">
            <v>20</v>
          </cell>
          <cell r="G879">
            <v>0</v>
          </cell>
          <cell r="H879">
            <v>0</v>
          </cell>
          <cell r="N879">
            <v>354.4</v>
          </cell>
          <cell r="O879">
            <v>0</v>
          </cell>
          <cell r="Q879">
            <v>0</v>
          </cell>
          <cell r="S879">
            <v>0</v>
          </cell>
          <cell r="U879">
            <v>0</v>
          </cell>
          <cell r="Y879">
            <v>46.6</v>
          </cell>
          <cell r="AB879">
            <v>11.6</v>
          </cell>
          <cell r="AE879" t="str">
            <v>20140101KUUM_498</v>
          </cell>
        </row>
        <row r="880">
          <cell r="B880" t="str">
            <v>Oct 2015</v>
          </cell>
          <cell r="C880" t="str">
            <v>LS</v>
          </cell>
          <cell r="D880" t="str">
            <v>KUUM_499</v>
          </cell>
          <cell r="E880">
            <v>22</v>
          </cell>
          <cell r="G880">
            <v>0</v>
          </cell>
          <cell r="H880">
            <v>0</v>
          </cell>
          <cell r="N880">
            <v>472.78</v>
          </cell>
          <cell r="O880">
            <v>0</v>
          </cell>
          <cell r="Q880">
            <v>0</v>
          </cell>
          <cell r="S880">
            <v>0</v>
          </cell>
          <cell r="U880">
            <v>0</v>
          </cell>
          <cell r="Y880">
            <v>99.66</v>
          </cell>
          <cell r="AB880">
            <v>17.380000000000003</v>
          </cell>
          <cell r="AE880" t="str">
            <v>20140101KUUM_499</v>
          </cell>
        </row>
        <row r="881">
          <cell r="B881" t="str">
            <v>Oct 2015</v>
          </cell>
          <cell r="C881" t="str">
            <v>ODL</v>
          </cell>
          <cell r="D881" t="str">
            <v>ODL</v>
          </cell>
          <cell r="E881">
            <v>0</v>
          </cell>
          <cell r="G881">
            <v>10338471</v>
          </cell>
          <cell r="H881">
            <v>0</v>
          </cell>
          <cell r="N881">
            <v>0</v>
          </cell>
          <cell r="O881">
            <v>2094086</v>
          </cell>
          <cell r="Q881">
            <v>24506</v>
          </cell>
          <cell r="S881">
            <v>64587</v>
          </cell>
          <cell r="U881">
            <v>2183179</v>
          </cell>
          <cell r="Y881">
            <v>0</v>
          </cell>
          <cell r="AB881">
            <v>0</v>
          </cell>
          <cell r="AE881" t="str">
            <v>20140101ODL</v>
          </cell>
        </row>
        <row r="882">
          <cell r="B882" t="str">
            <v>Nov 2015</v>
          </cell>
          <cell r="C882" t="str">
            <v>LS</v>
          </cell>
          <cell r="D882" t="str">
            <v>KUUM_300</v>
          </cell>
          <cell r="E882">
            <v>0</v>
          </cell>
          <cell r="G882">
            <v>0</v>
          </cell>
          <cell r="H882">
            <v>0</v>
          </cell>
          <cell r="N882">
            <v>0</v>
          </cell>
          <cell r="O882">
            <v>0</v>
          </cell>
          <cell r="Q882">
            <v>0</v>
          </cell>
          <cell r="S882">
            <v>0</v>
          </cell>
          <cell r="U882">
            <v>0</v>
          </cell>
          <cell r="Y882">
            <v>0</v>
          </cell>
          <cell r="AB882">
            <v>0</v>
          </cell>
          <cell r="AE882" t="str">
            <v>20140101KUUM_300</v>
          </cell>
        </row>
        <row r="883">
          <cell r="B883" t="str">
            <v>Nov 2015</v>
          </cell>
          <cell r="C883" t="str">
            <v>LS</v>
          </cell>
          <cell r="D883" t="str">
            <v>KUUM_301</v>
          </cell>
          <cell r="E883">
            <v>0</v>
          </cell>
          <cell r="G883">
            <v>0</v>
          </cell>
          <cell r="H883">
            <v>0</v>
          </cell>
          <cell r="N883">
            <v>0</v>
          </cell>
          <cell r="O883">
            <v>0</v>
          </cell>
          <cell r="Q883">
            <v>0</v>
          </cell>
          <cell r="S883">
            <v>0</v>
          </cell>
          <cell r="U883">
            <v>0</v>
          </cell>
          <cell r="Y883">
            <v>0</v>
          </cell>
          <cell r="AB883">
            <v>0</v>
          </cell>
          <cell r="AE883" t="str">
            <v>20140101KUUM_301</v>
          </cell>
        </row>
        <row r="884">
          <cell r="B884" t="str">
            <v>Nov 2015</v>
          </cell>
          <cell r="C884" t="str">
            <v>LS</v>
          </cell>
          <cell r="D884" t="str">
            <v>KUUM_360</v>
          </cell>
          <cell r="E884">
            <v>172</v>
          </cell>
          <cell r="G884">
            <v>0</v>
          </cell>
          <cell r="H884">
            <v>0</v>
          </cell>
          <cell r="N884">
            <v>9516.76</v>
          </cell>
          <cell r="O884">
            <v>0</v>
          </cell>
          <cell r="Q884">
            <v>0</v>
          </cell>
          <cell r="S884">
            <v>0</v>
          </cell>
          <cell r="U884">
            <v>0</v>
          </cell>
          <cell r="Y884">
            <v>301</v>
          </cell>
          <cell r="AB884">
            <v>414.52000000000004</v>
          </cell>
          <cell r="AE884" t="str">
            <v>20140101KUUM_360</v>
          </cell>
        </row>
        <row r="885">
          <cell r="B885" t="str">
            <v>Nov 2015</v>
          </cell>
          <cell r="C885" t="str">
            <v>LS</v>
          </cell>
          <cell r="D885" t="str">
            <v>KUUM_361</v>
          </cell>
          <cell r="E885">
            <v>26</v>
          </cell>
          <cell r="G885">
            <v>0</v>
          </cell>
          <cell r="H885">
            <v>0</v>
          </cell>
          <cell r="N885">
            <v>2162.16</v>
          </cell>
          <cell r="O885">
            <v>0</v>
          </cell>
          <cell r="Q885">
            <v>0</v>
          </cell>
          <cell r="S885">
            <v>0</v>
          </cell>
          <cell r="U885">
            <v>0</v>
          </cell>
          <cell r="Y885">
            <v>45.5</v>
          </cell>
          <cell r="AB885">
            <v>62.660000000000004</v>
          </cell>
          <cell r="AE885" t="str">
            <v>20140101KUUM_361</v>
          </cell>
        </row>
        <row r="886">
          <cell r="B886" t="str">
            <v>Nov 2015</v>
          </cell>
          <cell r="C886" t="str">
            <v>LS</v>
          </cell>
          <cell r="D886" t="str">
            <v>KUUM_362</v>
          </cell>
          <cell r="E886">
            <v>44</v>
          </cell>
          <cell r="G886">
            <v>0</v>
          </cell>
          <cell r="H886">
            <v>0</v>
          </cell>
          <cell r="N886">
            <v>2630.32</v>
          </cell>
          <cell r="O886">
            <v>0</v>
          </cell>
          <cell r="Q886">
            <v>0</v>
          </cell>
          <cell r="S886">
            <v>0</v>
          </cell>
          <cell r="U886">
            <v>0</v>
          </cell>
          <cell r="Y886">
            <v>77</v>
          </cell>
          <cell r="AB886">
            <v>106.04</v>
          </cell>
          <cell r="AE886" t="str">
            <v>20140101KUUM_362</v>
          </cell>
        </row>
        <row r="887">
          <cell r="B887" t="str">
            <v>Nov 2015</v>
          </cell>
          <cell r="C887" t="str">
            <v>LS</v>
          </cell>
          <cell r="D887" t="str">
            <v>KUUM_363</v>
          </cell>
          <cell r="E887">
            <v>5</v>
          </cell>
          <cell r="G887">
            <v>0</v>
          </cell>
          <cell r="H887">
            <v>0</v>
          </cell>
          <cell r="N887">
            <v>308.75</v>
          </cell>
          <cell r="O887">
            <v>0</v>
          </cell>
          <cell r="Q887">
            <v>0</v>
          </cell>
          <cell r="S887">
            <v>0</v>
          </cell>
          <cell r="U887">
            <v>0</v>
          </cell>
          <cell r="Y887">
            <v>8.75</v>
          </cell>
          <cell r="AB887">
            <v>12.05</v>
          </cell>
          <cell r="AE887" t="str">
            <v>20140101KUUM_363</v>
          </cell>
        </row>
        <row r="888">
          <cell r="B888" t="str">
            <v>Nov 2015</v>
          </cell>
          <cell r="C888" t="str">
            <v>LS</v>
          </cell>
          <cell r="D888" t="str">
            <v>KUUM_364</v>
          </cell>
          <cell r="E888">
            <v>1</v>
          </cell>
          <cell r="G888">
            <v>0</v>
          </cell>
          <cell r="H888">
            <v>0</v>
          </cell>
          <cell r="N888">
            <v>63.11</v>
          </cell>
          <cell r="O888">
            <v>0</v>
          </cell>
          <cell r="Q888">
            <v>0</v>
          </cell>
          <cell r="S888">
            <v>0</v>
          </cell>
          <cell r="U888">
            <v>0</v>
          </cell>
          <cell r="Y888">
            <v>1.75</v>
          </cell>
          <cell r="AB888">
            <v>2.41</v>
          </cell>
          <cell r="AE888" t="str">
            <v>20140101KUUM_364</v>
          </cell>
        </row>
        <row r="889">
          <cell r="B889" t="str">
            <v>Nov 2015</v>
          </cell>
          <cell r="C889" t="str">
            <v>LS</v>
          </cell>
          <cell r="D889" t="str">
            <v>KUUM_365</v>
          </cell>
          <cell r="E889">
            <v>5</v>
          </cell>
          <cell r="G889">
            <v>0</v>
          </cell>
          <cell r="H889">
            <v>0</v>
          </cell>
          <cell r="N889">
            <v>404.7</v>
          </cell>
          <cell r="O889">
            <v>0</v>
          </cell>
          <cell r="Q889">
            <v>0</v>
          </cell>
          <cell r="S889">
            <v>0</v>
          </cell>
          <cell r="U889">
            <v>0</v>
          </cell>
          <cell r="Y889">
            <v>8.75</v>
          </cell>
          <cell r="AB889">
            <v>12.05</v>
          </cell>
          <cell r="AE889" t="str">
            <v>20140101KUUM_365</v>
          </cell>
        </row>
        <row r="890">
          <cell r="B890" t="str">
            <v>Nov 2015</v>
          </cell>
          <cell r="C890" t="str">
            <v>LS</v>
          </cell>
          <cell r="D890" t="str">
            <v>KUUM_366</v>
          </cell>
          <cell r="E890">
            <v>10</v>
          </cell>
          <cell r="G890">
            <v>0</v>
          </cell>
          <cell r="H890">
            <v>0</v>
          </cell>
          <cell r="N890">
            <v>789.7</v>
          </cell>
          <cell r="O890">
            <v>0</v>
          </cell>
          <cell r="Q890">
            <v>0</v>
          </cell>
          <cell r="S890">
            <v>0</v>
          </cell>
          <cell r="U890">
            <v>0</v>
          </cell>
          <cell r="Y890">
            <v>17.5</v>
          </cell>
          <cell r="AB890">
            <v>24.1</v>
          </cell>
          <cell r="AE890" t="str">
            <v>20140101KUUM_366</v>
          </cell>
        </row>
        <row r="891">
          <cell r="B891" t="str">
            <v>Nov 2015</v>
          </cell>
          <cell r="C891" t="str">
            <v>LS</v>
          </cell>
          <cell r="D891" t="str">
            <v>KUUM_367</v>
          </cell>
          <cell r="E891">
            <v>24</v>
          </cell>
          <cell r="G891">
            <v>0</v>
          </cell>
          <cell r="H891">
            <v>0</v>
          </cell>
          <cell r="N891">
            <v>1469.52</v>
          </cell>
          <cell r="O891">
            <v>0</v>
          </cell>
          <cell r="Q891">
            <v>0</v>
          </cell>
          <cell r="S891">
            <v>0</v>
          </cell>
          <cell r="U891">
            <v>0</v>
          </cell>
          <cell r="Y891">
            <v>42</v>
          </cell>
          <cell r="AB891">
            <v>57.84</v>
          </cell>
          <cell r="AE891" t="str">
            <v>20140101KUUM_367</v>
          </cell>
        </row>
        <row r="892">
          <cell r="B892" t="str">
            <v>Nov 2015</v>
          </cell>
          <cell r="C892" t="str">
            <v>LS</v>
          </cell>
          <cell r="D892" t="str">
            <v>KUUM_368</v>
          </cell>
          <cell r="E892">
            <v>1</v>
          </cell>
          <cell r="G892">
            <v>0</v>
          </cell>
          <cell r="H892">
            <v>0</v>
          </cell>
          <cell r="N892">
            <v>56.69</v>
          </cell>
          <cell r="O892">
            <v>0</v>
          </cell>
          <cell r="Q892">
            <v>0</v>
          </cell>
          <cell r="S892">
            <v>0</v>
          </cell>
          <cell r="U892">
            <v>0</v>
          </cell>
          <cell r="Y892">
            <v>1.75</v>
          </cell>
          <cell r="AB892">
            <v>2.41</v>
          </cell>
          <cell r="AE892" t="str">
            <v>20140101KUUM_368</v>
          </cell>
        </row>
        <row r="893">
          <cell r="B893" t="str">
            <v>Nov 2015</v>
          </cell>
          <cell r="C893" t="str">
            <v>LS</v>
          </cell>
          <cell r="D893" t="str">
            <v>KUUM_370</v>
          </cell>
          <cell r="E893">
            <v>16</v>
          </cell>
          <cell r="G893">
            <v>0</v>
          </cell>
          <cell r="H893">
            <v>0</v>
          </cell>
          <cell r="N893">
            <v>1192.32</v>
          </cell>
          <cell r="O893">
            <v>0</v>
          </cell>
          <cell r="Q893">
            <v>0</v>
          </cell>
          <cell r="S893">
            <v>0</v>
          </cell>
          <cell r="U893">
            <v>0</v>
          </cell>
          <cell r="Y893">
            <v>28</v>
          </cell>
          <cell r="AB893">
            <v>38.56</v>
          </cell>
          <cell r="AE893" t="str">
            <v>20140101KUUM_370</v>
          </cell>
        </row>
        <row r="894">
          <cell r="B894" t="str">
            <v>Nov 2015</v>
          </cell>
          <cell r="C894" t="str">
            <v>LS</v>
          </cell>
          <cell r="D894" t="str">
            <v>KUUM_372</v>
          </cell>
          <cell r="E894">
            <v>1</v>
          </cell>
          <cell r="G894">
            <v>0</v>
          </cell>
          <cell r="H894">
            <v>0</v>
          </cell>
          <cell r="N894">
            <v>82.3</v>
          </cell>
          <cell r="O894">
            <v>0</v>
          </cell>
          <cell r="Q894">
            <v>0</v>
          </cell>
          <cell r="S894">
            <v>0</v>
          </cell>
          <cell r="U894">
            <v>0</v>
          </cell>
          <cell r="Y894">
            <v>1.75</v>
          </cell>
          <cell r="AB894">
            <v>2.41</v>
          </cell>
          <cell r="AE894" t="str">
            <v>20140101KUUM_372</v>
          </cell>
        </row>
        <row r="895">
          <cell r="B895" t="str">
            <v>Nov 2015</v>
          </cell>
          <cell r="C895" t="str">
            <v>LS</v>
          </cell>
          <cell r="D895" t="str">
            <v>KUUM_373</v>
          </cell>
          <cell r="E895">
            <v>19</v>
          </cell>
          <cell r="G895">
            <v>0</v>
          </cell>
          <cell r="H895">
            <v>0</v>
          </cell>
          <cell r="N895">
            <v>1415.88</v>
          </cell>
          <cell r="O895">
            <v>0</v>
          </cell>
          <cell r="Q895">
            <v>0</v>
          </cell>
          <cell r="S895">
            <v>0</v>
          </cell>
          <cell r="U895">
            <v>0</v>
          </cell>
          <cell r="Y895">
            <v>33.25</v>
          </cell>
          <cell r="AB895">
            <v>45.790000000000006</v>
          </cell>
          <cell r="AE895" t="str">
            <v>20140101KUUM_373</v>
          </cell>
        </row>
        <row r="896">
          <cell r="B896" t="str">
            <v>Nov 2015</v>
          </cell>
          <cell r="C896" t="str">
            <v>LS</v>
          </cell>
          <cell r="D896" t="str">
            <v>KUUM_374</v>
          </cell>
          <cell r="E896">
            <v>4</v>
          </cell>
          <cell r="G896">
            <v>0</v>
          </cell>
          <cell r="H896">
            <v>0</v>
          </cell>
          <cell r="N896">
            <v>303.52</v>
          </cell>
          <cell r="O896">
            <v>0</v>
          </cell>
          <cell r="Q896">
            <v>0</v>
          </cell>
          <cell r="S896">
            <v>0</v>
          </cell>
          <cell r="U896">
            <v>0</v>
          </cell>
          <cell r="Y896">
            <v>7</v>
          </cell>
          <cell r="AB896">
            <v>9.64</v>
          </cell>
          <cell r="AE896" t="str">
            <v>20140101KUUM_374</v>
          </cell>
        </row>
        <row r="897">
          <cell r="B897" t="str">
            <v>Nov 2015</v>
          </cell>
          <cell r="C897" t="str">
            <v>LS</v>
          </cell>
          <cell r="D897" t="str">
            <v>KUUM_375</v>
          </cell>
          <cell r="E897">
            <v>3</v>
          </cell>
          <cell r="G897">
            <v>0</v>
          </cell>
          <cell r="H897">
            <v>0</v>
          </cell>
          <cell r="N897">
            <v>236.91</v>
          </cell>
          <cell r="O897">
            <v>0</v>
          </cell>
          <cell r="Q897">
            <v>0</v>
          </cell>
          <cell r="S897">
            <v>0</v>
          </cell>
          <cell r="U897">
            <v>0</v>
          </cell>
          <cell r="Y897">
            <v>5.25</v>
          </cell>
          <cell r="AB897">
            <v>7.23</v>
          </cell>
          <cell r="AE897" t="str">
            <v>20140101KUUM_375</v>
          </cell>
        </row>
        <row r="898">
          <cell r="B898" t="str">
            <v>Nov 2015</v>
          </cell>
          <cell r="C898" t="str">
            <v>LS</v>
          </cell>
          <cell r="D898" t="str">
            <v>KUUM_376</v>
          </cell>
          <cell r="E898">
            <v>2</v>
          </cell>
          <cell r="G898">
            <v>0</v>
          </cell>
          <cell r="H898">
            <v>0</v>
          </cell>
          <cell r="N898">
            <v>154.52000000000001</v>
          </cell>
          <cell r="O898">
            <v>0</v>
          </cell>
          <cell r="Q898">
            <v>0</v>
          </cell>
          <cell r="S898">
            <v>0</v>
          </cell>
          <cell r="U898">
            <v>0</v>
          </cell>
          <cell r="Y898">
            <v>3.5</v>
          </cell>
          <cell r="AB898">
            <v>4.82</v>
          </cell>
          <cell r="AE898" t="str">
            <v>20140101KUUM_376</v>
          </cell>
        </row>
        <row r="899">
          <cell r="B899" t="str">
            <v>Nov 2015</v>
          </cell>
          <cell r="C899" t="str">
            <v>LS</v>
          </cell>
          <cell r="D899" t="str">
            <v>KUUM_377</v>
          </cell>
          <cell r="E899">
            <v>49</v>
          </cell>
          <cell r="G899">
            <v>0</v>
          </cell>
          <cell r="H899">
            <v>0</v>
          </cell>
          <cell r="N899">
            <v>3145.31</v>
          </cell>
          <cell r="O899">
            <v>0</v>
          </cell>
          <cell r="Q899">
            <v>0</v>
          </cell>
          <cell r="S899">
            <v>0</v>
          </cell>
          <cell r="U899">
            <v>0</v>
          </cell>
          <cell r="Y899">
            <v>85.75</v>
          </cell>
          <cell r="AB899">
            <v>118.09</v>
          </cell>
          <cell r="AE899" t="str">
            <v>20140101KUUM_377</v>
          </cell>
        </row>
        <row r="900">
          <cell r="B900" t="str">
            <v>Nov 2015</v>
          </cell>
          <cell r="C900" t="str">
            <v>LS</v>
          </cell>
          <cell r="D900" t="str">
            <v>KUUM_378</v>
          </cell>
          <cell r="E900">
            <v>2</v>
          </cell>
          <cell r="G900">
            <v>0</v>
          </cell>
          <cell r="H900">
            <v>0</v>
          </cell>
          <cell r="N900">
            <v>151.80000000000001</v>
          </cell>
          <cell r="O900">
            <v>0</v>
          </cell>
          <cell r="Q900">
            <v>0</v>
          </cell>
          <cell r="S900">
            <v>0</v>
          </cell>
          <cell r="U900">
            <v>0</v>
          </cell>
          <cell r="Y900">
            <v>3.5</v>
          </cell>
          <cell r="AB900">
            <v>4.82</v>
          </cell>
          <cell r="AE900" t="str">
            <v>20140101KUUM_378</v>
          </cell>
        </row>
        <row r="901">
          <cell r="B901" t="str">
            <v>Nov 2015</v>
          </cell>
          <cell r="C901" t="str">
            <v>LS</v>
          </cell>
          <cell r="D901" t="str">
            <v>KUUM_401</v>
          </cell>
          <cell r="E901">
            <v>45</v>
          </cell>
          <cell r="G901">
            <v>0</v>
          </cell>
          <cell r="H901">
            <v>0</v>
          </cell>
          <cell r="N901">
            <v>668.7</v>
          </cell>
          <cell r="O901">
            <v>0</v>
          </cell>
          <cell r="Q901">
            <v>0</v>
          </cell>
          <cell r="S901">
            <v>0</v>
          </cell>
          <cell r="U901">
            <v>0</v>
          </cell>
          <cell r="Y901">
            <v>36</v>
          </cell>
          <cell r="AB901">
            <v>19.350000000000001</v>
          </cell>
          <cell r="AE901" t="str">
            <v>20140101KUUM_401</v>
          </cell>
        </row>
        <row r="902">
          <cell r="B902" t="str">
            <v>Nov 2015</v>
          </cell>
          <cell r="C902" t="str">
            <v>RLS</v>
          </cell>
          <cell r="D902" t="str">
            <v>KUUM_404</v>
          </cell>
          <cell r="E902">
            <v>7081</v>
          </cell>
          <cell r="G902">
            <v>0</v>
          </cell>
          <cell r="H902">
            <v>0</v>
          </cell>
          <cell r="N902">
            <v>74846.17</v>
          </cell>
          <cell r="O902">
            <v>0</v>
          </cell>
          <cell r="Q902">
            <v>0</v>
          </cell>
          <cell r="S902">
            <v>0</v>
          </cell>
          <cell r="U902">
            <v>0</v>
          </cell>
          <cell r="Y902">
            <v>14091.19</v>
          </cell>
          <cell r="AB902">
            <v>2761.59</v>
          </cell>
          <cell r="AE902" t="str">
            <v>20140101KUUM_404</v>
          </cell>
        </row>
        <row r="903">
          <cell r="B903" t="str">
            <v>Nov 2015</v>
          </cell>
          <cell r="C903" t="str">
            <v>RLS</v>
          </cell>
          <cell r="D903" t="str">
            <v>KUUM_405</v>
          </cell>
          <cell r="E903">
            <v>0</v>
          </cell>
          <cell r="G903">
            <v>0</v>
          </cell>
          <cell r="H903">
            <v>0</v>
          </cell>
          <cell r="N903">
            <v>0</v>
          </cell>
          <cell r="O903">
            <v>0</v>
          </cell>
          <cell r="Q903">
            <v>0</v>
          </cell>
          <cell r="S903">
            <v>0</v>
          </cell>
          <cell r="U903">
            <v>0</v>
          </cell>
          <cell r="Y903">
            <v>0</v>
          </cell>
          <cell r="AB903">
            <v>0</v>
          </cell>
          <cell r="AE903" t="str">
            <v>20140101KUUM_405</v>
          </cell>
        </row>
        <row r="904">
          <cell r="B904" t="str">
            <v>Nov 2015</v>
          </cell>
          <cell r="C904" t="str">
            <v>LS</v>
          </cell>
          <cell r="D904" t="str">
            <v>KUUM_407</v>
          </cell>
          <cell r="E904">
            <v>0</v>
          </cell>
          <cell r="G904">
            <v>0</v>
          </cell>
          <cell r="H904">
            <v>0</v>
          </cell>
          <cell r="N904">
            <v>0</v>
          </cell>
          <cell r="O904">
            <v>0</v>
          </cell>
          <cell r="Q904">
            <v>0</v>
          </cell>
          <cell r="S904">
            <v>0</v>
          </cell>
          <cell r="U904">
            <v>0</v>
          </cell>
          <cell r="Y904">
            <v>0</v>
          </cell>
          <cell r="AB904">
            <v>0</v>
          </cell>
          <cell r="AE904" t="str">
            <v>20140101KUUM_407</v>
          </cell>
        </row>
        <row r="905">
          <cell r="B905" t="str">
            <v>Nov 2015</v>
          </cell>
          <cell r="C905" t="str">
            <v>RLS</v>
          </cell>
          <cell r="D905" t="str">
            <v>KUUM_409</v>
          </cell>
          <cell r="E905">
            <v>133</v>
          </cell>
          <cell r="G905">
            <v>0</v>
          </cell>
          <cell r="H905">
            <v>0</v>
          </cell>
          <cell r="N905">
            <v>1557.43</v>
          </cell>
          <cell r="O905">
            <v>0</v>
          </cell>
          <cell r="Q905">
            <v>0</v>
          </cell>
          <cell r="S905">
            <v>0</v>
          </cell>
          <cell r="U905">
            <v>0</v>
          </cell>
          <cell r="Y905">
            <v>602.49</v>
          </cell>
          <cell r="AB905">
            <v>105.07000000000001</v>
          </cell>
          <cell r="AE905" t="str">
            <v>20140101KUUM_409</v>
          </cell>
        </row>
        <row r="906">
          <cell r="B906" t="str">
            <v>Nov 2015</v>
          </cell>
          <cell r="C906" t="str">
            <v>RLS</v>
          </cell>
          <cell r="D906" t="str">
            <v>KUUM_410</v>
          </cell>
          <cell r="E906">
            <v>236</v>
          </cell>
          <cell r="G906">
            <v>0</v>
          </cell>
          <cell r="H906">
            <v>0</v>
          </cell>
          <cell r="N906">
            <v>4781.3599999999997</v>
          </cell>
          <cell r="O906">
            <v>0</v>
          </cell>
          <cell r="Q906">
            <v>0</v>
          </cell>
          <cell r="S906">
            <v>0</v>
          </cell>
          <cell r="U906">
            <v>0</v>
          </cell>
          <cell r="Y906">
            <v>134.52000000000001</v>
          </cell>
          <cell r="AB906">
            <v>77.88000000000001</v>
          </cell>
          <cell r="AE906" t="str">
            <v>20140101KUUM_410</v>
          </cell>
        </row>
        <row r="907">
          <cell r="B907" t="str">
            <v>Nov 2015</v>
          </cell>
          <cell r="C907" t="str">
            <v>LS</v>
          </cell>
          <cell r="D907" t="str">
            <v>KUUM_411</v>
          </cell>
          <cell r="E907">
            <v>142</v>
          </cell>
          <cell r="G907">
            <v>0</v>
          </cell>
          <cell r="H907">
            <v>0</v>
          </cell>
          <cell r="N907">
            <v>3035.96</v>
          </cell>
          <cell r="O907">
            <v>0</v>
          </cell>
          <cell r="Q907">
            <v>0</v>
          </cell>
          <cell r="S907">
            <v>0</v>
          </cell>
          <cell r="U907">
            <v>0</v>
          </cell>
          <cell r="Y907">
            <v>113.6</v>
          </cell>
          <cell r="AB907">
            <v>61.06</v>
          </cell>
          <cell r="AE907" t="str">
            <v>20140101KUUM_411</v>
          </cell>
        </row>
        <row r="908">
          <cell r="B908" t="str">
            <v>Nov 2015</v>
          </cell>
          <cell r="C908" t="str">
            <v>RLS</v>
          </cell>
          <cell r="D908" t="str">
            <v>KUUM_412</v>
          </cell>
          <cell r="E908">
            <v>28</v>
          </cell>
          <cell r="G908">
            <v>0</v>
          </cell>
          <cell r="H908">
            <v>0</v>
          </cell>
          <cell r="N908">
            <v>863.52</v>
          </cell>
          <cell r="O908">
            <v>0</v>
          </cell>
          <cell r="Q908">
            <v>0</v>
          </cell>
          <cell r="S908">
            <v>0</v>
          </cell>
          <cell r="U908">
            <v>0</v>
          </cell>
          <cell r="Y908">
            <v>22.4</v>
          </cell>
          <cell r="AB908">
            <v>12.04</v>
          </cell>
          <cell r="AE908" t="str">
            <v>20140101KUUM_412</v>
          </cell>
        </row>
        <row r="909">
          <cell r="B909" t="str">
            <v>Nov 2015</v>
          </cell>
          <cell r="C909" t="str">
            <v>RLS</v>
          </cell>
          <cell r="D909" t="str">
            <v>KUUM_413</v>
          </cell>
          <cell r="E909">
            <v>95</v>
          </cell>
          <cell r="G909">
            <v>0</v>
          </cell>
          <cell r="H909">
            <v>0</v>
          </cell>
          <cell r="N909">
            <v>2965.9</v>
          </cell>
          <cell r="O909">
            <v>0</v>
          </cell>
          <cell r="Q909">
            <v>0</v>
          </cell>
          <cell r="S909">
            <v>0</v>
          </cell>
          <cell r="U909">
            <v>0</v>
          </cell>
          <cell r="Y909">
            <v>107.35</v>
          </cell>
          <cell r="AB909">
            <v>32.300000000000004</v>
          </cell>
          <cell r="AE909" t="str">
            <v>20140101KUUM_413</v>
          </cell>
        </row>
        <row r="910">
          <cell r="B910" t="str">
            <v>Nov 2015</v>
          </cell>
          <cell r="C910" t="str">
            <v>LS</v>
          </cell>
          <cell r="D910" t="str">
            <v>KUUM_414</v>
          </cell>
          <cell r="E910">
            <v>21</v>
          </cell>
          <cell r="G910">
            <v>0</v>
          </cell>
          <cell r="H910">
            <v>0</v>
          </cell>
          <cell r="N910">
            <v>647.64</v>
          </cell>
          <cell r="O910">
            <v>0</v>
          </cell>
          <cell r="Q910">
            <v>0</v>
          </cell>
          <cell r="S910">
            <v>0</v>
          </cell>
          <cell r="U910">
            <v>0</v>
          </cell>
          <cell r="Y910">
            <v>16.8</v>
          </cell>
          <cell r="AB910">
            <v>9.0299999999999994</v>
          </cell>
          <cell r="AE910" t="str">
            <v>20140101KUUM_414</v>
          </cell>
        </row>
        <row r="911">
          <cell r="B911" t="str">
            <v>Nov 2015</v>
          </cell>
          <cell r="C911" t="str">
            <v>LS</v>
          </cell>
          <cell r="D911" t="str">
            <v>KUUM_415</v>
          </cell>
          <cell r="E911">
            <v>10</v>
          </cell>
          <cell r="G911">
            <v>0</v>
          </cell>
          <cell r="H911">
            <v>0</v>
          </cell>
          <cell r="N911">
            <v>312.2</v>
          </cell>
          <cell r="O911">
            <v>0</v>
          </cell>
          <cell r="Q911">
            <v>0</v>
          </cell>
          <cell r="S911">
            <v>0</v>
          </cell>
          <cell r="U911">
            <v>0</v>
          </cell>
          <cell r="Y911">
            <v>11.3</v>
          </cell>
          <cell r="AB911">
            <v>3.4000000000000004</v>
          </cell>
          <cell r="AE911" t="str">
            <v>20140101KUUM_415</v>
          </cell>
        </row>
        <row r="912">
          <cell r="B912" t="str">
            <v>Nov 2015</v>
          </cell>
          <cell r="C912" t="str">
            <v>LS</v>
          </cell>
          <cell r="D912" t="str">
            <v>KUUM_420</v>
          </cell>
          <cell r="E912">
            <v>449</v>
          </cell>
          <cell r="G912">
            <v>0</v>
          </cell>
          <cell r="H912">
            <v>0</v>
          </cell>
          <cell r="N912">
            <v>6896.64</v>
          </cell>
          <cell r="O912">
            <v>0</v>
          </cell>
          <cell r="Q912">
            <v>0</v>
          </cell>
          <cell r="S912">
            <v>0</v>
          </cell>
          <cell r="U912">
            <v>0</v>
          </cell>
          <cell r="Y912">
            <v>507.37</v>
          </cell>
          <cell r="AB912">
            <v>152.66000000000003</v>
          </cell>
          <cell r="AE912" t="str">
            <v>20140101KUUM_420</v>
          </cell>
        </row>
        <row r="913">
          <cell r="B913" t="str">
            <v>Nov 2015</v>
          </cell>
          <cell r="C913" t="str">
            <v>RLS</v>
          </cell>
          <cell r="D913" t="str">
            <v>KUUM_421</v>
          </cell>
          <cell r="E913">
            <v>5</v>
          </cell>
          <cell r="G913">
            <v>0</v>
          </cell>
          <cell r="H913">
            <v>0</v>
          </cell>
          <cell r="N913">
            <v>16.95</v>
          </cell>
          <cell r="O913">
            <v>0</v>
          </cell>
          <cell r="Q913">
            <v>0</v>
          </cell>
          <cell r="S913">
            <v>0</v>
          </cell>
          <cell r="U913">
            <v>0</v>
          </cell>
          <cell r="Y913">
            <v>4.95</v>
          </cell>
          <cell r="AB913">
            <v>0.6</v>
          </cell>
          <cell r="AE913" t="str">
            <v>20140101KUUM_421</v>
          </cell>
        </row>
        <row r="914">
          <cell r="B914" t="str">
            <v>Nov 2015</v>
          </cell>
          <cell r="C914" t="str">
            <v>RLS</v>
          </cell>
          <cell r="D914" t="str">
            <v>KUUM_422</v>
          </cell>
          <cell r="E914">
            <v>676</v>
          </cell>
          <cell r="G914">
            <v>0</v>
          </cell>
          <cell r="H914">
            <v>0</v>
          </cell>
          <cell r="N914">
            <v>3069.04</v>
          </cell>
          <cell r="O914">
            <v>0</v>
          </cell>
          <cell r="Q914">
            <v>0</v>
          </cell>
          <cell r="S914">
            <v>0</v>
          </cell>
          <cell r="U914">
            <v>0</v>
          </cell>
          <cell r="Y914">
            <v>1311.44</v>
          </cell>
          <cell r="AB914">
            <v>108.16</v>
          </cell>
          <cell r="AE914" t="str">
            <v>20140101KUUM_422</v>
          </cell>
        </row>
        <row r="915">
          <cell r="B915" t="str">
            <v>Nov 2015</v>
          </cell>
          <cell r="C915" t="str">
            <v>RLS</v>
          </cell>
          <cell r="D915" t="str">
            <v>KUUM_424</v>
          </cell>
          <cell r="E915">
            <v>113</v>
          </cell>
          <cell r="G915">
            <v>0</v>
          </cell>
          <cell r="H915">
            <v>0</v>
          </cell>
          <cell r="N915">
            <v>766.14</v>
          </cell>
          <cell r="O915">
            <v>0</v>
          </cell>
          <cell r="Q915">
            <v>0</v>
          </cell>
          <cell r="S915">
            <v>0</v>
          </cell>
          <cell r="U915">
            <v>0</v>
          </cell>
          <cell r="Y915">
            <v>79.099999999999994</v>
          </cell>
          <cell r="AB915">
            <v>27.119999999999997</v>
          </cell>
          <cell r="AE915" t="str">
            <v>20140101KUUM_424</v>
          </cell>
        </row>
        <row r="916">
          <cell r="B916" t="str">
            <v>Nov 2015</v>
          </cell>
          <cell r="C916" t="str">
            <v>RLS</v>
          </cell>
          <cell r="D916" t="str">
            <v>KUUM_425</v>
          </cell>
          <cell r="E916">
            <v>2</v>
          </cell>
          <cell r="G916">
            <v>0</v>
          </cell>
          <cell r="H916">
            <v>0</v>
          </cell>
          <cell r="N916">
            <v>18.12</v>
          </cell>
          <cell r="O916">
            <v>0</v>
          </cell>
          <cell r="Q916">
            <v>0</v>
          </cell>
          <cell r="S916">
            <v>0</v>
          </cell>
          <cell r="U916">
            <v>0</v>
          </cell>
          <cell r="Y916">
            <v>8.6</v>
          </cell>
          <cell r="AB916">
            <v>0.66</v>
          </cell>
          <cell r="AE916" t="str">
            <v>20140101KUUM_425</v>
          </cell>
        </row>
        <row r="917">
          <cell r="B917" t="str">
            <v>Nov 2015</v>
          </cell>
          <cell r="C917" t="str">
            <v>RLS</v>
          </cell>
          <cell r="D917" t="str">
            <v>KUUM_426</v>
          </cell>
          <cell r="E917">
            <v>162</v>
          </cell>
          <cell r="G917">
            <v>0</v>
          </cell>
          <cell r="H917">
            <v>0</v>
          </cell>
          <cell r="N917">
            <v>1205.28</v>
          </cell>
          <cell r="O917">
            <v>0</v>
          </cell>
          <cell r="Q917">
            <v>0</v>
          </cell>
          <cell r="S917">
            <v>0</v>
          </cell>
          <cell r="U917">
            <v>0</v>
          </cell>
          <cell r="Y917">
            <v>129.6</v>
          </cell>
          <cell r="AB917">
            <v>69.66</v>
          </cell>
          <cell r="AE917" t="str">
            <v>20140101KUUM_426</v>
          </cell>
        </row>
        <row r="918">
          <cell r="B918" t="str">
            <v>Nov 2015</v>
          </cell>
          <cell r="C918" t="str">
            <v>LS</v>
          </cell>
          <cell r="D918" t="str">
            <v>KUUM_428</v>
          </cell>
          <cell r="E918">
            <v>34801</v>
          </cell>
          <cell r="G918">
            <v>0</v>
          </cell>
          <cell r="H918">
            <v>0</v>
          </cell>
          <cell r="N918">
            <v>272839.84000000003</v>
          </cell>
          <cell r="O918">
            <v>0</v>
          </cell>
          <cell r="Q918">
            <v>0</v>
          </cell>
          <cell r="S918">
            <v>0</v>
          </cell>
          <cell r="U918">
            <v>0</v>
          </cell>
          <cell r="Y918">
            <v>39325.129999999997</v>
          </cell>
          <cell r="AB918">
            <v>11832.34</v>
          </cell>
          <cell r="AE918" t="str">
            <v>20140101KUUM_428</v>
          </cell>
        </row>
        <row r="919">
          <cell r="B919" t="str">
            <v>Nov 2015</v>
          </cell>
          <cell r="C919" t="str">
            <v>LS</v>
          </cell>
          <cell r="D919" t="str">
            <v>KUUM_429</v>
          </cell>
          <cell r="E919">
            <v>0</v>
          </cell>
          <cell r="G919">
            <v>0</v>
          </cell>
          <cell r="H919">
            <v>0</v>
          </cell>
          <cell r="N919">
            <v>0</v>
          </cell>
          <cell r="O919">
            <v>0</v>
          </cell>
          <cell r="Q919">
            <v>0</v>
          </cell>
          <cell r="S919">
            <v>0</v>
          </cell>
          <cell r="U919">
            <v>0</v>
          </cell>
          <cell r="Y919">
            <v>0</v>
          </cell>
          <cell r="AB919">
            <v>0</v>
          </cell>
          <cell r="AE919" t="str">
            <v>20140101KUUM_429</v>
          </cell>
        </row>
        <row r="920">
          <cell r="B920" t="str">
            <v>Nov 2015</v>
          </cell>
          <cell r="C920" t="str">
            <v>LS</v>
          </cell>
          <cell r="D920" t="str">
            <v>KUUM_430</v>
          </cell>
          <cell r="E920">
            <v>1089</v>
          </cell>
          <cell r="G920">
            <v>0</v>
          </cell>
          <cell r="H920">
            <v>0</v>
          </cell>
          <cell r="N920">
            <v>23958</v>
          </cell>
          <cell r="O920">
            <v>0</v>
          </cell>
          <cell r="Q920">
            <v>0</v>
          </cell>
          <cell r="S920">
            <v>0</v>
          </cell>
          <cell r="U920">
            <v>0</v>
          </cell>
          <cell r="Y920">
            <v>1230.57</v>
          </cell>
          <cell r="AB920">
            <v>370.26000000000005</v>
          </cell>
          <cell r="AE920" t="str">
            <v>20140101KUUM_430</v>
          </cell>
        </row>
        <row r="921">
          <cell r="B921" t="str">
            <v>Nov 2015</v>
          </cell>
          <cell r="C921" t="str">
            <v>RLS</v>
          </cell>
          <cell r="D921" t="str">
            <v>KUUM_434</v>
          </cell>
          <cell r="E921">
            <v>8</v>
          </cell>
          <cell r="G921">
            <v>0</v>
          </cell>
          <cell r="H921">
            <v>0</v>
          </cell>
          <cell r="N921">
            <v>61.92</v>
          </cell>
          <cell r="O921">
            <v>0</v>
          </cell>
          <cell r="Q921">
            <v>0</v>
          </cell>
          <cell r="S921">
            <v>0</v>
          </cell>
          <cell r="U921">
            <v>0</v>
          </cell>
          <cell r="Y921">
            <v>5.6</v>
          </cell>
          <cell r="AB921">
            <v>1.92</v>
          </cell>
          <cell r="AE921" t="str">
            <v>20140101KUUM_434</v>
          </cell>
        </row>
        <row r="922">
          <cell r="B922" t="str">
            <v>Nov 2015</v>
          </cell>
          <cell r="C922" t="str">
            <v>RLS</v>
          </cell>
          <cell r="D922" t="str">
            <v>KUUM_440</v>
          </cell>
          <cell r="E922">
            <v>2</v>
          </cell>
          <cell r="G922">
            <v>0</v>
          </cell>
          <cell r="H922">
            <v>0</v>
          </cell>
          <cell r="N922">
            <v>27.22</v>
          </cell>
          <cell r="O922">
            <v>0</v>
          </cell>
          <cell r="Q922">
            <v>0</v>
          </cell>
          <cell r="S922">
            <v>0</v>
          </cell>
          <cell r="U922">
            <v>0</v>
          </cell>
          <cell r="Y922">
            <v>1.1399999999999999</v>
          </cell>
          <cell r="AB922">
            <v>0.66</v>
          </cell>
          <cell r="AE922" t="str">
            <v>20140101KUUM_440</v>
          </cell>
        </row>
        <row r="923">
          <cell r="B923" t="str">
            <v>Nov 2015</v>
          </cell>
          <cell r="C923" t="str">
            <v>RLS</v>
          </cell>
          <cell r="D923" t="str">
            <v>KUUM_446</v>
          </cell>
          <cell r="E923">
            <v>1035</v>
          </cell>
          <cell r="G923">
            <v>0</v>
          </cell>
          <cell r="H923">
            <v>0</v>
          </cell>
          <cell r="N923">
            <v>9894.6</v>
          </cell>
          <cell r="O923">
            <v>0</v>
          </cell>
          <cell r="Q923">
            <v>0</v>
          </cell>
          <cell r="S923">
            <v>0</v>
          </cell>
          <cell r="U923">
            <v>0</v>
          </cell>
          <cell r="Y923">
            <v>2059.65</v>
          </cell>
          <cell r="AB923">
            <v>403.65000000000003</v>
          </cell>
          <cell r="AE923" t="str">
            <v>20140101KUUM_446</v>
          </cell>
        </row>
        <row r="924">
          <cell r="B924" t="str">
            <v>Nov 2015</v>
          </cell>
          <cell r="C924" t="str">
            <v>RLS</v>
          </cell>
          <cell r="D924" t="str">
            <v>KUUM_447</v>
          </cell>
          <cell r="E924">
            <v>728</v>
          </cell>
          <cell r="G924">
            <v>0</v>
          </cell>
          <cell r="H924">
            <v>0</v>
          </cell>
          <cell r="N924">
            <v>8240.9599999999991</v>
          </cell>
          <cell r="O924">
            <v>0</v>
          </cell>
          <cell r="Q924">
            <v>0</v>
          </cell>
          <cell r="S924">
            <v>0</v>
          </cell>
          <cell r="U924">
            <v>0</v>
          </cell>
          <cell r="Y924">
            <v>2067.52</v>
          </cell>
          <cell r="AB924">
            <v>320.32</v>
          </cell>
          <cell r="AE924" t="str">
            <v>20140101KUUM_447</v>
          </cell>
        </row>
        <row r="925">
          <cell r="B925" t="str">
            <v>Nov 2015</v>
          </cell>
          <cell r="C925" t="str">
            <v>RLS</v>
          </cell>
          <cell r="D925" t="str">
            <v>KUUM_448</v>
          </cell>
          <cell r="E925">
            <v>1364</v>
          </cell>
          <cell r="G925">
            <v>0</v>
          </cell>
          <cell r="H925">
            <v>0</v>
          </cell>
          <cell r="N925">
            <v>17472.84</v>
          </cell>
          <cell r="O925">
            <v>0</v>
          </cell>
          <cell r="Q925">
            <v>0</v>
          </cell>
          <cell r="S925">
            <v>0</v>
          </cell>
          <cell r="U925">
            <v>0</v>
          </cell>
          <cell r="Y925">
            <v>5960.68</v>
          </cell>
          <cell r="AB925">
            <v>695.64</v>
          </cell>
          <cell r="AE925" t="str">
            <v>20140101KUUM_448</v>
          </cell>
        </row>
        <row r="926">
          <cell r="B926" t="str">
            <v>Nov 2015</v>
          </cell>
          <cell r="C926" t="str">
            <v>LS</v>
          </cell>
          <cell r="D926" t="str">
            <v>KUUM_450</v>
          </cell>
          <cell r="E926">
            <v>612</v>
          </cell>
          <cell r="G926">
            <v>0</v>
          </cell>
          <cell r="H926">
            <v>0</v>
          </cell>
          <cell r="N926">
            <v>8721</v>
          </cell>
          <cell r="O926">
            <v>0</v>
          </cell>
          <cell r="Q926">
            <v>0</v>
          </cell>
          <cell r="S926">
            <v>0</v>
          </cell>
          <cell r="U926">
            <v>0</v>
          </cell>
          <cell r="Y926">
            <v>1205.6400000000001</v>
          </cell>
          <cell r="AB926">
            <v>403.92</v>
          </cell>
          <cell r="AE926" t="str">
            <v>20140101KUUM_450</v>
          </cell>
        </row>
        <row r="927">
          <cell r="B927" t="str">
            <v>Nov 2015</v>
          </cell>
          <cell r="C927" t="str">
            <v>LS</v>
          </cell>
          <cell r="D927" t="str">
            <v>KUUM_451</v>
          </cell>
          <cell r="E927">
            <v>4819</v>
          </cell>
          <cell r="G927">
            <v>0</v>
          </cell>
          <cell r="H927">
            <v>0</v>
          </cell>
          <cell r="N927">
            <v>97343.8</v>
          </cell>
          <cell r="O927">
            <v>0</v>
          </cell>
          <cell r="Q927">
            <v>0</v>
          </cell>
          <cell r="S927">
            <v>0</v>
          </cell>
          <cell r="U927">
            <v>0</v>
          </cell>
          <cell r="Y927">
            <v>20673.509999999998</v>
          </cell>
          <cell r="AB927">
            <v>4047.96</v>
          </cell>
          <cell r="AE927" t="str">
            <v>20140101KUUM_451</v>
          </cell>
        </row>
        <row r="928">
          <cell r="B928" t="str">
            <v>Nov 2015</v>
          </cell>
          <cell r="C928" t="str">
            <v>LS</v>
          </cell>
          <cell r="D928" t="str">
            <v>KUUM_452</v>
          </cell>
          <cell r="E928">
            <v>1013</v>
          </cell>
          <cell r="G928">
            <v>0</v>
          </cell>
          <cell r="H928">
            <v>0</v>
          </cell>
          <cell r="N928">
            <v>42900.55</v>
          </cell>
          <cell r="O928">
            <v>0</v>
          </cell>
          <cell r="Q928">
            <v>0</v>
          </cell>
          <cell r="S928">
            <v>0</v>
          </cell>
          <cell r="U928">
            <v>0</v>
          </cell>
          <cell r="Y928">
            <v>10545.33</v>
          </cell>
          <cell r="AB928">
            <v>1722.1</v>
          </cell>
          <cell r="AE928" t="str">
            <v>20140101KUUM_452</v>
          </cell>
        </row>
        <row r="929">
          <cell r="B929" t="str">
            <v>Nov 2015</v>
          </cell>
          <cell r="C929" t="str">
            <v>RLS</v>
          </cell>
          <cell r="D929" t="str">
            <v>KUUM_454</v>
          </cell>
          <cell r="E929">
            <v>146</v>
          </cell>
          <cell r="G929">
            <v>0</v>
          </cell>
          <cell r="H929">
            <v>0</v>
          </cell>
          <cell r="N929">
            <v>2722.9</v>
          </cell>
          <cell r="O929">
            <v>0</v>
          </cell>
          <cell r="Q929">
            <v>0</v>
          </cell>
          <cell r="S929">
            <v>0</v>
          </cell>
          <cell r="U929">
            <v>0</v>
          </cell>
          <cell r="Y929">
            <v>287.62</v>
          </cell>
          <cell r="AB929">
            <v>96.36</v>
          </cell>
          <cell r="AE929" t="str">
            <v>20140101KUUM_454</v>
          </cell>
        </row>
        <row r="930">
          <cell r="B930" t="str">
            <v>Nov 2015</v>
          </cell>
          <cell r="C930" t="str">
            <v>RLS</v>
          </cell>
          <cell r="D930" t="str">
            <v>KUUM_455</v>
          </cell>
          <cell r="E930">
            <v>979</v>
          </cell>
          <cell r="G930">
            <v>0</v>
          </cell>
          <cell r="H930">
            <v>0</v>
          </cell>
          <cell r="N930">
            <v>24073.61</v>
          </cell>
          <cell r="O930">
            <v>0</v>
          </cell>
          <cell r="Q930">
            <v>0</v>
          </cell>
          <cell r="S930">
            <v>0</v>
          </cell>
          <cell r="U930">
            <v>0</v>
          </cell>
          <cell r="Y930">
            <v>4199.91</v>
          </cell>
          <cell r="AB930">
            <v>822.36</v>
          </cell>
          <cell r="AE930" t="str">
            <v>20140101KUUM_455</v>
          </cell>
        </row>
        <row r="931">
          <cell r="B931" t="str">
            <v>Nov 2015</v>
          </cell>
          <cell r="C931" t="str">
            <v>RLS</v>
          </cell>
          <cell r="D931" t="str">
            <v>KUUM_456</v>
          </cell>
          <cell r="E931">
            <v>136</v>
          </cell>
          <cell r="G931">
            <v>0</v>
          </cell>
          <cell r="H931">
            <v>0</v>
          </cell>
          <cell r="N931">
            <v>1614.32</v>
          </cell>
          <cell r="O931">
            <v>0</v>
          </cell>
          <cell r="Q931">
            <v>0</v>
          </cell>
          <cell r="S931">
            <v>0</v>
          </cell>
          <cell r="U931">
            <v>0</v>
          </cell>
          <cell r="Y931">
            <v>270.64</v>
          </cell>
          <cell r="AB931">
            <v>53.04</v>
          </cell>
          <cell r="AE931" t="str">
            <v>20140101KUUM_456</v>
          </cell>
        </row>
        <row r="932">
          <cell r="B932" t="str">
            <v>Nov 2015</v>
          </cell>
          <cell r="C932" t="str">
            <v>RLS</v>
          </cell>
          <cell r="D932" t="str">
            <v>KUUM_457</v>
          </cell>
          <cell r="E932">
            <v>441</v>
          </cell>
          <cell r="G932">
            <v>0</v>
          </cell>
          <cell r="H932">
            <v>0</v>
          </cell>
          <cell r="N932">
            <v>5891.76</v>
          </cell>
          <cell r="O932">
            <v>0</v>
          </cell>
          <cell r="Q932">
            <v>0</v>
          </cell>
          <cell r="S932">
            <v>0</v>
          </cell>
          <cell r="U932">
            <v>0</v>
          </cell>
          <cell r="Y932">
            <v>1252.44</v>
          </cell>
          <cell r="AB932">
            <v>194.04</v>
          </cell>
          <cell r="AE932" t="str">
            <v>20140101KUUM_457</v>
          </cell>
        </row>
        <row r="933">
          <cell r="B933" t="str">
            <v>Nov 2015</v>
          </cell>
          <cell r="C933" t="str">
            <v>RLS</v>
          </cell>
          <cell r="D933" t="str">
            <v>KUUM_458</v>
          </cell>
          <cell r="E933">
            <v>1355</v>
          </cell>
          <cell r="G933">
            <v>0</v>
          </cell>
          <cell r="H933">
            <v>0</v>
          </cell>
          <cell r="N933">
            <v>20433.400000000001</v>
          </cell>
          <cell r="O933">
            <v>0</v>
          </cell>
          <cell r="Q933">
            <v>0</v>
          </cell>
          <cell r="S933">
            <v>0</v>
          </cell>
          <cell r="U933">
            <v>0</v>
          </cell>
          <cell r="Y933">
            <v>5921.35</v>
          </cell>
          <cell r="AB933">
            <v>691.05000000000007</v>
          </cell>
          <cell r="AE933" t="str">
            <v>20140101KUUM_458</v>
          </cell>
        </row>
        <row r="934">
          <cell r="B934" t="str">
            <v>Nov 2015</v>
          </cell>
          <cell r="C934" t="str">
            <v>RLS</v>
          </cell>
          <cell r="D934" t="str">
            <v>KUUM_459</v>
          </cell>
          <cell r="E934">
            <v>226</v>
          </cell>
          <cell r="G934">
            <v>0</v>
          </cell>
          <cell r="H934">
            <v>0</v>
          </cell>
          <cell r="N934">
            <v>10563.24</v>
          </cell>
          <cell r="O934">
            <v>0</v>
          </cell>
          <cell r="Q934">
            <v>0</v>
          </cell>
          <cell r="S934">
            <v>0</v>
          </cell>
          <cell r="U934">
            <v>0</v>
          </cell>
          <cell r="Y934">
            <v>2352.66</v>
          </cell>
          <cell r="AB934">
            <v>384.2</v>
          </cell>
          <cell r="AE934" t="str">
            <v>20140101KUUM_459</v>
          </cell>
        </row>
        <row r="935">
          <cell r="B935" t="str">
            <v>Nov 2015</v>
          </cell>
          <cell r="C935" t="str">
            <v>RLS</v>
          </cell>
          <cell r="D935" t="str">
            <v>KUUM_460</v>
          </cell>
          <cell r="E935">
            <v>26</v>
          </cell>
          <cell r="G935">
            <v>0</v>
          </cell>
          <cell r="H935">
            <v>0</v>
          </cell>
          <cell r="N935">
            <v>705.9</v>
          </cell>
          <cell r="O935">
            <v>0</v>
          </cell>
          <cell r="Q935">
            <v>0</v>
          </cell>
          <cell r="S935">
            <v>0</v>
          </cell>
          <cell r="U935">
            <v>0</v>
          </cell>
          <cell r="Y935">
            <v>51.22</v>
          </cell>
          <cell r="AB935">
            <v>17.16</v>
          </cell>
          <cell r="AE935" t="str">
            <v>20140101KUUM_460</v>
          </cell>
        </row>
        <row r="936">
          <cell r="B936" t="str">
            <v>Nov 2015</v>
          </cell>
          <cell r="C936" t="str">
            <v>RLS</v>
          </cell>
          <cell r="D936" t="str">
            <v>KUUM_461</v>
          </cell>
          <cell r="E936">
            <v>6648</v>
          </cell>
          <cell r="G936">
            <v>0</v>
          </cell>
          <cell r="H936">
            <v>0</v>
          </cell>
          <cell r="N936">
            <v>50125.919999999998</v>
          </cell>
          <cell r="O936">
            <v>0</v>
          </cell>
          <cell r="Q936">
            <v>0</v>
          </cell>
          <cell r="S936">
            <v>0</v>
          </cell>
          <cell r="U936">
            <v>0</v>
          </cell>
          <cell r="Y936">
            <v>3789.36</v>
          </cell>
          <cell r="AB936">
            <v>2193.84</v>
          </cell>
          <cell r="AE936" t="str">
            <v>20140101KUUM_461</v>
          </cell>
        </row>
        <row r="937">
          <cell r="B937" t="str">
            <v>Nov 2015</v>
          </cell>
          <cell r="C937" t="str">
            <v>LS</v>
          </cell>
          <cell r="D937" t="str">
            <v>KUUM_462</v>
          </cell>
          <cell r="E937">
            <v>6813</v>
          </cell>
          <cell r="G937">
            <v>0</v>
          </cell>
          <cell r="H937">
            <v>0</v>
          </cell>
          <cell r="N937">
            <v>59000.58</v>
          </cell>
          <cell r="O937">
            <v>0</v>
          </cell>
          <cell r="Q937">
            <v>0</v>
          </cell>
          <cell r="S937">
            <v>0</v>
          </cell>
          <cell r="U937">
            <v>0</v>
          </cell>
          <cell r="Y937">
            <v>5450.4</v>
          </cell>
          <cell r="AB937">
            <v>2929.59</v>
          </cell>
          <cell r="AE937" t="str">
            <v>20140101KUUM_462</v>
          </cell>
        </row>
        <row r="938">
          <cell r="B938" t="str">
            <v>Nov 2015</v>
          </cell>
          <cell r="C938" t="str">
            <v>LS</v>
          </cell>
          <cell r="D938" t="str">
            <v>KUUM_463</v>
          </cell>
          <cell r="E938">
            <v>19649</v>
          </cell>
          <cell r="G938">
            <v>0</v>
          </cell>
          <cell r="H938">
            <v>0</v>
          </cell>
          <cell r="N938">
            <v>179591.86</v>
          </cell>
          <cell r="O938">
            <v>0</v>
          </cell>
          <cell r="Q938">
            <v>0</v>
          </cell>
          <cell r="S938">
            <v>0</v>
          </cell>
          <cell r="U938">
            <v>0</v>
          </cell>
          <cell r="Y938">
            <v>22203.37</v>
          </cell>
          <cell r="AB938">
            <v>6680.6600000000008</v>
          </cell>
          <cell r="AE938" t="str">
            <v>20140101KUUM_463</v>
          </cell>
        </row>
        <row r="939">
          <cell r="B939" t="str">
            <v>Nov 2015</v>
          </cell>
          <cell r="C939" t="str">
            <v>LS</v>
          </cell>
          <cell r="D939" t="str">
            <v>KUUM_464</v>
          </cell>
          <cell r="E939">
            <v>7024</v>
          </cell>
          <cell r="G939">
            <v>0</v>
          </cell>
          <cell r="H939">
            <v>0</v>
          </cell>
          <cell r="N939">
            <v>100092</v>
          </cell>
          <cell r="O939">
            <v>0</v>
          </cell>
          <cell r="Q939">
            <v>0</v>
          </cell>
          <cell r="S939">
            <v>0</v>
          </cell>
          <cell r="U939">
            <v>0</v>
          </cell>
          <cell r="Y939">
            <v>16365.92</v>
          </cell>
          <cell r="AB939">
            <v>4073.9199999999996</v>
          </cell>
          <cell r="AE939" t="str">
            <v>20140101KUUM_464</v>
          </cell>
        </row>
        <row r="940">
          <cell r="B940" t="str">
            <v>Nov 2015</v>
          </cell>
          <cell r="C940" t="str">
            <v>LS</v>
          </cell>
          <cell r="D940" t="str">
            <v>KUUM_465</v>
          </cell>
          <cell r="E940">
            <v>2645</v>
          </cell>
          <cell r="G940">
            <v>0</v>
          </cell>
          <cell r="H940">
            <v>0</v>
          </cell>
          <cell r="N940">
            <v>60411.8</v>
          </cell>
          <cell r="O940">
            <v>0</v>
          </cell>
          <cell r="Q940">
            <v>0</v>
          </cell>
          <cell r="S940">
            <v>0</v>
          </cell>
          <cell r="U940">
            <v>0</v>
          </cell>
          <cell r="Y940">
            <v>11981.85</v>
          </cell>
          <cell r="AB940">
            <v>2089.5500000000002</v>
          </cell>
          <cell r="AE940" t="str">
            <v>20140101KUUM_465</v>
          </cell>
        </row>
        <row r="941">
          <cell r="B941" t="str">
            <v>Nov 2015</v>
          </cell>
          <cell r="C941" t="str">
            <v>RLS</v>
          </cell>
          <cell r="D941" t="str">
            <v>KUUM_466</v>
          </cell>
          <cell r="E941">
            <v>829</v>
          </cell>
          <cell r="G941">
            <v>0</v>
          </cell>
          <cell r="H941">
            <v>0</v>
          </cell>
          <cell r="N941">
            <v>7974.98</v>
          </cell>
          <cell r="O941">
            <v>0</v>
          </cell>
          <cell r="Q941">
            <v>0</v>
          </cell>
          <cell r="S941">
            <v>0</v>
          </cell>
          <cell r="U941">
            <v>0</v>
          </cell>
          <cell r="Y941">
            <v>472.53</v>
          </cell>
          <cell r="AB941">
            <v>273.57</v>
          </cell>
          <cell r="AE941" t="str">
            <v>20140101KUUM_466</v>
          </cell>
        </row>
        <row r="942">
          <cell r="B942" t="str">
            <v>Nov 2015</v>
          </cell>
          <cell r="C942" t="str">
            <v>LS</v>
          </cell>
          <cell r="D942" t="str">
            <v>KUUM_467</v>
          </cell>
          <cell r="E942">
            <v>1213</v>
          </cell>
          <cell r="G942">
            <v>0</v>
          </cell>
          <cell r="H942">
            <v>0</v>
          </cell>
          <cell r="N942">
            <v>13064.01</v>
          </cell>
          <cell r="O942">
            <v>0</v>
          </cell>
          <cell r="Q942">
            <v>0</v>
          </cell>
          <cell r="S942">
            <v>0</v>
          </cell>
          <cell r="U942">
            <v>0</v>
          </cell>
          <cell r="Y942">
            <v>970.4</v>
          </cell>
          <cell r="AB942">
            <v>521.59</v>
          </cell>
          <cell r="AE942" t="str">
            <v>20140101KUUM_467</v>
          </cell>
        </row>
        <row r="943">
          <cell r="B943" t="str">
            <v>Nov 2015</v>
          </cell>
          <cell r="C943" t="str">
            <v>LS</v>
          </cell>
          <cell r="D943" t="str">
            <v>KUUM_468</v>
          </cell>
          <cell r="E943">
            <v>3824</v>
          </cell>
          <cell r="G943">
            <v>0</v>
          </cell>
          <cell r="H943">
            <v>0</v>
          </cell>
          <cell r="N943">
            <v>42675.839999999997</v>
          </cell>
          <cell r="O943">
            <v>0</v>
          </cell>
          <cell r="Q943">
            <v>0</v>
          </cell>
          <cell r="S943">
            <v>0</v>
          </cell>
          <cell r="U943">
            <v>0</v>
          </cell>
          <cell r="Y943">
            <v>4321.12</v>
          </cell>
          <cell r="AB943">
            <v>1300.1600000000001</v>
          </cell>
          <cell r="AE943" t="str">
            <v>20140101KUUM_468</v>
          </cell>
        </row>
        <row r="944">
          <cell r="B944" t="str">
            <v>Nov 2015</v>
          </cell>
          <cell r="C944" t="str">
            <v>RLS</v>
          </cell>
          <cell r="D944" t="str">
            <v>KUUM_469</v>
          </cell>
          <cell r="E944">
            <v>284</v>
          </cell>
          <cell r="G944">
            <v>0</v>
          </cell>
          <cell r="H944">
            <v>0</v>
          </cell>
          <cell r="N944">
            <v>9400.4</v>
          </cell>
          <cell r="O944">
            <v>0</v>
          </cell>
          <cell r="Q944">
            <v>0</v>
          </cell>
          <cell r="S944">
            <v>0</v>
          </cell>
          <cell r="U944">
            <v>0</v>
          </cell>
          <cell r="Y944">
            <v>1218.3599999999999</v>
          </cell>
          <cell r="AB944">
            <v>238.56</v>
          </cell>
          <cell r="AE944" t="str">
            <v>20140101KUUM_469</v>
          </cell>
        </row>
        <row r="945">
          <cell r="B945" t="str">
            <v>Nov 2015</v>
          </cell>
          <cell r="C945" t="str">
            <v>RLS</v>
          </cell>
          <cell r="D945" t="str">
            <v>KUUM_470</v>
          </cell>
          <cell r="E945">
            <v>63</v>
          </cell>
          <cell r="G945">
            <v>0</v>
          </cell>
          <cell r="H945">
            <v>0</v>
          </cell>
          <cell r="N945">
            <v>3480.75</v>
          </cell>
          <cell r="O945">
            <v>0</v>
          </cell>
          <cell r="Q945">
            <v>0</v>
          </cell>
          <cell r="S945">
            <v>0</v>
          </cell>
          <cell r="U945">
            <v>0</v>
          </cell>
          <cell r="Y945">
            <v>655.83</v>
          </cell>
          <cell r="AB945">
            <v>107.1</v>
          </cell>
          <cell r="AE945" t="str">
            <v>20140101KUUM_470</v>
          </cell>
        </row>
        <row r="946">
          <cell r="B946" t="str">
            <v>Nov 2015</v>
          </cell>
          <cell r="C946" t="str">
            <v>RLS</v>
          </cell>
          <cell r="D946" t="str">
            <v>KUUM_471</v>
          </cell>
          <cell r="E946">
            <v>3585</v>
          </cell>
          <cell r="G946">
            <v>0</v>
          </cell>
          <cell r="H946">
            <v>0</v>
          </cell>
          <cell r="N946">
            <v>37606.65</v>
          </cell>
          <cell r="O946">
            <v>0</v>
          </cell>
          <cell r="Q946">
            <v>0</v>
          </cell>
          <cell r="S946">
            <v>0</v>
          </cell>
          <cell r="U946">
            <v>0</v>
          </cell>
          <cell r="Y946">
            <v>2043.45</v>
          </cell>
          <cell r="AB946">
            <v>1183.05</v>
          </cell>
          <cell r="AE946" t="str">
            <v>20140101KUUM_471</v>
          </cell>
        </row>
        <row r="947">
          <cell r="B947" t="str">
            <v>Nov 2015</v>
          </cell>
          <cell r="C947" t="str">
            <v>LS</v>
          </cell>
          <cell r="D947" t="str">
            <v>KUUM_472</v>
          </cell>
          <cell r="E947">
            <v>8388</v>
          </cell>
          <cell r="G947">
            <v>0</v>
          </cell>
          <cell r="H947">
            <v>0</v>
          </cell>
          <cell r="N947">
            <v>97300.800000000003</v>
          </cell>
          <cell r="O947">
            <v>0</v>
          </cell>
          <cell r="Q947">
            <v>0</v>
          </cell>
          <cell r="S947">
            <v>0</v>
          </cell>
          <cell r="U947">
            <v>0</v>
          </cell>
          <cell r="Y947">
            <v>6710.4</v>
          </cell>
          <cell r="AB947">
            <v>3606.84</v>
          </cell>
          <cell r="AE947" t="str">
            <v>20140101KUUM_472</v>
          </cell>
        </row>
        <row r="948">
          <cell r="B948" t="str">
            <v>Nov 2015</v>
          </cell>
          <cell r="C948" t="str">
            <v>LS</v>
          </cell>
          <cell r="D948" t="str">
            <v>KUUM_473</v>
          </cell>
          <cell r="E948">
            <v>3296</v>
          </cell>
          <cell r="G948">
            <v>0</v>
          </cell>
          <cell r="H948">
            <v>0</v>
          </cell>
          <cell r="N948">
            <v>40540.800000000003</v>
          </cell>
          <cell r="O948">
            <v>0</v>
          </cell>
          <cell r="Q948">
            <v>0</v>
          </cell>
          <cell r="S948">
            <v>0</v>
          </cell>
          <cell r="U948">
            <v>0</v>
          </cell>
          <cell r="Y948">
            <v>3724.48</v>
          </cell>
          <cell r="AB948">
            <v>1120.6400000000001</v>
          </cell>
          <cell r="AE948" t="str">
            <v>20140101KUUM_473</v>
          </cell>
        </row>
        <row r="949">
          <cell r="B949" t="str">
            <v>Nov 2015</v>
          </cell>
          <cell r="C949" t="str">
            <v>LS</v>
          </cell>
          <cell r="D949" t="str">
            <v>KUUM_474</v>
          </cell>
          <cell r="E949">
            <v>4926</v>
          </cell>
          <cell r="G949">
            <v>0</v>
          </cell>
          <cell r="H949">
            <v>0</v>
          </cell>
          <cell r="N949">
            <v>85761.66</v>
          </cell>
          <cell r="O949">
            <v>0</v>
          </cell>
          <cell r="Q949">
            <v>0</v>
          </cell>
          <cell r="S949">
            <v>0</v>
          </cell>
          <cell r="U949">
            <v>0</v>
          </cell>
          <cell r="Y949">
            <v>11477.58</v>
          </cell>
          <cell r="AB949">
            <v>2857.08</v>
          </cell>
          <cell r="AE949" t="str">
            <v>20140101KUUM_474</v>
          </cell>
        </row>
        <row r="950">
          <cell r="B950" t="str">
            <v>Nov 2015</v>
          </cell>
          <cell r="C950" t="str">
            <v>LS</v>
          </cell>
          <cell r="D950" t="str">
            <v>KUUM_475</v>
          </cell>
          <cell r="E950">
            <v>466</v>
          </cell>
          <cell r="G950">
            <v>0</v>
          </cell>
          <cell r="H950">
            <v>0</v>
          </cell>
          <cell r="N950">
            <v>11398.36</v>
          </cell>
          <cell r="O950">
            <v>0</v>
          </cell>
          <cell r="Q950">
            <v>0</v>
          </cell>
          <cell r="S950">
            <v>0</v>
          </cell>
          <cell r="U950">
            <v>0</v>
          </cell>
          <cell r="Y950">
            <v>2110.98</v>
          </cell>
          <cell r="AB950">
            <v>368.14000000000004</v>
          </cell>
          <cell r="AE950" t="str">
            <v>20140101KUUM_475</v>
          </cell>
        </row>
        <row r="951">
          <cell r="B951" t="str">
            <v>Nov 2015</v>
          </cell>
          <cell r="C951" t="str">
            <v>LS</v>
          </cell>
          <cell r="D951" t="str">
            <v>KUUM_476</v>
          </cell>
          <cell r="E951">
            <v>4461</v>
          </cell>
          <cell r="G951">
            <v>0</v>
          </cell>
          <cell r="H951">
            <v>0</v>
          </cell>
          <cell r="N951">
            <v>74900.19</v>
          </cell>
          <cell r="O951">
            <v>0</v>
          </cell>
          <cell r="Q951">
            <v>0</v>
          </cell>
          <cell r="S951">
            <v>0</v>
          </cell>
          <cell r="U951">
            <v>0</v>
          </cell>
          <cell r="Y951">
            <v>3568.8</v>
          </cell>
          <cell r="AB951">
            <v>1918.23</v>
          </cell>
          <cell r="AE951" t="str">
            <v>20140101KUUM_476</v>
          </cell>
        </row>
        <row r="952">
          <cell r="B952" t="str">
            <v>Nov 2015</v>
          </cell>
          <cell r="C952" t="str">
            <v>LS</v>
          </cell>
          <cell r="D952" t="str">
            <v>KUUM_477</v>
          </cell>
          <cell r="E952">
            <v>1034</v>
          </cell>
          <cell r="G952">
            <v>0</v>
          </cell>
          <cell r="H952">
            <v>0</v>
          </cell>
          <cell r="N952">
            <v>21682.98</v>
          </cell>
          <cell r="O952">
            <v>0</v>
          </cell>
          <cell r="Q952">
            <v>0</v>
          </cell>
          <cell r="S952">
            <v>0</v>
          </cell>
          <cell r="U952">
            <v>0</v>
          </cell>
          <cell r="Y952">
            <v>1168.42</v>
          </cell>
          <cell r="AB952">
            <v>351.56</v>
          </cell>
          <cell r="AE952" t="str">
            <v>20140101KUUM_477</v>
          </cell>
        </row>
        <row r="953">
          <cell r="B953" t="str">
            <v>Nov 2015</v>
          </cell>
          <cell r="C953" t="str">
            <v>LS</v>
          </cell>
          <cell r="D953" t="str">
            <v>KUUM_478</v>
          </cell>
          <cell r="E953">
            <v>1369</v>
          </cell>
          <cell r="G953">
            <v>0</v>
          </cell>
          <cell r="H953">
            <v>0</v>
          </cell>
          <cell r="N953">
            <v>36771.339999999997</v>
          </cell>
          <cell r="O953">
            <v>0</v>
          </cell>
          <cell r="Q953">
            <v>0</v>
          </cell>
          <cell r="S953">
            <v>0</v>
          </cell>
          <cell r="U953">
            <v>0</v>
          </cell>
          <cell r="Y953">
            <v>3189.77</v>
          </cell>
          <cell r="AB953">
            <v>794.02</v>
          </cell>
          <cell r="AE953" t="str">
            <v>20140101KUUM_478</v>
          </cell>
        </row>
        <row r="954">
          <cell r="B954" t="str">
            <v>Nov 2015</v>
          </cell>
          <cell r="C954" t="str">
            <v>LS</v>
          </cell>
          <cell r="D954" t="str">
            <v>KUUM_479</v>
          </cell>
          <cell r="E954">
            <v>917</v>
          </cell>
          <cell r="G954">
            <v>0</v>
          </cell>
          <cell r="H954">
            <v>0</v>
          </cell>
          <cell r="N954">
            <v>30371.040000000001</v>
          </cell>
          <cell r="O954">
            <v>0</v>
          </cell>
          <cell r="Q954">
            <v>0</v>
          </cell>
          <cell r="S954">
            <v>0</v>
          </cell>
          <cell r="U954">
            <v>0</v>
          </cell>
          <cell r="Y954">
            <v>4154.01</v>
          </cell>
          <cell r="AB954">
            <v>724.43000000000006</v>
          </cell>
          <cell r="AE954" t="str">
            <v>20140101KUUM_479</v>
          </cell>
        </row>
        <row r="955">
          <cell r="B955" t="str">
            <v>Nov 2015</v>
          </cell>
          <cell r="C955" t="str">
            <v>LS</v>
          </cell>
          <cell r="D955" t="str">
            <v>KUUM_486</v>
          </cell>
          <cell r="E955">
            <v>0</v>
          </cell>
          <cell r="G955">
            <v>0</v>
          </cell>
          <cell r="H955">
            <v>0</v>
          </cell>
          <cell r="N955">
            <v>0</v>
          </cell>
          <cell r="O955">
            <v>0</v>
          </cell>
          <cell r="Q955">
            <v>0</v>
          </cell>
          <cell r="S955">
            <v>0</v>
          </cell>
          <cell r="U955">
            <v>0</v>
          </cell>
          <cell r="Y955">
            <v>0</v>
          </cell>
          <cell r="AB955">
            <v>0</v>
          </cell>
          <cell r="AE955" t="str">
            <v>20140101KUUM_486</v>
          </cell>
        </row>
        <row r="956">
          <cell r="B956" t="str">
            <v>Nov 2015</v>
          </cell>
          <cell r="C956" t="str">
            <v>LS</v>
          </cell>
          <cell r="D956" t="str">
            <v>KUUM_487</v>
          </cell>
          <cell r="E956">
            <v>10653</v>
          </cell>
          <cell r="G956">
            <v>0</v>
          </cell>
          <cell r="H956">
            <v>0</v>
          </cell>
          <cell r="N956">
            <v>95877</v>
          </cell>
          <cell r="O956">
            <v>0</v>
          </cell>
          <cell r="Q956">
            <v>0</v>
          </cell>
          <cell r="S956">
            <v>0</v>
          </cell>
          <cell r="U956">
            <v>0</v>
          </cell>
          <cell r="Y956">
            <v>12037.89</v>
          </cell>
          <cell r="AB956">
            <v>3622.0200000000004</v>
          </cell>
          <cell r="AE956" t="str">
            <v>20140101KUUM_487</v>
          </cell>
        </row>
        <row r="957">
          <cell r="B957" t="str">
            <v>Nov 2015</v>
          </cell>
          <cell r="C957" t="str">
            <v>LS</v>
          </cell>
          <cell r="D957" t="str">
            <v>KUUM_488</v>
          </cell>
          <cell r="E957">
            <v>6273</v>
          </cell>
          <cell r="G957">
            <v>0</v>
          </cell>
          <cell r="H957">
            <v>0</v>
          </cell>
          <cell r="N957">
            <v>85563.72</v>
          </cell>
          <cell r="O957">
            <v>0</v>
          </cell>
          <cell r="Q957">
            <v>0</v>
          </cell>
          <cell r="S957">
            <v>0</v>
          </cell>
          <cell r="U957">
            <v>0</v>
          </cell>
          <cell r="Y957">
            <v>14616.09</v>
          </cell>
          <cell r="AB957">
            <v>3638.3399999999997</v>
          </cell>
          <cell r="AE957" t="str">
            <v>20140101KUUM_488</v>
          </cell>
        </row>
        <row r="958">
          <cell r="B958" t="str">
            <v>Nov 2015</v>
          </cell>
          <cell r="C958" t="str">
            <v>LS</v>
          </cell>
          <cell r="D958" t="str">
            <v>KUUM_489</v>
          </cell>
          <cell r="E958">
            <v>7884</v>
          </cell>
          <cell r="G958">
            <v>0</v>
          </cell>
          <cell r="N958">
            <v>153422.64000000001</v>
          </cell>
          <cell r="O958">
            <v>0</v>
          </cell>
          <cell r="Q958">
            <v>0</v>
          </cell>
          <cell r="S958">
            <v>0</v>
          </cell>
          <cell r="U958">
            <v>0</v>
          </cell>
          <cell r="Y958">
            <v>35714.519999999997</v>
          </cell>
          <cell r="AB958">
            <v>6228.3600000000006</v>
          </cell>
          <cell r="AE958" t="str">
            <v>20140101KUUM_489</v>
          </cell>
        </row>
        <row r="959">
          <cell r="B959" t="str">
            <v>Nov 2015</v>
          </cell>
          <cell r="C959" t="str">
            <v>LS</v>
          </cell>
          <cell r="D959" t="str">
            <v>KUUM_490</v>
          </cell>
          <cell r="E959">
            <v>56</v>
          </cell>
          <cell r="G959">
            <v>0</v>
          </cell>
          <cell r="H959">
            <v>0</v>
          </cell>
          <cell r="N959">
            <v>866.32</v>
          </cell>
          <cell r="O959">
            <v>0</v>
          </cell>
          <cell r="Q959">
            <v>0</v>
          </cell>
          <cell r="S959">
            <v>0</v>
          </cell>
          <cell r="U959">
            <v>0</v>
          </cell>
          <cell r="Y959">
            <v>110.32</v>
          </cell>
          <cell r="AB959">
            <v>36.96</v>
          </cell>
          <cell r="AE959" t="str">
            <v>20140101KUUM_490</v>
          </cell>
        </row>
        <row r="960">
          <cell r="B960" t="str">
            <v>Nov 2015</v>
          </cell>
          <cell r="C960" t="str">
            <v>LS</v>
          </cell>
          <cell r="D960" t="str">
            <v>KUUM_491</v>
          </cell>
          <cell r="E960">
            <v>287</v>
          </cell>
          <cell r="G960">
            <v>0</v>
          </cell>
          <cell r="H960">
            <v>0</v>
          </cell>
          <cell r="N960">
            <v>6293.91</v>
          </cell>
          <cell r="O960">
            <v>0</v>
          </cell>
          <cell r="Q960">
            <v>0</v>
          </cell>
          <cell r="S960">
            <v>0</v>
          </cell>
          <cell r="U960">
            <v>0</v>
          </cell>
          <cell r="Y960">
            <v>1231.23</v>
          </cell>
          <cell r="AB960">
            <v>241.07999999999998</v>
          </cell>
          <cell r="AE960" t="str">
            <v>20140101KUUM_491</v>
          </cell>
        </row>
        <row r="961">
          <cell r="B961" t="str">
            <v>Nov 2015</v>
          </cell>
          <cell r="C961" t="str">
            <v>LS</v>
          </cell>
          <cell r="D961" t="str">
            <v>KUUM_492</v>
          </cell>
          <cell r="E961">
            <v>2</v>
          </cell>
          <cell r="G961">
            <v>0</v>
          </cell>
          <cell r="H961">
            <v>0</v>
          </cell>
          <cell r="N961">
            <v>30.74</v>
          </cell>
          <cell r="O961">
            <v>0</v>
          </cell>
          <cell r="Q961">
            <v>0</v>
          </cell>
          <cell r="S961">
            <v>0</v>
          </cell>
          <cell r="U961">
            <v>0</v>
          </cell>
          <cell r="Y961">
            <v>1.6</v>
          </cell>
          <cell r="AB961">
            <v>0.86</v>
          </cell>
          <cell r="AE961" t="str">
            <v>20140101KUUM_492</v>
          </cell>
        </row>
        <row r="962">
          <cell r="B962" t="str">
            <v>Nov 2015</v>
          </cell>
          <cell r="C962" t="str">
            <v>LS</v>
          </cell>
          <cell r="D962" t="str">
            <v>KUUM_493</v>
          </cell>
          <cell r="E962">
            <v>45</v>
          </cell>
          <cell r="G962">
            <v>0</v>
          </cell>
          <cell r="H962">
            <v>0</v>
          </cell>
          <cell r="N962">
            <v>2056.5</v>
          </cell>
          <cell r="O962">
            <v>0</v>
          </cell>
          <cell r="Q962">
            <v>0</v>
          </cell>
          <cell r="S962">
            <v>0</v>
          </cell>
          <cell r="U962">
            <v>0</v>
          </cell>
          <cell r="Y962">
            <v>468.45</v>
          </cell>
          <cell r="AB962">
            <v>76.5</v>
          </cell>
          <cell r="AE962" t="str">
            <v>20140101KUUM_493</v>
          </cell>
        </row>
        <row r="963">
          <cell r="B963" t="str">
            <v>Nov 2015</v>
          </cell>
          <cell r="C963" t="str">
            <v>LS</v>
          </cell>
          <cell r="D963" t="str">
            <v>KUUM_494</v>
          </cell>
          <cell r="E963">
            <v>191</v>
          </cell>
          <cell r="G963">
            <v>0</v>
          </cell>
          <cell r="H963">
            <v>0</v>
          </cell>
          <cell r="N963">
            <v>5418.67</v>
          </cell>
          <cell r="O963">
            <v>0</v>
          </cell>
          <cell r="Q963">
            <v>0</v>
          </cell>
          <cell r="S963">
            <v>0</v>
          </cell>
          <cell r="U963">
            <v>0</v>
          </cell>
          <cell r="Y963">
            <v>376.27</v>
          </cell>
          <cell r="AB963">
            <v>126.06</v>
          </cell>
          <cell r="AE963" t="str">
            <v>20140101KUUM_494</v>
          </cell>
        </row>
        <row r="964">
          <cell r="B964" t="str">
            <v>Nov 2015</v>
          </cell>
          <cell r="C964" t="str">
            <v>LS</v>
          </cell>
          <cell r="D964" t="str">
            <v>KUUM_495</v>
          </cell>
          <cell r="E964">
            <v>593</v>
          </cell>
          <cell r="G964">
            <v>0</v>
          </cell>
          <cell r="H964">
            <v>0</v>
          </cell>
          <cell r="N964">
            <v>20654.189999999999</v>
          </cell>
          <cell r="O964">
            <v>0</v>
          </cell>
          <cell r="Q964">
            <v>0</v>
          </cell>
          <cell r="S964">
            <v>0</v>
          </cell>
          <cell r="U964">
            <v>0</v>
          </cell>
          <cell r="Y964">
            <v>2543.9699999999998</v>
          </cell>
          <cell r="AB964">
            <v>498.12</v>
          </cell>
          <cell r="AE964" t="str">
            <v>20140101KUUM_495</v>
          </cell>
        </row>
        <row r="965">
          <cell r="B965" t="str">
            <v>Nov 2015</v>
          </cell>
          <cell r="C965" t="str">
            <v>LS</v>
          </cell>
          <cell r="D965" t="str">
            <v>KUUM_496</v>
          </cell>
          <cell r="E965">
            <v>159</v>
          </cell>
          <cell r="G965">
            <v>0</v>
          </cell>
          <cell r="H965">
            <v>0</v>
          </cell>
          <cell r="N965">
            <v>9315.81</v>
          </cell>
          <cell r="O965">
            <v>0</v>
          </cell>
          <cell r="Q965">
            <v>0</v>
          </cell>
          <cell r="S965">
            <v>0</v>
          </cell>
          <cell r="U965">
            <v>0</v>
          </cell>
          <cell r="Y965">
            <v>1655.19</v>
          </cell>
          <cell r="AB965">
            <v>270.3</v>
          </cell>
          <cell r="AE965" t="str">
            <v>20140101KUUM_496</v>
          </cell>
        </row>
        <row r="966">
          <cell r="B966" t="str">
            <v>Nov 2015</v>
          </cell>
          <cell r="C966" t="str">
            <v>LS</v>
          </cell>
          <cell r="D966" t="str">
            <v>KUUM_497</v>
          </cell>
          <cell r="E966">
            <v>8</v>
          </cell>
          <cell r="G966">
            <v>0</v>
          </cell>
          <cell r="H966">
            <v>0</v>
          </cell>
          <cell r="N966">
            <v>122.8</v>
          </cell>
          <cell r="O966">
            <v>0</v>
          </cell>
          <cell r="Q966">
            <v>0</v>
          </cell>
          <cell r="S966">
            <v>0</v>
          </cell>
          <cell r="U966">
            <v>0</v>
          </cell>
          <cell r="Y966">
            <v>9.0399999999999991</v>
          </cell>
          <cell r="AB966">
            <v>2.72</v>
          </cell>
          <cell r="AE966" t="str">
            <v>20140101KUUM_497</v>
          </cell>
        </row>
        <row r="967">
          <cell r="B967" t="str">
            <v>Nov 2015</v>
          </cell>
          <cell r="C967" t="str">
            <v>LS</v>
          </cell>
          <cell r="D967" t="str">
            <v>KUUM_498</v>
          </cell>
          <cell r="E967">
            <v>20</v>
          </cell>
          <cell r="G967">
            <v>0</v>
          </cell>
          <cell r="H967">
            <v>0</v>
          </cell>
          <cell r="N967">
            <v>354.4</v>
          </cell>
          <cell r="O967">
            <v>0</v>
          </cell>
          <cell r="Q967">
            <v>0</v>
          </cell>
          <cell r="S967">
            <v>0</v>
          </cell>
          <cell r="U967">
            <v>0</v>
          </cell>
          <cell r="Y967">
            <v>46.6</v>
          </cell>
          <cell r="AB967">
            <v>11.6</v>
          </cell>
          <cell r="AE967" t="str">
            <v>20140101KUUM_498</v>
          </cell>
        </row>
        <row r="968">
          <cell r="B968" t="str">
            <v>Nov 2015</v>
          </cell>
          <cell r="C968" t="str">
            <v>LS</v>
          </cell>
          <cell r="D968" t="str">
            <v>KUUM_499</v>
          </cell>
          <cell r="E968">
            <v>23</v>
          </cell>
          <cell r="G968">
            <v>0</v>
          </cell>
          <cell r="H968">
            <v>0</v>
          </cell>
          <cell r="N968">
            <v>494.27</v>
          </cell>
          <cell r="O968">
            <v>0</v>
          </cell>
          <cell r="Q968">
            <v>0</v>
          </cell>
          <cell r="S968">
            <v>0</v>
          </cell>
          <cell r="U968">
            <v>0</v>
          </cell>
          <cell r="Y968">
            <v>104.19</v>
          </cell>
          <cell r="AB968">
            <v>18.170000000000002</v>
          </cell>
          <cell r="AE968" t="str">
            <v>20140101KUUM_499</v>
          </cell>
        </row>
        <row r="969">
          <cell r="B969" t="str">
            <v>Nov 2015</v>
          </cell>
          <cell r="C969" t="str">
            <v>ODL</v>
          </cell>
          <cell r="D969" t="str">
            <v>ODL</v>
          </cell>
          <cell r="E969">
            <v>0</v>
          </cell>
          <cell r="G969">
            <v>10615610</v>
          </cell>
          <cell r="H969">
            <v>0</v>
          </cell>
          <cell r="N969">
            <v>0</v>
          </cell>
          <cell r="O969">
            <v>2027330</v>
          </cell>
          <cell r="Q969">
            <v>34427</v>
          </cell>
          <cell r="S969">
            <v>64181</v>
          </cell>
          <cell r="U969">
            <v>2125938</v>
          </cell>
          <cell r="Y969">
            <v>0</v>
          </cell>
          <cell r="AB969">
            <v>0</v>
          </cell>
          <cell r="AE969" t="str">
            <v>20140101ODL</v>
          </cell>
        </row>
        <row r="970">
          <cell r="B970" t="str">
            <v>Dec 2015</v>
          </cell>
          <cell r="C970" t="str">
            <v>LS</v>
          </cell>
          <cell r="D970" t="str">
            <v>KUUM_300</v>
          </cell>
          <cell r="E970">
            <v>0</v>
          </cell>
          <cell r="G970">
            <v>0</v>
          </cell>
          <cell r="H970">
            <v>0</v>
          </cell>
          <cell r="N970">
            <v>0</v>
          </cell>
          <cell r="O970">
            <v>0</v>
          </cell>
          <cell r="Q970">
            <v>0</v>
          </cell>
          <cell r="S970">
            <v>0</v>
          </cell>
          <cell r="U970">
            <v>0</v>
          </cell>
          <cell r="Y970">
            <v>0</v>
          </cell>
          <cell r="AB970">
            <v>0</v>
          </cell>
          <cell r="AE970" t="str">
            <v>20140101KUUM_300</v>
          </cell>
        </row>
        <row r="971">
          <cell r="B971" t="str">
            <v>Dec 2015</v>
          </cell>
          <cell r="C971" t="str">
            <v>LS</v>
          </cell>
          <cell r="D971" t="str">
            <v>KUUM_301</v>
          </cell>
          <cell r="E971">
            <v>0</v>
          </cell>
          <cell r="G971">
            <v>0</v>
          </cell>
          <cell r="H971">
            <v>0</v>
          </cell>
          <cell r="N971">
            <v>0</v>
          </cell>
          <cell r="O971">
            <v>0</v>
          </cell>
          <cell r="Q971">
            <v>0</v>
          </cell>
          <cell r="S971">
            <v>0</v>
          </cell>
          <cell r="U971">
            <v>0</v>
          </cell>
          <cell r="Y971">
            <v>0</v>
          </cell>
          <cell r="AB971">
            <v>0</v>
          </cell>
          <cell r="AE971" t="str">
            <v>20140101KUUM_301</v>
          </cell>
        </row>
        <row r="972">
          <cell r="B972" t="str">
            <v>Dec 2015</v>
          </cell>
          <cell r="C972" t="str">
            <v>LS</v>
          </cell>
          <cell r="D972" t="str">
            <v>KUUM_360</v>
          </cell>
          <cell r="E972">
            <v>172</v>
          </cell>
          <cell r="G972">
            <v>0</v>
          </cell>
          <cell r="H972">
            <v>0</v>
          </cell>
          <cell r="N972">
            <v>9516.76</v>
          </cell>
          <cell r="O972">
            <v>0</v>
          </cell>
          <cell r="Q972">
            <v>0</v>
          </cell>
          <cell r="S972">
            <v>0</v>
          </cell>
          <cell r="U972">
            <v>0</v>
          </cell>
          <cell r="Y972">
            <v>301</v>
          </cell>
          <cell r="AB972">
            <v>414.52000000000004</v>
          </cell>
          <cell r="AE972" t="str">
            <v>20140101KUUM_360</v>
          </cell>
        </row>
        <row r="973">
          <cell r="B973" t="str">
            <v>Dec 2015</v>
          </cell>
          <cell r="C973" t="str">
            <v>LS</v>
          </cell>
          <cell r="D973" t="str">
            <v>KUUM_361</v>
          </cell>
          <cell r="E973">
            <v>26</v>
          </cell>
          <cell r="G973">
            <v>0</v>
          </cell>
          <cell r="H973">
            <v>0</v>
          </cell>
          <cell r="N973">
            <v>2162.16</v>
          </cell>
          <cell r="O973">
            <v>0</v>
          </cell>
          <cell r="Q973">
            <v>0</v>
          </cell>
          <cell r="S973">
            <v>0</v>
          </cell>
          <cell r="U973">
            <v>0</v>
          </cell>
          <cell r="Y973">
            <v>45.5</v>
          </cell>
          <cell r="AB973">
            <v>62.660000000000004</v>
          </cell>
          <cell r="AE973" t="str">
            <v>20140101KUUM_361</v>
          </cell>
        </row>
        <row r="974">
          <cell r="B974" t="str">
            <v>Dec 2015</v>
          </cell>
          <cell r="C974" t="str">
            <v>LS</v>
          </cell>
          <cell r="D974" t="str">
            <v>KUUM_362</v>
          </cell>
          <cell r="E974">
            <v>44</v>
          </cell>
          <cell r="G974">
            <v>0</v>
          </cell>
          <cell r="H974">
            <v>0</v>
          </cell>
          <cell r="N974">
            <v>2630.32</v>
          </cell>
          <cell r="O974">
            <v>0</v>
          </cell>
          <cell r="Q974">
            <v>0</v>
          </cell>
          <cell r="S974">
            <v>0</v>
          </cell>
          <cell r="U974">
            <v>0</v>
          </cell>
          <cell r="Y974">
            <v>77</v>
          </cell>
          <cell r="AB974">
            <v>106.04</v>
          </cell>
          <cell r="AE974" t="str">
            <v>20140101KUUM_362</v>
          </cell>
        </row>
        <row r="975">
          <cell r="B975" t="str">
            <v>Dec 2015</v>
          </cell>
          <cell r="C975" t="str">
            <v>LS</v>
          </cell>
          <cell r="D975" t="str">
            <v>KUUM_363</v>
          </cell>
          <cell r="E975">
            <v>5</v>
          </cell>
          <cell r="G975">
            <v>0</v>
          </cell>
          <cell r="H975">
            <v>0</v>
          </cell>
          <cell r="N975">
            <v>308.75</v>
          </cell>
          <cell r="O975">
            <v>0</v>
          </cell>
          <cell r="Q975">
            <v>0</v>
          </cell>
          <cell r="S975">
            <v>0</v>
          </cell>
          <cell r="U975">
            <v>0</v>
          </cell>
          <cell r="Y975">
            <v>8.75</v>
          </cell>
          <cell r="AB975">
            <v>12.05</v>
          </cell>
          <cell r="AE975" t="str">
            <v>20140101KUUM_363</v>
          </cell>
        </row>
        <row r="976">
          <cell r="B976" t="str">
            <v>Dec 2015</v>
          </cell>
          <cell r="C976" t="str">
            <v>LS</v>
          </cell>
          <cell r="D976" t="str">
            <v>KUUM_364</v>
          </cell>
          <cell r="E976">
            <v>1</v>
          </cell>
          <cell r="G976">
            <v>0</v>
          </cell>
          <cell r="H976">
            <v>0</v>
          </cell>
          <cell r="N976">
            <v>63.11</v>
          </cell>
          <cell r="O976">
            <v>0</v>
          </cell>
          <cell r="Q976">
            <v>0</v>
          </cell>
          <cell r="S976">
            <v>0</v>
          </cell>
          <cell r="U976">
            <v>0</v>
          </cell>
          <cell r="Y976">
            <v>1.75</v>
          </cell>
          <cell r="AB976">
            <v>2.41</v>
          </cell>
          <cell r="AE976" t="str">
            <v>20140101KUUM_364</v>
          </cell>
        </row>
        <row r="977">
          <cell r="B977" t="str">
            <v>Dec 2015</v>
          </cell>
          <cell r="C977" t="str">
            <v>LS</v>
          </cell>
          <cell r="D977" t="str">
            <v>KUUM_365</v>
          </cell>
          <cell r="E977">
            <v>5</v>
          </cell>
          <cell r="G977">
            <v>0</v>
          </cell>
          <cell r="H977">
            <v>0</v>
          </cell>
          <cell r="N977">
            <v>404.7</v>
          </cell>
          <cell r="O977">
            <v>0</v>
          </cell>
          <cell r="Q977">
            <v>0</v>
          </cell>
          <cell r="S977">
            <v>0</v>
          </cell>
          <cell r="U977">
            <v>0</v>
          </cell>
          <cell r="Y977">
            <v>8.75</v>
          </cell>
          <cell r="AB977">
            <v>12.05</v>
          </cell>
          <cell r="AE977" t="str">
            <v>20140101KUUM_365</v>
          </cell>
        </row>
        <row r="978">
          <cell r="B978" t="str">
            <v>Dec 2015</v>
          </cell>
          <cell r="C978" t="str">
            <v>LS</v>
          </cell>
          <cell r="D978" t="str">
            <v>KUUM_366</v>
          </cell>
          <cell r="E978">
            <v>10</v>
          </cell>
          <cell r="G978">
            <v>0</v>
          </cell>
          <cell r="H978">
            <v>0</v>
          </cell>
          <cell r="N978">
            <v>789.7</v>
          </cell>
          <cell r="O978">
            <v>0</v>
          </cell>
          <cell r="Q978">
            <v>0</v>
          </cell>
          <cell r="S978">
            <v>0</v>
          </cell>
          <cell r="U978">
            <v>0</v>
          </cell>
          <cell r="Y978">
            <v>17.5</v>
          </cell>
          <cell r="AB978">
            <v>24.1</v>
          </cell>
          <cell r="AE978" t="str">
            <v>20140101KUUM_366</v>
          </cell>
        </row>
        <row r="979">
          <cell r="B979" t="str">
            <v>Dec 2015</v>
          </cell>
          <cell r="C979" t="str">
            <v>LS</v>
          </cell>
          <cell r="D979" t="str">
            <v>KUUM_367</v>
          </cell>
          <cell r="E979">
            <v>24</v>
          </cell>
          <cell r="G979">
            <v>0</v>
          </cell>
          <cell r="H979">
            <v>0</v>
          </cell>
          <cell r="N979">
            <v>1469.52</v>
          </cell>
          <cell r="O979">
            <v>0</v>
          </cell>
          <cell r="Q979">
            <v>0</v>
          </cell>
          <cell r="S979">
            <v>0</v>
          </cell>
          <cell r="U979">
            <v>0</v>
          </cell>
          <cell r="Y979">
            <v>42</v>
          </cell>
          <cell r="AB979">
            <v>57.84</v>
          </cell>
          <cell r="AE979" t="str">
            <v>20140101KUUM_367</v>
          </cell>
        </row>
        <row r="980">
          <cell r="B980" t="str">
            <v>Dec 2015</v>
          </cell>
          <cell r="C980" t="str">
            <v>LS</v>
          </cell>
          <cell r="D980" t="str">
            <v>KUUM_368</v>
          </cell>
          <cell r="E980">
            <v>1</v>
          </cell>
          <cell r="G980">
            <v>0</v>
          </cell>
          <cell r="H980">
            <v>0</v>
          </cell>
          <cell r="N980">
            <v>56.69</v>
          </cell>
          <cell r="O980">
            <v>0</v>
          </cell>
          <cell r="Q980">
            <v>0</v>
          </cell>
          <cell r="S980">
            <v>0</v>
          </cell>
          <cell r="U980">
            <v>0</v>
          </cell>
          <cell r="Y980">
            <v>1.75</v>
          </cell>
          <cell r="AB980">
            <v>2.41</v>
          </cell>
          <cell r="AE980" t="str">
            <v>20140101KUUM_368</v>
          </cell>
        </row>
        <row r="981">
          <cell r="B981" t="str">
            <v>Dec 2015</v>
          </cell>
          <cell r="C981" t="str">
            <v>LS</v>
          </cell>
          <cell r="D981" t="str">
            <v>KUUM_370</v>
          </cell>
          <cell r="E981">
            <v>16</v>
          </cell>
          <cell r="G981">
            <v>0</v>
          </cell>
          <cell r="H981">
            <v>0</v>
          </cell>
          <cell r="N981">
            <v>1192.32</v>
          </cell>
          <cell r="O981">
            <v>0</v>
          </cell>
          <cell r="Q981">
            <v>0</v>
          </cell>
          <cell r="S981">
            <v>0</v>
          </cell>
          <cell r="U981">
            <v>0</v>
          </cell>
          <cell r="Y981">
            <v>28</v>
          </cell>
          <cell r="AB981">
            <v>38.56</v>
          </cell>
          <cell r="AE981" t="str">
            <v>20140101KUUM_370</v>
          </cell>
        </row>
        <row r="982">
          <cell r="B982" t="str">
            <v>Dec 2015</v>
          </cell>
          <cell r="C982" t="str">
            <v>LS</v>
          </cell>
          <cell r="D982" t="str">
            <v>KUUM_372</v>
          </cell>
          <cell r="E982">
            <v>1</v>
          </cell>
          <cell r="G982">
            <v>0</v>
          </cell>
          <cell r="H982">
            <v>0</v>
          </cell>
          <cell r="N982">
            <v>82.3</v>
          </cell>
          <cell r="O982">
            <v>0</v>
          </cell>
          <cell r="Q982">
            <v>0</v>
          </cell>
          <cell r="S982">
            <v>0</v>
          </cell>
          <cell r="U982">
            <v>0</v>
          </cell>
          <cell r="Y982">
            <v>1.75</v>
          </cell>
          <cell r="AB982">
            <v>2.41</v>
          </cell>
          <cell r="AE982" t="str">
            <v>20140101KUUM_372</v>
          </cell>
        </row>
        <row r="983">
          <cell r="B983" t="str">
            <v>Dec 2015</v>
          </cell>
          <cell r="C983" t="str">
            <v>LS</v>
          </cell>
          <cell r="D983" t="str">
            <v>KUUM_373</v>
          </cell>
          <cell r="E983">
            <v>19</v>
          </cell>
          <cell r="G983">
            <v>0</v>
          </cell>
          <cell r="H983">
            <v>0</v>
          </cell>
          <cell r="N983">
            <v>1415.88</v>
          </cell>
          <cell r="O983">
            <v>0</v>
          </cell>
          <cell r="Q983">
            <v>0</v>
          </cell>
          <cell r="S983">
            <v>0</v>
          </cell>
          <cell r="U983">
            <v>0</v>
          </cell>
          <cell r="Y983">
            <v>33.25</v>
          </cell>
          <cell r="AB983">
            <v>45.790000000000006</v>
          </cell>
          <cell r="AE983" t="str">
            <v>20140101KUUM_373</v>
          </cell>
        </row>
        <row r="984">
          <cell r="B984" t="str">
            <v>Dec 2015</v>
          </cell>
          <cell r="C984" t="str">
            <v>LS</v>
          </cell>
          <cell r="D984" t="str">
            <v>KUUM_374</v>
          </cell>
          <cell r="E984">
            <v>4</v>
          </cell>
          <cell r="G984">
            <v>0</v>
          </cell>
          <cell r="H984">
            <v>0</v>
          </cell>
          <cell r="N984">
            <v>303.52</v>
          </cell>
          <cell r="O984">
            <v>0</v>
          </cell>
          <cell r="Q984">
            <v>0</v>
          </cell>
          <cell r="S984">
            <v>0</v>
          </cell>
          <cell r="U984">
            <v>0</v>
          </cell>
          <cell r="Y984">
            <v>7</v>
          </cell>
          <cell r="AB984">
            <v>9.64</v>
          </cell>
          <cell r="AE984" t="str">
            <v>20140101KUUM_374</v>
          </cell>
        </row>
        <row r="985">
          <cell r="B985" t="str">
            <v>Dec 2015</v>
          </cell>
          <cell r="C985" t="str">
            <v>LS</v>
          </cell>
          <cell r="D985" t="str">
            <v>KUUM_375</v>
          </cell>
          <cell r="E985">
            <v>3</v>
          </cell>
          <cell r="G985">
            <v>0</v>
          </cell>
          <cell r="H985">
            <v>0</v>
          </cell>
          <cell r="N985">
            <v>236.91</v>
          </cell>
          <cell r="O985">
            <v>0</v>
          </cell>
          <cell r="Q985">
            <v>0</v>
          </cell>
          <cell r="S985">
            <v>0</v>
          </cell>
          <cell r="U985">
            <v>0</v>
          </cell>
          <cell r="Y985">
            <v>5.25</v>
          </cell>
          <cell r="AB985">
            <v>7.23</v>
          </cell>
          <cell r="AE985" t="str">
            <v>20140101KUUM_375</v>
          </cell>
        </row>
        <row r="986">
          <cell r="B986" t="str">
            <v>Dec 2015</v>
          </cell>
          <cell r="C986" t="str">
            <v>LS</v>
          </cell>
          <cell r="D986" t="str">
            <v>KUUM_376</v>
          </cell>
          <cell r="E986">
            <v>2</v>
          </cell>
          <cell r="G986">
            <v>0</v>
          </cell>
          <cell r="H986">
            <v>0</v>
          </cell>
          <cell r="N986">
            <v>154.52000000000001</v>
          </cell>
          <cell r="O986">
            <v>0</v>
          </cell>
          <cell r="Q986">
            <v>0</v>
          </cell>
          <cell r="S986">
            <v>0</v>
          </cell>
          <cell r="U986">
            <v>0</v>
          </cell>
          <cell r="Y986">
            <v>3.5</v>
          </cell>
          <cell r="AB986">
            <v>4.82</v>
          </cell>
          <cell r="AE986" t="str">
            <v>20140101KUUM_376</v>
          </cell>
        </row>
        <row r="987">
          <cell r="B987" t="str">
            <v>Dec 2015</v>
          </cell>
          <cell r="C987" t="str">
            <v>LS</v>
          </cell>
          <cell r="D987" t="str">
            <v>KUUM_377</v>
          </cell>
          <cell r="E987">
            <v>52</v>
          </cell>
          <cell r="G987">
            <v>0</v>
          </cell>
          <cell r="H987">
            <v>0</v>
          </cell>
          <cell r="N987">
            <v>3337.88</v>
          </cell>
          <cell r="O987">
            <v>0</v>
          </cell>
          <cell r="Q987">
            <v>0</v>
          </cell>
          <cell r="S987">
            <v>0</v>
          </cell>
          <cell r="U987">
            <v>0</v>
          </cell>
          <cell r="Y987">
            <v>91</v>
          </cell>
          <cell r="AB987">
            <v>125.32000000000001</v>
          </cell>
          <cell r="AE987" t="str">
            <v>20140101KUUM_377</v>
          </cell>
        </row>
        <row r="988">
          <cell r="B988" t="str">
            <v>Dec 2015</v>
          </cell>
          <cell r="C988" t="str">
            <v>LS</v>
          </cell>
          <cell r="D988" t="str">
            <v>KUUM_378</v>
          </cell>
          <cell r="E988">
            <v>2</v>
          </cell>
          <cell r="G988">
            <v>0</v>
          </cell>
          <cell r="H988">
            <v>0</v>
          </cell>
          <cell r="N988">
            <v>151.80000000000001</v>
          </cell>
          <cell r="O988">
            <v>0</v>
          </cell>
          <cell r="Q988">
            <v>0</v>
          </cell>
          <cell r="S988">
            <v>0</v>
          </cell>
          <cell r="U988">
            <v>0</v>
          </cell>
          <cell r="Y988">
            <v>3.5</v>
          </cell>
          <cell r="AB988">
            <v>4.82</v>
          </cell>
          <cell r="AE988" t="str">
            <v>20140101KUUM_378</v>
          </cell>
        </row>
        <row r="989">
          <cell r="B989" t="str">
            <v>Dec 2015</v>
          </cell>
          <cell r="C989" t="str">
            <v>LS</v>
          </cell>
          <cell r="D989" t="str">
            <v>KUUM_401</v>
          </cell>
          <cell r="E989">
            <v>51</v>
          </cell>
          <cell r="G989">
            <v>0</v>
          </cell>
          <cell r="H989">
            <v>0</v>
          </cell>
          <cell r="N989">
            <v>757.86</v>
          </cell>
          <cell r="O989">
            <v>0</v>
          </cell>
          <cell r="Q989">
            <v>0</v>
          </cell>
          <cell r="S989">
            <v>0</v>
          </cell>
          <cell r="U989">
            <v>0</v>
          </cell>
          <cell r="Y989">
            <v>40.799999999999997</v>
          </cell>
          <cell r="AB989">
            <v>21.93</v>
          </cell>
          <cell r="AE989" t="str">
            <v>20140101KUUM_401</v>
          </cell>
        </row>
        <row r="990">
          <cell r="B990" t="str">
            <v>Dec 2015</v>
          </cell>
          <cell r="C990" t="str">
            <v>RLS</v>
          </cell>
          <cell r="D990" t="str">
            <v>KUUM_404</v>
          </cell>
          <cell r="E990">
            <v>7046</v>
          </cell>
          <cell r="G990">
            <v>0</v>
          </cell>
          <cell r="H990">
            <v>0</v>
          </cell>
          <cell r="N990">
            <v>74476.22</v>
          </cell>
          <cell r="O990">
            <v>0</v>
          </cell>
          <cell r="Q990">
            <v>0</v>
          </cell>
          <cell r="S990">
            <v>0</v>
          </cell>
          <cell r="U990">
            <v>0</v>
          </cell>
          <cell r="Y990">
            <v>14021.54</v>
          </cell>
          <cell r="AB990">
            <v>2747.94</v>
          </cell>
          <cell r="AE990" t="str">
            <v>20140101KUUM_404</v>
          </cell>
        </row>
        <row r="991">
          <cell r="B991" t="str">
            <v>Dec 2015</v>
          </cell>
          <cell r="C991" t="str">
            <v>RLS</v>
          </cell>
          <cell r="D991" t="str">
            <v>KUUM_405</v>
          </cell>
          <cell r="E991">
            <v>0</v>
          </cell>
          <cell r="G991">
            <v>0</v>
          </cell>
          <cell r="H991">
            <v>0</v>
          </cell>
          <cell r="N991">
            <v>0</v>
          </cell>
          <cell r="O991">
            <v>0</v>
          </cell>
          <cell r="Q991">
            <v>0</v>
          </cell>
          <cell r="S991">
            <v>0</v>
          </cell>
          <cell r="U991">
            <v>0</v>
          </cell>
          <cell r="Y991">
            <v>0</v>
          </cell>
          <cell r="AB991">
            <v>0</v>
          </cell>
          <cell r="AE991" t="str">
            <v>20140101KUUM_405</v>
          </cell>
        </row>
        <row r="992">
          <cell r="B992" t="str">
            <v>Dec 2015</v>
          </cell>
          <cell r="C992" t="str">
            <v>LS</v>
          </cell>
          <cell r="D992" t="str">
            <v>KUUM_407</v>
          </cell>
          <cell r="E992">
            <v>0</v>
          </cell>
          <cell r="G992">
            <v>0</v>
          </cell>
          <cell r="H992">
            <v>0</v>
          </cell>
          <cell r="N992">
            <v>0</v>
          </cell>
          <cell r="O992">
            <v>0</v>
          </cell>
          <cell r="Q992">
            <v>0</v>
          </cell>
          <cell r="S992">
            <v>0</v>
          </cell>
          <cell r="U992">
            <v>0</v>
          </cell>
          <cell r="Y992">
            <v>0</v>
          </cell>
          <cell r="AB992">
            <v>0</v>
          </cell>
          <cell r="AE992" t="str">
            <v>20140101KUUM_407</v>
          </cell>
        </row>
        <row r="993">
          <cell r="B993" t="str">
            <v>Dec 2015</v>
          </cell>
          <cell r="C993" t="str">
            <v>RLS</v>
          </cell>
          <cell r="D993" t="str">
            <v>KUUM_409</v>
          </cell>
          <cell r="E993">
            <v>130</v>
          </cell>
          <cell r="G993">
            <v>0</v>
          </cell>
          <cell r="H993">
            <v>0</v>
          </cell>
          <cell r="N993">
            <v>1522.3</v>
          </cell>
          <cell r="O993">
            <v>0</v>
          </cell>
          <cell r="Q993">
            <v>0</v>
          </cell>
          <cell r="S993">
            <v>0</v>
          </cell>
          <cell r="U993">
            <v>0</v>
          </cell>
          <cell r="Y993">
            <v>588.9</v>
          </cell>
          <cell r="AB993">
            <v>102.7</v>
          </cell>
          <cell r="AE993" t="str">
            <v>20140101KUUM_409</v>
          </cell>
        </row>
        <row r="994">
          <cell r="B994" t="str">
            <v>Dec 2015</v>
          </cell>
          <cell r="C994" t="str">
            <v>RLS</v>
          </cell>
          <cell r="D994" t="str">
            <v>KUUM_410</v>
          </cell>
          <cell r="E994">
            <v>236</v>
          </cell>
          <cell r="G994">
            <v>0</v>
          </cell>
          <cell r="H994">
            <v>0</v>
          </cell>
          <cell r="N994">
            <v>4781.3599999999997</v>
          </cell>
          <cell r="O994">
            <v>0</v>
          </cell>
          <cell r="Q994">
            <v>0</v>
          </cell>
          <cell r="S994">
            <v>0</v>
          </cell>
          <cell r="U994">
            <v>0</v>
          </cell>
          <cell r="Y994">
            <v>134.52000000000001</v>
          </cell>
          <cell r="AB994">
            <v>77.88000000000001</v>
          </cell>
          <cell r="AE994" t="str">
            <v>20140101KUUM_410</v>
          </cell>
        </row>
        <row r="995">
          <cell r="B995" t="str">
            <v>Dec 2015</v>
          </cell>
          <cell r="C995" t="str">
            <v>LS</v>
          </cell>
          <cell r="D995" t="str">
            <v>KUUM_411</v>
          </cell>
          <cell r="E995">
            <v>142</v>
          </cell>
          <cell r="G995">
            <v>0</v>
          </cell>
          <cell r="H995">
            <v>0</v>
          </cell>
          <cell r="N995">
            <v>3035.96</v>
          </cell>
          <cell r="O995">
            <v>0</v>
          </cell>
          <cell r="Q995">
            <v>0</v>
          </cell>
          <cell r="S995">
            <v>0</v>
          </cell>
          <cell r="U995">
            <v>0</v>
          </cell>
          <cell r="Y995">
            <v>113.6</v>
          </cell>
          <cell r="AB995">
            <v>61.06</v>
          </cell>
          <cell r="AE995" t="str">
            <v>20140101KUUM_411</v>
          </cell>
        </row>
        <row r="996">
          <cell r="B996" t="str">
            <v>Dec 2015</v>
          </cell>
          <cell r="C996" t="str">
            <v>RLS</v>
          </cell>
          <cell r="D996" t="str">
            <v>KUUM_412</v>
          </cell>
          <cell r="E996">
            <v>28</v>
          </cell>
          <cell r="G996">
            <v>0</v>
          </cell>
          <cell r="H996">
            <v>0</v>
          </cell>
          <cell r="N996">
            <v>863.52</v>
          </cell>
          <cell r="O996">
            <v>0</v>
          </cell>
          <cell r="Q996">
            <v>0</v>
          </cell>
          <cell r="S996">
            <v>0</v>
          </cell>
          <cell r="U996">
            <v>0</v>
          </cell>
          <cell r="Y996">
            <v>22.4</v>
          </cell>
          <cell r="AB996">
            <v>12.04</v>
          </cell>
          <cell r="AE996" t="str">
            <v>20140101KUUM_412</v>
          </cell>
        </row>
        <row r="997">
          <cell r="B997" t="str">
            <v>Dec 2015</v>
          </cell>
          <cell r="C997" t="str">
            <v>RLS</v>
          </cell>
          <cell r="D997" t="str">
            <v>KUUM_413</v>
          </cell>
          <cell r="E997">
            <v>97</v>
          </cell>
          <cell r="G997">
            <v>0</v>
          </cell>
          <cell r="H997">
            <v>0</v>
          </cell>
          <cell r="N997">
            <v>3028.34</v>
          </cell>
          <cell r="O997">
            <v>0</v>
          </cell>
          <cell r="Q997">
            <v>0</v>
          </cell>
          <cell r="S997">
            <v>0</v>
          </cell>
          <cell r="U997">
            <v>0</v>
          </cell>
          <cell r="Y997">
            <v>109.61</v>
          </cell>
          <cell r="AB997">
            <v>32.980000000000004</v>
          </cell>
          <cell r="AE997" t="str">
            <v>20140101KUUM_413</v>
          </cell>
        </row>
        <row r="998">
          <cell r="B998" t="str">
            <v>Dec 2015</v>
          </cell>
          <cell r="C998" t="str">
            <v>LS</v>
          </cell>
          <cell r="D998" t="str">
            <v>KUUM_414</v>
          </cell>
          <cell r="E998">
            <v>21</v>
          </cell>
          <cell r="G998">
            <v>0</v>
          </cell>
          <cell r="H998">
            <v>0</v>
          </cell>
          <cell r="N998">
            <v>647.64</v>
          </cell>
          <cell r="O998">
            <v>0</v>
          </cell>
          <cell r="Q998">
            <v>0</v>
          </cell>
          <cell r="S998">
            <v>0</v>
          </cell>
          <cell r="U998">
            <v>0</v>
          </cell>
          <cell r="Y998">
            <v>16.8</v>
          </cell>
          <cell r="AB998">
            <v>9.0299999999999994</v>
          </cell>
          <cell r="AE998" t="str">
            <v>20140101KUUM_414</v>
          </cell>
        </row>
        <row r="999">
          <cell r="B999" t="str">
            <v>Dec 2015</v>
          </cell>
          <cell r="C999" t="str">
            <v>LS</v>
          </cell>
          <cell r="D999" t="str">
            <v>KUUM_415</v>
          </cell>
          <cell r="E999">
            <v>10</v>
          </cell>
          <cell r="G999">
            <v>0</v>
          </cell>
          <cell r="H999">
            <v>0</v>
          </cell>
          <cell r="N999">
            <v>312.2</v>
          </cell>
          <cell r="O999">
            <v>0</v>
          </cell>
          <cell r="Q999">
            <v>0</v>
          </cell>
          <cell r="S999">
            <v>0</v>
          </cell>
          <cell r="U999">
            <v>0</v>
          </cell>
          <cell r="Y999">
            <v>11.3</v>
          </cell>
          <cell r="AB999">
            <v>3.4000000000000004</v>
          </cell>
          <cell r="AE999" t="str">
            <v>20140101KUUM_415</v>
          </cell>
        </row>
        <row r="1000">
          <cell r="B1000" t="str">
            <v>Dec 2015</v>
          </cell>
          <cell r="C1000" t="str">
            <v>LS</v>
          </cell>
          <cell r="D1000" t="str">
            <v>KUUM_420</v>
          </cell>
          <cell r="E1000">
            <v>458</v>
          </cell>
          <cell r="G1000">
            <v>0</v>
          </cell>
          <cell r="H1000">
            <v>0</v>
          </cell>
          <cell r="N1000">
            <v>7034.88</v>
          </cell>
          <cell r="O1000">
            <v>0</v>
          </cell>
          <cell r="Q1000">
            <v>0</v>
          </cell>
          <cell r="S1000">
            <v>0</v>
          </cell>
          <cell r="U1000">
            <v>0</v>
          </cell>
          <cell r="Y1000">
            <v>517.54</v>
          </cell>
          <cell r="AB1000">
            <v>155.72</v>
          </cell>
          <cell r="AE1000" t="str">
            <v>20140101KUUM_420</v>
          </cell>
        </row>
        <row r="1001">
          <cell r="B1001" t="str">
            <v>Dec 2015</v>
          </cell>
          <cell r="C1001" t="str">
            <v>RLS</v>
          </cell>
          <cell r="D1001" t="str">
            <v>KUUM_421</v>
          </cell>
          <cell r="E1001">
            <v>5</v>
          </cell>
          <cell r="G1001">
            <v>0</v>
          </cell>
          <cell r="H1001">
            <v>0</v>
          </cell>
          <cell r="N1001">
            <v>16.95</v>
          </cell>
          <cell r="O1001">
            <v>0</v>
          </cell>
          <cell r="Q1001">
            <v>0</v>
          </cell>
          <cell r="S1001">
            <v>0</v>
          </cell>
          <cell r="U1001">
            <v>0</v>
          </cell>
          <cell r="Y1001">
            <v>4.95</v>
          </cell>
          <cell r="AB1001">
            <v>0.6</v>
          </cell>
          <cell r="AE1001" t="str">
            <v>20140101KUUM_421</v>
          </cell>
        </row>
        <row r="1002">
          <cell r="B1002" t="str">
            <v>Dec 2015</v>
          </cell>
          <cell r="C1002" t="str">
            <v>RLS</v>
          </cell>
          <cell r="D1002" t="str">
            <v>KUUM_422</v>
          </cell>
          <cell r="E1002">
            <v>674</v>
          </cell>
          <cell r="G1002">
            <v>0</v>
          </cell>
          <cell r="H1002">
            <v>0</v>
          </cell>
          <cell r="N1002">
            <v>3059.96</v>
          </cell>
          <cell r="O1002">
            <v>0</v>
          </cell>
          <cell r="Q1002">
            <v>0</v>
          </cell>
          <cell r="S1002">
            <v>0</v>
          </cell>
          <cell r="U1002">
            <v>0</v>
          </cell>
          <cell r="Y1002">
            <v>1307.56</v>
          </cell>
          <cell r="AB1002">
            <v>107.84</v>
          </cell>
          <cell r="AE1002" t="str">
            <v>20140101KUUM_422</v>
          </cell>
        </row>
        <row r="1003">
          <cell r="B1003" t="str">
            <v>Dec 2015</v>
          </cell>
          <cell r="C1003" t="str">
            <v>RLS</v>
          </cell>
          <cell r="D1003" t="str">
            <v>KUUM_424</v>
          </cell>
          <cell r="E1003">
            <v>113</v>
          </cell>
          <cell r="G1003">
            <v>0</v>
          </cell>
          <cell r="H1003">
            <v>0</v>
          </cell>
          <cell r="N1003">
            <v>766.14</v>
          </cell>
          <cell r="O1003">
            <v>0</v>
          </cell>
          <cell r="Q1003">
            <v>0</v>
          </cell>
          <cell r="S1003">
            <v>0</v>
          </cell>
          <cell r="U1003">
            <v>0</v>
          </cell>
          <cell r="Y1003">
            <v>79.099999999999994</v>
          </cell>
          <cell r="AB1003">
            <v>27.119999999999997</v>
          </cell>
          <cell r="AE1003" t="str">
            <v>20140101KUUM_424</v>
          </cell>
        </row>
        <row r="1004">
          <cell r="B1004" t="str">
            <v>Dec 2015</v>
          </cell>
          <cell r="C1004" t="str">
            <v>RLS</v>
          </cell>
          <cell r="D1004" t="str">
            <v>KUUM_425</v>
          </cell>
          <cell r="E1004">
            <v>2</v>
          </cell>
          <cell r="G1004">
            <v>0</v>
          </cell>
          <cell r="H1004">
            <v>0</v>
          </cell>
          <cell r="N1004">
            <v>18.12</v>
          </cell>
          <cell r="O1004">
            <v>0</v>
          </cell>
          <cell r="Q1004">
            <v>0</v>
          </cell>
          <cell r="S1004">
            <v>0</v>
          </cell>
          <cell r="U1004">
            <v>0</v>
          </cell>
          <cell r="Y1004">
            <v>8.6</v>
          </cell>
          <cell r="AB1004">
            <v>0.66</v>
          </cell>
          <cell r="AE1004" t="str">
            <v>20140101KUUM_425</v>
          </cell>
        </row>
        <row r="1005">
          <cell r="B1005" t="str">
            <v>Dec 2015</v>
          </cell>
          <cell r="C1005" t="str">
            <v>RLS</v>
          </cell>
          <cell r="D1005" t="str">
            <v>KUUM_426</v>
          </cell>
          <cell r="E1005">
            <v>161</v>
          </cell>
          <cell r="G1005">
            <v>0</v>
          </cell>
          <cell r="H1005">
            <v>0</v>
          </cell>
          <cell r="N1005">
            <v>1197.8399999999999</v>
          </cell>
          <cell r="O1005">
            <v>0</v>
          </cell>
          <cell r="Q1005">
            <v>0</v>
          </cell>
          <cell r="S1005">
            <v>0</v>
          </cell>
          <cell r="U1005">
            <v>0</v>
          </cell>
          <cell r="Y1005">
            <v>128.80000000000001</v>
          </cell>
          <cell r="AB1005">
            <v>69.23</v>
          </cell>
          <cell r="AE1005" t="str">
            <v>20140101KUUM_426</v>
          </cell>
        </row>
        <row r="1006">
          <cell r="B1006" t="str">
            <v>Dec 2015</v>
          </cell>
          <cell r="C1006" t="str">
            <v>LS</v>
          </cell>
          <cell r="D1006" t="str">
            <v>KUUM_428</v>
          </cell>
          <cell r="E1006">
            <v>34888</v>
          </cell>
          <cell r="G1006">
            <v>0</v>
          </cell>
          <cell r="H1006">
            <v>0</v>
          </cell>
          <cell r="N1006">
            <v>273521.91999999998</v>
          </cell>
          <cell r="O1006">
            <v>0</v>
          </cell>
          <cell r="Q1006">
            <v>0</v>
          </cell>
          <cell r="S1006">
            <v>0</v>
          </cell>
          <cell r="U1006">
            <v>0</v>
          </cell>
          <cell r="Y1006">
            <v>39423.440000000002</v>
          </cell>
          <cell r="AB1006">
            <v>11861.92</v>
          </cell>
          <cell r="AE1006" t="str">
            <v>20140101KUUM_428</v>
          </cell>
        </row>
        <row r="1007">
          <cell r="B1007" t="str">
            <v>Dec 2015</v>
          </cell>
          <cell r="C1007" t="str">
            <v>LS</v>
          </cell>
          <cell r="D1007" t="str">
            <v>KUUM_429</v>
          </cell>
          <cell r="E1007">
            <v>0</v>
          </cell>
          <cell r="G1007">
            <v>0</v>
          </cell>
          <cell r="H1007">
            <v>0</v>
          </cell>
          <cell r="N1007">
            <v>0</v>
          </cell>
          <cell r="O1007">
            <v>0</v>
          </cell>
          <cell r="Q1007">
            <v>0</v>
          </cell>
          <cell r="S1007">
            <v>0</v>
          </cell>
          <cell r="U1007">
            <v>0</v>
          </cell>
          <cell r="Y1007">
            <v>0</v>
          </cell>
          <cell r="AB1007">
            <v>0</v>
          </cell>
          <cell r="AE1007" t="str">
            <v>20140101KUUM_429</v>
          </cell>
        </row>
        <row r="1008">
          <cell r="B1008" t="str">
            <v>Dec 2015</v>
          </cell>
          <cell r="C1008" t="str">
            <v>LS</v>
          </cell>
          <cell r="D1008" t="str">
            <v>KUUM_430</v>
          </cell>
          <cell r="E1008">
            <v>1109</v>
          </cell>
          <cell r="G1008">
            <v>0</v>
          </cell>
          <cell r="H1008">
            <v>0</v>
          </cell>
          <cell r="N1008">
            <v>24398</v>
          </cell>
          <cell r="O1008">
            <v>0</v>
          </cell>
          <cell r="Q1008">
            <v>0</v>
          </cell>
          <cell r="S1008">
            <v>0</v>
          </cell>
          <cell r="U1008">
            <v>0</v>
          </cell>
          <cell r="Y1008">
            <v>1253.17</v>
          </cell>
          <cell r="AB1008">
            <v>377.06</v>
          </cell>
          <cell r="AE1008" t="str">
            <v>20140101KUUM_430</v>
          </cell>
        </row>
        <row r="1009">
          <cell r="B1009" t="str">
            <v>Dec 2015</v>
          </cell>
          <cell r="C1009" t="str">
            <v>RLS</v>
          </cell>
          <cell r="D1009" t="str">
            <v>KUUM_434</v>
          </cell>
          <cell r="E1009">
            <v>8</v>
          </cell>
          <cell r="G1009">
            <v>0</v>
          </cell>
          <cell r="H1009">
            <v>0</v>
          </cell>
          <cell r="N1009">
            <v>61.92</v>
          </cell>
          <cell r="O1009">
            <v>0</v>
          </cell>
          <cell r="Q1009">
            <v>0</v>
          </cell>
          <cell r="S1009">
            <v>0</v>
          </cell>
          <cell r="U1009">
            <v>0</v>
          </cell>
          <cell r="Y1009">
            <v>5.6</v>
          </cell>
          <cell r="AB1009">
            <v>1.92</v>
          </cell>
          <cell r="AE1009" t="str">
            <v>20140101KUUM_434</v>
          </cell>
        </row>
        <row r="1010">
          <cell r="B1010" t="str">
            <v>Dec 2015</v>
          </cell>
          <cell r="C1010" t="str">
            <v>RLS</v>
          </cell>
          <cell r="D1010" t="str">
            <v>KUUM_440</v>
          </cell>
          <cell r="E1010">
            <v>2</v>
          </cell>
          <cell r="G1010">
            <v>0</v>
          </cell>
          <cell r="H1010">
            <v>0</v>
          </cell>
          <cell r="N1010">
            <v>27.22</v>
          </cell>
          <cell r="O1010">
            <v>0</v>
          </cell>
          <cell r="Q1010">
            <v>0</v>
          </cell>
          <cell r="S1010">
            <v>0</v>
          </cell>
          <cell r="U1010">
            <v>0</v>
          </cell>
          <cell r="Y1010">
            <v>1.1399999999999999</v>
          </cell>
          <cell r="AB1010">
            <v>0.66</v>
          </cell>
          <cell r="AE1010" t="str">
            <v>20140101KUUM_440</v>
          </cell>
        </row>
        <row r="1011">
          <cell r="B1011" t="str">
            <v>Dec 2015</v>
          </cell>
          <cell r="C1011" t="str">
            <v>RLS</v>
          </cell>
          <cell r="D1011" t="str">
            <v>KUUM_446</v>
          </cell>
          <cell r="E1011">
            <v>1048</v>
          </cell>
          <cell r="G1011">
            <v>0</v>
          </cell>
          <cell r="H1011">
            <v>0</v>
          </cell>
          <cell r="N1011">
            <v>10018.879999999999</v>
          </cell>
          <cell r="O1011">
            <v>0</v>
          </cell>
          <cell r="Q1011">
            <v>0</v>
          </cell>
          <cell r="S1011">
            <v>0</v>
          </cell>
          <cell r="U1011">
            <v>0</v>
          </cell>
          <cell r="Y1011">
            <v>2085.52</v>
          </cell>
          <cell r="AB1011">
            <v>408.72</v>
          </cell>
          <cell r="AE1011" t="str">
            <v>20140101KUUM_446</v>
          </cell>
        </row>
        <row r="1012">
          <cell r="B1012" t="str">
            <v>Dec 2015</v>
          </cell>
          <cell r="C1012" t="str">
            <v>RLS</v>
          </cell>
          <cell r="D1012" t="str">
            <v>KUUM_447</v>
          </cell>
          <cell r="E1012">
            <v>729</v>
          </cell>
          <cell r="G1012">
            <v>0</v>
          </cell>
          <cell r="H1012">
            <v>0</v>
          </cell>
          <cell r="N1012">
            <v>8252.2800000000007</v>
          </cell>
          <cell r="O1012">
            <v>0</v>
          </cell>
          <cell r="Q1012">
            <v>0</v>
          </cell>
          <cell r="S1012">
            <v>0</v>
          </cell>
          <cell r="U1012">
            <v>0</v>
          </cell>
          <cell r="Y1012">
            <v>2070.36</v>
          </cell>
          <cell r="AB1012">
            <v>320.76</v>
          </cell>
          <cell r="AE1012" t="str">
            <v>20140101KUUM_447</v>
          </cell>
        </row>
        <row r="1013">
          <cell r="B1013" t="str">
            <v>Dec 2015</v>
          </cell>
          <cell r="C1013" t="str">
            <v>RLS</v>
          </cell>
          <cell r="D1013" t="str">
            <v>KUUM_448</v>
          </cell>
          <cell r="E1013">
            <v>1465</v>
          </cell>
          <cell r="G1013">
            <v>0</v>
          </cell>
          <cell r="H1013">
            <v>0</v>
          </cell>
          <cell r="N1013">
            <v>18766.650000000001</v>
          </cell>
          <cell r="O1013">
            <v>0</v>
          </cell>
          <cell r="Q1013">
            <v>0</v>
          </cell>
          <cell r="S1013">
            <v>0</v>
          </cell>
          <cell r="U1013">
            <v>0</v>
          </cell>
          <cell r="Y1013">
            <v>6402.05</v>
          </cell>
          <cell r="AB1013">
            <v>747.15</v>
          </cell>
          <cell r="AE1013" t="str">
            <v>20140101KUUM_448</v>
          </cell>
        </row>
        <row r="1014">
          <cell r="B1014" t="str">
            <v>Dec 2015</v>
          </cell>
          <cell r="C1014" t="str">
            <v>LS</v>
          </cell>
          <cell r="D1014" t="str">
            <v>KUUM_450</v>
          </cell>
          <cell r="E1014">
            <v>632</v>
          </cell>
          <cell r="G1014">
            <v>0</v>
          </cell>
          <cell r="H1014">
            <v>0</v>
          </cell>
          <cell r="N1014">
            <v>9006</v>
          </cell>
          <cell r="O1014">
            <v>0</v>
          </cell>
          <cell r="Q1014">
            <v>0</v>
          </cell>
          <cell r="S1014">
            <v>0</v>
          </cell>
          <cell r="U1014">
            <v>0</v>
          </cell>
          <cell r="Y1014">
            <v>1245.04</v>
          </cell>
          <cell r="AB1014">
            <v>417.12</v>
          </cell>
          <cell r="AE1014" t="str">
            <v>20140101KUUM_450</v>
          </cell>
        </row>
        <row r="1015">
          <cell r="B1015" t="str">
            <v>Dec 2015</v>
          </cell>
          <cell r="C1015" t="str">
            <v>LS</v>
          </cell>
          <cell r="D1015" t="str">
            <v>KUUM_451</v>
          </cell>
          <cell r="E1015">
            <v>4824</v>
          </cell>
          <cell r="G1015">
            <v>0</v>
          </cell>
          <cell r="H1015">
            <v>0</v>
          </cell>
          <cell r="N1015">
            <v>97444.800000000003</v>
          </cell>
          <cell r="O1015">
            <v>0</v>
          </cell>
          <cell r="Q1015">
            <v>0</v>
          </cell>
          <cell r="S1015">
            <v>0</v>
          </cell>
          <cell r="U1015">
            <v>0</v>
          </cell>
          <cell r="Y1015">
            <v>20694.96</v>
          </cell>
          <cell r="AB1015">
            <v>4052.16</v>
          </cell>
          <cell r="AE1015" t="str">
            <v>20140101KUUM_451</v>
          </cell>
        </row>
        <row r="1016">
          <cell r="B1016" t="str">
            <v>Dec 2015</v>
          </cell>
          <cell r="C1016" t="str">
            <v>LS</v>
          </cell>
          <cell r="D1016" t="str">
            <v>KUUM_452</v>
          </cell>
          <cell r="E1016">
            <v>1015</v>
          </cell>
          <cell r="G1016">
            <v>0</v>
          </cell>
          <cell r="H1016">
            <v>0</v>
          </cell>
          <cell r="N1016">
            <v>42985.25</v>
          </cell>
          <cell r="O1016">
            <v>0</v>
          </cell>
          <cell r="Q1016">
            <v>0</v>
          </cell>
          <cell r="S1016">
            <v>0</v>
          </cell>
          <cell r="U1016">
            <v>0</v>
          </cell>
          <cell r="Y1016">
            <v>10566.15</v>
          </cell>
          <cell r="AB1016">
            <v>1725.5</v>
          </cell>
          <cell r="AE1016" t="str">
            <v>20140101KUUM_452</v>
          </cell>
        </row>
        <row r="1017">
          <cell r="B1017" t="str">
            <v>Dec 2015</v>
          </cell>
          <cell r="C1017" t="str">
            <v>RLS</v>
          </cell>
          <cell r="D1017" t="str">
            <v>KUUM_454</v>
          </cell>
          <cell r="E1017">
            <v>150</v>
          </cell>
          <cell r="G1017">
            <v>0</v>
          </cell>
          <cell r="H1017">
            <v>0</v>
          </cell>
          <cell r="N1017">
            <v>2797.5</v>
          </cell>
          <cell r="O1017">
            <v>0</v>
          </cell>
          <cell r="Q1017">
            <v>0</v>
          </cell>
          <cell r="S1017">
            <v>0</v>
          </cell>
          <cell r="U1017">
            <v>0</v>
          </cell>
          <cell r="Y1017">
            <v>295.5</v>
          </cell>
          <cell r="AB1017">
            <v>99</v>
          </cell>
          <cell r="AE1017" t="str">
            <v>20140101KUUM_454</v>
          </cell>
        </row>
        <row r="1018">
          <cell r="B1018" t="str">
            <v>Dec 2015</v>
          </cell>
          <cell r="C1018" t="str">
            <v>RLS</v>
          </cell>
          <cell r="D1018" t="str">
            <v>KUUM_455</v>
          </cell>
          <cell r="E1018">
            <v>998</v>
          </cell>
          <cell r="G1018">
            <v>0</v>
          </cell>
          <cell r="H1018">
            <v>0</v>
          </cell>
          <cell r="N1018">
            <v>24540.82</v>
          </cell>
          <cell r="O1018">
            <v>0</v>
          </cell>
          <cell r="Q1018">
            <v>0</v>
          </cell>
          <cell r="S1018">
            <v>0</v>
          </cell>
          <cell r="U1018">
            <v>0</v>
          </cell>
          <cell r="Y1018">
            <v>4281.42</v>
          </cell>
          <cell r="AB1018">
            <v>838.31999999999994</v>
          </cell>
          <cell r="AE1018" t="str">
            <v>20140101KUUM_455</v>
          </cell>
        </row>
        <row r="1019">
          <cell r="B1019" t="str">
            <v>Dec 2015</v>
          </cell>
          <cell r="C1019" t="str">
            <v>RLS</v>
          </cell>
          <cell r="D1019" t="str">
            <v>KUUM_456</v>
          </cell>
          <cell r="E1019">
            <v>136</v>
          </cell>
          <cell r="G1019">
            <v>0</v>
          </cell>
          <cell r="H1019">
            <v>0</v>
          </cell>
          <cell r="N1019">
            <v>1614.32</v>
          </cell>
          <cell r="O1019">
            <v>0</v>
          </cell>
          <cell r="Q1019">
            <v>0</v>
          </cell>
          <cell r="S1019">
            <v>0</v>
          </cell>
          <cell r="U1019">
            <v>0</v>
          </cell>
          <cell r="Y1019">
            <v>270.64</v>
          </cell>
          <cell r="AB1019">
            <v>53.04</v>
          </cell>
          <cell r="AE1019" t="str">
            <v>20140101KUUM_456</v>
          </cell>
        </row>
        <row r="1020">
          <cell r="B1020" t="str">
            <v>Dec 2015</v>
          </cell>
          <cell r="C1020" t="str">
            <v>RLS</v>
          </cell>
          <cell r="D1020" t="str">
            <v>KUUM_457</v>
          </cell>
          <cell r="E1020">
            <v>440</v>
          </cell>
          <cell r="G1020">
            <v>0</v>
          </cell>
          <cell r="H1020">
            <v>0</v>
          </cell>
          <cell r="N1020">
            <v>5878.4</v>
          </cell>
          <cell r="O1020">
            <v>0</v>
          </cell>
          <cell r="Q1020">
            <v>0</v>
          </cell>
          <cell r="S1020">
            <v>0</v>
          </cell>
          <cell r="U1020">
            <v>0</v>
          </cell>
          <cell r="Y1020">
            <v>1249.5999999999999</v>
          </cell>
          <cell r="AB1020">
            <v>193.6</v>
          </cell>
          <cell r="AE1020" t="str">
            <v>20140101KUUM_457</v>
          </cell>
        </row>
        <row r="1021">
          <cell r="B1021" t="str">
            <v>Dec 2015</v>
          </cell>
          <cell r="C1021" t="str">
            <v>RLS</v>
          </cell>
          <cell r="D1021" t="str">
            <v>KUUM_458</v>
          </cell>
          <cell r="E1021">
            <v>1463</v>
          </cell>
          <cell r="G1021">
            <v>0</v>
          </cell>
          <cell r="H1021">
            <v>0</v>
          </cell>
          <cell r="N1021">
            <v>22062.04</v>
          </cell>
          <cell r="O1021">
            <v>0</v>
          </cell>
          <cell r="Q1021">
            <v>0</v>
          </cell>
          <cell r="S1021">
            <v>0</v>
          </cell>
          <cell r="U1021">
            <v>0</v>
          </cell>
          <cell r="Y1021">
            <v>6393.31</v>
          </cell>
          <cell r="AB1021">
            <v>746.13</v>
          </cell>
          <cell r="AE1021" t="str">
            <v>20140101KUUM_458</v>
          </cell>
        </row>
        <row r="1022">
          <cell r="B1022" t="str">
            <v>Dec 2015</v>
          </cell>
          <cell r="C1022" t="str">
            <v>RLS</v>
          </cell>
          <cell r="D1022" t="str">
            <v>KUUM_459</v>
          </cell>
          <cell r="E1022">
            <v>223</v>
          </cell>
          <cell r="G1022">
            <v>0</v>
          </cell>
          <cell r="H1022">
            <v>0</v>
          </cell>
          <cell r="N1022">
            <v>10423.02</v>
          </cell>
          <cell r="O1022">
            <v>0</v>
          </cell>
          <cell r="Q1022">
            <v>0</v>
          </cell>
          <cell r="S1022">
            <v>0</v>
          </cell>
          <cell r="U1022">
            <v>0</v>
          </cell>
          <cell r="Y1022">
            <v>2321.4299999999998</v>
          </cell>
          <cell r="AB1022">
            <v>379.09999999999997</v>
          </cell>
          <cell r="AE1022" t="str">
            <v>20140101KUUM_459</v>
          </cell>
        </row>
        <row r="1023">
          <cell r="B1023" t="str">
            <v>Dec 2015</v>
          </cell>
          <cell r="C1023" t="str">
            <v>RLS</v>
          </cell>
          <cell r="D1023" t="str">
            <v>KUUM_460</v>
          </cell>
          <cell r="E1023">
            <v>26</v>
          </cell>
          <cell r="G1023">
            <v>0</v>
          </cell>
          <cell r="H1023">
            <v>0</v>
          </cell>
          <cell r="N1023">
            <v>705.9</v>
          </cell>
          <cell r="O1023">
            <v>0</v>
          </cell>
          <cell r="Q1023">
            <v>0</v>
          </cell>
          <cell r="S1023">
            <v>0</v>
          </cell>
          <cell r="U1023">
            <v>0</v>
          </cell>
          <cell r="Y1023">
            <v>51.22</v>
          </cell>
          <cell r="AB1023">
            <v>17.16</v>
          </cell>
          <cell r="AE1023" t="str">
            <v>20140101KUUM_460</v>
          </cell>
        </row>
        <row r="1024">
          <cell r="B1024" t="str">
            <v>Dec 2015</v>
          </cell>
          <cell r="C1024" t="str">
            <v>RLS</v>
          </cell>
          <cell r="D1024" t="str">
            <v>KUUM_461</v>
          </cell>
          <cell r="E1024">
            <v>6310</v>
          </cell>
          <cell r="G1024">
            <v>0</v>
          </cell>
          <cell r="H1024">
            <v>0</v>
          </cell>
          <cell r="N1024">
            <v>47577.4</v>
          </cell>
          <cell r="O1024">
            <v>0</v>
          </cell>
          <cell r="Q1024">
            <v>0</v>
          </cell>
          <cell r="S1024">
            <v>0</v>
          </cell>
          <cell r="U1024">
            <v>0</v>
          </cell>
          <cell r="Y1024">
            <v>3596.7</v>
          </cell>
          <cell r="AB1024">
            <v>2082.3000000000002</v>
          </cell>
          <cell r="AE1024" t="str">
            <v>20140101KUUM_461</v>
          </cell>
        </row>
        <row r="1025">
          <cell r="B1025" t="str">
            <v>Dec 2015</v>
          </cell>
          <cell r="C1025" t="str">
            <v>LS</v>
          </cell>
          <cell r="D1025" t="str">
            <v>KUUM_462</v>
          </cell>
          <cell r="E1025">
            <v>8386</v>
          </cell>
          <cell r="G1025">
            <v>0</v>
          </cell>
          <cell r="H1025">
            <v>0</v>
          </cell>
          <cell r="N1025">
            <v>72622.759999999995</v>
          </cell>
          <cell r="O1025">
            <v>0</v>
          </cell>
          <cell r="Q1025">
            <v>0</v>
          </cell>
          <cell r="S1025">
            <v>0</v>
          </cell>
          <cell r="U1025">
            <v>0</v>
          </cell>
          <cell r="Y1025">
            <v>6708.8</v>
          </cell>
          <cell r="AB1025">
            <v>3605.98</v>
          </cell>
          <cell r="AE1025" t="str">
            <v>20140101KUUM_462</v>
          </cell>
        </row>
        <row r="1026">
          <cell r="B1026" t="str">
            <v>Dec 2015</v>
          </cell>
          <cell r="C1026" t="str">
            <v>LS</v>
          </cell>
          <cell r="D1026" t="str">
            <v>KUUM_463</v>
          </cell>
          <cell r="E1026">
            <v>19399</v>
          </cell>
          <cell r="G1026">
            <v>0</v>
          </cell>
          <cell r="H1026">
            <v>0</v>
          </cell>
          <cell r="N1026">
            <v>177306.86</v>
          </cell>
          <cell r="O1026">
            <v>0</v>
          </cell>
          <cell r="Q1026">
            <v>0</v>
          </cell>
          <cell r="S1026">
            <v>0</v>
          </cell>
          <cell r="U1026">
            <v>0</v>
          </cell>
          <cell r="Y1026">
            <v>21920.87</v>
          </cell>
          <cell r="AB1026">
            <v>6595.6600000000008</v>
          </cell>
          <cell r="AE1026" t="str">
            <v>20140101KUUM_463</v>
          </cell>
        </row>
        <row r="1027">
          <cell r="B1027" t="str">
            <v>Dec 2015</v>
          </cell>
          <cell r="C1027" t="str">
            <v>LS</v>
          </cell>
          <cell r="D1027" t="str">
            <v>KUUM_464</v>
          </cell>
          <cell r="E1027">
            <v>7205</v>
          </cell>
          <cell r="G1027">
            <v>0</v>
          </cell>
          <cell r="H1027">
            <v>0</v>
          </cell>
          <cell r="N1027">
            <v>102671.25</v>
          </cell>
          <cell r="O1027">
            <v>0</v>
          </cell>
          <cell r="Q1027">
            <v>0</v>
          </cell>
          <cell r="S1027">
            <v>0</v>
          </cell>
          <cell r="U1027">
            <v>0</v>
          </cell>
          <cell r="Y1027">
            <v>16787.650000000001</v>
          </cell>
          <cell r="AB1027">
            <v>4178.8999999999996</v>
          </cell>
          <cell r="AE1027" t="str">
            <v>20140101KUUM_464</v>
          </cell>
        </row>
        <row r="1028">
          <cell r="B1028" t="str">
            <v>Dec 2015</v>
          </cell>
          <cell r="C1028" t="str">
            <v>LS</v>
          </cell>
          <cell r="D1028" t="str">
            <v>KUUM_465</v>
          </cell>
          <cell r="E1028">
            <v>2683</v>
          </cell>
          <cell r="G1028">
            <v>0</v>
          </cell>
          <cell r="H1028">
            <v>0</v>
          </cell>
          <cell r="N1028">
            <v>61279.72</v>
          </cell>
          <cell r="O1028">
            <v>0</v>
          </cell>
          <cell r="Q1028">
            <v>0</v>
          </cell>
          <cell r="S1028">
            <v>0</v>
          </cell>
          <cell r="U1028">
            <v>0</v>
          </cell>
          <cell r="Y1028">
            <v>12153.99</v>
          </cell>
          <cell r="AB1028">
            <v>2119.5700000000002</v>
          </cell>
          <cell r="AE1028" t="str">
            <v>20140101KUUM_465</v>
          </cell>
        </row>
        <row r="1029">
          <cell r="B1029" t="str">
            <v>Dec 2015</v>
          </cell>
          <cell r="C1029" t="str">
            <v>RLS</v>
          </cell>
          <cell r="D1029" t="str">
            <v>KUUM_466</v>
          </cell>
          <cell r="E1029">
            <v>828</v>
          </cell>
          <cell r="G1029">
            <v>0</v>
          </cell>
          <cell r="H1029">
            <v>0</v>
          </cell>
          <cell r="N1029">
            <v>7965.36</v>
          </cell>
          <cell r="O1029">
            <v>0</v>
          </cell>
          <cell r="Q1029">
            <v>0</v>
          </cell>
          <cell r="S1029">
            <v>0</v>
          </cell>
          <cell r="U1029">
            <v>0</v>
          </cell>
          <cell r="Y1029">
            <v>471.96</v>
          </cell>
          <cell r="AB1029">
            <v>273.24</v>
          </cell>
          <cell r="AE1029" t="str">
            <v>20140101KUUM_466</v>
          </cell>
        </row>
        <row r="1030">
          <cell r="B1030" t="str">
            <v>Dec 2015</v>
          </cell>
          <cell r="C1030" t="str">
            <v>LS</v>
          </cell>
          <cell r="D1030" t="str">
            <v>KUUM_467</v>
          </cell>
          <cell r="E1030">
            <v>1298</v>
          </cell>
          <cell r="G1030">
            <v>0</v>
          </cell>
          <cell r="H1030">
            <v>0</v>
          </cell>
          <cell r="N1030">
            <v>13979.46</v>
          </cell>
          <cell r="O1030">
            <v>0</v>
          </cell>
          <cell r="Q1030">
            <v>0</v>
          </cell>
          <cell r="S1030">
            <v>0</v>
          </cell>
          <cell r="U1030">
            <v>0</v>
          </cell>
          <cell r="Y1030">
            <v>1038.4000000000001</v>
          </cell>
          <cell r="AB1030">
            <v>558.14</v>
          </cell>
          <cell r="AE1030" t="str">
            <v>20140101KUUM_467</v>
          </cell>
        </row>
        <row r="1031">
          <cell r="B1031" t="str">
            <v>Dec 2015</v>
          </cell>
          <cell r="C1031" t="str">
            <v>LS</v>
          </cell>
          <cell r="D1031" t="str">
            <v>KUUM_468</v>
          </cell>
          <cell r="E1031">
            <v>3842</v>
          </cell>
          <cell r="G1031">
            <v>0</v>
          </cell>
          <cell r="H1031">
            <v>0</v>
          </cell>
          <cell r="N1031">
            <v>42876.72</v>
          </cell>
          <cell r="O1031">
            <v>0</v>
          </cell>
          <cell r="Q1031">
            <v>0</v>
          </cell>
          <cell r="S1031">
            <v>0</v>
          </cell>
          <cell r="U1031">
            <v>0</v>
          </cell>
          <cell r="Y1031">
            <v>4341.46</v>
          </cell>
          <cell r="AB1031">
            <v>1306.2800000000002</v>
          </cell>
          <cell r="AE1031" t="str">
            <v>20140101KUUM_468</v>
          </cell>
        </row>
        <row r="1032">
          <cell r="B1032" t="str">
            <v>Dec 2015</v>
          </cell>
          <cell r="C1032" t="str">
            <v>RLS</v>
          </cell>
          <cell r="D1032" t="str">
            <v>KUUM_469</v>
          </cell>
          <cell r="E1032">
            <v>288</v>
          </cell>
          <cell r="G1032">
            <v>0</v>
          </cell>
          <cell r="H1032">
            <v>0</v>
          </cell>
          <cell r="N1032">
            <v>9532.7999999999993</v>
          </cell>
          <cell r="O1032">
            <v>0</v>
          </cell>
          <cell r="Q1032">
            <v>0</v>
          </cell>
          <cell r="S1032">
            <v>0</v>
          </cell>
          <cell r="U1032">
            <v>0</v>
          </cell>
          <cell r="Y1032">
            <v>1235.52</v>
          </cell>
          <cell r="AB1032">
            <v>241.92</v>
          </cell>
          <cell r="AE1032" t="str">
            <v>20140101KUUM_469</v>
          </cell>
        </row>
        <row r="1033">
          <cell r="B1033" t="str">
            <v>Dec 2015</v>
          </cell>
          <cell r="C1033" t="str">
            <v>RLS</v>
          </cell>
          <cell r="D1033" t="str">
            <v>KUUM_470</v>
          </cell>
          <cell r="E1033">
            <v>62</v>
          </cell>
          <cell r="G1033">
            <v>0</v>
          </cell>
          <cell r="H1033">
            <v>0</v>
          </cell>
          <cell r="N1033">
            <v>3425.5</v>
          </cell>
          <cell r="O1033">
            <v>0</v>
          </cell>
          <cell r="Q1033">
            <v>0</v>
          </cell>
          <cell r="S1033">
            <v>0</v>
          </cell>
          <cell r="U1033">
            <v>0</v>
          </cell>
          <cell r="Y1033">
            <v>645.41999999999996</v>
          </cell>
          <cell r="AB1033">
            <v>105.39999999999999</v>
          </cell>
          <cell r="AE1033" t="str">
            <v>20140101KUUM_470</v>
          </cell>
        </row>
        <row r="1034">
          <cell r="B1034" t="str">
            <v>Dec 2015</v>
          </cell>
          <cell r="C1034" t="str">
            <v>RLS</v>
          </cell>
          <cell r="D1034" t="str">
            <v>KUUM_471</v>
          </cell>
          <cell r="E1034">
            <v>3578</v>
          </cell>
          <cell r="G1034">
            <v>0</v>
          </cell>
          <cell r="H1034">
            <v>0</v>
          </cell>
          <cell r="N1034">
            <v>37533.22</v>
          </cell>
          <cell r="O1034">
            <v>0</v>
          </cell>
          <cell r="Q1034">
            <v>0</v>
          </cell>
          <cell r="S1034">
            <v>0</v>
          </cell>
          <cell r="U1034">
            <v>0</v>
          </cell>
          <cell r="Y1034">
            <v>2039.46</v>
          </cell>
          <cell r="AB1034">
            <v>1180.74</v>
          </cell>
          <cell r="AE1034" t="str">
            <v>20140101KUUM_471</v>
          </cell>
        </row>
        <row r="1035">
          <cell r="B1035" t="str">
            <v>Dec 2015</v>
          </cell>
          <cell r="C1035" t="str">
            <v>LS</v>
          </cell>
          <cell r="D1035" t="str">
            <v>KUUM_472</v>
          </cell>
          <cell r="E1035">
            <v>8410</v>
          </cell>
          <cell r="G1035">
            <v>0</v>
          </cell>
          <cell r="H1035">
            <v>0</v>
          </cell>
          <cell r="N1035">
            <v>97556</v>
          </cell>
          <cell r="O1035">
            <v>0</v>
          </cell>
          <cell r="Q1035">
            <v>0</v>
          </cell>
          <cell r="S1035">
            <v>0</v>
          </cell>
          <cell r="U1035">
            <v>0</v>
          </cell>
          <cell r="Y1035">
            <v>6728</v>
          </cell>
          <cell r="AB1035">
            <v>3616.2999999999997</v>
          </cell>
          <cell r="AE1035" t="str">
            <v>20140101KUUM_472</v>
          </cell>
        </row>
        <row r="1036">
          <cell r="B1036" t="str">
            <v>Dec 2015</v>
          </cell>
          <cell r="C1036" t="str">
            <v>LS</v>
          </cell>
          <cell r="D1036" t="str">
            <v>KUUM_473</v>
          </cell>
          <cell r="E1036">
            <v>3238</v>
          </cell>
          <cell r="G1036">
            <v>0</v>
          </cell>
          <cell r="H1036">
            <v>0</v>
          </cell>
          <cell r="N1036">
            <v>39827.4</v>
          </cell>
          <cell r="O1036">
            <v>0</v>
          </cell>
          <cell r="Q1036">
            <v>0</v>
          </cell>
          <cell r="S1036">
            <v>0</v>
          </cell>
          <cell r="U1036">
            <v>0</v>
          </cell>
          <cell r="Y1036">
            <v>3658.94</v>
          </cell>
          <cell r="AB1036">
            <v>1100.92</v>
          </cell>
          <cell r="AE1036" t="str">
            <v>20140101KUUM_473</v>
          </cell>
        </row>
        <row r="1037">
          <cell r="B1037" t="str">
            <v>Dec 2015</v>
          </cell>
          <cell r="C1037" t="str">
            <v>LS</v>
          </cell>
          <cell r="D1037" t="str">
            <v>KUUM_474</v>
          </cell>
          <cell r="E1037">
            <v>4981</v>
          </cell>
          <cell r="G1037">
            <v>0</v>
          </cell>
          <cell r="H1037">
            <v>0</v>
          </cell>
          <cell r="N1037">
            <v>86719.21</v>
          </cell>
          <cell r="O1037">
            <v>0</v>
          </cell>
          <cell r="Q1037">
            <v>0</v>
          </cell>
          <cell r="S1037">
            <v>0</v>
          </cell>
          <cell r="U1037">
            <v>0</v>
          </cell>
          <cell r="Y1037">
            <v>11605.73</v>
          </cell>
          <cell r="AB1037">
            <v>2888.98</v>
          </cell>
          <cell r="AE1037" t="str">
            <v>20140101KUUM_474</v>
          </cell>
        </row>
        <row r="1038">
          <cell r="B1038" t="str">
            <v>Dec 2015</v>
          </cell>
          <cell r="C1038" t="str">
            <v>LS</v>
          </cell>
          <cell r="D1038" t="str">
            <v>KUUM_475</v>
          </cell>
          <cell r="E1038">
            <v>499</v>
          </cell>
          <cell r="G1038">
            <v>0</v>
          </cell>
          <cell r="H1038">
            <v>0</v>
          </cell>
          <cell r="N1038">
            <v>12205.54</v>
          </cell>
          <cell r="O1038">
            <v>0</v>
          </cell>
          <cell r="Q1038">
            <v>0</v>
          </cell>
          <cell r="S1038">
            <v>0</v>
          </cell>
          <cell r="U1038">
            <v>0</v>
          </cell>
          <cell r="Y1038">
            <v>2260.4699999999998</v>
          </cell>
          <cell r="AB1038">
            <v>394.21000000000004</v>
          </cell>
          <cell r="AE1038" t="str">
            <v>20140101KUUM_475</v>
          </cell>
        </row>
        <row r="1039">
          <cell r="B1039" t="str">
            <v>Dec 2015</v>
          </cell>
          <cell r="C1039" t="str">
            <v>LS</v>
          </cell>
          <cell r="D1039" t="str">
            <v>KUUM_476</v>
          </cell>
          <cell r="E1039">
            <v>4457</v>
          </cell>
          <cell r="G1039">
            <v>0</v>
          </cell>
          <cell r="H1039">
            <v>0</v>
          </cell>
          <cell r="N1039">
            <v>74833.03</v>
          </cell>
          <cell r="O1039">
            <v>0</v>
          </cell>
          <cell r="Q1039">
            <v>0</v>
          </cell>
          <cell r="S1039">
            <v>0</v>
          </cell>
          <cell r="U1039">
            <v>0</v>
          </cell>
          <cell r="Y1039">
            <v>3565.6</v>
          </cell>
          <cell r="AB1039">
            <v>1916.51</v>
          </cell>
          <cell r="AE1039" t="str">
            <v>20140101KUUM_476</v>
          </cell>
        </row>
        <row r="1040">
          <cell r="B1040" t="str">
            <v>Dec 2015</v>
          </cell>
          <cell r="C1040" t="str">
            <v>LS</v>
          </cell>
          <cell r="D1040" t="str">
            <v>KUUM_477</v>
          </cell>
          <cell r="E1040">
            <v>1033</v>
          </cell>
          <cell r="G1040">
            <v>0</v>
          </cell>
          <cell r="H1040">
            <v>0</v>
          </cell>
          <cell r="N1040">
            <v>21662.01</v>
          </cell>
          <cell r="O1040">
            <v>0</v>
          </cell>
          <cell r="Q1040">
            <v>0</v>
          </cell>
          <cell r="S1040">
            <v>0</v>
          </cell>
          <cell r="U1040">
            <v>0</v>
          </cell>
          <cell r="Y1040">
            <v>1167.29</v>
          </cell>
          <cell r="AB1040">
            <v>351.22</v>
          </cell>
          <cell r="AE1040" t="str">
            <v>20140101KUUM_477</v>
          </cell>
        </row>
        <row r="1041">
          <cell r="B1041" t="str">
            <v>Dec 2015</v>
          </cell>
          <cell r="C1041" t="str">
            <v>LS</v>
          </cell>
          <cell r="D1041" t="str">
            <v>KUUM_478</v>
          </cell>
          <cell r="E1041">
            <v>1361</v>
          </cell>
          <cell r="G1041">
            <v>0</v>
          </cell>
          <cell r="H1041">
            <v>0</v>
          </cell>
          <cell r="N1041">
            <v>36556.46</v>
          </cell>
          <cell r="O1041">
            <v>0</v>
          </cell>
          <cell r="Q1041">
            <v>0</v>
          </cell>
          <cell r="S1041">
            <v>0</v>
          </cell>
          <cell r="U1041">
            <v>0</v>
          </cell>
          <cell r="Y1041">
            <v>3171.13</v>
          </cell>
          <cell r="AB1041">
            <v>789.38</v>
          </cell>
          <cell r="AE1041" t="str">
            <v>20140101KUUM_478</v>
          </cell>
        </row>
        <row r="1042">
          <cell r="B1042" t="str">
            <v>Dec 2015</v>
          </cell>
          <cell r="C1042" t="str">
            <v>LS</v>
          </cell>
          <cell r="D1042" t="str">
            <v>KUUM_479</v>
          </cell>
          <cell r="E1042">
            <v>920</v>
          </cell>
          <cell r="G1042">
            <v>0</v>
          </cell>
          <cell r="H1042">
            <v>0</v>
          </cell>
          <cell r="N1042">
            <v>30470.400000000001</v>
          </cell>
          <cell r="O1042">
            <v>0</v>
          </cell>
          <cell r="Q1042">
            <v>0</v>
          </cell>
          <cell r="S1042">
            <v>0</v>
          </cell>
          <cell r="U1042">
            <v>0</v>
          </cell>
          <cell r="Y1042">
            <v>4167.6000000000004</v>
          </cell>
          <cell r="AB1042">
            <v>726.80000000000007</v>
          </cell>
          <cell r="AE1042" t="str">
            <v>20140101KUUM_479</v>
          </cell>
        </row>
        <row r="1043">
          <cell r="B1043" t="str">
            <v>Dec 2015</v>
          </cell>
          <cell r="C1043" t="str">
            <v>LS</v>
          </cell>
          <cell r="D1043" t="str">
            <v>KUUM_486</v>
          </cell>
          <cell r="E1043">
            <v>0</v>
          </cell>
          <cell r="G1043">
            <v>0</v>
          </cell>
          <cell r="H1043">
            <v>0</v>
          </cell>
          <cell r="N1043">
            <v>0</v>
          </cell>
          <cell r="O1043">
            <v>0</v>
          </cell>
          <cell r="Q1043">
            <v>0</v>
          </cell>
          <cell r="S1043">
            <v>0</v>
          </cell>
          <cell r="U1043">
            <v>0</v>
          </cell>
          <cell r="Y1043">
            <v>0</v>
          </cell>
          <cell r="AB1043">
            <v>0</v>
          </cell>
          <cell r="AE1043" t="str">
            <v>20140101KUUM_486</v>
          </cell>
        </row>
        <row r="1044">
          <cell r="B1044" t="str">
            <v>Dec 2015</v>
          </cell>
          <cell r="C1044" t="str">
            <v>LS</v>
          </cell>
          <cell r="D1044" t="str">
            <v>KUUM_487</v>
          </cell>
          <cell r="E1044">
            <v>10668</v>
          </cell>
          <cell r="G1044">
            <v>0</v>
          </cell>
          <cell r="H1044">
            <v>0</v>
          </cell>
          <cell r="N1044">
            <v>96012</v>
          </cell>
          <cell r="O1044">
            <v>0</v>
          </cell>
          <cell r="Q1044">
            <v>0</v>
          </cell>
          <cell r="S1044">
            <v>0</v>
          </cell>
          <cell r="U1044">
            <v>0</v>
          </cell>
          <cell r="Y1044">
            <v>12054.84</v>
          </cell>
          <cell r="AB1044">
            <v>3627.1200000000003</v>
          </cell>
          <cell r="AE1044" t="str">
            <v>20140101KUUM_487</v>
          </cell>
        </row>
        <row r="1045">
          <cell r="B1045" t="str">
            <v>Dec 2015</v>
          </cell>
          <cell r="C1045" t="str">
            <v>LS</v>
          </cell>
          <cell r="D1045" t="str">
            <v>KUUM_488</v>
          </cell>
          <cell r="E1045">
            <v>6284</v>
          </cell>
          <cell r="G1045">
            <v>0</v>
          </cell>
          <cell r="H1045">
            <v>0</v>
          </cell>
          <cell r="N1045">
            <v>85713.76</v>
          </cell>
          <cell r="O1045">
            <v>0</v>
          </cell>
          <cell r="Q1045">
            <v>0</v>
          </cell>
          <cell r="S1045">
            <v>0</v>
          </cell>
          <cell r="U1045">
            <v>0</v>
          </cell>
          <cell r="Y1045">
            <v>14641.72</v>
          </cell>
          <cell r="AB1045">
            <v>3644.72</v>
          </cell>
          <cell r="AE1045" t="str">
            <v>20140101KUUM_488</v>
          </cell>
        </row>
        <row r="1046">
          <cell r="B1046" t="str">
            <v>Dec 2015</v>
          </cell>
          <cell r="C1046" t="str">
            <v>LS</v>
          </cell>
          <cell r="D1046" t="str">
            <v>KUUM_489</v>
          </cell>
          <cell r="E1046">
            <v>7982</v>
          </cell>
          <cell r="G1046">
            <v>0</v>
          </cell>
          <cell r="H1046">
            <v>0</v>
          </cell>
          <cell r="N1046">
            <v>155329.72</v>
          </cell>
          <cell r="O1046">
            <v>0</v>
          </cell>
          <cell r="Q1046">
            <v>0</v>
          </cell>
          <cell r="S1046">
            <v>0</v>
          </cell>
          <cell r="U1046">
            <v>0</v>
          </cell>
          <cell r="Y1046">
            <v>36158.46</v>
          </cell>
          <cell r="AB1046">
            <v>6305.7800000000007</v>
          </cell>
          <cell r="AE1046" t="str">
            <v>20140101KUUM_489</v>
          </cell>
        </row>
        <row r="1047">
          <cell r="B1047" t="str">
            <v>Dec 2015</v>
          </cell>
          <cell r="C1047" t="str">
            <v>LS</v>
          </cell>
          <cell r="D1047" t="str">
            <v>KUUM_490</v>
          </cell>
          <cell r="E1047">
            <v>56</v>
          </cell>
          <cell r="G1047">
            <v>0</v>
          </cell>
          <cell r="H1047">
            <v>0</v>
          </cell>
          <cell r="N1047">
            <v>866.32</v>
          </cell>
          <cell r="O1047">
            <v>0</v>
          </cell>
          <cell r="Q1047">
            <v>0</v>
          </cell>
          <cell r="S1047">
            <v>0</v>
          </cell>
          <cell r="U1047">
            <v>0</v>
          </cell>
          <cell r="Y1047">
            <v>110.32</v>
          </cell>
          <cell r="AB1047">
            <v>36.96</v>
          </cell>
          <cell r="AE1047" t="str">
            <v>20140101KUUM_490</v>
          </cell>
        </row>
        <row r="1048">
          <cell r="B1048" t="str">
            <v>Dec 2015</v>
          </cell>
          <cell r="C1048" t="str">
            <v>LS</v>
          </cell>
          <cell r="D1048" t="str">
            <v>KUUM_491</v>
          </cell>
          <cell r="E1048">
            <v>286</v>
          </cell>
          <cell r="G1048">
            <v>0</v>
          </cell>
          <cell r="H1048">
            <v>0</v>
          </cell>
          <cell r="N1048">
            <v>6271.98</v>
          </cell>
          <cell r="O1048">
            <v>0</v>
          </cell>
          <cell r="Q1048">
            <v>0</v>
          </cell>
          <cell r="S1048">
            <v>0</v>
          </cell>
          <cell r="U1048">
            <v>0</v>
          </cell>
          <cell r="Y1048">
            <v>1226.94</v>
          </cell>
          <cell r="AB1048">
            <v>240.23999999999998</v>
          </cell>
          <cell r="AE1048" t="str">
            <v>20140101KUUM_491</v>
          </cell>
        </row>
        <row r="1049">
          <cell r="B1049" t="str">
            <v>Dec 2015</v>
          </cell>
          <cell r="C1049" t="str">
            <v>LS</v>
          </cell>
          <cell r="D1049" t="str">
            <v>KUUM_492</v>
          </cell>
          <cell r="E1049">
            <v>2</v>
          </cell>
          <cell r="G1049">
            <v>0</v>
          </cell>
          <cell r="H1049">
            <v>0</v>
          </cell>
          <cell r="N1049">
            <v>30.74</v>
          </cell>
          <cell r="O1049">
            <v>0</v>
          </cell>
          <cell r="Q1049">
            <v>0</v>
          </cell>
          <cell r="S1049">
            <v>0</v>
          </cell>
          <cell r="U1049">
            <v>0</v>
          </cell>
          <cell r="Y1049">
            <v>1.6</v>
          </cell>
          <cell r="AB1049">
            <v>0.86</v>
          </cell>
          <cell r="AE1049" t="str">
            <v>20140101KUUM_492</v>
          </cell>
        </row>
        <row r="1050">
          <cell r="B1050" t="str">
            <v>Dec 2015</v>
          </cell>
          <cell r="C1050" t="str">
            <v>LS</v>
          </cell>
          <cell r="D1050" t="str">
            <v>KUUM_493</v>
          </cell>
          <cell r="E1050">
            <v>45</v>
          </cell>
          <cell r="G1050">
            <v>0</v>
          </cell>
          <cell r="H1050">
            <v>0</v>
          </cell>
          <cell r="N1050">
            <v>2056.5</v>
          </cell>
          <cell r="O1050">
            <v>0</v>
          </cell>
          <cell r="Q1050">
            <v>0</v>
          </cell>
          <cell r="S1050">
            <v>0</v>
          </cell>
          <cell r="U1050">
            <v>0</v>
          </cell>
          <cell r="Y1050">
            <v>468.45</v>
          </cell>
          <cell r="AB1050">
            <v>76.5</v>
          </cell>
          <cell r="AE1050" t="str">
            <v>20140101KUUM_493</v>
          </cell>
        </row>
        <row r="1051">
          <cell r="B1051" t="str">
            <v>Dec 2015</v>
          </cell>
          <cell r="C1051" t="str">
            <v>LS</v>
          </cell>
          <cell r="D1051" t="str">
            <v>KUUM_494</v>
          </cell>
          <cell r="E1051">
            <v>174</v>
          </cell>
          <cell r="G1051">
            <v>0</v>
          </cell>
          <cell r="H1051">
            <v>0</v>
          </cell>
          <cell r="N1051">
            <v>4936.38</v>
          </cell>
          <cell r="O1051">
            <v>0</v>
          </cell>
          <cell r="Q1051">
            <v>0</v>
          </cell>
          <cell r="S1051">
            <v>0</v>
          </cell>
          <cell r="U1051">
            <v>0</v>
          </cell>
          <cell r="Y1051">
            <v>342.78</v>
          </cell>
          <cell r="AB1051">
            <v>114.84</v>
          </cell>
          <cell r="AE1051" t="str">
            <v>20140101KUUM_494</v>
          </cell>
        </row>
        <row r="1052">
          <cell r="B1052" t="str">
            <v>Dec 2015</v>
          </cell>
          <cell r="C1052" t="str">
            <v>LS</v>
          </cell>
          <cell r="D1052" t="str">
            <v>KUUM_495</v>
          </cell>
          <cell r="E1052">
            <v>593</v>
          </cell>
          <cell r="G1052">
            <v>0</v>
          </cell>
          <cell r="H1052">
            <v>0</v>
          </cell>
          <cell r="N1052">
            <v>20654.189999999999</v>
          </cell>
          <cell r="O1052">
            <v>0</v>
          </cell>
          <cell r="Q1052">
            <v>0</v>
          </cell>
          <cell r="S1052">
            <v>0</v>
          </cell>
          <cell r="U1052">
            <v>0</v>
          </cell>
          <cell r="Y1052">
            <v>2543.9699999999998</v>
          </cell>
          <cell r="AB1052">
            <v>498.12</v>
          </cell>
          <cell r="AE1052" t="str">
            <v>20140101KUUM_495</v>
          </cell>
        </row>
        <row r="1053">
          <cell r="B1053" t="str">
            <v>Dec 2015</v>
          </cell>
          <cell r="C1053" t="str">
            <v>LS</v>
          </cell>
          <cell r="D1053" t="str">
            <v>KUUM_496</v>
          </cell>
          <cell r="E1053">
            <v>168</v>
          </cell>
          <cell r="G1053">
            <v>0</v>
          </cell>
          <cell r="H1053">
            <v>0</v>
          </cell>
          <cell r="N1053">
            <v>9843.1200000000008</v>
          </cell>
          <cell r="O1053">
            <v>0</v>
          </cell>
          <cell r="Q1053">
            <v>0</v>
          </cell>
          <cell r="S1053">
            <v>0</v>
          </cell>
          <cell r="U1053">
            <v>0</v>
          </cell>
          <cell r="Y1053">
            <v>1748.88</v>
          </cell>
          <cell r="AB1053">
            <v>285.59999999999997</v>
          </cell>
          <cell r="AE1053" t="str">
            <v>20140101KUUM_496</v>
          </cell>
        </row>
        <row r="1054">
          <cell r="B1054" t="str">
            <v>Dec 2015</v>
          </cell>
          <cell r="C1054" t="str">
            <v>LS</v>
          </cell>
          <cell r="D1054" t="str">
            <v>KUUM_497</v>
          </cell>
          <cell r="E1054">
            <v>8</v>
          </cell>
          <cell r="G1054">
            <v>0</v>
          </cell>
          <cell r="H1054">
            <v>0</v>
          </cell>
          <cell r="N1054">
            <v>122.8</v>
          </cell>
          <cell r="O1054">
            <v>0</v>
          </cell>
          <cell r="Q1054">
            <v>0</v>
          </cell>
          <cell r="S1054">
            <v>0</v>
          </cell>
          <cell r="U1054">
            <v>0</v>
          </cell>
          <cell r="Y1054">
            <v>9.0399999999999991</v>
          </cell>
          <cell r="AB1054">
            <v>2.72</v>
          </cell>
          <cell r="AE1054" t="str">
            <v>20140101KUUM_497</v>
          </cell>
        </row>
        <row r="1055">
          <cell r="B1055" t="str">
            <v>Dec 2015</v>
          </cell>
          <cell r="C1055" t="str">
            <v>LS</v>
          </cell>
          <cell r="D1055" t="str">
            <v>KUUM_498</v>
          </cell>
          <cell r="E1055">
            <v>20</v>
          </cell>
          <cell r="G1055">
            <v>0</v>
          </cell>
          <cell r="H1055">
            <v>0</v>
          </cell>
          <cell r="N1055">
            <v>354.4</v>
          </cell>
          <cell r="O1055">
            <v>0</v>
          </cell>
          <cell r="Q1055">
            <v>0</v>
          </cell>
          <cell r="S1055">
            <v>0</v>
          </cell>
          <cell r="U1055">
            <v>0</v>
          </cell>
          <cell r="Y1055">
            <v>46.6</v>
          </cell>
          <cell r="AB1055">
            <v>11.6</v>
          </cell>
          <cell r="AE1055" t="str">
            <v>20140101KUUM_498</v>
          </cell>
        </row>
        <row r="1056">
          <cell r="B1056" t="str">
            <v>Dec 2015</v>
          </cell>
          <cell r="C1056" t="str">
            <v>LS</v>
          </cell>
          <cell r="D1056" t="str">
            <v>KUUM_499</v>
          </cell>
          <cell r="E1056">
            <v>23</v>
          </cell>
          <cell r="G1056">
            <v>0</v>
          </cell>
          <cell r="H1056">
            <v>0</v>
          </cell>
          <cell r="N1056">
            <v>494.27</v>
          </cell>
          <cell r="O1056">
            <v>0</v>
          </cell>
          <cell r="Q1056">
            <v>0</v>
          </cell>
          <cell r="S1056">
            <v>0</v>
          </cell>
          <cell r="U1056">
            <v>0</v>
          </cell>
          <cell r="Y1056">
            <v>104.19</v>
          </cell>
          <cell r="AB1056">
            <v>18.170000000000002</v>
          </cell>
          <cell r="AE1056" t="str">
            <v>20140101KUUM_499</v>
          </cell>
        </row>
        <row r="1057">
          <cell r="B1057" t="str">
            <v>Dec 2015</v>
          </cell>
          <cell r="C1057" t="str">
            <v>ODL</v>
          </cell>
          <cell r="D1057" t="str">
            <v>ODL</v>
          </cell>
          <cell r="E1057">
            <v>0</v>
          </cell>
          <cell r="G1057">
            <v>12296879</v>
          </cell>
          <cell r="H1057">
            <v>0</v>
          </cell>
          <cell r="N1057">
            <v>0</v>
          </cell>
          <cell r="O1057">
            <v>2050706</v>
          </cell>
          <cell r="Q1057">
            <v>28964</v>
          </cell>
          <cell r="S1057">
            <v>62136</v>
          </cell>
          <cell r="U1057">
            <v>2141806</v>
          </cell>
          <cell r="Y1057">
            <v>0</v>
          </cell>
          <cell r="AB1057">
            <v>0</v>
          </cell>
          <cell r="AE1057" t="str">
            <v>20140101ODL</v>
          </cell>
        </row>
      </sheetData>
      <sheetData sheetId="23" refreshError="1"/>
      <sheetData sheetId="24">
        <row r="4">
          <cell r="E4" t="str">
            <v>20100801KURSE010</v>
          </cell>
          <cell r="F4">
            <v>8.5</v>
          </cell>
          <cell r="G4">
            <v>6.8049999999999999E-2</v>
          </cell>
          <cell r="H4">
            <v>0</v>
          </cell>
          <cell r="I4">
            <v>0</v>
          </cell>
          <cell r="J4">
            <v>6.8399999999999997E-3</v>
          </cell>
          <cell r="K4">
            <v>2.7539999999999999E-2</v>
          </cell>
        </row>
        <row r="5">
          <cell r="E5" t="str">
            <v>20100801KURSE020</v>
          </cell>
          <cell r="F5">
            <v>8.5</v>
          </cell>
          <cell r="G5">
            <v>6.8049999999999999E-2</v>
          </cell>
          <cell r="H5">
            <v>0</v>
          </cell>
          <cell r="I5">
            <v>0</v>
          </cell>
          <cell r="J5">
            <v>6.8399999999999997E-3</v>
          </cell>
          <cell r="K5">
            <v>2.7539999999999999E-2</v>
          </cell>
        </row>
        <row r="6">
          <cell r="E6" t="str">
            <v>20100801KURSE025</v>
          </cell>
          <cell r="F6">
            <v>8.5</v>
          </cell>
          <cell r="G6">
            <v>6.8049999999999999E-2</v>
          </cell>
          <cell r="H6">
            <v>0</v>
          </cell>
          <cell r="I6">
            <v>0</v>
          </cell>
          <cell r="J6">
            <v>6.8399999999999997E-3</v>
          </cell>
          <cell r="K6">
            <v>2.7539999999999999E-2</v>
          </cell>
        </row>
        <row r="7">
          <cell r="E7" t="str">
            <v>20100801KURSE080</v>
          </cell>
          <cell r="F7">
            <v>8.5</v>
          </cell>
          <cell r="G7">
            <v>6.8049999999999999E-2</v>
          </cell>
          <cell r="H7">
            <v>0</v>
          </cell>
          <cell r="I7">
            <v>0</v>
          </cell>
          <cell r="J7">
            <v>6.8399999999999997E-3</v>
          </cell>
          <cell r="K7">
            <v>2.7539999999999999E-2</v>
          </cell>
        </row>
        <row r="8">
          <cell r="E8" t="str">
            <v>20100801KURSE715</v>
          </cell>
          <cell r="F8">
            <v>8.5</v>
          </cell>
          <cell r="G8">
            <v>6.8049999999999999E-2</v>
          </cell>
          <cell r="H8">
            <v>0</v>
          </cell>
          <cell r="I8">
            <v>0</v>
          </cell>
          <cell r="J8">
            <v>6.8399999999999997E-3</v>
          </cell>
          <cell r="K8">
            <v>2.7539999999999999E-2</v>
          </cell>
        </row>
        <row r="9">
          <cell r="E9" t="str">
            <v>20100801KURSE040</v>
          </cell>
          <cell r="F9">
            <v>8.5</v>
          </cell>
          <cell r="G9">
            <v>4.7219999999999998E-2</v>
          </cell>
          <cell r="H9">
            <v>6.8230000000000013E-2</v>
          </cell>
          <cell r="I9">
            <v>0.13133</v>
          </cell>
          <cell r="J9">
            <v>6.8399999999999997E-3</v>
          </cell>
          <cell r="K9">
            <v>2.7539999999999999E-2</v>
          </cell>
        </row>
        <row r="10">
          <cell r="E10" t="str">
            <v>20100801KUCME110</v>
          </cell>
          <cell r="F10">
            <v>17.5</v>
          </cell>
          <cell r="G10">
            <v>7.7960000000000015E-2</v>
          </cell>
          <cell r="H10">
            <v>0</v>
          </cell>
          <cell r="I10">
            <v>0</v>
          </cell>
          <cell r="J10">
            <v>7.9299999999999995E-3</v>
          </cell>
          <cell r="K10">
            <v>2.7539999999999999E-2</v>
          </cell>
        </row>
        <row r="11">
          <cell r="E11" t="str">
            <v>20100801KUCME112</v>
          </cell>
          <cell r="F11">
            <v>17.5</v>
          </cell>
          <cell r="G11">
            <v>7.7960000000000015E-2</v>
          </cell>
          <cell r="H11">
            <v>0</v>
          </cell>
          <cell r="I11">
            <v>0</v>
          </cell>
          <cell r="J11">
            <v>7.9299999999999995E-3</v>
          </cell>
          <cell r="K11">
            <v>2.7539999999999999E-2</v>
          </cell>
        </row>
        <row r="12">
          <cell r="E12" t="str">
            <v>20100801KUCME710</v>
          </cell>
          <cell r="F12">
            <v>17.5</v>
          </cell>
          <cell r="G12">
            <v>7.7960000000000015E-2</v>
          </cell>
          <cell r="H12">
            <v>0</v>
          </cell>
          <cell r="I12">
            <v>0</v>
          </cell>
          <cell r="J12">
            <v>7.9299999999999995E-3</v>
          </cell>
          <cell r="K12">
            <v>2.7539999999999999E-2</v>
          </cell>
        </row>
        <row r="13">
          <cell r="E13" t="str">
            <v>20100801KUCME113</v>
          </cell>
          <cell r="F13">
            <v>32.5</v>
          </cell>
          <cell r="G13">
            <v>7.7960000000000015E-2</v>
          </cell>
          <cell r="H13">
            <v>0</v>
          </cell>
          <cell r="I13">
            <v>0</v>
          </cell>
          <cell r="J13">
            <v>7.9299999999999995E-3</v>
          </cell>
          <cell r="K13">
            <v>2.7539999999999999E-2</v>
          </cell>
        </row>
        <row r="14">
          <cell r="E14" t="str">
            <v>20100801KUCME713</v>
          </cell>
          <cell r="F14">
            <v>32.5</v>
          </cell>
          <cell r="G14">
            <v>7.7960000000000015E-2</v>
          </cell>
          <cell r="H14">
            <v>0</v>
          </cell>
          <cell r="I14">
            <v>0</v>
          </cell>
          <cell r="J14">
            <v>7.9299999999999995E-3</v>
          </cell>
          <cell r="K14">
            <v>2.7539999999999999E-2</v>
          </cell>
        </row>
        <row r="15">
          <cell r="E15" t="str">
            <v>20100801KUCME220</v>
          </cell>
          <cell r="F15">
            <v>17.5</v>
          </cell>
          <cell r="G15">
            <v>6.7059999999999995E-2</v>
          </cell>
          <cell r="H15">
            <v>0</v>
          </cell>
          <cell r="I15">
            <v>0</v>
          </cell>
          <cell r="J15">
            <v>7.9299999999999995E-3</v>
          </cell>
          <cell r="K15">
            <v>2.7539999999999999E-2</v>
          </cell>
        </row>
        <row r="16">
          <cell r="E16" t="str">
            <v>20100801KUCME221</v>
          </cell>
          <cell r="F16">
            <v>17.5</v>
          </cell>
          <cell r="G16">
            <v>6.7059999999999995E-2</v>
          </cell>
          <cell r="H16">
            <v>0</v>
          </cell>
          <cell r="I16">
            <v>0</v>
          </cell>
          <cell r="J16">
            <v>7.9299999999999995E-3</v>
          </cell>
          <cell r="K16">
            <v>2.7539999999999999E-2</v>
          </cell>
        </row>
        <row r="17">
          <cell r="E17" t="str">
            <v>20100801KUCME223</v>
          </cell>
          <cell r="F17">
            <v>32.5</v>
          </cell>
          <cell r="G17">
            <v>6.7059999999999995E-2</v>
          </cell>
          <cell r="H17">
            <v>0</v>
          </cell>
          <cell r="I17">
            <v>0</v>
          </cell>
          <cell r="J17">
            <v>7.9299999999999995E-3</v>
          </cell>
          <cell r="K17">
            <v>2.7539999999999999E-2</v>
          </cell>
        </row>
        <row r="18">
          <cell r="E18" t="str">
            <v>20100801KUCME224</v>
          </cell>
          <cell r="F18">
            <v>32.5</v>
          </cell>
          <cell r="G18">
            <v>6.7059999999999995E-2</v>
          </cell>
          <cell r="H18">
            <v>0</v>
          </cell>
          <cell r="I18">
            <v>0</v>
          </cell>
          <cell r="J18">
            <v>7.9299999999999995E-3</v>
          </cell>
          <cell r="K18">
            <v>2.7539999999999999E-2</v>
          </cell>
        </row>
        <row r="19">
          <cell r="E19" t="str">
            <v>20100801KUCME225</v>
          </cell>
          <cell r="F19">
            <v>32.5</v>
          </cell>
          <cell r="G19">
            <v>6.7059999999999995E-2</v>
          </cell>
          <cell r="H19">
            <v>0</v>
          </cell>
          <cell r="I19">
            <v>0</v>
          </cell>
          <cell r="J19">
            <v>7.9299999999999995E-3</v>
          </cell>
          <cell r="K19">
            <v>2.7539999999999999E-2</v>
          </cell>
        </row>
        <row r="20">
          <cell r="E20" t="str">
            <v>20100801KUCME226</v>
          </cell>
          <cell r="F20">
            <v>17.5</v>
          </cell>
          <cell r="G20">
            <v>6.7059999999999995E-2</v>
          </cell>
          <cell r="H20">
            <v>0</v>
          </cell>
          <cell r="I20">
            <v>0</v>
          </cell>
          <cell r="J20">
            <v>7.9299999999999995E-3</v>
          </cell>
          <cell r="K20">
            <v>2.7539999999999999E-2</v>
          </cell>
        </row>
        <row r="21">
          <cell r="E21" t="str">
            <v>20100801KUCME227</v>
          </cell>
          <cell r="F21">
            <v>32.5</v>
          </cell>
          <cell r="G21">
            <v>6.7059999999999995E-2</v>
          </cell>
          <cell r="H21">
            <v>0</v>
          </cell>
          <cell r="I21">
            <v>0</v>
          </cell>
          <cell r="J21">
            <v>7.9299999999999995E-3</v>
          </cell>
          <cell r="K21">
            <v>2.7539999999999999E-2</v>
          </cell>
        </row>
        <row r="22">
          <cell r="E22" t="str">
            <v>20100801KUCIE561</v>
          </cell>
          <cell r="F22">
            <v>90</v>
          </cell>
          <cell r="G22">
            <v>3.3860000000000001E-2</v>
          </cell>
          <cell r="H22">
            <v>0</v>
          </cell>
          <cell r="I22">
            <v>0</v>
          </cell>
          <cell r="K22">
            <v>2.7539999999999999E-2</v>
          </cell>
          <cell r="P22">
            <v>10.33</v>
          </cell>
          <cell r="Q22">
            <v>12.6</v>
          </cell>
          <cell r="S22">
            <v>2.2799999999999998</v>
          </cell>
        </row>
        <row r="23">
          <cell r="E23" t="str">
            <v>20100801KUCIE566</v>
          </cell>
          <cell r="F23">
            <v>90</v>
          </cell>
          <cell r="G23">
            <v>3.3860000000000001E-2</v>
          </cell>
          <cell r="H23">
            <v>0</v>
          </cell>
          <cell r="I23">
            <v>0</v>
          </cell>
          <cell r="K23">
            <v>2.7539999999999999E-2</v>
          </cell>
          <cell r="P23">
            <v>10.33</v>
          </cell>
          <cell r="Q23">
            <v>12.6</v>
          </cell>
          <cell r="S23">
            <v>2.2799999999999998</v>
          </cell>
        </row>
        <row r="24">
          <cell r="E24" t="str">
            <v>20100801KUCIE562</v>
          </cell>
          <cell r="F24">
            <v>90</v>
          </cell>
          <cell r="G24">
            <v>3.3860000000000001E-2</v>
          </cell>
          <cell r="H24">
            <v>0</v>
          </cell>
          <cell r="I24">
            <v>0</v>
          </cell>
          <cell r="K24">
            <v>2.7539999999999999E-2</v>
          </cell>
          <cell r="P24">
            <v>10.53</v>
          </cell>
          <cell r="Q24">
            <v>12.78</v>
          </cell>
          <cell r="S24">
            <v>2.2799999999999998</v>
          </cell>
        </row>
        <row r="25">
          <cell r="E25" t="str">
            <v>20100801KUCIE568</v>
          </cell>
          <cell r="F25">
            <v>90</v>
          </cell>
          <cell r="G25">
            <v>3.3860000000000001E-2</v>
          </cell>
          <cell r="H25">
            <v>0</v>
          </cell>
          <cell r="I25">
            <v>0</v>
          </cell>
          <cell r="K25">
            <v>2.7539999999999999E-2</v>
          </cell>
          <cell r="P25">
            <v>10.53</v>
          </cell>
          <cell r="Q25">
            <v>12.78</v>
          </cell>
          <cell r="S25">
            <v>2.2799999999999998</v>
          </cell>
        </row>
        <row r="26">
          <cell r="E26" t="str">
            <v>20100801KUCIE717</v>
          </cell>
          <cell r="F26">
            <v>90</v>
          </cell>
          <cell r="G26">
            <v>3.3860000000000001E-2</v>
          </cell>
          <cell r="H26">
            <v>0</v>
          </cell>
          <cell r="I26">
            <v>0</v>
          </cell>
          <cell r="K26">
            <v>2.7539999999999999E-2</v>
          </cell>
          <cell r="P26">
            <v>10.53</v>
          </cell>
          <cell r="Q26">
            <v>12.78</v>
          </cell>
          <cell r="S26">
            <v>2.2799999999999998</v>
          </cell>
        </row>
        <row r="27">
          <cell r="E27" t="str">
            <v>20100801KUCIE563</v>
          </cell>
          <cell r="F27">
            <v>300</v>
          </cell>
          <cell r="G27">
            <v>3.6080000000000001E-2</v>
          </cell>
          <cell r="H27">
            <v>0</v>
          </cell>
          <cell r="I27">
            <v>0</v>
          </cell>
          <cell r="K27">
            <v>2.7539999999999999E-2</v>
          </cell>
          <cell r="O27">
            <v>1.7</v>
          </cell>
          <cell r="P27">
            <v>2.73</v>
          </cell>
          <cell r="Q27">
            <v>4.09</v>
          </cell>
          <cell r="S27">
            <v>1.21</v>
          </cell>
        </row>
        <row r="28">
          <cell r="E28" t="str">
            <v>20100801KUCIE571</v>
          </cell>
          <cell r="F28">
            <v>300</v>
          </cell>
          <cell r="G28">
            <v>3.6080000000000001E-2</v>
          </cell>
          <cell r="H28">
            <v>0</v>
          </cell>
          <cell r="I28">
            <v>0</v>
          </cell>
          <cell r="K28">
            <v>2.7539999999999999E-2</v>
          </cell>
          <cell r="O28">
            <v>1.7</v>
          </cell>
          <cell r="P28">
            <v>2.73</v>
          </cell>
          <cell r="Q28">
            <v>4.09</v>
          </cell>
          <cell r="S28">
            <v>1.21</v>
          </cell>
        </row>
        <row r="29">
          <cell r="E29" t="str">
            <v>20100801KUCIE572</v>
          </cell>
          <cell r="F29">
            <v>200</v>
          </cell>
          <cell r="G29">
            <v>3.576E-2</v>
          </cell>
          <cell r="H29">
            <v>0</v>
          </cell>
          <cell r="I29">
            <v>0</v>
          </cell>
          <cell r="K29">
            <v>2.7539999999999999E-2</v>
          </cell>
          <cell r="O29">
            <v>3.53</v>
          </cell>
          <cell r="P29">
            <v>2.91</v>
          </cell>
          <cell r="Q29">
            <v>4.37</v>
          </cell>
          <cell r="S29">
            <v>1.21</v>
          </cell>
        </row>
        <row r="30">
          <cell r="E30" t="str">
            <v>20100801KUCIE550</v>
          </cell>
          <cell r="F30">
            <v>500</v>
          </cell>
          <cell r="G30">
            <v>3.5000000000000003E-2</v>
          </cell>
          <cell r="H30">
            <v>0</v>
          </cell>
          <cell r="I30">
            <v>0</v>
          </cell>
          <cell r="K30">
            <v>2.7539999999999999E-2</v>
          </cell>
          <cell r="O30">
            <v>1.04</v>
          </cell>
          <cell r="P30">
            <v>2.4900000000000002</v>
          </cell>
          <cell r="Q30">
            <v>3.73</v>
          </cell>
          <cell r="S30">
            <v>0.9</v>
          </cell>
        </row>
        <row r="31">
          <cell r="E31" t="str">
            <v>20100801KUINE731</v>
          </cell>
          <cell r="F31">
            <v>500</v>
          </cell>
          <cell r="G31">
            <v>3.5049999999999998E-2</v>
          </cell>
          <cell r="H31">
            <v>0</v>
          </cell>
          <cell r="I31">
            <v>0</v>
          </cell>
          <cell r="K31">
            <v>2.7539999999999999E-2</v>
          </cell>
          <cell r="O31">
            <v>1.75</v>
          </cell>
          <cell r="P31">
            <v>1.59</v>
          </cell>
          <cell r="Q31">
            <v>2.48</v>
          </cell>
          <cell r="S31">
            <v>0.6</v>
          </cell>
        </row>
        <row r="32">
          <cell r="E32" t="str">
            <v>20100801KUINE730</v>
          </cell>
          <cell r="F32">
            <v>500</v>
          </cell>
          <cell r="G32">
            <v>3.0329999999999999E-2</v>
          </cell>
          <cell r="H32">
            <v>0</v>
          </cell>
          <cell r="I32">
            <v>0</v>
          </cell>
          <cell r="K32">
            <v>2.7539999999999999E-2</v>
          </cell>
          <cell r="O32">
            <v>1</v>
          </cell>
          <cell r="P32">
            <v>1.59</v>
          </cell>
          <cell r="Q32">
            <v>2.48</v>
          </cell>
          <cell r="S32">
            <v>0.6</v>
          </cell>
        </row>
        <row r="33">
          <cell r="E33" t="str">
            <v>20100801KUCME295</v>
          </cell>
          <cell r="F33">
            <v>3.14</v>
          </cell>
          <cell r="G33">
            <v>7.0000000000000007E-2</v>
          </cell>
          <cell r="H33">
            <v>0</v>
          </cell>
          <cell r="I33">
            <v>0</v>
          </cell>
          <cell r="J33">
            <v>6.8399999999999997E-3</v>
          </cell>
          <cell r="K33">
            <v>2.7539999999999999E-2</v>
          </cell>
        </row>
        <row r="34">
          <cell r="E34" t="str">
            <v>20100801KUCME297</v>
          </cell>
          <cell r="F34">
            <v>3.14</v>
          </cell>
          <cell r="G34">
            <v>7.0000000000000007E-2</v>
          </cell>
          <cell r="H34">
            <v>0</v>
          </cell>
          <cell r="I34">
            <v>0</v>
          </cell>
          <cell r="J34">
            <v>6.8399999999999997E-3</v>
          </cell>
          <cell r="K34">
            <v>2.7539999999999999E-2</v>
          </cell>
        </row>
        <row r="35">
          <cell r="E35" t="str">
            <v>20100801KUCME290</v>
          </cell>
          <cell r="F35">
            <v>0</v>
          </cell>
          <cell r="G35">
            <v>5.4650000000000004E-2</v>
          </cell>
          <cell r="H35">
            <v>0</v>
          </cell>
          <cell r="I35">
            <v>0</v>
          </cell>
          <cell r="J35">
            <v>6.8399999999999997E-3</v>
          </cell>
          <cell r="K35">
            <v>2.7539999999999999E-2</v>
          </cell>
        </row>
        <row r="36">
          <cell r="E36" t="str">
            <v>20100801KUCME291</v>
          </cell>
          <cell r="F36">
            <v>0</v>
          </cell>
          <cell r="G36">
            <v>5.4650000000000004E-2</v>
          </cell>
          <cell r="H36">
            <v>0</v>
          </cell>
          <cell r="I36">
            <v>0</v>
          </cell>
          <cell r="J36">
            <v>6.8399999999999997E-3</v>
          </cell>
          <cell r="K36">
            <v>2.7539999999999999E-2</v>
          </cell>
        </row>
        <row r="37">
          <cell r="E37" t="str">
            <v>20100801KUCME292</v>
          </cell>
          <cell r="F37">
            <v>0</v>
          </cell>
          <cell r="G37">
            <v>5.4650000000000004E-2</v>
          </cell>
          <cell r="H37">
            <v>0</v>
          </cell>
          <cell r="I37">
            <v>0</v>
          </cell>
          <cell r="J37">
            <v>6.8399999999999997E-3</v>
          </cell>
          <cell r="K37">
            <v>2.7539999999999999E-2</v>
          </cell>
        </row>
        <row r="38">
          <cell r="E38" t="str">
            <v>20110701KURSE010</v>
          </cell>
          <cell r="F38">
            <v>8.5</v>
          </cell>
          <cell r="G38">
            <v>6.719E-2</v>
          </cell>
          <cell r="H38">
            <v>0</v>
          </cell>
          <cell r="I38">
            <v>0</v>
          </cell>
          <cell r="J38">
            <v>6.8399999999999997E-3</v>
          </cell>
          <cell r="K38">
            <v>2.6679999999999999E-2</v>
          </cell>
        </row>
        <row r="39">
          <cell r="E39" t="str">
            <v>20110701KURSE020</v>
          </cell>
          <cell r="F39">
            <v>8.5</v>
          </cell>
          <cell r="G39">
            <v>6.719E-2</v>
          </cell>
          <cell r="H39">
            <v>0</v>
          </cell>
          <cell r="I39">
            <v>0</v>
          </cell>
          <cell r="J39">
            <v>6.8399999999999997E-3</v>
          </cell>
          <cell r="K39">
            <v>2.6679999999999999E-2</v>
          </cell>
        </row>
        <row r="40">
          <cell r="E40" t="str">
            <v>20110701KURSE025</v>
          </cell>
          <cell r="F40">
            <v>8.5</v>
          </cell>
          <cell r="G40">
            <v>6.719E-2</v>
          </cell>
          <cell r="H40">
            <v>0</v>
          </cell>
          <cell r="I40">
            <v>0</v>
          </cell>
          <cell r="J40">
            <v>6.8399999999999997E-3</v>
          </cell>
          <cell r="K40">
            <v>2.6679999999999999E-2</v>
          </cell>
        </row>
        <row r="41">
          <cell r="E41" t="str">
            <v>20110701KURSE080</v>
          </cell>
          <cell r="F41">
            <v>8.5</v>
          </cell>
          <cell r="G41">
            <v>6.719E-2</v>
          </cell>
          <cell r="H41">
            <v>0</v>
          </cell>
          <cell r="I41">
            <v>0</v>
          </cell>
          <cell r="J41">
            <v>6.8399999999999997E-3</v>
          </cell>
          <cell r="K41">
            <v>2.6679999999999999E-2</v>
          </cell>
        </row>
        <row r="42">
          <cell r="E42" t="str">
            <v>20110701KURSE715</v>
          </cell>
          <cell r="F42">
            <v>8.5</v>
          </cell>
          <cell r="G42">
            <v>6.719E-2</v>
          </cell>
          <cell r="H42">
            <v>0</v>
          </cell>
          <cell r="I42">
            <v>0</v>
          </cell>
          <cell r="J42">
            <v>6.8399999999999997E-3</v>
          </cell>
          <cell r="K42">
            <v>2.6679999999999999E-2</v>
          </cell>
        </row>
        <row r="43">
          <cell r="E43" t="str">
            <v>20110701KURSE040</v>
          </cell>
          <cell r="F43">
            <v>8.5</v>
          </cell>
          <cell r="G43">
            <v>4.6359999999999998E-2</v>
          </cell>
          <cell r="H43">
            <v>6.7370000000000013E-2</v>
          </cell>
          <cell r="I43">
            <v>0.13047</v>
          </cell>
          <cell r="J43">
            <v>6.8399999999999997E-3</v>
          </cell>
          <cell r="K43">
            <v>2.6679999999999999E-2</v>
          </cell>
        </row>
        <row r="44">
          <cell r="E44" t="str">
            <v>20110701KUCME110</v>
          </cell>
          <cell r="F44">
            <v>17.5</v>
          </cell>
          <cell r="G44">
            <v>7.7100000000000016E-2</v>
          </cell>
          <cell r="H44">
            <v>0</v>
          </cell>
          <cell r="I44">
            <v>0</v>
          </cell>
          <cell r="J44">
            <v>7.9299999999999995E-3</v>
          </cell>
          <cell r="K44">
            <v>2.6679999999999999E-2</v>
          </cell>
        </row>
        <row r="45">
          <cell r="E45" t="str">
            <v>20110701KUCME112</v>
          </cell>
          <cell r="F45">
            <v>17.5</v>
          </cell>
          <cell r="G45">
            <v>7.7100000000000016E-2</v>
          </cell>
          <cell r="H45">
            <v>0</v>
          </cell>
          <cell r="I45">
            <v>0</v>
          </cell>
          <cell r="J45">
            <v>7.9299999999999995E-3</v>
          </cell>
          <cell r="K45">
            <v>2.6679999999999999E-2</v>
          </cell>
        </row>
        <row r="46">
          <cell r="E46" t="str">
            <v>20110701KUCME710</v>
          </cell>
          <cell r="F46">
            <v>17.5</v>
          </cell>
          <cell r="G46">
            <v>7.7100000000000016E-2</v>
          </cell>
          <cell r="H46">
            <v>0</v>
          </cell>
          <cell r="I46">
            <v>0</v>
          </cell>
          <cell r="J46">
            <v>7.9299999999999995E-3</v>
          </cell>
          <cell r="K46">
            <v>2.6679999999999999E-2</v>
          </cell>
        </row>
        <row r="47">
          <cell r="E47" t="str">
            <v>20110701KUCME113</v>
          </cell>
          <cell r="F47">
            <v>32.5</v>
          </cell>
          <cell r="G47">
            <v>7.7100000000000016E-2</v>
          </cell>
          <cell r="H47">
            <v>0</v>
          </cell>
          <cell r="I47">
            <v>0</v>
          </cell>
          <cell r="J47">
            <v>7.9299999999999995E-3</v>
          </cell>
          <cell r="K47">
            <v>2.6679999999999999E-2</v>
          </cell>
        </row>
        <row r="48">
          <cell r="E48" t="str">
            <v>20110701KUCME713</v>
          </cell>
          <cell r="F48">
            <v>32.5</v>
          </cell>
          <cell r="G48">
            <v>7.7100000000000016E-2</v>
          </cell>
          <cell r="H48">
            <v>0</v>
          </cell>
          <cell r="I48">
            <v>0</v>
          </cell>
          <cell r="J48">
            <v>7.9299999999999995E-3</v>
          </cell>
          <cell r="K48">
            <v>2.6679999999999999E-2</v>
          </cell>
        </row>
        <row r="49">
          <cell r="E49" t="str">
            <v>20110701KUCME220</v>
          </cell>
          <cell r="F49">
            <v>17.5</v>
          </cell>
          <cell r="G49">
            <v>6.6200000000000009E-2</v>
          </cell>
          <cell r="H49">
            <v>0</v>
          </cell>
          <cell r="I49">
            <v>0</v>
          </cell>
          <cell r="J49">
            <v>7.9299999999999995E-3</v>
          </cell>
          <cell r="K49">
            <v>2.6679999999999999E-2</v>
          </cell>
        </row>
        <row r="50">
          <cell r="E50" t="str">
            <v>20110701KUCME221</v>
          </cell>
          <cell r="F50">
            <v>17.5</v>
          </cell>
          <cell r="G50">
            <v>6.6200000000000009E-2</v>
          </cell>
          <cell r="H50">
            <v>0</v>
          </cell>
          <cell r="I50">
            <v>0</v>
          </cell>
          <cell r="J50">
            <v>7.9299999999999995E-3</v>
          </cell>
          <cell r="K50">
            <v>2.6679999999999999E-2</v>
          </cell>
        </row>
        <row r="51">
          <cell r="E51" t="str">
            <v>20110701KUCME223</v>
          </cell>
          <cell r="F51">
            <v>32.5</v>
          </cell>
          <cell r="G51">
            <v>6.6200000000000009E-2</v>
          </cell>
          <cell r="H51">
            <v>0</v>
          </cell>
          <cell r="I51">
            <v>0</v>
          </cell>
          <cell r="J51">
            <v>7.9299999999999995E-3</v>
          </cell>
          <cell r="K51">
            <v>2.6679999999999999E-2</v>
          </cell>
        </row>
        <row r="52">
          <cell r="E52" t="str">
            <v>20110701KUCME224</v>
          </cell>
          <cell r="F52">
            <v>32.5</v>
          </cell>
          <cell r="G52">
            <v>6.6200000000000009E-2</v>
          </cell>
          <cell r="H52">
            <v>0</v>
          </cell>
          <cell r="I52">
            <v>0</v>
          </cell>
          <cell r="J52">
            <v>7.9299999999999995E-3</v>
          </cell>
          <cell r="K52">
            <v>2.6679999999999999E-2</v>
          </cell>
        </row>
        <row r="53">
          <cell r="E53" t="str">
            <v>20110701KUCME225</v>
          </cell>
          <cell r="F53">
            <v>32.5</v>
          </cell>
          <cell r="G53">
            <v>6.6200000000000009E-2</v>
          </cell>
          <cell r="H53">
            <v>0</v>
          </cell>
          <cell r="I53">
            <v>0</v>
          </cell>
          <cell r="J53">
            <v>7.9299999999999995E-3</v>
          </cell>
          <cell r="K53">
            <v>2.6679999999999999E-2</v>
          </cell>
        </row>
        <row r="54">
          <cell r="E54" t="str">
            <v>20110701KUCME226</v>
          </cell>
          <cell r="F54">
            <v>17.5</v>
          </cell>
          <cell r="G54">
            <v>6.6200000000000009E-2</v>
          </cell>
          <cell r="H54">
            <v>0</v>
          </cell>
          <cell r="I54">
            <v>0</v>
          </cell>
          <cell r="J54">
            <v>7.9299999999999995E-3</v>
          </cell>
          <cell r="K54">
            <v>2.6679999999999999E-2</v>
          </cell>
        </row>
        <row r="55">
          <cell r="E55" t="str">
            <v>20110701KUCME227</v>
          </cell>
          <cell r="F55">
            <v>32.5</v>
          </cell>
          <cell r="G55">
            <v>6.6200000000000009E-2</v>
          </cell>
          <cell r="H55">
            <v>0</v>
          </cell>
          <cell r="I55">
            <v>0</v>
          </cell>
          <cell r="J55">
            <v>7.9299999999999995E-3</v>
          </cell>
          <cell r="K55">
            <v>2.6679999999999999E-2</v>
          </cell>
        </row>
        <row r="56">
          <cell r="E56" t="str">
            <v>20110701KUCIE561</v>
          </cell>
          <cell r="F56">
            <v>90</v>
          </cell>
          <cell r="G56">
            <v>3.3000000000000002E-2</v>
          </cell>
          <cell r="H56">
            <v>0</v>
          </cell>
          <cell r="I56">
            <v>0</v>
          </cell>
          <cell r="K56">
            <v>2.6679999999999999E-2</v>
          </cell>
          <cell r="P56">
            <v>10.33</v>
          </cell>
          <cell r="Q56">
            <v>12.6</v>
          </cell>
          <cell r="S56">
            <v>2.2799999999999998</v>
          </cell>
        </row>
        <row r="57">
          <cell r="E57" t="str">
            <v>20110701KUCIE566</v>
          </cell>
          <cell r="F57">
            <v>90</v>
          </cell>
          <cell r="G57">
            <v>3.3000000000000002E-2</v>
          </cell>
          <cell r="H57">
            <v>0</v>
          </cell>
          <cell r="I57">
            <v>0</v>
          </cell>
          <cell r="K57">
            <v>2.6679999999999999E-2</v>
          </cell>
          <cell r="P57">
            <v>10.33</v>
          </cell>
          <cell r="Q57">
            <v>12.6</v>
          </cell>
          <cell r="S57">
            <v>2.2799999999999998</v>
          </cell>
        </row>
        <row r="58">
          <cell r="E58" t="str">
            <v>20110701KUCIE562</v>
          </cell>
          <cell r="F58">
            <v>90</v>
          </cell>
          <cell r="G58">
            <v>3.3000000000000002E-2</v>
          </cell>
          <cell r="H58">
            <v>0</v>
          </cell>
          <cell r="I58">
            <v>0</v>
          </cell>
          <cell r="K58">
            <v>2.6679999999999999E-2</v>
          </cell>
          <cell r="P58">
            <v>10.53</v>
          </cell>
          <cell r="Q58">
            <v>12.78</v>
          </cell>
          <cell r="S58">
            <v>2.2799999999999998</v>
          </cell>
        </row>
        <row r="59">
          <cell r="E59" t="str">
            <v>20110701KUCIE568</v>
          </cell>
          <cell r="F59">
            <v>90</v>
          </cell>
          <cell r="G59">
            <v>3.3000000000000002E-2</v>
          </cell>
          <cell r="H59">
            <v>0</v>
          </cell>
          <cell r="I59">
            <v>0</v>
          </cell>
          <cell r="K59">
            <v>2.6679999999999999E-2</v>
          </cell>
          <cell r="P59">
            <v>10.53</v>
          </cell>
          <cell r="Q59">
            <v>12.78</v>
          </cell>
          <cell r="S59">
            <v>2.2799999999999998</v>
          </cell>
        </row>
        <row r="60">
          <cell r="E60" t="str">
            <v>20110701KUCIE717</v>
          </cell>
          <cell r="F60">
            <v>90</v>
          </cell>
          <cell r="G60">
            <v>3.3000000000000002E-2</v>
          </cell>
          <cell r="H60">
            <v>0</v>
          </cell>
          <cell r="I60">
            <v>0</v>
          </cell>
          <cell r="K60">
            <v>2.6679999999999999E-2</v>
          </cell>
          <cell r="P60">
            <v>10.53</v>
          </cell>
          <cell r="Q60">
            <v>12.78</v>
          </cell>
          <cell r="S60">
            <v>2.2799999999999998</v>
          </cell>
        </row>
        <row r="61">
          <cell r="E61" t="str">
            <v>20110701KUCIE563</v>
          </cell>
          <cell r="F61">
            <v>300</v>
          </cell>
          <cell r="G61">
            <v>3.5220000000000001E-2</v>
          </cell>
          <cell r="H61">
            <v>0</v>
          </cell>
          <cell r="I61">
            <v>0</v>
          </cell>
          <cell r="K61">
            <v>2.6679999999999999E-2</v>
          </cell>
          <cell r="O61">
            <v>1.7</v>
          </cell>
          <cell r="P61">
            <v>2.73</v>
          </cell>
          <cell r="Q61">
            <v>4.09</v>
          </cell>
          <cell r="S61">
            <v>1.21</v>
          </cell>
        </row>
        <row r="62">
          <cell r="E62" t="str">
            <v>20110701KUCIE571</v>
          </cell>
          <cell r="F62">
            <v>300</v>
          </cell>
          <cell r="G62">
            <v>3.5220000000000001E-2</v>
          </cell>
          <cell r="H62">
            <v>0</v>
          </cell>
          <cell r="I62">
            <v>0</v>
          </cell>
          <cell r="K62">
            <v>2.6679999999999999E-2</v>
          </cell>
          <cell r="O62">
            <v>1.7</v>
          </cell>
          <cell r="P62">
            <v>2.73</v>
          </cell>
          <cell r="Q62">
            <v>4.09</v>
          </cell>
          <cell r="S62">
            <v>1.21</v>
          </cell>
        </row>
        <row r="63">
          <cell r="E63" t="str">
            <v>20110701KUCIE572</v>
          </cell>
          <cell r="F63">
            <v>200</v>
          </cell>
          <cell r="G63">
            <v>3.49E-2</v>
          </cell>
          <cell r="H63">
            <v>0</v>
          </cell>
          <cell r="I63">
            <v>0</v>
          </cell>
          <cell r="K63">
            <v>2.6679999999999999E-2</v>
          </cell>
          <cell r="O63">
            <v>3.53</v>
          </cell>
          <cell r="P63">
            <v>2.91</v>
          </cell>
          <cell r="Q63">
            <v>4.37</v>
          </cell>
          <cell r="S63">
            <v>1.52</v>
          </cell>
        </row>
        <row r="64">
          <cell r="E64" t="str">
            <v>20110701KUCIE550</v>
          </cell>
          <cell r="F64">
            <v>500</v>
          </cell>
          <cell r="G64">
            <v>3.4140000000000004E-2</v>
          </cell>
          <cell r="H64">
            <v>0</v>
          </cell>
          <cell r="I64">
            <v>0</v>
          </cell>
          <cell r="K64">
            <v>2.6679999999999999E-2</v>
          </cell>
          <cell r="O64">
            <v>1.04</v>
          </cell>
          <cell r="P64">
            <v>2.4900000000000002</v>
          </cell>
          <cell r="Q64">
            <v>3.73</v>
          </cell>
          <cell r="S64">
            <v>0.9</v>
          </cell>
        </row>
        <row r="65">
          <cell r="E65" t="str">
            <v>20110701KUINE731</v>
          </cell>
          <cell r="F65">
            <v>500</v>
          </cell>
          <cell r="G65">
            <v>3.4189999999999998E-2</v>
          </cell>
          <cell r="H65">
            <v>0</v>
          </cell>
          <cell r="I65">
            <v>0</v>
          </cell>
          <cell r="K65">
            <v>2.6679999999999999E-2</v>
          </cell>
          <cell r="O65">
            <v>1.75</v>
          </cell>
          <cell r="P65">
            <v>1.59</v>
          </cell>
          <cell r="Q65">
            <v>2.48</v>
          </cell>
          <cell r="S65">
            <v>0.6</v>
          </cell>
        </row>
        <row r="66">
          <cell r="E66" t="str">
            <v>20110701KUINE730</v>
          </cell>
          <cell r="F66">
            <v>500</v>
          </cell>
          <cell r="G66">
            <v>2.947E-2</v>
          </cell>
          <cell r="H66">
            <v>0</v>
          </cell>
          <cell r="I66">
            <v>0</v>
          </cell>
          <cell r="K66">
            <v>2.6679999999999999E-2</v>
          </cell>
          <cell r="O66">
            <v>1</v>
          </cell>
          <cell r="P66">
            <v>1.59</v>
          </cell>
          <cell r="Q66">
            <v>2.48</v>
          </cell>
          <cell r="S66">
            <v>0.6</v>
          </cell>
        </row>
        <row r="67">
          <cell r="E67" t="str">
            <v>20110701KUCME295</v>
          </cell>
          <cell r="F67">
            <v>3.14</v>
          </cell>
          <cell r="G67">
            <v>6.9140000000000007E-2</v>
          </cell>
          <cell r="H67">
            <v>0</v>
          </cell>
          <cell r="I67">
            <v>0</v>
          </cell>
          <cell r="J67">
            <v>6.8399999999999997E-3</v>
          </cell>
          <cell r="K67">
            <v>2.6679999999999999E-2</v>
          </cell>
        </row>
        <row r="68">
          <cell r="E68" t="str">
            <v>20110701KUCME297</v>
          </cell>
          <cell r="F68">
            <v>3.14</v>
          </cell>
          <cell r="G68">
            <v>6.9140000000000007E-2</v>
          </cell>
          <cell r="H68">
            <v>0</v>
          </cell>
          <cell r="I68">
            <v>0</v>
          </cell>
          <cell r="J68">
            <v>6.8399999999999997E-3</v>
          </cell>
          <cell r="K68">
            <v>2.6679999999999999E-2</v>
          </cell>
        </row>
        <row r="69">
          <cell r="E69" t="str">
            <v>20110701KUCME290</v>
          </cell>
          <cell r="F69">
            <v>0</v>
          </cell>
          <cell r="G69">
            <v>5.3790000000000004E-2</v>
          </cell>
          <cell r="H69">
            <v>0</v>
          </cell>
          <cell r="I69">
            <v>0</v>
          </cell>
          <cell r="J69">
            <v>6.8399999999999997E-3</v>
          </cell>
          <cell r="K69">
            <v>2.6679999999999999E-2</v>
          </cell>
        </row>
        <row r="70">
          <cell r="E70" t="str">
            <v>20110701KUCME291</v>
          </cell>
          <cell r="F70">
            <v>0</v>
          </cell>
          <cell r="G70">
            <v>5.3790000000000004E-2</v>
          </cell>
          <cell r="H70">
            <v>0</v>
          </cell>
          <cell r="I70">
            <v>0</v>
          </cell>
          <cell r="J70">
            <v>6.8399999999999997E-3</v>
          </cell>
          <cell r="K70">
            <v>2.6679999999999999E-2</v>
          </cell>
        </row>
        <row r="71">
          <cell r="E71" t="str">
            <v>20110701KUCME292</v>
          </cell>
          <cell r="F71">
            <v>0</v>
          </cell>
          <cell r="G71">
            <v>5.3790000000000004E-2</v>
          </cell>
          <cell r="H71">
            <v>0</v>
          </cell>
          <cell r="I71">
            <v>0</v>
          </cell>
          <cell r="J71">
            <v>6.8399999999999997E-3</v>
          </cell>
          <cell r="K71">
            <v>2.6679999999999999E-2</v>
          </cell>
        </row>
        <row r="72">
          <cell r="E72" t="str">
            <v>20120301KURSE010</v>
          </cell>
          <cell r="F72">
            <v>8.5</v>
          </cell>
          <cell r="G72">
            <v>6.9870000000000002E-2</v>
          </cell>
          <cell r="H72">
            <v>0</v>
          </cell>
          <cell r="I72">
            <v>0</v>
          </cell>
          <cell r="J72">
            <v>9.5200000000000007E-3</v>
          </cell>
          <cell r="K72">
            <v>2.6679999999999999E-2</v>
          </cell>
        </row>
        <row r="73">
          <cell r="E73" t="str">
            <v>20120301KURSE020</v>
          </cell>
          <cell r="F73">
            <v>8.5</v>
          </cell>
          <cell r="G73">
            <v>6.9870000000000002E-2</v>
          </cell>
          <cell r="H73">
            <v>0</v>
          </cell>
          <cell r="I73">
            <v>0</v>
          </cell>
          <cell r="J73">
            <v>9.5200000000000007E-3</v>
          </cell>
          <cell r="K73">
            <v>2.6679999999999999E-2</v>
          </cell>
        </row>
        <row r="74">
          <cell r="E74" t="str">
            <v>20120301KURSE025</v>
          </cell>
          <cell r="F74">
            <v>8.5</v>
          </cell>
          <cell r="G74">
            <v>6.9870000000000002E-2</v>
          </cell>
          <cell r="H74">
            <v>0</v>
          </cell>
          <cell r="I74">
            <v>0</v>
          </cell>
          <cell r="J74">
            <v>9.5200000000000007E-3</v>
          </cell>
          <cell r="K74">
            <v>2.6679999999999999E-2</v>
          </cell>
        </row>
        <row r="75">
          <cell r="E75" t="str">
            <v>20120301KURSE080</v>
          </cell>
          <cell r="F75">
            <v>8.5</v>
          </cell>
          <cell r="G75">
            <v>6.9870000000000002E-2</v>
          </cell>
          <cell r="H75">
            <v>0</v>
          </cell>
          <cell r="I75">
            <v>0</v>
          </cell>
          <cell r="J75">
            <v>9.5200000000000007E-3</v>
          </cell>
          <cell r="K75">
            <v>2.6679999999999999E-2</v>
          </cell>
        </row>
        <row r="76">
          <cell r="E76" t="str">
            <v>20120301KURSE715</v>
          </cell>
          <cell r="F76">
            <v>8.5</v>
          </cell>
          <cell r="G76">
            <v>6.9870000000000002E-2</v>
          </cell>
          <cell r="H76">
            <v>0</v>
          </cell>
          <cell r="I76">
            <v>0</v>
          </cell>
          <cell r="J76">
            <v>9.5200000000000007E-3</v>
          </cell>
          <cell r="K76">
            <v>2.6679999999999999E-2</v>
          </cell>
        </row>
        <row r="77">
          <cell r="E77" t="str">
            <v>20120301KURSE040</v>
          </cell>
          <cell r="F77">
            <v>8.5</v>
          </cell>
          <cell r="G77">
            <v>4.904E-2</v>
          </cell>
          <cell r="H77">
            <v>7.0050000000000001E-2</v>
          </cell>
          <cell r="I77">
            <v>0.13314999999999999</v>
          </cell>
          <cell r="J77">
            <v>9.5200000000000007E-3</v>
          </cell>
          <cell r="K77">
            <v>2.6679999999999999E-2</v>
          </cell>
        </row>
        <row r="78">
          <cell r="E78" t="str">
            <v>20120301KUCME110</v>
          </cell>
          <cell r="F78">
            <v>17.5</v>
          </cell>
          <cell r="G78">
            <v>8.3320000000000005E-2</v>
          </cell>
          <cell r="H78">
            <v>0</v>
          </cell>
          <cell r="I78">
            <v>0</v>
          </cell>
          <cell r="J78">
            <v>1.4149999999999999E-2</v>
          </cell>
          <cell r="K78">
            <v>2.6679999999999999E-2</v>
          </cell>
        </row>
        <row r="79">
          <cell r="E79" t="str">
            <v>20120301KUCME112</v>
          </cell>
          <cell r="F79">
            <v>17.5</v>
          </cell>
          <cell r="G79">
            <v>8.3320000000000005E-2</v>
          </cell>
          <cell r="H79">
            <v>0</v>
          </cell>
          <cell r="I79">
            <v>0</v>
          </cell>
          <cell r="J79">
            <v>1.4149999999999999E-2</v>
          </cell>
          <cell r="K79">
            <v>2.6679999999999999E-2</v>
          </cell>
        </row>
        <row r="80">
          <cell r="E80" t="str">
            <v>20120301KUCME710</v>
          </cell>
          <cell r="F80">
            <v>17.5</v>
          </cell>
          <cell r="G80">
            <v>8.3320000000000005E-2</v>
          </cell>
          <cell r="H80">
            <v>0</v>
          </cell>
          <cell r="I80">
            <v>0</v>
          </cell>
          <cell r="J80">
            <v>1.4149999999999999E-2</v>
          </cell>
          <cell r="K80">
            <v>2.6679999999999999E-2</v>
          </cell>
        </row>
        <row r="81">
          <cell r="E81" t="str">
            <v>20120301KUCME113</v>
          </cell>
          <cell r="F81">
            <v>32.5</v>
          </cell>
          <cell r="G81">
            <v>8.3320000000000005E-2</v>
          </cell>
          <cell r="H81">
            <v>0</v>
          </cell>
          <cell r="I81">
            <v>0</v>
          </cell>
          <cell r="J81">
            <v>1.4149999999999999E-2</v>
          </cell>
          <cell r="K81">
            <v>2.6679999999999999E-2</v>
          </cell>
        </row>
        <row r="82">
          <cell r="E82" t="str">
            <v>20120301KUCME713</v>
          </cell>
          <cell r="F82">
            <v>32.5</v>
          </cell>
          <cell r="G82">
            <v>8.3320000000000005E-2</v>
          </cell>
          <cell r="H82">
            <v>0</v>
          </cell>
          <cell r="I82">
            <v>0</v>
          </cell>
          <cell r="J82">
            <v>1.4149999999999999E-2</v>
          </cell>
          <cell r="K82">
            <v>2.6679999999999999E-2</v>
          </cell>
        </row>
        <row r="83">
          <cell r="E83" t="str">
            <v>20120301KUCME220</v>
          </cell>
          <cell r="F83">
            <v>17.5</v>
          </cell>
          <cell r="G83">
            <v>6.6699999999999995E-2</v>
          </cell>
          <cell r="H83">
            <v>0</v>
          </cell>
          <cell r="I83">
            <v>0</v>
          </cell>
          <cell r="J83">
            <v>8.43E-3</v>
          </cell>
          <cell r="K83">
            <v>2.6679999999999999E-2</v>
          </cell>
        </row>
        <row r="84">
          <cell r="E84" t="str">
            <v>20120301KUCME221</v>
          </cell>
          <cell r="F84">
            <v>17.5</v>
          </cell>
          <cell r="G84">
            <v>6.6699999999999995E-2</v>
          </cell>
          <cell r="H84">
            <v>0</v>
          </cell>
          <cell r="I84">
            <v>0</v>
          </cell>
          <cell r="J84">
            <v>8.43E-3</v>
          </cell>
          <cell r="K84">
            <v>2.6679999999999999E-2</v>
          </cell>
        </row>
        <row r="85">
          <cell r="E85" t="str">
            <v>20120301KUCME223</v>
          </cell>
          <cell r="F85">
            <v>32.5</v>
          </cell>
          <cell r="G85">
            <v>6.6699999999999995E-2</v>
          </cell>
          <cell r="H85">
            <v>0</v>
          </cell>
          <cell r="I85">
            <v>0</v>
          </cell>
          <cell r="J85">
            <v>8.43E-3</v>
          </cell>
          <cell r="K85">
            <v>2.6679999999999999E-2</v>
          </cell>
        </row>
        <row r="86">
          <cell r="E86" t="str">
            <v>20120301KUCME224</v>
          </cell>
          <cell r="F86">
            <v>32.5</v>
          </cell>
          <cell r="G86">
            <v>6.6699999999999995E-2</v>
          </cell>
          <cell r="H86">
            <v>0</v>
          </cell>
          <cell r="I86">
            <v>0</v>
          </cell>
          <cell r="J86">
            <v>8.43E-3</v>
          </cell>
          <cell r="K86">
            <v>2.6679999999999999E-2</v>
          </cell>
        </row>
        <row r="87">
          <cell r="E87" t="str">
            <v>20120301KUCME225</v>
          </cell>
          <cell r="F87">
            <v>32.5</v>
          </cell>
          <cell r="G87">
            <v>6.6699999999999995E-2</v>
          </cell>
          <cell r="H87">
            <v>0</v>
          </cell>
          <cell r="I87">
            <v>0</v>
          </cell>
          <cell r="J87">
            <v>8.43E-3</v>
          </cell>
          <cell r="K87">
            <v>2.6679999999999999E-2</v>
          </cell>
        </row>
        <row r="88">
          <cell r="E88" t="str">
            <v>20120301KUCME226</v>
          </cell>
          <cell r="F88">
            <v>17.5</v>
          </cell>
          <cell r="G88">
            <v>6.6699999999999995E-2</v>
          </cell>
          <cell r="H88">
            <v>0</v>
          </cell>
          <cell r="I88">
            <v>0</v>
          </cell>
          <cell r="J88">
            <v>8.43E-3</v>
          </cell>
          <cell r="K88">
            <v>2.6679999999999999E-2</v>
          </cell>
        </row>
        <row r="89">
          <cell r="E89" t="str">
            <v>20120301KUCME227</v>
          </cell>
          <cell r="F89">
            <v>32.5</v>
          </cell>
          <cell r="G89">
            <v>6.6699999999999995E-2</v>
          </cell>
          <cell r="H89">
            <v>0</v>
          </cell>
          <cell r="I89">
            <v>0</v>
          </cell>
          <cell r="J89">
            <v>8.43E-3</v>
          </cell>
          <cell r="K89">
            <v>2.6679999999999999E-2</v>
          </cell>
        </row>
        <row r="90">
          <cell r="E90" t="str">
            <v>20120301KUCIE561</v>
          </cell>
          <cell r="F90">
            <v>90</v>
          </cell>
          <cell r="G90">
            <v>3.3000000000000002E-2</v>
          </cell>
          <cell r="H90">
            <v>0</v>
          </cell>
          <cell r="I90">
            <v>0</v>
          </cell>
          <cell r="K90">
            <v>2.6679999999999999E-2</v>
          </cell>
          <cell r="P90">
            <v>11.45</v>
          </cell>
          <cell r="Q90">
            <v>13.72</v>
          </cell>
          <cell r="S90">
            <v>3.4</v>
          </cell>
        </row>
        <row r="91">
          <cell r="E91" t="str">
            <v>20120301KUCIE566</v>
          </cell>
          <cell r="F91">
            <v>90</v>
          </cell>
          <cell r="G91">
            <v>3.3000000000000002E-2</v>
          </cell>
          <cell r="H91">
            <v>0</v>
          </cell>
          <cell r="I91">
            <v>0</v>
          </cell>
          <cell r="K91">
            <v>2.6679999999999999E-2</v>
          </cell>
          <cell r="P91">
            <v>11.45</v>
          </cell>
          <cell r="Q91">
            <v>13.72</v>
          </cell>
          <cell r="S91">
            <v>3.4</v>
          </cell>
        </row>
        <row r="92">
          <cell r="E92" t="str">
            <v>20120301KUCIE562</v>
          </cell>
          <cell r="F92">
            <v>90</v>
          </cell>
          <cell r="G92">
            <v>3.3000000000000002E-2</v>
          </cell>
          <cell r="H92">
            <v>0</v>
          </cell>
          <cell r="I92">
            <v>0</v>
          </cell>
          <cell r="K92">
            <v>2.6679999999999999E-2</v>
          </cell>
          <cell r="P92">
            <v>11.65</v>
          </cell>
          <cell r="Q92">
            <v>13.9</v>
          </cell>
          <cell r="S92">
            <v>3.4</v>
          </cell>
        </row>
        <row r="93">
          <cell r="E93" t="str">
            <v>20120301KUCIE568</v>
          </cell>
          <cell r="F93">
            <v>90</v>
          </cell>
          <cell r="G93">
            <v>3.3000000000000002E-2</v>
          </cell>
          <cell r="H93">
            <v>0</v>
          </cell>
          <cell r="I93">
            <v>0</v>
          </cell>
          <cell r="K93">
            <v>2.6679999999999999E-2</v>
          </cell>
          <cell r="P93">
            <v>11.65</v>
          </cell>
          <cell r="Q93">
            <v>13.9</v>
          </cell>
          <cell r="S93">
            <v>3.4</v>
          </cell>
        </row>
        <row r="94">
          <cell r="E94" t="str">
            <v>20120301KUCIE717</v>
          </cell>
          <cell r="F94">
            <v>90</v>
          </cell>
          <cell r="G94">
            <v>3.3000000000000002E-2</v>
          </cell>
          <cell r="H94">
            <v>0</v>
          </cell>
          <cell r="I94">
            <v>0</v>
          </cell>
          <cell r="K94">
            <v>2.6679999999999999E-2</v>
          </cell>
          <cell r="P94">
            <v>11.65</v>
          </cell>
          <cell r="Q94">
            <v>13.9</v>
          </cell>
          <cell r="S94">
            <v>3.4</v>
          </cell>
        </row>
        <row r="95">
          <cell r="E95" t="str">
            <v>20120301KUCIE563</v>
          </cell>
          <cell r="F95">
            <v>300</v>
          </cell>
          <cell r="G95">
            <v>3.5220000000000001E-2</v>
          </cell>
          <cell r="H95">
            <v>0</v>
          </cell>
          <cell r="I95">
            <v>0</v>
          </cell>
          <cell r="K95">
            <v>2.6679999999999999E-2</v>
          </cell>
          <cell r="O95">
            <v>1.28</v>
          </cell>
          <cell r="P95">
            <v>2.31</v>
          </cell>
          <cell r="Q95">
            <v>3.67</v>
          </cell>
          <cell r="S95">
            <v>0.79</v>
          </cell>
        </row>
        <row r="96">
          <cell r="E96" t="str">
            <v>20120301KUCIE571</v>
          </cell>
          <cell r="F96">
            <v>300</v>
          </cell>
          <cell r="G96">
            <v>3.5220000000000001E-2</v>
          </cell>
          <cell r="H96">
            <v>0</v>
          </cell>
          <cell r="I96">
            <v>0</v>
          </cell>
          <cell r="K96">
            <v>2.6679999999999999E-2</v>
          </cell>
          <cell r="O96">
            <v>1.28</v>
          </cell>
          <cell r="P96">
            <v>2.31</v>
          </cell>
          <cell r="Q96">
            <v>3.67</v>
          </cell>
          <cell r="S96">
            <v>0.79</v>
          </cell>
        </row>
        <row r="97">
          <cell r="E97" t="str">
            <v>20120301KUCIE572</v>
          </cell>
          <cell r="F97">
            <v>200</v>
          </cell>
          <cell r="G97">
            <v>3.49E-2</v>
          </cell>
          <cell r="H97">
            <v>0</v>
          </cell>
          <cell r="I97">
            <v>0</v>
          </cell>
          <cell r="K97">
            <v>2.6679999999999999E-2</v>
          </cell>
          <cell r="O97">
            <v>3.05</v>
          </cell>
          <cell r="P97">
            <v>2.4300000000000002</v>
          </cell>
          <cell r="Q97">
            <v>3.89</v>
          </cell>
          <cell r="S97">
            <v>1.04</v>
          </cell>
        </row>
        <row r="98">
          <cell r="E98" t="str">
            <v>20120301KUCIE550</v>
          </cell>
          <cell r="F98">
            <v>500</v>
          </cell>
          <cell r="G98">
            <v>3.4140000000000004E-2</v>
          </cell>
          <cell r="H98">
            <v>0</v>
          </cell>
          <cell r="I98">
            <v>0</v>
          </cell>
          <cell r="K98">
            <v>2.6679999999999999E-2</v>
          </cell>
          <cell r="O98">
            <v>0.85</v>
          </cell>
          <cell r="P98">
            <v>2.2999999999999998</v>
          </cell>
          <cell r="Q98">
            <v>3.54</v>
          </cell>
          <cell r="S98">
            <v>0.71</v>
          </cell>
        </row>
        <row r="99">
          <cell r="E99" t="str">
            <v>20120301KUINE731</v>
          </cell>
          <cell r="F99">
            <v>500</v>
          </cell>
          <cell r="G99">
            <v>3.4189999999999998E-2</v>
          </cell>
          <cell r="H99">
            <v>0</v>
          </cell>
          <cell r="I99">
            <v>0</v>
          </cell>
          <cell r="K99">
            <v>2.6679999999999999E-2</v>
          </cell>
          <cell r="O99">
            <v>1.57</v>
          </cell>
          <cell r="P99">
            <v>1.41</v>
          </cell>
          <cell r="Q99">
            <v>2.2999999999999998</v>
          </cell>
          <cell r="S99">
            <v>0.42</v>
          </cell>
        </row>
        <row r="100">
          <cell r="E100" t="str">
            <v>20120301KUINE730</v>
          </cell>
          <cell r="F100">
            <v>500</v>
          </cell>
          <cell r="G100">
            <v>2.947E-2</v>
          </cell>
          <cell r="H100">
            <v>0</v>
          </cell>
          <cell r="I100">
            <v>0</v>
          </cell>
          <cell r="K100">
            <v>2.6679999999999999E-2</v>
          </cell>
          <cell r="O100">
            <v>0.82</v>
          </cell>
          <cell r="P100">
            <v>1.41</v>
          </cell>
          <cell r="Q100">
            <v>2.2999999999999998</v>
          </cell>
          <cell r="S100">
            <v>0.42</v>
          </cell>
        </row>
        <row r="101">
          <cell r="E101" t="str">
            <v>20120301KUCME295</v>
          </cell>
          <cell r="F101">
            <v>3.14</v>
          </cell>
          <cell r="G101">
            <v>7.1819999999999995E-2</v>
          </cell>
          <cell r="H101">
            <v>0</v>
          </cell>
          <cell r="I101">
            <v>0</v>
          </cell>
          <cell r="J101">
            <v>9.5200000000000007E-3</v>
          </cell>
          <cell r="K101">
            <v>2.6679999999999999E-2</v>
          </cell>
        </row>
        <row r="102">
          <cell r="E102" t="str">
            <v>20120301KUCME297</v>
          </cell>
          <cell r="F102">
            <v>3.14</v>
          </cell>
          <cell r="G102">
            <v>7.1819999999999995E-2</v>
          </cell>
          <cell r="H102">
            <v>0</v>
          </cell>
          <cell r="I102">
            <v>0</v>
          </cell>
          <cell r="J102">
            <v>9.5200000000000007E-3</v>
          </cell>
          <cell r="K102">
            <v>2.6679999999999999E-2</v>
          </cell>
        </row>
        <row r="103">
          <cell r="E103" t="str">
            <v>20120301KUCME290</v>
          </cell>
          <cell r="F103">
            <v>0</v>
          </cell>
          <cell r="G103">
            <v>5.6469999999999999E-2</v>
          </cell>
          <cell r="H103">
            <v>0</v>
          </cell>
          <cell r="I103">
            <v>0</v>
          </cell>
          <cell r="J103">
            <v>9.5200000000000007E-3</v>
          </cell>
          <cell r="K103">
            <v>2.6679999999999999E-2</v>
          </cell>
        </row>
        <row r="104">
          <cell r="E104" t="str">
            <v>20120301KUCME291</v>
          </cell>
          <cell r="F104">
            <v>0</v>
          </cell>
          <cell r="G104">
            <v>5.6469999999999999E-2</v>
          </cell>
          <cell r="H104">
            <v>0</v>
          </cell>
          <cell r="I104">
            <v>0</v>
          </cell>
          <cell r="J104">
            <v>9.5200000000000007E-3</v>
          </cell>
          <cell r="K104">
            <v>2.6679999999999999E-2</v>
          </cell>
        </row>
        <row r="105">
          <cell r="E105" t="str">
            <v>20120301KUCME292</v>
          </cell>
          <cell r="F105">
            <v>0</v>
          </cell>
          <cell r="G105">
            <v>5.6469999999999999E-2</v>
          </cell>
          <cell r="H105">
            <v>0</v>
          </cell>
          <cell r="I105">
            <v>0</v>
          </cell>
          <cell r="J105">
            <v>9.5200000000000007E-3</v>
          </cell>
          <cell r="K105">
            <v>2.6679999999999999E-2</v>
          </cell>
        </row>
        <row r="106">
          <cell r="E106" t="str">
            <v>20130101KURSE010</v>
          </cell>
          <cell r="F106">
            <v>10.75</v>
          </cell>
          <cell r="G106">
            <v>7.2349999999999998E-2</v>
          </cell>
          <cell r="H106">
            <v>0</v>
          </cell>
          <cell r="I106">
            <v>0</v>
          </cell>
          <cell r="J106">
            <v>2.9999999999999997E-4</v>
          </cell>
          <cell r="K106">
            <v>2.6679999999999999E-2</v>
          </cell>
        </row>
        <row r="107">
          <cell r="E107" t="str">
            <v>20130101KURSE020</v>
          </cell>
          <cell r="F107">
            <v>10.75</v>
          </cell>
          <cell r="G107">
            <v>7.2349999999999998E-2</v>
          </cell>
          <cell r="H107">
            <v>0</v>
          </cell>
          <cell r="I107">
            <v>0</v>
          </cell>
          <cell r="J107">
            <v>2.9999999999999997E-4</v>
          </cell>
          <cell r="K107">
            <v>2.6679999999999999E-2</v>
          </cell>
        </row>
        <row r="108">
          <cell r="E108" t="str">
            <v>20130101KURSE025</v>
          </cell>
          <cell r="F108">
            <v>10.75</v>
          </cell>
          <cell r="G108">
            <v>7.2349999999999998E-2</v>
          </cell>
          <cell r="H108">
            <v>0</v>
          </cell>
          <cell r="I108">
            <v>0</v>
          </cell>
          <cell r="J108">
            <v>2.9999999999999997E-4</v>
          </cell>
          <cell r="K108">
            <v>2.6679999999999999E-2</v>
          </cell>
        </row>
        <row r="109">
          <cell r="E109" t="str">
            <v>20130101KURSE080</v>
          </cell>
          <cell r="F109">
            <v>10.75</v>
          </cell>
          <cell r="G109">
            <v>7.2349999999999998E-2</v>
          </cell>
          <cell r="H109">
            <v>0</v>
          </cell>
          <cell r="I109">
            <v>0</v>
          </cell>
          <cell r="J109">
            <v>2.9999999999999997E-4</v>
          </cell>
          <cell r="K109">
            <v>2.6679999999999999E-2</v>
          </cell>
        </row>
        <row r="110">
          <cell r="E110" t="str">
            <v>20130101KURSE715</v>
          </cell>
          <cell r="F110">
            <v>10.75</v>
          </cell>
          <cell r="G110">
            <v>7.2349999999999998E-2</v>
          </cell>
          <cell r="H110">
            <v>0</v>
          </cell>
          <cell r="I110">
            <v>0</v>
          </cell>
          <cell r="J110">
            <v>2.9999999999999997E-4</v>
          </cell>
          <cell r="K110">
            <v>2.6679999999999999E-2</v>
          </cell>
        </row>
        <row r="111">
          <cell r="E111" t="str">
            <v>20130101KURSE040</v>
          </cell>
          <cell r="F111">
            <v>10.75</v>
          </cell>
          <cell r="G111">
            <v>5.0779999999999999E-2</v>
          </cell>
          <cell r="H111">
            <v>7.2539999999999993E-2</v>
          </cell>
          <cell r="I111">
            <v>0.13788</v>
          </cell>
          <cell r="J111">
            <v>2.9999999999999997E-4</v>
          </cell>
          <cell r="K111">
            <v>2.6679999999999999E-2</v>
          </cell>
        </row>
        <row r="112">
          <cell r="E112" t="str">
            <v>20130101KUCME110</v>
          </cell>
          <cell r="F112">
            <v>20</v>
          </cell>
          <cell r="G112">
            <v>8.5750000000000007E-2</v>
          </cell>
          <cell r="H112">
            <v>0</v>
          </cell>
          <cell r="I112">
            <v>0</v>
          </cell>
          <cell r="J112">
            <v>4.4999999999999999E-4</v>
          </cell>
          <cell r="K112">
            <v>2.6679999999999999E-2</v>
          </cell>
        </row>
        <row r="113">
          <cell r="E113" t="str">
            <v>20130101KUCME112</v>
          </cell>
          <cell r="F113">
            <v>20</v>
          </cell>
          <cell r="G113">
            <v>8.5750000000000007E-2</v>
          </cell>
          <cell r="H113">
            <v>0</v>
          </cell>
          <cell r="I113">
            <v>0</v>
          </cell>
          <cell r="J113">
            <v>4.4999999999999999E-4</v>
          </cell>
          <cell r="K113">
            <v>2.6679999999999999E-2</v>
          </cell>
        </row>
        <row r="114">
          <cell r="E114" t="str">
            <v>20130101KUCME710</v>
          </cell>
          <cell r="F114">
            <v>20</v>
          </cell>
          <cell r="G114">
            <v>8.5750000000000007E-2</v>
          </cell>
          <cell r="H114">
            <v>0</v>
          </cell>
          <cell r="I114">
            <v>0</v>
          </cell>
          <cell r="J114">
            <v>4.4999999999999999E-4</v>
          </cell>
          <cell r="K114">
            <v>2.6679999999999999E-2</v>
          </cell>
        </row>
        <row r="115">
          <cell r="E115" t="str">
            <v>20130101KUCME113</v>
          </cell>
          <cell r="F115">
            <v>35</v>
          </cell>
          <cell r="G115">
            <v>8.5750000000000007E-2</v>
          </cell>
          <cell r="H115">
            <v>0</v>
          </cell>
          <cell r="I115">
            <v>0</v>
          </cell>
          <cell r="J115">
            <v>4.4999999999999999E-4</v>
          </cell>
          <cell r="K115">
            <v>2.6679999999999999E-2</v>
          </cell>
        </row>
        <row r="116">
          <cell r="E116" t="str">
            <v>20130101KUCME713</v>
          </cell>
          <cell r="F116">
            <v>35</v>
          </cell>
          <cell r="G116">
            <v>8.5750000000000007E-2</v>
          </cell>
          <cell r="H116">
            <v>0</v>
          </cell>
          <cell r="I116">
            <v>0</v>
          </cell>
          <cell r="J116">
            <v>4.4999999999999999E-4</v>
          </cell>
          <cell r="K116">
            <v>2.6679999999999999E-2</v>
          </cell>
        </row>
        <row r="117">
          <cell r="E117" t="str">
            <v>20130101KUCME220</v>
          </cell>
          <cell r="F117">
            <v>20</v>
          </cell>
          <cell r="G117">
            <v>6.9279999999999994E-2</v>
          </cell>
          <cell r="H117">
            <v>0</v>
          </cell>
          <cell r="I117">
            <v>0</v>
          </cell>
          <cell r="J117">
            <v>2.7E-4</v>
          </cell>
          <cell r="K117">
            <v>2.6679999999999999E-2</v>
          </cell>
        </row>
        <row r="118">
          <cell r="E118" t="str">
            <v>20130101KUCME221</v>
          </cell>
          <cell r="F118">
            <v>20</v>
          </cell>
          <cell r="G118">
            <v>6.9279999999999994E-2</v>
          </cell>
          <cell r="H118">
            <v>0</v>
          </cell>
          <cell r="I118">
            <v>0</v>
          </cell>
          <cell r="J118">
            <v>2.7E-4</v>
          </cell>
          <cell r="K118">
            <v>2.6679999999999999E-2</v>
          </cell>
        </row>
        <row r="119">
          <cell r="E119" t="str">
            <v>20130101KUCME223</v>
          </cell>
          <cell r="F119">
            <v>35</v>
          </cell>
          <cell r="G119">
            <v>6.9279999999999994E-2</v>
          </cell>
          <cell r="H119">
            <v>0</v>
          </cell>
          <cell r="I119">
            <v>0</v>
          </cell>
          <cell r="J119">
            <v>2.7E-4</v>
          </cell>
          <cell r="K119">
            <v>2.6679999999999999E-2</v>
          </cell>
        </row>
        <row r="120">
          <cell r="E120" t="str">
            <v>20130101KUCME224</v>
          </cell>
          <cell r="F120">
            <v>35</v>
          </cell>
          <cell r="G120">
            <v>6.9279999999999994E-2</v>
          </cell>
          <cell r="H120">
            <v>0</v>
          </cell>
          <cell r="I120">
            <v>0</v>
          </cell>
          <cell r="J120">
            <v>2.7E-4</v>
          </cell>
          <cell r="K120">
            <v>2.6679999999999999E-2</v>
          </cell>
        </row>
        <row r="121">
          <cell r="E121" t="str">
            <v>20130101KUCME225</v>
          </cell>
          <cell r="F121">
            <v>35</v>
          </cell>
          <cell r="G121">
            <v>6.9279999999999994E-2</v>
          </cell>
          <cell r="H121">
            <v>0</v>
          </cell>
          <cell r="I121">
            <v>0</v>
          </cell>
          <cell r="J121">
            <v>2.7E-4</v>
          </cell>
          <cell r="K121">
            <v>2.6679999999999999E-2</v>
          </cell>
        </row>
        <row r="122">
          <cell r="E122" t="str">
            <v>20130101KUCME226</v>
          </cell>
          <cell r="F122">
            <v>20</v>
          </cell>
          <cell r="G122">
            <v>6.9279999999999994E-2</v>
          </cell>
          <cell r="H122">
            <v>0</v>
          </cell>
          <cell r="I122">
            <v>0</v>
          </cell>
          <cell r="J122">
            <v>2.7E-4</v>
          </cell>
          <cell r="K122">
            <v>2.6679999999999999E-2</v>
          </cell>
        </row>
        <row r="123">
          <cell r="E123" t="str">
            <v>20130101KUCME227</v>
          </cell>
          <cell r="F123">
            <v>35</v>
          </cell>
          <cell r="G123">
            <v>6.9279999999999994E-2</v>
          </cell>
          <cell r="H123">
            <v>0</v>
          </cell>
          <cell r="I123">
            <v>0</v>
          </cell>
          <cell r="J123">
            <v>2.7E-4</v>
          </cell>
          <cell r="K123">
            <v>2.6679999999999999E-2</v>
          </cell>
        </row>
        <row r="124">
          <cell r="E124" t="str">
            <v>20130101KUCIE561</v>
          </cell>
          <cell r="F124">
            <v>170</v>
          </cell>
          <cell r="G124">
            <v>3.338E-2</v>
          </cell>
          <cell r="H124">
            <v>0</v>
          </cell>
          <cell r="I124">
            <v>0</v>
          </cell>
          <cell r="K124">
            <v>2.6679999999999999E-2</v>
          </cell>
          <cell r="P124">
            <v>12.21</v>
          </cell>
          <cell r="Q124">
            <v>14.31</v>
          </cell>
          <cell r="S124">
            <v>0.11</v>
          </cell>
        </row>
        <row r="125">
          <cell r="E125" t="str">
            <v>20130101KUCIE566</v>
          </cell>
          <cell r="F125">
            <v>170</v>
          </cell>
          <cell r="G125">
            <v>3.338E-2</v>
          </cell>
          <cell r="H125">
            <v>0</v>
          </cell>
          <cell r="I125">
            <v>0</v>
          </cell>
          <cell r="K125">
            <v>2.6679999999999999E-2</v>
          </cell>
          <cell r="P125">
            <v>12.21</v>
          </cell>
          <cell r="Q125">
            <v>14.31</v>
          </cell>
          <cell r="S125">
            <v>0.11</v>
          </cell>
        </row>
        <row r="126">
          <cell r="E126" t="str">
            <v>20130101KUCIE562</v>
          </cell>
          <cell r="F126">
            <v>90</v>
          </cell>
          <cell r="G126">
            <v>3.3399999999999999E-2</v>
          </cell>
          <cell r="H126">
            <v>0</v>
          </cell>
          <cell r="I126">
            <v>0</v>
          </cell>
          <cell r="K126">
            <v>2.6679999999999999E-2</v>
          </cell>
          <cell r="P126">
            <v>12.23</v>
          </cell>
          <cell r="Q126">
            <v>14.33</v>
          </cell>
          <cell r="S126">
            <v>0.11</v>
          </cell>
        </row>
        <row r="127">
          <cell r="E127" t="str">
            <v>20130101KUCIE568</v>
          </cell>
          <cell r="F127">
            <v>90</v>
          </cell>
          <cell r="G127">
            <v>3.3399999999999999E-2</v>
          </cell>
          <cell r="H127">
            <v>0</v>
          </cell>
          <cell r="I127">
            <v>0</v>
          </cell>
          <cell r="K127">
            <v>2.6679999999999999E-2</v>
          </cell>
          <cell r="P127">
            <v>12.23</v>
          </cell>
          <cell r="Q127">
            <v>14.33</v>
          </cell>
          <cell r="S127">
            <v>0.11</v>
          </cell>
        </row>
        <row r="128">
          <cell r="E128" t="str">
            <v>20130101KUCIE717</v>
          </cell>
          <cell r="F128">
            <v>90</v>
          </cell>
          <cell r="G128">
            <v>3.3399999999999999E-2</v>
          </cell>
          <cell r="H128">
            <v>0</v>
          </cell>
          <cell r="I128">
            <v>0</v>
          </cell>
          <cell r="K128">
            <v>2.6679999999999999E-2</v>
          </cell>
          <cell r="P128">
            <v>12.23</v>
          </cell>
          <cell r="Q128">
            <v>14.33</v>
          </cell>
          <cell r="S128">
            <v>0.11</v>
          </cell>
        </row>
        <row r="129">
          <cell r="E129" t="str">
            <v>20130101KUCIE563</v>
          </cell>
          <cell r="F129">
            <v>300</v>
          </cell>
          <cell r="G129">
            <v>3.5409999999999997E-2</v>
          </cell>
          <cell r="H129">
            <v>0</v>
          </cell>
          <cell r="I129">
            <v>0</v>
          </cell>
          <cell r="K129">
            <v>2.6679999999999999E-2</v>
          </cell>
          <cell r="O129">
            <v>1.48</v>
          </cell>
          <cell r="P129">
            <v>2.5299999999999998</v>
          </cell>
          <cell r="Q129">
            <v>4.03</v>
          </cell>
          <cell r="S129">
            <v>0.03</v>
          </cell>
        </row>
        <row r="130">
          <cell r="E130" t="str">
            <v>20130101KUCIE571</v>
          </cell>
          <cell r="F130">
            <v>300</v>
          </cell>
          <cell r="G130">
            <v>3.5409999999999997E-2</v>
          </cell>
          <cell r="H130">
            <v>0</v>
          </cell>
          <cell r="I130">
            <v>0</v>
          </cell>
          <cell r="K130">
            <v>2.6679999999999999E-2</v>
          </cell>
          <cell r="O130">
            <v>1.48</v>
          </cell>
          <cell r="P130">
            <v>2.5299999999999998</v>
          </cell>
          <cell r="Q130">
            <v>4.03</v>
          </cell>
          <cell r="S130">
            <v>0.03</v>
          </cell>
        </row>
        <row r="131">
          <cell r="E131" t="str">
            <v>20130101KUCIE572</v>
          </cell>
          <cell r="F131">
            <v>200</v>
          </cell>
          <cell r="G131">
            <v>3.5490000000000001E-2</v>
          </cell>
          <cell r="H131">
            <v>0</v>
          </cell>
          <cell r="I131">
            <v>0</v>
          </cell>
          <cell r="K131">
            <v>2.6679999999999999E-2</v>
          </cell>
          <cell r="O131">
            <v>3.32</v>
          </cell>
          <cell r="P131">
            <v>2.65</v>
          </cell>
          <cell r="Q131">
            <v>4.25</v>
          </cell>
          <cell r="S131">
            <v>0.03</v>
          </cell>
        </row>
        <row r="132">
          <cell r="E132" t="str">
            <v>20130101KUCIE550</v>
          </cell>
          <cell r="F132">
            <v>750</v>
          </cell>
          <cell r="G132">
            <v>3.4099999999999998E-2</v>
          </cell>
          <cell r="H132">
            <v>0</v>
          </cell>
          <cell r="I132">
            <v>0</v>
          </cell>
          <cell r="K132">
            <v>2.6679999999999999E-2</v>
          </cell>
          <cell r="O132">
            <v>1.1200000000000001</v>
          </cell>
          <cell r="P132">
            <v>2.65</v>
          </cell>
          <cell r="Q132">
            <v>3.75</v>
          </cell>
          <cell r="S132">
            <v>0.02</v>
          </cell>
        </row>
        <row r="133">
          <cell r="E133" t="str">
            <v>20130101KUINE731</v>
          </cell>
          <cell r="F133">
            <v>750</v>
          </cell>
          <cell r="G133">
            <v>3.4189999999999998E-2</v>
          </cell>
          <cell r="H133">
            <v>0</v>
          </cell>
          <cell r="I133">
            <v>0</v>
          </cell>
          <cell r="K133">
            <v>2.6679999999999999E-2</v>
          </cell>
          <cell r="O133">
            <v>1.7</v>
          </cell>
          <cell r="P133">
            <v>1.42</v>
          </cell>
          <cell r="Q133">
            <v>2.31</v>
          </cell>
          <cell r="S133">
            <v>0.01</v>
          </cell>
        </row>
        <row r="134">
          <cell r="E134" t="str">
            <v>20130101KUINE730</v>
          </cell>
          <cell r="F134">
            <v>750</v>
          </cell>
          <cell r="G134">
            <v>3.0370000000000001E-2</v>
          </cell>
          <cell r="H134">
            <v>0</v>
          </cell>
          <cell r="I134">
            <v>0</v>
          </cell>
          <cell r="K134">
            <v>2.6679999999999999E-2</v>
          </cell>
          <cell r="O134">
            <v>0.95</v>
          </cell>
          <cell r="P134">
            <v>1.42</v>
          </cell>
          <cell r="Q134">
            <v>2.31</v>
          </cell>
          <cell r="S134">
            <v>0.01</v>
          </cell>
        </row>
        <row r="135">
          <cell r="E135" t="str">
            <v>20130101KUCME295</v>
          </cell>
          <cell r="F135">
            <v>3.25</v>
          </cell>
          <cell r="G135">
            <v>7.4690000000000006E-2</v>
          </cell>
          <cell r="H135">
            <v>0</v>
          </cell>
          <cell r="I135">
            <v>0</v>
          </cell>
          <cell r="J135">
            <v>2.9999999999999997E-4</v>
          </cell>
          <cell r="K135">
            <v>2.6679999999999999E-2</v>
          </cell>
        </row>
        <row r="136">
          <cell r="E136" t="str">
            <v>20130101KUCME297</v>
          </cell>
          <cell r="F136">
            <v>3.25</v>
          </cell>
          <cell r="G136">
            <v>7.4690000000000006E-2</v>
          </cell>
          <cell r="H136">
            <v>0</v>
          </cell>
          <cell r="I136">
            <v>0</v>
          </cell>
          <cell r="J136">
            <v>2.9999999999999997E-4</v>
          </cell>
          <cell r="K136">
            <v>2.6679999999999999E-2</v>
          </cell>
        </row>
        <row r="137">
          <cell r="E137" t="str">
            <v>20130101KUCME290</v>
          </cell>
          <cell r="F137">
            <v>0</v>
          </cell>
          <cell r="G137">
            <v>5.8709999999999998E-2</v>
          </cell>
          <cell r="H137">
            <v>0</v>
          </cell>
          <cell r="I137">
            <v>0</v>
          </cell>
          <cell r="J137">
            <v>2.9999999999999997E-4</v>
          </cell>
          <cell r="K137">
            <v>2.6679999999999999E-2</v>
          </cell>
        </row>
        <row r="138">
          <cell r="E138" t="str">
            <v>20130101KUCME291</v>
          </cell>
          <cell r="F138">
            <v>0</v>
          </cell>
          <cell r="G138">
            <v>5.8709999999999998E-2</v>
          </cell>
          <cell r="H138">
            <v>0</v>
          </cell>
          <cell r="I138">
            <v>0</v>
          </cell>
          <cell r="J138">
            <v>2.9999999999999997E-4</v>
          </cell>
          <cell r="K138">
            <v>2.6679999999999999E-2</v>
          </cell>
        </row>
        <row r="139">
          <cell r="E139" t="str">
            <v>20130101KUCME292</v>
          </cell>
          <cell r="F139">
            <v>0</v>
          </cell>
          <cell r="G139">
            <v>5.8709999999999998E-2</v>
          </cell>
          <cell r="H139">
            <v>0</v>
          </cell>
          <cell r="I139">
            <v>0</v>
          </cell>
          <cell r="J139">
            <v>2.9999999999999997E-4</v>
          </cell>
          <cell r="K139">
            <v>2.6679999999999999E-2</v>
          </cell>
        </row>
        <row r="140">
          <cell r="E140" t="str">
            <v>20130701KURSE010</v>
          </cell>
          <cell r="F140">
            <v>10.75</v>
          </cell>
          <cell r="G140">
            <v>7.4590000000000017E-2</v>
          </cell>
          <cell r="H140">
            <v>0</v>
          </cell>
          <cell r="I140">
            <v>0</v>
          </cell>
          <cell r="J140">
            <v>2.9999999999999997E-4</v>
          </cell>
          <cell r="K140">
            <v>2.8920000000000001E-2</v>
          </cell>
        </row>
        <row r="141">
          <cell r="E141" t="str">
            <v>20130701KURSE020</v>
          </cell>
          <cell r="F141">
            <v>10.75</v>
          </cell>
          <cell r="G141">
            <v>7.4590000000000017E-2</v>
          </cell>
          <cell r="H141">
            <v>0</v>
          </cell>
          <cell r="I141">
            <v>0</v>
          </cell>
          <cell r="J141">
            <v>2.9999999999999997E-4</v>
          </cell>
          <cell r="K141">
            <v>2.8920000000000001E-2</v>
          </cell>
        </row>
        <row r="142">
          <cell r="E142" t="str">
            <v>20130701KURSE025</v>
          </cell>
          <cell r="F142">
            <v>10.75</v>
          </cell>
          <cell r="G142">
            <v>7.4590000000000017E-2</v>
          </cell>
          <cell r="H142">
            <v>0</v>
          </cell>
          <cell r="I142">
            <v>0</v>
          </cell>
          <cell r="J142">
            <v>2.9999999999999997E-4</v>
          </cell>
          <cell r="K142">
            <v>2.8920000000000001E-2</v>
          </cell>
        </row>
        <row r="143">
          <cell r="E143" t="str">
            <v>20130701KURSE080</v>
          </cell>
          <cell r="F143">
            <v>10.75</v>
          </cell>
          <cell r="G143">
            <v>7.4590000000000017E-2</v>
          </cell>
          <cell r="H143">
            <v>0</v>
          </cell>
          <cell r="I143">
            <v>0</v>
          </cell>
          <cell r="J143">
            <v>2.9999999999999997E-4</v>
          </cell>
          <cell r="K143">
            <v>2.8920000000000001E-2</v>
          </cell>
        </row>
        <row r="144">
          <cell r="E144" t="str">
            <v>20130701KURSE715</v>
          </cell>
          <cell r="F144">
            <v>10.75</v>
          </cell>
          <cell r="G144">
            <v>7.4590000000000017E-2</v>
          </cell>
          <cell r="H144">
            <v>0</v>
          </cell>
          <cell r="I144">
            <v>0</v>
          </cell>
          <cell r="J144">
            <v>2.9999999999999997E-4</v>
          </cell>
          <cell r="K144">
            <v>2.8920000000000001E-2</v>
          </cell>
        </row>
        <row r="145">
          <cell r="E145" t="str">
            <v>20130701KURSE040</v>
          </cell>
          <cell r="F145">
            <v>10.75</v>
          </cell>
          <cell r="G145">
            <v>5.3019999999999998E-2</v>
          </cell>
          <cell r="H145">
            <v>7.4779999999999999E-2</v>
          </cell>
          <cell r="I145">
            <v>0.14011999999999999</v>
          </cell>
          <cell r="J145">
            <v>2.9999999999999997E-4</v>
          </cell>
          <cell r="K145">
            <v>2.8920000000000001E-2</v>
          </cell>
        </row>
        <row r="146">
          <cell r="E146" t="str">
            <v>20130701KUCME110</v>
          </cell>
          <cell r="F146">
            <v>20</v>
          </cell>
          <cell r="G146">
            <v>8.7990000000000013E-2</v>
          </cell>
          <cell r="H146">
            <v>0</v>
          </cell>
          <cell r="I146">
            <v>0</v>
          </cell>
          <cell r="J146">
            <v>4.4999999999999999E-4</v>
          </cell>
          <cell r="K146">
            <v>2.8920000000000001E-2</v>
          </cell>
        </row>
        <row r="147">
          <cell r="E147" t="str">
            <v>20130701KUCME112</v>
          </cell>
          <cell r="F147">
            <v>20</v>
          </cell>
          <cell r="G147">
            <v>8.7990000000000013E-2</v>
          </cell>
          <cell r="H147">
            <v>0</v>
          </cell>
          <cell r="I147">
            <v>0</v>
          </cell>
          <cell r="J147">
            <v>4.4999999999999999E-4</v>
          </cell>
          <cell r="K147">
            <v>2.8920000000000001E-2</v>
          </cell>
        </row>
        <row r="148">
          <cell r="E148" t="str">
            <v>20130701KUCME710</v>
          </cell>
          <cell r="F148">
            <v>20</v>
          </cell>
          <cell r="G148">
            <v>8.7990000000000013E-2</v>
          </cell>
          <cell r="H148">
            <v>0</v>
          </cell>
          <cell r="I148">
            <v>0</v>
          </cell>
          <cell r="J148">
            <v>4.4999999999999999E-4</v>
          </cell>
          <cell r="K148">
            <v>2.8920000000000001E-2</v>
          </cell>
        </row>
        <row r="149">
          <cell r="E149" t="str">
            <v>20130701KUCME113</v>
          </cell>
          <cell r="F149">
            <v>35</v>
          </cell>
          <cell r="G149">
            <v>8.7990000000000013E-2</v>
          </cell>
          <cell r="H149">
            <v>0</v>
          </cell>
          <cell r="I149">
            <v>0</v>
          </cell>
          <cell r="J149">
            <v>4.4999999999999999E-4</v>
          </cell>
          <cell r="K149">
            <v>2.8920000000000001E-2</v>
          </cell>
        </row>
        <row r="150">
          <cell r="E150" t="str">
            <v>20130701KUCME713</v>
          </cell>
          <cell r="F150">
            <v>35</v>
          </cell>
          <cell r="G150">
            <v>8.7990000000000013E-2</v>
          </cell>
          <cell r="H150">
            <v>0</v>
          </cell>
          <cell r="I150">
            <v>0</v>
          </cell>
          <cell r="J150">
            <v>4.4999999999999999E-4</v>
          </cell>
          <cell r="K150">
            <v>2.8920000000000001E-2</v>
          </cell>
        </row>
        <row r="151">
          <cell r="E151" t="str">
            <v>20130701KUCME220</v>
          </cell>
          <cell r="F151">
            <v>20</v>
          </cell>
          <cell r="G151">
            <v>7.152E-2</v>
          </cell>
          <cell r="H151">
            <v>0</v>
          </cell>
          <cell r="I151">
            <v>0</v>
          </cell>
          <cell r="J151">
            <v>2.7E-4</v>
          </cell>
          <cell r="K151">
            <v>2.8920000000000001E-2</v>
          </cell>
        </row>
        <row r="152">
          <cell r="E152" t="str">
            <v>20130701KUCME221</v>
          </cell>
          <cell r="F152">
            <v>20</v>
          </cell>
          <cell r="G152">
            <v>7.152E-2</v>
          </cell>
          <cell r="H152">
            <v>0</v>
          </cell>
          <cell r="I152">
            <v>0</v>
          </cell>
          <cell r="J152">
            <v>2.7E-4</v>
          </cell>
          <cell r="K152">
            <v>2.8920000000000001E-2</v>
          </cell>
        </row>
        <row r="153">
          <cell r="E153" t="str">
            <v>20130701KUCME223</v>
          </cell>
          <cell r="F153">
            <v>35</v>
          </cell>
          <cell r="G153">
            <v>7.152E-2</v>
          </cell>
          <cell r="H153">
            <v>0</v>
          </cell>
          <cell r="I153">
            <v>0</v>
          </cell>
          <cell r="J153">
            <v>2.7E-4</v>
          </cell>
          <cell r="K153">
            <v>2.8920000000000001E-2</v>
          </cell>
        </row>
        <row r="154">
          <cell r="E154" t="str">
            <v>20130701KUCME224</v>
          </cell>
          <cell r="F154">
            <v>35</v>
          </cell>
          <cell r="G154">
            <v>7.152E-2</v>
          </cell>
          <cell r="H154">
            <v>0</v>
          </cell>
          <cell r="I154">
            <v>0</v>
          </cell>
          <cell r="J154">
            <v>2.7E-4</v>
          </cell>
          <cell r="K154">
            <v>2.8920000000000001E-2</v>
          </cell>
        </row>
        <row r="155">
          <cell r="E155" t="str">
            <v>20130701KUCME225</v>
          </cell>
          <cell r="F155">
            <v>35</v>
          </cell>
          <cell r="G155">
            <v>7.152E-2</v>
          </cell>
          <cell r="H155">
            <v>0</v>
          </cell>
          <cell r="I155">
            <v>0</v>
          </cell>
          <cell r="J155">
            <v>2.7E-4</v>
          </cell>
          <cell r="K155">
            <v>2.8920000000000001E-2</v>
          </cell>
        </row>
        <row r="156">
          <cell r="E156" t="str">
            <v>20130701KUCME226</v>
          </cell>
          <cell r="F156">
            <v>20</v>
          </cell>
          <cell r="G156">
            <v>7.152E-2</v>
          </cell>
          <cell r="H156">
            <v>0</v>
          </cell>
          <cell r="I156">
            <v>0</v>
          </cell>
          <cell r="J156">
            <v>2.7E-4</v>
          </cell>
          <cell r="K156">
            <v>2.8920000000000001E-2</v>
          </cell>
        </row>
        <row r="157">
          <cell r="E157" t="str">
            <v>20130701KUCME227</v>
          </cell>
          <cell r="F157">
            <v>35</v>
          </cell>
          <cell r="G157">
            <v>7.152E-2</v>
          </cell>
          <cell r="H157">
            <v>0</v>
          </cell>
          <cell r="I157">
            <v>0</v>
          </cell>
          <cell r="J157">
            <v>2.7E-4</v>
          </cell>
          <cell r="K157">
            <v>2.8920000000000001E-2</v>
          </cell>
        </row>
        <row r="158">
          <cell r="E158" t="str">
            <v>20130701KUCIE561</v>
          </cell>
          <cell r="F158">
            <v>170</v>
          </cell>
          <cell r="G158">
            <v>3.5619999999999999E-2</v>
          </cell>
          <cell r="H158">
            <v>0</v>
          </cell>
          <cell r="I158">
            <v>0</v>
          </cell>
          <cell r="K158">
            <v>2.8920000000000001E-2</v>
          </cell>
          <cell r="P158">
            <v>12.21</v>
          </cell>
          <cell r="Q158">
            <v>14.31</v>
          </cell>
          <cell r="S158">
            <v>0.11</v>
          </cell>
        </row>
        <row r="159">
          <cell r="E159" t="str">
            <v>20130701KUCIE566</v>
          </cell>
          <cell r="F159">
            <v>170</v>
          </cell>
          <cell r="G159">
            <v>3.5619999999999999E-2</v>
          </cell>
          <cell r="H159">
            <v>0</v>
          </cell>
          <cell r="I159">
            <v>0</v>
          </cell>
          <cell r="K159">
            <v>2.8920000000000001E-2</v>
          </cell>
          <cell r="P159">
            <v>12.21</v>
          </cell>
          <cell r="Q159">
            <v>14.31</v>
          </cell>
          <cell r="S159">
            <v>0.11</v>
          </cell>
        </row>
        <row r="160">
          <cell r="E160" t="str">
            <v>20130701KUCIE562</v>
          </cell>
          <cell r="F160">
            <v>90</v>
          </cell>
          <cell r="G160">
            <v>3.5640000000000005E-2</v>
          </cell>
          <cell r="H160">
            <v>0</v>
          </cell>
          <cell r="I160">
            <v>0</v>
          </cell>
          <cell r="K160">
            <v>2.8920000000000001E-2</v>
          </cell>
          <cell r="P160">
            <v>12.23</v>
          </cell>
          <cell r="Q160">
            <v>14.33</v>
          </cell>
          <cell r="S160">
            <v>0.11</v>
          </cell>
        </row>
        <row r="161">
          <cell r="E161" t="str">
            <v>20130701KUCIE568</v>
          </cell>
          <cell r="F161">
            <v>90</v>
          </cell>
          <cell r="G161">
            <v>3.5640000000000005E-2</v>
          </cell>
          <cell r="H161">
            <v>0</v>
          </cell>
          <cell r="I161">
            <v>0</v>
          </cell>
          <cell r="K161">
            <v>2.8920000000000001E-2</v>
          </cell>
          <cell r="P161">
            <v>12.23</v>
          </cell>
          <cell r="Q161">
            <v>14.33</v>
          </cell>
          <cell r="S161">
            <v>0.11</v>
          </cell>
        </row>
        <row r="162">
          <cell r="E162" t="str">
            <v>20130701KUCIE717</v>
          </cell>
          <cell r="F162">
            <v>90</v>
          </cell>
          <cell r="G162">
            <v>3.5640000000000005E-2</v>
          </cell>
          <cell r="H162">
            <v>0</v>
          </cell>
          <cell r="I162">
            <v>0</v>
          </cell>
          <cell r="K162">
            <v>2.8920000000000001E-2</v>
          </cell>
          <cell r="P162">
            <v>12.23</v>
          </cell>
          <cell r="Q162">
            <v>14.33</v>
          </cell>
          <cell r="S162">
            <v>0.11</v>
          </cell>
        </row>
        <row r="163">
          <cell r="E163" t="str">
            <v>20130701KUCIE563</v>
          </cell>
          <cell r="F163">
            <v>300</v>
          </cell>
          <cell r="G163">
            <v>3.7650000000000003E-2</v>
          </cell>
          <cell r="H163">
            <v>0</v>
          </cell>
          <cell r="I163">
            <v>0</v>
          </cell>
          <cell r="K163">
            <v>2.8920000000000001E-2</v>
          </cell>
          <cell r="O163">
            <v>1.48</v>
          </cell>
          <cell r="P163">
            <v>2.5299999999999998</v>
          </cell>
          <cell r="Q163">
            <v>4.03</v>
          </cell>
          <cell r="S163">
            <v>0.03</v>
          </cell>
        </row>
        <row r="164">
          <cell r="E164" t="str">
            <v>20130701KUCIE571</v>
          </cell>
          <cell r="F164">
            <v>300</v>
          </cell>
          <cell r="G164">
            <v>3.7650000000000003E-2</v>
          </cell>
          <cell r="H164">
            <v>0</v>
          </cell>
          <cell r="I164">
            <v>0</v>
          </cell>
          <cell r="K164">
            <v>2.8920000000000001E-2</v>
          </cell>
          <cell r="O164">
            <v>1.48</v>
          </cell>
          <cell r="P164">
            <v>2.5299999999999998</v>
          </cell>
          <cell r="Q164">
            <v>4.03</v>
          </cell>
          <cell r="S164">
            <v>0.03</v>
          </cell>
        </row>
        <row r="165">
          <cell r="E165" t="str">
            <v>20130701KUCIE572</v>
          </cell>
          <cell r="F165">
            <v>200</v>
          </cell>
          <cell r="G165">
            <v>3.773E-2</v>
          </cell>
          <cell r="H165">
            <v>0</v>
          </cell>
          <cell r="I165">
            <v>0</v>
          </cell>
          <cell r="K165">
            <v>2.8920000000000001E-2</v>
          </cell>
          <cell r="O165">
            <v>3.32</v>
          </cell>
          <cell r="P165">
            <v>2.65</v>
          </cell>
          <cell r="Q165">
            <v>4.25</v>
          </cell>
          <cell r="S165">
            <v>0.03</v>
          </cell>
        </row>
        <row r="166">
          <cell r="E166" t="str">
            <v>20130701KUCIE550</v>
          </cell>
          <cell r="F166">
            <v>750</v>
          </cell>
          <cell r="G166">
            <v>3.6339999999999997E-2</v>
          </cell>
          <cell r="H166">
            <v>0</v>
          </cell>
          <cell r="I166">
            <v>0</v>
          </cell>
          <cell r="K166">
            <v>2.8920000000000001E-2</v>
          </cell>
          <cell r="O166">
            <v>1.1200000000000001</v>
          </cell>
          <cell r="P166">
            <v>2.65</v>
          </cell>
          <cell r="Q166">
            <v>3.75</v>
          </cell>
          <cell r="S166">
            <v>0.02</v>
          </cell>
        </row>
        <row r="167">
          <cell r="E167" t="str">
            <v>20130701KUINE731</v>
          </cell>
          <cell r="F167">
            <v>750</v>
          </cell>
          <cell r="G167">
            <v>3.6430000000000004E-2</v>
          </cell>
          <cell r="H167">
            <v>0</v>
          </cell>
          <cell r="I167">
            <v>0</v>
          </cell>
          <cell r="K167">
            <v>2.8920000000000001E-2</v>
          </cell>
          <cell r="O167">
            <v>1.7</v>
          </cell>
          <cell r="P167">
            <v>1.42</v>
          </cell>
          <cell r="Q167">
            <v>2.31</v>
          </cell>
          <cell r="S167">
            <v>0.01</v>
          </cell>
        </row>
        <row r="168">
          <cell r="E168" t="str">
            <v>20130701KUINE730</v>
          </cell>
          <cell r="F168">
            <v>750</v>
          </cell>
          <cell r="G168">
            <v>3.261E-2</v>
          </cell>
          <cell r="H168">
            <v>0</v>
          </cell>
          <cell r="I168">
            <v>0</v>
          </cell>
          <cell r="K168">
            <v>2.8920000000000001E-2</v>
          </cell>
          <cell r="O168">
            <v>0.95</v>
          </cell>
          <cell r="P168">
            <v>1.42</v>
          </cell>
          <cell r="Q168">
            <v>2.31</v>
          </cell>
          <cell r="S168">
            <v>0.01</v>
          </cell>
        </row>
        <row r="169">
          <cell r="E169" t="str">
            <v>20130701KUCME295</v>
          </cell>
          <cell r="F169">
            <v>3.25</v>
          </cell>
          <cell r="G169">
            <v>7.6930000000000026E-2</v>
          </cell>
          <cell r="H169">
            <v>0</v>
          </cell>
          <cell r="I169">
            <v>0</v>
          </cell>
          <cell r="J169">
            <v>2.9999999999999997E-4</v>
          </cell>
          <cell r="K169">
            <v>2.8920000000000001E-2</v>
          </cell>
        </row>
        <row r="170">
          <cell r="E170" t="str">
            <v>20130701KUCME297</v>
          </cell>
          <cell r="F170">
            <v>3.25</v>
          </cell>
          <cell r="G170">
            <v>7.6930000000000026E-2</v>
          </cell>
          <cell r="H170">
            <v>0</v>
          </cell>
          <cell r="I170">
            <v>0</v>
          </cell>
          <cell r="J170">
            <v>2.9999999999999997E-4</v>
          </cell>
          <cell r="K170">
            <v>2.8920000000000001E-2</v>
          </cell>
        </row>
        <row r="171">
          <cell r="E171" t="str">
            <v>20130701KUCME290</v>
          </cell>
          <cell r="F171">
            <v>0</v>
          </cell>
          <cell r="G171">
            <v>6.0949999999999997E-2</v>
          </cell>
          <cell r="H171">
            <v>0</v>
          </cell>
          <cell r="I171">
            <v>0</v>
          </cell>
          <cell r="J171">
            <v>2.9999999999999997E-4</v>
          </cell>
          <cell r="K171">
            <v>2.8920000000000001E-2</v>
          </cell>
        </row>
        <row r="172">
          <cell r="E172" t="str">
            <v>20130701KUCME291</v>
          </cell>
          <cell r="F172">
            <v>0</v>
          </cell>
          <cell r="G172">
            <v>6.0949999999999997E-2</v>
          </cell>
          <cell r="H172">
            <v>0</v>
          </cell>
          <cell r="I172">
            <v>0</v>
          </cell>
          <cell r="J172">
            <v>2.9999999999999997E-4</v>
          </cell>
          <cell r="K172">
            <v>2.8920000000000001E-2</v>
          </cell>
        </row>
        <row r="173">
          <cell r="E173" t="str">
            <v>20130701KUCME292</v>
          </cell>
          <cell r="F173">
            <v>0</v>
          </cell>
          <cell r="G173">
            <v>6.0949999999999997E-2</v>
          </cell>
          <cell r="H173">
            <v>0</v>
          </cell>
          <cell r="I173">
            <v>0</v>
          </cell>
          <cell r="J173">
            <v>2.9999999999999997E-4</v>
          </cell>
          <cell r="K173">
            <v>2.8920000000000001E-2</v>
          </cell>
        </row>
        <row r="174">
          <cell r="E174" t="str">
            <v>20140101KURSE010</v>
          </cell>
          <cell r="F174">
            <v>10.75</v>
          </cell>
          <cell r="G174">
            <v>7.7439999999999995E-2</v>
          </cell>
          <cell r="H174">
            <v>0</v>
          </cell>
          <cell r="I174">
            <v>0</v>
          </cell>
          <cell r="J174">
            <v>3.15E-3</v>
          </cell>
          <cell r="K174">
            <v>2.8920000000000001E-2</v>
          </cell>
        </row>
        <row r="175">
          <cell r="E175" t="str">
            <v>20140101KURSE020</v>
          </cell>
          <cell r="F175">
            <v>10.75</v>
          </cell>
          <cell r="G175">
            <v>7.7439999999999995E-2</v>
          </cell>
          <cell r="H175">
            <v>0</v>
          </cell>
          <cell r="I175">
            <v>0</v>
          </cell>
          <cell r="J175">
            <v>3.15E-3</v>
          </cell>
          <cell r="K175">
            <v>2.8920000000000001E-2</v>
          </cell>
        </row>
        <row r="176">
          <cell r="E176" t="str">
            <v>20140101KURSE025</v>
          </cell>
          <cell r="F176">
            <v>10.75</v>
          </cell>
          <cell r="G176">
            <v>7.7439999999999995E-2</v>
          </cell>
          <cell r="H176">
            <v>0</v>
          </cell>
          <cell r="I176">
            <v>0</v>
          </cell>
          <cell r="J176">
            <v>3.15E-3</v>
          </cell>
          <cell r="K176">
            <v>2.8920000000000001E-2</v>
          </cell>
        </row>
        <row r="177">
          <cell r="E177" t="str">
            <v>20140101KURSE080</v>
          </cell>
          <cell r="F177">
            <v>10.75</v>
          </cell>
          <cell r="G177">
            <v>7.7439999999999995E-2</v>
          </cell>
          <cell r="H177">
            <v>0</v>
          </cell>
          <cell r="I177">
            <v>0</v>
          </cell>
          <cell r="J177">
            <v>3.15E-3</v>
          </cell>
          <cell r="K177">
            <v>2.8920000000000001E-2</v>
          </cell>
        </row>
        <row r="178">
          <cell r="E178" t="str">
            <v>20140101KURSE715</v>
          </cell>
          <cell r="F178">
            <v>10.75</v>
          </cell>
          <cell r="G178">
            <v>7.7439999999999995E-2</v>
          </cell>
          <cell r="H178">
            <v>0</v>
          </cell>
          <cell r="I178">
            <v>0</v>
          </cell>
          <cell r="J178">
            <v>3.15E-3</v>
          </cell>
          <cell r="K178">
            <v>2.8920000000000001E-2</v>
          </cell>
        </row>
        <row r="179">
          <cell r="E179" t="str">
            <v>20140101KURSE040</v>
          </cell>
          <cell r="F179">
            <v>10.75</v>
          </cell>
          <cell r="G179">
            <v>5.5870000000000003E-2</v>
          </cell>
          <cell r="H179">
            <v>7.7630000000000005E-2</v>
          </cell>
          <cell r="I179">
            <v>0.14297000000000001</v>
          </cell>
          <cell r="J179">
            <v>3.15E-3</v>
          </cell>
          <cell r="K179">
            <v>2.8920000000000001E-2</v>
          </cell>
        </row>
        <row r="180">
          <cell r="E180" t="str">
            <v>20140101KUCME110</v>
          </cell>
          <cell r="F180">
            <v>20</v>
          </cell>
          <cell r="G180">
            <v>9.2249999999999999E-2</v>
          </cell>
          <cell r="H180">
            <v>0</v>
          </cell>
          <cell r="I180">
            <v>0</v>
          </cell>
          <cell r="J180">
            <v>4.7099999999999998E-3</v>
          </cell>
          <cell r="K180">
            <v>2.8920000000000001E-2</v>
          </cell>
        </row>
        <row r="181">
          <cell r="E181" t="str">
            <v>20140101KUCME112</v>
          </cell>
          <cell r="F181">
            <v>20</v>
          </cell>
          <cell r="G181">
            <v>9.2249999999999999E-2</v>
          </cell>
          <cell r="H181">
            <v>0</v>
          </cell>
          <cell r="I181">
            <v>0</v>
          </cell>
          <cell r="J181">
            <v>4.7099999999999998E-3</v>
          </cell>
          <cell r="K181">
            <v>2.8920000000000001E-2</v>
          </cell>
        </row>
        <row r="182">
          <cell r="E182" t="str">
            <v>20140101KUCME710</v>
          </cell>
          <cell r="F182">
            <v>20</v>
          </cell>
          <cell r="G182">
            <v>9.2249999999999999E-2</v>
          </cell>
          <cell r="H182">
            <v>0</v>
          </cell>
          <cell r="I182">
            <v>0</v>
          </cell>
          <cell r="J182">
            <v>4.7099999999999998E-3</v>
          </cell>
          <cell r="K182">
            <v>2.8920000000000001E-2</v>
          </cell>
        </row>
        <row r="183">
          <cell r="E183" t="str">
            <v>20140101KUCME113</v>
          </cell>
          <cell r="F183">
            <v>35</v>
          </cell>
          <cell r="G183">
            <v>9.2249999999999999E-2</v>
          </cell>
          <cell r="H183">
            <v>0</v>
          </cell>
          <cell r="I183">
            <v>0</v>
          </cell>
          <cell r="J183">
            <v>4.7099999999999998E-3</v>
          </cell>
          <cell r="K183">
            <v>2.8920000000000001E-2</v>
          </cell>
        </row>
        <row r="184">
          <cell r="E184" t="str">
            <v>20140101KUCME713</v>
          </cell>
          <cell r="F184">
            <v>35</v>
          </cell>
          <cell r="G184">
            <v>9.2249999999999999E-2</v>
          </cell>
          <cell r="H184">
            <v>0</v>
          </cell>
          <cell r="I184">
            <v>0</v>
          </cell>
          <cell r="J184">
            <v>4.7099999999999998E-3</v>
          </cell>
          <cell r="K184">
            <v>2.8920000000000001E-2</v>
          </cell>
        </row>
        <row r="185">
          <cell r="E185" t="str">
            <v>20140101KUCME220</v>
          </cell>
          <cell r="F185">
            <v>20</v>
          </cell>
          <cell r="G185">
            <v>7.4399999999999994E-2</v>
          </cell>
          <cell r="H185">
            <v>0</v>
          </cell>
          <cell r="I185">
            <v>0</v>
          </cell>
          <cell r="J185">
            <v>3.15E-3</v>
          </cell>
          <cell r="K185">
            <v>2.8920000000000001E-2</v>
          </cell>
        </row>
        <row r="186">
          <cell r="E186" t="str">
            <v>20140101KUCME221</v>
          </cell>
          <cell r="F186">
            <v>20</v>
          </cell>
          <cell r="G186">
            <v>7.4399999999999994E-2</v>
          </cell>
          <cell r="H186">
            <v>0</v>
          </cell>
          <cell r="I186">
            <v>0</v>
          </cell>
          <cell r="J186">
            <v>3.15E-3</v>
          </cell>
          <cell r="K186">
            <v>2.8920000000000001E-2</v>
          </cell>
        </row>
        <row r="187">
          <cell r="E187" t="str">
            <v>20140101KUCME223</v>
          </cell>
          <cell r="F187">
            <v>35</v>
          </cell>
          <cell r="G187">
            <v>7.4399999999999994E-2</v>
          </cell>
          <cell r="H187">
            <v>0</v>
          </cell>
          <cell r="I187">
            <v>0</v>
          </cell>
          <cell r="J187">
            <v>3.15E-3</v>
          </cell>
          <cell r="K187">
            <v>2.8920000000000001E-2</v>
          </cell>
        </row>
        <row r="188">
          <cell r="E188" t="str">
            <v>20140101KUCME224</v>
          </cell>
          <cell r="F188">
            <v>35</v>
          </cell>
          <cell r="G188">
            <v>7.4399999999999994E-2</v>
          </cell>
          <cell r="H188">
            <v>0</v>
          </cell>
          <cell r="I188">
            <v>0</v>
          </cell>
          <cell r="J188">
            <v>3.15E-3</v>
          </cell>
          <cell r="K188">
            <v>2.8920000000000001E-2</v>
          </cell>
        </row>
        <row r="189">
          <cell r="E189" t="str">
            <v>20140101KUCME225</v>
          </cell>
          <cell r="F189">
            <v>35</v>
          </cell>
          <cell r="G189">
            <v>7.4399999999999994E-2</v>
          </cell>
          <cell r="H189">
            <v>0</v>
          </cell>
          <cell r="I189">
            <v>0</v>
          </cell>
          <cell r="J189">
            <v>3.15E-3</v>
          </cell>
          <cell r="K189">
            <v>2.8920000000000001E-2</v>
          </cell>
        </row>
        <row r="190">
          <cell r="E190" t="str">
            <v>20140101KUCME226</v>
          </cell>
          <cell r="F190">
            <v>20</v>
          </cell>
          <cell r="G190">
            <v>7.4399999999999994E-2</v>
          </cell>
          <cell r="H190">
            <v>0</v>
          </cell>
          <cell r="I190">
            <v>0</v>
          </cell>
          <cell r="J190">
            <v>3.15E-3</v>
          </cell>
          <cell r="K190">
            <v>2.8920000000000001E-2</v>
          </cell>
        </row>
        <row r="191">
          <cell r="E191" t="str">
            <v>20140101KUCME227</v>
          </cell>
          <cell r="F191">
            <v>35</v>
          </cell>
          <cell r="G191">
            <v>7.4399999999999994E-2</v>
          </cell>
          <cell r="H191">
            <v>0</v>
          </cell>
          <cell r="I191">
            <v>0</v>
          </cell>
          <cell r="J191">
            <v>3.15E-3</v>
          </cell>
          <cell r="K191">
            <v>2.8920000000000001E-2</v>
          </cell>
        </row>
        <row r="192">
          <cell r="E192" t="str">
            <v>20140101KUCIE561</v>
          </cell>
          <cell r="F192">
            <v>170</v>
          </cell>
          <cell r="G192">
            <v>3.5619999999999999E-2</v>
          </cell>
          <cell r="H192">
            <v>0</v>
          </cell>
          <cell r="I192">
            <v>0</v>
          </cell>
          <cell r="K192">
            <v>2.8920000000000001E-2</v>
          </cell>
          <cell r="P192">
            <v>13.18</v>
          </cell>
          <cell r="Q192">
            <v>15.28</v>
          </cell>
          <cell r="S192">
            <v>1.08</v>
          </cell>
        </row>
        <row r="193">
          <cell r="E193" t="str">
            <v>20140101KUCIE566</v>
          </cell>
          <cell r="F193">
            <v>170</v>
          </cell>
          <cell r="G193">
            <v>3.5619999999999999E-2</v>
          </cell>
          <cell r="H193">
            <v>0</v>
          </cell>
          <cell r="I193">
            <v>0</v>
          </cell>
          <cell r="K193">
            <v>2.8920000000000001E-2</v>
          </cell>
          <cell r="P193">
            <v>13.18</v>
          </cell>
          <cell r="Q193">
            <v>15.28</v>
          </cell>
          <cell r="S193">
            <v>1.08</v>
          </cell>
        </row>
        <row r="194">
          <cell r="E194" t="str">
            <v>20140101KUCIE562</v>
          </cell>
          <cell r="F194">
            <v>90</v>
          </cell>
          <cell r="G194">
            <v>3.5640000000000005E-2</v>
          </cell>
          <cell r="H194">
            <v>0</v>
          </cell>
          <cell r="I194">
            <v>0</v>
          </cell>
          <cell r="K194">
            <v>2.8920000000000001E-2</v>
          </cell>
          <cell r="P194">
            <v>13.2</v>
          </cell>
          <cell r="Q194">
            <v>15.3</v>
          </cell>
          <cell r="S194">
            <v>1.08</v>
          </cell>
        </row>
        <row r="195">
          <cell r="E195" t="str">
            <v>20140101KUCIE568</v>
          </cell>
          <cell r="F195">
            <v>90</v>
          </cell>
          <cell r="G195">
            <v>3.5640000000000005E-2</v>
          </cell>
          <cell r="H195">
            <v>0</v>
          </cell>
          <cell r="I195">
            <v>0</v>
          </cell>
          <cell r="K195">
            <v>2.8920000000000001E-2</v>
          </cell>
          <cell r="P195">
            <v>13.2</v>
          </cell>
          <cell r="Q195">
            <v>15.3</v>
          </cell>
          <cell r="S195">
            <v>1.08</v>
          </cell>
        </row>
        <row r="196">
          <cell r="E196" t="str">
            <v>20140101KUCIE717</v>
          </cell>
          <cell r="F196">
            <v>90</v>
          </cell>
          <cell r="G196">
            <v>3.5640000000000005E-2</v>
          </cell>
          <cell r="H196">
            <v>0</v>
          </cell>
          <cell r="I196">
            <v>0</v>
          </cell>
          <cell r="K196">
            <v>2.8920000000000001E-2</v>
          </cell>
          <cell r="P196">
            <v>13.2</v>
          </cell>
          <cell r="Q196">
            <v>15.3</v>
          </cell>
          <cell r="S196">
            <v>1.08</v>
          </cell>
        </row>
        <row r="197">
          <cell r="E197" t="str">
            <v>20140101KUCIE563</v>
          </cell>
          <cell r="F197">
            <v>300</v>
          </cell>
          <cell r="G197">
            <v>3.7650000000000003E-2</v>
          </cell>
          <cell r="H197">
            <v>0</v>
          </cell>
          <cell r="I197">
            <v>0</v>
          </cell>
          <cell r="K197">
            <v>2.8920000000000001E-2</v>
          </cell>
          <cell r="O197">
            <v>1.71</v>
          </cell>
          <cell r="P197">
            <v>2.76</v>
          </cell>
          <cell r="Q197">
            <v>4.26</v>
          </cell>
          <cell r="S197">
            <v>0.26</v>
          </cell>
        </row>
        <row r="198">
          <cell r="E198" t="str">
            <v>20140101KUCIE571</v>
          </cell>
          <cell r="F198">
            <v>300</v>
          </cell>
          <cell r="G198">
            <v>3.7650000000000003E-2</v>
          </cell>
          <cell r="H198">
            <v>0</v>
          </cell>
          <cell r="I198">
            <v>0</v>
          </cell>
          <cell r="K198">
            <v>2.8920000000000001E-2</v>
          </cell>
          <cell r="O198">
            <v>1.71</v>
          </cell>
          <cell r="P198">
            <v>2.76</v>
          </cell>
          <cell r="Q198">
            <v>4.26</v>
          </cell>
          <cell r="S198">
            <v>0.26</v>
          </cell>
        </row>
        <row r="199">
          <cell r="E199" t="str">
            <v>20140101KUCIE572</v>
          </cell>
          <cell r="F199">
            <v>200</v>
          </cell>
          <cell r="G199">
            <v>3.773E-2</v>
          </cell>
          <cell r="H199">
            <v>0</v>
          </cell>
          <cell r="I199">
            <v>0</v>
          </cell>
          <cell r="K199">
            <v>2.8920000000000001E-2</v>
          </cell>
          <cell r="O199">
            <v>3.62</v>
          </cell>
          <cell r="P199">
            <v>2.95</v>
          </cell>
          <cell r="Q199">
            <v>4.55</v>
          </cell>
          <cell r="S199">
            <v>0.33</v>
          </cell>
        </row>
        <row r="200">
          <cell r="E200" t="str">
            <v>20140101KUCIE550</v>
          </cell>
          <cell r="F200">
            <v>750</v>
          </cell>
          <cell r="G200">
            <v>3.6339999999999997E-2</v>
          </cell>
          <cell r="H200">
            <v>0</v>
          </cell>
          <cell r="I200">
            <v>0</v>
          </cell>
          <cell r="K200">
            <v>2.8920000000000001E-2</v>
          </cell>
          <cell r="O200">
            <v>1.34</v>
          </cell>
          <cell r="P200">
            <v>2.87</v>
          </cell>
          <cell r="Q200">
            <v>3.97</v>
          </cell>
          <cell r="S200">
            <v>0.24</v>
          </cell>
        </row>
        <row r="201">
          <cell r="E201" t="str">
            <v>20140101KUINE731</v>
          </cell>
          <cell r="F201">
            <v>750</v>
          </cell>
          <cell r="G201">
            <v>3.6430000000000004E-2</v>
          </cell>
          <cell r="H201">
            <v>0</v>
          </cell>
          <cell r="I201">
            <v>0</v>
          </cell>
          <cell r="K201">
            <v>2.8920000000000001E-2</v>
          </cell>
          <cell r="O201">
            <v>1.8</v>
          </cell>
          <cell r="P201">
            <v>1.52</v>
          </cell>
          <cell r="Q201">
            <v>2.41</v>
          </cell>
          <cell r="S201">
            <v>0.11</v>
          </cell>
        </row>
        <row r="202">
          <cell r="E202" t="str">
            <v>20140101KUINE730</v>
          </cell>
          <cell r="F202">
            <v>750</v>
          </cell>
          <cell r="G202">
            <v>3.261E-2</v>
          </cell>
          <cell r="H202">
            <v>0</v>
          </cell>
          <cell r="I202">
            <v>0</v>
          </cell>
          <cell r="K202">
            <v>2.8920000000000001E-2</v>
          </cell>
          <cell r="O202">
            <v>1.05</v>
          </cell>
          <cell r="P202">
            <v>1.52</v>
          </cell>
          <cell r="Q202">
            <v>2.41</v>
          </cell>
          <cell r="S202">
            <v>0.11</v>
          </cell>
        </row>
        <row r="203">
          <cell r="E203" t="str">
            <v>20140101KUCSR760</v>
          </cell>
          <cell r="F203">
            <v>0</v>
          </cell>
          <cell r="G203">
            <v>0</v>
          </cell>
          <cell r="H203">
            <v>0</v>
          </cell>
          <cell r="I203">
            <v>0</v>
          </cell>
          <cell r="J203">
            <v>0</v>
          </cell>
          <cell r="K203">
            <v>0</v>
          </cell>
          <cell r="O203">
            <v>-5.4</v>
          </cell>
          <cell r="P203">
            <v>0</v>
          </cell>
          <cell r="Q203">
            <v>0</v>
          </cell>
          <cell r="S203">
            <v>0</v>
          </cell>
        </row>
        <row r="204">
          <cell r="E204" t="str">
            <v>20140101KUCSR761</v>
          </cell>
          <cell r="F204">
            <v>0</v>
          </cell>
          <cell r="G204">
            <v>0</v>
          </cell>
          <cell r="H204">
            <v>0</v>
          </cell>
          <cell r="I204">
            <v>0</v>
          </cell>
          <cell r="J204">
            <v>0</v>
          </cell>
          <cell r="K204">
            <v>0</v>
          </cell>
          <cell r="O204">
            <v>-5.5</v>
          </cell>
          <cell r="P204">
            <v>0</v>
          </cell>
          <cell r="Q204">
            <v>0</v>
          </cell>
          <cell r="S204">
            <v>0</v>
          </cell>
        </row>
        <row r="205">
          <cell r="E205" t="str">
            <v>20140101KUCSR780</v>
          </cell>
          <cell r="F205">
            <v>0</v>
          </cell>
          <cell r="G205">
            <v>0</v>
          </cell>
          <cell r="H205">
            <v>0</v>
          </cell>
          <cell r="I205">
            <v>0</v>
          </cell>
          <cell r="J205">
            <v>0</v>
          </cell>
          <cell r="K205">
            <v>0</v>
          </cell>
          <cell r="O205">
            <v>-4.3</v>
          </cell>
          <cell r="P205">
            <v>0</v>
          </cell>
          <cell r="Q205">
            <v>0</v>
          </cell>
          <cell r="S205">
            <v>0</v>
          </cell>
        </row>
        <row r="206">
          <cell r="E206" t="str">
            <v>20140101KUCSR781</v>
          </cell>
          <cell r="F206">
            <v>0</v>
          </cell>
          <cell r="G206">
            <v>0</v>
          </cell>
          <cell r="H206">
            <v>0</v>
          </cell>
          <cell r="I206">
            <v>0</v>
          </cell>
          <cell r="J206">
            <v>0</v>
          </cell>
          <cell r="K206">
            <v>0</v>
          </cell>
          <cell r="O206">
            <v>-4.4000000000000004</v>
          </cell>
          <cell r="P206">
            <v>0</v>
          </cell>
          <cell r="Q206">
            <v>0</v>
          </cell>
          <cell r="S206">
            <v>0</v>
          </cell>
        </row>
        <row r="207">
          <cell r="E207" t="str">
            <v>20140101KUCSR783</v>
          </cell>
          <cell r="F207">
            <v>0</v>
          </cell>
          <cell r="G207">
            <v>0</v>
          </cell>
          <cell r="H207">
            <v>0</v>
          </cell>
          <cell r="I207">
            <v>0</v>
          </cell>
          <cell r="J207">
            <v>0</v>
          </cell>
          <cell r="K207">
            <v>0</v>
          </cell>
          <cell r="O207">
            <v>-4.4000000000000004</v>
          </cell>
          <cell r="P207">
            <v>0</v>
          </cell>
          <cell r="Q207">
            <v>0</v>
          </cell>
          <cell r="S207">
            <v>0</v>
          </cell>
        </row>
        <row r="208">
          <cell r="E208" t="str">
            <v>20140101KUCME295</v>
          </cell>
          <cell r="F208">
            <v>3.25</v>
          </cell>
          <cell r="G208">
            <v>7.9780000000000004E-2</v>
          </cell>
          <cell r="H208">
            <v>0</v>
          </cell>
          <cell r="I208">
            <v>0</v>
          </cell>
          <cell r="J208">
            <v>3.15E-3</v>
          </cell>
          <cell r="K208">
            <v>2.8920000000000001E-2</v>
          </cell>
        </row>
        <row r="209">
          <cell r="E209" t="str">
            <v>20140101KUCME297</v>
          </cell>
          <cell r="F209">
            <v>3.25</v>
          </cell>
          <cell r="G209">
            <v>7.9780000000000004E-2</v>
          </cell>
          <cell r="H209">
            <v>0</v>
          </cell>
          <cell r="I209">
            <v>0</v>
          </cell>
          <cell r="J209">
            <v>3.15E-3</v>
          </cell>
          <cell r="K209">
            <v>2.8920000000000001E-2</v>
          </cell>
        </row>
        <row r="210">
          <cell r="E210" t="str">
            <v>20140101KUCME290</v>
          </cell>
          <cell r="F210">
            <v>0</v>
          </cell>
          <cell r="G210">
            <v>6.3799999999999996E-2</v>
          </cell>
          <cell r="H210">
            <v>0</v>
          </cell>
          <cell r="I210">
            <v>0</v>
          </cell>
          <cell r="J210">
            <v>3.15E-3</v>
          </cell>
          <cell r="K210">
            <v>2.8920000000000001E-2</v>
          </cell>
        </row>
        <row r="211">
          <cell r="E211" t="str">
            <v>20140101KUCME291</v>
          </cell>
          <cell r="F211">
            <v>0</v>
          </cell>
          <cell r="G211">
            <v>6.3799999999999996E-2</v>
          </cell>
          <cell r="H211">
            <v>0</v>
          </cell>
          <cell r="I211">
            <v>0</v>
          </cell>
          <cell r="J211">
            <v>3.15E-3</v>
          </cell>
          <cell r="K211">
            <v>2.8920000000000001E-2</v>
          </cell>
        </row>
        <row r="212">
          <cell r="E212" t="str">
            <v>20140101KUCME292</v>
          </cell>
          <cell r="F212">
            <v>0</v>
          </cell>
          <cell r="G212">
            <v>6.3799999999999996E-2</v>
          </cell>
          <cell r="H212">
            <v>0</v>
          </cell>
          <cell r="I212">
            <v>0</v>
          </cell>
          <cell r="J212">
            <v>3.15E-3</v>
          </cell>
          <cell r="K212">
            <v>2.8920000000000001E-2</v>
          </cell>
        </row>
      </sheetData>
      <sheetData sheetId="25">
        <row r="4">
          <cell r="D4" t="str">
            <v>20100801KUUM_300</v>
          </cell>
          <cell r="E4">
            <v>21.040000000000003</v>
          </cell>
          <cell r="G4">
            <v>0.73</v>
          </cell>
          <cell r="H4">
            <v>0.55000000000000004</v>
          </cell>
        </row>
        <row r="5">
          <cell r="D5" t="str">
            <v>20100801KUUM_301</v>
          </cell>
          <cell r="E5">
            <v>21.96</v>
          </cell>
          <cell r="G5">
            <v>0.75</v>
          </cell>
          <cell r="H5">
            <v>1.07</v>
          </cell>
        </row>
        <row r="6">
          <cell r="D6" t="str">
            <v>20100801KUUM_360</v>
          </cell>
          <cell r="E6">
            <v>49.340000000000011</v>
          </cell>
          <cell r="G6">
            <v>5.44</v>
          </cell>
          <cell r="H6">
            <v>1.66</v>
          </cell>
        </row>
        <row r="7">
          <cell r="D7" t="str">
            <v>20100801KUUM_361</v>
          </cell>
          <cell r="E7">
            <v>76.12</v>
          </cell>
          <cell r="G7">
            <v>5.44</v>
          </cell>
          <cell r="H7">
            <v>1.66</v>
          </cell>
        </row>
        <row r="8">
          <cell r="D8" t="str">
            <v>20100801KUUM_362</v>
          </cell>
          <cell r="E8">
            <v>53.620000000000005</v>
          </cell>
          <cell r="G8">
            <v>5.44</v>
          </cell>
          <cell r="H8">
            <v>1.66</v>
          </cell>
        </row>
        <row r="9">
          <cell r="D9" t="str">
            <v>20100801KUUM_363</v>
          </cell>
          <cell r="E9">
            <v>55.52000000000001</v>
          </cell>
          <cell r="G9">
            <v>5.44</v>
          </cell>
          <cell r="H9">
            <v>1.66</v>
          </cell>
        </row>
        <row r="10">
          <cell r="D10" t="str">
            <v>20100801KUUM_364</v>
          </cell>
          <cell r="E10">
            <v>56.830000000000005</v>
          </cell>
          <cell r="G10">
            <v>5.44</v>
          </cell>
          <cell r="H10">
            <v>1.66</v>
          </cell>
        </row>
        <row r="11">
          <cell r="D11" t="str">
            <v>20100801KUUM_365</v>
          </cell>
          <cell r="E11">
            <v>73.98</v>
          </cell>
          <cell r="G11">
            <v>5.44</v>
          </cell>
          <cell r="H11">
            <v>1.66</v>
          </cell>
        </row>
        <row r="12">
          <cell r="D12" t="str">
            <v>20100801KUUM_366</v>
          </cell>
          <cell r="E12">
            <v>72.08</v>
          </cell>
          <cell r="G12">
            <v>5.44</v>
          </cell>
          <cell r="H12">
            <v>1.66</v>
          </cell>
        </row>
        <row r="13">
          <cell r="D13" t="str">
            <v>20100801KUUM_367</v>
          </cell>
          <cell r="E13">
            <v>55.02000000000001</v>
          </cell>
          <cell r="G13">
            <v>5.44</v>
          </cell>
          <cell r="H13">
            <v>1.66</v>
          </cell>
        </row>
        <row r="14">
          <cell r="D14" t="str">
            <v>20100801KUUM_368</v>
          </cell>
          <cell r="E14">
            <v>50.650000000000006</v>
          </cell>
          <cell r="G14">
            <v>5.44</v>
          </cell>
          <cell r="H14">
            <v>1.66</v>
          </cell>
        </row>
        <row r="15">
          <cell r="D15" t="str">
            <v>20100801KUUM_370</v>
          </cell>
          <cell r="E15">
            <v>67.8</v>
          </cell>
          <cell r="G15">
            <v>5.44</v>
          </cell>
          <cell r="H15">
            <v>1.66</v>
          </cell>
        </row>
        <row r="16">
          <cell r="D16" t="str">
            <v>20100801KUUM_372</v>
          </cell>
          <cell r="E16">
            <v>75.290000000000006</v>
          </cell>
          <cell r="G16">
            <v>5.44</v>
          </cell>
          <cell r="H16">
            <v>1.66</v>
          </cell>
        </row>
        <row r="17">
          <cell r="D17" t="str">
            <v>20100801KUUM_373</v>
          </cell>
          <cell r="E17">
            <v>67.8</v>
          </cell>
          <cell r="G17">
            <v>5.44</v>
          </cell>
          <cell r="H17">
            <v>1.66</v>
          </cell>
        </row>
        <row r="18">
          <cell r="D18" t="str">
            <v>20100801KUUM_374</v>
          </cell>
          <cell r="E18">
            <v>69.11</v>
          </cell>
          <cell r="G18">
            <v>5.44</v>
          </cell>
          <cell r="H18">
            <v>1.66</v>
          </cell>
        </row>
        <row r="19">
          <cell r="D19" t="str">
            <v>20100801KUUM_375</v>
          </cell>
          <cell r="E19">
            <v>72.08</v>
          </cell>
          <cell r="G19">
            <v>5.44</v>
          </cell>
          <cell r="H19">
            <v>1.66</v>
          </cell>
        </row>
        <row r="20">
          <cell r="D20" t="str">
            <v>20100801KUUM_376</v>
          </cell>
          <cell r="E20">
            <v>70.44</v>
          </cell>
          <cell r="G20">
            <v>5.44</v>
          </cell>
          <cell r="H20">
            <v>1.66</v>
          </cell>
        </row>
        <row r="21">
          <cell r="D21" t="str">
            <v>20100801KUUM_377</v>
          </cell>
          <cell r="E21">
            <v>57.860000000000007</v>
          </cell>
          <cell r="G21">
            <v>5.44</v>
          </cell>
          <cell r="H21">
            <v>1.66</v>
          </cell>
        </row>
        <row r="22">
          <cell r="D22" t="str">
            <v>20100801KUUM_378</v>
          </cell>
          <cell r="E22">
            <v>69.13</v>
          </cell>
          <cell r="G22">
            <v>5.44</v>
          </cell>
          <cell r="H22">
            <v>1.66</v>
          </cell>
        </row>
        <row r="23">
          <cell r="D23" t="str">
            <v>20100801KUUM_395</v>
          </cell>
          <cell r="E23">
            <v>49.340000000000011</v>
          </cell>
          <cell r="G23">
            <v>5.44</v>
          </cell>
          <cell r="H23">
            <v>1.66</v>
          </cell>
        </row>
        <row r="24">
          <cell r="D24" t="str">
            <v>20100801KUUM_400</v>
          </cell>
          <cell r="E24">
            <v>12.51</v>
          </cell>
          <cell r="G24">
            <v>0.73</v>
          </cell>
          <cell r="H24">
            <v>0.55000000000000004</v>
          </cell>
        </row>
        <row r="25">
          <cell r="D25" t="str">
            <v>20100801KUUM_401</v>
          </cell>
          <cell r="E25">
            <v>13.5</v>
          </cell>
          <cell r="G25">
            <v>0.94</v>
          </cell>
          <cell r="H25">
            <v>0.76</v>
          </cell>
        </row>
        <row r="26">
          <cell r="D26" t="str">
            <v>20100801KUUM_404</v>
          </cell>
          <cell r="E26">
            <v>9.52</v>
          </cell>
          <cell r="G26">
            <v>0.95</v>
          </cell>
          <cell r="H26">
            <v>1.9</v>
          </cell>
        </row>
        <row r="27">
          <cell r="D27" t="str">
            <v>20100801KUUM_405</v>
          </cell>
          <cell r="E27">
            <v>12.35</v>
          </cell>
          <cell r="G27">
            <v>1.24</v>
          </cell>
          <cell r="H27">
            <v>4.16</v>
          </cell>
        </row>
        <row r="28">
          <cell r="D28" t="str">
            <v>20100801KUUM_407</v>
          </cell>
          <cell r="E28">
            <v>20.5</v>
          </cell>
          <cell r="G28">
            <v>1.83</v>
          </cell>
          <cell r="H28">
            <v>4.32</v>
          </cell>
        </row>
        <row r="29">
          <cell r="D29" t="str">
            <v>20100801KUUM_408</v>
          </cell>
          <cell r="E29">
            <v>7.63</v>
          </cell>
          <cell r="G29">
            <v>1.24</v>
          </cell>
          <cell r="H29">
            <v>4.16</v>
          </cell>
        </row>
        <row r="30">
          <cell r="D30" t="str">
            <v>20100801KUUM_409</v>
          </cell>
          <cell r="E30">
            <v>9.8000000000000007</v>
          </cell>
          <cell r="G30">
            <v>1.83</v>
          </cell>
          <cell r="H30">
            <v>4.32</v>
          </cell>
        </row>
        <row r="31">
          <cell r="D31" t="str">
            <v>20100801KUUM_410</v>
          </cell>
          <cell r="E31">
            <v>18.900000000000002</v>
          </cell>
          <cell r="G31">
            <v>0.73</v>
          </cell>
          <cell r="H31">
            <v>0.55000000000000004</v>
          </cell>
        </row>
        <row r="32">
          <cell r="D32" t="str">
            <v>20100801KUUM_411</v>
          </cell>
          <cell r="E32">
            <v>19.779999999999998</v>
          </cell>
          <cell r="G32">
            <v>0.94</v>
          </cell>
          <cell r="H32">
            <v>0.76</v>
          </cell>
        </row>
        <row r="33">
          <cell r="D33" t="str">
            <v>20100801KUUM_412</v>
          </cell>
          <cell r="E33">
            <v>28.879999999999995</v>
          </cell>
          <cell r="G33">
            <v>0.94</v>
          </cell>
          <cell r="H33">
            <v>0.76</v>
          </cell>
        </row>
        <row r="34">
          <cell r="D34" t="str">
            <v>20100801KUUM_413</v>
          </cell>
          <cell r="E34">
            <v>29.39</v>
          </cell>
          <cell r="G34">
            <v>0.75</v>
          </cell>
          <cell r="H34">
            <v>1.07</v>
          </cell>
        </row>
        <row r="35">
          <cell r="D35" t="str">
            <v>20100801KUUM_414</v>
          </cell>
          <cell r="E35">
            <v>28.879999999999995</v>
          </cell>
          <cell r="G35">
            <v>0.94</v>
          </cell>
          <cell r="H35">
            <v>0.76</v>
          </cell>
        </row>
        <row r="36">
          <cell r="D36" t="str">
            <v>20100801KUUM_415</v>
          </cell>
          <cell r="E36">
            <v>29.39</v>
          </cell>
          <cell r="G36">
            <v>0.75</v>
          </cell>
          <cell r="H36">
            <v>1.07</v>
          </cell>
        </row>
        <row r="37">
          <cell r="D37" t="str">
            <v>20100801KUUM_420</v>
          </cell>
          <cell r="E37">
            <v>14.13</v>
          </cell>
          <cell r="G37">
            <v>0.75</v>
          </cell>
          <cell r="H37">
            <v>1.07</v>
          </cell>
        </row>
        <row r="38">
          <cell r="D38" t="str">
            <v>20100801KUUM_421</v>
          </cell>
          <cell r="E38">
            <v>3.04</v>
          </cell>
          <cell r="G38">
            <v>0.31</v>
          </cell>
          <cell r="H38">
            <v>0.94</v>
          </cell>
        </row>
        <row r="39">
          <cell r="D39" t="str">
            <v>20100801KUUM_422</v>
          </cell>
          <cell r="E39">
            <v>4.05</v>
          </cell>
          <cell r="G39">
            <v>0.4</v>
          </cell>
          <cell r="H39">
            <v>1.85</v>
          </cell>
        </row>
        <row r="40">
          <cell r="D40" t="str">
            <v>20100801KUUM_424</v>
          </cell>
          <cell r="E40">
            <v>6.15</v>
          </cell>
          <cell r="G40">
            <v>0.73</v>
          </cell>
          <cell r="H40">
            <v>0.55000000000000004</v>
          </cell>
        </row>
        <row r="41">
          <cell r="D41" t="str">
            <v>20100801KUUM_425</v>
          </cell>
          <cell r="E41">
            <v>8.06</v>
          </cell>
          <cell r="G41">
            <v>0.83</v>
          </cell>
          <cell r="H41">
            <v>4.0999999999999996</v>
          </cell>
        </row>
        <row r="42">
          <cell r="D42" t="str">
            <v>20100801KUUM_426</v>
          </cell>
          <cell r="E42">
            <v>6.36</v>
          </cell>
          <cell r="G42">
            <v>0.94</v>
          </cell>
          <cell r="H42">
            <v>0.76</v>
          </cell>
        </row>
        <row r="43">
          <cell r="D43" t="str">
            <v>20100801KUUM_428</v>
          </cell>
          <cell r="E43">
            <v>6.9</v>
          </cell>
          <cell r="G43">
            <v>0.75</v>
          </cell>
          <cell r="H43">
            <v>1.07</v>
          </cell>
        </row>
        <row r="44">
          <cell r="D44" t="str">
            <v>20100801KUUM_429</v>
          </cell>
          <cell r="E44">
            <v>12.58</v>
          </cell>
          <cell r="G44">
            <v>1.25</v>
          </cell>
          <cell r="H44">
            <v>2.2200000000000002</v>
          </cell>
        </row>
        <row r="45">
          <cell r="D45" t="str">
            <v>20100801KUUM_430</v>
          </cell>
          <cell r="E45">
            <v>20.52</v>
          </cell>
          <cell r="G45">
            <v>0.75</v>
          </cell>
          <cell r="H45">
            <v>1.07</v>
          </cell>
        </row>
        <row r="46">
          <cell r="D46" t="str">
            <v>20100801KUUM_431</v>
          </cell>
          <cell r="E46">
            <v>3.69</v>
          </cell>
          <cell r="G46">
            <v>0.31</v>
          </cell>
          <cell r="H46">
            <v>0.94</v>
          </cell>
        </row>
        <row r="47">
          <cell r="D47" t="str">
            <v>20100801KUUM_432</v>
          </cell>
          <cell r="E47">
            <v>4.84</v>
          </cell>
          <cell r="G47">
            <v>0.4</v>
          </cell>
          <cell r="H47">
            <v>1.85</v>
          </cell>
        </row>
        <row r="48">
          <cell r="D48" t="str">
            <v>20100801KUUM_433</v>
          </cell>
          <cell r="E48">
            <v>49.34</v>
          </cell>
          <cell r="G48">
            <v>5.44</v>
          </cell>
          <cell r="H48">
            <v>1.66</v>
          </cell>
        </row>
        <row r="49">
          <cell r="D49" t="str">
            <v>20100801KUUM_434</v>
          </cell>
          <cell r="E49">
            <v>7.07</v>
          </cell>
          <cell r="G49">
            <v>0.73</v>
          </cell>
          <cell r="H49">
            <v>0.55000000000000004</v>
          </cell>
        </row>
        <row r="50">
          <cell r="D50" t="str">
            <v>20100801KUUM_435</v>
          </cell>
          <cell r="E50">
            <v>8.06</v>
          </cell>
          <cell r="G50">
            <v>0.83</v>
          </cell>
          <cell r="H50">
            <v>4.0999999999999996</v>
          </cell>
        </row>
        <row r="51">
          <cell r="D51" t="str">
            <v>20100801KUUM_440</v>
          </cell>
          <cell r="E51">
            <v>12.51</v>
          </cell>
          <cell r="G51">
            <v>0.73</v>
          </cell>
          <cell r="H51">
            <v>0.55000000000000004</v>
          </cell>
        </row>
        <row r="52">
          <cell r="D52" t="str">
            <v>20100801KUUM_441</v>
          </cell>
          <cell r="E52">
            <v>13.5</v>
          </cell>
          <cell r="G52">
            <v>0.94</v>
          </cell>
          <cell r="H52">
            <v>0.76</v>
          </cell>
        </row>
        <row r="53">
          <cell r="D53" t="str">
            <v>20100801KUUM_442</v>
          </cell>
          <cell r="E53">
            <v>14.13</v>
          </cell>
          <cell r="G53">
            <v>0.75</v>
          </cell>
          <cell r="H53">
            <v>1.07</v>
          </cell>
        </row>
        <row r="54">
          <cell r="D54" t="str">
            <v>20100801KUUM_444</v>
          </cell>
          <cell r="E54">
            <v>18.900000000000002</v>
          </cell>
          <cell r="G54">
            <v>0.73</v>
          </cell>
          <cell r="H54">
            <v>0.55000000000000004</v>
          </cell>
        </row>
        <row r="55">
          <cell r="D55" t="str">
            <v>20100801KUUM_445</v>
          </cell>
          <cell r="E55">
            <v>19.779999999999998</v>
          </cell>
          <cell r="G55">
            <v>0.94</v>
          </cell>
          <cell r="H55">
            <v>0.76</v>
          </cell>
        </row>
        <row r="56">
          <cell r="D56" t="str">
            <v>20100801KUUM_446</v>
          </cell>
          <cell r="E56">
            <v>8.5500000000000007</v>
          </cell>
          <cell r="G56">
            <v>0.95</v>
          </cell>
          <cell r="H56">
            <v>1.9</v>
          </cell>
        </row>
        <row r="57">
          <cell r="D57" t="str">
            <v>20100801KUUM_447</v>
          </cell>
          <cell r="E57">
            <v>10.09</v>
          </cell>
          <cell r="G57">
            <v>1.0900000000000001</v>
          </cell>
          <cell r="H57">
            <v>2.7</v>
          </cell>
        </row>
        <row r="58">
          <cell r="D58" t="str">
            <v>20100801KUUM_448</v>
          </cell>
          <cell r="E58">
            <v>12.35</v>
          </cell>
          <cell r="G58">
            <v>1.24</v>
          </cell>
          <cell r="H58">
            <v>4.16</v>
          </cell>
        </row>
        <row r="59">
          <cell r="D59" t="str">
            <v>20100801KUUM_449</v>
          </cell>
          <cell r="E59">
            <v>20.52</v>
          </cell>
          <cell r="G59">
            <v>0.75</v>
          </cell>
          <cell r="H59">
            <v>1.07</v>
          </cell>
        </row>
        <row r="60">
          <cell r="D60" t="str">
            <v>20100801KUUM_450</v>
          </cell>
          <cell r="E60">
            <v>12.379999999999999</v>
          </cell>
          <cell r="G60">
            <v>1.38</v>
          </cell>
          <cell r="H60">
            <v>1.9</v>
          </cell>
        </row>
        <row r="61">
          <cell r="D61" t="str">
            <v>20100801KUUM_451</v>
          </cell>
          <cell r="E61">
            <v>17.75</v>
          </cell>
          <cell r="G61">
            <v>1.79</v>
          </cell>
          <cell r="H61">
            <v>4.13</v>
          </cell>
        </row>
        <row r="62">
          <cell r="D62" t="str">
            <v>20100801KUUM_452</v>
          </cell>
          <cell r="E62">
            <v>37.260000000000005</v>
          </cell>
          <cell r="G62">
            <v>3.59</v>
          </cell>
          <cell r="H62">
            <v>9.91</v>
          </cell>
        </row>
        <row r="63">
          <cell r="D63" t="str">
            <v>20100801KUUM_454</v>
          </cell>
          <cell r="E63">
            <v>16.61</v>
          </cell>
          <cell r="G63">
            <v>1.38</v>
          </cell>
          <cell r="H63">
            <v>1.9</v>
          </cell>
        </row>
        <row r="64">
          <cell r="D64" t="str">
            <v>20100801KUUM_455</v>
          </cell>
          <cell r="E64">
            <v>21.980000000000004</v>
          </cell>
          <cell r="G64">
            <v>1.79</v>
          </cell>
          <cell r="H64">
            <v>4.13</v>
          </cell>
        </row>
        <row r="65">
          <cell r="D65" t="str">
            <v>20100801KUUM_456</v>
          </cell>
          <cell r="E65">
            <v>10.77</v>
          </cell>
          <cell r="G65">
            <v>0.95</v>
          </cell>
          <cell r="H65">
            <v>1.9</v>
          </cell>
        </row>
        <row r="66">
          <cell r="D66" t="str">
            <v>20100801KUUM_457</v>
          </cell>
          <cell r="E66">
            <v>12.059999999999999</v>
          </cell>
          <cell r="G66">
            <v>1.0900000000000001</v>
          </cell>
          <cell r="H66">
            <v>2.7</v>
          </cell>
        </row>
        <row r="67">
          <cell r="D67" t="str">
            <v>20100801KUUM_458</v>
          </cell>
          <cell r="E67">
            <v>13.92</v>
          </cell>
          <cell r="G67">
            <v>1.24</v>
          </cell>
          <cell r="H67">
            <v>4.16</v>
          </cell>
        </row>
        <row r="68">
          <cell r="D68" t="str">
            <v>20100801KUUM_459</v>
          </cell>
          <cell r="E68">
            <v>41.489999999999995</v>
          </cell>
          <cell r="G68">
            <v>3.59</v>
          </cell>
          <cell r="H68">
            <v>9.91</v>
          </cell>
        </row>
        <row r="69">
          <cell r="D69" t="str">
            <v>20100801KUUM_460</v>
          </cell>
          <cell r="E69">
            <v>24.790000000000003</v>
          </cell>
          <cell r="G69">
            <v>1.38</v>
          </cell>
          <cell r="H69">
            <v>1.9</v>
          </cell>
        </row>
        <row r="70">
          <cell r="D70" t="str">
            <v>20100801KUUM_461</v>
          </cell>
          <cell r="E70">
            <v>6.67</v>
          </cell>
          <cell r="G70">
            <v>0.73</v>
          </cell>
          <cell r="H70">
            <v>0.55000000000000004</v>
          </cell>
        </row>
        <row r="71">
          <cell r="D71" t="str">
            <v>20100801KUUM_462</v>
          </cell>
          <cell r="E71">
            <v>7.54</v>
          </cell>
          <cell r="G71">
            <v>0.94</v>
          </cell>
          <cell r="H71">
            <v>0.76</v>
          </cell>
        </row>
        <row r="72">
          <cell r="D72" t="str">
            <v>20100801KUUM_463</v>
          </cell>
          <cell r="E72">
            <v>8.15</v>
          </cell>
          <cell r="G72">
            <v>0.75</v>
          </cell>
          <cell r="H72">
            <v>1.07</v>
          </cell>
        </row>
        <row r="73">
          <cell r="D73" t="str">
            <v>20100801KUUM_464</v>
          </cell>
          <cell r="E73">
            <v>12.58</v>
          </cell>
          <cell r="G73">
            <v>1.25</v>
          </cell>
          <cell r="H73">
            <v>2.2200000000000002</v>
          </cell>
        </row>
        <row r="74">
          <cell r="D74" t="str">
            <v>20100801KUUM_465</v>
          </cell>
          <cell r="E74">
            <v>20.5</v>
          </cell>
          <cell r="G74">
            <v>1.83</v>
          </cell>
          <cell r="H74">
            <v>4.32</v>
          </cell>
        </row>
        <row r="75">
          <cell r="D75" t="str">
            <v>20100801KUUM_466</v>
          </cell>
          <cell r="E75">
            <v>8.67</v>
          </cell>
          <cell r="G75">
            <v>0.73</v>
          </cell>
          <cell r="H75">
            <v>0.55000000000000004</v>
          </cell>
        </row>
        <row r="76">
          <cell r="D76" t="str">
            <v>20100801KUUM_467</v>
          </cell>
          <cell r="E76">
            <v>9.57</v>
          </cell>
          <cell r="G76">
            <v>0.94</v>
          </cell>
          <cell r="H76">
            <v>0.76</v>
          </cell>
        </row>
        <row r="77">
          <cell r="D77" t="str">
            <v>20100801KUUM_468</v>
          </cell>
          <cell r="E77">
            <v>10.09</v>
          </cell>
          <cell r="G77">
            <v>0.75</v>
          </cell>
          <cell r="H77">
            <v>1.07</v>
          </cell>
        </row>
        <row r="78">
          <cell r="D78" t="str">
            <v>20100801KUUM_469</v>
          </cell>
          <cell r="E78">
            <v>30.160000000000004</v>
          </cell>
          <cell r="G78">
            <v>1.79</v>
          </cell>
          <cell r="H78">
            <v>4.13</v>
          </cell>
        </row>
        <row r="79">
          <cell r="D79" t="str">
            <v>20100801KUUM_470</v>
          </cell>
          <cell r="E79">
            <v>49.67</v>
          </cell>
          <cell r="G79">
            <v>3.59</v>
          </cell>
          <cell r="H79">
            <v>9.91</v>
          </cell>
        </row>
        <row r="80">
          <cell r="D80" t="str">
            <v>20100801KUUM_471</v>
          </cell>
          <cell r="E80">
            <v>9.5</v>
          </cell>
          <cell r="G80">
            <v>0.73</v>
          </cell>
          <cell r="H80">
            <v>0.55000000000000004</v>
          </cell>
        </row>
        <row r="81">
          <cell r="D81" t="str">
            <v>20100801KUUM_472</v>
          </cell>
          <cell r="E81">
            <v>10.37</v>
          </cell>
          <cell r="G81">
            <v>0.94</v>
          </cell>
          <cell r="H81">
            <v>0.76</v>
          </cell>
        </row>
        <row r="82">
          <cell r="D82" t="str">
            <v>20100801KUUM_473</v>
          </cell>
          <cell r="E82">
            <v>11.19</v>
          </cell>
          <cell r="G82">
            <v>0.75</v>
          </cell>
          <cell r="H82">
            <v>1.07</v>
          </cell>
        </row>
        <row r="83">
          <cell r="D83" t="str">
            <v>20100801KUUM_474</v>
          </cell>
          <cell r="E83">
            <v>15.62</v>
          </cell>
          <cell r="G83">
            <v>1.25</v>
          </cell>
          <cell r="H83">
            <v>2.2200000000000002</v>
          </cell>
        </row>
        <row r="84">
          <cell r="D84" t="str">
            <v>20100801KUUM_475</v>
          </cell>
          <cell r="E84">
            <v>22.059999999999995</v>
          </cell>
          <cell r="G84">
            <v>1.83</v>
          </cell>
          <cell r="H84">
            <v>4.32</v>
          </cell>
        </row>
        <row r="85">
          <cell r="D85" t="str">
            <v>20100801KUUM_476</v>
          </cell>
          <cell r="E85">
            <v>15.3</v>
          </cell>
          <cell r="G85">
            <v>0.94</v>
          </cell>
          <cell r="H85">
            <v>0.76</v>
          </cell>
        </row>
        <row r="86">
          <cell r="D86" t="str">
            <v>20100801KUUM_477</v>
          </cell>
          <cell r="E86">
            <v>17.93</v>
          </cell>
          <cell r="G86">
            <v>0.75</v>
          </cell>
          <cell r="H86">
            <v>1.07</v>
          </cell>
        </row>
        <row r="87">
          <cell r="D87" t="str">
            <v>20100801KUUM_478</v>
          </cell>
          <cell r="E87">
            <v>21.65</v>
          </cell>
          <cell r="G87">
            <v>1.25</v>
          </cell>
          <cell r="H87">
            <v>2.2200000000000002</v>
          </cell>
        </row>
        <row r="88">
          <cell r="D88" t="str">
            <v>20100801KUUM_479</v>
          </cell>
          <cell r="E88">
            <v>27.68</v>
          </cell>
          <cell r="G88">
            <v>1.83</v>
          </cell>
          <cell r="H88">
            <v>4.32</v>
          </cell>
        </row>
        <row r="89">
          <cell r="D89" t="str">
            <v>20100801KUUM_480</v>
          </cell>
          <cell r="E89">
            <v>8.67</v>
          </cell>
          <cell r="G89">
            <v>0.73</v>
          </cell>
          <cell r="H89">
            <v>0.55000000000000004</v>
          </cell>
        </row>
        <row r="90">
          <cell r="D90" t="str">
            <v>20100801KUUM_481</v>
          </cell>
          <cell r="E90">
            <v>9.57</v>
          </cell>
          <cell r="G90">
            <v>0.94</v>
          </cell>
          <cell r="H90">
            <v>0.76</v>
          </cell>
        </row>
        <row r="91">
          <cell r="D91" t="str">
            <v>20100801KUUM_482</v>
          </cell>
          <cell r="E91">
            <v>10.09</v>
          </cell>
          <cell r="G91">
            <v>0.75</v>
          </cell>
          <cell r="H91">
            <v>1.07</v>
          </cell>
        </row>
        <row r="92">
          <cell r="D92" t="str">
            <v>20100801KUUM_483</v>
          </cell>
          <cell r="E92">
            <v>21.449999999999996</v>
          </cell>
          <cell r="G92">
            <v>0.94</v>
          </cell>
          <cell r="H92">
            <v>0.76</v>
          </cell>
        </row>
        <row r="93">
          <cell r="D93" t="str">
            <v>20100801KUUM_484</v>
          </cell>
          <cell r="E93">
            <v>21.59</v>
          </cell>
          <cell r="G93">
            <v>0.75</v>
          </cell>
          <cell r="H93">
            <v>1.07</v>
          </cell>
        </row>
        <row r="94">
          <cell r="D94" t="str">
            <v>20100801KUUM_484.1</v>
          </cell>
          <cell r="E94">
            <v>14.12</v>
          </cell>
          <cell r="G94">
            <v>0.75</v>
          </cell>
          <cell r="H94">
            <v>1.07</v>
          </cell>
        </row>
        <row r="95">
          <cell r="D95" t="str">
            <v>20100801KUUM_485</v>
          </cell>
          <cell r="E95">
            <v>27.38</v>
          </cell>
          <cell r="G95">
            <v>1.25</v>
          </cell>
          <cell r="H95">
            <v>2.2200000000000002</v>
          </cell>
        </row>
        <row r="96">
          <cell r="D96" t="str">
            <v>20100801KUUM_498</v>
          </cell>
          <cell r="E96">
            <v>15.91</v>
          </cell>
          <cell r="G96">
            <v>1.25</v>
          </cell>
          <cell r="H96">
            <v>2.2200000000000002</v>
          </cell>
        </row>
        <row r="97">
          <cell r="D97" t="str">
            <v>20100801KUUM_486</v>
          </cell>
          <cell r="E97">
            <v>30.67</v>
          </cell>
          <cell r="G97">
            <v>1.83</v>
          </cell>
          <cell r="H97">
            <v>4.32</v>
          </cell>
        </row>
        <row r="98">
          <cell r="D98" t="str">
            <v>20100801KUUM_499</v>
          </cell>
          <cell r="E98">
            <v>19.22</v>
          </cell>
          <cell r="G98">
            <v>1.83</v>
          </cell>
          <cell r="H98">
            <v>4.32</v>
          </cell>
        </row>
        <row r="99">
          <cell r="D99" t="str">
            <v>20100801KUUM_487</v>
          </cell>
          <cell r="E99">
            <v>8.01</v>
          </cell>
          <cell r="G99">
            <v>0.75</v>
          </cell>
          <cell r="H99">
            <v>1.07</v>
          </cell>
        </row>
        <row r="100">
          <cell r="D100" t="str">
            <v>20100801KUUM_488</v>
          </cell>
          <cell r="E100">
            <v>11.99</v>
          </cell>
          <cell r="G100">
            <v>1.25</v>
          </cell>
          <cell r="H100">
            <v>2.2200000000000002</v>
          </cell>
        </row>
        <row r="101">
          <cell r="D101" t="str">
            <v>20100801KUUM_489</v>
          </cell>
          <cell r="E101">
            <v>17.25</v>
          </cell>
          <cell r="G101">
            <v>1.83</v>
          </cell>
          <cell r="H101">
            <v>4.32</v>
          </cell>
        </row>
        <row r="102">
          <cell r="D102" t="str">
            <v>20100801KUUM_490</v>
          </cell>
          <cell r="E102">
            <v>13.55</v>
          </cell>
          <cell r="G102">
            <v>1.38</v>
          </cell>
          <cell r="H102">
            <v>1.9</v>
          </cell>
        </row>
        <row r="103">
          <cell r="D103" t="str">
            <v>20100801KUUM_491</v>
          </cell>
          <cell r="E103">
            <v>19.420000000000002</v>
          </cell>
          <cell r="G103">
            <v>1.79</v>
          </cell>
          <cell r="H103">
            <v>4.13</v>
          </cell>
        </row>
        <row r="104">
          <cell r="D104" t="str">
            <v>20100801KUUM_493</v>
          </cell>
          <cell r="E104">
            <v>40.480000000000004</v>
          </cell>
          <cell r="G104">
            <v>3.59</v>
          </cell>
          <cell r="H104">
            <v>9.91</v>
          </cell>
        </row>
        <row r="105">
          <cell r="D105" t="str">
            <v>20100801KUUM_494</v>
          </cell>
          <cell r="E105">
            <v>25.960000000000004</v>
          </cell>
          <cell r="G105">
            <v>1.38</v>
          </cell>
          <cell r="H105">
            <v>1.9</v>
          </cell>
        </row>
        <row r="106">
          <cell r="D106" t="str">
            <v>20100801KUUM_495</v>
          </cell>
          <cell r="E106">
            <v>31.83</v>
          </cell>
          <cell r="G106">
            <v>1.79</v>
          </cell>
          <cell r="H106">
            <v>4.13</v>
          </cell>
        </row>
        <row r="107">
          <cell r="D107" t="str">
            <v>20100801KUUM_496</v>
          </cell>
          <cell r="E107">
            <v>52.89</v>
          </cell>
          <cell r="G107">
            <v>3.59</v>
          </cell>
          <cell r="H107">
            <v>9.91</v>
          </cell>
        </row>
        <row r="108">
          <cell r="D108" t="str">
            <v>20110701KUUM_300</v>
          </cell>
          <cell r="E108">
            <v>21.03</v>
          </cell>
          <cell r="G108">
            <v>0.73</v>
          </cell>
          <cell r="H108">
            <v>0.54</v>
          </cell>
        </row>
        <row r="109">
          <cell r="D109" t="str">
            <v>20110701KUUM_301</v>
          </cell>
          <cell r="E109">
            <v>21.93</v>
          </cell>
          <cell r="G109">
            <v>0.75</v>
          </cell>
          <cell r="H109">
            <v>1.04</v>
          </cell>
        </row>
        <row r="110">
          <cell r="D110" t="str">
            <v>20110701KUUM_360</v>
          </cell>
          <cell r="E110">
            <v>49.290000000000006</v>
          </cell>
          <cell r="G110">
            <v>5.44</v>
          </cell>
          <cell r="H110">
            <v>1.61</v>
          </cell>
        </row>
        <row r="111">
          <cell r="D111" t="str">
            <v>20110701KUUM_361</v>
          </cell>
          <cell r="E111">
            <v>76.070000000000007</v>
          </cell>
          <cell r="G111">
            <v>5.44</v>
          </cell>
          <cell r="H111">
            <v>1.61</v>
          </cell>
        </row>
        <row r="112">
          <cell r="D112" t="str">
            <v>20110701KUUM_362</v>
          </cell>
          <cell r="E112">
            <v>53.570000000000007</v>
          </cell>
          <cell r="G112">
            <v>5.44</v>
          </cell>
          <cell r="H112">
            <v>1.61</v>
          </cell>
        </row>
        <row r="113">
          <cell r="D113" t="str">
            <v>20110701KUUM_363</v>
          </cell>
          <cell r="E113">
            <v>55.470000000000013</v>
          </cell>
          <cell r="G113">
            <v>5.44</v>
          </cell>
          <cell r="H113">
            <v>1.61</v>
          </cell>
        </row>
        <row r="114">
          <cell r="D114" t="str">
            <v>20110701KUUM_364</v>
          </cell>
          <cell r="E114">
            <v>56.78</v>
          </cell>
          <cell r="G114">
            <v>5.44</v>
          </cell>
          <cell r="H114">
            <v>1.61</v>
          </cell>
        </row>
        <row r="115">
          <cell r="D115" t="str">
            <v>20110701KUUM_365</v>
          </cell>
          <cell r="E115">
            <v>73.930000000000007</v>
          </cell>
          <cell r="G115">
            <v>5.44</v>
          </cell>
          <cell r="H115">
            <v>1.61</v>
          </cell>
        </row>
        <row r="116">
          <cell r="D116" t="str">
            <v>20110701KUUM_366</v>
          </cell>
          <cell r="E116">
            <v>72.03</v>
          </cell>
          <cell r="G116">
            <v>5.44</v>
          </cell>
          <cell r="H116">
            <v>1.61</v>
          </cell>
        </row>
        <row r="117">
          <cell r="D117" t="str">
            <v>20110701KUUM_367</v>
          </cell>
          <cell r="E117">
            <v>54.970000000000013</v>
          </cell>
          <cell r="G117">
            <v>5.44</v>
          </cell>
          <cell r="H117">
            <v>1.61</v>
          </cell>
        </row>
        <row r="118">
          <cell r="D118" t="str">
            <v>20110701KUUM_368</v>
          </cell>
          <cell r="E118">
            <v>50.600000000000009</v>
          </cell>
          <cell r="G118">
            <v>5.44</v>
          </cell>
          <cell r="H118">
            <v>1.61</v>
          </cell>
        </row>
        <row r="119">
          <cell r="D119" t="str">
            <v>20110701KUUM_370</v>
          </cell>
          <cell r="E119">
            <v>67.75</v>
          </cell>
          <cell r="G119">
            <v>5.44</v>
          </cell>
          <cell r="H119">
            <v>1.61</v>
          </cell>
        </row>
        <row r="120">
          <cell r="D120" t="str">
            <v>20110701KUUM_372</v>
          </cell>
          <cell r="E120">
            <v>75.240000000000009</v>
          </cell>
          <cell r="G120">
            <v>5.44</v>
          </cell>
          <cell r="H120">
            <v>1.61</v>
          </cell>
        </row>
        <row r="121">
          <cell r="D121" t="str">
            <v>20110701KUUM_373</v>
          </cell>
          <cell r="E121">
            <v>67.75</v>
          </cell>
          <cell r="G121">
            <v>5.44</v>
          </cell>
          <cell r="H121">
            <v>1.61</v>
          </cell>
        </row>
        <row r="122">
          <cell r="D122" t="str">
            <v>20110701KUUM_374</v>
          </cell>
          <cell r="E122">
            <v>69.06</v>
          </cell>
          <cell r="G122">
            <v>5.44</v>
          </cell>
          <cell r="H122">
            <v>1.61</v>
          </cell>
        </row>
        <row r="123">
          <cell r="D123" t="str">
            <v>20110701KUUM_375</v>
          </cell>
          <cell r="E123">
            <v>72.03</v>
          </cell>
          <cell r="G123">
            <v>5.44</v>
          </cell>
          <cell r="H123">
            <v>1.61</v>
          </cell>
        </row>
        <row r="124">
          <cell r="D124" t="str">
            <v>20110701KUUM_376</v>
          </cell>
          <cell r="E124">
            <v>70.39</v>
          </cell>
          <cell r="G124">
            <v>5.44</v>
          </cell>
          <cell r="H124">
            <v>1.61</v>
          </cell>
        </row>
        <row r="125">
          <cell r="D125" t="str">
            <v>20110701KUUM_377</v>
          </cell>
          <cell r="E125">
            <v>57.81</v>
          </cell>
          <cell r="G125">
            <v>5.44</v>
          </cell>
          <cell r="H125">
            <v>1.61</v>
          </cell>
        </row>
        <row r="126">
          <cell r="D126" t="str">
            <v>20110701KUUM_378</v>
          </cell>
          <cell r="E126">
            <v>69.08</v>
          </cell>
          <cell r="G126">
            <v>5.44</v>
          </cell>
          <cell r="H126">
            <v>1.61</v>
          </cell>
        </row>
        <row r="127">
          <cell r="D127" t="str">
            <v>20110701KUUM_379</v>
          </cell>
          <cell r="E127">
            <v>73.83</v>
          </cell>
          <cell r="G127">
            <v>5.44</v>
          </cell>
          <cell r="H127">
            <v>1.61</v>
          </cell>
        </row>
        <row r="128">
          <cell r="D128" t="str">
            <v>20110701KUUM_380</v>
          </cell>
          <cell r="E128">
            <v>77.599999999999994</v>
          </cell>
          <cell r="G128">
            <v>5.44</v>
          </cell>
          <cell r="H128">
            <v>1.61</v>
          </cell>
        </row>
        <row r="129">
          <cell r="D129" t="str">
            <v>20110701KUUM_381</v>
          </cell>
          <cell r="E129">
            <v>78.91</v>
          </cell>
          <cell r="G129">
            <v>5.44</v>
          </cell>
          <cell r="H129">
            <v>1.61</v>
          </cell>
        </row>
        <row r="130">
          <cell r="D130" t="str">
            <v>20110701KUUM_382</v>
          </cell>
          <cell r="E130">
            <v>76.12</v>
          </cell>
          <cell r="G130">
            <v>5.44</v>
          </cell>
          <cell r="H130">
            <v>1.61</v>
          </cell>
        </row>
        <row r="131">
          <cell r="D131" t="str">
            <v>20110701KUUM_395</v>
          </cell>
          <cell r="E131">
            <v>49.290000000000006</v>
          </cell>
          <cell r="G131">
            <v>5.44</v>
          </cell>
          <cell r="H131">
            <v>1.61</v>
          </cell>
        </row>
        <row r="132">
          <cell r="D132" t="str">
            <v>20110701KUUM_400</v>
          </cell>
          <cell r="E132">
            <v>12.489999999999998</v>
          </cell>
          <cell r="G132">
            <v>0.73</v>
          </cell>
          <cell r="H132">
            <v>0.53</v>
          </cell>
        </row>
        <row r="133">
          <cell r="D133" t="str">
            <v>20110701KUUM_401</v>
          </cell>
          <cell r="E133">
            <v>13.48</v>
          </cell>
          <cell r="G133">
            <v>0.94</v>
          </cell>
          <cell r="H133">
            <v>0.74</v>
          </cell>
        </row>
        <row r="134">
          <cell r="D134" t="str">
            <v>20110701KUUM_404</v>
          </cell>
          <cell r="E134">
            <v>9.4600000000000009</v>
          </cell>
          <cell r="G134">
            <v>0.95</v>
          </cell>
          <cell r="H134">
            <v>1.84</v>
          </cell>
        </row>
        <row r="135">
          <cell r="D135" t="str">
            <v>20110701KUUM_405</v>
          </cell>
          <cell r="E135">
            <v>12.219999999999999</v>
          </cell>
          <cell r="G135">
            <v>1.24</v>
          </cell>
          <cell r="H135">
            <v>4.03</v>
          </cell>
        </row>
        <row r="136">
          <cell r="D136" t="str">
            <v>20110701KUUM_406</v>
          </cell>
          <cell r="E136">
            <v>9.82</v>
          </cell>
          <cell r="G136">
            <v>0.95</v>
          </cell>
          <cell r="H136">
            <v>1.84</v>
          </cell>
        </row>
        <row r="137">
          <cell r="D137" t="str">
            <v>20110701KUUM_407</v>
          </cell>
          <cell r="E137">
            <v>20.36</v>
          </cell>
          <cell r="G137">
            <v>1.83</v>
          </cell>
          <cell r="H137">
            <v>4.18</v>
          </cell>
        </row>
        <row r="138">
          <cell r="D138" t="str">
            <v>20110701KUUM_408</v>
          </cell>
          <cell r="E138">
            <v>7.5</v>
          </cell>
          <cell r="G138">
            <v>1.24</v>
          </cell>
          <cell r="H138">
            <v>4.03</v>
          </cell>
        </row>
        <row r="139">
          <cell r="D139" t="str">
            <v>20110701KUUM_409</v>
          </cell>
          <cell r="E139">
            <v>9.66</v>
          </cell>
          <cell r="G139">
            <v>1.83</v>
          </cell>
          <cell r="H139">
            <v>4.18</v>
          </cell>
        </row>
        <row r="140">
          <cell r="D140" t="str">
            <v>20110701KUUM_410</v>
          </cell>
          <cell r="E140">
            <v>18.88</v>
          </cell>
          <cell r="G140">
            <v>0.73</v>
          </cell>
          <cell r="H140">
            <v>0.53</v>
          </cell>
        </row>
        <row r="141">
          <cell r="D141" t="str">
            <v>20110701KUUM_411</v>
          </cell>
          <cell r="E141">
            <v>19.759999999999998</v>
          </cell>
          <cell r="G141">
            <v>0.94</v>
          </cell>
          <cell r="H141">
            <v>0.74</v>
          </cell>
        </row>
        <row r="142">
          <cell r="D142" t="str">
            <v>20110701KUUM_412</v>
          </cell>
          <cell r="E142">
            <v>28.859999999999996</v>
          </cell>
          <cell r="G142">
            <v>0.94</v>
          </cell>
          <cell r="H142">
            <v>0.74</v>
          </cell>
        </row>
        <row r="143">
          <cell r="D143" t="str">
            <v>20110701KUUM_413</v>
          </cell>
          <cell r="E143">
            <v>29.36</v>
          </cell>
          <cell r="G143">
            <v>0.75</v>
          </cell>
          <cell r="H143">
            <v>1.04</v>
          </cell>
        </row>
        <row r="144">
          <cell r="D144" t="str">
            <v>20110701KUUM_414</v>
          </cell>
          <cell r="E144">
            <v>28.859999999999996</v>
          </cell>
          <cell r="G144">
            <v>0.94</v>
          </cell>
          <cell r="H144">
            <v>0.74</v>
          </cell>
        </row>
        <row r="145">
          <cell r="D145" t="str">
            <v>20110701KUUM_415</v>
          </cell>
          <cell r="E145">
            <v>29.36</v>
          </cell>
          <cell r="G145">
            <v>0.75</v>
          </cell>
          <cell r="H145">
            <v>1.04</v>
          </cell>
        </row>
        <row r="146">
          <cell r="D146" t="str">
            <v>20110701KUUM_420</v>
          </cell>
          <cell r="E146">
            <v>14.100000000000001</v>
          </cell>
          <cell r="G146">
            <v>0.75</v>
          </cell>
          <cell r="H146">
            <v>1.04</v>
          </cell>
        </row>
        <row r="147">
          <cell r="D147" t="str">
            <v>20110701KUUM_421</v>
          </cell>
          <cell r="E147">
            <v>3.01</v>
          </cell>
          <cell r="G147">
            <v>0.31</v>
          </cell>
          <cell r="H147">
            <v>0.91</v>
          </cell>
        </row>
        <row r="148">
          <cell r="D148" t="str">
            <v>20110701KUUM_422</v>
          </cell>
          <cell r="E148">
            <v>3.9899999999999998</v>
          </cell>
          <cell r="G148">
            <v>0.4</v>
          </cell>
          <cell r="H148">
            <v>1.79</v>
          </cell>
        </row>
        <row r="149">
          <cell r="D149" t="str">
            <v>20110701KUUM_424</v>
          </cell>
          <cell r="E149">
            <v>6.0600000000000005</v>
          </cell>
          <cell r="G149">
            <v>0.73</v>
          </cell>
          <cell r="H149">
            <v>0.46</v>
          </cell>
        </row>
        <row r="150">
          <cell r="D150" t="str">
            <v>20110701KUUM_425</v>
          </cell>
          <cell r="E150">
            <v>7.9300000000000006</v>
          </cell>
          <cell r="G150">
            <v>0.83</v>
          </cell>
          <cell r="H150">
            <v>3.97</v>
          </cell>
        </row>
        <row r="151">
          <cell r="D151" t="str">
            <v>20110701KUUM_426</v>
          </cell>
          <cell r="E151">
            <v>6.34</v>
          </cell>
          <cell r="G151">
            <v>0.94</v>
          </cell>
          <cell r="H151">
            <v>0.74</v>
          </cell>
        </row>
        <row r="152">
          <cell r="D152" t="str">
            <v>20110701KUUM_428</v>
          </cell>
          <cell r="E152">
            <v>6.87</v>
          </cell>
          <cell r="G152">
            <v>0.75</v>
          </cell>
          <cell r="H152">
            <v>1.04</v>
          </cell>
        </row>
        <row r="153">
          <cell r="D153" t="str">
            <v>20110701KUUM_429</v>
          </cell>
          <cell r="E153">
            <v>12.51</v>
          </cell>
          <cell r="G153">
            <v>1.25</v>
          </cell>
          <cell r="H153">
            <v>2.15</v>
          </cell>
        </row>
        <row r="154">
          <cell r="D154" t="str">
            <v>20110701KUUM_430</v>
          </cell>
          <cell r="E154">
            <v>20.49</v>
          </cell>
          <cell r="G154">
            <v>0.75</v>
          </cell>
          <cell r="H154">
            <v>1.04</v>
          </cell>
        </row>
        <row r="155">
          <cell r="D155" t="str">
            <v>20110701KUUM_431</v>
          </cell>
          <cell r="E155">
            <v>3.66</v>
          </cell>
          <cell r="G155">
            <v>0.31</v>
          </cell>
          <cell r="H155">
            <v>0.91</v>
          </cell>
        </row>
        <row r="156">
          <cell r="D156" t="str">
            <v>20110701KUUM_432</v>
          </cell>
          <cell r="E156">
            <v>4.7799999999999994</v>
          </cell>
          <cell r="G156">
            <v>0.4</v>
          </cell>
          <cell r="H156">
            <v>1.79</v>
          </cell>
        </row>
        <row r="157">
          <cell r="D157" t="str">
            <v>20110701KUUM_433</v>
          </cell>
          <cell r="E157">
            <v>49.290000000000006</v>
          </cell>
          <cell r="G157">
            <v>5.44</v>
          </cell>
          <cell r="H157">
            <v>1.61</v>
          </cell>
        </row>
        <row r="158">
          <cell r="D158" t="str">
            <v>20110701KUUM_434</v>
          </cell>
          <cell r="E158">
            <v>6.98</v>
          </cell>
          <cell r="G158">
            <v>0.73</v>
          </cell>
          <cell r="H158">
            <v>0.46</v>
          </cell>
        </row>
        <row r="159">
          <cell r="D159" t="str">
            <v>20110701KUUM_435</v>
          </cell>
          <cell r="E159">
            <v>8.9499999999999993</v>
          </cell>
          <cell r="G159">
            <v>0.83</v>
          </cell>
          <cell r="H159">
            <v>3.97</v>
          </cell>
        </row>
        <row r="160">
          <cell r="D160" t="str">
            <v>20110701KUUM_440</v>
          </cell>
          <cell r="E160">
            <v>12.489999999999998</v>
          </cell>
          <cell r="G160">
            <v>0.73</v>
          </cell>
          <cell r="H160">
            <v>0.53</v>
          </cell>
        </row>
        <row r="161">
          <cell r="D161" t="str">
            <v>20110701KUUM_441</v>
          </cell>
          <cell r="E161">
            <v>13.48</v>
          </cell>
          <cell r="G161">
            <v>0.94</v>
          </cell>
          <cell r="H161">
            <v>0.74</v>
          </cell>
        </row>
        <row r="162">
          <cell r="D162" t="str">
            <v>20110701KUUM_442</v>
          </cell>
          <cell r="E162">
            <v>14.100000000000001</v>
          </cell>
          <cell r="G162">
            <v>0.75</v>
          </cell>
          <cell r="H162">
            <v>1.04</v>
          </cell>
        </row>
        <row r="163">
          <cell r="D163" t="str">
            <v>20110701KUUM_444</v>
          </cell>
          <cell r="E163">
            <v>18.88</v>
          </cell>
          <cell r="G163">
            <v>0.73</v>
          </cell>
          <cell r="H163">
            <v>0.53</v>
          </cell>
        </row>
        <row r="164">
          <cell r="D164" t="str">
            <v>20110701KUUM_445</v>
          </cell>
          <cell r="E164">
            <v>19.759999999999998</v>
          </cell>
          <cell r="G164">
            <v>0.94</v>
          </cell>
          <cell r="H164">
            <v>0.74</v>
          </cell>
        </row>
        <row r="165">
          <cell r="D165" t="str">
            <v>20110701KUUM_446</v>
          </cell>
          <cell r="E165">
            <v>8.490000000000002</v>
          </cell>
          <cell r="G165">
            <v>0.95</v>
          </cell>
          <cell r="H165">
            <v>1.84</v>
          </cell>
        </row>
        <row r="166">
          <cell r="D166" t="str">
            <v>20110701KUUM_447</v>
          </cell>
          <cell r="E166">
            <v>10.01</v>
          </cell>
          <cell r="G166">
            <v>1.0900000000000001</v>
          </cell>
          <cell r="H166">
            <v>2.62</v>
          </cell>
        </row>
        <row r="167">
          <cell r="D167" t="str">
            <v>20110701KUUM_448</v>
          </cell>
          <cell r="E167">
            <v>12.219999999999999</v>
          </cell>
          <cell r="G167">
            <v>1.24</v>
          </cell>
          <cell r="H167">
            <v>4.03</v>
          </cell>
        </row>
        <row r="168">
          <cell r="D168" t="str">
            <v>20110701KUUM_449</v>
          </cell>
          <cell r="E168">
            <v>20.49</v>
          </cell>
          <cell r="G168">
            <v>0.75</v>
          </cell>
          <cell r="H168">
            <v>1.04</v>
          </cell>
        </row>
        <row r="169">
          <cell r="D169" t="str">
            <v>20110701KUUM_450</v>
          </cell>
          <cell r="E169">
            <v>12.34</v>
          </cell>
          <cell r="G169">
            <v>1.38</v>
          </cell>
          <cell r="H169">
            <v>1.86</v>
          </cell>
        </row>
        <row r="170">
          <cell r="D170" t="str">
            <v>20110701KUUM_451</v>
          </cell>
          <cell r="E170">
            <v>17.650000000000002</v>
          </cell>
          <cell r="G170">
            <v>1.79</v>
          </cell>
          <cell r="H170">
            <v>4.03</v>
          </cell>
        </row>
        <row r="171">
          <cell r="D171" t="str">
            <v>20110701KUUM_452</v>
          </cell>
          <cell r="E171">
            <v>36.950000000000003</v>
          </cell>
          <cell r="G171">
            <v>3.59</v>
          </cell>
          <cell r="H171">
            <v>9.6</v>
          </cell>
        </row>
        <row r="172">
          <cell r="D172" t="str">
            <v>20110701KUUM_454</v>
          </cell>
          <cell r="E172">
            <v>16.57</v>
          </cell>
          <cell r="G172">
            <v>1.38</v>
          </cell>
          <cell r="H172">
            <v>1.86</v>
          </cell>
        </row>
        <row r="173">
          <cell r="D173" t="str">
            <v>20110701KUUM_455</v>
          </cell>
          <cell r="E173">
            <v>21.880000000000003</v>
          </cell>
          <cell r="G173">
            <v>1.79</v>
          </cell>
          <cell r="H173">
            <v>4.03</v>
          </cell>
        </row>
        <row r="174">
          <cell r="D174" t="str">
            <v>20110701KUUM_456</v>
          </cell>
          <cell r="E174">
            <v>10.71</v>
          </cell>
          <cell r="G174">
            <v>0.95</v>
          </cell>
          <cell r="H174">
            <v>1.84</v>
          </cell>
        </row>
        <row r="175">
          <cell r="D175" t="str">
            <v>20110701KUUM_457</v>
          </cell>
          <cell r="E175">
            <v>11.98</v>
          </cell>
          <cell r="G175">
            <v>1.0900000000000001</v>
          </cell>
          <cell r="H175">
            <v>2.62</v>
          </cell>
        </row>
        <row r="176">
          <cell r="D176" t="str">
            <v>20110701KUUM_458</v>
          </cell>
          <cell r="E176">
            <v>13.79</v>
          </cell>
          <cell r="G176">
            <v>1.24</v>
          </cell>
          <cell r="H176">
            <v>4.03</v>
          </cell>
        </row>
        <row r="177">
          <cell r="D177" t="str">
            <v>20110701KUUM_459</v>
          </cell>
          <cell r="E177">
            <v>41.180000000000007</v>
          </cell>
          <cell r="G177">
            <v>3.59</v>
          </cell>
          <cell r="H177">
            <v>9.6</v>
          </cell>
        </row>
        <row r="178">
          <cell r="D178" t="str">
            <v>20110701KUUM_460</v>
          </cell>
          <cell r="E178">
            <v>24.75</v>
          </cell>
          <cell r="G178">
            <v>1.38</v>
          </cell>
          <cell r="H178">
            <v>1.86</v>
          </cell>
        </row>
        <row r="179">
          <cell r="D179" t="str">
            <v>20110701KUUM_461</v>
          </cell>
          <cell r="E179">
            <v>6.6499999999999995</v>
          </cell>
          <cell r="G179">
            <v>0.73</v>
          </cell>
          <cell r="H179">
            <v>0.53</v>
          </cell>
        </row>
        <row r="180">
          <cell r="D180" t="str">
            <v>20110701KUUM_462</v>
          </cell>
          <cell r="E180">
            <v>7.52</v>
          </cell>
          <cell r="G180">
            <v>0.94</v>
          </cell>
          <cell r="H180">
            <v>0.74</v>
          </cell>
        </row>
        <row r="181">
          <cell r="D181" t="str">
            <v>20110701KUUM_463</v>
          </cell>
          <cell r="E181">
            <v>8.120000000000001</v>
          </cell>
          <cell r="G181">
            <v>0.75</v>
          </cell>
          <cell r="H181">
            <v>1.04</v>
          </cell>
        </row>
        <row r="182">
          <cell r="D182" t="str">
            <v>20110701KUUM_464</v>
          </cell>
          <cell r="E182">
            <v>12.51</v>
          </cell>
          <cell r="G182">
            <v>1.25</v>
          </cell>
          <cell r="H182">
            <v>2.15</v>
          </cell>
        </row>
        <row r="183">
          <cell r="D183" t="str">
            <v>20110701KUUM_465</v>
          </cell>
          <cell r="E183">
            <v>20.36</v>
          </cell>
          <cell r="G183">
            <v>1.83</v>
          </cell>
          <cell r="H183">
            <v>4.18</v>
          </cell>
        </row>
        <row r="184">
          <cell r="D184" t="str">
            <v>20110701KUUM_466</v>
          </cell>
          <cell r="E184">
            <v>8.65</v>
          </cell>
          <cell r="G184">
            <v>0.73</v>
          </cell>
          <cell r="H184">
            <v>0.53</v>
          </cell>
        </row>
        <row r="185">
          <cell r="D185" t="str">
            <v>20110701KUUM_467</v>
          </cell>
          <cell r="E185">
            <v>9.5500000000000007</v>
          </cell>
          <cell r="G185">
            <v>0.94</v>
          </cell>
          <cell r="H185">
            <v>0.74</v>
          </cell>
        </row>
        <row r="186">
          <cell r="D186" t="str">
            <v>20110701KUUM_468</v>
          </cell>
          <cell r="E186">
            <v>10.059999999999999</v>
          </cell>
          <cell r="G186">
            <v>0.75</v>
          </cell>
          <cell r="H186">
            <v>1.04</v>
          </cell>
        </row>
        <row r="187">
          <cell r="D187" t="str">
            <v>20110701KUUM_469</v>
          </cell>
          <cell r="E187">
            <v>30.060000000000002</v>
          </cell>
          <cell r="G187">
            <v>1.79</v>
          </cell>
          <cell r="H187">
            <v>4.03</v>
          </cell>
        </row>
        <row r="188">
          <cell r="D188" t="str">
            <v>20110701KUUM_470</v>
          </cell>
          <cell r="E188">
            <v>49.36</v>
          </cell>
          <cell r="G188">
            <v>3.59</v>
          </cell>
          <cell r="H188">
            <v>9.6</v>
          </cell>
        </row>
        <row r="189">
          <cell r="D189" t="str">
            <v>20110701KUUM_471</v>
          </cell>
          <cell r="E189">
            <v>9.4799999999999986</v>
          </cell>
          <cell r="G189">
            <v>0.73</v>
          </cell>
          <cell r="H189">
            <v>0.53</v>
          </cell>
        </row>
        <row r="190">
          <cell r="D190" t="str">
            <v>20110701KUUM_472</v>
          </cell>
          <cell r="E190">
            <v>10.35</v>
          </cell>
          <cell r="G190">
            <v>0.94</v>
          </cell>
          <cell r="H190">
            <v>0.74</v>
          </cell>
        </row>
        <row r="191">
          <cell r="D191" t="str">
            <v>20110701KUUM_473</v>
          </cell>
          <cell r="E191">
            <v>11.16</v>
          </cell>
          <cell r="G191">
            <v>0.75</v>
          </cell>
          <cell r="H191">
            <v>1.04</v>
          </cell>
        </row>
        <row r="192">
          <cell r="D192" t="str">
            <v>20110701KUUM_474</v>
          </cell>
          <cell r="E192">
            <v>15.549999999999999</v>
          </cell>
          <cell r="G192">
            <v>1.25</v>
          </cell>
          <cell r="H192">
            <v>2.15</v>
          </cell>
        </row>
        <row r="193">
          <cell r="D193" t="str">
            <v>20110701KUUM_475</v>
          </cell>
          <cell r="E193">
            <v>21.92</v>
          </cell>
          <cell r="G193">
            <v>1.83</v>
          </cell>
          <cell r="H193">
            <v>4.18</v>
          </cell>
        </row>
        <row r="194">
          <cell r="D194" t="str">
            <v>20110701KUUM_476</v>
          </cell>
          <cell r="E194">
            <v>15.28</v>
          </cell>
          <cell r="G194">
            <v>0.94</v>
          </cell>
          <cell r="H194">
            <v>0.74</v>
          </cell>
        </row>
        <row r="195">
          <cell r="D195" t="str">
            <v>20110701KUUM_477</v>
          </cell>
          <cell r="E195">
            <v>17.899999999999999</v>
          </cell>
          <cell r="G195">
            <v>0.75</v>
          </cell>
          <cell r="H195">
            <v>1.04</v>
          </cell>
        </row>
        <row r="196">
          <cell r="D196" t="str">
            <v>20110701KUUM_478</v>
          </cell>
          <cell r="E196">
            <v>21.58</v>
          </cell>
          <cell r="G196">
            <v>1.25</v>
          </cell>
          <cell r="H196">
            <v>2.15</v>
          </cell>
        </row>
        <row r="197">
          <cell r="D197" t="str">
            <v>20110701KUUM_479</v>
          </cell>
          <cell r="E197">
            <v>27.54</v>
          </cell>
          <cell r="G197">
            <v>1.83</v>
          </cell>
          <cell r="H197">
            <v>4.18</v>
          </cell>
        </row>
        <row r="198">
          <cell r="D198" t="str">
            <v>20110701KUUM_480</v>
          </cell>
          <cell r="E198">
            <v>8.65</v>
          </cell>
          <cell r="G198">
            <v>0.73</v>
          </cell>
          <cell r="H198">
            <v>0.53</v>
          </cell>
        </row>
        <row r="199">
          <cell r="D199" t="str">
            <v>20110701KUUM_481</v>
          </cell>
          <cell r="E199">
            <v>9.5500000000000007</v>
          </cell>
          <cell r="G199">
            <v>0.94</v>
          </cell>
          <cell r="H199">
            <v>0.74</v>
          </cell>
        </row>
        <row r="200">
          <cell r="D200" t="str">
            <v>20110701KUUM_482</v>
          </cell>
          <cell r="E200">
            <v>10.059999999999999</v>
          </cell>
          <cell r="G200">
            <v>0.75</v>
          </cell>
          <cell r="H200">
            <v>1.04</v>
          </cell>
        </row>
        <row r="201">
          <cell r="D201" t="str">
            <v>20110701KUUM_483</v>
          </cell>
          <cell r="E201">
            <v>21.429999999999996</v>
          </cell>
          <cell r="G201">
            <v>0.94</v>
          </cell>
          <cell r="H201">
            <v>0.74</v>
          </cell>
        </row>
        <row r="202">
          <cell r="D202" t="str">
            <v>20110701KUUM_484</v>
          </cell>
          <cell r="E202">
            <v>21.56</v>
          </cell>
          <cell r="G202">
            <v>0.75</v>
          </cell>
          <cell r="H202">
            <v>1.04</v>
          </cell>
        </row>
        <row r="203">
          <cell r="D203" t="str">
            <v>20110701KUUM_484.1</v>
          </cell>
          <cell r="E203">
            <v>35.65</v>
          </cell>
          <cell r="G203">
            <v>1.5</v>
          </cell>
          <cell r="H203">
            <v>2.08</v>
          </cell>
        </row>
        <row r="204">
          <cell r="D204" t="str">
            <v>20110701KUUM_485</v>
          </cell>
          <cell r="E204">
            <v>27.31</v>
          </cell>
          <cell r="G204">
            <v>1.25</v>
          </cell>
          <cell r="H204">
            <v>2.15</v>
          </cell>
        </row>
        <row r="205">
          <cell r="D205" t="str">
            <v>20110701KUUM_486</v>
          </cell>
          <cell r="E205">
            <v>30.53</v>
          </cell>
          <cell r="G205">
            <v>1.83</v>
          </cell>
          <cell r="H205">
            <v>4.18</v>
          </cell>
        </row>
        <row r="206">
          <cell r="D206" t="str">
            <v>20110701KUUM_487</v>
          </cell>
          <cell r="E206">
            <v>7.9799999999999995</v>
          </cell>
          <cell r="G206">
            <v>0.75</v>
          </cell>
          <cell r="H206">
            <v>1.04</v>
          </cell>
        </row>
        <row r="207">
          <cell r="D207" t="str">
            <v>20110701KUUM_488</v>
          </cell>
          <cell r="E207">
            <v>11.92</v>
          </cell>
          <cell r="G207">
            <v>1.25</v>
          </cell>
          <cell r="H207">
            <v>2.15</v>
          </cell>
        </row>
        <row r="208">
          <cell r="D208" t="str">
            <v>20110701KUUM_489</v>
          </cell>
          <cell r="E208">
            <v>17.11</v>
          </cell>
          <cell r="G208">
            <v>1.83</v>
          </cell>
          <cell r="H208">
            <v>4.18</v>
          </cell>
        </row>
        <row r="209">
          <cell r="D209" t="str">
            <v>20110701KUUM_490</v>
          </cell>
          <cell r="E209">
            <v>13.510000000000002</v>
          </cell>
          <cell r="G209">
            <v>1.38</v>
          </cell>
          <cell r="H209">
            <v>1.86</v>
          </cell>
        </row>
        <row r="210">
          <cell r="D210" t="str">
            <v>20110701KUUM_491</v>
          </cell>
          <cell r="E210">
            <v>19.320000000000004</v>
          </cell>
          <cell r="G210">
            <v>1.79</v>
          </cell>
          <cell r="H210">
            <v>4.03</v>
          </cell>
        </row>
        <row r="211">
          <cell r="D211" t="str">
            <v>20110701KUUM_492</v>
          </cell>
          <cell r="E211">
            <v>13.97</v>
          </cell>
          <cell r="G211">
            <v>0.94</v>
          </cell>
          <cell r="H211">
            <v>0.74</v>
          </cell>
        </row>
        <row r="212">
          <cell r="D212" t="str">
            <v>20110701KUUM_493</v>
          </cell>
          <cell r="E212">
            <v>40.17</v>
          </cell>
          <cell r="G212">
            <v>3.59</v>
          </cell>
          <cell r="H212">
            <v>9.6</v>
          </cell>
        </row>
        <row r="213">
          <cell r="D213" t="str">
            <v>20110701KUUM_494</v>
          </cell>
          <cell r="E213">
            <v>25.92</v>
          </cell>
          <cell r="G213">
            <v>1.38</v>
          </cell>
          <cell r="H213">
            <v>1.86</v>
          </cell>
        </row>
        <row r="214">
          <cell r="D214" t="str">
            <v>20110701KUUM_495</v>
          </cell>
          <cell r="E214">
            <v>31.73</v>
          </cell>
          <cell r="G214">
            <v>1.79</v>
          </cell>
          <cell r="H214">
            <v>4.03</v>
          </cell>
        </row>
        <row r="215">
          <cell r="D215" t="str">
            <v>20110701KUUM_496</v>
          </cell>
          <cell r="E215">
            <v>52.58</v>
          </cell>
          <cell r="G215">
            <v>3.59</v>
          </cell>
          <cell r="H215">
            <v>9.6</v>
          </cell>
        </row>
        <row r="216">
          <cell r="D216" t="str">
            <v>20110701KUUM_498</v>
          </cell>
          <cell r="E216">
            <v>15.84</v>
          </cell>
          <cell r="G216">
            <v>1.25</v>
          </cell>
          <cell r="H216">
            <v>2.15</v>
          </cell>
        </row>
        <row r="217">
          <cell r="D217" t="str">
            <v>20110701KUUM_499</v>
          </cell>
          <cell r="E217">
            <v>19.059999999999999</v>
          </cell>
          <cell r="G217">
            <v>1.83</v>
          </cell>
          <cell r="H217">
            <v>4.16</v>
          </cell>
        </row>
        <row r="218">
          <cell r="D218" t="str">
            <v>20120301KUUM_300</v>
          </cell>
          <cell r="E218">
            <v>21.310000000000002</v>
          </cell>
          <cell r="G218">
            <v>1.01</v>
          </cell>
          <cell r="H218">
            <v>0.54</v>
          </cell>
        </row>
        <row r="219">
          <cell r="D219" t="str">
            <v>20120301KUUM_301</v>
          </cell>
          <cell r="E219">
            <v>22.22</v>
          </cell>
          <cell r="G219">
            <v>1.04</v>
          </cell>
          <cell r="H219">
            <v>1.04</v>
          </cell>
        </row>
        <row r="220">
          <cell r="D220" t="str">
            <v>20120301KUUM_360</v>
          </cell>
          <cell r="E220">
            <v>51.000000000000007</v>
          </cell>
          <cell r="G220">
            <v>7.15</v>
          </cell>
          <cell r="H220">
            <v>1.61</v>
          </cell>
        </row>
        <row r="221">
          <cell r="D221" t="str">
            <v>20120301KUUM_361</v>
          </cell>
          <cell r="E221">
            <v>77.780000000000015</v>
          </cell>
          <cell r="G221">
            <v>7.15</v>
          </cell>
          <cell r="H221">
            <v>1.61</v>
          </cell>
        </row>
        <row r="222">
          <cell r="D222" t="str">
            <v>20120301KUUM_362</v>
          </cell>
          <cell r="E222">
            <v>55.28</v>
          </cell>
          <cell r="G222">
            <v>7.15</v>
          </cell>
          <cell r="H222">
            <v>1.61</v>
          </cell>
        </row>
        <row r="223">
          <cell r="D223" t="str">
            <v>20120301KUUM_363</v>
          </cell>
          <cell r="E223">
            <v>57.180000000000007</v>
          </cell>
          <cell r="G223">
            <v>7.15</v>
          </cell>
          <cell r="H223">
            <v>1.61</v>
          </cell>
        </row>
        <row r="224">
          <cell r="D224" t="str">
            <v>20120301KUUM_364</v>
          </cell>
          <cell r="E224">
            <v>58.49</v>
          </cell>
          <cell r="G224">
            <v>7.15</v>
          </cell>
          <cell r="H224">
            <v>1.61</v>
          </cell>
        </row>
        <row r="225">
          <cell r="D225" t="str">
            <v>20120301KUUM_365</v>
          </cell>
          <cell r="E225">
            <v>75.640000000000015</v>
          </cell>
          <cell r="G225">
            <v>7.15</v>
          </cell>
          <cell r="H225">
            <v>1.61</v>
          </cell>
        </row>
        <row r="226">
          <cell r="D226" t="str">
            <v>20120301KUUM_366</v>
          </cell>
          <cell r="E226">
            <v>73.740000000000009</v>
          </cell>
          <cell r="G226">
            <v>7.15</v>
          </cell>
          <cell r="H226">
            <v>1.61</v>
          </cell>
        </row>
        <row r="227">
          <cell r="D227" t="str">
            <v>20120301KUUM_367</v>
          </cell>
          <cell r="E227">
            <v>56.680000000000007</v>
          </cell>
          <cell r="G227">
            <v>7.15</v>
          </cell>
          <cell r="H227">
            <v>1.61</v>
          </cell>
        </row>
        <row r="228">
          <cell r="D228" t="str">
            <v>20120301KUUM_368</v>
          </cell>
          <cell r="E228">
            <v>52.31</v>
          </cell>
          <cell r="G228">
            <v>7.15</v>
          </cell>
          <cell r="H228">
            <v>1.61</v>
          </cell>
        </row>
        <row r="229">
          <cell r="D229" t="str">
            <v>20120301KUUM_370</v>
          </cell>
          <cell r="E229">
            <v>69.460000000000008</v>
          </cell>
          <cell r="G229">
            <v>7.15</v>
          </cell>
          <cell r="H229">
            <v>1.61</v>
          </cell>
        </row>
        <row r="230">
          <cell r="D230" t="str">
            <v>20120301KUUM_372</v>
          </cell>
          <cell r="E230">
            <v>76.950000000000017</v>
          </cell>
          <cell r="G230">
            <v>7.15</v>
          </cell>
          <cell r="H230">
            <v>1.61</v>
          </cell>
        </row>
        <row r="231">
          <cell r="D231" t="str">
            <v>20120301KUUM_373</v>
          </cell>
          <cell r="E231">
            <v>69.460000000000008</v>
          </cell>
          <cell r="G231">
            <v>7.15</v>
          </cell>
          <cell r="H231">
            <v>1.61</v>
          </cell>
        </row>
        <row r="232">
          <cell r="D232" t="str">
            <v>20120301KUUM_374</v>
          </cell>
          <cell r="E232">
            <v>70.77000000000001</v>
          </cell>
          <cell r="G232">
            <v>7.15</v>
          </cell>
          <cell r="H232">
            <v>1.61</v>
          </cell>
        </row>
        <row r="233">
          <cell r="D233" t="str">
            <v>20120301KUUM_375</v>
          </cell>
          <cell r="E233">
            <v>73.740000000000009</v>
          </cell>
          <cell r="G233">
            <v>7.15</v>
          </cell>
          <cell r="H233">
            <v>1.61</v>
          </cell>
        </row>
        <row r="234">
          <cell r="D234" t="str">
            <v>20120301KUUM_376</v>
          </cell>
          <cell r="E234">
            <v>72.100000000000009</v>
          </cell>
          <cell r="G234">
            <v>7.15</v>
          </cell>
          <cell r="H234">
            <v>1.61</v>
          </cell>
        </row>
        <row r="235">
          <cell r="D235" t="str">
            <v>20120301KUUM_377</v>
          </cell>
          <cell r="E235">
            <v>59.52</v>
          </cell>
          <cell r="G235">
            <v>7.15</v>
          </cell>
          <cell r="H235">
            <v>1.61</v>
          </cell>
        </row>
        <row r="236">
          <cell r="D236" t="str">
            <v>20120301KUUM_378</v>
          </cell>
          <cell r="E236">
            <v>70.790000000000006</v>
          </cell>
          <cell r="G236">
            <v>7.15</v>
          </cell>
          <cell r="H236">
            <v>1.61</v>
          </cell>
        </row>
        <row r="237">
          <cell r="D237" t="str">
            <v>20120301KUUM_379</v>
          </cell>
          <cell r="E237">
            <v>75.540000000000006</v>
          </cell>
          <cell r="G237">
            <v>7.15</v>
          </cell>
          <cell r="H237">
            <v>1.61</v>
          </cell>
        </row>
        <row r="238">
          <cell r="D238" t="str">
            <v>20120301KUUM_380</v>
          </cell>
          <cell r="E238">
            <v>79.31</v>
          </cell>
          <cell r="G238">
            <v>7.15</v>
          </cell>
          <cell r="H238">
            <v>1.61</v>
          </cell>
        </row>
        <row r="239">
          <cell r="D239" t="str">
            <v>20120301KUUM_381</v>
          </cell>
          <cell r="E239">
            <v>80.62</v>
          </cell>
          <cell r="G239">
            <v>7.15</v>
          </cell>
          <cell r="H239">
            <v>1.61</v>
          </cell>
        </row>
        <row r="240">
          <cell r="D240" t="str">
            <v>20120301KUUM_382</v>
          </cell>
          <cell r="E240">
            <v>77.83</v>
          </cell>
          <cell r="G240">
            <v>7.15</v>
          </cell>
          <cell r="H240">
            <v>1.61</v>
          </cell>
        </row>
        <row r="241">
          <cell r="D241" t="str">
            <v>20120301KUUM_395</v>
          </cell>
          <cell r="E241">
            <v>51.000000000000007</v>
          </cell>
          <cell r="G241">
            <v>7.15</v>
          </cell>
          <cell r="H241">
            <v>1.61</v>
          </cell>
        </row>
        <row r="242">
          <cell r="D242" t="str">
            <v>20120301KUUM_400</v>
          </cell>
          <cell r="E242">
            <v>12.77</v>
          </cell>
          <cell r="G242">
            <v>1.01</v>
          </cell>
          <cell r="H242">
            <v>0.53</v>
          </cell>
        </row>
        <row r="243">
          <cell r="D243" t="str">
            <v>20120301KUUM_401</v>
          </cell>
          <cell r="E243">
            <v>13.860000000000001</v>
          </cell>
          <cell r="G243">
            <v>1.32</v>
          </cell>
          <cell r="H243">
            <v>0.74</v>
          </cell>
        </row>
        <row r="244">
          <cell r="D244" t="str">
            <v>20120301KUUM_404</v>
          </cell>
          <cell r="E244">
            <v>9.69</v>
          </cell>
          <cell r="G244">
            <v>1.18</v>
          </cell>
          <cell r="H244">
            <v>1.84</v>
          </cell>
        </row>
        <row r="245">
          <cell r="D245" t="str">
            <v>20120301KUUM_405</v>
          </cell>
          <cell r="E245">
            <v>12.57</v>
          </cell>
          <cell r="G245">
            <v>1.59</v>
          </cell>
          <cell r="H245">
            <v>4.03</v>
          </cell>
        </row>
        <row r="246">
          <cell r="D246" t="str">
            <v>20120301KUUM_406</v>
          </cell>
          <cell r="E246">
            <v>10.050000000000001</v>
          </cell>
          <cell r="G246">
            <v>1.18</v>
          </cell>
          <cell r="H246">
            <v>1.84</v>
          </cell>
        </row>
        <row r="247">
          <cell r="D247" t="str">
            <v>20120301KUUM_407</v>
          </cell>
          <cell r="E247">
            <v>20.95</v>
          </cell>
          <cell r="G247">
            <v>2.42</v>
          </cell>
          <cell r="H247">
            <v>4.18</v>
          </cell>
        </row>
        <row r="248">
          <cell r="D248" t="str">
            <v>20120301KUUM_408</v>
          </cell>
          <cell r="E248">
            <v>7.85</v>
          </cell>
          <cell r="G248">
            <v>1.59</v>
          </cell>
          <cell r="H248">
            <v>4.03</v>
          </cell>
        </row>
        <row r="249">
          <cell r="D249" t="str">
            <v>20120301KUUM_409</v>
          </cell>
          <cell r="E249">
            <v>10.25</v>
          </cell>
          <cell r="G249">
            <v>2.42</v>
          </cell>
          <cell r="H249">
            <v>4.18</v>
          </cell>
        </row>
        <row r="250">
          <cell r="D250" t="str">
            <v>20120301KUUM_410</v>
          </cell>
          <cell r="E250">
            <v>19.16</v>
          </cell>
          <cell r="G250">
            <v>1.01</v>
          </cell>
          <cell r="H250">
            <v>0.53</v>
          </cell>
        </row>
        <row r="251">
          <cell r="D251" t="str">
            <v>20120301KUUM_411</v>
          </cell>
          <cell r="E251">
            <v>20.139999999999997</v>
          </cell>
          <cell r="G251">
            <v>1.32</v>
          </cell>
          <cell r="H251">
            <v>0.74</v>
          </cell>
        </row>
        <row r="252">
          <cell r="D252" t="str">
            <v>20120301KUUM_412</v>
          </cell>
          <cell r="E252">
            <v>29.239999999999995</v>
          </cell>
          <cell r="G252">
            <v>1.32</v>
          </cell>
          <cell r="H252">
            <v>0.74</v>
          </cell>
        </row>
        <row r="253">
          <cell r="D253" t="str">
            <v>20120301KUUM_413</v>
          </cell>
          <cell r="E253">
            <v>29.65</v>
          </cell>
          <cell r="G253">
            <v>1.04</v>
          </cell>
          <cell r="H253">
            <v>1.04</v>
          </cell>
        </row>
        <row r="254">
          <cell r="D254" t="str">
            <v>20120301KUUM_414</v>
          </cell>
          <cell r="E254">
            <v>29.239999999999995</v>
          </cell>
          <cell r="G254">
            <v>1.32</v>
          </cell>
          <cell r="H254">
            <v>0.74</v>
          </cell>
        </row>
        <row r="255">
          <cell r="D255" t="str">
            <v>20120301KUUM_415</v>
          </cell>
          <cell r="E255">
            <v>29.65</v>
          </cell>
          <cell r="G255">
            <v>1.04</v>
          </cell>
          <cell r="H255">
            <v>1.04</v>
          </cell>
        </row>
        <row r="256">
          <cell r="D256" t="str">
            <v>20120301KUUM_420</v>
          </cell>
          <cell r="E256">
            <v>14.39</v>
          </cell>
          <cell r="G256">
            <v>1.04</v>
          </cell>
          <cell r="H256">
            <v>1.04</v>
          </cell>
        </row>
        <row r="257">
          <cell r="D257" t="str">
            <v>20120301KUUM_421</v>
          </cell>
          <cell r="E257">
            <v>3.08</v>
          </cell>
          <cell r="G257">
            <v>0.38</v>
          </cell>
          <cell r="H257">
            <v>0.91</v>
          </cell>
        </row>
        <row r="258">
          <cell r="D258" t="str">
            <v>20120301KUUM_422</v>
          </cell>
          <cell r="E258">
            <v>4.09</v>
          </cell>
          <cell r="G258">
            <v>0.5</v>
          </cell>
          <cell r="H258">
            <v>1.79</v>
          </cell>
        </row>
        <row r="259">
          <cell r="D259" t="str">
            <v>20120301KUUM_424</v>
          </cell>
          <cell r="E259">
            <v>6.08</v>
          </cell>
          <cell r="G259">
            <v>0.75</v>
          </cell>
          <cell r="H259">
            <v>0.46</v>
          </cell>
        </row>
        <row r="260">
          <cell r="D260" t="str">
            <v>20120301KUUM_425</v>
          </cell>
          <cell r="E260">
            <v>8.1100000000000012</v>
          </cell>
          <cell r="G260">
            <v>1.01</v>
          </cell>
          <cell r="H260">
            <v>3.97</v>
          </cell>
        </row>
        <row r="261">
          <cell r="D261" t="str">
            <v>20120301KUUM_426</v>
          </cell>
          <cell r="E261">
            <v>6.7200000000000006</v>
          </cell>
          <cell r="G261">
            <v>1.32</v>
          </cell>
          <cell r="H261">
            <v>0.74</v>
          </cell>
        </row>
        <row r="262">
          <cell r="D262" t="str">
            <v>20120301KUUM_428</v>
          </cell>
          <cell r="E262">
            <v>7.16</v>
          </cell>
          <cell r="G262">
            <v>1.04</v>
          </cell>
          <cell r="H262">
            <v>1.04</v>
          </cell>
        </row>
        <row r="263">
          <cell r="D263" t="str">
            <v>20120301KUUM_429</v>
          </cell>
          <cell r="E263">
            <v>13.04</v>
          </cell>
          <cell r="G263">
            <v>1.78</v>
          </cell>
          <cell r="H263">
            <v>2.15</v>
          </cell>
        </row>
        <row r="264">
          <cell r="D264" t="str">
            <v>20120301KUUM_430</v>
          </cell>
          <cell r="E264">
            <v>20.78</v>
          </cell>
          <cell r="G264">
            <v>1.04</v>
          </cell>
          <cell r="H264">
            <v>1.04</v>
          </cell>
        </row>
        <row r="265">
          <cell r="D265" t="str">
            <v>20120301KUUM_431</v>
          </cell>
          <cell r="E265">
            <v>3.73</v>
          </cell>
          <cell r="G265">
            <v>0.38</v>
          </cell>
          <cell r="H265">
            <v>0.91</v>
          </cell>
        </row>
        <row r="266">
          <cell r="D266" t="str">
            <v>20120301KUUM_432</v>
          </cell>
          <cell r="E266">
            <v>4.879999999999999</v>
          </cell>
          <cell r="G266">
            <v>0.5</v>
          </cell>
          <cell r="H266">
            <v>1.79</v>
          </cell>
        </row>
        <row r="267">
          <cell r="D267" t="str">
            <v>20120301KUUM_433</v>
          </cell>
          <cell r="E267">
            <v>51.000000000000007</v>
          </cell>
          <cell r="G267">
            <v>7.15</v>
          </cell>
          <cell r="H267">
            <v>1.61</v>
          </cell>
        </row>
        <row r="268">
          <cell r="D268" t="str">
            <v>20120301KUUM_434</v>
          </cell>
          <cell r="E268">
            <v>7</v>
          </cell>
          <cell r="G268">
            <v>0.75</v>
          </cell>
          <cell r="H268">
            <v>0.46</v>
          </cell>
        </row>
        <row r="269">
          <cell r="D269" t="str">
            <v>20120301KUUM_435</v>
          </cell>
          <cell r="E269">
            <v>9.1300000000000008</v>
          </cell>
          <cell r="G269">
            <v>1.01</v>
          </cell>
          <cell r="H269">
            <v>3.97</v>
          </cell>
        </row>
        <row r="270">
          <cell r="D270" t="str">
            <v>20120301KUUM_440</v>
          </cell>
          <cell r="E270">
            <v>12.77</v>
          </cell>
          <cell r="G270">
            <v>1.01</v>
          </cell>
          <cell r="H270">
            <v>0.53</v>
          </cell>
        </row>
        <row r="271">
          <cell r="D271" t="str">
            <v>20120301KUUM_441</v>
          </cell>
          <cell r="E271">
            <v>13.860000000000001</v>
          </cell>
          <cell r="G271">
            <v>1.32</v>
          </cell>
          <cell r="H271">
            <v>0.74</v>
          </cell>
        </row>
        <row r="272">
          <cell r="D272" t="str">
            <v>20120301KUUM_442</v>
          </cell>
          <cell r="E272">
            <v>14.39</v>
          </cell>
          <cell r="G272">
            <v>1.04</v>
          </cell>
          <cell r="H272">
            <v>1.04</v>
          </cell>
        </row>
        <row r="273">
          <cell r="D273" t="str">
            <v>20120301KUUM_444</v>
          </cell>
          <cell r="E273">
            <v>19.16</v>
          </cell>
          <cell r="G273">
            <v>1.01</v>
          </cell>
          <cell r="H273">
            <v>0.53</v>
          </cell>
        </row>
        <row r="274">
          <cell r="D274" t="str">
            <v>20120301KUUM_445</v>
          </cell>
          <cell r="E274">
            <v>20.139999999999997</v>
          </cell>
          <cell r="G274">
            <v>1.32</v>
          </cell>
          <cell r="H274">
            <v>0.74</v>
          </cell>
        </row>
        <row r="275">
          <cell r="D275" t="str">
            <v>20120301KUUM_446</v>
          </cell>
          <cell r="E275">
            <v>8.7200000000000006</v>
          </cell>
          <cell r="G275">
            <v>1.18</v>
          </cell>
          <cell r="H275">
            <v>1.84</v>
          </cell>
        </row>
        <row r="276">
          <cell r="D276" t="str">
            <v>20120301KUUM_447</v>
          </cell>
          <cell r="E276">
            <v>10.29</v>
          </cell>
          <cell r="G276">
            <v>1.37</v>
          </cell>
          <cell r="H276">
            <v>2.62</v>
          </cell>
        </row>
        <row r="277">
          <cell r="D277" t="str">
            <v>20120301KUUM_448</v>
          </cell>
          <cell r="E277">
            <v>12.57</v>
          </cell>
          <cell r="G277">
            <v>1.59</v>
          </cell>
          <cell r="H277">
            <v>4.03</v>
          </cell>
        </row>
        <row r="278">
          <cell r="D278" t="str">
            <v>20120301KUUM_449</v>
          </cell>
          <cell r="E278">
            <v>20.78</v>
          </cell>
          <cell r="G278">
            <v>1.04</v>
          </cell>
          <cell r="H278">
            <v>1.04</v>
          </cell>
        </row>
        <row r="279">
          <cell r="D279" t="str">
            <v>20120301KUUM_450</v>
          </cell>
          <cell r="E279">
            <v>13.04</v>
          </cell>
          <cell r="G279">
            <v>2.08</v>
          </cell>
          <cell r="H279">
            <v>1.86</v>
          </cell>
        </row>
        <row r="280">
          <cell r="D280" t="str">
            <v>20120301KUUM_451</v>
          </cell>
          <cell r="E280">
            <v>18.450000000000003</v>
          </cell>
          <cell r="G280">
            <v>2.59</v>
          </cell>
          <cell r="H280">
            <v>4.03</v>
          </cell>
        </row>
        <row r="281">
          <cell r="D281" t="str">
            <v>20120301KUUM_452</v>
          </cell>
          <cell r="E281">
            <v>38.480000000000004</v>
          </cell>
          <cell r="G281">
            <v>5.12</v>
          </cell>
          <cell r="H281">
            <v>9.6</v>
          </cell>
        </row>
        <row r="282">
          <cell r="D282" t="str">
            <v>20120301KUUM_454</v>
          </cell>
          <cell r="E282">
            <v>17.27</v>
          </cell>
          <cell r="G282">
            <v>2.08</v>
          </cell>
          <cell r="H282">
            <v>1.86</v>
          </cell>
        </row>
        <row r="283">
          <cell r="D283" t="str">
            <v>20120301KUUM_455</v>
          </cell>
          <cell r="E283">
            <v>22.68</v>
          </cell>
          <cell r="G283">
            <v>2.59</v>
          </cell>
          <cell r="H283">
            <v>4.03</v>
          </cell>
        </row>
        <row r="284">
          <cell r="D284" t="str">
            <v>20120301KUUM_456</v>
          </cell>
          <cell r="E284">
            <v>10.94</v>
          </cell>
          <cell r="G284">
            <v>1.18</v>
          </cell>
          <cell r="H284">
            <v>1.84</v>
          </cell>
        </row>
        <row r="285">
          <cell r="D285" t="str">
            <v>20120301KUUM_457</v>
          </cell>
          <cell r="E285">
            <v>12.26</v>
          </cell>
          <cell r="G285">
            <v>1.37</v>
          </cell>
          <cell r="H285">
            <v>2.62</v>
          </cell>
        </row>
        <row r="286">
          <cell r="D286" t="str">
            <v>20120301KUUM_458</v>
          </cell>
          <cell r="E286">
            <v>14.14</v>
          </cell>
          <cell r="G286">
            <v>1.59</v>
          </cell>
          <cell r="H286">
            <v>4.03</v>
          </cell>
        </row>
        <row r="287">
          <cell r="D287" t="str">
            <v>20120301KUUM_459</v>
          </cell>
          <cell r="E287">
            <v>42.709999999999994</v>
          </cell>
          <cell r="G287">
            <v>5.12</v>
          </cell>
          <cell r="H287">
            <v>9.6</v>
          </cell>
        </row>
        <row r="288">
          <cell r="D288" t="str">
            <v>20120301KUUM_460</v>
          </cell>
          <cell r="E288">
            <v>25.450000000000003</v>
          </cell>
          <cell r="G288">
            <v>2.08</v>
          </cell>
          <cell r="H288">
            <v>1.86</v>
          </cell>
        </row>
        <row r="289">
          <cell r="D289" t="str">
            <v>20120301KUUM_461</v>
          </cell>
          <cell r="E289">
            <v>6.93</v>
          </cell>
          <cell r="G289">
            <v>1.01</v>
          </cell>
          <cell r="H289">
            <v>0.53</v>
          </cell>
        </row>
        <row r="290">
          <cell r="D290" t="str">
            <v>20120301KUUM_462</v>
          </cell>
          <cell r="E290">
            <v>7.9</v>
          </cell>
          <cell r="G290">
            <v>1.32</v>
          </cell>
          <cell r="H290">
            <v>0.74</v>
          </cell>
        </row>
        <row r="291">
          <cell r="D291" t="str">
            <v>20120301KUUM_463</v>
          </cell>
          <cell r="E291">
            <v>8.41</v>
          </cell>
          <cell r="G291">
            <v>1.04</v>
          </cell>
          <cell r="H291">
            <v>1.04</v>
          </cell>
        </row>
        <row r="292">
          <cell r="D292" t="str">
            <v>20120301KUUM_464</v>
          </cell>
          <cell r="E292">
            <v>13.04</v>
          </cell>
          <cell r="G292">
            <v>1.78</v>
          </cell>
          <cell r="H292">
            <v>2.15</v>
          </cell>
        </row>
        <row r="293">
          <cell r="D293" t="str">
            <v>20120301KUUM_465</v>
          </cell>
          <cell r="E293">
            <v>20.95</v>
          </cell>
          <cell r="G293">
            <v>2.42</v>
          </cell>
          <cell r="H293">
            <v>4.18</v>
          </cell>
        </row>
        <row r="294">
          <cell r="D294" t="str">
            <v>20120301KUUM_466</v>
          </cell>
          <cell r="E294">
            <v>8.93</v>
          </cell>
          <cell r="G294">
            <v>1.01</v>
          </cell>
          <cell r="H294">
            <v>0.53</v>
          </cell>
        </row>
        <row r="295">
          <cell r="D295" t="str">
            <v>20120301KUUM_467</v>
          </cell>
          <cell r="E295">
            <v>9.9300000000000015</v>
          </cell>
          <cell r="G295">
            <v>1.32</v>
          </cell>
          <cell r="H295">
            <v>0.74</v>
          </cell>
        </row>
        <row r="296">
          <cell r="D296" t="str">
            <v>20120301KUUM_468</v>
          </cell>
          <cell r="E296">
            <v>10.35</v>
          </cell>
          <cell r="G296">
            <v>1.04</v>
          </cell>
          <cell r="H296">
            <v>1.04</v>
          </cell>
        </row>
        <row r="297">
          <cell r="D297" t="str">
            <v>20120301KUUM_469</v>
          </cell>
          <cell r="E297">
            <v>30.860000000000003</v>
          </cell>
          <cell r="G297">
            <v>2.59</v>
          </cell>
          <cell r="H297">
            <v>4.03</v>
          </cell>
        </row>
        <row r="298">
          <cell r="D298" t="str">
            <v>20120301KUUM_470</v>
          </cell>
          <cell r="E298">
            <v>50.89</v>
          </cell>
          <cell r="G298">
            <v>5.12</v>
          </cell>
          <cell r="H298">
            <v>9.6</v>
          </cell>
        </row>
        <row r="299">
          <cell r="D299" t="str">
            <v>20120301KUUM_471</v>
          </cell>
          <cell r="E299">
            <v>9.7600000000000016</v>
          </cell>
          <cell r="G299">
            <v>1.01</v>
          </cell>
          <cell r="H299">
            <v>0.53</v>
          </cell>
        </row>
        <row r="300">
          <cell r="D300" t="str">
            <v>20120301KUUM_472</v>
          </cell>
          <cell r="E300">
            <v>10.73</v>
          </cell>
          <cell r="G300">
            <v>1.32</v>
          </cell>
          <cell r="H300">
            <v>0.74</v>
          </cell>
        </row>
        <row r="301">
          <cell r="D301" t="str">
            <v>20120301KUUM_473</v>
          </cell>
          <cell r="E301">
            <v>11.45</v>
          </cell>
          <cell r="G301">
            <v>1.04</v>
          </cell>
          <cell r="H301">
            <v>1.04</v>
          </cell>
        </row>
        <row r="302">
          <cell r="D302" t="str">
            <v>20120301KUUM_474</v>
          </cell>
          <cell r="E302">
            <v>16.079999999999998</v>
          </cell>
          <cell r="G302">
            <v>1.78</v>
          </cell>
          <cell r="H302">
            <v>2.15</v>
          </cell>
        </row>
        <row r="303">
          <cell r="D303" t="str">
            <v>20120301KUUM_475</v>
          </cell>
          <cell r="E303">
            <v>22.509999999999998</v>
          </cell>
          <cell r="G303">
            <v>2.42</v>
          </cell>
          <cell r="H303">
            <v>4.18</v>
          </cell>
        </row>
        <row r="304">
          <cell r="D304" t="str">
            <v>20120301KUUM_476</v>
          </cell>
          <cell r="E304">
            <v>15.66</v>
          </cell>
          <cell r="G304">
            <v>1.32</v>
          </cell>
          <cell r="H304">
            <v>0.74</v>
          </cell>
        </row>
        <row r="305">
          <cell r="D305" t="str">
            <v>20120301KUUM_477</v>
          </cell>
          <cell r="E305">
            <v>18.190000000000001</v>
          </cell>
          <cell r="G305">
            <v>1.04</v>
          </cell>
          <cell r="H305">
            <v>1.04</v>
          </cell>
        </row>
        <row r="306">
          <cell r="D306" t="str">
            <v>20120301KUUM_478</v>
          </cell>
          <cell r="E306">
            <v>22.11</v>
          </cell>
          <cell r="G306">
            <v>1.78</v>
          </cell>
          <cell r="H306">
            <v>2.15</v>
          </cell>
        </row>
        <row r="307">
          <cell r="D307" t="str">
            <v>20120301KUUM_479</v>
          </cell>
          <cell r="E307">
            <v>28.13</v>
          </cell>
          <cell r="G307">
            <v>2.42</v>
          </cell>
          <cell r="H307">
            <v>4.18</v>
          </cell>
        </row>
        <row r="308">
          <cell r="D308" t="str">
            <v>20120301KUUM_480</v>
          </cell>
          <cell r="E308">
            <v>8.93</v>
          </cell>
          <cell r="G308">
            <v>1.01</v>
          </cell>
          <cell r="H308">
            <v>0.53</v>
          </cell>
        </row>
        <row r="309">
          <cell r="D309" t="str">
            <v>20120301KUUM_481</v>
          </cell>
          <cell r="E309">
            <v>9.9300000000000015</v>
          </cell>
          <cell r="G309">
            <v>1.32</v>
          </cell>
          <cell r="H309">
            <v>0.74</v>
          </cell>
        </row>
        <row r="310">
          <cell r="D310" t="str">
            <v>20120301KUUM_482</v>
          </cell>
          <cell r="E310">
            <v>10.35</v>
          </cell>
          <cell r="G310">
            <v>1.04</v>
          </cell>
          <cell r="H310">
            <v>1.04</v>
          </cell>
        </row>
        <row r="311">
          <cell r="D311" t="str">
            <v>20120301KUUM_483</v>
          </cell>
          <cell r="E311">
            <v>21.809999999999995</v>
          </cell>
          <cell r="G311">
            <v>1.32</v>
          </cell>
          <cell r="H311">
            <v>0.74</v>
          </cell>
        </row>
        <row r="312">
          <cell r="D312" t="str">
            <v>20120301KUUM_484</v>
          </cell>
          <cell r="E312">
            <v>21.85</v>
          </cell>
          <cell r="G312">
            <v>1.04</v>
          </cell>
          <cell r="H312">
            <v>1.04</v>
          </cell>
        </row>
        <row r="313">
          <cell r="D313" t="str">
            <v>20120301KUUM_485</v>
          </cell>
          <cell r="E313">
            <v>27.84</v>
          </cell>
          <cell r="G313">
            <v>1.78</v>
          </cell>
          <cell r="H313">
            <v>2.15</v>
          </cell>
        </row>
        <row r="314">
          <cell r="D314" t="str">
            <v>20120301KUUM_486</v>
          </cell>
          <cell r="E314">
            <v>31.119999999999997</v>
          </cell>
          <cell r="G314">
            <v>2.42</v>
          </cell>
          <cell r="H314">
            <v>4.18</v>
          </cell>
        </row>
        <row r="315">
          <cell r="D315" t="str">
            <v>20120301KUUM_487</v>
          </cell>
          <cell r="E315">
            <v>8.27</v>
          </cell>
          <cell r="G315">
            <v>1.04</v>
          </cell>
          <cell r="H315">
            <v>1.04</v>
          </cell>
        </row>
        <row r="316">
          <cell r="D316" t="str">
            <v>20120301KUUM_488</v>
          </cell>
          <cell r="E316">
            <v>12.45</v>
          </cell>
          <cell r="G316">
            <v>1.78</v>
          </cell>
          <cell r="H316">
            <v>2.15</v>
          </cell>
        </row>
        <row r="317">
          <cell r="D317" t="str">
            <v>20120301KUUM_489</v>
          </cell>
          <cell r="E317">
            <v>17.7</v>
          </cell>
          <cell r="G317">
            <v>2.42</v>
          </cell>
          <cell r="H317">
            <v>4.18</v>
          </cell>
        </row>
        <row r="318">
          <cell r="D318" t="str">
            <v>20120301KUUM_490</v>
          </cell>
          <cell r="E318">
            <v>14.21</v>
          </cell>
          <cell r="G318">
            <v>2.08</v>
          </cell>
          <cell r="H318">
            <v>1.86</v>
          </cell>
        </row>
        <row r="319">
          <cell r="D319" t="str">
            <v>20120301KUUM_491</v>
          </cell>
          <cell r="E319">
            <v>20.120000000000005</v>
          </cell>
          <cell r="G319">
            <v>2.59</v>
          </cell>
          <cell r="H319">
            <v>4.03</v>
          </cell>
        </row>
        <row r="320">
          <cell r="D320" t="str">
            <v>20120301KUUM_492</v>
          </cell>
          <cell r="E320">
            <v>14.35</v>
          </cell>
          <cell r="G320">
            <v>1.32</v>
          </cell>
          <cell r="H320">
            <v>0.74</v>
          </cell>
        </row>
        <row r="321">
          <cell r="D321" t="str">
            <v>20120301KUUM_493</v>
          </cell>
          <cell r="E321">
            <v>41.7</v>
          </cell>
          <cell r="G321">
            <v>5.12</v>
          </cell>
          <cell r="H321">
            <v>9.6</v>
          </cell>
        </row>
        <row r="322">
          <cell r="D322" t="str">
            <v>20120301KUUM_494</v>
          </cell>
          <cell r="E322">
            <v>26.620000000000005</v>
          </cell>
          <cell r="G322">
            <v>2.08</v>
          </cell>
          <cell r="H322">
            <v>1.86</v>
          </cell>
        </row>
        <row r="323">
          <cell r="D323" t="str">
            <v>20120301KUUM_495</v>
          </cell>
          <cell r="E323">
            <v>32.53</v>
          </cell>
          <cell r="G323">
            <v>2.59</v>
          </cell>
          <cell r="H323">
            <v>4.03</v>
          </cell>
        </row>
        <row r="324">
          <cell r="D324" t="str">
            <v>20120301KUUM_496</v>
          </cell>
          <cell r="E324">
            <v>54.11</v>
          </cell>
          <cell r="G324">
            <v>5.12</v>
          </cell>
          <cell r="H324">
            <v>9.6</v>
          </cell>
        </row>
        <row r="325">
          <cell r="D325" t="str">
            <v>20120301KUUM_497</v>
          </cell>
          <cell r="E325">
            <v>14.38</v>
          </cell>
          <cell r="G325">
            <v>1.04</v>
          </cell>
          <cell r="H325">
            <v>1.04</v>
          </cell>
        </row>
        <row r="326">
          <cell r="D326" t="str">
            <v>20120301KUUM_498</v>
          </cell>
          <cell r="E326">
            <v>16.37</v>
          </cell>
          <cell r="G326">
            <v>1.78</v>
          </cell>
          <cell r="H326">
            <v>2.15</v>
          </cell>
        </row>
        <row r="327">
          <cell r="D327" t="str">
            <v>20120301KUUM_499</v>
          </cell>
          <cell r="E327">
            <v>19.649999999999999</v>
          </cell>
          <cell r="G327">
            <v>2.42</v>
          </cell>
          <cell r="H327">
            <v>4.18</v>
          </cell>
        </row>
        <row r="328">
          <cell r="D328" t="str">
            <v>20130101KUUM_300</v>
          </cell>
          <cell r="E328">
            <v>22.15</v>
          </cell>
          <cell r="G328">
            <v>0.03</v>
          </cell>
          <cell r="H328">
            <v>0.54</v>
          </cell>
        </row>
        <row r="329">
          <cell r="D329" t="str">
            <v>20130101KUUM_301</v>
          </cell>
          <cell r="E329">
            <v>23.1</v>
          </cell>
          <cell r="G329">
            <v>0.03</v>
          </cell>
          <cell r="H329">
            <v>1.04</v>
          </cell>
        </row>
        <row r="330">
          <cell r="D330" t="str">
            <v>20130101KUUM_360</v>
          </cell>
          <cell r="E330">
            <v>53.01</v>
          </cell>
          <cell r="G330">
            <v>0.23</v>
          </cell>
          <cell r="H330">
            <v>1.61</v>
          </cell>
        </row>
        <row r="331">
          <cell r="D331" t="str">
            <v>20130101KUUM_361</v>
          </cell>
          <cell r="E331">
            <v>80.84</v>
          </cell>
          <cell r="G331">
            <v>0.23</v>
          </cell>
          <cell r="H331">
            <v>1.61</v>
          </cell>
        </row>
        <row r="332">
          <cell r="D332" t="str">
            <v>20130101KUUM_362</v>
          </cell>
          <cell r="E332">
            <v>57.46</v>
          </cell>
          <cell r="G332">
            <v>0.23</v>
          </cell>
          <cell r="H332">
            <v>1.61</v>
          </cell>
        </row>
        <row r="333">
          <cell r="D333" t="str">
            <v>20130101KUUM_363</v>
          </cell>
          <cell r="E333">
            <v>59.43</v>
          </cell>
          <cell r="G333">
            <v>0.23</v>
          </cell>
          <cell r="H333">
            <v>1.61</v>
          </cell>
        </row>
        <row r="334">
          <cell r="D334" t="str">
            <v>20130101KUUM_364</v>
          </cell>
          <cell r="E334">
            <v>60.79</v>
          </cell>
          <cell r="G334">
            <v>0.23</v>
          </cell>
          <cell r="H334">
            <v>1.61</v>
          </cell>
        </row>
        <row r="335">
          <cell r="D335" t="str">
            <v>20130101KUUM_365</v>
          </cell>
          <cell r="E335">
            <v>78.62</v>
          </cell>
          <cell r="G335">
            <v>0.23</v>
          </cell>
          <cell r="H335">
            <v>1.61</v>
          </cell>
        </row>
        <row r="336">
          <cell r="D336" t="str">
            <v>20130101KUUM_366</v>
          </cell>
          <cell r="E336">
            <v>76.650000000000006</v>
          </cell>
          <cell r="G336">
            <v>0.23</v>
          </cell>
          <cell r="H336">
            <v>1.61</v>
          </cell>
        </row>
        <row r="337">
          <cell r="D337" t="str">
            <v>20130101KUUM_367</v>
          </cell>
          <cell r="E337">
            <v>58.910000000000004</v>
          </cell>
          <cell r="G337">
            <v>0.23</v>
          </cell>
          <cell r="H337">
            <v>1.61</v>
          </cell>
        </row>
        <row r="338">
          <cell r="D338" t="str">
            <v>20130101KUUM_368</v>
          </cell>
          <cell r="E338">
            <v>54.37</v>
          </cell>
          <cell r="G338">
            <v>0.23</v>
          </cell>
          <cell r="H338">
            <v>1.61</v>
          </cell>
        </row>
        <row r="339">
          <cell r="D339" t="str">
            <v>20130101KUUM_370</v>
          </cell>
          <cell r="E339">
            <v>72.2</v>
          </cell>
          <cell r="G339">
            <v>0.23</v>
          </cell>
          <cell r="H339">
            <v>1.61</v>
          </cell>
        </row>
        <row r="340">
          <cell r="D340" t="str">
            <v>20130101KUUM_371</v>
          </cell>
          <cell r="E340">
            <v>100.03</v>
          </cell>
          <cell r="G340">
            <v>0.23</v>
          </cell>
          <cell r="H340">
            <v>1.61</v>
          </cell>
        </row>
        <row r="341">
          <cell r="D341" t="str">
            <v>20130101KUUM_372</v>
          </cell>
          <cell r="E341">
            <v>79.98</v>
          </cell>
          <cell r="G341">
            <v>0.23</v>
          </cell>
          <cell r="H341">
            <v>1.61</v>
          </cell>
        </row>
        <row r="342">
          <cell r="D342" t="str">
            <v>20130101KUUM_373</v>
          </cell>
          <cell r="E342">
            <v>72.2</v>
          </cell>
          <cell r="G342">
            <v>0.23</v>
          </cell>
          <cell r="H342">
            <v>1.61</v>
          </cell>
        </row>
        <row r="343">
          <cell r="D343" t="str">
            <v>20130101KUUM_374</v>
          </cell>
          <cell r="E343">
            <v>73.56</v>
          </cell>
          <cell r="G343">
            <v>0.23</v>
          </cell>
          <cell r="H343">
            <v>1.61</v>
          </cell>
        </row>
        <row r="344">
          <cell r="D344" t="str">
            <v>20130101KUUM_375</v>
          </cell>
          <cell r="E344">
            <v>76.650000000000006</v>
          </cell>
          <cell r="G344">
            <v>0.23</v>
          </cell>
          <cell r="H344">
            <v>1.61</v>
          </cell>
        </row>
        <row r="345">
          <cell r="D345" t="str">
            <v>20130101KUUM_376</v>
          </cell>
          <cell r="E345">
            <v>74.94</v>
          </cell>
          <cell r="G345">
            <v>0.23</v>
          </cell>
          <cell r="H345">
            <v>1.61</v>
          </cell>
        </row>
        <row r="346">
          <cell r="D346" t="str">
            <v>20130101KUUM_377</v>
          </cell>
          <cell r="E346">
            <v>61.87</v>
          </cell>
          <cell r="G346">
            <v>0.23</v>
          </cell>
          <cell r="H346">
            <v>1.61</v>
          </cell>
        </row>
        <row r="347">
          <cell r="D347" t="str">
            <v>20130101KUUM_378</v>
          </cell>
          <cell r="E347">
            <v>73.58</v>
          </cell>
          <cell r="G347">
            <v>0.23</v>
          </cell>
          <cell r="H347">
            <v>1.61</v>
          </cell>
        </row>
        <row r="348">
          <cell r="D348" t="str">
            <v>20130101KUUM_379</v>
          </cell>
          <cell r="E348">
            <v>78.52</v>
          </cell>
          <cell r="G348">
            <v>0.23</v>
          </cell>
          <cell r="H348">
            <v>1.61</v>
          </cell>
        </row>
        <row r="349">
          <cell r="D349" t="str">
            <v>20130101KUUM_380</v>
          </cell>
          <cell r="E349">
            <v>82.44</v>
          </cell>
          <cell r="G349">
            <v>0.23</v>
          </cell>
          <cell r="H349">
            <v>1.61</v>
          </cell>
        </row>
        <row r="350">
          <cell r="D350" t="str">
            <v>20130101KUUM_381</v>
          </cell>
          <cell r="E350">
            <v>83.8</v>
          </cell>
          <cell r="G350">
            <v>0.23</v>
          </cell>
          <cell r="H350">
            <v>1.61</v>
          </cell>
        </row>
        <row r="351">
          <cell r="D351" t="str">
            <v>20130101KUUM_382</v>
          </cell>
          <cell r="E351">
            <v>80.899999999999991</v>
          </cell>
          <cell r="G351">
            <v>0.23</v>
          </cell>
          <cell r="H351">
            <v>1.61</v>
          </cell>
        </row>
        <row r="352">
          <cell r="D352" t="str">
            <v>20130101KUUM_395</v>
          </cell>
          <cell r="E352">
            <v>53.01</v>
          </cell>
          <cell r="G352">
            <v>0.23</v>
          </cell>
          <cell r="H352">
            <v>1.61</v>
          </cell>
        </row>
        <row r="353">
          <cell r="D353" t="str">
            <v>20130101KUUM_400</v>
          </cell>
          <cell r="G353">
            <v>0.03</v>
          </cell>
          <cell r="H353">
            <v>0.53</v>
          </cell>
        </row>
        <row r="354">
          <cell r="D354" t="str">
            <v>20130101KUUM_401</v>
          </cell>
          <cell r="E354">
            <v>14.41</v>
          </cell>
          <cell r="G354">
            <v>0.04</v>
          </cell>
          <cell r="H354">
            <v>0.74</v>
          </cell>
        </row>
        <row r="355">
          <cell r="D355" t="str">
            <v>20130101KUUM_404</v>
          </cell>
          <cell r="E355">
            <v>10.07</v>
          </cell>
          <cell r="G355">
            <v>0.04</v>
          </cell>
          <cell r="H355">
            <v>1.84</v>
          </cell>
        </row>
        <row r="356">
          <cell r="D356" t="str">
            <v>20130101KUUM_405</v>
          </cell>
          <cell r="E356">
            <v>14.28</v>
          </cell>
          <cell r="G356">
            <v>0.05</v>
          </cell>
          <cell r="H356">
            <v>4.03</v>
          </cell>
        </row>
        <row r="357">
          <cell r="D357" t="str">
            <v>20130101KUUM_406</v>
          </cell>
          <cell r="G357">
            <v>0.04</v>
          </cell>
          <cell r="H357">
            <v>1.84</v>
          </cell>
        </row>
        <row r="358">
          <cell r="D358" t="str">
            <v>20130101KUUM_407</v>
          </cell>
          <cell r="E358">
            <v>21.78</v>
          </cell>
          <cell r="G358">
            <v>0.08</v>
          </cell>
          <cell r="H358">
            <v>4.18</v>
          </cell>
        </row>
        <row r="359">
          <cell r="D359" t="str">
            <v>20130101KUUM_408</v>
          </cell>
          <cell r="E359">
            <v>12.01</v>
          </cell>
          <cell r="G359">
            <v>0.05</v>
          </cell>
          <cell r="H359">
            <v>4.03</v>
          </cell>
        </row>
        <row r="360">
          <cell r="D360" t="str">
            <v>20130101KUUM_409</v>
          </cell>
          <cell r="E360">
            <v>10.65</v>
          </cell>
          <cell r="G360">
            <v>0.08</v>
          </cell>
          <cell r="H360">
            <v>4.18</v>
          </cell>
        </row>
        <row r="361">
          <cell r="D361" t="str">
            <v>20130101KUUM_410</v>
          </cell>
          <cell r="E361">
            <v>19.920000000000002</v>
          </cell>
          <cell r="G361">
            <v>0.03</v>
          </cell>
          <cell r="H361">
            <v>0.53</v>
          </cell>
        </row>
        <row r="362">
          <cell r="D362" t="str">
            <v>20130101KUUM_411</v>
          </cell>
          <cell r="E362">
            <v>20.93</v>
          </cell>
          <cell r="G362">
            <v>0.04</v>
          </cell>
          <cell r="H362">
            <v>0.74</v>
          </cell>
        </row>
        <row r="363">
          <cell r="D363" t="str">
            <v>20130101KUUM_412</v>
          </cell>
          <cell r="E363">
            <v>30.39</v>
          </cell>
          <cell r="G363">
            <v>0.04</v>
          </cell>
          <cell r="H363">
            <v>0.74</v>
          </cell>
        </row>
        <row r="364">
          <cell r="D364" t="str">
            <v>20130101KUUM_413</v>
          </cell>
          <cell r="E364">
            <v>30.82</v>
          </cell>
          <cell r="G364">
            <v>0.03</v>
          </cell>
          <cell r="H364">
            <v>1.04</v>
          </cell>
        </row>
        <row r="365">
          <cell r="D365" t="str">
            <v>20130101KUUM_414</v>
          </cell>
          <cell r="E365">
            <v>30.39</v>
          </cell>
          <cell r="G365">
            <v>0.04</v>
          </cell>
          <cell r="H365">
            <v>0.74</v>
          </cell>
        </row>
        <row r="366">
          <cell r="D366" t="str">
            <v>20130101KUUM_415</v>
          </cell>
          <cell r="E366">
            <v>30.82</v>
          </cell>
          <cell r="G366">
            <v>0.03</v>
          </cell>
          <cell r="H366">
            <v>1.04</v>
          </cell>
        </row>
        <row r="367">
          <cell r="D367" t="str">
            <v>20130101KUUM_420</v>
          </cell>
          <cell r="E367">
            <v>14.96</v>
          </cell>
          <cell r="G367">
            <v>0.03</v>
          </cell>
          <cell r="H367">
            <v>1.04</v>
          </cell>
        </row>
        <row r="368">
          <cell r="D368" t="str">
            <v>20130101KUUM_421</v>
          </cell>
          <cell r="E368">
            <v>3.2</v>
          </cell>
          <cell r="G368">
            <v>0.01</v>
          </cell>
          <cell r="H368">
            <v>0.91</v>
          </cell>
        </row>
        <row r="369">
          <cell r="D369" t="str">
            <v>20130101KUUM_422</v>
          </cell>
          <cell r="E369">
            <v>4.25</v>
          </cell>
          <cell r="G369">
            <v>0.02</v>
          </cell>
          <cell r="H369">
            <v>1.79</v>
          </cell>
        </row>
        <row r="370">
          <cell r="D370" t="str">
            <v>20130101KUUM_424</v>
          </cell>
          <cell r="E370">
            <v>6.32</v>
          </cell>
          <cell r="G370">
            <v>0.02</v>
          </cell>
          <cell r="H370">
            <v>0.46</v>
          </cell>
        </row>
        <row r="371">
          <cell r="D371" t="str">
            <v>20130101KUUM_425</v>
          </cell>
          <cell r="E371">
            <v>8.43</v>
          </cell>
          <cell r="G371">
            <v>0.03</v>
          </cell>
          <cell r="H371">
            <v>3.97</v>
          </cell>
        </row>
        <row r="372">
          <cell r="D372" t="str">
            <v>20130101KUUM_426</v>
          </cell>
          <cell r="E372">
            <v>6.99</v>
          </cell>
          <cell r="G372">
            <v>0.04</v>
          </cell>
          <cell r="H372">
            <v>0.74</v>
          </cell>
        </row>
        <row r="373">
          <cell r="D373" t="str">
            <v>20130101KUUM_428</v>
          </cell>
          <cell r="E373">
            <v>7.44</v>
          </cell>
          <cell r="G373">
            <v>0.03</v>
          </cell>
          <cell r="H373">
            <v>1.04</v>
          </cell>
        </row>
        <row r="374">
          <cell r="D374" t="str">
            <v>20130101KUUM_429</v>
          </cell>
          <cell r="E374">
            <v>13.55</v>
          </cell>
          <cell r="G374">
            <v>0.06</v>
          </cell>
          <cell r="H374">
            <v>2.15</v>
          </cell>
        </row>
        <row r="375">
          <cell r="D375" t="str">
            <v>20130101KUUM_430</v>
          </cell>
          <cell r="E375">
            <v>21.6</v>
          </cell>
          <cell r="G375">
            <v>0.03</v>
          </cell>
          <cell r="H375">
            <v>1.04</v>
          </cell>
        </row>
        <row r="376">
          <cell r="D376" t="str">
            <v>20130101KUUM_431</v>
          </cell>
          <cell r="G376">
            <v>0.01</v>
          </cell>
          <cell r="H376">
            <v>0.91</v>
          </cell>
        </row>
        <row r="377">
          <cell r="D377" t="str">
            <v>20130101KUUM_432</v>
          </cell>
          <cell r="G377">
            <v>0.02</v>
          </cell>
          <cell r="H377">
            <v>1.79</v>
          </cell>
        </row>
        <row r="378">
          <cell r="D378" t="str">
            <v>20130101KUUM_433</v>
          </cell>
          <cell r="G378">
            <v>0.23</v>
          </cell>
          <cell r="H378">
            <v>1.61</v>
          </cell>
        </row>
        <row r="379">
          <cell r="D379" t="str">
            <v>20130101KUUM_434</v>
          </cell>
          <cell r="E379">
            <v>7.28</v>
          </cell>
          <cell r="G379">
            <v>0.02</v>
          </cell>
          <cell r="H379">
            <v>0.46</v>
          </cell>
        </row>
        <row r="380">
          <cell r="D380" t="str">
            <v>20130101KUUM_435</v>
          </cell>
          <cell r="G380">
            <v>0.03</v>
          </cell>
          <cell r="H380">
            <v>3.97</v>
          </cell>
        </row>
        <row r="381">
          <cell r="D381" t="str">
            <v>20130101KUUM_440</v>
          </cell>
          <cell r="E381">
            <v>13.27</v>
          </cell>
          <cell r="G381">
            <v>0.03</v>
          </cell>
          <cell r="H381">
            <v>0.53</v>
          </cell>
        </row>
        <row r="382">
          <cell r="D382" t="str">
            <v>20130101KUUM_441</v>
          </cell>
          <cell r="E382">
            <v>14.41</v>
          </cell>
          <cell r="G382">
            <v>0.04</v>
          </cell>
          <cell r="H382">
            <v>0.74</v>
          </cell>
        </row>
        <row r="383">
          <cell r="D383" t="str">
            <v>20130101KUUM_442</v>
          </cell>
          <cell r="E383">
            <v>14.96</v>
          </cell>
          <cell r="G383">
            <v>0.03</v>
          </cell>
          <cell r="H383">
            <v>1.04</v>
          </cell>
        </row>
        <row r="384">
          <cell r="D384" t="str">
            <v>20130101KUUM_444</v>
          </cell>
          <cell r="G384">
            <v>0.03</v>
          </cell>
          <cell r="H384">
            <v>0.53</v>
          </cell>
        </row>
        <row r="385">
          <cell r="D385" t="str">
            <v>20130101KUUM_445</v>
          </cell>
          <cell r="G385">
            <v>0.04</v>
          </cell>
          <cell r="H385">
            <v>0.74</v>
          </cell>
        </row>
        <row r="386">
          <cell r="D386" t="str">
            <v>20130101KUUM_446</v>
          </cell>
          <cell r="E386">
            <v>9.06</v>
          </cell>
          <cell r="G386">
            <v>0.04</v>
          </cell>
          <cell r="H386">
            <v>1.84</v>
          </cell>
        </row>
        <row r="387">
          <cell r="D387" t="str">
            <v>20130101KUUM_447</v>
          </cell>
          <cell r="E387">
            <v>10.7</v>
          </cell>
          <cell r="G387">
            <v>0.04</v>
          </cell>
          <cell r="H387">
            <v>2.62</v>
          </cell>
        </row>
        <row r="388">
          <cell r="D388" t="str">
            <v>20130101KUUM_448</v>
          </cell>
          <cell r="E388">
            <v>12.01</v>
          </cell>
          <cell r="G388">
            <v>0.05</v>
          </cell>
          <cell r="H388">
            <v>4.03</v>
          </cell>
        </row>
        <row r="389">
          <cell r="D389" t="str">
            <v>20130101KUUM_449</v>
          </cell>
          <cell r="E389">
            <v>21.6</v>
          </cell>
          <cell r="G389">
            <v>0.03</v>
          </cell>
          <cell r="H389">
            <v>1.04</v>
          </cell>
        </row>
        <row r="390">
          <cell r="D390" t="str">
            <v>20130101KUUM_450</v>
          </cell>
          <cell r="E390">
            <v>13.55</v>
          </cell>
          <cell r="G390">
            <v>7.0000000000000007E-2</v>
          </cell>
          <cell r="H390">
            <v>1.86</v>
          </cell>
        </row>
        <row r="391">
          <cell r="D391" t="str">
            <v>20130101KUUM_451</v>
          </cell>
          <cell r="E391">
            <v>19.18</v>
          </cell>
          <cell r="G391">
            <v>0.08</v>
          </cell>
          <cell r="H391">
            <v>4.03</v>
          </cell>
        </row>
        <row r="392">
          <cell r="D392" t="str">
            <v>20130101KUUM_452</v>
          </cell>
          <cell r="E392">
            <v>40</v>
          </cell>
          <cell r="G392">
            <v>0.16</v>
          </cell>
          <cell r="H392">
            <v>9.6</v>
          </cell>
        </row>
        <row r="393">
          <cell r="D393" t="str">
            <v>20130101KUUM_454</v>
          </cell>
          <cell r="E393">
            <v>17.95</v>
          </cell>
          <cell r="G393">
            <v>7.0000000000000007E-2</v>
          </cell>
          <cell r="H393">
            <v>1.86</v>
          </cell>
        </row>
        <row r="394">
          <cell r="D394" t="str">
            <v>20130101KUUM_455</v>
          </cell>
          <cell r="E394">
            <v>23.57</v>
          </cell>
          <cell r="G394">
            <v>0.08</v>
          </cell>
          <cell r="H394">
            <v>4.03</v>
          </cell>
        </row>
        <row r="395">
          <cell r="D395" t="str">
            <v>20130101KUUM_456</v>
          </cell>
          <cell r="E395">
            <v>11.37</v>
          </cell>
          <cell r="G395">
            <v>0.04</v>
          </cell>
          <cell r="H395">
            <v>1.84</v>
          </cell>
        </row>
        <row r="396">
          <cell r="D396" t="str">
            <v>20130101KUUM_457</v>
          </cell>
          <cell r="E396">
            <v>12.74</v>
          </cell>
          <cell r="G396">
            <v>0.04</v>
          </cell>
          <cell r="H396">
            <v>2.62</v>
          </cell>
        </row>
        <row r="397">
          <cell r="D397" t="str">
            <v>20130101KUUM_458</v>
          </cell>
          <cell r="E397">
            <v>14.28</v>
          </cell>
          <cell r="G397">
            <v>0.05</v>
          </cell>
          <cell r="H397">
            <v>4.03</v>
          </cell>
        </row>
        <row r="398">
          <cell r="D398" t="str">
            <v>20130101KUUM_459</v>
          </cell>
          <cell r="E398">
            <v>44.39</v>
          </cell>
          <cell r="G398">
            <v>0.16</v>
          </cell>
          <cell r="H398">
            <v>9.6</v>
          </cell>
        </row>
        <row r="399">
          <cell r="D399" t="str">
            <v>20130101KUUM_460</v>
          </cell>
          <cell r="E399">
            <v>26.45</v>
          </cell>
          <cell r="G399">
            <v>7.0000000000000007E-2</v>
          </cell>
          <cell r="H399">
            <v>1.86</v>
          </cell>
        </row>
        <row r="400">
          <cell r="D400" t="str">
            <v>20130101KUUM_461</v>
          </cell>
          <cell r="E400">
            <v>7.2</v>
          </cell>
          <cell r="G400">
            <v>0.03</v>
          </cell>
          <cell r="H400">
            <v>0.53</v>
          </cell>
        </row>
        <row r="401">
          <cell r="D401" t="str">
            <v>20130101KUUM_462</v>
          </cell>
          <cell r="E401">
            <v>8.2100000000000009</v>
          </cell>
          <cell r="G401">
            <v>0.04</v>
          </cell>
          <cell r="H401">
            <v>0.74</v>
          </cell>
        </row>
        <row r="402">
          <cell r="D402" t="str">
            <v>20130101KUUM_463</v>
          </cell>
          <cell r="E402">
            <v>8.74</v>
          </cell>
          <cell r="G402">
            <v>0.03</v>
          </cell>
          <cell r="H402">
            <v>1.04</v>
          </cell>
        </row>
        <row r="403">
          <cell r="D403" t="str">
            <v>20130101KUUM_464</v>
          </cell>
          <cell r="E403">
            <v>13.55</v>
          </cell>
          <cell r="G403">
            <v>0.06</v>
          </cell>
          <cell r="H403">
            <v>2.15</v>
          </cell>
        </row>
        <row r="404">
          <cell r="D404" t="str">
            <v>20130101KUUM_465</v>
          </cell>
          <cell r="E404">
            <v>21.78</v>
          </cell>
          <cell r="G404">
            <v>0.08</v>
          </cell>
          <cell r="H404">
            <v>4.18</v>
          </cell>
        </row>
        <row r="405">
          <cell r="D405" t="str">
            <v>20130101KUUM_466</v>
          </cell>
          <cell r="E405">
            <v>9.2799999999999994</v>
          </cell>
          <cell r="G405">
            <v>0.03</v>
          </cell>
          <cell r="H405">
            <v>0.53</v>
          </cell>
        </row>
        <row r="406">
          <cell r="D406" t="str">
            <v>20130101KUUM_467</v>
          </cell>
          <cell r="E406">
            <v>10.32</v>
          </cell>
          <cell r="G406">
            <v>0.04</v>
          </cell>
          <cell r="H406">
            <v>0.74</v>
          </cell>
        </row>
        <row r="407">
          <cell r="D407" t="str">
            <v>20130101KUUM_468</v>
          </cell>
          <cell r="E407">
            <v>10.76</v>
          </cell>
          <cell r="G407">
            <v>0.03</v>
          </cell>
          <cell r="H407">
            <v>1.04</v>
          </cell>
        </row>
        <row r="408">
          <cell r="D408" t="str">
            <v>20130101KUUM_469</v>
          </cell>
          <cell r="E408">
            <v>32.08</v>
          </cell>
          <cell r="G408">
            <v>0.08</v>
          </cell>
          <cell r="H408">
            <v>4.03</v>
          </cell>
        </row>
        <row r="409">
          <cell r="D409" t="str">
            <v>20130101KUUM_470</v>
          </cell>
          <cell r="E409">
            <v>52.9</v>
          </cell>
          <cell r="G409">
            <v>0.16</v>
          </cell>
          <cell r="H409">
            <v>9.6</v>
          </cell>
        </row>
        <row r="410">
          <cell r="D410" t="str">
            <v>20130101KUUM_471</v>
          </cell>
          <cell r="E410">
            <v>10.15</v>
          </cell>
          <cell r="G410">
            <v>0.03</v>
          </cell>
          <cell r="H410">
            <v>0.53</v>
          </cell>
        </row>
        <row r="411">
          <cell r="D411" t="str">
            <v>20130101KUUM_472</v>
          </cell>
          <cell r="E411">
            <v>11.15</v>
          </cell>
          <cell r="G411">
            <v>0.04</v>
          </cell>
          <cell r="H411">
            <v>0.74</v>
          </cell>
        </row>
        <row r="412">
          <cell r="D412" t="str">
            <v>20130101KUUM_473</v>
          </cell>
          <cell r="E412">
            <v>11.9</v>
          </cell>
          <cell r="G412">
            <v>0.03</v>
          </cell>
          <cell r="H412">
            <v>1.04</v>
          </cell>
        </row>
        <row r="413">
          <cell r="D413" t="str">
            <v>20130101KUUM_474</v>
          </cell>
          <cell r="E413">
            <v>16.71</v>
          </cell>
          <cell r="G413">
            <v>0.06</v>
          </cell>
          <cell r="H413">
            <v>2.15</v>
          </cell>
        </row>
        <row r="414">
          <cell r="D414" t="str">
            <v>20130101KUUM_475</v>
          </cell>
          <cell r="E414">
            <v>23.4</v>
          </cell>
          <cell r="G414">
            <v>0.08</v>
          </cell>
          <cell r="H414">
            <v>4.18</v>
          </cell>
        </row>
        <row r="415">
          <cell r="D415" t="str">
            <v>20130101KUUM_476</v>
          </cell>
          <cell r="E415">
            <v>16.34</v>
          </cell>
          <cell r="G415">
            <v>0.04</v>
          </cell>
          <cell r="H415">
            <v>0.74</v>
          </cell>
        </row>
        <row r="416">
          <cell r="D416" t="str">
            <v>20130101KUUM_477</v>
          </cell>
          <cell r="E416">
            <v>20.57</v>
          </cell>
          <cell r="G416">
            <v>0.03</v>
          </cell>
          <cell r="H416">
            <v>1.04</v>
          </cell>
        </row>
        <row r="417">
          <cell r="D417" t="str">
            <v>20130101KUUM_478</v>
          </cell>
          <cell r="E417">
            <v>26.16</v>
          </cell>
          <cell r="G417">
            <v>0.06</v>
          </cell>
          <cell r="H417">
            <v>2.15</v>
          </cell>
        </row>
        <row r="418">
          <cell r="D418" t="str">
            <v>20130101KUUM_479</v>
          </cell>
          <cell r="E418">
            <v>32.06</v>
          </cell>
          <cell r="G418">
            <v>0.08</v>
          </cell>
          <cell r="H418">
            <v>4.18</v>
          </cell>
        </row>
        <row r="419">
          <cell r="D419" t="str">
            <v>20130101KUUM_480</v>
          </cell>
          <cell r="G419">
            <v>0.03</v>
          </cell>
          <cell r="H419">
            <v>0.53</v>
          </cell>
        </row>
        <row r="420">
          <cell r="D420" t="str">
            <v>20130101KUUM_481</v>
          </cell>
          <cell r="G420">
            <v>0.04</v>
          </cell>
          <cell r="H420">
            <v>0.74</v>
          </cell>
        </row>
        <row r="421">
          <cell r="D421" t="str">
            <v>20130101KUUM_482</v>
          </cell>
          <cell r="E421">
            <v>10.76</v>
          </cell>
          <cell r="G421">
            <v>0.03</v>
          </cell>
          <cell r="H421">
            <v>1.04</v>
          </cell>
        </row>
        <row r="422">
          <cell r="D422" t="str">
            <v>20130101KUUM_483</v>
          </cell>
          <cell r="E422">
            <v>16.34</v>
          </cell>
          <cell r="G422">
            <v>0.04</v>
          </cell>
          <cell r="H422">
            <v>0.74</v>
          </cell>
        </row>
        <row r="423">
          <cell r="D423" t="str">
            <v>20130101KUUM_484</v>
          </cell>
          <cell r="E423">
            <v>20.57</v>
          </cell>
          <cell r="G423">
            <v>0.03</v>
          </cell>
          <cell r="H423">
            <v>1.04</v>
          </cell>
        </row>
        <row r="424">
          <cell r="D424" t="str">
            <v>20130101KUUM_485</v>
          </cell>
          <cell r="E424">
            <v>26.16</v>
          </cell>
          <cell r="G424">
            <v>0.06</v>
          </cell>
          <cell r="H424">
            <v>2.15</v>
          </cell>
        </row>
        <row r="425">
          <cell r="D425" t="str">
            <v>20130101KUUM_486</v>
          </cell>
          <cell r="E425">
            <v>32.06</v>
          </cell>
          <cell r="G425">
            <v>0.08</v>
          </cell>
          <cell r="H425">
            <v>4.18</v>
          </cell>
        </row>
        <row r="426">
          <cell r="D426" t="str">
            <v>20130101KUUM_487</v>
          </cell>
          <cell r="E426">
            <v>8.6</v>
          </cell>
          <cell r="G426">
            <v>0.03</v>
          </cell>
          <cell r="H426">
            <v>1.04</v>
          </cell>
        </row>
        <row r="427">
          <cell r="D427" t="str">
            <v>20130101KUUM_488</v>
          </cell>
          <cell r="E427">
            <v>12.94</v>
          </cell>
          <cell r="G427">
            <v>0.06</v>
          </cell>
          <cell r="H427">
            <v>2.15</v>
          </cell>
        </row>
        <row r="428">
          <cell r="D428" t="str">
            <v>20130101KUUM_489</v>
          </cell>
          <cell r="E428">
            <v>18.399999999999999</v>
          </cell>
          <cell r="G428">
            <v>0.08</v>
          </cell>
          <cell r="H428">
            <v>4.18</v>
          </cell>
        </row>
        <row r="429">
          <cell r="D429" t="str">
            <v>20130101KUUM_490</v>
          </cell>
          <cell r="E429">
            <v>14.77</v>
          </cell>
          <cell r="G429">
            <v>7.0000000000000007E-2</v>
          </cell>
          <cell r="H429">
            <v>1.86</v>
          </cell>
        </row>
        <row r="430">
          <cell r="D430" t="str">
            <v>20130101KUUM_491</v>
          </cell>
          <cell r="E430">
            <v>20.91</v>
          </cell>
          <cell r="G430">
            <v>0.08</v>
          </cell>
          <cell r="H430">
            <v>4.03</v>
          </cell>
        </row>
        <row r="431">
          <cell r="D431" t="str">
            <v>20130101KUUM_492</v>
          </cell>
          <cell r="E431">
            <v>14.92</v>
          </cell>
          <cell r="G431">
            <v>0.04</v>
          </cell>
          <cell r="H431">
            <v>0.74</v>
          </cell>
        </row>
        <row r="432">
          <cell r="D432" t="str">
            <v>20130101KUUM_493</v>
          </cell>
          <cell r="E432">
            <v>43.35</v>
          </cell>
          <cell r="G432">
            <v>0.16</v>
          </cell>
          <cell r="H432">
            <v>9.6</v>
          </cell>
        </row>
        <row r="433">
          <cell r="D433" t="str">
            <v>20130101KUUM_494</v>
          </cell>
          <cell r="E433">
            <v>27.67</v>
          </cell>
          <cell r="G433">
            <v>7.0000000000000007E-2</v>
          </cell>
          <cell r="H433">
            <v>1.86</v>
          </cell>
        </row>
        <row r="434">
          <cell r="D434" t="str">
            <v>20130101KUUM_495</v>
          </cell>
          <cell r="E434">
            <v>33.81</v>
          </cell>
          <cell r="G434">
            <v>0.08</v>
          </cell>
          <cell r="H434">
            <v>4.03</v>
          </cell>
        </row>
        <row r="435">
          <cell r="D435" t="str">
            <v>20130101KUUM_496</v>
          </cell>
          <cell r="E435">
            <v>56.24</v>
          </cell>
          <cell r="G435">
            <v>0.16</v>
          </cell>
          <cell r="H435">
            <v>9.6</v>
          </cell>
        </row>
        <row r="436">
          <cell r="D436" t="str">
            <v>20130101KUUM_497</v>
          </cell>
          <cell r="E436">
            <v>14.95</v>
          </cell>
          <cell r="G436">
            <v>0.03</v>
          </cell>
          <cell r="H436">
            <v>1.04</v>
          </cell>
        </row>
        <row r="437">
          <cell r="D437" t="str">
            <v>20130101KUUM_498</v>
          </cell>
          <cell r="E437">
            <v>17.02</v>
          </cell>
          <cell r="G437">
            <v>0.06</v>
          </cell>
          <cell r="H437">
            <v>2.15</v>
          </cell>
        </row>
        <row r="438">
          <cell r="D438" t="str">
            <v>20130101KUUM_499</v>
          </cell>
          <cell r="E438">
            <v>20.43</v>
          </cell>
          <cell r="G438">
            <v>0.08</v>
          </cell>
          <cell r="H438">
            <v>4.18</v>
          </cell>
        </row>
        <row r="439">
          <cell r="D439" t="str">
            <v>20130701KUUM_300</v>
          </cell>
          <cell r="E439">
            <v>22.19</v>
          </cell>
          <cell r="G439">
            <v>0.03</v>
          </cell>
          <cell r="H439">
            <v>0.58000000000000185</v>
          </cell>
        </row>
        <row r="440">
          <cell r="D440" t="str">
            <v>20130701KUUM_301</v>
          </cell>
          <cell r="E440">
            <v>23.19</v>
          </cell>
          <cell r="G440">
            <v>0.03</v>
          </cell>
          <cell r="H440">
            <v>1.129999999999999</v>
          </cell>
        </row>
        <row r="441">
          <cell r="D441" t="str">
            <v>20130701KUUM_360</v>
          </cell>
          <cell r="E441">
            <v>53.15</v>
          </cell>
          <cell r="G441">
            <v>0.23</v>
          </cell>
          <cell r="H441">
            <v>1.75</v>
          </cell>
        </row>
        <row r="442">
          <cell r="D442" t="str">
            <v>20130701KUUM_361</v>
          </cell>
          <cell r="E442">
            <v>80.98</v>
          </cell>
          <cell r="G442">
            <v>0.23</v>
          </cell>
          <cell r="H442">
            <v>1.75</v>
          </cell>
        </row>
        <row r="443">
          <cell r="D443" t="str">
            <v>20130701KUUM_362</v>
          </cell>
          <cell r="E443">
            <v>57.6</v>
          </cell>
          <cell r="G443">
            <v>0.23</v>
          </cell>
          <cell r="H443">
            <v>1.75</v>
          </cell>
        </row>
        <row r="444">
          <cell r="D444" t="str">
            <v>20130701KUUM_363</v>
          </cell>
          <cell r="E444">
            <v>59.57</v>
          </cell>
          <cell r="G444">
            <v>0.23</v>
          </cell>
          <cell r="H444">
            <v>1.75</v>
          </cell>
        </row>
        <row r="445">
          <cell r="D445" t="str">
            <v>20130701KUUM_364</v>
          </cell>
          <cell r="E445">
            <v>60.93</v>
          </cell>
          <cell r="G445">
            <v>0.23</v>
          </cell>
          <cell r="H445">
            <v>1.75</v>
          </cell>
        </row>
        <row r="446">
          <cell r="D446" t="str">
            <v>20130701KUUM_365</v>
          </cell>
          <cell r="E446">
            <v>78.760000000000005</v>
          </cell>
          <cell r="G446">
            <v>0.23</v>
          </cell>
          <cell r="H446">
            <v>1.75</v>
          </cell>
        </row>
        <row r="447">
          <cell r="D447" t="str">
            <v>20130701KUUM_366</v>
          </cell>
          <cell r="E447">
            <v>76.790000000000006</v>
          </cell>
          <cell r="G447">
            <v>0.23</v>
          </cell>
          <cell r="H447">
            <v>1.75</v>
          </cell>
        </row>
        <row r="448">
          <cell r="D448" t="str">
            <v>20130701KUUM_367</v>
          </cell>
          <cell r="E448">
            <v>59.050000000000004</v>
          </cell>
          <cell r="G448">
            <v>0.23</v>
          </cell>
          <cell r="H448">
            <v>1.75</v>
          </cell>
        </row>
        <row r="449">
          <cell r="D449" t="str">
            <v>20130701KUUM_368</v>
          </cell>
          <cell r="E449">
            <v>54.51</v>
          </cell>
          <cell r="G449">
            <v>0.23</v>
          </cell>
          <cell r="H449">
            <v>1.75</v>
          </cell>
        </row>
        <row r="450">
          <cell r="D450" t="str">
            <v>20130701KUUM_370</v>
          </cell>
          <cell r="E450">
            <v>72.34</v>
          </cell>
          <cell r="G450">
            <v>0.23</v>
          </cell>
          <cell r="H450">
            <v>1.75</v>
          </cell>
        </row>
        <row r="451">
          <cell r="D451" t="str">
            <v>20130701KUUM_371</v>
          </cell>
          <cell r="E451">
            <v>100.17</v>
          </cell>
          <cell r="G451">
            <v>0.23</v>
          </cell>
          <cell r="H451">
            <v>1.75</v>
          </cell>
        </row>
        <row r="452">
          <cell r="D452" t="str">
            <v>20130701KUUM_372</v>
          </cell>
          <cell r="E452">
            <v>80.12</v>
          </cell>
          <cell r="G452">
            <v>0.23</v>
          </cell>
          <cell r="H452">
            <v>1.75</v>
          </cell>
        </row>
        <row r="453">
          <cell r="D453" t="str">
            <v>20130701KUUM_373</v>
          </cell>
          <cell r="E453">
            <v>72.34</v>
          </cell>
          <cell r="G453">
            <v>0.23</v>
          </cell>
          <cell r="H453">
            <v>1.75</v>
          </cell>
        </row>
        <row r="454">
          <cell r="D454" t="str">
            <v>20130701KUUM_374</v>
          </cell>
          <cell r="E454">
            <v>73.7</v>
          </cell>
          <cell r="G454">
            <v>0.23</v>
          </cell>
          <cell r="H454">
            <v>1.75</v>
          </cell>
        </row>
        <row r="455">
          <cell r="D455" t="str">
            <v>20130701KUUM_375</v>
          </cell>
          <cell r="E455">
            <v>76.790000000000006</v>
          </cell>
          <cell r="G455">
            <v>0.23</v>
          </cell>
          <cell r="H455">
            <v>1.75</v>
          </cell>
        </row>
        <row r="456">
          <cell r="D456" t="str">
            <v>20130701KUUM_376</v>
          </cell>
          <cell r="E456">
            <v>75.08</v>
          </cell>
          <cell r="G456">
            <v>0.23</v>
          </cell>
          <cell r="H456">
            <v>1.75</v>
          </cell>
        </row>
        <row r="457">
          <cell r="D457" t="str">
            <v>20130701KUUM_377</v>
          </cell>
          <cell r="E457">
            <v>62.01</v>
          </cell>
          <cell r="G457">
            <v>0.23</v>
          </cell>
          <cell r="H457">
            <v>1.75</v>
          </cell>
        </row>
        <row r="458">
          <cell r="D458" t="str">
            <v>20130701KUUM_378</v>
          </cell>
          <cell r="E458">
            <v>73.72</v>
          </cell>
          <cell r="G458">
            <v>0.23</v>
          </cell>
          <cell r="H458">
            <v>1.75</v>
          </cell>
        </row>
        <row r="459">
          <cell r="D459" t="str">
            <v>20130701KUUM_379</v>
          </cell>
          <cell r="E459">
            <v>78.66</v>
          </cell>
          <cell r="G459">
            <v>0.23</v>
          </cell>
          <cell r="H459">
            <v>1.75</v>
          </cell>
        </row>
        <row r="460">
          <cell r="D460" t="str">
            <v>20130701KUUM_380</v>
          </cell>
          <cell r="E460">
            <v>82.58</v>
          </cell>
          <cell r="G460">
            <v>0.23</v>
          </cell>
          <cell r="H460">
            <v>1.75</v>
          </cell>
        </row>
        <row r="461">
          <cell r="D461" t="str">
            <v>20130701KUUM_381</v>
          </cell>
          <cell r="E461">
            <v>83.94</v>
          </cell>
          <cell r="G461">
            <v>0.23</v>
          </cell>
          <cell r="H461">
            <v>1.75</v>
          </cell>
        </row>
        <row r="462">
          <cell r="D462" t="str">
            <v>20130701KUUM_382</v>
          </cell>
          <cell r="E462">
            <v>81.039999999999992</v>
          </cell>
          <cell r="G462">
            <v>0.23</v>
          </cell>
          <cell r="H462">
            <v>1.75</v>
          </cell>
        </row>
        <row r="463">
          <cell r="D463" t="str">
            <v>20130701KUUM_395</v>
          </cell>
          <cell r="E463">
            <v>53.15</v>
          </cell>
          <cell r="G463">
            <v>0.23</v>
          </cell>
          <cell r="H463">
            <v>1.75</v>
          </cell>
        </row>
        <row r="464">
          <cell r="D464" t="str">
            <v>20130701KUUM_400</v>
          </cell>
        </row>
        <row r="465">
          <cell r="D465" t="str">
            <v>20130701KUUM_401</v>
          </cell>
          <cell r="E465">
            <v>14.47</v>
          </cell>
          <cell r="G465">
            <v>0.04</v>
          </cell>
          <cell r="H465">
            <v>0.80000000000000071</v>
          </cell>
        </row>
        <row r="466">
          <cell r="D466" t="str">
            <v>20130701KUUM_404</v>
          </cell>
          <cell r="E466">
            <v>10.220000000000001</v>
          </cell>
          <cell r="G466">
            <v>0.04</v>
          </cell>
          <cell r="H466">
            <v>1.9900000000000002</v>
          </cell>
        </row>
        <row r="467">
          <cell r="D467" t="str">
            <v>20130701KUUM_405</v>
          </cell>
        </row>
        <row r="468">
          <cell r="D468" t="str">
            <v>20130701KUUM_406</v>
          </cell>
        </row>
        <row r="469">
          <cell r="D469" t="str">
            <v>20130701KUUM_407</v>
          </cell>
        </row>
        <row r="470">
          <cell r="D470" t="str">
            <v>20130701KUUM_408</v>
          </cell>
        </row>
        <row r="471">
          <cell r="D471" t="str">
            <v>20130701KUUM_409</v>
          </cell>
          <cell r="E471">
            <v>11</v>
          </cell>
          <cell r="G471">
            <v>0.08</v>
          </cell>
          <cell r="H471">
            <v>4.5299999999999994</v>
          </cell>
        </row>
        <row r="472">
          <cell r="D472" t="str">
            <v>20130701KUUM_410</v>
          </cell>
          <cell r="E472">
            <v>19.96</v>
          </cell>
          <cell r="G472">
            <v>0.03</v>
          </cell>
          <cell r="H472">
            <v>0.57000000000000028</v>
          </cell>
        </row>
        <row r="473">
          <cell r="D473" t="str">
            <v>20130701KUUM_411</v>
          </cell>
          <cell r="E473">
            <v>20.99</v>
          </cell>
          <cell r="G473">
            <v>0.04</v>
          </cell>
          <cell r="H473">
            <v>0.79999999999999716</v>
          </cell>
        </row>
        <row r="474">
          <cell r="D474" t="str">
            <v>20130701KUUM_412</v>
          </cell>
          <cell r="E474">
            <v>30.45</v>
          </cell>
          <cell r="G474">
            <v>0.04</v>
          </cell>
          <cell r="H474">
            <v>0.79999999999999716</v>
          </cell>
        </row>
        <row r="475">
          <cell r="D475" t="str">
            <v>20130701KUUM_413</v>
          </cell>
          <cell r="E475">
            <v>30.91</v>
          </cell>
          <cell r="G475">
            <v>0.03</v>
          </cell>
          <cell r="H475">
            <v>1.129999999999999</v>
          </cell>
        </row>
        <row r="476">
          <cell r="D476" t="str">
            <v>20130701KUUM_414</v>
          </cell>
          <cell r="E476">
            <v>30.45</v>
          </cell>
          <cell r="G476">
            <v>0.04</v>
          </cell>
          <cell r="H476">
            <v>0.79999999999999716</v>
          </cell>
        </row>
        <row r="477">
          <cell r="D477" t="str">
            <v>20130701KUUM_415</v>
          </cell>
          <cell r="E477">
            <v>30.91</v>
          </cell>
          <cell r="G477">
            <v>0.03</v>
          </cell>
          <cell r="H477">
            <v>1.129999999999999</v>
          </cell>
        </row>
        <row r="478">
          <cell r="D478" t="str">
            <v>20130701KUUM_420</v>
          </cell>
          <cell r="E478">
            <v>15.05</v>
          </cell>
          <cell r="G478">
            <v>0.03</v>
          </cell>
          <cell r="H478">
            <v>1.1300000000000008</v>
          </cell>
        </row>
        <row r="479">
          <cell r="D479" t="str">
            <v>20130701KUUM_421</v>
          </cell>
          <cell r="E479">
            <v>3.28</v>
          </cell>
          <cell r="G479">
            <v>0.01</v>
          </cell>
          <cell r="H479">
            <v>0.98999999999999977</v>
          </cell>
        </row>
        <row r="480">
          <cell r="D480" t="str">
            <v>20130701KUUM_422</v>
          </cell>
          <cell r="E480">
            <v>4.4000000000000004</v>
          </cell>
          <cell r="G480">
            <v>0.02</v>
          </cell>
          <cell r="H480">
            <v>1.9400000000000004</v>
          </cell>
        </row>
        <row r="481">
          <cell r="D481" t="str">
            <v>20130701KUUM_424</v>
          </cell>
          <cell r="E481">
            <v>6.56</v>
          </cell>
          <cell r="G481">
            <v>0.02</v>
          </cell>
          <cell r="H481">
            <v>0.69999999999999929</v>
          </cell>
        </row>
        <row r="482">
          <cell r="D482" t="str">
            <v>20130701KUUM_425</v>
          </cell>
          <cell r="E482">
            <v>8.76</v>
          </cell>
          <cell r="G482">
            <v>0.03</v>
          </cell>
          <cell r="H482">
            <v>4.3000000000000007</v>
          </cell>
        </row>
        <row r="483">
          <cell r="D483" t="str">
            <v>20130701KUUM_426</v>
          </cell>
          <cell r="E483">
            <v>7.05</v>
          </cell>
          <cell r="G483">
            <v>0.04</v>
          </cell>
          <cell r="H483">
            <v>0.79999999999999982</v>
          </cell>
        </row>
        <row r="484">
          <cell r="D484" t="str">
            <v>20130701KUUM_428</v>
          </cell>
          <cell r="E484">
            <v>7.53</v>
          </cell>
          <cell r="G484">
            <v>0.03</v>
          </cell>
          <cell r="H484">
            <v>1.1299999999999999</v>
          </cell>
        </row>
        <row r="485">
          <cell r="D485" t="str">
            <v>20130701KUUM_429</v>
          </cell>
        </row>
        <row r="486">
          <cell r="D486" t="str">
            <v>20130701KUUM_430</v>
          </cell>
          <cell r="E486">
            <v>21.69</v>
          </cell>
          <cell r="G486">
            <v>0.03</v>
          </cell>
          <cell r="H486">
            <v>1.129999999999999</v>
          </cell>
        </row>
        <row r="487">
          <cell r="D487" t="str">
            <v>20130701KUUM_431</v>
          </cell>
        </row>
        <row r="488">
          <cell r="D488" t="str">
            <v>20130701KUUM_432</v>
          </cell>
        </row>
        <row r="489">
          <cell r="D489" t="str">
            <v>20130701KUUM_433</v>
          </cell>
        </row>
        <row r="490">
          <cell r="D490" t="str">
            <v>20130701KUUM_434</v>
          </cell>
          <cell r="E490">
            <v>7.52</v>
          </cell>
          <cell r="G490">
            <v>0.02</v>
          </cell>
          <cell r="H490">
            <v>0.69999999999999929</v>
          </cell>
        </row>
        <row r="491">
          <cell r="D491" t="str">
            <v>20130701KUUM_435</v>
          </cell>
        </row>
        <row r="492">
          <cell r="D492" t="str">
            <v>20130701KUUM_440</v>
          </cell>
          <cell r="E492">
            <v>13.31</v>
          </cell>
          <cell r="G492">
            <v>0.03</v>
          </cell>
          <cell r="H492">
            <v>0.57000000000000028</v>
          </cell>
        </row>
        <row r="493">
          <cell r="D493" t="str">
            <v>20130701KUUM_441</v>
          </cell>
        </row>
        <row r="494">
          <cell r="D494" t="str">
            <v>20130701KUUM_442</v>
          </cell>
        </row>
        <row r="495">
          <cell r="D495" t="str">
            <v>20130701KUUM_444</v>
          </cell>
        </row>
        <row r="496">
          <cell r="D496" t="str">
            <v>20130701KUUM_445</v>
          </cell>
        </row>
        <row r="497">
          <cell r="D497" t="str">
            <v>20130701KUUM_446</v>
          </cell>
          <cell r="E497">
            <v>9.2100000000000009</v>
          </cell>
          <cell r="G497">
            <v>0.04</v>
          </cell>
          <cell r="H497">
            <v>1.9900000000000002</v>
          </cell>
        </row>
        <row r="498">
          <cell r="D498" t="str">
            <v>20130701KUUM_447</v>
          </cell>
          <cell r="E498">
            <v>10.92</v>
          </cell>
          <cell r="G498">
            <v>0.04</v>
          </cell>
          <cell r="H498">
            <v>2.8400000000000016</v>
          </cell>
        </row>
        <row r="499">
          <cell r="D499" t="str">
            <v>20130701KUUM_448</v>
          </cell>
          <cell r="E499">
            <v>12.35</v>
          </cell>
          <cell r="G499">
            <v>0.05</v>
          </cell>
          <cell r="H499">
            <v>4.37</v>
          </cell>
        </row>
        <row r="500">
          <cell r="D500" t="str">
            <v>20130701KUUM_449</v>
          </cell>
        </row>
        <row r="501">
          <cell r="D501" t="str">
            <v>20130701KUUM_450</v>
          </cell>
          <cell r="E501">
            <v>13.66</v>
          </cell>
          <cell r="G501">
            <v>7.0000000000000007E-2</v>
          </cell>
          <cell r="H501">
            <v>1.9699999999999989</v>
          </cell>
        </row>
        <row r="502">
          <cell r="D502" t="str">
            <v>20130701KUUM_451</v>
          </cell>
          <cell r="E502">
            <v>19.440000000000001</v>
          </cell>
          <cell r="G502">
            <v>0.08</v>
          </cell>
          <cell r="H502">
            <v>4.2900000000000027</v>
          </cell>
        </row>
        <row r="503">
          <cell r="D503" t="str">
            <v>20130701KUUM_452</v>
          </cell>
          <cell r="E503">
            <v>40.81</v>
          </cell>
          <cell r="G503">
            <v>0.16</v>
          </cell>
          <cell r="H503">
            <v>10.410000000000004</v>
          </cell>
        </row>
        <row r="504">
          <cell r="D504" t="str">
            <v>20130701KUUM_454</v>
          </cell>
          <cell r="E504">
            <v>18.059999999999999</v>
          </cell>
          <cell r="G504">
            <v>7.0000000000000007E-2</v>
          </cell>
          <cell r="H504">
            <v>1.9699999999999989</v>
          </cell>
        </row>
        <row r="505">
          <cell r="D505" t="str">
            <v>20130701KUUM_455</v>
          </cell>
          <cell r="E505">
            <v>23.83</v>
          </cell>
          <cell r="G505">
            <v>0.08</v>
          </cell>
          <cell r="H505">
            <v>4.2899999999999991</v>
          </cell>
        </row>
        <row r="506">
          <cell r="D506" t="str">
            <v>20130701KUUM_456</v>
          </cell>
          <cell r="E506">
            <v>11.52</v>
          </cell>
          <cell r="G506">
            <v>0.04</v>
          </cell>
          <cell r="H506">
            <v>1.9900000000000002</v>
          </cell>
        </row>
        <row r="507">
          <cell r="D507" t="str">
            <v>20130701KUUM_457</v>
          </cell>
          <cell r="E507">
            <v>12.96</v>
          </cell>
          <cell r="G507">
            <v>0.04</v>
          </cell>
          <cell r="H507">
            <v>2.84</v>
          </cell>
        </row>
        <row r="508">
          <cell r="D508" t="str">
            <v>20130701KUUM_458</v>
          </cell>
          <cell r="E508">
            <v>14.62</v>
          </cell>
          <cell r="G508">
            <v>0.05</v>
          </cell>
          <cell r="H508">
            <v>4.3699999999999992</v>
          </cell>
        </row>
        <row r="509">
          <cell r="D509" t="str">
            <v>20130701KUUM_459</v>
          </cell>
          <cell r="E509">
            <v>45.2</v>
          </cell>
          <cell r="G509">
            <v>0.16</v>
          </cell>
          <cell r="H509">
            <v>10.410000000000004</v>
          </cell>
        </row>
        <row r="510">
          <cell r="D510" t="str">
            <v>20130701KUUM_460</v>
          </cell>
          <cell r="E510">
            <v>26.56</v>
          </cell>
          <cell r="G510">
            <v>7.0000000000000007E-2</v>
          </cell>
          <cell r="H510">
            <v>1.9699999999999989</v>
          </cell>
        </row>
        <row r="511">
          <cell r="D511" t="str">
            <v>20130701KUUM_461</v>
          </cell>
          <cell r="E511">
            <v>7.24</v>
          </cell>
          <cell r="G511">
            <v>0.03</v>
          </cell>
          <cell r="H511">
            <v>0.57000000000000028</v>
          </cell>
        </row>
        <row r="512">
          <cell r="D512" t="str">
            <v>20130701KUUM_462</v>
          </cell>
          <cell r="E512">
            <v>8.27</v>
          </cell>
          <cell r="G512">
            <v>0.04</v>
          </cell>
          <cell r="H512">
            <v>0.79999999999999893</v>
          </cell>
        </row>
        <row r="513">
          <cell r="D513" t="str">
            <v>20130701KUUM_463</v>
          </cell>
          <cell r="E513">
            <v>8.83</v>
          </cell>
          <cell r="G513">
            <v>0.03</v>
          </cell>
          <cell r="H513">
            <v>1.1299999999999999</v>
          </cell>
        </row>
        <row r="514">
          <cell r="D514" t="str">
            <v>20130701KUUM_464</v>
          </cell>
          <cell r="E514">
            <v>13.73</v>
          </cell>
          <cell r="G514">
            <v>0.06</v>
          </cell>
          <cell r="H514">
            <v>2.33</v>
          </cell>
        </row>
        <row r="515">
          <cell r="D515" t="str">
            <v>20130701KUUM_465</v>
          </cell>
          <cell r="E515">
            <v>22.13</v>
          </cell>
          <cell r="G515">
            <v>0.08</v>
          </cell>
          <cell r="H515">
            <v>4.5299999999999976</v>
          </cell>
        </row>
        <row r="516">
          <cell r="D516" t="str">
            <v>20130701KUUM_466</v>
          </cell>
          <cell r="E516">
            <v>9.32</v>
          </cell>
          <cell r="G516">
            <v>0.03</v>
          </cell>
          <cell r="H516">
            <v>0.57000000000000028</v>
          </cell>
        </row>
        <row r="517">
          <cell r="D517" t="str">
            <v>20130701KUUM_467</v>
          </cell>
          <cell r="E517">
            <v>10.38</v>
          </cell>
          <cell r="G517">
            <v>0.04</v>
          </cell>
          <cell r="H517">
            <v>0.80000000000000071</v>
          </cell>
        </row>
        <row r="518">
          <cell r="D518" t="str">
            <v>20130701KUUM_468</v>
          </cell>
          <cell r="E518">
            <v>10.85</v>
          </cell>
          <cell r="G518">
            <v>0.03</v>
          </cell>
          <cell r="H518">
            <v>1.129999999999999</v>
          </cell>
        </row>
        <row r="519">
          <cell r="D519" t="str">
            <v>20130701KUUM_469</v>
          </cell>
          <cell r="E519">
            <v>32.340000000000003</v>
          </cell>
          <cell r="G519">
            <v>0.08</v>
          </cell>
          <cell r="H519">
            <v>4.2900000000000063</v>
          </cell>
        </row>
        <row r="520">
          <cell r="D520" t="str">
            <v>20130701KUUM_470</v>
          </cell>
          <cell r="E520">
            <v>53.71</v>
          </cell>
          <cell r="G520">
            <v>0.16</v>
          </cell>
          <cell r="H520">
            <v>10.410000000000004</v>
          </cell>
        </row>
        <row r="521">
          <cell r="D521" t="str">
            <v>20130701KUUM_471</v>
          </cell>
          <cell r="E521">
            <v>10.19</v>
          </cell>
          <cell r="G521">
            <v>0.03</v>
          </cell>
          <cell r="H521">
            <v>0.56999999999999851</v>
          </cell>
        </row>
        <row r="522">
          <cell r="D522" t="str">
            <v>20130701KUUM_472</v>
          </cell>
          <cell r="E522">
            <v>11.21</v>
          </cell>
          <cell r="G522">
            <v>0.04</v>
          </cell>
          <cell r="H522">
            <v>0.80000000000000071</v>
          </cell>
        </row>
        <row r="523">
          <cell r="D523" t="str">
            <v>20130701KUUM_473</v>
          </cell>
          <cell r="E523">
            <v>11.99</v>
          </cell>
          <cell r="G523">
            <v>0.03</v>
          </cell>
          <cell r="H523">
            <v>1.129999999999999</v>
          </cell>
        </row>
        <row r="524">
          <cell r="D524" t="str">
            <v>20130701KUUM_474</v>
          </cell>
          <cell r="E524">
            <v>16.89</v>
          </cell>
          <cell r="G524">
            <v>0.06</v>
          </cell>
          <cell r="H524">
            <v>2.33</v>
          </cell>
        </row>
        <row r="525">
          <cell r="D525" t="str">
            <v>20130701KUUM_475</v>
          </cell>
          <cell r="E525">
            <v>23.75</v>
          </cell>
          <cell r="G525">
            <v>0.08</v>
          </cell>
          <cell r="H525">
            <v>4.5300000000000011</v>
          </cell>
        </row>
        <row r="526">
          <cell r="D526" t="str">
            <v>20130701KUUM_476</v>
          </cell>
          <cell r="E526">
            <v>16.399999999999999</v>
          </cell>
          <cell r="G526">
            <v>0.04</v>
          </cell>
          <cell r="H526">
            <v>0.79999999999999893</v>
          </cell>
        </row>
        <row r="527">
          <cell r="D527" t="str">
            <v>20130701KUUM_477</v>
          </cell>
          <cell r="E527">
            <v>20.66</v>
          </cell>
          <cell r="G527">
            <v>0.03</v>
          </cell>
          <cell r="H527">
            <v>1.129999999999999</v>
          </cell>
        </row>
        <row r="528">
          <cell r="D528" t="str">
            <v>20130701KUUM_478</v>
          </cell>
          <cell r="E528">
            <v>26.34</v>
          </cell>
          <cell r="G528">
            <v>0.06</v>
          </cell>
          <cell r="H528">
            <v>2.3299999999999983</v>
          </cell>
        </row>
        <row r="529">
          <cell r="D529" t="str">
            <v>20130701KUUM_479</v>
          </cell>
          <cell r="E529">
            <v>32.409999999999997</v>
          </cell>
          <cell r="G529">
            <v>0.08</v>
          </cell>
          <cell r="H529">
            <v>4.529999999999994</v>
          </cell>
        </row>
        <row r="530">
          <cell r="D530" t="str">
            <v>20130701KUUM_480</v>
          </cell>
        </row>
        <row r="531">
          <cell r="D531" t="str">
            <v>20130701KUUM_481</v>
          </cell>
        </row>
        <row r="532">
          <cell r="D532" t="str">
            <v>20130701KUUM_482</v>
          </cell>
        </row>
        <row r="533">
          <cell r="D533" t="str">
            <v>20130701KUUM_483</v>
          </cell>
        </row>
        <row r="534">
          <cell r="D534" t="str">
            <v>20130701KUUM_484</v>
          </cell>
        </row>
        <row r="535">
          <cell r="D535" t="str">
            <v>20130701KUUM_485</v>
          </cell>
        </row>
        <row r="536">
          <cell r="D536" t="str">
            <v>20130701KUUM_486</v>
          </cell>
        </row>
        <row r="537">
          <cell r="D537" t="str">
            <v>20130701KUUM_487</v>
          </cell>
          <cell r="E537">
            <v>8.69</v>
          </cell>
          <cell r="G537">
            <v>0.03</v>
          </cell>
          <cell r="H537">
            <v>1.1299999999999999</v>
          </cell>
        </row>
        <row r="538">
          <cell r="D538" t="str">
            <v>20130701KUUM_488</v>
          </cell>
          <cell r="E538">
            <v>13.12</v>
          </cell>
          <cell r="G538">
            <v>0.06</v>
          </cell>
          <cell r="H538">
            <v>2.33</v>
          </cell>
        </row>
        <row r="539">
          <cell r="D539" t="str">
            <v>20130701KUUM_489</v>
          </cell>
          <cell r="E539">
            <v>18.75</v>
          </cell>
          <cell r="G539">
            <v>0.08</v>
          </cell>
          <cell r="H539">
            <v>4.5300000000000011</v>
          </cell>
        </row>
        <row r="540">
          <cell r="D540" t="str">
            <v>20130701KUUM_490</v>
          </cell>
          <cell r="E540">
            <v>14.88</v>
          </cell>
          <cell r="G540">
            <v>7.0000000000000007E-2</v>
          </cell>
          <cell r="H540">
            <v>1.9700000000000006</v>
          </cell>
        </row>
        <row r="541">
          <cell r="D541" t="str">
            <v>20130701KUUM_491</v>
          </cell>
          <cell r="E541">
            <v>21.17</v>
          </cell>
          <cell r="G541">
            <v>0.08</v>
          </cell>
          <cell r="H541">
            <v>4.2900000000000027</v>
          </cell>
        </row>
        <row r="542">
          <cell r="D542" t="str">
            <v>20130701KUUM_492</v>
          </cell>
          <cell r="E542">
            <v>14.98</v>
          </cell>
          <cell r="G542">
            <v>0.04</v>
          </cell>
          <cell r="H542">
            <v>0.80000000000000071</v>
          </cell>
        </row>
        <row r="543">
          <cell r="D543" t="str">
            <v>20130701KUUM_493</v>
          </cell>
          <cell r="E543">
            <v>44.16</v>
          </cell>
          <cell r="G543">
            <v>0.16</v>
          </cell>
          <cell r="H543">
            <v>10.409999999999997</v>
          </cell>
        </row>
        <row r="544">
          <cell r="D544" t="str">
            <v>20130701KUUM_494</v>
          </cell>
          <cell r="E544">
            <v>27.78</v>
          </cell>
          <cell r="G544">
            <v>7.0000000000000007E-2</v>
          </cell>
          <cell r="H544">
            <v>1.9699999999999989</v>
          </cell>
        </row>
        <row r="545">
          <cell r="D545" t="str">
            <v>20130701KUUM_495</v>
          </cell>
          <cell r="E545">
            <v>34.07</v>
          </cell>
          <cell r="G545">
            <v>0.08</v>
          </cell>
          <cell r="H545">
            <v>4.2899999999999991</v>
          </cell>
        </row>
        <row r="546">
          <cell r="D546" t="str">
            <v>20130701KUUM_496</v>
          </cell>
          <cell r="E546">
            <v>57.05</v>
          </cell>
          <cell r="G546">
            <v>0.16</v>
          </cell>
          <cell r="H546">
            <v>10.409999999999997</v>
          </cell>
        </row>
        <row r="547">
          <cell r="D547" t="str">
            <v>20130701KUUM_497</v>
          </cell>
          <cell r="E547">
            <v>15.04</v>
          </cell>
          <cell r="G547">
            <v>0.03</v>
          </cell>
          <cell r="H547">
            <v>1.1300000000000008</v>
          </cell>
        </row>
        <row r="548">
          <cell r="D548" t="str">
            <v>20130701KUUM_498</v>
          </cell>
          <cell r="E548">
            <v>17.2</v>
          </cell>
          <cell r="G548">
            <v>0.06</v>
          </cell>
          <cell r="H548">
            <v>2.33</v>
          </cell>
        </row>
        <row r="549">
          <cell r="D549" t="str">
            <v>20130701KUUM_499</v>
          </cell>
          <cell r="E549">
            <v>20.78</v>
          </cell>
          <cell r="G549">
            <v>0.08</v>
          </cell>
          <cell r="H549">
            <v>4.5300000000000011</v>
          </cell>
        </row>
        <row r="550">
          <cell r="D550" t="str">
            <v>20140101KUUM_300</v>
          </cell>
          <cell r="E550">
            <v>22.49</v>
          </cell>
          <cell r="G550">
            <v>0.33</v>
          </cell>
          <cell r="H550">
            <v>0.58000000000000185</v>
          </cell>
        </row>
        <row r="551">
          <cell r="D551" t="str">
            <v>20140101KUUM_301</v>
          </cell>
          <cell r="E551">
            <v>23.5</v>
          </cell>
          <cell r="G551">
            <v>0.34</v>
          </cell>
          <cell r="H551">
            <v>1.129999999999999</v>
          </cell>
        </row>
        <row r="552">
          <cell r="D552" t="str">
            <v>20140101KUUM_360</v>
          </cell>
          <cell r="E552">
            <v>55.33</v>
          </cell>
          <cell r="G552">
            <v>2.41</v>
          </cell>
          <cell r="H552">
            <v>1.75</v>
          </cell>
        </row>
        <row r="553">
          <cell r="D553" t="str">
            <v>20140101KUUM_361</v>
          </cell>
          <cell r="E553">
            <v>83.16</v>
          </cell>
          <cell r="G553">
            <v>2.41</v>
          </cell>
          <cell r="H553">
            <v>1.75</v>
          </cell>
        </row>
        <row r="554">
          <cell r="D554" t="str">
            <v>20140101KUUM_362</v>
          </cell>
          <cell r="E554">
            <v>59.78</v>
          </cell>
          <cell r="G554">
            <v>2.41</v>
          </cell>
          <cell r="H554">
            <v>1.75</v>
          </cell>
        </row>
        <row r="555">
          <cell r="D555" t="str">
            <v>20140101KUUM_363</v>
          </cell>
          <cell r="E555">
            <v>61.75</v>
          </cell>
          <cell r="G555">
            <v>2.41</v>
          </cell>
          <cell r="H555">
            <v>1.75</v>
          </cell>
        </row>
        <row r="556">
          <cell r="D556" t="str">
            <v>20140101KUUM_364</v>
          </cell>
          <cell r="E556">
            <v>63.11</v>
          </cell>
          <cell r="G556">
            <v>2.41</v>
          </cell>
          <cell r="H556">
            <v>1.75</v>
          </cell>
        </row>
        <row r="557">
          <cell r="D557" t="str">
            <v>20140101KUUM_365</v>
          </cell>
          <cell r="E557">
            <v>80.94</v>
          </cell>
          <cell r="G557">
            <v>2.41</v>
          </cell>
          <cell r="H557">
            <v>1.75</v>
          </cell>
        </row>
        <row r="558">
          <cell r="D558" t="str">
            <v>20140101KUUM_366</v>
          </cell>
          <cell r="E558">
            <v>78.97</v>
          </cell>
          <cell r="G558">
            <v>2.41</v>
          </cell>
          <cell r="H558">
            <v>1.75</v>
          </cell>
        </row>
        <row r="559">
          <cell r="D559" t="str">
            <v>20140101KUUM_367</v>
          </cell>
          <cell r="E559">
            <v>61.230000000000004</v>
          </cell>
          <cell r="G559">
            <v>2.41</v>
          </cell>
          <cell r="H559">
            <v>1.75</v>
          </cell>
        </row>
        <row r="560">
          <cell r="D560" t="str">
            <v>20140101KUUM_368</v>
          </cell>
          <cell r="E560">
            <v>56.69</v>
          </cell>
          <cell r="G560">
            <v>2.41</v>
          </cell>
          <cell r="H560">
            <v>1.75</v>
          </cell>
        </row>
        <row r="561">
          <cell r="D561" t="str">
            <v>20140101KUUM_370</v>
          </cell>
          <cell r="E561">
            <v>74.52</v>
          </cell>
          <cell r="G561">
            <v>2.41</v>
          </cell>
          <cell r="H561">
            <v>1.75</v>
          </cell>
        </row>
        <row r="562">
          <cell r="D562" t="str">
            <v>20140101KUUM_371</v>
          </cell>
          <cell r="E562">
            <v>102.35</v>
          </cell>
          <cell r="G562">
            <v>2.41</v>
          </cell>
          <cell r="H562">
            <v>1.75</v>
          </cell>
        </row>
        <row r="563">
          <cell r="D563" t="str">
            <v>20140101KUUM_372</v>
          </cell>
          <cell r="E563">
            <v>82.3</v>
          </cell>
          <cell r="G563">
            <v>2.41</v>
          </cell>
          <cell r="H563">
            <v>1.75</v>
          </cell>
        </row>
        <row r="564">
          <cell r="D564" t="str">
            <v>20140101KUUM_373</v>
          </cell>
          <cell r="E564">
            <v>74.52</v>
          </cell>
          <cell r="G564">
            <v>2.41</v>
          </cell>
          <cell r="H564">
            <v>1.75</v>
          </cell>
        </row>
        <row r="565">
          <cell r="D565" t="str">
            <v>20140101KUUM_374</v>
          </cell>
          <cell r="E565">
            <v>75.88</v>
          </cell>
          <cell r="G565">
            <v>2.41</v>
          </cell>
          <cell r="H565">
            <v>1.75</v>
          </cell>
        </row>
        <row r="566">
          <cell r="D566" t="str">
            <v>20140101KUUM_375</v>
          </cell>
          <cell r="E566">
            <v>78.97</v>
          </cell>
          <cell r="G566">
            <v>2.41</v>
          </cell>
          <cell r="H566">
            <v>1.75</v>
          </cell>
        </row>
        <row r="567">
          <cell r="D567" t="str">
            <v>20140101KUUM_376</v>
          </cell>
          <cell r="E567">
            <v>77.259999999999991</v>
          </cell>
          <cell r="G567">
            <v>2.41</v>
          </cell>
          <cell r="H567">
            <v>1.75</v>
          </cell>
        </row>
        <row r="568">
          <cell r="D568" t="str">
            <v>20140101KUUM_377</v>
          </cell>
          <cell r="E568">
            <v>64.19</v>
          </cell>
          <cell r="G568">
            <v>2.41</v>
          </cell>
          <cell r="H568">
            <v>1.75</v>
          </cell>
        </row>
        <row r="569">
          <cell r="D569" t="str">
            <v>20140101KUUM_378</v>
          </cell>
          <cell r="E569">
            <v>75.899999999999991</v>
          </cell>
          <cell r="G569">
            <v>2.41</v>
          </cell>
          <cell r="H569">
            <v>1.75</v>
          </cell>
        </row>
        <row r="570">
          <cell r="D570" t="str">
            <v>20140101KUUM_379</v>
          </cell>
          <cell r="E570">
            <v>80.839999999999989</v>
          </cell>
          <cell r="G570">
            <v>2.41</v>
          </cell>
          <cell r="H570">
            <v>1.75</v>
          </cell>
        </row>
        <row r="571">
          <cell r="D571" t="str">
            <v>20140101KUUM_380</v>
          </cell>
          <cell r="E571">
            <v>84.759999999999991</v>
          </cell>
          <cell r="G571">
            <v>2.41</v>
          </cell>
          <cell r="H571">
            <v>1.75</v>
          </cell>
        </row>
        <row r="572">
          <cell r="D572" t="str">
            <v>20140101KUUM_381</v>
          </cell>
          <cell r="E572">
            <v>86.11999999999999</v>
          </cell>
          <cell r="G572">
            <v>2.41</v>
          </cell>
          <cell r="H572">
            <v>1.75</v>
          </cell>
        </row>
        <row r="573">
          <cell r="D573" t="str">
            <v>20140101KUUM_382</v>
          </cell>
          <cell r="E573">
            <v>83.219999999999985</v>
          </cell>
          <cell r="G573">
            <v>2.41</v>
          </cell>
          <cell r="H573">
            <v>1.75</v>
          </cell>
        </row>
        <row r="574">
          <cell r="D574" t="str">
            <v>20140101KUUM_395</v>
          </cell>
          <cell r="E574">
            <v>55.33</v>
          </cell>
          <cell r="G574">
            <v>2.41</v>
          </cell>
          <cell r="H574">
            <v>1.75</v>
          </cell>
        </row>
        <row r="575">
          <cell r="D575" t="str">
            <v>20140101KUUM_400</v>
          </cell>
        </row>
        <row r="576">
          <cell r="D576" t="str">
            <v>20140101KUUM_401</v>
          </cell>
          <cell r="E576">
            <v>14.860000000000001</v>
          </cell>
          <cell r="G576">
            <v>0.43</v>
          </cell>
          <cell r="H576">
            <v>0.80000000000000071</v>
          </cell>
        </row>
        <row r="577">
          <cell r="D577" t="str">
            <v>20140101KUUM_404</v>
          </cell>
          <cell r="E577">
            <v>10.570000000000002</v>
          </cell>
          <cell r="G577">
            <v>0.39</v>
          </cell>
          <cell r="H577">
            <v>1.9900000000000002</v>
          </cell>
        </row>
        <row r="578">
          <cell r="D578" t="str">
            <v>20140101KUUM_405</v>
          </cell>
        </row>
        <row r="579">
          <cell r="D579" t="str">
            <v>20140101KUUM_406</v>
          </cell>
        </row>
        <row r="580">
          <cell r="D580" t="str">
            <v>20140101KUUM_407</v>
          </cell>
        </row>
        <row r="581">
          <cell r="D581" t="str">
            <v>20140101KUUM_408</v>
          </cell>
        </row>
        <row r="582">
          <cell r="D582" t="str">
            <v>20140101KUUM_409</v>
          </cell>
          <cell r="E582">
            <v>11.71</v>
          </cell>
          <cell r="G582">
            <v>0.79</v>
          </cell>
          <cell r="H582">
            <v>4.5299999999999994</v>
          </cell>
        </row>
        <row r="583">
          <cell r="D583" t="str">
            <v>20140101KUUM_410</v>
          </cell>
          <cell r="E583">
            <v>20.259999999999998</v>
          </cell>
          <cell r="G583">
            <v>0.33</v>
          </cell>
          <cell r="H583">
            <v>0.57000000000000028</v>
          </cell>
        </row>
        <row r="584">
          <cell r="D584" t="str">
            <v>20140101KUUM_411</v>
          </cell>
          <cell r="E584">
            <v>21.38</v>
          </cell>
          <cell r="G584">
            <v>0.43</v>
          </cell>
          <cell r="H584">
            <v>0.79999999999999716</v>
          </cell>
        </row>
        <row r="585">
          <cell r="D585" t="str">
            <v>20140101KUUM_412</v>
          </cell>
          <cell r="E585">
            <v>30.84</v>
          </cell>
          <cell r="G585">
            <v>0.43</v>
          </cell>
          <cell r="H585">
            <v>0.79999999999999716</v>
          </cell>
        </row>
        <row r="586">
          <cell r="D586" t="str">
            <v>20140101KUUM_413</v>
          </cell>
          <cell r="E586">
            <v>31.22</v>
          </cell>
          <cell r="G586">
            <v>0.34</v>
          </cell>
          <cell r="H586">
            <v>1.129999999999999</v>
          </cell>
        </row>
        <row r="587">
          <cell r="D587" t="str">
            <v>20140101KUUM_414</v>
          </cell>
          <cell r="E587">
            <v>30.84</v>
          </cell>
          <cell r="G587">
            <v>0.43</v>
          </cell>
          <cell r="H587">
            <v>0.79999999999999716</v>
          </cell>
        </row>
        <row r="588">
          <cell r="D588" t="str">
            <v>20140101KUUM_415</v>
          </cell>
          <cell r="E588">
            <v>31.22</v>
          </cell>
          <cell r="G588">
            <v>0.34</v>
          </cell>
          <cell r="H588">
            <v>1.129999999999999</v>
          </cell>
        </row>
        <row r="589">
          <cell r="D589" t="str">
            <v>20140101KUUM_420</v>
          </cell>
          <cell r="E589">
            <v>15.360000000000001</v>
          </cell>
          <cell r="G589">
            <v>0.34</v>
          </cell>
          <cell r="H589">
            <v>1.1300000000000008</v>
          </cell>
        </row>
        <row r="590">
          <cell r="D590" t="str">
            <v>20140101KUUM_421</v>
          </cell>
          <cell r="E590">
            <v>3.39</v>
          </cell>
          <cell r="G590">
            <v>0.12</v>
          </cell>
          <cell r="H590">
            <v>0.98999999999999977</v>
          </cell>
        </row>
        <row r="591">
          <cell r="D591" t="str">
            <v>20140101KUUM_422</v>
          </cell>
          <cell r="E591">
            <v>4.5400000000000009</v>
          </cell>
          <cell r="G591">
            <v>0.16</v>
          </cell>
          <cell r="H591">
            <v>1.9400000000000004</v>
          </cell>
        </row>
        <row r="592">
          <cell r="D592" t="str">
            <v>20140101KUUM_424</v>
          </cell>
          <cell r="E592">
            <v>6.78</v>
          </cell>
          <cell r="G592">
            <v>0.24</v>
          </cell>
          <cell r="H592">
            <v>0.69999999999999929</v>
          </cell>
        </row>
        <row r="593">
          <cell r="D593" t="str">
            <v>20140101KUUM_425</v>
          </cell>
          <cell r="E593">
            <v>9.06</v>
          </cell>
          <cell r="G593">
            <v>0.33</v>
          </cell>
          <cell r="H593">
            <v>4.3000000000000007</v>
          </cell>
        </row>
        <row r="594">
          <cell r="D594" t="str">
            <v>20140101KUUM_426</v>
          </cell>
          <cell r="E594">
            <v>7.4399999999999995</v>
          </cell>
          <cell r="G594">
            <v>0.43</v>
          </cell>
          <cell r="H594">
            <v>0.79999999999999982</v>
          </cell>
        </row>
        <row r="595">
          <cell r="D595" t="str">
            <v>20140101KUUM_428</v>
          </cell>
          <cell r="E595">
            <v>7.84</v>
          </cell>
          <cell r="G595">
            <v>0.34</v>
          </cell>
          <cell r="H595">
            <v>1.1299999999999999</v>
          </cell>
        </row>
        <row r="596">
          <cell r="D596" t="str">
            <v>20140101KUUM_429</v>
          </cell>
        </row>
        <row r="597">
          <cell r="D597" t="str">
            <v>20140101KUUM_430</v>
          </cell>
          <cell r="E597">
            <v>22</v>
          </cell>
          <cell r="G597">
            <v>0.34</v>
          </cell>
          <cell r="H597">
            <v>1.129999999999999</v>
          </cell>
        </row>
        <row r="598">
          <cell r="D598" t="str">
            <v>20140101KUUM_431</v>
          </cell>
        </row>
        <row r="599">
          <cell r="D599" t="str">
            <v>20140101KUUM_432</v>
          </cell>
        </row>
        <row r="600">
          <cell r="D600" t="str">
            <v>20140101KUUM_433</v>
          </cell>
        </row>
        <row r="601">
          <cell r="D601" t="str">
            <v>20140101KUUM_434</v>
          </cell>
          <cell r="E601">
            <v>7.74</v>
          </cell>
          <cell r="G601">
            <v>0.24</v>
          </cell>
          <cell r="H601">
            <v>0.69999999999999929</v>
          </cell>
        </row>
        <row r="602">
          <cell r="D602" t="str">
            <v>20140101KUUM_435</v>
          </cell>
        </row>
        <row r="603">
          <cell r="D603" t="str">
            <v>20140101KUUM_440</v>
          </cell>
          <cell r="E603">
            <v>13.610000000000001</v>
          </cell>
          <cell r="G603">
            <v>0.33</v>
          </cell>
          <cell r="H603">
            <v>0.57000000000000028</v>
          </cell>
        </row>
        <row r="604">
          <cell r="D604" t="str">
            <v>20140101KUUM_441</v>
          </cell>
        </row>
        <row r="605">
          <cell r="D605" t="str">
            <v>20140101KUUM_442</v>
          </cell>
        </row>
        <row r="606">
          <cell r="D606" t="str">
            <v>20140101KUUM_444</v>
          </cell>
        </row>
        <row r="607">
          <cell r="D607" t="str">
            <v>20140101KUUM_445</v>
          </cell>
        </row>
        <row r="608">
          <cell r="D608" t="str">
            <v>20140101KUUM_446</v>
          </cell>
          <cell r="E608">
            <v>9.5600000000000023</v>
          </cell>
          <cell r="G608">
            <v>0.39</v>
          </cell>
          <cell r="H608">
            <v>1.9900000000000002</v>
          </cell>
        </row>
        <row r="609">
          <cell r="D609" t="str">
            <v>20140101KUUM_447</v>
          </cell>
          <cell r="E609">
            <v>11.32</v>
          </cell>
          <cell r="G609">
            <v>0.44</v>
          </cell>
          <cell r="H609">
            <v>2.8400000000000016</v>
          </cell>
        </row>
        <row r="610">
          <cell r="D610" t="str">
            <v>20140101KUUM_448</v>
          </cell>
          <cell r="E610">
            <v>12.809999999999999</v>
          </cell>
          <cell r="G610">
            <v>0.51</v>
          </cell>
          <cell r="H610">
            <v>4.37</v>
          </cell>
        </row>
        <row r="611">
          <cell r="D611" t="str">
            <v>20140101KUUM_449</v>
          </cell>
        </row>
        <row r="612">
          <cell r="D612" t="str">
            <v>20140101KUUM_450</v>
          </cell>
          <cell r="E612">
            <v>14.25</v>
          </cell>
          <cell r="G612">
            <v>0.66</v>
          </cell>
          <cell r="H612">
            <v>1.9699999999999989</v>
          </cell>
        </row>
        <row r="613">
          <cell r="D613" t="str">
            <v>20140101KUUM_451</v>
          </cell>
          <cell r="E613">
            <v>20.200000000000003</v>
          </cell>
          <cell r="G613">
            <v>0.84</v>
          </cell>
          <cell r="H613">
            <v>4.2900000000000027</v>
          </cell>
        </row>
        <row r="614">
          <cell r="D614" t="str">
            <v>20140101KUUM_452</v>
          </cell>
          <cell r="E614">
            <v>42.350000000000009</v>
          </cell>
          <cell r="G614">
            <v>1.7</v>
          </cell>
          <cell r="H614">
            <v>10.410000000000004</v>
          </cell>
        </row>
        <row r="615">
          <cell r="D615" t="str">
            <v>20140101KUUM_454</v>
          </cell>
          <cell r="E615">
            <v>18.649999999999999</v>
          </cell>
          <cell r="G615">
            <v>0.66</v>
          </cell>
          <cell r="H615">
            <v>1.9699999999999989</v>
          </cell>
        </row>
        <row r="616">
          <cell r="D616" t="str">
            <v>20140101KUUM_455</v>
          </cell>
          <cell r="E616">
            <v>24.59</v>
          </cell>
          <cell r="G616">
            <v>0.84</v>
          </cell>
          <cell r="H616">
            <v>4.2899999999999991</v>
          </cell>
        </row>
        <row r="617">
          <cell r="D617" t="str">
            <v>20140101KUUM_456</v>
          </cell>
          <cell r="E617">
            <v>11.870000000000001</v>
          </cell>
          <cell r="G617">
            <v>0.39</v>
          </cell>
          <cell r="H617">
            <v>1.9900000000000002</v>
          </cell>
        </row>
        <row r="618">
          <cell r="D618" t="str">
            <v>20140101KUUM_457</v>
          </cell>
          <cell r="E618">
            <v>13.360000000000001</v>
          </cell>
          <cell r="G618">
            <v>0.44</v>
          </cell>
          <cell r="H618">
            <v>2.84</v>
          </cell>
        </row>
        <row r="619">
          <cell r="D619" t="str">
            <v>20140101KUUM_458</v>
          </cell>
          <cell r="E619">
            <v>15.079999999999998</v>
          </cell>
          <cell r="G619">
            <v>0.51</v>
          </cell>
          <cell r="H619">
            <v>4.3699999999999992</v>
          </cell>
        </row>
        <row r="620">
          <cell r="D620" t="str">
            <v>20140101KUUM_459</v>
          </cell>
          <cell r="E620">
            <v>46.740000000000009</v>
          </cell>
          <cell r="G620">
            <v>1.7</v>
          </cell>
          <cell r="H620">
            <v>10.410000000000004</v>
          </cell>
        </row>
        <row r="621">
          <cell r="D621" t="str">
            <v>20140101KUUM_460</v>
          </cell>
          <cell r="E621">
            <v>27.15</v>
          </cell>
          <cell r="G621">
            <v>0.66</v>
          </cell>
          <cell r="H621">
            <v>1.9699999999999989</v>
          </cell>
        </row>
        <row r="622">
          <cell r="D622" t="str">
            <v>20140101KUUM_461</v>
          </cell>
          <cell r="E622">
            <v>7.54</v>
          </cell>
          <cell r="G622">
            <v>0.33</v>
          </cell>
          <cell r="H622">
            <v>0.57000000000000028</v>
          </cell>
        </row>
        <row r="623">
          <cell r="D623" t="str">
            <v>20140101KUUM_462</v>
          </cell>
          <cell r="E623">
            <v>8.66</v>
          </cell>
          <cell r="G623">
            <v>0.43</v>
          </cell>
          <cell r="H623">
            <v>0.79999999999999893</v>
          </cell>
        </row>
        <row r="624">
          <cell r="D624" t="str">
            <v>20140101KUUM_463</v>
          </cell>
          <cell r="E624">
            <v>9.14</v>
          </cell>
          <cell r="G624">
            <v>0.34</v>
          </cell>
          <cell r="H624">
            <v>1.1299999999999999</v>
          </cell>
        </row>
        <row r="625">
          <cell r="D625" t="str">
            <v>20140101KUUM_464</v>
          </cell>
          <cell r="E625">
            <v>14.25</v>
          </cell>
          <cell r="G625">
            <v>0.57999999999999996</v>
          </cell>
          <cell r="H625">
            <v>2.33</v>
          </cell>
        </row>
        <row r="626">
          <cell r="D626" t="str">
            <v>20140101KUUM_465</v>
          </cell>
          <cell r="E626">
            <v>22.84</v>
          </cell>
          <cell r="G626">
            <v>0.79</v>
          </cell>
          <cell r="H626">
            <v>4.5299999999999976</v>
          </cell>
        </row>
        <row r="627">
          <cell r="D627" t="str">
            <v>20140101KUUM_466</v>
          </cell>
          <cell r="E627">
            <v>9.620000000000001</v>
          </cell>
          <cell r="G627">
            <v>0.33</v>
          </cell>
          <cell r="H627">
            <v>0.57000000000000028</v>
          </cell>
        </row>
        <row r="628">
          <cell r="D628" t="str">
            <v>20140101KUUM_467</v>
          </cell>
          <cell r="E628">
            <v>10.770000000000001</v>
          </cell>
          <cell r="G628">
            <v>0.43</v>
          </cell>
          <cell r="H628">
            <v>0.80000000000000071</v>
          </cell>
        </row>
        <row r="629">
          <cell r="D629" t="str">
            <v>20140101KUUM_468</v>
          </cell>
          <cell r="E629">
            <v>11.16</v>
          </cell>
          <cell r="G629">
            <v>0.34</v>
          </cell>
          <cell r="H629">
            <v>1.129999999999999</v>
          </cell>
        </row>
        <row r="630">
          <cell r="D630" t="str">
            <v>20140101KUUM_469</v>
          </cell>
          <cell r="E630">
            <v>33.100000000000009</v>
          </cell>
          <cell r="G630">
            <v>0.84</v>
          </cell>
          <cell r="H630">
            <v>4.2900000000000063</v>
          </cell>
        </row>
        <row r="631">
          <cell r="D631" t="str">
            <v>20140101KUUM_470</v>
          </cell>
          <cell r="E631">
            <v>55.250000000000007</v>
          </cell>
          <cell r="G631">
            <v>1.7</v>
          </cell>
          <cell r="H631">
            <v>10.410000000000004</v>
          </cell>
        </row>
        <row r="632">
          <cell r="D632" t="str">
            <v>20140101KUUM_471</v>
          </cell>
          <cell r="E632">
            <v>10.49</v>
          </cell>
          <cell r="G632">
            <v>0.33</v>
          </cell>
          <cell r="H632">
            <v>0.56999999999999851</v>
          </cell>
        </row>
        <row r="633">
          <cell r="D633" t="str">
            <v>20140101KUUM_472</v>
          </cell>
          <cell r="E633">
            <v>11.600000000000001</v>
          </cell>
          <cell r="G633">
            <v>0.43</v>
          </cell>
          <cell r="H633">
            <v>0.80000000000000071</v>
          </cell>
        </row>
        <row r="634">
          <cell r="D634" t="str">
            <v>20140101KUUM_473</v>
          </cell>
          <cell r="E634">
            <v>12.3</v>
          </cell>
          <cell r="G634">
            <v>0.34</v>
          </cell>
          <cell r="H634">
            <v>1.129999999999999</v>
          </cell>
        </row>
        <row r="635">
          <cell r="D635" t="str">
            <v>20140101KUUM_474</v>
          </cell>
          <cell r="E635">
            <v>17.41</v>
          </cell>
          <cell r="G635">
            <v>0.57999999999999996</v>
          </cell>
          <cell r="H635">
            <v>2.33</v>
          </cell>
        </row>
        <row r="636">
          <cell r="D636" t="str">
            <v>20140101KUUM_475</v>
          </cell>
          <cell r="E636">
            <v>24.46</v>
          </cell>
          <cell r="G636">
            <v>0.79</v>
          </cell>
          <cell r="H636">
            <v>4.5300000000000011</v>
          </cell>
        </row>
        <row r="637">
          <cell r="D637" t="str">
            <v>20140101KUUM_476</v>
          </cell>
          <cell r="E637">
            <v>16.79</v>
          </cell>
          <cell r="G637">
            <v>0.43</v>
          </cell>
          <cell r="H637">
            <v>0.79999999999999893</v>
          </cell>
        </row>
        <row r="638">
          <cell r="D638" t="str">
            <v>20140101KUUM_477</v>
          </cell>
          <cell r="E638">
            <v>20.97</v>
          </cell>
          <cell r="G638">
            <v>0.34</v>
          </cell>
          <cell r="H638">
            <v>1.129999999999999</v>
          </cell>
        </row>
        <row r="639">
          <cell r="D639" t="str">
            <v>20140101KUUM_478</v>
          </cell>
          <cell r="E639">
            <v>26.86</v>
          </cell>
          <cell r="G639">
            <v>0.57999999999999996</v>
          </cell>
          <cell r="H639">
            <v>2.3299999999999983</v>
          </cell>
        </row>
        <row r="640">
          <cell r="D640" t="str">
            <v>20140101KUUM_479</v>
          </cell>
          <cell r="E640">
            <v>33.119999999999997</v>
          </cell>
          <cell r="G640">
            <v>0.79</v>
          </cell>
          <cell r="H640">
            <v>4.529999999999994</v>
          </cell>
        </row>
        <row r="641">
          <cell r="D641" t="str">
            <v>20140101KUUM_480</v>
          </cell>
        </row>
        <row r="642">
          <cell r="D642" t="str">
            <v>20140101KUUM_481</v>
          </cell>
        </row>
        <row r="643">
          <cell r="D643" t="str">
            <v>20140101KUUM_482</v>
          </cell>
        </row>
        <row r="644">
          <cell r="D644" t="str">
            <v>20140101KUUM_483</v>
          </cell>
        </row>
        <row r="645">
          <cell r="D645" t="str">
            <v>20140101KUUM_484</v>
          </cell>
        </row>
        <row r="646">
          <cell r="D646" t="str">
            <v>20140101KUUM_485</v>
          </cell>
        </row>
        <row r="647">
          <cell r="D647" t="str">
            <v>20140101KUUM_486</v>
          </cell>
        </row>
        <row r="648">
          <cell r="D648" t="str">
            <v>20140101KUUM_487</v>
          </cell>
          <cell r="E648">
            <v>9</v>
          </cell>
          <cell r="G648">
            <v>0.34</v>
          </cell>
          <cell r="H648">
            <v>1.1299999999999999</v>
          </cell>
        </row>
        <row r="649">
          <cell r="D649" t="str">
            <v>20140101KUUM_488</v>
          </cell>
          <cell r="E649">
            <v>13.639999999999999</v>
          </cell>
          <cell r="G649">
            <v>0.57999999999999996</v>
          </cell>
          <cell r="H649">
            <v>2.33</v>
          </cell>
        </row>
        <row r="650">
          <cell r="D650" t="str">
            <v>20140101KUUM_489</v>
          </cell>
          <cell r="E650">
            <v>19.46</v>
          </cell>
          <cell r="G650">
            <v>0.79</v>
          </cell>
          <cell r="H650">
            <v>4.5300000000000011</v>
          </cell>
        </row>
        <row r="651">
          <cell r="D651" t="str">
            <v>20140101KUUM_490</v>
          </cell>
          <cell r="E651">
            <v>15.47</v>
          </cell>
          <cell r="G651">
            <v>0.66</v>
          </cell>
          <cell r="H651">
            <v>1.9700000000000006</v>
          </cell>
        </row>
        <row r="652">
          <cell r="D652" t="str">
            <v>20140101KUUM_491</v>
          </cell>
          <cell r="E652">
            <v>21.930000000000003</v>
          </cell>
          <cell r="G652">
            <v>0.84</v>
          </cell>
          <cell r="H652">
            <v>4.2900000000000027</v>
          </cell>
        </row>
        <row r="653">
          <cell r="D653" t="str">
            <v>20140101KUUM_492</v>
          </cell>
          <cell r="E653">
            <v>15.370000000000001</v>
          </cell>
          <cell r="G653">
            <v>0.43</v>
          </cell>
          <cell r="H653">
            <v>0.80000000000000071</v>
          </cell>
        </row>
        <row r="654">
          <cell r="D654" t="str">
            <v>20140101KUUM_493</v>
          </cell>
          <cell r="E654">
            <v>45.7</v>
          </cell>
          <cell r="G654">
            <v>1.7</v>
          </cell>
          <cell r="H654">
            <v>10.409999999999997</v>
          </cell>
        </row>
        <row r="655">
          <cell r="D655" t="str">
            <v>20140101KUUM_494</v>
          </cell>
          <cell r="E655">
            <v>28.37</v>
          </cell>
          <cell r="G655">
            <v>0.66</v>
          </cell>
          <cell r="H655">
            <v>1.9699999999999989</v>
          </cell>
        </row>
        <row r="656">
          <cell r="D656" t="str">
            <v>20140101KUUM_495</v>
          </cell>
          <cell r="E656">
            <v>34.830000000000005</v>
          </cell>
          <cell r="G656">
            <v>0.84</v>
          </cell>
          <cell r="H656">
            <v>4.2899999999999991</v>
          </cell>
        </row>
        <row r="657">
          <cell r="D657" t="str">
            <v>20140101KUUM_496</v>
          </cell>
          <cell r="E657">
            <v>58.59</v>
          </cell>
          <cell r="G657">
            <v>1.7</v>
          </cell>
          <cell r="H657">
            <v>10.409999999999997</v>
          </cell>
        </row>
        <row r="658">
          <cell r="D658" t="str">
            <v>20140101KUUM_497</v>
          </cell>
          <cell r="E658">
            <v>15.35</v>
          </cell>
          <cell r="G658">
            <v>0.34</v>
          </cell>
          <cell r="H658">
            <v>1.1300000000000008</v>
          </cell>
        </row>
        <row r="659">
          <cell r="D659" t="str">
            <v>20140101KUUM_498</v>
          </cell>
          <cell r="E659">
            <v>17.72</v>
          </cell>
          <cell r="G659">
            <v>0.57999999999999996</v>
          </cell>
          <cell r="H659">
            <v>2.33</v>
          </cell>
        </row>
        <row r="660">
          <cell r="D660" t="str">
            <v>20140101KUUM_499</v>
          </cell>
          <cell r="E660">
            <v>21.490000000000002</v>
          </cell>
          <cell r="G660">
            <v>0.79</v>
          </cell>
          <cell r="H660">
            <v>4.5300000000000011</v>
          </cell>
        </row>
      </sheetData>
      <sheetData sheetId="26">
        <row r="3">
          <cell r="B3" t="str">
            <v>JAN 2015</v>
          </cell>
          <cell r="C3" t="str">
            <v>KTRSE020</v>
          </cell>
          <cell r="D3">
            <v>0</v>
          </cell>
          <cell r="E3">
            <v>0</v>
          </cell>
          <cell r="F3">
            <v>0</v>
          </cell>
          <cell r="G3">
            <v>0</v>
          </cell>
          <cell r="H3">
            <v>0</v>
          </cell>
          <cell r="I3">
            <v>0</v>
          </cell>
          <cell r="J3">
            <v>0</v>
          </cell>
          <cell r="K3">
            <v>0</v>
          </cell>
          <cell r="O3">
            <v>0</v>
          </cell>
          <cell r="P3">
            <v>0</v>
          </cell>
          <cell r="Q3">
            <v>0</v>
          </cell>
        </row>
        <row r="4">
          <cell r="B4" t="str">
            <v>JAN 2015</v>
          </cell>
          <cell r="C4" t="str">
            <v>KTRSE030</v>
          </cell>
          <cell r="D4">
            <v>0</v>
          </cell>
          <cell r="E4">
            <v>0</v>
          </cell>
          <cell r="F4">
            <v>0</v>
          </cell>
          <cell r="G4">
            <v>0</v>
          </cell>
          <cell r="H4">
            <v>0</v>
          </cell>
          <cell r="I4">
            <v>0</v>
          </cell>
          <cell r="J4">
            <v>0</v>
          </cell>
          <cell r="K4">
            <v>0</v>
          </cell>
          <cell r="O4">
            <v>0</v>
          </cell>
          <cell r="P4">
            <v>0</v>
          </cell>
          <cell r="Q4">
            <v>0</v>
          </cell>
        </row>
        <row r="5">
          <cell r="B5" t="str">
            <v>JAN 2016</v>
          </cell>
          <cell r="C5" t="str">
            <v>KUCIE550</v>
          </cell>
          <cell r="D5">
            <v>32</v>
          </cell>
          <cell r="E5">
            <v>0</v>
          </cell>
          <cell r="F5">
            <v>0</v>
          </cell>
          <cell r="G5">
            <v>0</v>
          </cell>
          <cell r="H5">
            <v>138414540</v>
          </cell>
          <cell r="I5">
            <v>0</v>
          </cell>
          <cell r="J5">
            <v>0</v>
          </cell>
          <cell r="K5">
            <v>0</v>
          </cell>
          <cell r="O5">
            <v>307323</v>
          </cell>
          <cell r="P5">
            <v>296170</v>
          </cell>
          <cell r="Q5">
            <v>284455</v>
          </cell>
        </row>
        <row r="6">
          <cell r="B6" t="str">
            <v>JAN 2016</v>
          </cell>
          <cell r="C6" t="str">
            <v>KUCIE561</v>
          </cell>
          <cell r="D6">
            <v>195</v>
          </cell>
          <cell r="E6">
            <v>0</v>
          </cell>
          <cell r="F6">
            <v>0</v>
          </cell>
          <cell r="G6">
            <v>0</v>
          </cell>
          <cell r="H6">
            <v>18906207</v>
          </cell>
          <cell r="I6">
            <v>0</v>
          </cell>
          <cell r="J6">
            <v>0</v>
          </cell>
          <cell r="K6">
            <v>0</v>
          </cell>
          <cell r="O6">
            <v>0</v>
          </cell>
          <cell r="P6">
            <v>54537</v>
          </cell>
          <cell r="Q6">
            <v>0</v>
          </cell>
        </row>
        <row r="7">
          <cell r="B7" t="str">
            <v>JAN 2016</v>
          </cell>
          <cell r="C7" t="str">
            <v>KUCIE562</v>
          </cell>
          <cell r="D7">
            <v>4650</v>
          </cell>
          <cell r="E7">
            <v>0</v>
          </cell>
          <cell r="F7">
            <v>0</v>
          </cell>
          <cell r="G7">
            <v>0</v>
          </cell>
          <cell r="H7">
            <v>174767461</v>
          </cell>
          <cell r="I7">
            <v>0</v>
          </cell>
          <cell r="J7">
            <v>0</v>
          </cell>
          <cell r="K7">
            <v>0</v>
          </cell>
          <cell r="O7">
            <v>0</v>
          </cell>
          <cell r="P7">
            <v>568331</v>
          </cell>
          <cell r="Q7">
            <v>0</v>
          </cell>
        </row>
        <row r="8">
          <cell r="B8" t="str">
            <v>JAN 2016</v>
          </cell>
          <cell r="C8" t="str">
            <v>KUCIE563</v>
          </cell>
          <cell r="D8">
            <v>52</v>
          </cell>
          <cell r="E8">
            <v>0</v>
          </cell>
          <cell r="F8">
            <v>0</v>
          </cell>
          <cell r="G8">
            <v>0</v>
          </cell>
          <cell r="H8">
            <v>243518261</v>
          </cell>
          <cell r="I8">
            <v>0</v>
          </cell>
          <cell r="J8">
            <v>0</v>
          </cell>
          <cell r="K8">
            <v>0</v>
          </cell>
          <cell r="O8">
            <v>498857</v>
          </cell>
          <cell r="P8">
            <v>463847</v>
          </cell>
          <cell r="Q8">
            <v>457227</v>
          </cell>
        </row>
        <row r="9">
          <cell r="B9" t="str">
            <v>JAN 2015</v>
          </cell>
          <cell r="C9" t="str">
            <v>KUCIE566</v>
          </cell>
          <cell r="D9">
            <v>0</v>
          </cell>
          <cell r="E9">
            <v>0</v>
          </cell>
          <cell r="F9">
            <v>0</v>
          </cell>
          <cell r="G9">
            <v>0</v>
          </cell>
          <cell r="H9">
            <v>0</v>
          </cell>
          <cell r="I9">
            <v>0</v>
          </cell>
          <cell r="J9">
            <v>0</v>
          </cell>
          <cell r="K9">
            <v>0</v>
          </cell>
          <cell r="O9">
            <v>0</v>
          </cell>
          <cell r="P9">
            <v>0</v>
          </cell>
          <cell r="Q9">
            <v>0</v>
          </cell>
        </row>
        <row r="10">
          <cell r="B10" t="str">
            <v>JAN 2015</v>
          </cell>
          <cell r="C10" t="str">
            <v>KUCIE568</v>
          </cell>
          <cell r="D10">
            <v>0</v>
          </cell>
          <cell r="E10">
            <v>0</v>
          </cell>
          <cell r="F10">
            <v>0</v>
          </cell>
          <cell r="G10">
            <v>0</v>
          </cell>
          <cell r="H10">
            <v>0</v>
          </cell>
          <cell r="I10">
            <v>0</v>
          </cell>
          <cell r="J10">
            <v>0</v>
          </cell>
          <cell r="K10">
            <v>0</v>
          </cell>
          <cell r="O10">
            <v>0</v>
          </cell>
          <cell r="P10">
            <v>0</v>
          </cell>
          <cell r="Q10">
            <v>0</v>
          </cell>
        </row>
        <row r="11">
          <cell r="B11" t="str">
            <v>JAN 2016</v>
          </cell>
          <cell r="C11" t="str">
            <v>KUCIE571</v>
          </cell>
          <cell r="D11">
            <v>203</v>
          </cell>
          <cell r="E11">
            <v>0</v>
          </cell>
          <cell r="F11">
            <v>0</v>
          </cell>
          <cell r="G11">
            <v>0</v>
          </cell>
          <cell r="H11">
            <v>102170247</v>
          </cell>
          <cell r="I11">
            <v>0</v>
          </cell>
          <cell r="J11">
            <v>0</v>
          </cell>
          <cell r="K11">
            <v>0</v>
          </cell>
          <cell r="O11">
            <v>258078</v>
          </cell>
          <cell r="P11">
            <v>245778</v>
          </cell>
          <cell r="Q11">
            <v>241292</v>
          </cell>
        </row>
        <row r="12">
          <cell r="B12" t="str">
            <v>JAN 2016</v>
          </cell>
          <cell r="C12" t="str">
            <v>KUCIE572</v>
          </cell>
          <cell r="D12">
            <v>467</v>
          </cell>
          <cell r="E12">
            <v>0</v>
          </cell>
          <cell r="F12">
            <v>0</v>
          </cell>
          <cell r="G12">
            <v>0</v>
          </cell>
          <cell r="H12">
            <v>133726084</v>
          </cell>
          <cell r="I12">
            <v>0</v>
          </cell>
          <cell r="J12">
            <v>0</v>
          </cell>
          <cell r="K12">
            <v>0</v>
          </cell>
          <cell r="O12">
            <v>326881</v>
          </cell>
          <cell r="P12">
            <v>297724</v>
          </cell>
          <cell r="Q12">
            <v>291055</v>
          </cell>
        </row>
        <row r="13">
          <cell r="B13" t="str">
            <v>JAN 2016</v>
          </cell>
          <cell r="C13" t="str">
            <v>KUCIE717</v>
          </cell>
          <cell r="D13">
            <v>0</v>
          </cell>
          <cell r="E13">
            <v>0</v>
          </cell>
          <cell r="F13">
            <v>0</v>
          </cell>
          <cell r="G13">
            <v>0</v>
          </cell>
          <cell r="H13">
            <v>0</v>
          </cell>
          <cell r="I13">
            <v>0</v>
          </cell>
          <cell r="J13">
            <v>0</v>
          </cell>
          <cell r="K13">
            <v>0</v>
          </cell>
          <cell r="O13">
            <v>0</v>
          </cell>
          <cell r="P13">
            <v>0</v>
          </cell>
          <cell r="Q13">
            <v>0</v>
          </cell>
        </row>
        <row r="14">
          <cell r="B14" t="str">
            <v>JAN 2016</v>
          </cell>
          <cell r="C14" t="str">
            <v>KUCME110</v>
          </cell>
          <cell r="D14">
            <v>63537</v>
          </cell>
          <cell r="E14">
            <v>0</v>
          </cell>
          <cell r="F14">
            <v>0</v>
          </cell>
          <cell r="G14">
            <v>0</v>
          </cell>
          <cell r="H14">
            <v>75764744</v>
          </cell>
          <cell r="I14">
            <v>0</v>
          </cell>
          <cell r="J14">
            <v>0</v>
          </cell>
          <cell r="K14">
            <v>0</v>
          </cell>
          <cell r="O14">
            <v>0</v>
          </cell>
          <cell r="P14">
            <v>0</v>
          </cell>
          <cell r="Q14">
            <v>0</v>
          </cell>
        </row>
        <row r="15">
          <cell r="B15" t="str">
            <v>JAN 2016</v>
          </cell>
          <cell r="C15" t="str">
            <v>KUCME112</v>
          </cell>
          <cell r="D15">
            <v>0</v>
          </cell>
          <cell r="E15">
            <v>0</v>
          </cell>
          <cell r="F15">
            <v>0</v>
          </cell>
          <cell r="G15">
            <v>0</v>
          </cell>
          <cell r="H15">
            <v>0</v>
          </cell>
          <cell r="I15">
            <v>0</v>
          </cell>
          <cell r="J15">
            <v>0</v>
          </cell>
          <cell r="K15">
            <v>0</v>
          </cell>
          <cell r="O15">
            <v>0</v>
          </cell>
          <cell r="P15">
            <v>0</v>
          </cell>
          <cell r="Q15">
            <v>0</v>
          </cell>
        </row>
        <row r="16">
          <cell r="B16" t="str">
            <v>JAN 2016</v>
          </cell>
          <cell r="C16" t="str">
            <v>KUCME113</v>
          </cell>
          <cell r="D16">
            <v>18573</v>
          </cell>
          <cell r="E16">
            <v>0</v>
          </cell>
          <cell r="F16">
            <v>0</v>
          </cell>
          <cell r="G16">
            <v>0</v>
          </cell>
          <cell r="H16">
            <v>111271196</v>
          </cell>
          <cell r="I16">
            <v>0</v>
          </cell>
          <cell r="J16">
            <v>0</v>
          </cell>
          <cell r="K16">
            <v>0</v>
          </cell>
          <cell r="O16">
            <v>421326</v>
          </cell>
          <cell r="P16">
            <v>0</v>
          </cell>
          <cell r="Q16">
            <v>0</v>
          </cell>
        </row>
        <row r="17">
          <cell r="B17" t="str">
            <v>JAN 2016</v>
          </cell>
          <cell r="C17" t="str">
            <v>KUCME220</v>
          </cell>
          <cell r="D17">
            <v>374</v>
          </cell>
          <cell r="E17">
            <v>0</v>
          </cell>
          <cell r="F17">
            <v>0</v>
          </cell>
          <cell r="G17">
            <v>0</v>
          </cell>
          <cell r="H17">
            <v>784373</v>
          </cell>
          <cell r="I17">
            <v>0</v>
          </cell>
          <cell r="J17">
            <v>0</v>
          </cell>
          <cell r="K17">
            <v>0</v>
          </cell>
          <cell r="O17">
            <v>0</v>
          </cell>
          <cell r="P17">
            <v>0</v>
          </cell>
          <cell r="Q17">
            <v>0</v>
          </cell>
        </row>
        <row r="18">
          <cell r="B18" t="str">
            <v>JAN 2016</v>
          </cell>
          <cell r="C18" t="str">
            <v>KUCME221</v>
          </cell>
          <cell r="D18">
            <v>0</v>
          </cell>
          <cell r="E18">
            <v>0</v>
          </cell>
          <cell r="F18">
            <v>0</v>
          </cell>
          <cell r="G18">
            <v>0</v>
          </cell>
          <cell r="H18">
            <v>0</v>
          </cell>
          <cell r="I18">
            <v>0</v>
          </cell>
          <cell r="J18">
            <v>0</v>
          </cell>
          <cell r="K18">
            <v>0</v>
          </cell>
          <cell r="O18">
            <v>0</v>
          </cell>
          <cell r="P18">
            <v>0</v>
          </cell>
          <cell r="Q18">
            <v>0</v>
          </cell>
        </row>
        <row r="19">
          <cell r="B19" t="str">
            <v>JAN 2016</v>
          </cell>
          <cell r="C19" t="str">
            <v>KUCME223</v>
          </cell>
          <cell r="D19">
            <v>0</v>
          </cell>
          <cell r="E19">
            <v>0</v>
          </cell>
          <cell r="F19">
            <v>0</v>
          </cell>
          <cell r="G19">
            <v>0</v>
          </cell>
          <cell r="H19">
            <v>0</v>
          </cell>
          <cell r="I19">
            <v>0</v>
          </cell>
          <cell r="J19">
            <v>0</v>
          </cell>
          <cell r="K19">
            <v>0</v>
          </cell>
          <cell r="O19">
            <v>0</v>
          </cell>
          <cell r="P19">
            <v>0</v>
          </cell>
          <cell r="Q19">
            <v>0</v>
          </cell>
        </row>
        <row r="20">
          <cell r="B20" t="str">
            <v>JAN 2016</v>
          </cell>
          <cell r="C20" t="str">
            <v>KUCME224</v>
          </cell>
          <cell r="D20">
            <v>260</v>
          </cell>
          <cell r="E20">
            <v>0</v>
          </cell>
          <cell r="F20">
            <v>0</v>
          </cell>
          <cell r="G20">
            <v>0</v>
          </cell>
          <cell r="H20">
            <v>14537966</v>
          </cell>
          <cell r="I20">
            <v>0</v>
          </cell>
          <cell r="J20">
            <v>0</v>
          </cell>
          <cell r="K20">
            <v>0</v>
          </cell>
          <cell r="O20">
            <v>55540</v>
          </cell>
          <cell r="P20">
            <v>0</v>
          </cell>
          <cell r="Q20">
            <v>0</v>
          </cell>
        </row>
        <row r="21">
          <cell r="B21" t="str">
            <v>JAN 2016</v>
          </cell>
          <cell r="C21" t="str">
            <v>KUCME225</v>
          </cell>
          <cell r="D21">
            <v>0</v>
          </cell>
          <cell r="E21">
            <v>0</v>
          </cell>
          <cell r="F21">
            <v>0</v>
          </cell>
          <cell r="G21">
            <v>0</v>
          </cell>
          <cell r="H21">
            <v>0</v>
          </cell>
          <cell r="I21">
            <v>0</v>
          </cell>
          <cell r="J21">
            <v>0</v>
          </cell>
          <cell r="K21">
            <v>0</v>
          </cell>
          <cell r="O21">
            <v>0</v>
          </cell>
          <cell r="P21">
            <v>0</v>
          </cell>
          <cell r="Q21">
            <v>0</v>
          </cell>
        </row>
        <row r="22">
          <cell r="B22" t="str">
            <v>JAN 2016</v>
          </cell>
          <cell r="C22" t="str">
            <v>KUCME226</v>
          </cell>
          <cell r="D22">
            <v>0</v>
          </cell>
          <cell r="E22">
            <v>0</v>
          </cell>
          <cell r="F22">
            <v>0</v>
          </cell>
          <cell r="G22">
            <v>0</v>
          </cell>
          <cell r="H22">
            <v>0</v>
          </cell>
          <cell r="I22">
            <v>0</v>
          </cell>
          <cell r="J22">
            <v>0</v>
          </cell>
          <cell r="K22">
            <v>0</v>
          </cell>
          <cell r="O22">
            <v>0</v>
          </cell>
          <cell r="P22">
            <v>0</v>
          </cell>
          <cell r="Q22">
            <v>0</v>
          </cell>
        </row>
        <row r="23">
          <cell r="B23" t="str">
            <v>JAN 2016</v>
          </cell>
          <cell r="C23" t="str">
            <v>KUCME227</v>
          </cell>
          <cell r="D23">
            <v>0</v>
          </cell>
          <cell r="E23">
            <v>0</v>
          </cell>
          <cell r="F23">
            <v>0</v>
          </cell>
          <cell r="G23">
            <v>0</v>
          </cell>
          <cell r="H23">
            <v>0</v>
          </cell>
          <cell r="I23">
            <v>0</v>
          </cell>
          <cell r="J23">
            <v>0</v>
          </cell>
          <cell r="K23">
            <v>0</v>
          </cell>
          <cell r="O23">
            <v>0</v>
          </cell>
          <cell r="P23">
            <v>0</v>
          </cell>
          <cell r="Q23">
            <v>0</v>
          </cell>
        </row>
        <row r="24">
          <cell r="B24" t="str">
            <v>JAN 2016</v>
          </cell>
          <cell r="C24" t="str">
            <v>KUCME290</v>
          </cell>
          <cell r="D24">
            <v>2</v>
          </cell>
          <cell r="E24">
            <v>0</v>
          </cell>
          <cell r="F24">
            <v>0</v>
          </cell>
          <cell r="G24">
            <v>0</v>
          </cell>
          <cell r="H24">
            <v>20881</v>
          </cell>
          <cell r="I24">
            <v>0</v>
          </cell>
          <cell r="J24">
            <v>0</v>
          </cell>
          <cell r="K24">
            <v>0</v>
          </cell>
          <cell r="O24">
            <v>0</v>
          </cell>
          <cell r="P24">
            <v>0</v>
          </cell>
          <cell r="Q24">
            <v>0</v>
          </cell>
        </row>
        <row r="25">
          <cell r="B25" t="str">
            <v>JAN 2016</v>
          </cell>
          <cell r="C25" t="str">
            <v>KUCME291</v>
          </cell>
          <cell r="D25">
            <v>0</v>
          </cell>
          <cell r="E25">
            <v>0</v>
          </cell>
          <cell r="F25">
            <v>0</v>
          </cell>
          <cell r="G25">
            <v>0</v>
          </cell>
          <cell r="H25">
            <v>0</v>
          </cell>
          <cell r="I25">
            <v>0</v>
          </cell>
          <cell r="J25">
            <v>0</v>
          </cell>
          <cell r="K25">
            <v>0</v>
          </cell>
          <cell r="O25">
            <v>0</v>
          </cell>
          <cell r="P25">
            <v>0</v>
          </cell>
          <cell r="Q25">
            <v>0</v>
          </cell>
        </row>
        <row r="26">
          <cell r="B26" t="str">
            <v>JAN 2016</v>
          </cell>
          <cell r="C26" t="str">
            <v>KUCME295</v>
          </cell>
          <cell r="D26">
            <v>747</v>
          </cell>
          <cell r="E26">
            <v>0</v>
          </cell>
          <cell r="F26">
            <v>0</v>
          </cell>
          <cell r="G26">
            <v>0</v>
          </cell>
          <cell r="H26">
            <v>121966</v>
          </cell>
          <cell r="I26">
            <v>0</v>
          </cell>
          <cell r="J26">
            <v>0</v>
          </cell>
          <cell r="K26">
            <v>0</v>
          </cell>
          <cell r="O26">
            <v>0</v>
          </cell>
          <cell r="P26">
            <v>0</v>
          </cell>
          <cell r="Q26">
            <v>0</v>
          </cell>
        </row>
        <row r="27">
          <cell r="B27" t="str">
            <v>JAN 2016</v>
          </cell>
          <cell r="C27" t="str">
            <v>KUCME297</v>
          </cell>
          <cell r="D27">
            <v>0</v>
          </cell>
          <cell r="E27">
            <v>0</v>
          </cell>
          <cell r="F27">
            <v>0</v>
          </cell>
          <cell r="G27">
            <v>0</v>
          </cell>
          <cell r="H27">
            <v>0</v>
          </cell>
          <cell r="I27">
            <v>0</v>
          </cell>
          <cell r="J27">
            <v>0</v>
          </cell>
          <cell r="K27">
            <v>0</v>
          </cell>
          <cell r="O27">
            <v>0</v>
          </cell>
          <cell r="P27">
            <v>0</v>
          </cell>
          <cell r="Q27">
            <v>0</v>
          </cell>
        </row>
        <row r="28">
          <cell r="B28" t="str">
            <v>JAN 2016</v>
          </cell>
          <cell r="C28" t="str">
            <v>KUCME710</v>
          </cell>
          <cell r="D28">
            <v>0</v>
          </cell>
          <cell r="E28">
            <v>0</v>
          </cell>
          <cell r="F28">
            <v>0</v>
          </cell>
          <cell r="G28">
            <v>0</v>
          </cell>
          <cell r="H28">
            <v>0</v>
          </cell>
          <cell r="I28">
            <v>0</v>
          </cell>
          <cell r="J28">
            <v>0</v>
          </cell>
          <cell r="K28">
            <v>0</v>
          </cell>
          <cell r="O28">
            <v>0</v>
          </cell>
          <cell r="P28">
            <v>0</v>
          </cell>
          <cell r="Q28">
            <v>0</v>
          </cell>
        </row>
        <row r="29">
          <cell r="B29" t="str">
            <v>JAN 2016</v>
          </cell>
          <cell r="C29" t="str">
            <v>KUCME713</v>
          </cell>
          <cell r="D29">
            <v>0</v>
          </cell>
          <cell r="E29">
            <v>0</v>
          </cell>
          <cell r="F29">
            <v>0</v>
          </cell>
          <cell r="G29">
            <v>0</v>
          </cell>
          <cell r="H29">
            <v>0</v>
          </cell>
          <cell r="I29">
            <v>0</v>
          </cell>
          <cell r="J29">
            <v>0</v>
          </cell>
          <cell r="K29">
            <v>0</v>
          </cell>
          <cell r="O29">
            <v>0</v>
          </cell>
          <cell r="P29">
            <v>0</v>
          </cell>
          <cell r="Q29">
            <v>0</v>
          </cell>
        </row>
        <row r="30">
          <cell r="B30" t="str">
            <v>JAN 2016</v>
          </cell>
          <cell r="C30" t="str">
            <v>KUCSR760</v>
          </cell>
          <cell r="D30">
            <v>0</v>
          </cell>
          <cell r="E30">
            <v>0</v>
          </cell>
          <cell r="F30">
            <v>0</v>
          </cell>
          <cell r="G30">
            <v>0</v>
          </cell>
          <cell r="H30">
            <v>0</v>
          </cell>
          <cell r="I30">
            <v>0</v>
          </cell>
          <cell r="J30">
            <v>0</v>
          </cell>
          <cell r="K30">
            <v>0</v>
          </cell>
          <cell r="O30">
            <v>0</v>
          </cell>
          <cell r="P30">
            <v>0</v>
          </cell>
          <cell r="Q30">
            <v>0</v>
          </cell>
        </row>
        <row r="31">
          <cell r="B31" t="str">
            <v>JAN 2016</v>
          </cell>
          <cell r="C31" t="str">
            <v>KUCSR761</v>
          </cell>
          <cell r="D31">
            <v>0</v>
          </cell>
          <cell r="E31">
            <v>0</v>
          </cell>
          <cell r="F31">
            <v>0</v>
          </cell>
          <cell r="G31">
            <v>0</v>
          </cell>
          <cell r="H31">
            <v>0</v>
          </cell>
          <cell r="I31">
            <v>0</v>
          </cell>
          <cell r="J31">
            <v>0</v>
          </cell>
          <cell r="K31">
            <v>0</v>
          </cell>
          <cell r="O31">
            <v>0</v>
          </cell>
          <cell r="P31">
            <v>0</v>
          </cell>
          <cell r="Q31">
            <v>0</v>
          </cell>
        </row>
        <row r="32">
          <cell r="B32" t="str">
            <v>JAN 2016</v>
          </cell>
          <cell r="C32" t="str">
            <v>KUCSR783</v>
          </cell>
          <cell r="D32">
            <v>0</v>
          </cell>
          <cell r="E32">
            <v>0</v>
          </cell>
          <cell r="F32">
            <v>0</v>
          </cell>
          <cell r="G32">
            <v>0</v>
          </cell>
          <cell r="H32">
            <v>0</v>
          </cell>
          <cell r="I32">
            <v>0</v>
          </cell>
          <cell r="J32">
            <v>0</v>
          </cell>
          <cell r="K32">
            <v>0</v>
          </cell>
          <cell r="O32">
            <v>0</v>
          </cell>
          <cell r="P32">
            <v>0</v>
          </cell>
          <cell r="Q32">
            <v>0</v>
          </cell>
        </row>
        <row r="33">
          <cell r="B33" t="str">
            <v>JAN 2016</v>
          </cell>
          <cell r="C33" t="str">
            <v>KUINE730</v>
          </cell>
          <cell r="D33">
            <v>1</v>
          </cell>
          <cell r="E33">
            <v>0</v>
          </cell>
          <cell r="F33">
            <v>0</v>
          </cell>
          <cell r="G33">
            <v>0</v>
          </cell>
          <cell r="H33">
            <v>48922696</v>
          </cell>
          <cell r="I33">
            <v>0</v>
          </cell>
          <cell r="J33">
            <v>0</v>
          </cell>
          <cell r="K33">
            <v>0</v>
          </cell>
          <cell r="O33">
            <v>185158</v>
          </cell>
          <cell r="P33">
            <v>185158</v>
          </cell>
          <cell r="Q33">
            <v>101388</v>
          </cell>
        </row>
        <row r="34">
          <cell r="B34" t="str">
            <v>JAN 2016</v>
          </cell>
          <cell r="C34" t="str">
            <v>KUMNE902</v>
          </cell>
          <cell r="D34">
            <v>0</v>
          </cell>
          <cell r="E34">
            <v>0</v>
          </cell>
          <cell r="F34">
            <v>0</v>
          </cell>
          <cell r="G34">
            <v>0</v>
          </cell>
          <cell r="H34">
            <v>0</v>
          </cell>
          <cell r="I34">
            <v>0</v>
          </cell>
          <cell r="J34">
            <v>0</v>
          </cell>
          <cell r="K34">
            <v>0</v>
          </cell>
          <cell r="O34">
            <v>0</v>
          </cell>
          <cell r="P34">
            <v>0</v>
          </cell>
          <cell r="Q34">
            <v>0</v>
          </cell>
        </row>
        <row r="35">
          <cell r="B35" t="str">
            <v>JAN 2016</v>
          </cell>
          <cell r="C35" t="str">
            <v>KUMNE903</v>
          </cell>
          <cell r="D35">
            <v>0</v>
          </cell>
          <cell r="E35">
            <v>0</v>
          </cell>
          <cell r="F35">
            <v>0</v>
          </cell>
          <cell r="G35">
            <v>0</v>
          </cell>
          <cell r="H35">
            <v>0</v>
          </cell>
          <cell r="I35">
            <v>0</v>
          </cell>
          <cell r="J35">
            <v>0</v>
          </cell>
          <cell r="K35">
            <v>0</v>
          </cell>
          <cell r="O35">
            <v>0</v>
          </cell>
          <cell r="P35">
            <v>0</v>
          </cell>
          <cell r="Q35">
            <v>0</v>
          </cell>
        </row>
        <row r="36">
          <cell r="B36" t="str">
            <v>JAN 2016</v>
          </cell>
          <cell r="C36" t="str">
            <v>KUMNE934</v>
          </cell>
          <cell r="D36">
            <v>0</v>
          </cell>
          <cell r="E36">
            <v>0</v>
          </cell>
          <cell r="F36">
            <v>0</v>
          </cell>
          <cell r="G36">
            <v>0</v>
          </cell>
          <cell r="H36">
            <v>0</v>
          </cell>
          <cell r="I36">
            <v>0</v>
          </cell>
          <cell r="J36">
            <v>0</v>
          </cell>
          <cell r="K36">
            <v>0</v>
          </cell>
          <cell r="O36">
            <v>0</v>
          </cell>
          <cell r="P36">
            <v>0</v>
          </cell>
          <cell r="Q36">
            <v>0</v>
          </cell>
        </row>
        <row r="37">
          <cell r="B37" t="str">
            <v>JAN 2016</v>
          </cell>
          <cell r="C37" t="str">
            <v>KURSE010</v>
          </cell>
          <cell r="D37">
            <v>430268</v>
          </cell>
          <cell r="E37">
            <v>0</v>
          </cell>
          <cell r="F37">
            <v>0</v>
          </cell>
          <cell r="G37">
            <v>0</v>
          </cell>
          <cell r="H37">
            <v>742959056</v>
          </cell>
          <cell r="I37">
            <v>0</v>
          </cell>
          <cell r="J37">
            <v>0</v>
          </cell>
          <cell r="K37">
            <v>0</v>
          </cell>
          <cell r="O37">
            <v>0</v>
          </cell>
          <cell r="P37">
            <v>0</v>
          </cell>
          <cell r="Q37">
            <v>0</v>
          </cell>
        </row>
        <row r="38">
          <cell r="B38" t="str">
            <v>JAN 2016</v>
          </cell>
          <cell r="C38" t="str">
            <v>KURSE020</v>
          </cell>
          <cell r="D38">
            <v>0</v>
          </cell>
          <cell r="E38">
            <v>0</v>
          </cell>
          <cell r="F38">
            <v>0</v>
          </cell>
          <cell r="G38">
            <v>0</v>
          </cell>
          <cell r="H38">
            <v>0</v>
          </cell>
          <cell r="I38">
            <v>0</v>
          </cell>
          <cell r="J38">
            <v>0</v>
          </cell>
          <cell r="K38">
            <v>0</v>
          </cell>
          <cell r="O38">
            <v>0</v>
          </cell>
          <cell r="P38">
            <v>0</v>
          </cell>
          <cell r="Q38">
            <v>0</v>
          </cell>
        </row>
        <row r="39">
          <cell r="B39" t="str">
            <v>JAN 2016</v>
          </cell>
          <cell r="C39" t="str">
            <v>KURSE025</v>
          </cell>
          <cell r="D39">
            <v>0</v>
          </cell>
          <cell r="E39">
            <v>0</v>
          </cell>
          <cell r="F39">
            <v>0</v>
          </cell>
          <cell r="G39">
            <v>0</v>
          </cell>
          <cell r="H39">
            <v>0</v>
          </cell>
          <cell r="I39">
            <v>0</v>
          </cell>
          <cell r="J39">
            <v>0</v>
          </cell>
          <cell r="K39">
            <v>0</v>
          </cell>
          <cell r="O39">
            <v>0</v>
          </cell>
          <cell r="P39">
            <v>0</v>
          </cell>
          <cell r="Q39">
            <v>0</v>
          </cell>
        </row>
        <row r="40">
          <cell r="B40" t="str">
            <v>JAN 2016</v>
          </cell>
          <cell r="C40" t="str">
            <v>KURSE040</v>
          </cell>
          <cell r="D40">
            <v>7</v>
          </cell>
          <cell r="E40">
            <v>5322</v>
          </cell>
          <cell r="F40">
            <v>2200</v>
          </cell>
          <cell r="G40">
            <v>1323</v>
          </cell>
          <cell r="H40">
            <v>8845</v>
          </cell>
          <cell r="I40">
            <v>0</v>
          </cell>
          <cell r="J40">
            <v>0</v>
          </cell>
          <cell r="K40">
            <v>0</v>
          </cell>
          <cell r="O40">
            <v>0</v>
          </cell>
          <cell r="P40">
            <v>0</v>
          </cell>
          <cell r="Q40">
            <v>0</v>
          </cell>
        </row>
        <row r="41">
          <cell r="B41" t="str">
            <v>JAN 2016</v>
          </cell>
          <cell r="C41" t="str">
            <v>KURSE080</v>
          </cell>
          <cell r="D41">
            <v>0</v>
          </cell>
          <cell r="E41">
            <v>0</v>
          </cell>
          <cell r="F41">
            <v>0</v>
          </cell>
          <cell r="G41">
            <v>0</v>
          </cell>
          <cell r="H41">
            <v>0</v>
          </cell>
          <cell r="I41">
            <v>0</v>
          </cell>
          <cell r="J41">
            <v>0</v>
          </cell>
          <cell r="K41">
            <v>0</v>
          </cell>
          <cell r="O41">
            <v>0</v>
          </cell>
          <cell r="P41">
            <v>0</v>
          </cell>
          <cell r="Q41">
            <v>0</v>
          </cell>
        </row>
        <row r="42">
          <cell r="B42" t="str">
            <v>JAN 2016</v>
          </cell>
          <cell r="C42" t="str">
            <v>KURSE715</v>
          </cell>
          <cell r="D42">
            <v>0</v>
          </cell>
          <cell r="E42">
            <v>0</v>
          </cell>
          <cell r="F42">
            <v>0</v>
          </cell>
          <cell r="G42">
            <v>0</v>
          </cell>
          <cell r="H42">
            <v>0</v>
          </cell>
          <cell r="I42">
            <v>0</v>
          </cell>
          <cell r="J42">
            <v>0</v>
          </cell>
          <cell r="K42">
            <v>0</v>
          </cell>
          <cell r="O42">
            <v>0</v>
          </cell>
          <cell r="P42">
            <v>0</v>
          </cell>
          <cell r="Q42">
            <v>0</v>
          </cell>
        </row>
        <row r="43">
          <cell r="B43" t="str">
            <v>JAN 2016</v>
          </cell>
          <cell r="C43" t="str">
            <v>ODRSE010</v>
          </cell>
          <cell r="D43">
            <v>0</v>
          </cell>
          <cell r="E43">
            <v>0</v>
          </cell>
          <cell r="F43">
            <v>0</v>
          </cell>
          <cell r="G43">
            <v>0</v>
          </cell>
          <cell r="H43">
            <v>0</v>
          </cell>
          <cell r="I43">
            <v>0</v>
          </cell>
          <cell r="J43">
            <v>0</v>
          </cell>
          <cell r="K43">
            <v>0</v>
          </cell>
          <cell r="O43">
            <v>0</v>
          </cell>
          <cell r="P43">
            <v>0</v>
          </cell>
          <cell r="Q43">
            <v>0</v>
          </cell>
        </row>
        <row r="44">
          <cell r="B44" t="str">
            <v>JAN 2016</v>
          </cell>
          <cell r="C44" t="str">
            <v>ODRSE020</v>
          </cell>
          <cell r="D44">
            <v>0</v>
          </cell>
          <cell r="E44">
            <v>0</v>
          </cell>
          <cell r="F44">
            <v>0</v>
          </cell>
          <cell r="G44">
            <v>0</v>
          </cell>
          <cell r="H44">
            <v>0</v>
          </cell>
          <cell r="I44">
            <v>0</v>
          </cell>
          <cell r="J44">
            <v>0</v>
          </cell>
          <cell r="K44">
            <v>0</v>
          </cell>
          <cell r="O44">
            <v>0</v>
          </cell>
          <cell r="P44">
            <v>0</v>
          </cell>
          <cell r="Q44">
            <v>0</v>
          </cell>
        </row>
        <row r="45">
          <cell r="B45" t="str">
            <v>JAN 2016</v>
          </cell>
          <cell r="C45" t="str">
            <v>Result</v>
          </cell>
        </row>
        <row r="46">
          <cell r="D46" t="str">
            <v xml:space="preserve"> # Billed  Contracts</v>
          </cell>
          <cell r="E46" t="str">
            <v xml:space="preserve"> KWH   P1</v>
          </cell>
          <cell r="F46" t="str">
            <v xml:space="preserve"> KWH   P2</v>
          </cell>
          <cell r="G46" t="str">
            <v xml:space="preserve"> KWH   P3</v>
          </cell>
          <cell r="H46" t="str">
            <v xml:space="preserve"> Total  KWH</v>
          </cell>
          <cell r="I46" t="str">
            <v>KW/KVA Base Qty</v>
          </cell>
          <cell r="J46" t="str">
            <v>KW/KVA Int Qty</v>
          </cell>
          <cell r="K46" t="str">
            <v>KW/KVA Peak Qty</v>
          </cell>
          <cell r="O46" t="str">
            <v>KW/KVA Base Measured</v>
          </cell>
          <cell r="P46" t="str">
            <v>KW/KVA Intermed Measured</v>
          </cell>
          <cell r="Q46" t="str">
            <v>KW/KVA Peak Measured</v>
          </cell>
        </row>
        <row r="47">
          <cell r="B47" t="str">
            <v>Revenue Period</v>
          </cell>
          <cell r="C47" t="str">
            <v>Rate Category</v>
          </cell>
          <cell r="E47" t="str">
            <v>KWH</v>
          </cell>
          <cell r="F47" t="str">
            <v>KWH</v>
          </cell>
          <cell r="G47" t="str">
            <v>KWH</v>
          </cell>
          <cell r="H47" t="str">
            <v>KWH</v>
          </cell>
        </row>
        <row r="48">
          <cell r="B48" t="str">
            <v>FEB 2016</v>
          </cell>
          <cell r="C48" t="str">
            <v>KUCIE550</v>
          </cell>
          <cell r="D48">
            <v>32</v>
          </cell>
          <cell r="E48">
            <v>0</v>
          </cell>
          <cell r="F48">
            <v>0</v>
          </cell>
          <cell r="G48">
            <v>0</v>
          </cell>
          <cell r="H48">
            <v>130048832</v>
          </cell>
          <cell r="I48">
            <v>0</v>
          </cell>
          <cell r="J48">
            <v>0</v>
          </cell>
          <cell r="K48">
            <v>0</v>
          </cell>
          <cell r="O48">
            <v>313852</v>
          </cell>
          <cell r="P48">
            <v>298405</v>
          </cell>
          <cell r="Q48">
            <v>290558</v>
          </cell>
        </row>
        <row r="49">
          <cell r="B49" t="str">
            <v>FEB 2016</v>
          </cell>
          <cell r="C49" t="str">
            <v>KUCIE561</v>
          </cell>
          <cell r="D49">
            <v>195</v>
          </cell>
          <cell r="E49">
            <v>0</v>
          </cell>
          <cell r="F49">
            <v>0</v>
          </cell>
          <cell r="G49">
            <v>0</v>
          </cell>
          <cell r="H49">
            <v>17683176</v>
          </cell>
          <cell r="I49">
            <v>0</v>
          </cell>
          <cell r="J49">
            <v>0</v>
          </cell>
          <cell r="K49">
            <v>0</v>
          </cell>
          <cell r="O49">
            <v>0</v>
          </cell>
          <cell r="P49">
            <v>54613</v>
          </cell>
          <cell r="Q49">
            <v>0</v>
          </cell>
        </row>
        <row r="50">
          <cell r="B50" t="str">
            <v>FEB 2016</v>
          </cell>
          <cell r="C50" t="str">
            <v>KUCIE562</v>
          </cell>
          <cell r="D50">
            <v>4640</v>
          </cell>
          <cell r="E50">
            <v>0</v>
          </cell>
          <cell r="F50">
            <v>0</v>
          </cell>
          <cell r="G50">
            <v>0</v>
          </cell>
          <cell r="H50">
            <v>153360986</v>
          </cell>
          <cell r="I50">
            <v>0</v>
          </cell>
          <cell r="J50">
            <v>0</v>
          </cell>
          <cell r="K50">
            <v>0</v>
          </cell>
          <cell r="O50">
            <v>0</v>
          </cell>
          <cell r="P50">
            <v>526967</v>
          </cell>
          <cell r="Q50">
            <v>0</v>
          </cell>
        </row>
        <row r="51">
          <cell r="B51" t="str">
            <v>FEB 2016</v>
          </cell>
          <cell r="C51" t="str">
            <v>KUCIE563</v>
          </cell>
          <cell r="D51">
            <v>52</v>
          </cell>
          <cell r="E51">
            <v>0</v>
          </cell>
          <cell r="F51">
            <v>0</v>
          </cell>
          <cell r="G51">
            <v>0</v>
          </cell>
          <cell r="H51">
            <v>231780500</v>
          </cell>
          <cell r="I51">
            <v>0</v>
          </cell>
          <cell r="J51">
            <v>0</v>
          </cell>
          <cell r="K51">
            <v>0</v>
          </cell>
          <cell r="O51">
            <v>519785</v>
          </cell>
          <cell r="P51">
            <v>486707</v>
          </cell>
          <cell r="Q51">
            <v>480301</v>
          </cell>
        </row>
        <row r="52">
          <cell r="B52" t="str">
            <v>FEB 2016</v>
          </cell>
          <cell r="C52" t="str">
            <v>KUCIE566</v>
          </cell>
          <cell r="D52">
            <v>0</v>
          </cell>
          <cell r="E52">
            <v>0</v>
          </cell>
          <cell r="F52">
            <v>0</v>
          </cell>
          <cell r="G52">
            <v>0</v>
          </cell>
          <cell r="H52">
            <v>0</v>
          </cell>
          <cell r="I52">
            <v>0</v>
          </cell>
          <cell r="J52">
            <v>0</v>
          </cell>
          <cell r="K52">
            <v>0</v>
          </cell>
          <cell r="O52">
            <v>0</v>
          </cell>
          <cell r="P52">
            <v>0</v>
          </cell>
          <cell r="Q52">
            <v>0</v>
          </cell>
        </row>
        <row r="53">
          <cell r="B53" t="str">
            <v>FEB 2016</v>
          </cell>
          <cell r="C53" t="str">
            <v>KUCIE568</v>
          </cell>
          <cell r="D53">
            <v>0</v>
          </cell>
          <cell r="E53">
            <v>0</v>
          </cell>
          <cell r="F53">
            <v>0</v>
          </cell>
          <cell r="G53">
            <v>0</v>
          </cell>
          <cell r="H53">
            <v>0</v>
          </cell>
          <cell r="I53">
            <v>0</v>
          </cell>
          <cell r="J53">
            <v>0</v>
          </cell>
          <cell r="K53">
            <v>0</v>
          </cell>
          <cell r="O53">
            <v>0</v>
          </cell>
          <cell r="P53">
            <v>0</v>
          </cell>
          <cell r="Q53">
            <v>0</v>
          </cell>
        </row>
        <row r="54">
          <cell r="B54" t="str">
            <v>FEB 2016</v>
          </cell>
          <cell r="C54" t="str">
            <v>KUCIE571</v>
          </cell>
          <cell r="D54">
            <v>205</v>
          </cell>
          <cell r="E54">
            <v>0</v>
          </cell>
          <cell r="F54">
            <v>0</v>
          </cell>
          <cell r="G54">
            <v>0</v>
          </cell>
          <cell r="H54">
            <v>97557303</v>
          </cell>
          <cell r="I54">
            <v>0</v>
          </cell>
          <cell r="J54">
            <v>0</v>
          </cell>
          <cell r="K54">
            <v>0</v>
          </cell>
          <cell r="O54">
            <v>263568</v>
          </cell>
          <cell r="P54">
            <v>249792</v>
          </cell>
          <cell r="Q54">
            <v>246265</v>
          </cell>
        </row>
        <row r="55">
          <cell r="B55" t="str">
            <v>FEB 2016</v>
          </cell>
          <cell r="C55" t="str">
            <v>KUCIE572</v>
          </cell>
          <cell r="D55">
            <v>468</v>
          </cell>
          <cell r="E55">
            <v>0</v>
          </cell>
          <cell r="F55">
            <v>0</v>
          </cell>
          <cell r="G55">
            <v>0</v>
          </cell>
          <cell r="H55">
            <v>120135692</v>
          </cell>
          <cell r="I55">
            <v>0</v>
          </cell>
          <cell r="J55">
            <v>0</v>
          </cell>
          <cell r="K55">
            <v>0</v>
          </cell>
          <cell r="O55">
            <v>307137</v>
          </cell>
          <cell r="P55">
            <v>279740</v>
          </cell>
          <cell r="Q55">
            <v>273474</v>
          </cell>
        </row>
        <row r="56">
          <cell r="B56" t="str">
            <v>FEB 2016</v>
          </cell>
          <cell r="C56" t="str">
            <v>KUCME110</v>
          </cell>
          <cell r="D56">
            <v>63545</v>
          </cell>
          <cell r="E56">
            <v>0</v>
          </cell>
          <cell r="F56">
            <v>0</v>
          </cell>
          <cell r="G56">
            <v>0</v>
          </cell>
          <cell r="H56">
            <v>68222048</v>
          </cell>
          <cell r="I56">
            <v>0</v>
          </cell>
          <cell r="J56">
            <v>0</v>
          </cell>
          <cell r="K56">
            <v>0</v>
          </cell>
          <cell r="O56">
            <v>0</v>
          </cell>
          <cell r="P56">
            <v>0</v>
          </cell>
          <cell r="Q56">
            <v>0</v>
          </cell>
        </row>
        <row r="57">
          <cell r="B57" t="str">
            <v>FEB 2016</v>
          </cell>
          <cell r="C57" t="str">
            <v>KUCME112</v>
          </cell>
          <cell r="D57">
            <v>0</v>
          </cell>
          <cell r="E57">
            <v>0</v>
          </cell>
          <cell r="F57">
            <v>0</v>
          </cell>
          <cell r="G57">
            <v>0</v>
          </cell>
          <cell r="H57">
            <v>0</v>
          </cell>
          <cell r="I57">
            <v>0</v>
          </cell>
          <cell r="J57">
            <v>0</v>
          </cell>
          <cell r="K57">
            <v>0</v>
          </cell>
          <cell r="O57">
            <v>0</v>
          </cell>
          <cell r="P57">
            <v>0</v>
          </cell>
          <cell r="Q57">
            <v>0</v>
          </cell>
        </row>
        <row r="58">
          <cell r="B58" t="str">
            <v>FEB 2016</v>
          </cell>
          <cell r="C58" t="str">
            <v>KUCME113</v>
          </cell>
          <cell r="D58">
            <v>18575</v>
          </cell>
          <cell r="E58">
            <v>0</v>
          </cell>
          <cell r="F58">
            <v>0</v>
          </cell>
          <cell r="G58">
            <v>0</v>
          </cell>
          <cell r="H58">
            <v>99957153</v>
          </cell>
          <cell r="I58">
            <v>0</v>
          </cell>
          <cell r="J58">
            <v>0</v>
          </cell>
          <cell r="K58">
            <v>0</v>
          </cell>
          <cell r="O58">
            <v>412611</v>
          </cell>
          <cell r="P58">
            <v>0</v>
          </cell>
          <cell r="Q58">
            <v>0</v>
          </cell>
        </row>
        <row r="59">
          <cell r="B59" t="str">
            <v>FEB 2016</v>
          </cell>
          <cell r="C59" t="str">
            <v>KUCME220</v>
          </cell>
          <cell r="D59">
            <v>373</v>
          </cell>
          <cell r="E59">
            <v>0</v>
          </cell>
          <cell r="F59">
            <v>0</v>
          </cell>
          <cell r="G59">
            <v>0</v>
          </cell>
          <cell r="H59">
            <v>719702</v>
          </cell>
          <cell r="I59">
            <v>0</v>
          </cell>
          <cell r="J59">
            <v>0</v>
          </cell>
          <cell r="K59">
            <v>0</v>
          </cell>
          <cell r="O59">
            <v>0</v>
          </cell>
          <cell r="P59">
            <v>0</v>
          </cell>
          <cell r="Q59">
            <v>0</v>
          </cell>
        </row>
        <row r="60">
          <cell r="B60" t="str">
            <v>FEB 2016</v>
          </cell>
          <cell r="C60" t="str">
            <v>KURSE010</v>
          </cell>
          <cell r="D60">
            <v>430450</v>
          </cell>
          <cell r="E60">
            <v>0</v>
          </cell>
          <cell r="F60">
            <v>0</v>
          </cell>
          <cell r="G60">
            <v>0</v>
          </cell>
          <cell r="H60">
            <v>640535387</v>
          </cell>
          <cell r="I60">
            <v>0</v>
          </cell>
          <cell r="J60">
            <v>0</v>
          </cell>
          <cell r="K60">
            <v>0</v>
          </cell>
          <cell r="O60">
            <v>0</v>
          </cell>
          <cell r="P60">
            <v>0</v>
          </cell>
          <cell r="Q60">
            <v>0</v>
          </cell>
        </row>
        <row r="61">
          <cell r="B61" t="str">
            <v>FEB 2016</v>
          </cell>
          <cell r="C61" t="str">
            <v>KURSE020</v>
          </cell>
          <cell r="D61">
            <v>0</v>
          </cell>
          <cell r="E61">
            <v>0</v>
          </cell>
          <cell r="F61">
            <v>0</v>
          </cell>
          <cell r="G61">
            <v>0</v>
          </cell>
          <cell r="H61">
            <v>0</v>
          </cell>
          <cell r="I61">
            <v>0</v>
          </cell>
          <cell r="J61">
            <v>0</v>
          </cell>
          <cell r="K61">
            <v>0</v>
          </cell>
          <cell r="O61">
            <v>0</v>
          </cell>
          <cell r="P61">
            <v>0</v>
          </cell>
          <cell r="Q61">
            <v>0</v>
          </cell>
        </row>
        <row r="62">
          <cell r="B62" t="str">
            <v>FEB 2016</v>
          </cell>
          <cell r="C62" t="str">
            <v>KURSE025</v>
          </cell>
          <cell r="D62">
            <v>0</v>
          </cell>
          <cell r="E62">
            <v>0</v>
          </cell>
          <cell r="F62">
            <v>0</v>
          </cell>
          <cell r="G62">
            <v>0</v>
          </cell>
          <cell r="H62">
            <v>0</v>
          </cell>
          <cell r="I62">
            <v>0</v>
          </cell>
          <cell r="J62">
            <v>0</v>
          </cell>
          <cell r="K62">
            <v>0</v>
          </cell>
          <cell r="O62">
            <v>0</v>
          </cell>
          <cell r="P62">
            <v>0</v>
          </cell>
          <cell r="Q62">
            <v>0</v>
          </cell>
        </row>
        <row r="63">
          <cell r="B63" t="str">
            <v>FEB 2016</v>
          </cell>
          <cell r="C63" t="str">
            <v>KURSE080</v>
          </cell>
          <cell r="D63">
            <v>0</v>
          </cell>
          <cell r="E63">
            <v>0</v>
          </cell>
          <cell r="F63">
            <v>0</v>
          </cell>
          <cell r="G63">
            <v>0</v>
          </cell>
          <cell r="H63">
            <v>0</v>
          </cell>
          <cell r="I63">
            <v>0</v>
          </cell>
          <cell r="J63">
            <v>0</v>
          </cell>
          <cell r="K63">
            <v>0</v>
          </cell>
          <cell r="O63">
            <v>0</v>
          </cell>
          <cell r="P63">
            <v>0</v>
          </cell>
          <cell r="Q63">
            <v>0</v>
          </cell>
        </row>
        <row r="64">
          <cell r="B64" t="str">
            <v>FEB 2016</v>
          </cell>
          <cell r="C64" t="str">
            <v>KURSE715</v>
          </cell>
          <cell r="D64">
            <v>0</v>
          </cell>
          <cell r="E64">
            <v>0</v>
          </cell>
          <cell r="F64">
            <v>0</v>
          </cell>
          <cell r="G64">
            <v>0</v>
          </cell>
          <cell r="H64">
            <v>0</v>
          </cell>
          <cell r="I64">
            <v>0</v>
          </cell>
          <cell r="J64">
            <v>0</v>
          </cell>
          <cell r="K64">
            <v>0</v>
          </cell>
          <cell r="O64">
            <v>0</v>
          </cell>
          <cell r="P64">
            <v>0</v>
          </cell>
          <cell r="Q64">
            <v>0</v>
          </cell>
        </row>
        <row r="65">
          <cell r="B65" t="str">
            <v>FEB 2016</v>
          </cell>
          <cell r="C65" t="str">
            <v>ODRSE020</v>
          </cell>
          <cell r="D65">
            <v>0</v>
          </cell>
          <cell r="E65">
            <v>0</v>
          </cell>
          <cell r="F65">
            <v>0</v>
          </cell>
          <cell r="G65">
            <v>0</v>
          </cell>
          <cell r="H65">
            <v>0</v>
          </cell>
          <cell r="I65">
            <v>0</v>
          </cell>
          <cell r="J65">
            <v>0</v>
          </cell>
          <cell r="K65">
            <v>0</v>
          </cell>
          <cell r="O65">
            <v>0</v>
          </cell>
          <cell r="P65">
            <v>0</v>
          </cell>
          <cell r="Q65">
            <v>0</v>
          </cell>
        </row>
        <row r="66">
          <cell r="B66" t="str">
            <v>FEB 2016</v>
          </cell>
          <cell r="C66" t="str">
            <v>KTRSE020</v>
          </cell>
          <cell r="D66">
            <v>0</v>
          </cell>
          <cell r="E66">
            <v>0</v>
          </cell>
          <cell r="F66">
            <v>0</v>
          </cell>
          <cell r="G66">
            <v>0</v>
          </cell>
          <cell r="H66">
            <v>0</v>
          </cell>
          <cell r="I66">
            <v>0</v>
          </cell>
          <cell r="J66">
            <v>0</v>
          </cell>
          <cell r="K66">
            <v>0</v>
          </cell>
          <cell r="O66">
            <v>0</v>
          </cell>
          <cell r="P66">
            <v>0</v>
          </cell>
          <cell r="Q66">
            <v>0</v>
          </cell>
        </row>
        <row r="67">
          <cell r="B67" t="str">
            <v>FEB 2016</v>
          </cell>
          <cell r="C67" t="str">
            <v>KTRSE030</v>
          </cell>
          <cell r="D67">
            <v>0</v>
          </cell>
          <cell r="E67">
            <v>0</v>
          </cell>
          <cell r="F67">
            <v>0</v>
          </cell>
          <cell r="G67">
            <v>0</v>
          </cell>
          <cell r="H67">
            <v>0</v>
          </cell>
          <cell r="I67">
            <v>0</v>
          </cell>
          <cell r="J67">
            <v>0</v>
          </cell>
          <cell r="K67">
            <v>0</v>
          </cell>
          <cell r="O67">
            <v>0</v>
          </cell>
          <cell r="P67">
            <v>0</v>
          </cell>
          <cell r="Q67">
            <v>0</v>
          </cell>
        </row>
        <row r="68">
          <cell r="B68" t="str">
            <v>FEB 2016</v>
          </cell>
          <cell r="C68" t="str">
            <v>KUCME710</v>
          </cell>
          <cell r="D68">
            <v>0</v>
          </cell>
          <cell r="E68">
            <v>0</v>
          </cell>
          <cell r="F68">
            <v>0</v>
          </cell>
          <cell r="G68">
            <v>0</v>
          </cell>
          <cell r="H68">
            <v>0</v>
          </cell>
          <cell r="I68">
            <v>0</v>
          </cell>
          <cell r="J68">
            <v>0</v>
          </cell>
          <cell r="K68">
            <v>0</v>
          </cell>
          <cell r="O68">
            <v>0</v>
          </cell>
          <cell r="P68">
            <v>0</v>
          </cell>
          <cell r="Q68">
            <v>0</v>
          </cell>
        </row>
        <row r="69">
          <cell r="B69" t="str">
            <v>FEB 2016</v>
          </cell>
          <cell r="C69" t="str">
            <v>KUINE730</v>
          </cell>
          <cell r="D69">
            <v>1</v>
          </cell>
          <cell r="E69">
            <v>0</v>
          </cell>
          <cell r="F69">
            <v>0</v>
          </cell>
          <cell r="G69">
            <v>0</v>
          </cell>
          <cell r="H69">
            <v>46508169</v>
          </cell>
          <cell r="I69">
            <v>0</v>
          </cell>
          <cell r="J69">
            <v>0</v>
          </cell>
          <cell r="K69">
            <v>0</v>
          </cell>
          <cell r="O69">
            <v>185158</v>
          </cell>
          <cell r="P69">
            <v>185158</v>
          </cell>
          <cell r="Q69">
            <v>101388</v>
          </cell>
        </row>
        <row r="70">
          <cell r="B70" t="str">
            <v>FEB 2016</v>
          </cell>
          <cell r="C70" t="str">
            <v>KUCME290</v>
          </cell>
          <cell r="D70">
            <v>2</v>
          </cell>
          <cell r="E70">
            <v>0</v>
          </cell>
          <cell r="F70">
            <v>0</v>
          </cell>
          <cell r="G70">
            <v>0</v>
          </cell>
          <cell r="H70">
            <v>11656</v>
          </cell>
          <cell r="I70">
            <v>0</v>
          </cell>
          <cell r="J70">
            <v>0</v>
          </cell>
          <cell r="K70">
            <v>0</v>
          </cell>
          <cell r="O70">
            <v>0</v>
          </cell>
          <cell r="P70">
            <v>0</v>
          </cell>
          <cell r="Q70">
            <v>0</v>
          </cell>
        </row>
        <row r="71">
          <cell r="B71" t="str">
            <v>FEB 2016</v>
          </cell>
          <cell r="C71" t="str">
            <v>KUCME291</v>
          </cell>
          <cell r="D71">
            <v>0</v>
          </cell>
          <cell r="E71">
            <v>0</v>
          </cell>
          <cell r="F71">
            <v>0</v>
          </cell>
          <cell r="G71">
            <v>0</v>
          </cell>
          <cell r="H71">
            <v>0</v>
          </cell>
          <cell r="I71">
            <v>0</v>
          </cell>
          <cell r="J71">
            <v>0</v>
          </cell>
          <cell r="K71">
            <v>0</v>
          </cell>
          <cell r="O71">
            <v>0</v>
          </cell>
          <cell r="P71">
            <v>0</v>
          </cell>
          <cell r="Q71">
            <v>0</v>
          </cell>
        </row>
        <row r="72">
          <cell r="B72" t="str">
            <v>FEB 2016</v>
          </cell>
          <cell r="C72" t="str">
            <v>KUCME295</v>
          </cell>
          <cell r="D72">
            <v>747</v>
          </cell>
          <cell r="E72">
            <v>0</v>
          </cell>
          <cell r="F72">
            <v>0</v>
          </cell>
          <cell r="G72">
            <v>0</v>
          </cell>
          <cell r="H72">
            <v>104312</v>
          </cell>
          <cell r="I72">
            <v>0</v>
          </cell>
          <cell r="J72">
            <v>0</v>
          </cell>
          <cell r="K72">
            <v>0</v>
          </cell>
          <cell r="O72">
            <v>0</v>
          </cell>
          <cell r="P72">
            <v>0</v>
          </cell>
          <cell r="Q72">
            <v>0</v>
          </cell>
        </row>
        <row r="73">
          <cell r="B73" t="str">
            <v>FEB 2016</v>
          </cell>
          <cell r="C73" t="str">
            <v>KUCSR760</v>
          </cell>
          <cell r="D73">
            <v>0</v>
          </cell>
          <cell r="E73">
            <v>0</v>
          </cell>
          <cell r="F73">
            <v>0</v>
          </cell>
          <cell r="G73">
            <v>0</v>
          </cell>
          <cell r="H73">
            <v>0</v>
          </cell>
          <cell r="I73">
            <v>0</v>
          </cell>
          <cell r="J73">
            <v>0</v>
          </cell>
          <cell r="K73">
            <v>0</v>
          </cell>
          <cell r="O73">
            <v>0</v>
          </cell>
          <cell r="P73">
            <v>0</v>
          </cell>
          <cell r="Q73">
            <v>0</v>
          </cell>
        </row>
        <row r="74">
          <cell r="B74" t="str">
            <v>FEB 2016</v>
          </cell>
          <cell r="C74" t="str">
            <v>KUCSR781</v>
          </cell>
          <cell r="D74">
            <v>0</v>
          </cell>
          <cell r="E74">
            <v>0</v>
          </cell>
          <cell r="F74">
            <v>0</v>
          </cell>
          <cell r="G74">
            <v>0</v>
          </cell>
          <cell r="H74">
            <v>0</v>
          </cell>
          <cell r="I74">
            <v>0</v>
          </cell>
          <cell r="J74">
            <v>0</v>
          </cell>
          <cell r="K74">
            <v>0</v>
          </cell>
          <cell r="O74">
            <v>0</v>
          </cell>
          <cell r="P74">
            <v>0</v>
          </cell>
          <cell r="Q74">
            <v>0</v>
          </cell>
        </row>
        <row r="75">
          <cell r="B75" t="str">
            <v>FEB 2016</v>
          </cell>
          <cell r="C75" t="str">
            <v>KUCSR783</v>
          </cell>
          <cell r="D75">
            <v>0</v>
          </cell>
          <cell r="E75">
            <v>0</v>
          </cell>
          <cell r="F75">
            <v>0</v>
          </cell>
          <cell r="G75">
            <v>0</v>
          </cell>
          <cell r="H75">
            <v>0</v>
          </cell>
          <cell r="I75">
            <v>0</v>
          </cell>
          <cell r="J75">
            <v>0</v>
          </cell>
          <cell r="K75">
            <v>0</v>
          </cell>
          <cell r="O75">
            <v>0</v>
          </cell>
          <cell r="P75">
            <v>0</v>
          </cell>
          <cell r="Q75">
            <v>0</v>
          </cell>
        </row>
        <row r="76">
          <cell r="B76" t="str">
            <v>FEB 2016</v>
          </cell>
          <cell r="C76" t="str">
            <v>KUCME713</v>
          </cell>
          <cell r="D76">
            <v>0</v>
          </cell>
          <cell r="E76">
            <v>0</v>
          </cell>
          <cell r="F76">
            <v>0</v>
          </cell>
          <cell r="G76">
            <v>0</v>
          </cell>
          <cell r="H76">
            <v>0</v>
          </cell>
          <cell r="I76">
            <v>0</v>
          </cell>
          <cell r="J76">
            <v>0</v>
          </cell>
          <cell r="K76">
            <v>0</v>
          </cell>
          <cell r="O76">
            <v>0</v>
          </cell>
          <cell r="P76">
            <v>0</v>
          </cell>
          <cell r="Q76">
            <v>0</v>
          </cell>
        </row>
        <row r="77">
          <cell r="B77" t="str">
            <v>FEB 2016</v>
          </cell>
          <cell r="C77" t="str">
            <v>KUCIE717</v>
          </cell>
          <cell r="D77">
            <v>0</v>
          </cell>
          <cell r="E77">
            <v>0</v>
          </cell>
          <cell r="F77">
            <v>0</v>
          </cell>
          <cell r="G77">
            <v>0</v>
          </cell>
          <cell r="H77">
            <v>0</v>
          </cell>
          <cell r="I77">
            <v>0</v>
          </cell>
          <cell r="J77">
            <v>0</v>
          </cell>
          <cell r="K77">
            <v>0</v>
          </cell>
          <cell r="O77">
            <v>0</v>
          </cell>
          <cell r="P77">
            <v>0</v>
          </cell>
          <cell r="Q77">
            <v>0</v>
          </cell>
        </row>
        <row r="78">
          <cell r="B78" t="str">
            <v>FEB 2016</v>
          </cell>
          <cell r="C78" t="str">
            <v>KUCME223</v>
          </cell>
          <cell r="D78">
            <v>0</v>
          </cell>
          <cell r="E78">
            <v>0</v>
          </cell>
          <cell r="F78">
            <v>0</v>
          </cell>
          <cell r="G78">
            <v>0</v>
          </cell>
          <cell r="H78">
            <v>0</v>
          </cell>
          <cell r="I78">
            <v>0</v>
          </cell>
          <cell r="J78">
            <v>0</v>
          </cell>
          <cell r="K78">
            <v>0</v>
          </cell>
          <cell r="O78">
            <v>0</v>
          </cell>
          <cell r="P78">
            <v>0</v>
          </cell>
          <cell r="Q78">
            <v>0</v>
          </cell>
        </row>
        <row r="79">
          <cell r="B79" t="str">
            <v>FEB 2016</v>
          </cell>
          <cell r="C79" t="str">
            <v>KURSE040</v>
          </cell>
          <cell r="D79">
            <v>7</v>
          </cell>
          <cell r="E79">
            <v>4008</v>
          </cell>
          <cell r="F79">
            <v>1620</v>
          </cell>
          <cell r="G79">
            <v>908</v>
          </cell>
          <cell r="H79">
            <v>6536</v>
          </cell>
          <cell r="I79">
            <v>0</v>
          </cell>
          <cell r="J79">
            <v>0</v>
          </cell>
          <cell r="K79">
            <v>0</v>
          </cell>
          <cell r="O79">
            <v>0</v>
          </cell>
          <cell r="P79">
            <v>0</v>
          </cell>
          <cell r="Q79">
            <v>0</v>
          </cell>
        </row>
        <row r="80">
          <cell r="B80" t="str">
            <v>FEB 2016</v>
          </cell>
          <cell r="C80" t="str">
            <v>KUCME221</v>
          </cell>
          <cell r="D80">
            <v>0</v>
          </cell>
          <cell r="E80">
            <v>0</v>
          </cell>
          <cell r="F80">
            <v>0</v>
          </cell>
          <cell r="G80">
            <v>0</v>
          </cell>
          <cell r="H80">
            <v>0</v>
          </cell>
          <cell r="I80">
            <v>0</v>
          </cell>
          <cell r="J80">
            <v>0</v>
          </cell>
          <cell r="K80">
            <v>0</v>
          </cell>
          <cell r="O80">
            <v>0</v>
          </cell>
          <cell r="P80">
            <v>0</v>
          </cell>
          <cell r="Q80">
            <v>0</v>
          </cell>
        </row>
        <row r="81">
          <cell r="B81" t="str">
            <v>FEB 2016</v>
          </cell>
          <cell r="C81" t="str">
            <v>KUCME224</v>
          </cell>
          <cell r="D81">
            <v>260</v>
          </cell>
          <cell r="E81">
            <v>0</v>
          </cell>
          <cell r="F81">
            <v>0</v>
          </cell>
          <cell r="G81">
            <v>0</v>
          </cell>
          <cell r="H81">
            <v>13339327</v>
          </cell>
          <cell r="I81">
            <v>0</v>
          </cell>
          <cell r="J81">
            <v>0</v>
          </cell>
          <cell r="K81">
            <v>0</v>
          </cell>
          <cell r="O81">
            <v>55251</v>
          </cell>
          <cell r="P81">
            <v>0</v>
          </cell>
          <cell r="Q81">
            <v>0</v>
          </cell>
        </row>
        <row r="82">
          <cell r="B82" t="str">
            <v>FEB 2016</v>
          </cell>
          <cell r="C82" t="str">
            <v>KUCME297</v>
          </cell>
          <cell r="D82">
            <v>0</v>
          </cell>
          <cell r="E82">
            <v>0</v>
          </cell>
          <cell r="F82">
            <v>0</v>
          </cell>
          <cell r="G82">
            <v>0</v>
          </cell>
          <cell r="H82">
            <v>0</v>
          </cell>
          <cell r="I82">
            <v>0</v>
          </cell>
          <cell r="J82">
            <v>0</v>
          </cell>
          <cell r="K82">
            <v>0</v>
          </cell>
          <cell r="O82">
            <v>0</v>
          </cell>
          <cell r="P82">
            <v>0</v>
          </cell>
          <cell r="Q82">
            <v>0</v>
          </cell>
        </row>
        <row r="83">
          <cell r="B83" t="str">
            <v>FEB 2016</v>
          </cell>
          <cell r="C83" t="str">
            <v>KUCME225</v>
          </cell>
          <cell r="D83">
            <v>0</v>
          </cell>
          <cell r="E83">
            <v>0</v>
          </cell>
          <cell r="F83">
            <v>0</v>
          </cell>
          <cell r="G83">
            <v>0</v>
          </cell>
          <cell r="H83">
            <v>0</v>
          </cell>
          <cell r="I83">
            <v>0</v>
          </cell>
          <cell r="J83">
            <v>0</v>
          </cell>
          <cell r="K83">
            <v>0</v>
          </cell>
          <cell r="O83">
            <v>0</v>
          </cell>
          <cell r="P83">
            <v>0</v>
          </cell>
          <cell r="Q83">
            <v>0</v>
          </cell>
        </row>
        <row r="84">
          <cell r="B84" t="str">
            <v>FEB 2016</v>
          </cell>
          <cell r="C84" t="str">
            <v>KUCME226</v>
          </cell>
          <cell r="D84">
            <v>0</v>
          </cell>
          <cell r="E84">
            <v>0</v>
          </cell>
          <cell r="F84">
            <v>0</v>
          </cell>
          <cell r="G84">
            <v>0</v>
          </cell>
          <cell r="H84">
            <v>0</v>
          </cell>
          <cell r="I84">
            <v>0</v>
          </cell>
          <cell r="J84">
            <v>0</v>
          </cell>
          <cell r="K84">
            <v>0</v>
          </cell>
          <cell r="O84">
            <v>0</v>
          </cell>
          <cell r="P84">
            <v>0</v>
          </cell>
          <cell r="Q84">
            <v>0</v>
          </cell>
        </row>
        <row r="85">
          <cell r="B85" t="str">
            <v>FEB 2016</v>
          </cell>
          <cell r="C85" t="str">
            <v>KUCME227</v>
          </cell>
          <cell r="D85">
            <v>0</v>
          </cell>
          <cell r="E85">
            <v>0</v>
          </cell>
          <cell r="F85">
            <v>0</v>
          </cell>
          <cell r="G85">
            <v>0</v>
          </cell>
          <cell r="H85">
            <v>0</v>
          </cell>
          <cell r="I85">
            <v>0</v>
          </cell>
          <cell r="J85">
            <v>0</v>
          </cell>
          <cell r="K85">
            <v>0</v>
          </cell>
          <cell r="O85">
            <v>0</v>
          </cell>
          <cell r="P85">
            <v>0</v>
          </cell>
          <cell r="Q85">
            <v>0</v>
          </cell>
        </row>
        <row r="86">
          <cell r="B86" t="str">
            <v>FEB 2016</v>
          </cell>
          <cell r="C86" t="str">
            <v>Result</v>
          </cell>
        </row>
        <row r="87">
          <cell r="D87" t="str">
            <v xml:space="preserve"> # Billed  Contracts</v>
          </cell>
          <cell r="E87" t="str">
            <v xml:space="preserve"> KWH   P1</v>
          </cell>
          <cell r="F87" t="str">
            <v xml:space="preserve"> KWH   P2</v>
          </cell>
          <cell r="G87" t="str">
            <v xml:space="preserve"> KWH   P3</v>
          </cell>
          <cell r="H87" t="str">
            <v xml:space="preserve"> Total  KWH</v>
          </cell>
          <cell r="I87" t="str">
            <v>KW/KVA Base Qty</v>
          </cell>
          <cell r="J87" t="str">
            <v>KW/KVA Int Qty</v>
          </cell>
          <cell r="K87" t="str">
            <v>KW/KVA Peak Qty</v>
          </cell>
          <cell r="O87" t="str">
            <v>KW/KVA Base Measured</v>
          </cell>
          <cell r="P87" t="str">
            <v>KW/KVA Intermed Measured</v>
          </cell>
          <cell r="Q87" t="str">
            <v>KW/KVA Peak Measured</v>
          </cell>
        </row>
        <row r="88">
          <cell r="B88" t="str">
            <v>Revenue Period</v>
          </cell>
          <cell r="C88" t="str">
            <v>Rate Category</v>
          </cell>
          <cell r="E88" t="str">
            <v>KWH</v>
          </cell>
          <cell r="F88" t="str">
            <v>KWH</v>
          </cell>
          <cell r="G88" t="str">
            <v>KWH</v>
          </cell>
          <cell r="H88" t="str">
            <v>KWH</v>
          </cell>
        </row>
        <row r="89">
          <cell r="B89" t="str">
            <v>MAR 2016</v>
          </cell>
          <cell r="C89" t="str">
            <v>KUCIE550</v>
          </cell>
          <cell r="D89">
            <v>32</v>
          </cell>
          <cell r="E89">
            <v>0</v>
          </cell>
          <cell r="F89">
            <v>0</v>
          </cell>
          <cell r="G89">
            <v>0</v>
          </cell>
          <cell r="H89">
            <v>134527236</v>
          </cell>
          <cell r="I89">
            <v>0</v>
          </cell>
          <cell r="J89">
            <v>0</v>
          </cell>
          <cell r="K89">
            <v>0</v>
          </cell>
          <cell r="O89">
            <v>301107</v>
          </cell>
          <cell r="P89">
            <v>289470</v>
          </cell>
          <cell r="Q89">
            <v>284158</v>
          </cell>
        </row>
        <row r="90">
          <cell r="B90" t="str">
            <v>MAR 2016</v>
          </cell>
          <cell r="C90" t="str">
            <v>KUCIE561</v>
          </cell>
          <cell r="D90">
            <v>195</v>
          </cell>
          <cell r="E90">
            <v>0</v>
          </cell>
          <cell r="F90">
            <v>0</v>
          </cell>
          <cell r="G90">
            <v>0</v>
          </cell>
          <cell r="H90">
            <v>18258219</v>
          </cell>
          <cell r="I90">
            <v>0</v>
          </cell>
          <cell r="J90">
            <v>0</v>
          </cell>
          <cell r="K90">
            <v>0</v>
          </cell>
          <cell r="O90">
            <v>0</v>
          </cell>
          <cell r="P90">
            <v>54711</v>
          </cell>
          <cell r="Q90">
            <v>0</v>
          </cell>
        </row>
        <row r="91">
          <cell r="B91" t="str">
            <v>MAR 2016</v>
          </cell>
          <cell r="C91" t="str">
            <v>KUCIE562</v>
          </cell>
          <cell r="D91">
            <v>4630</v>
          </cell>
          <cell r="E91">
            <v>0</v>
          </cell>
          <cell r="F91">
            <v>0</v>
          </cell>
          <cell r="G91">
            <v>0</v>
          </cell>
          <cell r="H91">
            <v>154898630</v>
          </cell>
          <cell r="I91">
            <v>0</v>
          </cell>
          <cell r="J91">
            <v>0</v>
          </cell>
          <cell r="K91">
            <v>0</v>
          </cell>
          <cell r="O91">
            <v>0</v>
          </cell>
          <cell r="P91">
            <v>519914</v>
          </cell>
          <cell r="Q91">
            <v>0</v>
          </cell>
        </row>
        <row r="92">
          <cell r="B92" t="str">
            <v>MAR 2016</v>
          </cell>
          <cell r="C92" t="str">
            <v>KUCIE563</v>
          </cell>
          <cell r="D92">
            <v>52</v>
          </cell>
          <cell r="E92">
            <v>0</v>
          </cell>
          <cell r="F92">
            <v>0</v>
          </cell>
          <cell r="G92">
            <v>0</v>
          </cell>
          <cell r="H92">
            <v>237299344</v>
          </cell>
          <cell r="I92">
            <v>0</v>
          </cell>
          <cell r="J92">
            <v>0</v>
          </cell>
          <cell r="K92">
            <v>0</v>
          </cell>
          <cell r="O92">
            <v>520468</v>
          </cell>
          <cell r="P92">
            <v>486706</v>
          </cell>
          <cell r="Q92">
            <v>481058</v>
          </cell>
        </row>
        <row r="93">
          <cell r="B93" t="str">
            <v>MAR 2016</v>
          </cell>
          <cell r="C93" t="str">
            <v>KUCIE566</v>
          </cell>
          <cell r="D93">
            <v>0</v>
          </cell>
          <cell r="E93">
            <v>0</v>
          </cell>
          <cell r="F93">
            <v>0</v>
          </cell>
          <cell r="G93">
            <v>0</v>
          </cell>
          <cell r="H93">
            <v>0</v>
          </cell>
          <cell r="I93">
            <v>0</v>
          </cell>
          <cell r="J93">
            <v>0</v>
          </cell>
          <cell r="K93">
            <v>0</v>
          </cell>
          <cell r="O93">
            <v>0</v>
          </cell>
          <cell r="P93">
            <v>0</v>
          </cell>
          <cell r="Q93">
            <v>0</v>
          </cell>
        </row>
        <row r="94">
          <cell r="B94" t="str">
            <v>MAR 2016</v>
          </cell>
          <cell r="C94" t="str">
            <v>KUCIE568</v>
          </cell>
          <cell r="D94">
            <v>0</v>
          </cell>
          <cell r="E94">
            <v>0</v>
          </cell>
          <cell r="F94">
            <v>0</v>
          </cell>
          <cell r="G94">
            <v>0</v>
          </cell>
          <cell r="H94">
            <v>0</v>
          </cell>
          <cell r="I94">
            <v>0</v>
          </cell>
          <cell r="J94">
            <v>0</v>
          </cell>
          <cell r="K94">
            <v>0</v>
          </cell>
          <cell r="O94">
            <v>0</v>
          </cell>
          <cell r="P94">
            <v>0</v>
          </cell>
          <cell r="Q94">
            <v>0</v>
          </cell>
        </row>
        <row r="95">
          <cell r="B95" t="str">
            <v>MAR 2016</v>
          </cell>
          <cell r="C95" t="str">
            <v>KUCIE571</v>
          </cell>
          <cell r="D95">
            <v>206</v>
          </cell>
          <cell r="E95">
            <v>0</v>
          </cell>
          <cell r="F95">
            <v>0</v>
          </cell>
          <cell r="G95">
            <v>0</v>
          </cell>
          <cell r="H95">
            <v>99726211</v>
          </cell>
          <cell r="I95">
            <v>0</v>
          </cell>
          <cell r="J95">
            <v>0</v>
          </cell>
          <cell r="K95">
            <v>0</v>
          </cell>
          <cell r="O95">
            <v>260749</v>
          </cell>
          <cell r="P95">
            <v>247849</v>
          </cell>
          <cell r="Q95">
            <v>243450</v>
          </cell>
        </row>
        <row r="96">
          <cell r="B96" t="str">
            <v>MAR 2016</v>
          </cell>
          <cell r="C96" t="str">
            <v>KUCIE572</v>
          </cell>
          <cell r="D96">
            <v>469</v>
          </cell>
          <cell r="E96">
            <v>0</v>
          </cell>
          <cell r="F96">
            <v>0</v>
          </cell>
          <cell r="G96">
            <v>0</v>
          </cell>
          <cell r="H96">
            <v>121409593</v>
          </cell>
          <cell r="I96">
            <v>0</v>
          </cell>
          <cell r="J96">
            <v>0</v>
          </cell>
          <cell r="K96">
            <v>0</v>
          </cell>
          <cell r="O96">
            <v>304335</v>
          </cell>
          <cell r="P96">
            <v>277188</v>
          </cell>
          <cell r="Q96">
            <v>270979</v>
          </cell>
        </row>
        <row r="97">
          <cell r="B97" t="str">
            <v>MAR 2016</v>
          </cell>
          <cell r="C97" t="str">
            <v>KUCME110</v>
          </cell>
          <cell r="D97">
            <v>63553</v>
          </cell>
          <cell r="E97">
            <v>0</v>
          </cell>
          <cell r="F97">
            <v>0</v>
          </cell>
          <cell r="G97">
            <v>0</v>
          </cell>
          <cell r="H97">
            <v>62577001</v>
          </cell>
          <cell r="I97">
            <v>0</v>
          </cell>
          <cell r="J97">
            <v>0</v>
          </cell>
          <cell r="K97">
            <v>0</v>
          </cell>
          <cell r="O97">
            <v>0</v>
          </cell>
          <cell r="P97">
            <v>0</v>
          </cell>
          <cell r="Q97">
            <v>0</v>
          </cell>
        </row>
        <row r="98">
          <cell r="B98" t="str">
            <v>MAR 2016</v>
          </cell>
          <cell r="C98" t="str">
            <v>KUCME112</v>
          </cell>
          <cell r="D98">
            <v>0</v>
          </cell>
          <cell r="E98">
            <v>0</v>
          </cell>
          <cell r="F98">
            <v>0</v>
          </cell>
          <cell r="G98">
            <v>0</v>
          </cell>
          <cell r="H98">
            <v>0</v>
          </cell>
          <cell r="I98">
            <v>0</v>
          </cell>
          <cell r="J98">
            <v>0</v>
          </cell>
          <cell r="K98">
            <v>0</v>
          </cell>
          <cell r="O98">
            <v>0</v>
          </cell>
          <cell r="P98">
            <v>0</v>
          </cell>
          <cell r="Q98">
            <v>0</v>
          </cell>
        </row>
        <row r="99">
          <cell r="B99" t="str">
            <v>MAR 2016</v>
          </cell>
          <cell r="C99" t="str">
            <v>KUCME113</v>
          </cell>
          <cell r="D99">
            <v>18577</v>
          </cell>
          <cell r="E99">
            <v>0</v>
          </cell>
          <cell r="F99">
            <v>0</v>
          </cell>
          <cell r="G99">
            <v>0</v>
          </cell>
          <cell r="H99">
            <v>91489582</v>
          </cell>
          <cell r="I99">
            <v>0</v>
          </cell>
          <cell r="J99">
            <v>0</v>
          </cell>
          <cell r="K99">
            <v>0</v>
          </cell>
          <cell r="O99">
            <v>377207</v>
          </cell>
          <cell r="P99">
            <v>0</v>
          </cell>
          <cell r="Q99">
            <v>0</v>
          </cell>
        </row>
        <row r="100">
          <cell r="B100" t="str">
            <v>MAR 2016</v>
          </cell>
          <cell r="C100" t="str">
            <v>KUCME220</v>
          </cell>
          <cell r="D100">
            <v>371</v>
          </cell>
          <cell r="E100">
            <v>0</v>
          </cell>
          <cell r="F100">
            <v>0</v>
          </cell>
          <cell r="G100">
            <v>0</v>
          </cell>
          <cell r="H100">
            <v>688333</v>
          </cell>
          <cell r="I100">
            <v>0</v>
          </cell>
          <cell r="J100">
            <v>0</v>
          </cell>
          <cell r="K100">
            <v>0</v>
          </cell>
          <cell r="O100">
            <v>0</v>
          </cell>
          <cell r="P100">
            <v>0</v>
          </cell>
          <cell r="Q100">
            <v>0</v>
          </cell>
        </row>
        <row r="101">
          <cell r="B101" t="str">
            <v>MAR 2016</v>
          </cell>
          <cell r="C101" t="str">
            <v>KURSE010</v>
          </cell>
          <cell r="D101">
            <v>430997</v>
          </cell>
          <cell r="E101">
            <v>0</v>
          </cell>
          <cell r="F101">
            <v>0</v>
          </cell>
          <cell r="G101">
            <v>0</v>
          </cell>
          <cell r="H101">
            <v>556774760</v>
          </cell>
          <cell r="I101">
            <v>0</v>
          </cell>
          <cell r="J101">
            <v>0</v>
          </cell>
          <cell r="K101">
            <v>0</v>
          </cell>
          <cell r="O101">
            <v>0</v>
          </cell>
          <cell r="P101">
            <v>0</v>
          </cell>
          <cell r="Q101">
            <v>0</v>
          </cell>
        </row>
        <row r="102">
          <cell r="B102" t="str">
            <v>MAR 2016</v>
          </cell>
          <cell r="C102" t="str">
            <v>KURSE020</v>
          </cell>
          <cell r="D102">
            <v>0</v>
          </cell>
          <cell r="E102">
            <v>0</v>
          </cell>
          <cell r="F102">
            <v>0</v>
          </cell>
          <cell r="G102">
            <v>0</v>
          </cell>
          <cell r="H102">
            <v>0</v>
          </cell>
          <cell r="I102">
            <v>0</v>
          </cell>
          <cell r="J102">
            <v>0</v>
          </cell>
          <cell r="K102">
            <v>0</v>
          </cell>
          <cell r="O102">
            <v>0</v>
          </cell>
          <cell r="P102">
            <v>0</v>
          </cell>
          <cell r="Q102">
            <v>0</v>
          </cell>
        </row>
        <row r="103">
          <cell r="B103" t="str">
            <v>MAR 2016</v>
          </cell>
          <cell r="C103" t="str">
            <v>KURSE025</v>
          </cell>
          <cell r="D103">
            <v>0</v>
          </cell>
          <cell r="E103">
            <v>0</v>
          </cell>
          <cell r="F103">
            <v>0</v>
          </cell>
          <cell r="G103">
            <v>0</v>
          </cell>
          <cell r="H103">
            <v>0</v>
          </cell>
          <cell r="I103">
            <v>0</v>
          </cell>
          <cell r="J103">
            <v>0</v>
          </cell>
          <cell r="K103">
            <v>0</v>
          </cell>
          <cell r="O103">
            <v>0</v>
          </cell>
          <cell r="P103">
            <v>0</v>
          </cell>
          <cell r="Q103">
            <v>0</v>
          </cell>
        </row>
        <row r="104">
          <cell r="B104" t="str">
            <v>MAR 2016</v>
          </cell>
          <cell r="C104" t="str">
            <v>KURSE080</v>
          </cell>
          <cell r="D104">
            <v>0</v>
          </cell>
          <cell r="E104">
            <v>0</v>
          </cell>
          <cell r="F104">
            <v>0</v>
          </cell>
          <cell r="G104">
            <v>0</v>
          </cell>
          <cell r="H104">
            <v>0</v>
          </cell>
          <cell r="I104">
            <v>0</v>
          </cell>
          <cell r="J104">
            <v>0</v>
          </cell>
          <cell r="K104">
            <v>0</v>
          </cell>
          <cell r="O104">
            <v>0</v>
          </cell>
          <cell r="P104">
            <v>0</v>
          </cell>
          <cell r="Q104">
            <v>0</v>
          </cell>
        </row>
        <row r="105">
          <cell r="B105" t="str">
            <v>MAR 2016</v>
          </cell>
          <cell r="C105" t="str">
            <v>KURSE715</v>
          </cell>
          <cell r="D105">
            <v>0</v>
          </cell>
          <cell r="E105">
            <v>0</v>
          </cell>
          <cell r="F105">
            <v>0</v>
          </cell>
          <cell r="G105">
            <v>0</v>
          </cell>
          <cell r="H105">
            <v>0</v>
          </cell>
          <cell r="I105">
            <v>0</v>
          </cell>
          <cell r="J105">
            <v>0</v>
          </cell>
          <cell r="K105">
            <v>0</v>
          </cell>
          <cell r="O105">
            <v>0</v>
          </cell>
          <cell r="P105">
            <v>0</v>
          </cell>
          <cell r="Q105">
            <v>0</v>
          </cell>
        </row>
        <row r="106">
          <cell r="B106" t="str">
            <v>MAR 2016</v>
          </cell>
          <cell r="C106" t="str">
            <v>KTRSE020</v>
          </cell>
          <cell r="D106">
            <v>0</v>
          </cell>
          <cell r="E106">
            <v>0</v>
          </cell>
          <cell r="F106">
            <v>0</v>
          </cell>
          <cell r="G106">
            <v>0</v>
          </cell>
          <cell r="H106">
            <v>0</v>
          </cell>
          <cell r="I106">
            <v>0</v>
          </cell>
          <cell r="J106">
            <v>0</v>
          </cell>
          <cell r="K106">
            <v>0</v>
          </cell>
          <cell r="O106">
            <v>0</v>
          </cell>
          <cell r="P106">
            <v>0</v>
          </cell>
          <cell r="Q106">
            <v>0</v>
          </cell>
        </row>
        <row r="107">
          <cell r="B107" t="str">
            <v>MAR 2016</v>
          </cell>
          <cell r="C107" t="str">
            <v>KTRSE030</v>
          </cell>
          <cell r="D107">
            <v>0</v>
          </cell>
          <cell r="E107">
            <v>0</v>
          </cell>
          <cell r="F107">
            <v>0</v>
          </cell>
          <cell r="G107">
            <v>0</v>
          </cell>
          <cell r="H107">
            <v>0</v>
          </cell>
          <cell r="I107">
            <v>0</v>
          </cell>
          <cell r="J107">
            <v>0</v>
          </cell>
          <cell r="K107">
            <v>0</v>
          </cell>
          <cell r="O107">
            <v>0</v>
          </cell>
          <cell r="P107">
            <v>0</v>
          </cell>
          <cell r="Q107">
            <v>0</v>
          </cell>
        </row>
        <row r="108">
          <cell r="B108" t="str">
            <v>MAR 2016</v>
          </cell>
          <cell r="C108" t="str">
            <v>KUCME710</v>
          </cell>
          <cell r="D108">
            <v>0</v>
          </cell>
          <cell r="E108">
            <v>0</v>
          </cell>
          <cell r="F108">
            <v>0</v>
          </cell>
          <cell r="G108">
            <v>0</v>
          </cell>
          <cell r="H108">
            <v>0</v>
          </cell>
          <cell r="I108">
            <v>0</v>
          </cell>
          <cell r="J108">
            <v>0</v>
          </cell>
          <cell r="K108">
            <v>0</v>
          </cell>
          <cell r="O108">
            <v>0</v>
          </cell>
          <cell r="P108">
            <v>0</v>
          </cell>
          <cell r="Q108">
            <v>0</v>
          </cell>
        </row>
        <row r="109">
          <cell r="B109" t="str">
            <v>MAR 2016</v>
          </cell>
          <cell r="C109" t="str">
            <v>KUINE730</v>
          </cell>
          <cell r="D109">
            <v>1</v>
          </cell>
          <cell r="E109">
            <v>0</v>
          </cell>
          <cell r="F109">
            <v>0</v>
          </cell>
          <cell r="G109">
            <v>0</v>
          </cell>
          <cell r="H109">
            <v>48339184</v>
          </cell>
          <cell r="I109">
            <v>0</v>
          </cell>
          <cell r="J109">
            <v>0</v>
          </cell>
          <cell r="K109">
            <v>0</v>
          </cell>
          <cell r="O109">
            <v>185158</v>
          </cell>
          <cell r="P109">
            <v>185158</v>
          </cell>
          <cell r="Q109">
            <v>101388</v>
          </cell>
        </row>
        <row r="110">
          <cell r="B110" t="str">
            <v>MAR 2016</v>
          </cell>
          <cell r="C110" t="str">
            <v>KUCME290</v>
          </cell>
          <cell r="D110">
            <v>2</v>
          </cell>
          <cell r="E110">
            <v>0</v>
          </cell>
          <cell r="F110">
            <v>0</v>
          </cell>
          <cell r="G110">
            <v>0</v>
          </cell>
          <cell r="H110">
            <v>12796</v>
          </cell>
          <cell r="I110">
            <v>0</v>
          </cell>
          <cell r="J110">
            <v>0</v>
          </cell>
          <cell r="K110">
            <v>0</v>
          </cell>
          <cell r="O110">
            <v>0</v>
          </cell>
          <cell r="P110">
            <v>0</v>
          </cell>
          <cell r="Q110">
            <v>0</v>
          </cell>
        </row>
        <row r="111">
          <cell r="B111" t="str">
            <v>MAR 2016</v>
          </cell>
          <cell r="C111" t="str">
            <v>KUCME291</v>
          </cell>
          <cell r="D111">
            <v>0</v>
          </cell>
          <cell r="E111">
            <v>0</v>
          </cell>
          <cell r="F111">
            <v>0</v>
          </cell>
          <cell r="G111">
            <v>0</v>
          </cell>
          <cell r="H111">
            <v>0</v>
          </cell>
          <cell r="I111">
            <v>0</v>
          </cell>
          <cell r="J111">
            <v>0</v>
          </cell>
          <cell r="K111">
            <v>0</v>
          </cell>
          <cell r="O111">
            <v>0</v>
          </cell>
          <cell r="P111">
            <v>0</v>
          </cell>
          <cell r="Q111">
            <v>0</v>
          </cell>
        </row>
        <row r="112">
          <cell r="B112" t="str">
            <v>MAR 2016</v>
          </cell>
          <cell r="C112" t="str">
            <v>KUCME295</v>
          </cell>
          <cell r="D112">
            <v>747</v>
          </cell>
          <cell r="E112">
            <v>0</v>
          </cell>
          <cell r="F112">
            <v>0</v>
          </cell>
          <cell r="G112">
            <v>0</v>
          </cell>
          <cell r="H112">
            <v>104309</v>
          </cell>
          <cell r="I112">
            <v>0</v>
          </cell>
          <cell r="J112">
            <v>0</v>
          </cell>
          <cell r="K112">
            <v>0</v>
          </cell>
          <cell r="O112">
            <v>0</v>
          </cell>
          <cell r="P112">
            <v>0</v>
          </cell>
          <cell r="Q112">
            <v>0</v>
          </cell>
        </row>
        <row r="113">
          <cell r="B113" t="str">
            <v>MAR 2016</v>
          </cell>
          <cell r="C113" t="str">
            <v>KUCSR760</v>
          </cell>
          <cell r="D113">
            <v>0</v>
          </cell>
          <cell r="E113">
            <v>0</v>
          </cell>
          <cell r="F113">
            <v>0</v>
          </cell>
          <cell r="G113">
            <v>0</v>
          </cell>
          <cell r="H113">
            <v>0</v>
          </cell>
          <cell r="I113">
            <v>0</v>
          </cell>
          <cell r="J113">
            <v>0</v>
          </cell>
          <cell r="K113">
            <v>0</v>
          </cell>
          <cell r="O113">
            <v>0</v>
          </cell>
          <cell r="P113">
            <v>0</v>
          </cell>
          <cell r="Q113">
            <v>0</v>
          </cell>
        </row>
        <row r="114">
          <cell r="B114" t="str">
            <v>MAR 2016</v>
          </cell>
          <cell r="C114" t="str">
            <v>KUCSR761</v>
          </cell>
          <cell r="D114">
            <v>0</v>
          </cell>
          <cell r="E114">
            <v>0</v>
          </cell>
          <cell r="F114">
            <v>0</v>
          </cell>
          <cell r="G114">
            <v>0</v>
          </cell>
          <cell r="H114">
            <v>0</v>
          </cell>
          <cell r="I114">
            <v>0</v>
          </cell>
          <cell r="J114">
            <v>0</v>
          </cell>
          <cell r="K114">
            <v>0</v>
          </cell>
          <cell r="O114">
            <v>0</v>
          </cell>
          <cell r="P114">
            <v>0</v>
          </cell>
          <cell r="Q114">
            <v>0</v>
          </cell>
        </row>
        <row r="115">
          <cell r="B115" t="str">
            <v>MAR 2016</v>
          </cell>
          <cell r="C115" t="str">
            <v>KUCSR781</v>
          </cell>
          <cell r="D115">
            <v>0</v>
          </cell>
          <cell r="E115">
            <v>0</v>
          </cell>
          <cell r="F115">
            <v>0</v>
          </cell>
          <cell r="G115">
            <v>0</v>
          </cell>
          <cell r="H115">
            <v>0</v>
          </cell>
          <cell r="I115">
            <v>0</v>
          </cell>
          <cell r="J115">
            <v>0</v>
          </cell>
          <cell r="K115">
            <v>0</v>
          </cell>
          <cell r="O115">
            <v>0</v>
          </cell>
          <cell r="P115">
            <v>0</v>
          </cell>
          <cell r="Q115">
            <v>0</v>
          </cell>
        </row>
        <row r="116">
          <cell r="B116" t="str">
            <v>MAR 2016</v>
          </cell>
          <cell r="C116" t="str">
            <v>KUCSR783</v>
          </cell>
          <cell r="D116">
            <v>0</v>
          </cell>
          <cell r="E116">
            <v>0</v>
          </cell>
          <cell r="F116">
            <v>0</v>
          </cell>
          <cell r="G116">
            <v>0</v>
          </cell>
          <cell r="H116">
            <v>0</v>
          </cell>
          <cell r="I116">
            <v>0</v>
          </cell>
          <cell r="J116">
            <v>0</v>
          </cell>
          <cell r="K116">
            <v>0</v>
          </cell>
          <cell r="O116">
            <v>0</v>
          </cell>
          <cell r="P116">
            <v>0</v>
          </cell>
          <cell r="Q116">
            <v>0</v>
          </cell>
        </row>
        <row r="117">
          <cell r="B117" t="str">
            <v>MAR 2016</v>
          </cell>
          <cell r="C117" t="str">
            <v>KUCME713</v>
          </cell>
          <cell r="D117">
            <v>0</v>
          </cell>
          <cell r="E117">
            <v>0</v>
          </cell>
          <cell r="F117">
            <v>0</v>
          </cell>
          <cell r="G117">
            <v>0</v>
          </cell>
          <cell r="H117">
            <v>0</v>
          </cell>
          <cell r="I117">
            <v>0</v>
          </cell>
          <cell r="J117">
            <v>0</v>
          </cell>
          <cell r="K117">
            <v>0</v>
          </cell>
          <cell r="O117">
            <v>0</v>
          </cell>
          <cell r="P117">
            <v>0</v>
          </cell>
          <cell r="Q117">
            <v>0</v>
          </cell>
        </row>
        <row r="118">
          <cell r="B118" t="str">
            <v>MAR 2016</v>
          </cell>
          <cell r="C118" t="str">
            <v>KUCIE717</v>
          </cell>
          <cell r="D118">
            <v>0</v>
          </cell>
          <cell r="E118">
            <v>0</v>
          </cell>
          <cell r="F118">
            <v>0</v>
          </cell>
          <cell r="G118">
            <v>0</v>
          </cell>
          <cell r="H118">
            <v>0</v>
          </cell>
          <cell r="I118">
            <v>0</v>
          </cell>
          <cell r="J118">
            <v>0</v>
          </cell>
          <cell r="K118">
            <v>0</v>
          </cell>
          <cell r="O118">
            <v>0</v>
          </cell>
          <cell r="P118">
            <v>0</v>
          </cell>
          <cell r="Q118">
            <v>0</v>
          </cell>
        </row>
        <row r="119">
          <cell r="B119" t="str">
            <v>MAR 2016</v>
          </cell>
          <cell r="C119" t="str">
            <v>KUCME223</v>
          </cell>
          <cell r="D119">
            <v>0</v>
          </cell>
          <cell r="E119">
            <v>0</v>
          </cell>
          <cell r="F119">
            <v>0</v>
          </cell>
          <cell r="G119">
            <v>0</v>
          </cell>
          <cell r="H119">
            <v>0</v>
          </cell>
          <cell r="I119">
            <v>0</v>
          </cell>
          <cell r="J119">
            <v>0</v>
          </cell>
          <cell r="K119">
            <v>0</v>
          </cell>
          <cell r="O119">
            <v>0</v>
          </cell>
          <cell r="P119">
            <v>0</v>
          </cell>
          <cell r="Q119">
            <v>0</v>
          </cell>
        </row>
        <row r="120">
          <cell r="B120" t="str">
            <v>MAR 2016</v>
          </cell>
          <cell r="C120" t="str">
            <v>KURSE040</v>
          </cell>
          <cell r="D120">
            <v>7</v>
          </cell>
          <cell r="E120">
            <v>3962</v>
          </cell>
          <cell r="F120">
            <v>1210</v>
          </cell>
          <cell r="G120">
            <v>703</v>
          </cell>
          <cell r="H120">
            <v>5875</v>
          </cell>
          <cell r="I120">
            <v>0</v>
          </cell>
          <cell r="J120">
            <v>0</v>
          </cell>
          <cell r="K120">
            <v>0</v>
          </cell>
          <cell r="O120">
            <v>0</v>
          </cell>
          <cell r="P120">
            <v>0</v>
          </cell>
          <cell r="Q120">
            <v>0</v>
          </cell>
        </row>
        <row r="121">
          <cell r="B121" t="str">
            <v>MAR 2016</v>
          </cell>
          <cell r="C121" t="str">
            <v>KUCME221</v>
          </cell>
          <cell r="D121">
            <v>0</v>
          </cell>
          <cell r="E121">
            <v>0</v>
          </cell>
          <cell r="F121">
            <v>0</v>
          </cell>
          <cell r="G121">
            <v>0</v>
          </cell>
          <cell r="H121">
            <v>0</v>
          </cell>
          <cell r="I121">
            <v>0</v>
          </cell>
          <cell r="J121">
            <v>0</v>
          </cell>
          <cell r="K121">
            <v>0</v>
          </cell>
          <cell r="O121">
            <v>0</v>
          </cell>
          <cell r="P121">
            <v>0</v>
          </cell>
          <cell r="Q121">
            <v>0</v>
          </cell>
        </row>
        <row r="122">
          <cell r="B122" t="str">
            <v>MAR 2016</v>
          </cell>
          <cell r="C122" t="str">
            <v>KUCME224</v>
          </cell>
          <cell r="D122">
            <v>257</v>
          </cell>
          <cell r="E122">
            <v>0</v>
          </cell>
          <cell r="F122">
            <v>0</v>
          </cell>
          <cell r="G122">
            <v>0</v>
          </cell>
          <cell r="H122">
            <v>12757916</v>
          </cell>
          <cell r="I122">
            <v>0</v>
          </cell>
          <cell r="J122">
            <v>0</v>
          </cell>
          <cell r="K122">
            <v>0</v>
          </cell>
          <cell r="O122">
            <v>54529</v>
          </cell>
          <cell r="P122">
            <v>0</v>
          </cell>
          <cell r="Q122">
            <v>0</v>
          </cell>
        </row>
        <row r="123">
          <cell r="B123" t="str">
            <v>MAR 2016</v>
          </cell>
          <cell r="C123" t="str">
            <v>KUCME297</v>
          </cell>
          <cell r="D123">
            <v>0</v>
          </cell>
          <cell r="E123">
            <v>0</v>
          </cell>
          <cell r="F123">
            <v>0</v>
          </cell>
          <cell r="G123">
            <v>0</v>
          </cell>
          <cell r="H123">
            <v>0</v>
          </cell>
          <cell r="I123">
            <v>0</v>
          </cell>
          <cell r="J123">
            <v>0</v>
          </cell>
          <cell r="K123">
            <v>0</v>
          </cell>
          <cell r="O123">
            <v>0</v>
          </cell>
          <cell r="P123">
            <v>0</v>
          </cell>
          <cell r="Q123">
            <v>0</v>
          </cell>
        </row>
        <row r="124">
          <cell r="B124" t="str">
            <v>MAR 2016</v>
          </cell>
          <cell r="C124" t="str">
            <v>KUCME225</v>
          </cell>
          <cell r="D124">
            <v>0</v>
          </cell>
          <cell r="E124">
            <v>0</v>
          </cell>
          <cell r="F124">
            <v>0</v>
          </cell>
          <cell r="G124">
            <v>0</v>
          </cell>
          <cell r="H124">
            <v>0</v>
          </cell>
          <cell r="I124">
            <v>0</v>
          </cell>
          <cell r="J124">
            <v>0</v>
          </cell>
          <cell r="K124">
            <v>0</v>
          </cell>
          <cell r="O124">
            <v>0</v>
          </cell>
          <cell r="P124">
            <v>0</v>
          </cell>
          <cell r="Q124">
            <v>0</v>
          </cell>
        </row>
        <row r="125">
          <cell r="B125" t="str">
            <v>MAR 2016</v>
          </cell>
          <cell r="C125" t="str">
            <v>KUCME226</v>
          </cell>
          <cell r="D125">
            <v>0</v>
          </cell>
          <cell r="E125">
            <v>0</v>
          </cell>
          <cell r="F125">
            <v>0</v>
          </cell>
          <cell r="G125">
            <v>0</v>
          </cell>
          <cell r="H125">
            <v>0</v>
          </cell>
          <cell r="I125">
            <v>0</v>
          </cell>
          <cell r="J125">
            <v>0</v>
          </cell>
          <cell r="K125">
            <v>0</v>
          </cell>
          <cell r="O125">
            <v>0</v>
          </cell>
          <cell r="P125">
            <v>0</v>
          </cell>
          <cell r="Q125">
            <v>0</v>
          </cell>
        </row>
        <row r="126">
          <cell r="B126" t="str">
            <v>MAR 2016</v>
          </cell>
          <cell r="C126" t="str">
            <v>KUCME227</v>
          </cell>
          <cell r="D126">
            <v>0</v>
          </cell>
          <cell r="E126">
            <v>0</v>
          </cell>
          <cell r="F126">
            <v>0</v>
          </cell>
          <cell r="G126">
            <v>0</v>
          </cell>
          <cell r="H126">
            <v>0</v>
          </cell>
          <cell r="I126">
            <v>0</v>
          </cell>
          <cell r="J126">
            <v>0</v>
          </cell>
          <cell r="K126">
            <v>0</v>
          </cell>
          <cell r="O126">
            <v>0</v>
          </cell>
          <cell r="P126">
            <v>0</v>
          </cell>
          <cell r="Q126">
            <v>0</v>
          </cell>
        </row>
        <row r="127">
          <cell r="B127" t="str">
            <v>MAR 2016</v>
          </cell>
          <cell r="C127" t="str">
            <v>Result</v>
          </cell>
        </row>
        <row r="128">
          <cell r="D128" t="str">
            <v xml:space="preserve"> # Billed  Contracts</v>
          </cell>
          <cell r="E128" t="str">
            <v xml:space="preserve"> KWH   P1</v>
          </cell>
          <cell r="F128" t="str">
            <v xml:space="preserve"> KWH   P2</v>
          </cell>
          <cell r="G128" t="str">
            <v xml:space="preserve"> KWH   P3</v>
          </cell>
          <cell r="H128" t="str">
            <v xml:space="preserve"> Total  KWH</v>
          </cell>
          <cell r="I128" t="str">
            <v>KW/KVA Base Qty</v>
          </cell>
          <cell r="J128" t="str">
            <v>KW/KVA Int Qty</v>
          </cell>
          <cell r="K128" t="str">
            <v>KW/KVA Peak Qty</v>
          </cell>
          <cell r="O128" t="str">
            <v>KW/KVA Base Measured</v>
          </cell>
          <cell r="P128" t="str">
            <v>KW/KVA Intermed Measured</v>
          </cell>
          <cell r="Q128" t="str">
            <v>KW/KVA Peak Measured</v>
          </cell>
        </row>
        <row r="129">
          <cell r="B129" t="str">
            <v>Revenue Period</v>
          </cell>
          <cell r="C129" t="str">
            <v>Rate Category</v>
          </cell>
          <cell r="E129" t="str">
            <v>KWH</v>
          </cell>
          <cell r="F129" t="str">
            <v>KWH</v>
          </cell>
          <cell r="G129" t="str">
            <v>KWH</v>
          </cell>
          <cell r="H129" t="str">
            <v>KWH</v>
          </cell>
        </row>
        <row r="130">
          <cell r="B130" t="str">
            <v>APR 2016</v>
          </cell>
          <cell r="C130" t="str">
            <v>KUCIE550</v>
          </cell>
          <cell r="D130">
            <v>32</v>
          </cell>
          <cell r="E130">
            <v>0</v>
          </cell>
          <cell r="F130">
            <v>0</v>
          </cell>
          <cell r="G130">
            <v>0</v>
          </cell>
          <cell r="H130">
            <v>125338353</v>
          </cell>
          <cell r="I130">
            <v>0</v>
          </cell>
          <cell r="J130">
            <v>0</v>
          </cell>
          <cell r="K130">
            <v>0</v>
          </cell>
          <cell r="O130">
            <v>306602</v>
          </cell>
          <cell r="P130">
            <v>296919</v>
          </cell>
          <cell r="Q130">
            <v>283381</v>
          </cell>
        </row>
        <row r="131">
          <cell r="B131" t="str">
            <v>APR 2016</v>
          </cell>
          <cell r="C131" t="str">
            <v>KUCIE561</v>
          </cell>
          <cell r="D131">
            <v>195</v>
          </cell>
          <cell r="E131">
            <v>0</v>
          </cell>
          <cell r="F131">
            <v>0</v>
          </cell>
          <cell r="G131">
            <v>0</v>
          </cell>
          <cell r="H131">
            <v>17125531</v>
          </cell>
          <cell r="I131">
            <v>0</v>
          </cell>
          <cell r="J131">
            <v>0</v>
          </cell>
          <cell r="K131">
            <v>0</v>
          </cell>
          <cell r="O131">
            <v>0</v>
          </cell>
          <cell r="P131">
            <v>55075</v>
          </cell>
          <cell r="Q131">
            <v>0</v>
          </cell>
        </row>
        <row r="132">
          <cell r="B132" t="str">
            <v>APR 2016</v>
          </cell>
          <cell r="C132" t="str">
            <v>KUCIE562</v>
          </cell>
          <cell r="D132">
            <v>4620</v>
          </cell>
          <cell r="E132">
            <v>0</v>
          </cell>
          <cell r="F132">
            <v>0</v>
          </cell>
          <cell r="G132">
            <v>0</v>
          </cell>
          <cell r="H132">
            <v>148653381</v>
          </cell>
          <cell r="I132">
            <v>0</v>
          </cell>
          <cell r="J132">
            <v>0</v>
          </cell>
          <cell r="K132">
            <v>0</v>
          </cell>
          <cell r="O132">
            <v>0</v>
          </cell>
          <cell r="P132">
            <v>527559</v>
          </cell>
          <cell r="Q132">
            <v>0</v>
          </cell>
        </row>
        <row r="133">
          <cell r="B133" t="str">
            <v>APR 2016</v>
          </cell>
          <cell r="C133" t="str">
            <v>KUCIE563</v>
          </cell>
          <cell r="D133">
            <v>52</v>
          </cell>
          <cell r="E133">
            <v>0</v>
          </cell>
          <cell r="F133">
            <v>0</v>
          </cell>
          <cell r="G133">
            <v>0</v>
          </cell>
          <cell r="H133">
            <v>226428621</v>
          </cell>
          <cell r="I133">
            <v>0</v>
          </cell>
          <cell r="J133">
            <v>0</v>
          </cell>
          <cell r="K133">
            <v>0</v>
          </cell>
          <cell r="O133">
            <v>512309</v>
          </cell>
          <cell r="P133">
            <v>488087</v>
          </cell>
          <cell r="Q133">
            <v>484789</v>
          </cell>
        </row>
        <row r="134">
          <cell r="B134" t="str">
            <v>APR 2016</v>
          </cell>
          <cell r="C134" t="str">
            <v>KUCIE566</v>
          </cell>
          <cell r="D134">
            <v>0</v>
          </cell>
          <cell r="E134">
            <v>0</v>
          </cell>
          <cell r="F134">
            <v>0</v>
          </cell>
          <cell r="G134">
            <v>0</v>
          </cell>
          <cell r="H134">
            <v>0</v>
          </cell>
          <cell r="I134">
            <v>0</v>
          </cell>
          <cell r="J134">
            <v>0</v>
          </cell>
          <cell r="K134">
            <v>0</v>
          </cell>
          <cell r="O134">
            <v>0</v>
          </cell>
          <cell r="P134">
            <v>0</v>
          </cell>
          <cell r="Q134">
            <v>0</v>
          </cell>
        </row>
        <row r="135">
          <cell r="B135" t="str">
            <v>APR 2016</v>
          </cell>
          <cell r="C135" t="str">
            <v>KUCIE568</v>
          </cell>
          <cell r="D135">
            <v>0</v>
          </cell>
          <cell r="E135">
            <v>0</v>
          </cell>
          <cell r="F135">
            <v>0</v>
          </cell>
          <cell r="G135">
            <v>0</v>
          </cell>
          <cell r="H135">
            <v>0</v>
          </cell>
          <cell r="I135">
            <v>0</v>
          </cell>
          <cell r="J135">
            <v>0</v>
          </cell>
          <cell r="K135">
            <v>0</v>
          </cell>
          <cell r="O135">
            <v>0</v>
          </cell>
          <cell r="P135">
            <v>0</v>
          </cell>
          <cell r="Q135">
            <v>0</v>
          </cell>
        </row>
        <row r="136">
          <cell r="B136" t="str">
            <v>APR 2016</v>
          </cell>
          <cell r="C136" t="str">
            <v>KUCIE571</v>
          </cell>
          <cell r="D136">
            <v>208</v>
          </cell>
          <cell r="E136">
            <v>0</v>
          </cell>
          <cell r="F136">
            <v>0</v>
          </cell>
          <cell r="G136">
            <v>0</v>
          </cell>
          <cell r="H136">
            <v>95454013</v>
          </cell>
          <cell r="I136">
            <v>0</v>
          </cell>
          <cell r="J136">
            <v>0</v>
          </cell>
          <cell r="K136">
            <v>0</v>
          </cell>
          <cell r="O136">
            <v>278232</v>
          </cell>
          <cell r="P136">
            <v>266025</v>
          </cell>
          <cell r="Q136">
            <v>260651</v>
          </cell>
        </row>
        <row r="137">
          <cell r="B137" t="str">
            <v>APR 2016</v>
          </cell>
          <cell r="C137" t="str">
            <v>KUCIE572</v>
          </cell>
          <cell r="D137">
            <v>470</v>
          </cell>
          <cell r="E137">
            <v>0</v>
          </cell>
          <cell r="F137">
            <v>0</v>
          </cell>
          <cell r="G137">
            <v>0</v>
          </cell>
          <cell r="H137">
            <v>117607497</v>
          </cell>
          <cell r="I137">
            <v>0</v>
          </cell>
          <cell r="J137">
            <v>0</v>
          </cell>
          <cell r="K137">
            <v>0</v>
          </cell>
          <cell r="O137">
            <v>308834</v>
          </cell>
          <cell r="P137">
            <v>281287</v>
          </cell>
          <cell r="Q137">
            <v>274986</v>
          </cell>
        </row>
        <row r="138">
          <cell r="B138" t="str">
            <v>APR 2016</v>
          </cell>
          <cell r="C138" t="str">
            <v>KUCME110</v>
          </cell>
          <cell r="D138">
            <v>63560</v>
          </cell>
          <cell r="E138">
            <v>0</v>
          </cell>
          <cell r="F138">
            <v>0</v>
          </cell>
          <cell r="G138">
            <v>0</v>
          </cell>
          <cell r="H138">
            <v>53952631</v>
          </cell>
          <cell r="I138">
            <v>0</v>
          </cell>
          <cell r="J138">
            <v>0</v>
          </cell>
          <cell r="K138">
            <v>0</v>
          </cell>
          <cell r="O138">
            <v>0</v>
          </cell>
          <cell r="P138">
            <v>0</v>
          </cell>
          <cell r="Q138">
            <v>0</v>
          </cell>
        </row>
        <row r="139">
          <cell r="B139" t="str">
            <v>APR 2016</v>
          </cell>
          <cell r="C139" t="str">
            <v>KUCME112</v>
          </cell>
          <cell r="D139">
            <v>0</v>
          </cell>
          <cell r="E139">
            <v>0</v>
          </cell>
          <cell r="F139">
            <v>0</v>
          </cell>
          <cell r="G139">
            <v>0</v>
          </cell>
          <cell r="H139">
            <v>0</v>
          </cell>
          <cell r="I139">
            <v>0</v>
          </cell>
          <cell r="J139">
            <v>0</v>
          </cell>
          <cell r="K139">
            <v>0</v>
          </cell>
          <cell r="O139">
            <v>0</v>
          </cell>
          <cell r="P139">
            <v>0</v>
          </cell>
          <cell r="Q139">
            <v>0</v>
          </cell>
        </row>
        <row r="140">
          <cell r="B140" t="str">
            <v>APR 2016</v>
          </cell>
          <cell r="C140" t="str">
            <v>KUCME113</v>
          </cell>
          <cell r="D140">
            <v>18580</v>
          </cell>
          <cell r="E140">
            <v>0</v>
          </cell>
          <cell r="F140">
            <v>0</v>
          </cell>
          <cell r="G140">
            <v>0</v>
          </cell>
          <cell r="H140">
            <v>78553027</v>
          </cell>
          <cell r="I140">
            <v>0</v>
          </cell>
          <cell r="J140">
            <v>0</v>
          </cell>
          <cell r="K140">
            <v>0</v>
          </cell>
          <cell r="O140">
            <v>371834</v>
          </cell>
          <cell r="P140">
            <v>0</v>
          </cell>
          <cell r="Q140">
            <v>0</v>
          </cell>
        </row>
        <row r="141">
          <cell r="B141" t="str">
            <v>APR 2016</v>
          </cell>
          <cell r="C141" t="str">
            <v>KUCME220</v>
          </cell>
          <cell r="D141">
            <v>359</v>
          </cell>
          <cell r="E141">
            <v>0</v>
          </cell>
          <cell r="F141">
            <v>0</v>
          </cell>
          <cell r="G141">
            <v>0</v>
          </cell>
          <cell r="H141">
            <v>567977</v>
          </cell>
          <cell r="I141">
            <v>0</v>
          </cell>
          <cell r="J141">
            <v>0</v>
          </cell>
          <cell r="K141">
            <v>0</v>
          </cell>
          <cell r="O141">
            <v>0</v>
          </cell>
          <cell r="P141">
            <v>0</v>
          </cell>
          <cell r="Q141">
            <v>0</v>
          </cell>
        </row>
        <row r="142">
          <cell r="B142" t="str">
            <v>APR 2016</v>
          </cell>
          <cell r="C142" t="str">
            <v>KURSE010</v>
          </cell>
          <cell r="D142">
            <v>431179</v>
          </cell>
          <cell r="E142">
            <v>0</v>
          </cell>
          <cell r="F142">
            <v>0</v>
          </cell>
          <cell r="G142">
            <v>0</v>
          </cell>
          <cell r="H142">
            <v>411408947</v>
          </cell>
          <cell r="I142">
            <v>0</v>
          </cell>
          <cell r="J142">
            <v>0</v>
          </cell>
          <cell r="K142">
            <v>0</v>
          </cell>
          <cell r="O142">
            <v>0</v>
          </cell>
          <cell r="P142">
            <v>0</v>
          </cell>
          <cell r="Q142">
            <v>0</v>
          </cell>
        </row>
        <row r="143">
          <cell r="B143" t="str">
            <v>APR 2016</v>
          </cell>
          <cell r="C143" t="str">
            <v>KURSE020</v>
          </cell>
          <cell r="D143">
            <v>0</v>
          </cell>
          <cell r="E143">
            <v>0</v>
          </cell>
          <cell r="F143">
            <v>0</v>
          </cell>
          <cell r="G143">
            <v>0</v>
          </cell>
          <cell r="H143">
            <v>0</v>
          </cell>
          <cell r="I143">
            <v>0</v>
          </cell>
          <cell r="J143">
            <v>0</v>
          </cell>
          <cell r="K143">
            <v>0</v>
          </cell>
          <cell r="O143">
            <v>0</v>
          </cell>
          <cell r="P143">
            <v>0</v>
          </cell>
          <cell r="Q143">
            <v>0</v>
          </cell>
        </row>
        <row r="144">
          <cell r="B144" t="str">
            <v>APR 2016</v>
          </cell>
          <cell r="C144" t="str">
            <v>KURSE025</v>
          </cell>
          <cell r="D144">
            <v>0</v>
          </cell>
          <cell r="E144">
            <v>0</v>
          </cell>
          <cell r="F144">
            <v>0</v>
          </cell>
          <cell r="G144">
            <v>0</v>
          </cell>
          <cell r="H144">
            <v>0</v>
          </cell>
          <cell r="I144">
            <v>0</v>
          </cell>
          <cell r="J144">
            <v>0</v>
          </cell>
          <cell r="K144">
            <v>0</v>
          </cell>
          <cell r="O144">
            <v>0</v>
          </cell>
          <cell r="P144">
            <v>0</v>
          </cell>
          <cell r="Q144">
            <v>0</v>
          </cell>
        </row>
        <row r="145">
          <cell r="B145" t="str">
            <v>APR 2016</v>
          </cell>
          <cell r="C145" t="str">
            <v>KURSE080</v>
          </cell>
          <cell r="D145">
            <v>0</v>
          </cell>
          <cell r="E145">
            <v>0</v>
          </cell>
          <cell r="F145">
            <v>0</v>
          </cell>
          <cell r="G145">
            <v>0</v>
          </cell>
          <cell r="H145">
            <v>0</v>
          </cell>
          <cell r="I145">
            <v>0</v>
          </cell>
          <cell r="J145">
            <v>0</v>
          </cell>
          <cell r="K145">
            <v>0</v>
          </cell>
          <cell r="O145">
            <v>0</v>
          </cell>
          <cell r="P145">
            <v>0</v>
          </cell>
          <cell r="Q145">
            <v>0</v>
          </cell>
        </row>
        <row r="146">
          <cell r="B146" t="str">
            <v>APR 2016</v>
          </cell>
          <cell r="C146" t="str">
            <v>KURSE715</v>
          </cell>
          <cell r="D146">
            <v>0</v>
          </cell>
          <cell r="E146">
            <v>0</v>
          </cell>
          <cell r="F146">
            <v>0</v>
          </cell>
          <cell r="G146">
            <v>0</v>
          </cell>
          <cell r="H146">
            <v>0</v>
          </cell>
          <cell r="I146">
            <v>0</v>
          </cell>
          <cell r="J146">
            <v>0</v>
          </cell>
          <cell r="K146">
            <v>0</v>
          </cell>
          <cell r="O146">
            <v>0</v>
          </cell>
          <cell r="P146">
            <v>0</v>
          </cell>
          <cell r="Q146">
            <v>0</v>
          </cell>
        </row>
        <row r="147">
          <cell r="B147" t="str">
            <v>APR 2016</v>
          </cell>
          <cell r="C147" t="str">
            <v>KTRSE020</v>
          </cell>
          <cell r="D147">
            <v>0</v>
          </cell>
          <cell r="E147">
            <v>0</v>
          </cell>
          <cell r="F147">
            <v>0</v>
          </cell>
          <cell r="G147">
            <v>0</v>
          </cell>
          <cell r="H147">
            <v>0</v>
          </cell>
          <cell r="I147">
            <v>0</v>
          </cell>
          <cell r="J147">
            <v>0</v>
          </cell>
          <cell r="K147">
            <v>0</v>
          </cell>
          <cell r="O147">
            <v>0</v>
          </cell>
          <cell r="P147">
            <v>0</v>
          </cell>
          <cell r="Q147">
            <v>0</v>
          </cell>
        </row>
        <row r="148">
          <cell r="B148" t="str">
            <v>APR 2016</v>
          </cell>
          <cell r="C148" t="str">
            <v>KTRSE030</v>
          </cell>
          <cell r="D148">
            <v>0</v>
          </cell>
          <cell r="E148">
            <v>0</v>
          </cell>
          <cell r="F148">
            <v>0</v>
          </cell>
          <cell r="G148">
            <v>0</v>
          </cell>
          <cell r="H148">
            <v>0</v>
          </cell>
          <cell r="I148">
            <v>0</v>
          </cell>
          <cell r="J148">
            <v>0</v>
          </cell>
          <cell r="K148">
            <v>0</v>
          </cell>
          <cell r="O148">
            <v>0</v>
          </cell>
          <cell r="P148">
            <v>0</v>
          </cell>
          <cell r="Q148">
            <v>0</v>
          </cell>
        </row>
        <row r="149">
          <cell r="B149" t="str">
            <v>APR 2016</v>
          </cell>
          <cell r="C149" t="str">
            <v>KUCME710</v>
          </cell>
          <cell r="D149">
            <v>0</v>
          </cell>
          <cell r="E149">
            <v>0</v>
          </cell>
          <cell r="F149">
            <v>0</v>
          </cell>
          <cell r="G149">
            <v>0</v>
          </cell>
          <cell r="H149">
            <v>0</v>
          </cell>
          <cell r="I149">
            <v>0</v>
          </cell>
          <cell r="J149">
            <v>0</v>
          </cell>
          <cell r="K149">
            <v>0</v>
          </cell>
          <cell r="O149">
            <v>0</v>
          </cell>
          <cell r="P149">
            <v>0</v>
          </cell>
          <cell r="Q149">
            <v>0</v>
          </cell>
        </row>
        <row r="150">
          <cell r="B150" t="str">
            <v>APR 2016</v>
          </cell>
          <cell r="C150" t="str">
            <v>KUINE730</v>
          </cell>
          <cell r="D150">
            <v>1</v>
          </cell>
          <cell r="E150">
            <v>0</v>
          </cell>
          <cell r="F150">
            <v>0</v>
          </cell>
          <cell r="G150">
            <v>0</v>
          </cell>
          <cell r="H150">
            <v>47968041</v>
          </cell>
          <cell r="I150">
            <v>0</v>
          </cell>
          <cell r="J150">
            <v>0</v>
          </cell>
          <cell r="K150">
            <v>0</v>
          </cell>
          <cell r="O150">
            <v>185158</v>
          </cell>
          <cell r="P150">
            <v>185158</v>
          </cell>
          <cell r="Q150">
            <v>101388</v>
          </cell>
        </row>
        <row r="151">
          <cell r="B151" t="str">
            <v>APR 2016</v>
          </cell>
          <cell r="C151" t="str">
            <v>KUCME290</v>
          </cell>
          <cell r="D151">
            <v>2</v>
          </cell>
          <cell r="E151">
            <v>0</v>
          </cell>
          <cell r="F151">
            <v>0</v>
          </cell>
          <cell r="G151">
            <v>0</v>
          </cell>
          <cell r="H151">
            <v>11211</v>
          </cell>
          <cell r="I151">
            <v>0</v>
          </cell>
          <cell r="J151">
            <v>0</v>
          </cell>
          <cell r="K151">
            <v>0</v>
          </cell>
          <cell r="O151">
            <v>0</v>
          </cell>
          <cell r="P151">
            <v>0</v>
          </cell>
          <cell r="Q151">
            <v>0</v>
          </cell>
        </row>
        <row r="152">
          <cell r="B152" t="str">
            <v>APR 2016</v>
          </cell>
          <cell r="C152" t="str">
            <v>KUCME291</v>
          </cell>
          <cell r="D152">
            <v>0</v>
          </cell>
          <cell r="E152">
            <v>0</v>
          </cell>
          <cell r="F152">
            <v>0</v>
          </cell>
          <cell r="G152">
            <v>0</v>
          </cell>
          <cell r="H152">
            <v>0</v>
          </cell>
          <cell r="I152">
            <v>0</v>
          </cell>
          <cell r="J152">
            <v>0</v>
          </cell>
          <cell r="K152">
            <v>0</v>
          </cell>
          <cell r="O152">
            <v>0</v>
          </cell>
          <cell r="P152">
            <v>0</v>
          </cell>
          <cell r="Q152">
            <v>0</v>
          </cell>
        </row>
        <row r="153">
          <cell r="B153" t="str">
            <v>APR 2016</v>
          </cell>
          <cell r="C153" t="str">
            <v>KUCME295</v>
          </cell>
          <cell r="D153">
            <v>747</v>
          </cell>
          <cell r="E153">
            <v>0</v>
          </cell>
          <cell r="F153">
            <v>0</v>
          </cell>
          <cell r="G153">
            <v>0</v>
          </cell>
          <cell r="H153">
            <v>90687</v>
          </cell>
          <cell r="I153">
            <v>0</v>
          </cell>
          <cell r="J153">
            <v>0</v>
          </cell>
          <cell r="K153">
            <v>0</v>
          </cell>
          <cell r="O153">
            <v>0</v>
          </cell>
          <cell r="P153">
            <v>0</v>
          </cell>
          <cell r="Q153">
            <v>0</v>
          </cell>
        </row>
        <row r="154">
          <cell r="B154" t="str">
            <v>APR 2016</v>
          </cell>
          <cell r="C154" t="str">
            <v>KUCSR760</v>
          </cell>
          <cell r="D154">
            <v>0</v>
          </cell>
          <cell r="E154">
            <v>0</v>
          </cell>
          <cell r="F154">
            <v>0</v>
          </cell>
          <cell r="G154">
            <v>0</v>
          </cell>
          <cell r="H154">
            <v>0</v>
          </cell>
          <cell r="I154">
            <v>0</v>
          </cell>
          <cell r="J154">
            <v>0</v>
          </cell>
          <cell r="K154">
            <v>0</v>
          </cell>
          <cell r="O154">
            <v>0</v>
          </cell>
          <cell r="P154">
            <v>0</v>
          </cell>
          <cell r="Q154">
            <v>0</v>
          </cell>
        </row>
        <row r="155">
          <cell r="B155" t="str">
            <v>APR 2016</v>
          </cell>
          <cell r="C155" t="str">
            <v>KUCSR761</v>
          </cell>
          <cell r="D155">
            <v>0</v>
          </cell>
          <cell r="E155">
            <v>0</v>
          </cell>
          <cell r="F155">
            <v>0</v>
          </cell>
          <cell r="G155">
            <v>0</v>
          </cell>
          <cell r="H155">
            <v>0</v>
          </cell>
          <cell r="I155">
            <v>0</v>
          </cell>
          <cell r="J155">
            <v>0</v>
          </cell>
          <cell r="K155">
            <v>0</v>
          </cell>
          <cell r="O155">
            <v>0</v>
          </cell>
          <cell r="P155">
            <v>0</v>
          </cell>
          <cell r="Q155">
            <v>0</v>
          </cell>
        </row>
        <row r="156">
          <cell r="B156" t="str">
            <v>APR 2016</v>
          </cell>
          <cell r="C156" t="str">
            <v>KUCSR781</v>
          </cell>
          <cell r="D156">
            <v>0</v>
          </cell>
          <cell r="E156">
            <v>0</v>
          </cell>
          <cell r="F156">
            <v>0</v>
          </cell>
          <cell r="G156">
            <v>0</v>
          </cell>
          <cell r="H156">
            <v>0</v>
          </cell>
          <cell r="I156">
            <v>0</v>
          </cell>
          <cell r="J156">
            <v>0</v>
          </cell>
          <cell r="K156">
            <v>0</v>
          </cell>
          <cell r="O156">
            <v>0</v>
          </cell>
          <cell r="P156">
            <v>0</v>
          </cell>
          <cell r="Q156">
            <v>0</v>
          </cell>
        </row>
        <row r="157">
          <cell r="B157" t="str">
            <v>APR 2016</v>
          </cell>
          <cell r="C157" t="str">
            <v>KUCSR783</v>
          </cell>
          <cell r="D157">
            <v>0</v>
          </cell>
          <cell r="E157">
            <v>0</v>
          </cell>
          <cell r="F157">
            <v>0</v>
          </cell>
          <cell r="G157">
            <v>0</v>
          </cell>
          <cell r="H157">
            <v>0</v>
          </cell>
          <cell r="I157">
            <v>0</v>
          </cell>
          <cell r="J157">
            <v>0</v>
          </cell>
          <cell r="K157">
            <v>0</v>
          </cell>
          <cell r="O157">
            <v>0</v>
          </cell>
          <cell r="P157">
            <v>0</v>
          </cell>
          <cell r="Q157">
            <v>0</v>
          </cell>
        </row>
        <row r="158">
          <cell r="B158" t="str">
            <v>APR 2016</v>
          </cell>
          <cell r="C158" t="str">
            <v>KUCME713</v>
          </cell>
          <cell r="D158">
            <v>0</v>
          </cell>
          <cell r="E158">
            <v>0</v>
          </cell>
          <cell r="F158">
            <v>0</v>
          </cell>
          <cell r="G158">
            <v>0</v>
          </cell>
          <cell r="H158">
            <v>0</v>
          </cell>
          <cell r="I158">
            <v>0</v>
          </cell>
          <cell r="J158">
            <v>0</v>
          </cell>
          <cell r="K158">
            <v>0</v>
          </cell>
          <cell r="O158">
            <v>0</v>
          </cell>
          <cell r="P158">
            <v>0</v>
          </cell>
          <cell r="Q158">
            <v>0</v>
          </cell>
        </row>
        <row r="159">
          <cell r="B159" t="str">
            <v>APR 2016</v>
          </cell>
          <cell r="C159" t="str">
            <v>KUCIE717</v>
          </cell>
          <cell r="D159">
            <v>0</v>
          </cell>
          <cell r="E159">
            <v>0</v>
          </cell>
          <cell r="F159">
            <v>0</v>
          </cell>
          <cell r="G159">
            <v>0</v>
          </cell>
          <cell r="H159">
            <v>0</v>
          </cell>
          <cell r="I159">
            <v>0</v>
          </cell>
          <cell r="J159">
            <v>0</v>
          </cell>
          <cell r="K159">
            <v>0</v>
          </cell>
          <cell r="O159">
            <v>0</v>
          </cell>
          <cell r="P159">
            <v>0</v>
          </cell>
          <cell r="Q159">
            <v>0</v>
          </cell>
        </row>
        <row r="160">
          <cell r="B160" t="str">
            <v>APR 2016</v>
          </cell>
          <cell r="C160" t="str">
            <v>KUCME223</v>
          </cell>
          <cell r="D160">
            <v>0</v>
          </cell>
          <cell r="E160">
            <v>0</v>
          </cell>
          <cell r="F160">
            <v>0</v>
          </cell>
          <cell r="G160">
            <v>0</v>
          </cell>
          <cell r="H160">
            <v>0</v>
          </cell>
          <cell r="I160">
            <v>0</v>
          </cell>
          <cell r="J160">
            <v>0</v>
          </cell>
          <cell r="K160">
            <v>0</v>
          </cell>
          <cell r="O160">
            <v>0</v>
          </cell>
          <cell r="P160">
            <v>0</v>
          </cell>
          <cell r="Q160">
            <v>0</v>
          </cell>
        </row>
        <row r="161">
          <cell r="B161" t="str">
            <v>APR 2016</v>
          </cell>
          <cell r="C161" t="str">
            <v>KURSE040</v>
          </cell>
          <cell r="D161">
            <v>7</v>
          </cell>
          <cell r="E161">
            <v>5242</v>
          </cell>
          <cell r="F161">
            <v>1243</v>
          </cell>
          <cell r="G161">
            <v>922</v>
          </cell>
          <cell r="H161">
            <v>7407</v>
          </cell>
          <cell r="I161">
            <v>0</v>
          </cell>
          <cell r="J161">
            <v>0</v>
          </cell>
          <cell r="K161">
            <v>0</v>
          </cell>
          <cell r="O161">
            <v>0</v>
          </cell>
          <cell r="P161">
            <v>0</v>
          </cell>
          <cell r="Q161">
            <v>0</v>
          </cell>
        </row>
        <row r="162">
          <cell r="B162" t="str">
            <v>APR 2016</v>
          </cell>
          <cell r="C162" t="str">
            <v>KUCME221</v>
          </cell>
          <cell r="D162">
            <v>0</v>
          </cell>
          <cell r="E162">
            <v>0</v>
          </cell>
          <cell r="F162">
            <v>0</v>
          </cell>
          <cell r="G162">
            <v>0</v>
          </cell>
          <cell r="H162">
            <v>0</v>
          </cell>
          <cell r="I162">
            <v>0</v>
          </cell>
          <cell r="J162">
            <v>0</v>
          </cell>
          <cell r="K162">
            <v>0</v>
          </cell>
          <cell r="O162">
            <v>0</v>
          </cell>
          <cell r="P162">
            <v>0</v>
          </cell>
          <cell r="Q162">
            <v>0</v>
          </cell>
        </row>
        <row r="163">
          <cell r="B163" t="str">
            <v>APR 2016</v>
          </cell>
          <cell r="C163" t="str">
            <v>KUCME224</v>
          </cell>
          <cell r="D163">
            <v>249</v>
          </cell>
          <cell r="E163">
            <v>0</v>
          </cell>
          <cell r="F163">
            <v>0</v>
          </cell>
          <cell r="G163">
            <v>0</v>
          </cell>
          <cell r="H163">
            <v>10527179</v>
          </cell>
          <cell r="I163">
            <v>0</v>
          </cell>
          <cell r="J163">
            <v>0</v>
          </cell>
          <cell r="K163">
            <v>0</v>
          </cell>
          <cell r="O163">
            <v>53729</v>
          </cell>
          <cell r="P163">
            <v>0</v>
          </cell>
          <cell r="Q163">
            <v>0</v>
          </cell>
        </row>
        <row r="164">
          <cell r="B164" t="str">
            <v>APR 2016</v>
          </cell>
          <cell r="C164" t="str">
            <v>KUCME297</v>
          </cell>
          <cell r="D164">
            <v>0</v>
          </cell>
          <cell r="E164">
            <v>0</v>
          </cell>
          <cell r="F164">
            <v>0</v>
          </cell>
          <cell r="G164">
            <v>0</v>
          </cell>
          <cell r="H164">
            <v>0</v>
          </cell>
          <cell r="I164">
            <v>0</v>
          </cell>
          <cell r="J164">
            <v>0</v>
          </cell>
          <cell r="K164">
            <v>0</v>
          </cell>
          <cell r="O164">
            <v>0</v>
          </cell>
          <cell r="P164">
            <v>0</v>
          </cell>
          <cell r="Q164">
            <v>0</v>
          </cell>
        </row>
        <row r="165">
          <cell r="B165" t="str">
            <v>APR 2016</v>
          </cell>
          <cell r="C165" t="str">
            <v>KUCME225</v>
          </cell>
          <cell r="D165">
            <v>0</v>
          </cell>
          <cell r="E165">
            <v>0</v>
          </cell>
          <cell r="F165">
            <v>0</v>
          </cell>
          <cell r="G165">
            <v>0</v>
          </cell>
          <cell r="H165">
            <v>0</v>
          </cell>
          <cell r="I165">
            <v>0</v>
          </cell>
          <cell r="J165">
            <v>0</v>
          </cell>
          <cell r="K165">
            <v>0</v>
          </cell>
          <cell r="O165">
            <v>0</v>
          </cell>
          <cell r="P165">
            <v>0</v>
          </cell>
          <cell r="Q165">
            <v>0</v>
          </cell>
        </row>
        <row r="166">
          <cell r="B166" t="str">
            <v>APR 2016</v>
          </cell>
          <cell r="C166" t="str">
            <v>KUCME226</v>
          </cell>
          <cell r="D166">
            <v>0</v>
          </cell>
          <cell r="E166">
            <v>0</v>
          </cell>
          <cell r="F166">
            <v>0</v>
          </cell>
          <cell r="G166">
            <v>0</v>
          </cell>
          <cell r="H166">
            <v>0</v>
          </cell>
          <cell r="I166">
            <v>0</v>
          </cell>
          <cell r="J166">
            <v>0</v>
          </cell>
          <cell r="K166">
            <v>0</v>
          </cell>
          <cell r="O166">
            <v>0</v>
          </cell>
          <cell r="P166">
            <v>0</v>
          </cell>
          <cell r="Q166">
            <v>0</v>
          </cell>
        </row>
        <row r="167">
          <cell r="B167" t="str">
            <v>APR 2016</v>
          </cell>
          <cell r="C167" t="str">
            <v>KUCME227</v>
          </cell>
          <cell r="D167">
            <v>0</v>
          </cell>
          <cell r="E167">
            <v>0</v>
          </cell>
          <cell r="F167">
            <v>0</v>
          </cell>
          <cell r="G167">
            <v>0</v>
          </cell>
          <cell r="H167">
            <v>0</v>
          </cell>
          <cell r="I167">
            <v>0</v>
          </cell>
          <cell r="J167">
            <v>0</v>
          </cell>
          <cell r="K167">
            <v>0</v>
          </cell>
          <cell r="O167">
            <v>0</v>
          </cell>
          <cell r="P167">
            <v>0</v>
          </cell>
          <cell r="Q167">
            <v>0</v>
          </cell>
        </row>
        <row r="168">
          <cell r="B168" t="str">
            <v>APR 2016</v>
          </cell>
          <cell r="C168" t="str">
            <v>Result</v>
          </cell>
        </row>
        <row r="169">
          <cell r="D169" t="str">
            <v xml:space="preserve"> # Billed  Contracts</v>
          </cell>
          <cell r="E169" t="str">
            <v xml:space="preserve"> KWH   P1</v>
          </cell>
          <cell r="F169" t="str">
            <v xml:space="preserve"> KWH   P2</v>
          </cell>
          <cell r="G169" t="str">
            <v xml:space="preserve"> KWH   P3</v>
          </cell>
          <cell r="H169" t="str">
            <v xml:space="preserve"> Total  KWH</v>
          </cell>
          <cell r="I169" t="str">
            <v>KW/KVA Base Qty</v>
          </cell>
          <cell r="J169" t="str">
            <v>KW/KVA Int Qty</v>
          </cell>
          <cell r="K169" t="str">
            <v>KW/KVA Peak Qty</v>
          </cell>
          <cell r="O169" t="str">
            <v>KW/KVA Base Measured</v>
          </cell>
          <cell r="P169" t="str">
            <v>KW/KVA Intermed Measured</v>
          </cell>
          <cell r="Q169" t="str">
            <v>KW/KVA Peak Measured</v>
          </cell>
        </row>
        <row r="170">
          <cell r="B170" t="str">
            <v>Revenue Period</v>
          </cell>
          <cell r="C170" t="str">
            <v>Rate Category</v>
          </cell>
          <cell r="E170" t="str">
            <v>KWH</v>
          </cell>
          <cell r="F170" t="str">
            <v>KWH</v>
          </cell>
          <cell r="G170" t="str">
            <v>KWH</v>
          </cell>
          <cell r="H170" t="str">
            <v>KWH</v>
          </cell>
        </row>
        <row r="171">
          <cell r="B171" t="str">
            <v>MAY 2016</v>
          </cell>
          <cell r="C171" t="str">
            <v>KUCIE550</v>
          </cell>
          <cell r="D171">
            <v>32</v>
          </cell>
          <cell r="E171">
            <v>0</v>
          </cell>
          <cell r="F171">
            <v>0</v>
          </cell>
          <cell r="G171">
            <v>0</v>
          </cell>
          <cell r="H171">
            <v>145721919</v>
          </cell>
          <cell r="I171">
            <v>0</v>
          </cell>
          <cell r="J171">
            <v>0</v>
          </cell>
          <cell r="K171">
            <v>0</v>
          </cell>
          <cell r="O171">
            <v>305164</v>
          </cell>
          <cell r="P171">
            <v>297246</v>
          </cell>
          <cell r="Q171">
            <v>289386</v>
          </cell>
        </row>
        <row r="172">
          <cell r="B172" t="str">
            <v>MAY 2016</v>
          </cell>
          <cell r="C172" t="str">
            <v>KUCIE561</v>
          </cell>
          <cell r="D172">
            <v>195</v>
          </cell>
          <cell r="E172">
            <v>0</v>
          </cell>
          <cell r="F172">
            <v>0</v>
          </cell>
          <cell r="G172">
            <v>0</v>
          </cell>
          <cell r="H172">
            <v>21507849</v>
          </cell>
          <cell r="I172">
            <v>0</v>
          </cell>
          <cell r="J172">
            <v>0</v>
          </cell>
          <cell r="K172">
            <v>0</v>
          </cell>
          <cell r="O172">
            <v>0</v>
          </cell>
          <cell r="P172">
            <v>0</v>
          </cell>
          <cell r="Q172">
            <v>55893</v>
          </cell>
        </row>
        <row r="173">
          <cell r="B173" t="str">
            <v>MAY 2016</v>
          </cell>
          <cell r="C173" t="str">
            <v>KUCIE562</v>
          </cell>
          <cell r="D173">
            <v>4615</v>
          </cell>
          <cell r="E173">
            <v>0</v>
          </cell>
          <cell r="F173">
            <v>0</v>
          </cell>
          <cell r="G173">
            <v>0</v>
          </cell>
          <cell r="H173">
            <v>175977353</v>
          </cell>
          <cell r="I173">
            <v>0</v>
          </cell>
          <cell r="J173">
            <v>0</v>
          </cell>
          <cell r="K173">
            <v>0</v>
          </cell>
          <cell r="O173">
            <v>0</v>
          </cell>
          <cell r="P173">
            <v>0</v>
          </cell>
          <cell r="Q173">
            <v>549352</v>
          </cell>
        </row>
        <row r="174">
          <cell r="B174" t="str">
            <v>MAY 2016</v>
          </cell>
          <cell r="C174" t="str">
            <v>KUCIE563</v>
          </cell>
          <cell r="D174">
            <v>52</v>
          </cell>
          <cell r="E174">
            <v>0</v>
          </cell>
          <cell r="F174">
            <v>0</v>
          </cell>
          <cell r="G174">
            <v>0</v>
          </cell>
          <cell r="H174">
            <v>268486937</v>
          </cell>
          <cell r="I174">
            <v>0</v>
          </cell>
          <cell r="J174">
            <v>0</v>
          </cell>
          <cell r="K174">
            <v>0</v>
          </cell>
          <cell r="O174">
            <v>511206</v>
          </cell>
          <cell r="P174">
            <v>494010</v>
          </cell>
          <cell r="Q174">
            <v>487847</v>
          </cell>
        </row>
        <row r="175">
          <cell r="B175" t="str">
            <v>MAY 2016</v>
          </cell>
          <cell r="C175" t="str">
            <v>KUCIE566</v>
          </cell>
          <cell r="D175">
            <v>0</v>
          </cell>
          <cell r="E175">
            <v>0</v>
          </cell>
          <cell r="F175">
            <v>0</v>
          </cell>
          <cell r="G175">
            <v>0</v>
          </cell>
          <cell r="H175">
            <v>0</v>
          </cell>
          <cell r="I175">
            <v>0</v>
          </cell>
          <cell r="J175">
            <v>0</v>
          </cell>
          <cell r="K175">
            <v>0</v>
          </cell>
          <cell r="O175">
            <v>0</v>
          </cell>
          <cell r="P175">
            <v>0</v>
          </cell>
          <cell r="Q175">
            <v>0</v>
          </cell>
        </row>
        <row r="176">
          <cell r="B176" t="str">
            <v>MAY 2016</v>
          </cell>
          <cell r="C176" t="str">
            <v>KUCIE568</v>
          </cell>
          <cell r="D176">
            <v>0</v>
          </cell>
          <cell r="E176">
            <v>0</v>
          </cell>
          <cell r="F176">
            <v>0</v>
          </cell>
          <cell r="G176">
            <v>0</v>
          </cell>
          <cell r="H176">
            <v>0</v>
          </cell>
          <cell r="I176">
            <v>0</v>
          </cell>
          <cell r="J176">
            <v>0</v>
          </cell>
          <cell r="K176">
            <v>0</v>
          </cell>
          <cell r="O176">
            <v>0</v>
          </cell>
          <cell r="P176">
            <v>0</v>
          </cell>
          <cell r="Q176">
            <v>0</v>
          </cell>
        </row>
        <row r="177">
          <cell r="B177" t="str">
            <v>MAY 2016</v>
          </cell>
          <cell r="C177" t="str">
            <v>KUCIE571</v>
          </cell>
          <cell r="D177">
            <v>209</v>
          </cell>
          <cell r="E177">
            <v>0</v>
          </cell>
          <cell r="F177">
            <v>0</v>
          </cell>
          <cell r="G177">
            <v>0</v>
          </cell>
          <cell r="H177">
            <v>111982947</v>
          </cell>
          <cell r="I177">
            <v>0</v>
          </cell>
          <cell r="J177">
            <v>0</v>
          </cell>
          <cell r="K177">
            <v>0</v>
          </cell>
          <cell r="O177">
            <v>271446</v>
          </cell>
          <cell r="P177">
            <v>261290</v>
          </cell>
          <cell r="Q177">
            <v>256590</v>
          </cell>
        </row>
        <row r="178">
          <cell r="B178" t="str">
            <v>MAY 2016</v>
          </cell>
          <cell r="C178" t="str">
            <v>KUCIE572</v>
          </cell>
          <cell r="D178">
            <v>471</v>
          </cell>
          <cell r="E178">
            <v>0</v>
          </cell>
          <cell r="F178">
            <v>0</v>
          </cell>
          <cell r="G178">
            <v>0</v>
          </cell>
          <cell r="H178">
            <v>135748326</v>
          </cell>
          <cell r="I178">
            <v>0</v>
          </cell>
          <cell r="J178">
            <v>0</v>
          </cell>
          <cell r="K178">
            <v>0</v>
          </cell>
          <cell r="O178">
            <v>316205</v>
          </cell>
          <cell r="P178">
            <v>295218</v>
          </cell>
          <cell r="Q178">
            <v>289471</v>
          </cell>
        </row>
        <row r="179">
          <cell r="B179" t="str">
            <v>MAY 2016</v>
          </cell>
          <cell r="C179" t="str">
            <v>KUCME110</v>
          </cell>
          <cell r="D179">
            <v>63568</v>
          </cell>
          <cell r="E179">
            <v>0</v>
          </cell>
          <cell r="F179">
            <v>0</v>
          </cell>
          <cell r="G179">
            <v>0</v>
          </cell>
          <cell r="H179">
            <v>59224022</v>
          </cell>
          <cell r="I179">
            <v>0</v>
          </cell>
          <cell r="J179">
            <v>0</v>
          </cell>
          <cell r="K179">
            <v>0</v>
          </cell>
          <cell r="O179">
            <v>0</v>
          </cell>
          <cell r="P179">
            <v>0</v>
          </cell>
          <cell r="Q179">
            <v>0</v>
          </cell>
        </row>
        <row r="180">
          <cell r="B180" t="str">
            <v>MAY 2016</v>
          </cell>
          <cell r="C180" t="str">
            <v>KUCME112</v>
          </cell>
          <cell r="D180">
            <v>0</v>
          </cell>
          <cell r="E180">
            <v>0</v>
          </cell>
          <cell r="F180">
            <v>0</v>
          </cell>
          <cell r="G180">
            <v>0</v>
          </cell>
          <cell r="H180">
            <v>0</v>
          </cell>
          <cell r="I180">
            <v>0</v>
          </cell>
          <cell r="J180">
            <v>0</v>
          </cell>
          <cell r="K180">
            <v>0</v>
          </cell>
          <cell r="O180">
            <v>0</v>
          </cell>
          <cell r="P180">
            <v>0</v>
          </cell>
          <cell r="Q180">
            <v>0</v>
          </cell>
        </row>
        <row r="181">
          <cell r="B181" t="str">
            <v>MAY 2016</v>
          </cell>
          <cell r="C181" t="str">
            <v>KUCME113</v>
          </cell>
          <cell r="D181">
            <v>18582</v>
          </cell>
          <cell r="E181">
            <v>0</v>
          </cell>
          <cell r="F181">
            <v>0</v>
          </cell>
          <cell r="G181">
            <v>0</v>
          </cell>
          <cell r="H181">
            <v>86460113</v>
          </cell>
          <cell r="I181">
            <v>0</v>
          </cell>
          <cell r="J181">
            <v>0</v>
          </cell>
          <cell r="K181">
            <v>0</v>
          </cell>
          <cell r="O181">
            <v>363644</v>
          </cell>
          <cell r="P181">
            <v>0</v>
          </cell>
          <cell r="Q181">
            <v>0</v>
          </cell>
        </row>
        <row r="182">
          <cell r="B182" t="str">
            <v>MAY 2016</v>
          </cell>
          <cell r="C182" t="str">
            <v>KUCME220</v>
          </cell>
          <cell r="D182">
            <v>382</v>
          </cell>
          <cell r="E182">
            <v>0</v>
          </cell>
          <cell r="F182">
            <v>0</v>
          </cell>
          <cell r="G182">
            <v>0</v>
          </cell>
          <cell r="H182">
            <v>643622</v>
          </cell>
          <cell r="I182">
            <v>0</v>
          </cell>
          <cell r="J182">
            <v>0</v>
          </cell>
          <cell r="K182">
            <v>0</v>
          </cell>
          <cell r="O182">
            <v>0</v>
          </cell>
          <cell r="P182">
            <v>0</v>
          </cell>
          <cell r="Q182">
            <v>0</v>
          </cell>
        </row>
        <row r="183">
          <cell r="B183" t="str">
            <v>MAY 2016</v>
          </cell>
          <cell r="C183" t="str">
            <v>KURSE010</v>
          </cell>
          <cell r="D183">
            <v>431179</v>
          </cell>
          <cell r="E183">
            <v>0</v>
          </cell>
          <cell r="F183">
            <v>0</v>
          </cell>
          <cell r="G183">
            <v>0</v>
          </cell>
          <cell r="H183">
            <v>369792176</v>
          </cell>
          <cell r="I183">
            <v>0</v>
          </cell>
          <cell r="J183">
            <v>0</v>
          </cell>
          <cell r="K183">
            <v>0</v>
          </cell>
          <cell r="O183">
            <v>0</v>
          </cell>
          <cell r="P183">
            <v>0</v>
          </cell>
          <cell r="Q183">
            <v>0</v>
          </cell>
        </row>
        <row r="184">
          <cell r="B184" t="str">
            <v>MAY 2016</v>
          </cell>
          <cell r="C184" t="str">
            <v>KURSE020</v>
          </cell>
          <cell r="D184">
            <v>0</v>
          </cell>
          <cell r="E184">
            <v>0</v>
          </cell>
          <cell r="F184">
            <v>0</v>
          </cell>
          <cell r="G184">
            <v>0</v>
          </cell>
          <cell r="H184">
            <v>0</v>
          </cell>
          <cell r="I184">
            <v>0</v>
          </cell>
          <cell r="J184">
            <v>0</v>
          </cell>
          <cell r="K184">
            <v>0</v>
          </cell>
          <cell r="O184">
            <v>0</v>
          </cell>
          <cell r="P184">
            <v>0</v>
          </cell>
          <cell r="Q184">
            <v>0</v>
          </cell>
        </row>
        <row r="185">
          <cell r="B185" t="str">
            <v>MAY 2016</v>
          </cell>
          <cell r="C185" t="str">
            <v>KURSE025</v>
          </cell>
          <cell r="D185">
            <v>0</v>
          </cell>
          <cell r="E185">
            <v>0</v>
          </cell>
          <cell r="F185">
            <v>0</v>
          </cell>
          <cell r="G185">
            <v>0</v>
          </cell>
          <cell r="H185">
            <v>0</v>
          </cell>
          <cell r="I185">
            <v>0</v>
          </cell>
          <cell r="J185">
            <v>0</v>
          </cell>
          <cell r="K185">
            <v>0</v>
          </cell>
          <cell r="O185">
            <v>0</v>
          </cell>
          <cell r="P185">
            <v>0</v>
          </cell>
          <cell r="Q185">
            <v>0</v>
          </cell>
        </row>
        <row r="186">
          <cell r="B186" t="str">
            <v>MAY 2016</v>
          </cell>
          <cell r="C186" t="str">
            <v>KURSE080</v>
          </cell>
          <cell r="D186">
            <v>0</v>
          </cell>
          <cell r="E186">
            <v>0</v>
          </cell>
          <cell r="F186">
            <v>0</v>
          </cell>
          <cell r="G186">
            <v>0</v>
          </cell>
          <cell r="H186">
            <v>0</v>
          </cell>
          <cell r="I186">
            <v>0</v>
          </cell>
          <cell r="J186">
            <v>0</v>
          </cell>
          <cell r="K186">
            <v>0</v>
          </cell>
          <cell r="O186">
            <v>0</v>
          </cell>
          <cell r="P186">
            <v>0</v>
          </cell>
          <cell r="Q186">
            <v>0</v>
          </cell>
        </row>
        <row r="187">
          <cell r="B187" t="str">
            <v>MAY 2016</v>
          </cell>
          <cell r="C187" t="str">
            <v>KURSE715</v>
          </cell>
          <cell r="D187">
            <v>0</v>
          </cell>
          <cell r="E187">
            <v>0</v>
          </cell>
          <cell r="F187">
            <v>0</v>
          </cell>
          <cell r="G187">
            <v>0</v>
          </cell>
          <cell r="H187">
            <v>0</v>
          </cell>
          <cell r="I187">
            <v>0</v>
          </cell>
          <cell r="J187">
            <v>0</v>
          </cell>
          <cell r="K187">
            <v>0</v>
          </cell>
          <cell r="O187">
            <v>0</v>
          </cell>
          <cell r="P187">
            <v>0</v>
          </cell>
          <cell r="Q187">
            <v>0</v>
          </cell>
        </row>
        <row r="188">
          <cell r="B188" t="str">
            <v>MAY 2016</v>
          </cell>
          <cell r="C188" t="str">
            <v>KTRSE020</v>
          </cell>
          <cell r="D188">
            <v>0</v>
          </cell>
          <cell r="E188">
            <v>0</v>
          </cell>
          <cell r="F188">
            <v>0</v>
          </cell>
          <cell r="G188">
            <v>0</v>
          </cell>
          <cell r="H188">
            <v>0</v>
          </cell>
          <cell r="I188">
            <v>0</v>
          </cell>
          <cell r="J188">
            <v>0</v>
          </cell>
          <cell r="K188">
            <v>0</v>
          </cell>
          <cell r="O188">
            <v>0</v>
          </cell>
          <cell r="P188">
            <v>0</v>
          </cell>
          <cell r="Q188">
            <v>0</v>
          </cell>
        </row>
        <row r="189">
          <cell r="B189" t="str">
            <v>MAY 2016</v>
          </cell>
          <cell r="C189" t="str">
            <v>KTRSE030</v>
          </cell>
          <cell r="D189">
            <v>0</v>
          </cell>
          <cell r="E189">
            <v>0</v>
          </cell>
          <cell r="F189">
            <v>0</v>
          </cell>
          <cell r="G189">
            <v>0</v>
          </cell>
          <cell r="H189">
            <v>0</v>
          </cell>
          <cell r="I189">
            <v>0</v>
          </cell>
          <cell r="J189">
            <v>0</v>
          </cell>
          <cell r="K189">
            <v>0</v>
          </cell>
          <cell r="O189">
            <v>0</v>
          </cell>
          <cell r="P189">
            <v>0</v>
          </cell>
          <cell r="Q189">
            <v>0</v>
          </cell>
        </row>
        <row r="190">
          <cell r="B190" t="str">
            <v>MAY 2016</v>
          </cell>
          <cell r="C190" t="str">
            <v>KUCME710</v>
          </cell>
          <cell r="D190">
            <v>0</v>
          </cell>
          <cell r="E190">
            <v>0</v>
          </cell>
          <cell r="F190">
            <v>0</v>
          </cell>
          <cell r="G190">
            <v>0</v>
          </cell>
          <cell r="H190">
            <v>0</v>
          </cell>
          <cell r="I190">
            <v>0</v>
          </cell>
          <cell r="J190">
            <v>0</v>
          </cell>
          <cell r="K190">
            <v>0</v>
          </cell>
          <cell r="O190">
            <v>0</v>
          </cell>
          <cell r="P190">
            <v>0</v>
          </cell>
          <cell r="Q190">
            <v>0</v>
          </cell>
        </row>
        <row r="191">
          <cell r="B191" t="str">
            <v>MAY 2016</v>
          </cell>
          <cell r="C191" t="str">
            <v>KUINE730</v>
          </cell>
          <cell r="D191">
            <v>1</v>
          </cell>
          <cell r="E191">
            <v>0</v>
          </cell>
          <cell r="F191">
            <v>0</v>
          </cell>
          <cell r="G191">
            <v>0</v>
          </cell>
          <cell r="H191">
            <v>48437687</v>
          </cell>
          <cell r="I191">
            <v>0</v>
          </cell>
          <cell r="J191">
            <v>0</v>
          </cell>
          <cell r="K191">
            <v>0</v>
          </cell>
          <cell r="O191">
            <v>185158</v>
          </cell>
          <cell r="P191">
            <v>185158</v>
          </cell>
          <cell r="Q191">
            <v>101388</v>
          </cell>
        </row>
        <row r="192">
          <cell r="B192" t="str">
            <v>MAY 2016</v>
          </cell>
          <cell r="C192" t="str">
            <v>KUCME290</v>
          </cell>
          <cell r="D192">
            <v>2</v>
          </cell>
          <cell r="E192">
            <v>0</v>
          </cell>
          <cell r="F192">
            <v>0</v>
          </cell>
          <cell r="G192">
            <v>0</v>
          </cell>
          <cell r="H192">
            <v>12932</v>
          </cell>
          <cell r="I192">
            <v>0</v>
          </cell>
          <cell r="J192">
            <v>0</v>
          </cell>
          <cell r="K192">
            <v>0</v>
          </cell>
          <cell r="O192">
            <v>0</v>
          </cell>
          <cell r="P192">
            <v>0</v>
          </cell>
          <cell r="Q192">
            <v>0</v>
          </cell>
        </row>
        <row r="193">
          <cell r="B193" t="str">
            <v>MAY 2016</v>
          </cell>
          <cell r="C193" t="str">
            <v>KUCME291</v>
          </cell>
          <cell r="D193">
            <v>0</v>
          </cell>
          <cell r="E193">
            <v>0</v>
          </cell>
          <cell r="F193">
            <v>0</v>
          </cell>
          <cell r="G193">
            <v>0</v>
          </cell>
          <cell r="H193">
            <v>0</v>
          </cell>
          <cell r="I193">
            <v>0</v>
          </cell>
          <cell r="J193">
            <v>0</v>
          </cell>
          <cell r="K193">
            <v>0</v>
          </cell>
          <cell r="O193">
            <v>0</v>
          </cell>
          <cell r="P193">
            <v>0</v>
          </cell>
          <cell r="Q193">
            <v>0</v>
          </cell>
        </row>
        <row r="194">
          <cell r="B194" t="str">
            <v>MAY 2016</v>
          </cell>
          <cell r="C194" t="str">
            <v>KUCME295</v>
          </cell>
          <cell r="D194">
            <v>747</v>
          </cell>
          <cell r="E194">
            <v>0</v>
          </cell>
          <cell r="F194">
            <v>0</v>
          </cell>
          <cell r="G194">
            <v>0</v>
          </cell>
          <cell r="H194">
            <v>105151</v>
          </cell>
          <cell r="I194">
            <v>0</v>
          </cell>
          <cell r="J194">
            <v>0</v>
          </cell>
          <cell r="K194">
            <v>0</v>
          </cell>
          <cell r="O194">
            <v>0</v>
          </cell>
          <cell r="P194">
            <v>0</v>
          </cell>
          <cell r="Q194">
            <v>0</v>
          </cell>
        </row>
        <row r="195">
          <cell r="B195" t="str">
            <v>MAY 2016</v>
          </cell>
          <cell r="C195" t="str">
            <v>KUCSR760</v>
          </cell>
          <cell r="D195">
            <v>0</v>
          </cell>
          <cell r="E195">
            <v>0</v>
          </cell>
          <cell r="F195">
            <v>0</v>
          </cell>
          <cell r="G195">
            <v>0</v>
          </cell>
          <cell r="H195">
            <v>0</v>
          </cell>
          <cell r="I195">
            <v>0</v>
          </cell>
          <cell r="J195">
            <v>0</v>
          </cell>
          <cell r="K195">
            <v>0</v>
          </cell>
          <cell r="O195">
            <v>0</v>
          </cell>
          <cell r="P195">
            <v>0</v>
          </cell>
          <cell r="Q195">
            <v>0</v>
          </cell>
        </row>
        <row r="196">
          <cell r="B196" t="str">
            <v>MAY 2016</v>
          </cell>
          <cell r="C196" t="str">
            <v>KUCSR761</v>
          </cell>
          <cell r="D196">
            <v>0</v>
          </cell>
          <cell r="E196">
            <v>0</v>
          </cell>
          <cell r="F196">
            <v>0</v>
          </cell>
          <cell r="G196">
            <v>0</v>
          </cell>
          <cell r="H196">
            <v>0</v>
          </cell>
          <cell r="I196">
            <v>0</v>
          </cell>
          <cell r="J196">
            <v>0</v>
          </cell>
          <cell r="K196">
            <v>0</v>
          </cell>
          <cell r="O196">
            <v>0</v>
          </cell>
          <cell r="P196">
            <v>0</v>
          </cell>
          <cell r="Q196">
            <v>0</v>
          </cell>
        </row>
        <row r="197">
          <cell r="B197" t="str">
            <v>MAY 2016</v>
          </cell>
          <cell r="C197" t="str">
            <v>KUCSR781</v>
          </cell>
          <cell r="D197">
            <v>0</v>
          </cell>
          <cell r="E197">
            <v>0</v>
          </cell>
          <cell r="F197">
            <v>0</v>
          </cell>
          <cell r="G197">
            <v>0</v>
          </cell>
          <cell r="H197">
            <v>0</v>
          </cell>
          <cell r="I197">
            <v>0</v>
          </cell>
          <cell r="J197">
            <v>0</v>
          </cell>
          <cell r="K197">
            <v>0</v>
          </cell>
          <cell r="O197">
            <v>0</v>
          </cell>
          <cell r="P197">
            <v>0</v>
          </cell>
          <cell r="Q197">
            <v>0</v>
          </cell>
        </row>
        <row r="198">
          <cell r="B198" t="str">
            <v>MAY 2016</v>
          </cell>
          <cell r="C198" t="str">
            <v>KUCSR783</v>
          </cell>
          <cell r="D198">
            <v>0</v>
          </cell>
          <cell r="E198">
            <v>0</v>
          </cell>
          <cell r="F198">
            <v>0</v>
          </cell>
          <cell r="G198">
            <v>0</v>
          </cell>
          <cell r="H198">
            <v>0</v>
          </cell>
          <cell r="I198">
            <v>0</v>
          </cell>
          <cell r="J198">
            <v>0</v>
          </cell>
          <cell r="K198">
            <v>0</v>
          </cell>
          <cell r="O198">
            <v>0</v>
          </cell>
          <cell r="P198">
            <v>0</v>
          </cell>
          <cell r="Q198">
            <v>0</v>
          </cell>
        </row>
        <row r="199">
          <cell r="B199" t="str">
            <v>MAY 2016</v>
          </cell>
          <cell r="C199" t="str">
            <v>KUCME713</v>
          </cell>
          <cell r="D199">
            <v>0</v>
          </cell>
          <cell r="E199">
            <v>0</v>
          </cell>
          <cell r="F199">
            <v>0</v>
          </cell>
          <cell r="G199">
            <v>0</v>
          </cell>
          <cell r="H199">
            <v>0</v>
          </cell>
          <cell r="I199">
            <v>0</v>
          </cell>
          <cell r="J199">
            <v>0</v>
          </cell>
          <cell r="K199">
            <v>0</v>
          </cell>
          <cell r="O199">
            <v>0</v>
          </cell>
          <cell r="P199">
            <v>0</v>
          </cell>
          <cell r="Q199">
            <v>0</v>
          </cell>
        </row>
        <row r="200">
          <cell r="B200" t="str">
            <v>MAY 2016</v>
          </cell>
          <cell r="C200" t="str">
            <v>KUCIE717</v>
          </cell>
          <cell r="D200">
            <v>0</v>
          </cell>
          <cell r="E200">
            <v>0</v>
          </cell>
          <cell r="F200">
            <v>0</v>
          </cell>
          <cell r="G200">
            <v>0</v>
          </cell>
          <cell r="H200">
            <v>0</v>
          </cell>
          <cell r="I200">
            <v>0</v>
          </cell>
          <cell r="J200">
            <v>0</v>
          </cell>
          <cell r="K200">
            <v>0</v>
          </cell>
          <cell r="O200">
            <v>0</v>
          </cell>
          <cell r="P200">
            <v>0</v>
          </cell>
          <cell r="Q200">
            <v>0</v>
          </cell>
        </row>
        <row r="201">
          <cell r="B201" t="str">
            <v>MAY 2016</v>
          </cell>
          <cell r="C201" t="str">
            <v>KUCME223</v>
          </cell>
          <cell r="D201">
            <v>0</v>
          </cell>
          <cell r="E201">
            <v>0</v>
          </cell>
          <cell r="F201">
            <v>0</v>
          </cell>
          <cell r="G201">
            <v>0</v>
          </cell>
          <cell r="H201">
            <v>0</v>
          </cell>
          <cell r="I201">
            <v>0</v>
          </cell>
          <cell r="J201">
            <v>0</v>
          </cell>
          <cell r="K201">
            <v>0</v>
          </cell>
          <cell r="O201">
            <v>0</v>
          </cell>
          <cell r="P201">
            <v>0</v>
          </cell>
          <cell r="Q201">
            <v>0</v>
          </cell>
        </row>
        <row r="202">
          <cell r="B202" t="str">
            <v>MAY 2016</v>
          </cell>
          <cell r="C202" t="str">
            <v>KURSE040</v>
          </cell>
          <cell r="D202">
            <v>7</v>
          </cell>
          <cell r="E202">
            <v>5924</v>
          </cell>
          <cell r="F202">
            <v>1775</v>
          </cell>
          <cell r="G202">
            <v>1266</v>
          </cell>
          <cell r="H202">
            <v>8965</v>
          </cell>
          <cell r="I202">
            <v>0</v>
          </cell>
          <cell r="J202">
            <v>0</v>
          </cell>
          <cell r="K202">
            <v>0</v>
          </cell>
          <cell r="O202">
            <v>0</v>
          </cell>
          <cell r="P202">
            <v>0</v>
          </cell>
          <cell r="Q202">
            <v>0</v>
          </cell>
        </row>
        <row r="203">
          <cell r="B203" t="str">
            <v>MAY 2016</v>
          </cell>
          <cell r="C203" t="str">
            <v>KUCME221</v>
          </cell>
          <cell r="D203">
            <v>0</v>
          </cell>
          <cell r="E203">
            <v>0</v>
          </cell>
          <cell r="F203">
            <v>0</v>
          </cell>
          <cell r="G203">
            <v>0</v>
          </cell>
          <cell r="H203">
            <v>0</v>
          </cell>
          <cell r="I203">
            <v>0</v>
          </cell>
          <cell r="J203">
            <v>0</v>
          </cell>
          <cell r="K203">
            <v>0</v>
          </cell>
          <cell r="O203">
            <v>0</v>
          </cell>
          <cell r="P203">
            <v>0</v>
          </cell>
          <cell r="Q203">
            <v>0</v>
          </cell>
        </row>
        <row r="204">
          <cell r="B204" t="str">
            <v>MAY 2016</v>
          </cell>
          <cell r="C204" t="str">
            <v>KUCME224</v>
          </cell>
          <cell r="D204">
            <v>266</v>
          </cell>
          <cell r="E204">
            <v>0</v>
          </cell>
          <cell r="F204">
            <v>0</v>
          </cell>
          <cell r="G204">
            <v>0</v>
          </cell>
          <cell r="H204">
            <v>11929227</v>
          </cell>
          <cell r="I204">
            <v>0</v>
          </cell>
          <cell r="J204">
            <v>0</v>
          </cell>
          <cell r="K204">
            <v>0</v>
          </cell>
          <cell r="O204">
            <v>49537</v>
          </cell>
          <cell r="P204">
            <v>0</v>
          </cell>
          <cell r="Q204">
            <v>0</v>
          </cell>
        </row>
        <row r="205">
          <cell r="B205" t="str">
            <v>MAY 2016</v>
          </cell>
          <cell r="C205" t="str">
            <v>KUCME297</v>
          </cell>
          <cell r="D205">
            <v>0</v>
          </cell>
          <cell r="E205">
            <v>0</v>
          </cell>
          <cell r="F205">
            <v>0</v>
          </cell>
          <cell r="G205">
            <v>0</v>
          </cell>
          <cell r="H205">
            <v>0</v>
          </cell>
          <cell r="I205">
            <v>0</v>
          </cell>
          <cell r="J205">
            <v>0</v>
          </cell>
          <cell r="K205">
            <v>0</v>
          </cell>
          <cell r="O205">
            <v>0</v>
          </cell>
          <cell r="P205">
            <v>0</v>
          </cell>
          <cell r="Q205">
            <v>0</v>
          </cell>
        </row>
        <row r="206">
          <cell r="B206" t="str">
            <v>MAY 2016</v>
          </cell>
          <cell r="C206" t="str">
            <v>KUCME225</v>
          </cell>
          <cell r="D206">
            <v>0</v>
          </cell>
          <cell r="E206">
            <v>0</v>
          </cell>
          <cell r="F206">
            <v>0</v>
          </cell>
          <cell r="G206">
            <v>0</v>
          </cell>
          <cell r="H206">
            <v>0</v>
          </cell>
          <cell r="I206">
            <v>0</v>
          </cell>
          <cell r="J206">
            <v>0</v>
          </cell>
          <cell r="K206">
            <v>0</v>
          </cell>
          <cell r="O206">
            <v>0</v>
          </cell>
          <cell r="P206">
            <v>0</v>
          </cell>
          <cell r="Q206">
            <v>0</v>
          </cell>
        </row>
        <row r="207">
          <cell r="B207" t="str">
            <v>MAY 2016</v>
          </cell>
          <cell r="C207" t="str">
            <v>KUCME226</v>
          </cell>
          <cell r="D207">
            <v>0</v>
          </cell>
          <cell r="E207">
            <v>0</v>
          </cell>
          <cell r="F207">
            <v>0</v>
          </cell>
          <cell r="G207">
            <v>0</v>
          </cell>
          <cell r="H207">
            <v>0</v>
          </cell>
          <cell r="I207">
            <v>0</v>
          </cell>
          <cell r="J207">
            <v>0</v>
          </cell>
          <cell r="K207">
            <v>0</v>
          </cell>
          <cell r="O207">
            <v>0</v>
          </cell>
          <cell r="P207">
            <v>0</v>
          </cell>
          <cell r="Q207">
            <v>0</v>
          </cell>
        </row>
        <row r="208">
          <cell r="B208" t="str">
            <v>MAY 2016</v>
          </cell>
          <cell r="C208" t="str">
            <v>KUCME227</v>
          </cell>
          <cell r="D208">
            <v>0</v>
          </cell>
          <cell r="E208">
            <v>0</v>
          </cell>
          <cell r="F208">
            <v>0</v>
          </cell>
          <cell r="G208">
            <v>0</v>
          </cell>
          <cell r="H208">
            <v>0</v>
          </cell>
          <cell r="I208">
            <v>0</v>
          </cell>
          <cell r="J208">
            <v>0</v>
          </cell>
          <cell r="K208">
            <v>0</v>
          </cell>
          <cell r="O208">
            <v>0</v>
          </cell>
          <cell r="P208">
            <v>0</v>
          </cell>
          <cell r="Q208">
            <v>0</v>
          </cell>
        </row>
        <row r="209">
          <cell r="B209" t="str">
            <v>MAY 2016</v>
          </cell>
          <cell r="C209" t="str">
            <v>Result</v>
          </cell>
        </row>
        <row r="210">
          <cell r="D210" t="str">
            <v xml:space="preserve"> # Billed  Contracts</v>
          </cell>
          <cell r="E210" t="str">
            <v xml:space="preserve"> KWH   P1</v>
          </cell>
          <cell r="F210" t="str">
            <v xml:space="preserve"> KWH   P2</v>
          </cell>
          <cell r="G210" t="str">
            <v xml:space="preserve"> KWH   P3</v>
          </cell>
          <cell r="H210" t="str">
            <v xml:space="preserve"> Total  KWH</v>
          </cell>
          <cell r="I210" t="str">
            <v>KW/KVA Base Qty</v>
          </cell>
          <cell r="J210" t="str">
            <v>KW/KVA Int Qty</v>
          </cell>
          <cell r="K210" t="str">
            <v>KW/KVA Peak Qty</v>
          </cell>
          <cell r="O210" t="str">
            <v>KW/KVA Base Measured</v>
          </cell>
          <cell r="P210" t="str">
            <v>KW/KVA Intermed Measured</v>
          </cell>
          <cell r="Q210" t="str">
            <v>KW/KVA Peak Measured</v>
          </cell>
        </row>
        <row r="211">
          <cell r="B211" t="str">
            <v>JUN 2016</v>
          </cell>
          <cell r="C211" t="str">
            <v>KUCIE550</v>
          </cell>
          <cell r="D211">
            <v>32</v>
          </cell>
          <cell r="E211">
            <v>0</v>
          </cell>
          <cell r="F211">
            <v>0</v>
          </cell>
          <cell r="G211">
            <v>0</v>
          </cell>
          <cell r="H211">
            <v>142956521</v>
          </cell>
          <cell r="I211">
            <v>0</v>
          </cell>
          <cell r="J211">
            <v>0</v>
          </cell>
          <cell r="K211">
            <v>0</v>
          </cell>
          <cell r="O211">
            <v>317092</v>
          </cell>
          <cell r="P211">
            <v>300623</v>
          </cell>
          <cell r="Q211">
            <v>296312</v>
          </cell>
        </row>
        <row r="212">
          <cell r="B212" t="str">
            <v>JUN 2016</v>
          </cell>
          <cell r="C212" t="str">
            <v>KUCIE561</v>
          </cell>
          <cell r="D212">
            <v>195</v>
          </cell>
          <cell r="E212">
            <v>0</v>
          </cell>
          <cell r="F212">
            <v>0</v>
          </cell>
          <cell r="G212">
            <v>0</v>
          </cell>
          <cell r="H212">
            <v>22620251</v>
          </cell>
          <cell r="I212">
            <v>0</v>
          </cell>
          <cell r="J212">
            <v>0</v>
          </cell>
          <cell r="K212">
            <v>0</v>
          </cell>
          <cell r="O212">
            <v>0</v>
          </cell>
          <cell r="P212">
            <v>0</v>
          </cell>
          <cell r="Q212">
            <v>58830</v>
          </cell>
        </row>
        <row r="213">
          <cell r="B213" t="str">
            <v>JUN 2016</v>
          </cell>
          <cell r="C213" t="str">
            <v>KUCIE562</v>
          </cell>
          <cell r="D213">
            <v>4610</v>
          </cell>
          <cell r="E213">
            <v>0</v>
          </cell>
          <cell r="F213">
            <v>0</v>
          </cell>
          <cell r="G213">
            <v>0</v>
          </cell>
          <cell r="H213">
            <v>197280182</v>
          </cell>
          <cell r="I213">
            <v>0</v>
          </cell>
          <cell r="J213">
            <v>0</v>
          </cell>
          <cell r="K213">
            <v>0</v>
          </cell>
          <cell r="O213">
            <v>0</v>
          </cell>
          <cell r="P213">
            <v>0</v>
          </cell>
          <cell r="Q213">
            <v>616720</v>
          </cell>
        </row>
        <row r="214">
          <cell r="B214" t="str">
            <v>JUN 2016</v>
          </cell>
          <cell r="C214" t="str">
            <v>KUCIE563</v>
          </cell>
          <cell r="D214">
            <v>52</v>
          </cell>
          <cell r="E214">
            <v>0</v>
          </cell>
          <cell r="F214">
            <v>0</v>
          </cell>
          <cell r="G214">
            <v>0</v>
          </cell>
          <cell r="H214">
            <v>279162975</v>
          </cell>
          <cell r="I214">
            <v>0</v>
          </cell>
          <cell r="J214">
            <v>0</v>
          </cell>
          <cell r="K214">
            <v>0</v>
          </cell>
          <cell r="O214">
            <v>555461</v>
          </cell>
          <cell r="P214">
            <v>531147</v>
          </cell>
          <cell r="Q214">
            <v>525545</v>
          </cell>
        </row>
        <row r="215">
          <cell r="B215" t="str">
            <v>JUN 2016</v>
          </cell>
          <cell r="C215" t="str">
            <v>KUCIE566</v>
          </cell>
          <cell r="D215">
            <v>0</v>
          </cell>
          <cell r="E215">
            <v>0</v>
          </cell>
          <cell r="F215">
            <v>0</v>
          </cell>
          <cell r="G215">
            <v>0</v>
          </cell>
          <cell r="H215">
            <v>0</v>
          </cell>
          <cell r="I215">
            <v>0</v>
          </cell>
          <cell r="J215">
            <v>0</v>
          </cell>
          <cell r="K215">
            <v>0</v>
          </cell>
          <cell r="O215">
            <v>0</v>
          </cell>
          <cell r="P215">
            <v>0</v>
          </cell>
          <cell r="Q215">
            <v>0</v>
          </cell>
        </row>
        <row r="216">
          <cell r="B216" t="str">
            <v>JUN 2016</v>
          </cell>
          <cell r="C216" t="str">
            <v>KUCIE568</v>
          </cell>
          <cell r="D216">
            <v>0</v>
          </cell>
          <cell r="E216">
            <v>0</v>
          </cell>
          <cell r="F216">
            <v>0</v>
          </cell>
          <cell r="G216">
            <v>0</v>
          </cell>
          <cell r="H216">
            <v>0</v>
          </cell>
          <cell r="I216">
            <v>0</v>
          </cell>
          <cell r="J216">
            <v>0</v>
          </cell>
          <cell r="K216">
            <v>0</v>
          </cell>
          <cell r="O216">
            <v>0</v>
          </cell>
          <cell r="P216">
            <v>0</v>
          </cell>
          <cell r="Q216">
            <v>0</v>
          </cell>
        </row>
        <row r="217">
          <cell r="B217" t="str">
            <v>JUN 2016</v>
          </cell>
          <cell r="C217" t="str">
            <v>KUCIE571</v>
          </cell>
          <cell r="D217">
            <v>211</v>
          </cell>
          <cell r="E217">
            <v>0</v>
          </cell>
          <cell r="F217">
            <v>0</v>
          </cell>
          <cell r="G217">
            <v>0</v>
          </cell>
          <cell r="H217">
            <v>116178634</v>
          </cell>
          <cell r="I217">
            <v>0</v>
          </cell>
          <cell r="J217">
            <v>0</v>
          </cell>
          <cell r="K217">
            <v>0</v>
          </cell>
          <cell r="O217">
            <v>279639</v>
          </cell>
          <cell r="P217">
            <v>268078</v>
          </cell>
          <cell r="Q217">
            <v>262859</v>
          </cell>
        </row>
        <row r="218">
          <cell r="B218" t="str">
            <v>JUN 2016</v>
          </cell>
          <cell r="C218" t="str">
            <v>KUCIE572</v>
          </cell>
          <cell r="D218">
            <v>472</v>
          </cell>
          <cell r="E218">
            <v>0</v>
          </cell>
          <cell r="F218">
            <v>0</v>
          </cell>
          <cell r="G218">
            <v>0</v>
          </cell>
          <cell r="H218">
            <v>150027765</v>
          </cell>
          <cell r="I218">
            <v>0</v>
          </cell>
          <cell r="J218">
            <v>0</v>
          </cell>
          <cell r="K218">
            <v>0</v>
          </cell>
          <cell r="O218">
            <v>350157</v>
          </cell>
          <cell r="P218">
            <v>326915</v>
          </cell>
          <cell r="Q218">
            <v>320552</v>
          </cell>
        </row>
        <row r="219">
          <cell r="B219" t="str">
            <v>JUN 2016</v>
          </cell>
          <cell r="C219" t="str">
            <v>KUCME110</v>
          </cell>
          <cell r="D219">
            <v>63576</v>
          </cell>
          <cell r="E219">
            <v>0</v>
          </cell>
          <cell r="F219">
            <v>0</v>
          </cell>
          <cell r="G219">
            <v>0</v>
          </cell>
          <cell r="H219">
            <v>67544147</v>
          </cell>
          <cell r="I219">
            <v>0</v>
          </cell>
          <cell r="J219">
            <v>0</v>
          </cell>
          <cell r="K219">
            <v>0</v>
          </cell>
          <cell r="O219">
            <v>0</v>
          </cell>
          <cell r="P219">
            <v>0</v>
          </cell>
          <cell r="Q219">
            <v>0</v>
          </cell>
        </row>
        <row r="220">
          <cell r="B220" t="str">
            <v>JUN 2016</v>
          </cell>
          <cell r="C220" t="str">
            <v>KUCME112</v>
          </cell>
          <cell r="D220">
            <v>0</v>
          </cell>
          <cell r="E220">
            <v>0</v>
          </cell>
          <cell r="F220">
            <v>0</v>
          </cell>
          <cell r="G220">
            <v>0</v>
          </cell>
          <cell r="H220">
            <v>0</v>
          </cell>
          <cell r="I220">
            <v>0</v>
          </cell>
          <cell r="J220">
            <v>0</v>
          </cell>
          <cell r="K220">
            <v>0</v>
          </cell>
          <cell r="O220">
            <v>0</v>
          </cell>
          <cell r="P220">
            <v>0</v>
          </cell>
          <cell r="Q220">
            <v>0</v>
          </cell>
        </row>
        <row r="221">
          <cell r="B221" t="str">
            <v>JUN 2016</v>
          </cell>
          <cell r="C221" t="str">
            <v>KUCME113</v>
          </cell>
          <cell r="D221">
            <v>18584</v>
          </cell>
          <cell r="E221">
            <v>0</v>
          </cell>
          <cell r="F221">
            <v>0</v>
          </cell>
          <cell r="G221">
            <v>0</v>
          </cell>
          <cell r="H221">
            <v>98940301</v>
          </cell>
          <cell r="I221">
            <v>0</v>
          </cell>
          <cell r="J221">
            <v>0</v>
          </cell>
          <cell r="K221">
            <v>0</v>
          </cell>
          <cell r="O221">
            <v>370806</v>
          </cell>
          <cell r="P221">
            <v>0</v>
          </cell>
          <cell r="Q221">
            <v>0</v>
          </cell>
        </row>
        <row r="222">
          <cell r="B222" t="str">
            <v>JUN 2016</v>
          </cell>
          <cell r="C222" t="str">
            <v>KUCME220</v>
          </cell>
          <cell r="D222">
            <v>382</v>
          </cell>
          <cell r="E222">
            <v>0</v>
          </cell>
          <cell r="F222">
            <v>0</v>
          </cell>
          <cell r="G222">
            <v>0</v>
          </cell>
          <cell r="H222">
            <v>632032</v>
          </cell>
          <cell r="I222">
            <v>0</v>
          </cell>
          <cell r="J222">
            <v>0</v>
          </cell>
          <cell r="K222">
            <v>0</v>
          </cell>
          <cell r="O222">
            <v>0</v>
          </cell>
          <cell r="P222">
            <v>0</v>
          </cell>
          <cell r="Q222">
            <v>0</v>
          </cell>
        </row>
        <row r="223">
          <cell r="B223" t="str">
            <v>JUN 2016</v>
          </cell>
          <cell r="C223" t="str">
            <v>KURSE010</v>
          </cell>
          <cell r="D223">
            <v>431360</v>
          </cell>
          <cell r="E223">
            <v>0</v>
          </cell>
          <cell r="F223">
            <v>0</v>
          </cell>
          <cell r="G223">
            <v>0</v>
          </cell>
          <cell r="H223">
            <v>466265095</v>
          </cell>
          <cell r="I223">
            <v>0</v>
          </cell>
          <cell r="J223">
            <v>0</v>
          </cell>
          <cell r="K223">
            <v>0</v>
          </cell>
          <cell r="O223">
            <v>0</v>
          </cell>
          <cell r="P223">
            <v>0</v>
          </cell>
          <cell r="Q223">
            <v>0</v>
          </cell>
        </row>
        <row r="224">
          <cell r="B224" t="str">
            <v>JUN 2016</v>
          </cell>
          <cell r="C224" t="str">
            <v>KURSE020</v>
          </cell>
          <cell r="D224">
            <v>0</v>
          </cell>
          <cell r="E224">
            <v>0</v>
          </cell>
          <cell r="F224">
            <v>0</v>
          </cell>
          <cell r="G224">
            <v>0</v>
          </cell>
          <cell r="H224">
            <v>0</v>
          </cell>
          <cell r="I224">
            <v>0</v>
          </cell>
          <cell r="J224">
            <v>0</v>
          </cell>
          <cell r="K224">
            <v>0</v>
          </cell>
          <cell r="O224">
            <v>0</v>
          </cell>
          <cell r="P224">
            <v>0</v>
          </cell>
          <cell r="Q224">
            <v>0</v>
          </cell>
        </row>
        <row r="225">
          <cell r="B225" t="str">
            <v>JUN 2016</v>
          </cell>
          <cell r="C225" t="str">
            <v>KURSE025</v>
          </cell>
          <cell r="D225">
            <v>0</v>
          </cell>
          <cell r="E225">
            <v>0</v>
          </cell>
          <cell r="F225">
            <v>0</v>
          </cell>
          <cell r="G225">
            <v>0</v>
          </cell>
          <cell r="H225">
            <v>0</v>
          </cell>
          <cell r="I225">
            <v>0</v>
          </cell>
          <cell r="J225">
            <v>0</v>
          </cell>
          <cell r="K225">
            <v>0</v>
          </cell>
          <cell r="O225">
            <v>0</v>
          </cell>
          <cell r="P225">
            <v>0</v>
          </cell>
          <cell r="Q225">
            <v>0</v>
          </cell>
        </row>
        <row r="226">
          <cell r="B226" t="str">
            <v>JUN 2016</v>
          </cell>
          <cell r="C226" t="str">
            <v>KURSE080</v>
          </cell>
          <cell r="D226">
            <v>0</v>
          </cell>
          <cell r="E226">
            <v>0</v>
          </cell>
          <cell r="F226">
            <v>0</v>
          </cell>
          <cell r="G226">
            <v>0</v>
          </cell>
          <cell r="H226">
            <v>0</v>
          </cell>
          <cell r="I226">
            <v>0</v>
          </cell>
          <cell r="J226">
            <v>0</v>
          </cell>
          <cell r="K226">
            <v>0</v>
          </cell>
          <cell r="O226">
            <v>0</v>
          </cell>
          <cell r="P226">
            <v>0</v>
          </cell>
          <cell r="Q226">
            <v>0</v>
          </cell>
        </row>
        <row r="227">
          <cell r="B227" t="str">
            <v>JUN 2016</v>
          </cell>
          <cell r="C227" t="str">
            <v>KURSE715</v>
          </cell>
          <cell r="D227">
            <v>0</v>
          </cell>
          <cell r="E227">
            <v>0</v>
          </cell>
          <cell r="F227">
            <v>0</v>
          </cell>
          <cell r="G227">
            <v>0</v>
          </cell>
          <cell r="H227">
            <v>0</v>
          </cell>
          <cell r="I227">
            <v>0</v>
          </cell>
          <cell r="J227">
            <v>0</v>
          </cell>
          <cell r="K227">
            <v>0</v>
          </cell>
          <cell r="O227">
            <v>0</v>
          </cell>
          <cell r="P227">
            <v>0</v>
          </cell>
          <cell r="Q227">
            <v>0</v>
          </cell>
        </row>
        <row r="228">
          <cell r="B228" t="str">
            <v>JUN 2016</v>
          </cell>
          <cell r="C228" t="str">
            <v>KTRSE020</v>
          </cell>
          <cell r="D228">
            <v>0</v>
          </cell>
          <cell r="E228">
            <v>0</v>
          </cell>
          <cell r="F228">
            <v>0</v>
          </cell>
          <cell r="G228">
            <v>0</v>
          </cell>
          <cell r="H228">
            <v>0</v>
          </cell>
          <cell r="I228">
            <v>0</v>
          </cell>
          <cell r="J228">
            <v>0</v>
          </cell>
          <cell r="K228">
            <v>0</v>
          </cell>
          <cell r="O228">
            <v>0</v>
          </cell>
          <cell r="P228">
            <v>0</v>
          </cell>
          <cell r="Q228">
            <v>0</v>
          </cell>
        </row>
        <row r="229">
          <cell r="B229" t="str">
            <v>JUN 2016</v>
          </cell>
          <cell r="C229" t="str">
            <v>KTRSE030</v>
          </cell>
          <cell r="D229">
            <v>0</v>
          </cell>
          <cell r="E229">
            <v>0</v>
          </cell>
          <cell r="F229">
            <v>0</v>
          </cell>
          <cell r="G229">
            <v>0</v>
          </cell>
          <cell r="H229">
            <v>0</v>
          </cell>
          <cell r="I229">
            <v>0</v>
          </cell>
          <cell r="J229">
            <v>0</v>
          </cell>
          <cell r="K229">
            <v>0</v>
          </cell>
          <cell r="O229">
            <v>0</v>
          </cell>
          <cell r="P229">
            <v>0</v>
          </cell>
          <cell r="Q229">
            <v>0</v>
          </cell>
        </row>
        <row r="230">
          <cell r="B230" t="str">
            <v>JUN 2016</v>
          </cell>
          <cell r="C230" t="str">
            <v>KUCME710</v>
          </cell>
          <cell r="D230">
            <v>0</v>
          </cell>
          <cell r="E230">
            <v>0</v>
          </cell>
          <cell r="F230">
            <v>0</v>
          </cell>
          <cell r="G230">
            <v>0</v>
          </cell>
          <cell r="H230">
            <v>0</v>
          </cell>
          <cell r="I230">
            <v>0</v>
          </cell>
          <cell r="J230">
            <v>0</v>
          </cell>
          <cell r="K230">
            <v>0</v>
          </cell>
          <cell r="O230">
            <v>0</v>
          </cell>
          <cell r="P230">
            <v>0</v>
          </cell>
          <cell r="Q230">
            <v>0</v>
          </cell>
        </row>
        <row r="231">
          <cell r="B231" t="str">
            <v>JUN 2016</v>
          </cell>
          <cell r="C231" t="str">
            <v>KUINE730</v>
          </cell>
          <cell r="D231">
            <v>1</v>
          </cell>
          <cell r="E231">
            <v>0</v>
          </cell>
          <cell r="F231">
            <v>0</v>
          </cell>
          <cell r="G231">
            <v>0</v>
          </cell>
          <cell r="H231">
            <v>45688667</v>
          </cell>
          <cell r="I231">
            <v>0</v>
          </cell>
          <cell r="J231">
            <v>0</v>
          </cell>
          <cell r="K231">
            <v>0</v>
          </cell>
          <cell r="O231">
            <v>185158</v>
          </cell>
          <cell r="P231">
            <v>185158</v>
          </cell>
          <cell r="Q231">
            <v>101388</v>
          </cell>
        </row>
        <row r="232">
          <cell r="B232" t="str">
            <v>JUN 2016</v>
          </cell>
          <cell r="C232" t="str">
            <v>KUCME290</v>
          </cell>
          <cell r="D232">
            <v>2</v>
          </cell>
          <cell r="E232">
            <v>0</v>
          </cell>
          <cell r="F232">
            <v>0</v>
          </cell>
          <cell r="G232">
            <v>0</v>
          </cell>
          <cell r="H232">
            <v>10965</v>
          </cell>
          <cell r="I232">
            <v>0</v>
          </cell>
          <cell r="J232">
            <v>0</v>
          </cell>
          <cell r="K232">
            <v>0</v>
          </cell>
          <cell r="O232">
            <v>0</v>
          </cell>
          <cell r="P232">
            <v>0</v>
          </cell>
          <cell r="Q232">
            <v>0</v>
          </cell>
        </row>
        <row r="233">
          <cell r="B233" t="str">
            <v>JUN 2016</v>
          </cell>
          <cell r="C233" t="str">
            <v>KUCME291</v>
          </cell>
          <cell r="D233">
            <v>0</v>
          </cell>
          <cell r="E233">
            <v>0</v>
          </cell>
          <cell r="F233">
            <v>0</v>
          </cell>
          <cell r="G233">
            <v>0</v>
          </cell>
          <cell r="H233">
            <v>0</v>
          </cell>
          <cell r="I233">
            <v>0</v>
          </cell>
          <cell r="J233">
            <v>0</v>
          </cell>
          <cell r="K233">
            <v>0</v>
          </cell>
          <cell r="O233">
            <v>0</v>
          </cell>
          <cell r="P233">
            <v>0</v>
          </cell>
          <cell r="Q233">
            <v>0</v>
          </cell>
        </row>
        <row r="234">
          <cell r="B234" t="str">
            <v>JUN 2016</v>
          </cell>
          <cell r="C234" t="str">
            <v>KUCME295</v>
          </cell>
          <cell r="D234">
            <v>747</v>
          </cell>
          <cell r="E234">
            <v>0</v>
          </cell>
          <cell r="F234">
            <v>0</v>
          </cell>
          <cell r="G234">
            <v>0</v>
          </cell>
          <cell r="H234">
            <v>106303</v>
          </cell>
          <cell r="I234">
            <v>0</v>
          </cell>
          <cell r="J234">
            <v>0</v>
          </cell>
          <cell r="K234">
            <v>0</v>
          </cell>
          <cell r="O234">
            <v>0</v>
          </cell>
          <cell r="P234">
            <v>0</v>
          </cell>
          <cell r="Q234">
            <v>0</v>
          </cell>
        </row>
        <row r="235">
          <cell r="B235" t="str">
            <v>JUN 2016</v>
          </cell>
          <cell r="C235" t="str">
            <v>KUCSR760</v>
          </cell>
          <cell r="D235">
            <v>0</v>
          </cell>
          <cell r="E235">
            <v>0</v>
          </cell>
          <cell r="F235">
            <v>0</v>
          </cell>
          <cell r="G235">
            <v>0</v>
          </cell>
          <cell r="H235">
            <v>0</v>
          </cell>
          <cell r="I235">
            <v>0</v>
          </cell>
          <cell r="J235">
            <v>0</v>
          </cell>
          <cell r="K235">
            <v>0</v>
          </cell>
          <cell r="O235">
            <v>0</v>
          </cell>
          <cell r="P235">
            <v>0</v>
          </cell>
          <cell r="Q235">
            <v>0</v>
          </cell>
        </row>
        <row r="236">
          <cell r="B236" t="str">
            <v>JUN 2016</v>
          </cell>
          <cell r="C236" t="str">
            <v>KUCSR761</v>
          </cell>
          <cell r="D236">
            <v>0</v>
          </cell>
          <cell r="E236">
            <v>0</v>
          </cell>
          <cell r="F236">
            <v>0</v>
          </cell>
          <cell r="G236">
            <v>0</v>
          </cell>
          <cell r="H236">
            <v>0</v>
          </cell>
          <cell r="I236">
            <v>0</v>
          </cell>
          <cell r="J236">
            <v>0</v>
          </cell>
          <cell r="K236">
            <v>0</v>
          </cell>
          <cell r="O236">
            <v>0</v>
          </cell>
          <cell r="P236">
            <v>0</v>
          </cell>
          <cell r="Q236">
            <v>0</v>
          </cell>
        </row>
        <row r="237">
          <cell r="B237" t="str">
            <v>JUN 2016</v>
          </cell>
          <cell r="C237" t="str">
            <v>KUCSR780</v>
          </cell>
          <cell r="D237">
            <v>0</v>
          </cell>
          <cell r="E237">
            <v>0</v>
          </cell>
          <cell r="F237">
            <v>0</v>
          </cell>
          <cell r="G237">
            <v>0</v>
          </cell>
          <cell r="H237">
            <v>0</v>
          </cell>
          <cell r="I237">
            <v>0</v>
          </cell>
          <cell r="J237">
            <v>0</v>
          </cell>
          <cell r="K237">
            <v>0</v>
          </cell>
          <cell r="O237">
            <v>0</v>
          </cell>
          <cell r="P237">
            <v>0</v>
          </cell>
          <cell r="Q237">
            <v>0</v>
          </cell>
        </row>
        <row r="238">
          <cell r="B238" t="str">
            <v>JUN 2016</v>
          </cell>
          <cell r="C238" t="str">
            <v>KUCSR781</v>
          </cell>
          <cell r="D238">
            <v>0</v>
          </cell>
          <cell r="E238">
            <v>0</v>
          </cell>
          <cell r="F238">
            <v>0</v>
          </cell>
          <cell r="G238">
            <v>0</v>
          </cell>
          <cell r="H238">
            <v>0</v>
          </cell>
          <cell r="I238">
            <v>0</v>
          </cell>
          <cell r="J238">
            <v>0</v>
          </cell>
          <cell r="K238">
            <v>0</v>
          </cell>
          <cell r="O238">
            <v>0</v>
          </cell>
          <cell r="P238">
            <v>0</v>
          </cell>
          <cell r="Q238">
            <v>0</v>
          </cell>
        </row>
        <row r="239">
          <cell r="B239" t="str">
            <v>JUN 2016</v>
          </cell>
          <cell r="C239" t="str">
            <v>KUCSR783</v>
          </cell>
          <cell r="D239">
            <v>0</v>
          </cell>
          <cell r="E239">
            <v>0</v>
          </cell>
          <cell r="F239">
            <v>0</v>
          </cell>
          <cell r="G239">
            <v>0</v>
          </cell>
          <cell r="H239">
            <v>0</v>
          </cell>
          <cell r="I239">
            <v>0</v>
          </cell>
          <cell r="J239">
            <v>0</v>
          </cell>
          <cell r="K239">
            <v>0</v>
          </cell>
          <cell r="O239">
            <v>0</v>
          </cell>
          <cell r="P239">
            <v>0</v>
          </cell>
          <cell r="Q239">
            <v>0</v>
          </cell>
        </row>
        <row r="240">
          <cell r="B240" t="str">
            <v>JUN 2016</v>
          </cell>
          <cell r="C240" t="str">
            <v>KUCME713</v>
          </cell>
          <cell r="D240">
            <v>0</v>
          </cell>
          <cell r="E240">
            <v>0</v>
          </cell>
          <cell r="F240">
            <v>0</v>
          </cell>
          <cell r="G240">
            <v>0</v>
          </cell>
          <cell r="H240">
            <v>0</v>
          </cell>
          <cell r="I240">
            <v>0</v>
          </cell>
          <cell r="J240">
            <v>0</v>
          </cell>
          <cell r="K240">
            <v>0</v>
          </cell>
          <cell r="O240">
            <v>0</v>
          </cell>
          <cell r="P240">
            <v>0</v>
          </cell>
          <cell r="Q240">
            <v>0</v>
          </cell>
        </row>
        <row r="241">
          <cell r="B241" t="str">
            <v>JUN 2016</v>
          </cell>
          <cell r="C241" t="str">
            <v>KUCIE717</v>
          </cell>
          <cell r="D241">
            <v>0</v>
          </cell>
          <cell r="E241">
            <v>0</v>
          </cell>
          <cell r="F241">
            <v>0</v>
          </cell>
          <cell r="G241">
            <v>0</v>
          </cell>
          <cell r="H241">
            <v>0</v>
          </cell>
          <cell r="I241">
            <v>0</v>
          </cell>
          <cell r="J241">
            <v>0</v>
          </cell>
          <cell r="K241">
            <v>0</v>
          </cell>
          <cell r="O241">
            <v>0</v>
          </cell>
          <cell r="P241">
            <v>0</v>
          </cell>
          <cell r="Q241">
            <v>0</v>
          </cell>
        </row>
        <row r="242">
          <cell r="B242" t="str">
            <v>JUN 2016</v>
          </cell>
          <cell r="C242" t="str">
            <v>KUCME223</v>
          </cell>
          <cell r="D242">
            <v>0</v>
          </cell>
          <cell r="E242">
            <v>0</v>
          </cell>
          <cell r="F242">
            <v>0</v>
          </cell>
          <cell r="G242">
            <v>0</v>
          </cell>
          <cell r="H242">
            <v>0</v>
          </cell>
          <cell r="I242">
            <v>0</v>
          </cell>
          <cell r="J242">
            <v>0</v>
          </cell>
          <cell r="K242">
            <v>0</v>
          </cell>
          <cell r="O242">
            <v>0</v>
          </cell>
          <cell r="P242">
            <v>0</v>
          </cell>
          <cell r="Q242">
            <v>0</v>
          </cell>
        </row>
        <row r="243">
          <cell r="B243" t="str">
            <v>JUN 2016</v>
          </cell>
          <cell r="C243" t="str">
            <v>KURSE040</v>
          </cell>
          <cell r="D243">
            <v>8</v>
          </cell>
          <cell r="E243">
            <v>5929</v>
          </cell>
          <cell r="F243">
            <v>1787</v>
          </cell>
          <cell r="G243">
            <v>1446</v>
          </cell>
          <cell r="H243">
            <v>9162</v>
          </cell>
          <cell r="I243">
            <v>0</v>
          </cell>
          <cell r="J243">
            <v>0</v>
          </cell>
          <cell r="K243">
            <v>0</v>
          </cell>
          <cell r="O243">
            <v>0</v>
          </cell>
          <cell r="P243">
            <v>0</v>
          </cell>
          <cell r="Q243">
            <v>0</v>
          </cell>
        </row>
        <row r="244">
          <cell r="B244" t="str">
            <v>JUN 2016</v>
          </cell>
          <cell r="C244" t="str">
            <v>KUCME221</v>
          </cell>
          <cell r="D244">
            <v>0</v>
          </cell>
          <cell r="E244">
            <v>0</v>
          </cell>
          <cell r="F244">
            <v>0</v>
          </cell>
          <cell r="G244">
            <v>0</v>
          </cell>
          <cell r="H244">
            <v>0</v>
          </cell>
          <cell r="I244">
            <v>0</v>
          </cell>
          <cell r="J244">
            <v>0</v>
          </cell>
          <cell r="K244">
            <v>0</v>
          </cell>
          <cell r="O244">
            <v>0</v>
          </cell>
          <cell r="P244">
            <v>0</v>
          </cell>
          <cell r="Q244">
            <v>0</v>
          </cell>
        </row>
        <row r="245">
          <cell r="B245" t="str">
            <v>JUN 2016</v>
          </cell>
          <cell r="C245" t="str">
            <v>KUCME224</v>
          </cell>
          <cell r="D245">
            <v>265</v>
          </cell>
          <cell r="E245">
            <v>0</v>
          </cell>
          <cell r="F245">
            <v>0</v>
          </cell>
          <cell r="G245">
            <v>0</v>
          </cell>
          <cell r="H245">
            <v>11714400</v>
          </cell>
          <cell r="I245">
            <v>0</v>
          </cell>
          <cell r="J245">
            <v>0</v>
          </cell>
          <cell r="K245">
            <v>0</v>
          </cell>
          <cell r="O245">
            <v>47329</v>
          </cell>
          <cell r="P245">
            <v>0</v>
          </cell>
          <cell r="Q245">
            <v>0</v>
          </cell>
        </row>
        <row r="246">
          <cell r="B246" t="str">
            <v>JUN 2016</v>
          </cell>
          <cell r="C246" t="str">
            <v>KUCME297</v>
          </cell>
          <cell r="D246">
            <v>0</v>
          </cell>
          <cell r="E246">
            <v>0</v>
          </cell>
          <cell r="F246">
            <v>0</v>
          </cell>
          <cell r="G246">
            <v>0</v>
          </cell>
          <cell r="H246">
            <v>0</v>
          </cell>
          <cell r="I246">
            <v>0</v>
          </cell>
          <cell r="J246">
            <v>0</v>
          </cell>
          <cell r="K246">
            <v>0</v>
          </cell>
          <cell r="O246">
            <v>0</v>
          </cell>
          <cell r="P246">
            <v>0</v>
          </cell>
          <cell r="Q246">
            <v>0</v>
          </cell>
        </row>
        <row r="247">
          <cell r="B247" t="str">
            <v>JUN 2016</v>
          </cell>
          <cell r="C247" t="str">
            <v>KUCME225</v>
          </cell>
          <cell r="D247">
            <v>0</v>
          </cell>
          <cell r="E247">
            <v>0</v>
          </cell>
          <cell r="F247">
            <v>0</v>
          </cell>
          <cell r="G247">
            <v>0</v>
          </cell>
          <cell r="H247">
            <v>0</v>
          </cell>
          <cell r="I247">
            <v>0</v>
          </cell>
          <cell r="J247">
            <v>0</v>
          </cell>
          <cell r="K247">
            <v>0</v>
          </cell>
          <cell r="O247">
            <v>0</v>
          </cell>
          <cell r="P247">
            <v>0</v>
          </cell>
          <cell r="Q247">
            <v>0</v>
          </cell>
        </row>
        <row r="248">
          <cell r="B248" t="str">
            <v>JUN 2016</v>
          </cell>
          <cell r="C248" t="str">
            <v>KUCME226</v>
          </cell>
          <cell r="D248">
            <v>0</v>
          </cell>
          <cell r="E248">
            <v>0</v>
          </cell>
          <cell r="F248">
            <v>0</v>
          </cell>
          <cell r="G248">
            <v>0</v>
          </cell>
          <cell r="H248">
            <v>0</v>
          </cell>
          <cell r="I248">
            <v>0</v>
          </cell>
          <cell r="J248">
            <v>0</v>
          </cell>
          <cell r="K248">
            <v>0</v>
          </cell>
          <cell r="O248">
            <v>0</v>
          </cell>
          <cell r="P248">
            <v>0</v>
          </cell>
          <cell r="Q248">
            <v>0</v>
          </cell>
        </row>
        <row r="249">
          <cell r="B249" t="str">
            <v>JUN 2016</v>
          </cell>
          <cell r="C249" t="str">
            <v>KUCME227</v>
          </cell>
          <cell r="D249">
            <v>0</v>
          </cell>
          <cell r="E249">
            <v>0</v>
          </cell>
          <cell r="F249">
            <v>0</v>
          </cell>
          <cell r="G249">
            <v>0</v>
          </cell>
          <cell r="H249">
            <v>0</v>
          </cell>
          <cell r="I249">
            <v>0</v>
          </cell>
          <cell r="J249">
            <v>0</v>
          </cell>
          <cell r="K249">
            <v>0</v>
          </cell>
          <cell r="O249">
            <v>0</v>
          </cell>
          <cell r="P249">
            <v>0</v>
          </cell>
          <cell r="Q249">
            <v>0</v>
          </cell>
        </row>
        <row r="250">
          <cell r="B250" t="str">
            <v>JUN 2016</v>
          </cell>
          <cell r="C250" t="str">
            <v>Result</v>
          </cell>
        </row>
        <row r="251">
          <cell r="B251" t="str">
            <v>JUL 2015</v>
          </cell>
          <cell r="C251" t="str">
            <v>KUCIE550</v>
          </cell>
          <cell r="D251">
            <v>32</v>
          </cell>
          <cell r="E251">
            <v>0</v>
          </cell>
          <cell r="F251">
            <v>0</v>
          </cell>
          <cell r="G251">
            <v>0</v>
          </cell>
          <cell r="H251">
            <v>124179788</v>
          </cell>
          <cell r="I251">
            <v>0</v>
          </cell>
          <cell r="J251">
            <v>0</v>
          </cell>
          <cell r="K251">
            <v>0</v>
          </cell>
          <cell r="O251">
            <v>303016</v>
          </cell>
          <cell r="P251">
            <v>286022</v>
          </cell>
          <cell r="Q251">
            <v>282760</v>
          </cell>
        </row>
        <row r="252">
          <cell r="B252" t="str">
            <v>JUL 2015</v>
          </cell>
          <cell r="C252" t="str">
            <v>KUCIE561</v>
          </cell>
          <cell r="D252">
            <v>204</v>
          </cell>
          <cell r="E252">
            <v>0</v>
          </cell>
          <cell r="F252">
            <v>0</v>
          </cell>
          <cell r="G252">
            <v>0</v>
          </cell>
          <cell r="H252">
            <v>22656623</v>
          </cell>
          <cell r="I252">
            <v>0</v>
          </cell>
          <cell r="J252">
            <v>0</v>
          </cell>
          <cell r="K252">
            <v>0</v>
          </cell>
          <cell r="O252">
            <v>0</v>
          </cell>
          <cell r="P252">
            <v>0</v>
          </cell>
          <cell r="Q252">
            <v>61569</v>
          </cell>
        </row>
        <row r="253">
          <cell r="B253" t="str">
            <v>JUL 2015</v>
          </cell>
          <cell r="C253" t="str">
            <v>KUCIE562</v>
          </cell>
          <cell r="D253">
            <v>4710</v>
          </cell>
          <cell r="E253">
            <v>0</v>
          </cell>
          <cell r="F253">
            <v>0</v>
          </cell>
          <cell r="G253">
            <v>0</v>
          </cell>
          <cell r="H253">
            <v>209548842</v>
          </cell>
          <cell r="I253">
            <v>0</v>
          </cell>
          <cell r="J253">
            <v>0</v>
          </cell>
          <cell r="K253">
            <v>0</v>
          </cell>
          <cell r="O253">
            <v>0</v>
          </cell>
          <cell r="P253">
            <v>0</v>
          </cell>
          <cell r="Q253">
            <v>679556</v>
          </cell>
        </row>
        <row r="254">
          <cell r="B254" t="str">
            <v>JUL 2015</v>
          </cell>
          <cell r="C254" t="str">
            <v>KUCIE563</v>
          </cell>
          <cell r="D254">
            <v>52</v>
          </cell>
          <cell r="E254">
            <v>0</v>
          </cell>
          <cell r="F254">
            <v>0</v>
          </cell>
          <cell r="G254">
            <v>0</v>
          </cell>
          <cell r="H254">
            <v>279512046</v>
          </cell>
          <cell r="I254">
            <v>0</v>
          </cell>
          <cell r="J254">
            <v>0</v>
          </cell>
          <cell r="K254">
            <v>0</v>
          </cell>
          <cell r="O254">
            <v>560341</v>
          </cell>
          <cell r="P254">
            <v>548515</v>
          </cell>
          <cell r="Q254">
            <v>538936</v>
          </cell>
        </row>
        <row r="255">
          <cell r="B255" t="str">
            <v>JUL 2015</v>
          </cell>
          <cell r="C255" t="str">
            <v>KUCIE566</v>
          </cell>
          <cell r="D255">
            <v>0</v>
          </cell>
          <cell r="E255">
            <v>0</v>
          </cell>
          <cell r="F255">
            <v>0</v>
          </cell>
          <cell r="G255">
            <v>0</v>
          </cell>
          <cell r="H255">
            <v>0</v>
          </cell>
          <cell r="I255">
            <v>0</v>
          </cell>
          <cell r="J255">
            <v>0</v>
          </cell>
          <cell r="K255">
            <v>0</v>
          </cell>
          <cell r="O255">
            <v>0</v>
          </cell>
          <cell r="P255">
            <v>0</v>
          </cell>
          <cell r="Q255">
            <v>0</v>
          </cell>
        </row>
        <row r="256">
          <cell r="B256" t="str">
            <v>JUL 2015</v>
          </cell>
          <cell r="C256" t="str">
            <v>KUCIE568</v>
          </cell>
          <cell r="D256">
            <v>0</v>
          </cell>
          <cell r="E256">
            <v>0</v>
          </cell>
          <cell r="F256">
            <v>0</v>
          </cell>
          <cell r="G256">
            <v>0</v>
          </cell>
          <cell r="H256">
            <v>0</v>
          </cell>
          <cell r="I256">
            <v>0</v>
          </cell>
          <cell r="J256">
            <v>0</v>
          </cell>
          <cell r="K256">
            <v>0</v>
          </cell>
          <cell r="O256">
            <v>0</v>
          </cell>
          <cell r="P256">
            <v>0</v>
          </cell>
          <cell r="Q256">
            <v>0</v>
          </cell>
        </row>
        <row r="257">
          <cell r="B257" t="str">
            <v>JUL 2015</v>
          </cell>
          <cell r="C257" t="str">
            <v>KUCIE571</v>
          </cell>
          <cell r="D257">
            <v>194</v>
          </cell>
          <cell r="E257">
            <v>0</v>
          </cell>
          <cell r="F257">
            <v>0</v>
          </cell>
          <cell r="G257">
            <v>0</v>
          </cell>
          <cell r="H257">
            <v>116315819</v>
          </cell>
          <cell r="I257">
            <v>0</v>
          </cell>
          <cell r="J257">
            <v>0</v>
          </cell>
          <cell r="K257">
            <v>0</v>
          </cell>
          <cell r="O257">
            <v>298883</v>
          </cell>
          <cell r="P257">
            <v>286626</v>
          </cell>
          <cell r="Q257">
            <v>280422</v>
          </cell>
        </row>
        <row r="258">
          <cell r="B258" t="str">
            <v>JUL 2015</v>
          </cell>
          <cell r="C258" t="str">
            <v>KUCIE572</v>
          </cell>
          <cell r="D258">
            <v>461</v>
          </cell>
          <cell r="E258">
            <v>0</v>
          </cell>
          <cell r="F258">
            <v>0</v>
          </cell>
          <cell r="G258">
            <v>0</v>
          </cell>
          <cell r="H258">
            <v>149714839</v>
          </cell>
          <cell r="I258">
            <v>0</v>
          </cell>
          <cell r="J258">
            <v>0</v>
          </cell>
          <cell r="K258">
            <v>0</v>
          </cell>
          <cell r="O258">
            <v>361109</v>
          </cell>
          <cell r="P258">
            <v>337141</v>
          </cell>
          <cell r="Q258">
            <v>330579</v>
          </cell>
        </row>
        <row r="259">
          <cell r="B259" t="str">
            <v>JUL 2015</v>
          </cell>
          <cell r="C259" t="str">
            <v>KUCME110</v>
          </cell>
          <cell r="D259">
            <v>63491</v>
          </cell>
          <cell r="E259">
            <v>0</v>
          </cell>
          <cell r="F259">
            <v>0</v>
          </cell>
          <cell r="G259">
            <v>0</v>
          </cell>
          <cell r="H259">
            <v>71183680</v>
          </cell>
          <cell r="I259">
            <v>0</v>
          </cell>
          <cell r="J259">
            <v>0</v>
          </cell>
          <cell r="K259">
            <v>0</v>
          </cell>
          <cell r="O259">
            <v>0</v>
          </cell>
          <cell r="P259">
            <v>0</v>
          </cell>
          <cell r="Q259">
            <v>0</v>
          </cell>
        </row>
        <row r="260">
          <cell r="B260" t="str">
            <v>JUL 2015</v>
          </cell>
          <cell r="C260" t="str">
            <v>KUCME112</v>
          </cell>
          <cell r="D260">
            <v>0</v>
          </cell>
          <cell r="E260">
            <v>0</v>
          </cell>
          <cell r="F260">
            <v>0</v>
          </cell>
          <cell r="G260">
            <v>0</v>
          </cell>
          <cell r="H260">
            <v>0</v>
          </cell>
          <cell r="I260">
            <v>0</v>
          </cell>
          <cell r="J260">
            <v>0</v>
          </cell>
          <cell r="K260">
            <v>0</v>
          </cell>
          <cell r="O260">
            <v>0</v>
          </cell>
          <cell r="P260">
            <v>0</v>
          </cell>
          <cell r="Q260">
            <v>0</v>
          </cell>
        </row>
        <row r="261">
          <cell r="B261" t="str">
            <v>JUL 2015</v>
          </cell>
          <cell r="C261" t="str">
            <v>KUCME113</v>
          </cell>
          <cell r="D261">
            <v>18559</v>
          </cell>
          <cell r="E261">
            <v>0</v>
          </cell>
          <cell r="F261">
            <v>0</v>
          </cell>
          <cell r="G261">
            <v>0</v>
          </cell>
          <cell r="H261">
            <v>104399599</v>
          </cell>
          <cell r="I261">
            <v>0</v>
          </cell>
          <cell r="J261">
            <v>0</v>
          </cell>
          <cell r="K261">
            <v>0</v>
          </cell>
          <cell r="O261">
            <v>378299</v>
          </cell>
          <cell r="P261">
            <v>0</v>
          </cell>
          <cell r="Q261">
            <v>0</v>
          </cell>
        </row>
        <row r="262">
          <cell r="B262" t="str">
            <v>JUL 2015</v>
          </cell>
          <cell r="C262" t="str">
            <v>KUCME220</v>
          </cell>
          <cell r="D262">
            <v>377</v>
          </cell>
          <cell r="E262">
            <v>0</v>
          </cell>
          <cell r="F262">
            <v>0</v>
          </cell>
          <cell r="G262">
            <v>0</v>
          </cell>
          <cell r="H262">
            <v>629052</v>
          </cell>
          <cell r="I262">
            <v>0</v>
          </cell>
          <cell r="J262">
            <v>0</v>
          </cell>
          <cell r="K262">
            <v>0</v>
          </cell>
          <cell r="O262">
            <v>0</v>
          </cell>
          <cell r="P262">
            <v>0</v>
          </cell>
          <cell r="Q262">
            <v>0</v>
          </cell>
        </row>
        <row r="263">
          <cell r="B263" t="str">
            <v>JUL 2015</v>
          </cell>
          <cell r="C263" t="str">
            <v>KURSE010</v>
          </cell>
          <cell r="D263">
            <v>429309</v>
          </cell>
          <cell r="E263">
            <v>0</v>
          </cell>
          <cell r="F263">
            <v>0</v>
          </cell>
          <cell r="G263">
            <v>0</v>
          </cell>
          <cell r="H263">
            <v>564329531</v>
          </cell>
          <cell r="I263">
            <v>0</v>
          </cell>
          <cell r="J263">
            <v>0</v>
          </cell>
          <cell r="K263">
            <v>0</v>
          </cell>
          <cell r="O263">
            <v>0</v>
          </cell>
          <cell r="P263">
            <v>0</v>
          </cell>
          <cell r="Q263">
            <v>0</v>
          </cell>
        </row>
        <row r="264">
          <cell r="B264" t="str">
            <v>JUL 2015</v>
          </cell>
          <cell r="C264" t="str">
            <v>KURSE020</v>
          </cell>
          <cell r="D264">
            <v>0</v>
          </cell>
          <cell r="E264">
            <v>0</v>
          </cell>
          <cell r="F264">
            <v>0</v>
          </cell>
          <cell r="G264">
            <v>0</v>
          </cell>
          <cell r="H264">
            <v>0</v>
          </cell>
          <cell r="I264">
            <v>0</v>
          </cell>
          <cell r="J264">
            <v>0</v>
          </cell>
          <cell r="K264">
            <v>0</v>
          </cell>
          <cell r="O264">
            <v>0</v>
          </cell>
          <cell r="P264">
            <v>0</v>
          </cell>
          <cell r="Q264">
            <v>0</v>
          </cell>
        </row>
        <row r="265">
          <cell r="B265" t="str">
            <v>JUL 2015</v>
          </cell>
          <cell r="C265" t="str">
            <v>KURSE025</v>
          </cell>
          <cell r="D265">
            <v>0</v>
          </cell>
          <cell r="E265">
            <v>0</v>
          </cell>
          <cell r="F265">
            <v>0</v>
          </cell>
          <cell r="G265">
            <v>0</v>
          </cell>
          <cell r="H265">
            <v>0</v>
          </cell>
          <cell r="I265">
            <v>0</v>
          </cell>
          <cell r="J265">
            <v>0</v>
          </cell>
          <cell r="K265">
            <v>0</v>
          </cell>
          <cell r="O265">
            <v>0</v>
          </cell>
          <cell r="P265">
            <v>0</v>
          </cell>
          <cell r="Q265">
            <v>0</v>
          </cell>
        </row>
        <row r="266">
          <cell r="B266" t="str">
            <v>JUL 2015</v>
          </cell>
          <cell r="C266" t="str">
            <v>KURSE080</v>
          </cell>
          <cell r="D266">
            <v>0</v>
          </cell>
          <cell r="E266">
            <v>0</v>
          </cell>
          <cell r="F266">
            <v>0</v>
          </cell>
          <cell r="G266">
            <v>0</v>
          </cell>
          <cell r="H266">
            <v>0</v>
          </cell>
          <cell r="I266">
            <v>0</v>
          </cell>
          <cell r="J266">
            <v>0</v>
          </cell>
          <cell r="K266">
            <v>0</v>
          </cell>
          <cell r="O266">
            <v>0</v>
          </cell>
          <cell r="P266">
            <v>0</v>
          </cell>
          <cell r="Q266">
            <v>0</v>
          </cell>
        </row>
        <row r="267">
          <cell r="B267" t="str">
            <v>JUL 2015</v>
          </cell>
          <cell r="C267" t="str">
            <v>KURSE715</v>
          </cell>
          <cell r="D267">
            <v>0</v>
          </cell>
          <cell r="E267">
            <v>0</v>
          </cell>
          <cell r="F267">
            <v>0</v>
          </cell>
          <cell r="G267">
            <v>0</v>
          </cell>
          <cell r="H267">
            <v>0</v>
          </cell>
          <cell r="I267">
            <v>0</v>
          </cell>
          <cell r="J267">
            <v>0</v>
          </cell>
          <cell r="K267">
            <v>0</v>
          </cell>
          <cell r="O267">
            <v>0</v>
          </cell>
          <cell r="P267">
            <v>0</v>
          </cell>
          <cell r="Q267">
            <v>0</v>
          </cell>
        </row>
        <row r="268">
          <cell r="B268" t="str">
            <v>JUL 2015</v>
          </cell>
          <cell r="C268" t="str">
            <v>KTRSE020</v>
          </cell>
          <cell r="D268">
            <v>0</v>
          </cell>
          <cell r="E268">
            <v>0</v>
          </cell>
          <cell r="F268">
            <v>0</v>
          </cell>
          <cell r="G268">
            <v>0</v>
          </cell>
          <cell r="H268">
            <v>0</v>
          </cell>
          <cell r="I268">
            <v>0</v>
          </cell>
          <cell r="J268">
            <v>0</v>
          </cell>
          <cell r="K268">
            <v>0</v>
          </cell>
          <cell r="O268">
            <v>0</v>
          </cell>
          <cell r="P268">
            <v>0</v>
          </cell>
          <cell r="Q268">
            <v>0</v>
          </cell>
        </row>
        <row r="269">
          <cell r="B269" t="str">
            <v>JUL 2015</v>
          </cell>
          <cell r="C269" t="str">
            <v>KTRSE030</v>
          </cell>
          <cell r="D269">
            <v>0</v>
          </cell>
          <cell r="E269">
            <v>0</v>
          </cell>
          <cell r="F269">
            <v>0</v>
          </cell>
          <cell r="G269">
            <v>0</v>
          </cell>
          <cell r="H269">
            <v>0</v>
          </cell>
          <cell r="I269">
            <v>0</v>
          </cell>
          <cell r="J269">
            <v>0</v>
          </cell>
          <cell r="K269">
            <v>0</v>
          </cell>
          <cell r="O269">
            <v>0</v>
          </cell>
          <cell r="P269">
            <v>0</v>
          </cell>
          <cell r="Q269">
            <v>0</v>
          </cell>
        </row>
        <row r="270">
          <cell r="B270" t="str">
            <v>JUL 2015</v>
          </cell>
          <cell r="C270" t="str">
            <v>KUCME710</v>
          </cell>
          <cell r="D270">
            <v>0</v>
          </cell>
          <cell r="E270">
            <v>0</v>
          </cell>
          <cell r="F270">
            <v>0</v>
          </cell>
          <cell r="G270">
            <v>0</v>
          </cell>
          <cell r="H270">
            <v>0</v>
          </cell>
          <cell r="I270">
            <v>0</v>
          </cell>
          <cell r="J270">
            <v>0</v>
          </cell>
          <cell r="K270">
            <v>0</v>
          </cell>
          <cell r="O270">
            <v>0</v>
          </cell>
          <cell r="P270">
            <v>0</v>
          </cell>
          <cell r="Q270">
            <v>0</v>
          </cell>
        </row>
        <row r="271">
          <cell r="B271" t="str">
            <v>JUL 2015</v>
          </cell>
          <cell r="C271" t="str">
            <v>KUINE730</v>
          </cell>
          <cell r="D271">
            <v>1</v>
          </cell>
          <cell r="E271">
            <v>0</v>
          </cell>
          <cell r="F271">
            <v>0</v>
          </cell>
          <cell r="G271">
            <v>0</v>
          </cell>
          <cell r="H271">
            <v>44549469</v>
          </cell>
          <cell r="I271">
            <v>0</v>
          </cell>
          <cell r="J271">
            <v>0</v>
          </cell>
          <cell r="K271">
            <v>0</v>
          </cell>
          <cell r="O271">
            <v>185158</v>
          </cell>
          <cell r="P271">
            <v>185158</v>
          </cell>
          <cell r="Q271">
            <v>101388</v>
          </cell>
        </row>
        <row r="272">
          <cell r="B272" t="str">
            <v>JUL 2015</v>
          </cell>
          <cell r="C272" t="str">
            <v>KUCME290</v>
          </cell>
          <cell r="D272">
            <v>2</v>
          </cell>
          <cell r="E272">
            <v>0</v>
          </cell>
          <cell r="F272">
            <v>0</v>
          </cell>
          <cell r="G272">
            <v>0</v>
          </cell>
          <cell r="H272">
            <v>8713</v>
          </cell>
          <cell r="I272">
            <v>0</v>
          </cell>
          <cell r="J272">
            <v>0</v>
          </cell>
          <cell r="K272">
            <v>0</v>
          </cell>
          <cell r="O272">
            <v>0</v>
          </cell>
          <cell r="P272">
            <v>0</v>
          </cell>
          <cell r="Q272">
            <v>0</v>
          </cell>
        </row>
        <row r="273">
          <cell r="B273" t="str">
            <v>JUL 2015</v>
          </cell>
          <cell r="C273" t="str">
            <v>KUCME291</v>
          </cell>
          <cell r="D273">
            <v>0</v>
          </cell>
          <cell r="E273">
            <v>0</v>
          </cell>
          <cell r="F273">
            <v>0</v>
          </cell>
          <cell r="G273">
            <v>0</v>
          </cell>
          <cell r="H273">
            <v>0</v>
          </cell>
          <cell r="I273">
            <v>0</v>
          </cell>
          <cell r="J273">
            <v>0</v>
          </cell>
          <cell r="K273">
            <v>0</v>
          </cell>
          <cell r="O273">
            <v>0</v>
          </cell>
          <cell r="P273">
            <v>0</v>
          </cell>
          <cell r="Q273">
            <v>0</v>
          </cell>
        </row>
        <row r="274">
          <cell r="B274" t="str">
            <v>JUL 2015</v>
          </cell>
          <cell r="C274" t="str">
            <v>KUCME295</v>
          </cell>
          <cell r="D274">
            <v>747</v>
          </cell>
          <cell r="E274">
            <v>0</v>
          </cell>
          <cell r="F274">
            <v>0</v>
          </cell>
          <cell r="G274">
            <v>0</v>
          </cell>
          <cell r="H274">
            <v>101733</v>
          </cell>
          <cell r="I274">
            <v>0</v>
          </cell>
          <cell r="J274">
            <v>0</v>
          </cell>
          <cell r="K274">
            <v>0</v>
          </cell>
          <cell r="O274">
            <v>0</v>
          </cell>
          <cell r="P274">
            <v>0</v>
          </cell>
          <cell r="Q274">
            <v>0</v>
          </cell>
        </row>
        <row r="275">
          <cell r="B275" t="str">
            <v>JUL 2015</v>
          </cell>
          <cell r="C275" t="str">
            <v>KUCSR760</v>
          </cell>
          <cell r="D275">
            <v>0</v>
          </cell>
          <cell r="E275">
            <v>0</v>
          </cell>
          <cell r="F275">
            <v>0</v>
          </cell>
          <cell r="G275">
            <v>0</v>
          </cell>
          <cell r="H275">
            <v>0</v>
          </cell>
          <cell r="I275">
            <v>0</v>
          </cell>
          <cell r="J275">
            <v>0</v>
          </cell>
          <cell r="K275">
            <v>0</v>
          </cell>
          <cell r="O275">
            <v>0</v>
          </cell>
          <cell r="P275">
            <v>0</v>
          </cell>
          <cell r="Q275">
            <v>0</v>
          </cell>
        </row>
        <row r="276">
          <cell r="B276" t="str">
            <v>JUL 2015</v>
          </cell>
          <cell r="C276" t="str">
            <v>KUCSR761</v>
          </cell>
          <cell r="D276">
            <v>0</v>
          </cell>
          <cell r="E276">
            <v>0</v>
          </cell>
          <cell r="F276">
            <v>0</v>
          </cell>
          <cell r="G276">
            <v>0</v>
          </cell>
          <cell r="H276">
            <v>0</v>
          </cell>
          <cell r="I276">
            <v>0</v>
          </cell>
          <cell r="J276">
            <v>0</v>
          </cell>
          <cell r="K276">
            <v>0</v>
          </cell>
          <cell r="O276">
            <v>0</v>
          </cell>
          <cell r="P276">
            <v>0</v>
          </cell>
          <cell r="Q276">
            <v>0</v>
          </cell>
        </row>
        <row r="277">
          <cell r="B277" t="str">
            <v>JUL 2015</v>
          </cell>
          <cell r="C277" t="str">
            <v>KUCSR780</v>
          </cell>
          <cell r="D277">
            <v>0</v>
          </cell>
          <cell r="E277">
            <v>0</v>
          </cell>
          <cell r="F277">
            <v>0</v>
          </cell>
          <cell r="G277">
            <v>0</v>
          </cell>
          <cell r="H277">
            <v>0</v>
          </cell>
          <cell r="I277">
            <v>0</v>
          </cell>
          <cell r="J277">
            <v>0</v>
          </cell>
          <cell r="K277">
            <v>0</v>
          </cell>
          <cell r="O277">
            <v>0</v>
          </cell>
          <cell r="P277">
            <v>0</v>
          </cell>
          <cell r="Q277">
            <v>0</v>
          </cell>
        </row>
        <row r="278">
          <cell r="B278" t="str">
            <v>JUL 2015</v>
          </cell>
          <cell r="C278" t="str">
            <v>KUCSR781</v>
          </cell>
          <cell r="D278">
            <v>0</v>
          </cell>
          <cell r="E278">
            <v>0</v>
          </cell>
          <cell r="F278">
            <v>0</v>
          </cell>
          <cell r="G278">
            <v>0</v>
          </cell>
          <cell r="H278">
            <v>0</v>
          </cell>
          <cell r="I278">
            <v>0</v>
          </cell>
          <cell r="J278">
            <v>0</v>
          </cell>
          <cell r="K278">
            <v>0</v>
          </cell>
          <cell r="O278">
            <v>0</v>
          </cell>
          <cell r="P278">
            <v>0</v>
          </cell>
          <cell r="Q278">
            <v>0</v>
          </cell>
        </row>
        <row r="279">
          <cell r="B279" t="str">
            <v>JUL 2015</v>
          </cell>
          <cell r="C279" t="str">
            <v>KUCSR783</v>
          </cell>
          <cell r="D279">
            <v>0</v>
          </cell>
          <cell r="E279">
            <v>0</v>
          </cell>
          <cell r="F279">
            <v>0</v>
          </cell>
          <cell r="G279">
            <v>0</v>
          </cell>
          <cell r="H279">
            <v>0</v>
          </cell>
          <cell r="I279">
            <v>0</v>
          </cell>
          <cell r="J279">
            <v>0</v>
          </cell>
          <cell r="K279">
            <v>0</v>
          </cell>
          <cell r="O279">
            <v>0</v>
          </cell>
          <cell r="P279">
            <v>0</v>
          </cell>
          <cell r="Q279">
            <v>0</v>
          </cell>
        </row>
        <row r="280">
          <cell r="B280" t="str">
            <v>JUL 2015</v>
          </cell>
          <cell r="C280" t="str">
            <v>KUCME713</v>
          </cell>
          <cell r="D280">
            <v>0</v>
          </cell>
          <cell r="E280">
            <v>0</v>
          </cell>
          <cell r="F280">
            <v>0</v>
          </cell>
          <cell r="G280">
            <v>0</v>
          </cell>
          <cell r="H280">
            <v>0</v>
          </cell>
          <cell r="I280">
            <v>0</v>
          </cell>
          <cell r="J280">
            <v>0</v>
          </cell>
          <cell r="K280">
            <v>0</v>
          </cell>
          <cell r="O280">
            <v>0</v>
          </cell>
          <cell r="P280">
            <v>0</v>
          </cell>
          <cell r="Q280">
            <v>0</v>
          </cell>
        </row>
        <row r="281">
          <cell r="B281" t="str">
            <v>JUL 2015</v>
          </cell>
          <cell r="C281" t="str">
            <v>KUCIE717</v>
          </cell>
          <cell r="D281">
            <v>0</v>
          </cell>
          <cell r="E281">
            <v>0</v>
          </cell>
          <cell r="F281">
            <v>0</v>
          </cell>
          <cell r="G281">
            <v>0</v>
          </cell>
          <cell r="H281">
            <v>0</v>
          </cell>
          <cell r="I281">
            <v>0</v>
          </cell>
          <cell r="J281">
            <v>0</v>
          </cell>
          <cell r="K281">
            <v>0</v>
          </cell>
          <cell r="O281">
            <v>0</v>
          </cell>
          <cell r="P281">
            <v>0</v>
          </cell>
          <cell r="Q281">
            <v>0</v>
          </cell>
        </row>
        <row r="282">
          <cell r="B282" t="str">
            <v>JUL 2015</v>
          </cell>
          <cell r="C282" t="str">
            <v>KUCME223</v>
          </cell>
          <cell r="D282">
            <v>0</v>
          </cell>
          <cell r="E282">
            <v>0</v>
          </cell>
          <cell r="F282">
            <v>0</v>
          </cell>
          <cell r="G282">
            <v>0</v>
          </cell>
          <cell r="H282">
            <v>0</v>
          </cell>
          <cell r="I282">
            <v>0</v>
          </cell>
          <cell r="J282">
            <v>0</v>
          </cell>
          <cell r="K282">
            <v>0</v>
          </cell>
          <cell r="O282">
            <v>0</v>
          </cell>
          <cell r="P282">
            <v>0</v>
          </cell>
          <cell r="Q282">
            <v>0</v>
          </cell>
        </row>
        <row r="283">
          <cell r="B283" t="str">
            <v>JUL 2015</v>
          </cell>
          <cell r="C283" t="str">
            <v>KURSE040</v>
          </cell>
          <cell r="D283">
            <v>7</v>
          </cell>
          <cell r="E283">
            <v>5297</v>
          </cell>
          <cell r="F283">
            <v>1092</v>
          </cell>
          <cell r="G283">
            <v>767</v>
          </cell>
          <cell r="H283">
            <v>7156</v>
          </cell>
          <cell r="I283">
            <v>0</v>
          </cell>
          <cell r="J283">
            <v>0</v>
          </cell>
          <cell r="K283">
            <v>0</v>
          </cell>
          <cell r="O283">
            <v>0</v>
          </cell>
          <cell r="P283">
            <v>0</v>
          </cell>
          <cell r="Q283">
            <v>0</v>
          </cell>
        </row>
        <row r="284">
          <cell r="B284" t="str">
            <v>JUL 2015</v>
          </cell>
          <cell r="C284" t="str">
            <v>KUCME221</v>
          </cell>
          <cell r="D284">
            <v>0</v>
          </cell>
          <cell r="E284">
            <v>0</v>
          </cell>
          <cell r="F284">
            <v>0</v>
          </cell>
          <cell r="G284">
            <v>0</v>
          </cell>
          <cell r="H284">
            <v>0</v>
          </cell>
          <cell r="I284">
            <v>0</v>
          </cell>
          <cell r="J284">
            <v>0</v>
          </cell>
          <cell r="K284">
            <v>0</v>
          </cell>
          <cell r="O284">
            <v>0</v>
          </cell>
          <cell r="P284">
            <v>0</v>
          </cell>
          <cell r="Q284">
            <v>0</v>
          </cell>
        </row>
        <row r="285">
          <cell r="B285" t="str">
            <v>JUL 2015</v>
          </cell>
          <cell r="C285" t="str">
            <v>KUCME224</v>
          </cell>
          <cell r="D285">
            <v>262</v>
          </cell>
          <cell r="E285">
            <v>0</v>
          </cell>
          <cell r="F285">
            <v>0</v>
          </cell>
          <cell r="G285">
            <v>0</v>
          </cell>
          <cell r="H285">
            <v>11659181</v>
          </cell>
          <cell r="I285">
            <v>0</v>
          </cell>
          <cell r="J285">
            <v>0</v>
          </cell>
          <cell r="K285">
            <v>0</v>
          </cell>
          <cell r="O285">
            <v>38479</v>
          </cell>
          <cell r="P285">
            <v>0</v>
          </cell>
          <cell r="Q285">
            <v>0</v>
          </cell>
        </row>
        <row r="286">
          <cell r="B286" t="str">
            <v>JUL 2015</v>
          </cell>
          <cell r="C286" t="str">
            <v>KUCME297</v>
          </cell>
          <cell r="D286">
            <v>0</v>
          </cell>
          <cell r="E286">
            <v>0</v>
          </cell>
          <cell r="F286">
            <v>0</v>
          </cell>
          <cell r="G286">
            <v>0</v>
          </cell>
          <cell r="H286">
            <v>0</v>
          </cell>
          <cell r="I286">
            <v>0</v>
          </cell>
          <cell r="J286">
            <v>0</v>
          </cell>
          <cell r="K286">
            <v>0</v>
          </cell>
          <cell r="O286">
            <v>0</v>
          </cell>
          <cell r="P286">
            <v>0</v>
          </cell>
          <cell r="Q286">
            <v>0</v>
          </cell>
        </row>
        <row r="287">
          <cell r="B287" t="str">
            <v>JUL 2015</v>
          </cell>
          <cell r="C287" t="str">
            <v>KUCME225</v>
          </cell>
          <cell r="D287">
            <v>0</v>
          </cell>
          <cell r="E287">
            <v>0</v>
          </cell>
          <cell r="F287">
            <v>0</v>
          </cell>
          <cell r="G287">
            <v>0</v>
          </cell>
          <cell r="H287">
            <v>0</v>
          </cell>
          <cell r="I287">
            <v>0</v>
          </cell>
          <cell r="J287">
            <v>0</v>
          </cell>
          <cell r="K287">
            <v>0</v>
          </cell>
          <cell r="O287">
            <v>0</v>
          </cell>
          <cell r="P287">
            <v>0</v>
          </cell>
          <cell r="Q287">
            <v>0</v>
          </cell>
        </row>
        <row r="288">
          <cell r="B288" t="str">
            <v>JUL 2015</v>
          </cell>
          <cell r="C288" t="str">
            <v>KUCME226</v>
          </cell>
          <cell r="D288">
            <v>0</v>
          </cell>
          <cell r="E288">
            <v>0</v>
          </cell>
          <cell r="F288">
            <v>0</v>
          </cell>
          <cell r="G288">
            <v>0</v>
          </cell>
          <cell r="H288">
            <v>0</v>
          </cell>
          <cell r="I288">
            <v>0</v>
          </cell>
          <cell r="J288">
            <v>0</v>
          </cell>
          <cell r="K288">
            <v>0</v>
          </cell>
          <cell r="O288">
            <v>0</v>
          </cell>
          <cell r="P288">
            <v>0</v>
          </cell>
          <cell r="Q288">
            <v>0</v>
          </cell>
        </row>
        <row r="289">
          <cell r="B289" t="str">
            <v>JUL 2015</v>
          </cell>
          <cell r="C289" t="str">
            <v>KUCME227</v>
          </cell>
          <cell r="D289">
            <v>0</v>
          </cell>
          <cell r="E289">
            <v>0</v>
          </cell>
          <cell r="F289">
            <v>0</v>
          </cell>
          <cell r="G289">
            <v>0</v>
          </cell>
          <cell r="H289">
            <v>0</v>
          </cell>
          <cell r="I289">
            <v>0</v>
          </cell>
          <cell r="J289">
            <v>0</v>
          </cell>
          <cell r="K289">
            <v>0</v>
          </cell>
          <cell r="O289">
            <v>0</v>
          </cell>
          <cell r="P289">
            <v>0</v>
          </cell>
          <cell r="Q289">
            <v>0</v>
          </cell>
        </row>
        <row r="290">
          <cell r="B290" t="str">
            <v>JUL 2015</v>
          </cell>
          <cell r="C290" t="str">
            <v>Result</v>
          </cell>
        </row>
        <row r="291">
          <cell r="B291" t="str">
            <v>AUG 2015</v>
          </cell>
          <cell r="C291" t="str">
            <v>KUCIE550</v>
          </cell>
          <cell r="D291">
            <v>32</v>
          </cell>
          <cell r="E291">
            <v>0</v>
          </cell>
          <cell r="F291">
            <v>0</v>
          </cell>
          <cell r="G291">
            <v>0</v>
          </cell>
          <cell r="H291">
            <v>138340919</v>
          </cell>
          <cell r="I291">
            <v>0</v>
          </cell>
          <cell r="J291">
            <v>0</v>
          </cell>
          <cell r="K291">
            <v>0</v>
          </cell>
          <cell r="O291">
            <v>292761</v>
          </cell>
          <cell r="P291">
            <v>277929</v>
          </cell>
          <cell r="Q291">
            <v>277013</v>
          </cell>
        </row>
        <row r="292">
          <cell r="B292" t="str">
            <v>AUG 2015</v>
          </cell>
          <cell r="C292" t="str">
            <v>KUCIE561</v>
          </cell>
          <cell r="D292">
            <v>202</v>
          </cell>
          <cell r="E292">
            <v>0</v>
          </cell>
          <cell r="F292">
            <v>0</v>
          </cell>
          <cell r="G292">
            <v>0</v>
          </cell>
          <cell r="H292">
            <v>22727624</v>
          </cell>
          <cell r="I292">
            <v>0</v>
          </cell>
          <cell r="J292">
            <v>0</v>
          </cell>
          <cell r="K292">
            <v>0</v>
          </cell>
          <cell r="O292">
            <v>0</v>
          </cell>
          <cell r="P292">
            <v>0</v>
          </cell>
          <cell r="Q292">
            <v>62186</v>
          </cell>
        </row>
        <row r="293">
          <cell r="B293" t="str">
            <v>AUG 2015</v>
          </cell>
          <cell r="C293" t="str">
            <v>KUCIE562</v>
          </cell>
          <cell r="D293">
            <v>4700</v>
          </cell>
          <cell r="E293">
            <v>0</v>
          </cell>
          <cell r="F293">
            <v>0</v>
          </cell>
          <cell r="G293">
            <v>0</v>
          </cell>
          <cell r="H293">
            <v>209413425</v>
          </cell>
          <cell r="I293">
            <v>0</v>
          </cell>
          <cell r="J293">
            <v>0</v>
          </cell>
          <cell r="K293">
            <v>0</v>
          </cell>
          <cell r="O293">
            <v>0</v>
          </cell>
          <cell r="P293">
            <v>0</v>
          </cell>
          <cell r="Q293">
            <v>683205</v>
          </cell>
        </row>
        <row r="294">
          <cell r="B294" t="str">
            <v>AUG 2015</v>
          </cell>
          <cell r="C294" t="str">
            <v>KUCIE563</v>
          </cell>
          <cell r="D294">
            <v>52</v>
          </cell>
          <cell r="E294">
            <v>0</v>
          </cell>
          <cell r="F294">
            <v>0</v>
          </cell>
          <cell r="G294">
            <v>0</v>
          </cell>
          <cell r="H294">
            <v>280193456</v>
          </cell>
          <cell r="I294">
            <v>0</v>
          </cell>
          <cell r="J294">
            <v>0</v>
          </cell>
          <cell r="K294">
            <v>0</v>
          </cell>
          <cell r="O294">
            <v>563206</v>
          </cell>
          <cell r="P294">
            <v>550095</v>
          </cell>
          <cell r="Q294">
            <v>544359</v>
          </cell>
        </row>
        <row r="295">
          <cell r="B295" t="str">
            <v>AUG 2015</v>
          </cell>
          <cell r="C295" t="str">
            <v>KUCIE566</v>
          </cell>
          <cell r="D295">
            <v>0</v>
          </cell>
          <cell r="E295">
            <v>0</v>
          </cell>
          <cell r="F295">
            <v>0</v>
          </cell>
          <cell r="G295">
            <v>0</v>
          </cell>
          <cell r="H295">
            <v>0</v>
          </cell>
          <cell r="I295">
            <v>0</v>
          </cell>
          <cell r="J295">
            <v>0</v>
          </cell>
          <cell r="K295">
            <v>0</v>
          </cell>
          <cell r="O295">
            <v>0</v>
          </cell>
          <cell r="P295">
            <v>0</v>
          </cell>
          <cell r="Q295">
            <v>0</v>
          </cell>
        </row>
        <row r="296">
          <cell r="B296" t="str">
            <v>AUG 2015</v>
          </cell>
          <cell r="C296" t="str">
            <v>KUCIE568</v>
          </cell>
          <cell r="D296">
            <v>0</v>
          </cell>
          <cell r="E296">
            <v>0</v>
          </cell>
          <cell r="F296">
            <v>0</v>
          </cell>
          <cell r="G296">
            <v>0</v>
          </cell>
          <cell r="H296">
            <v>0</v>
          </cell>
          <cell r="I296">
            <v>0</v>
          </cell>
          <cell r="J296">
            <v>0</v>
          </cell>
          <cell r="K296">
            <v>0</v>
          </cell>
          <cell r="O296">
            <v>0</v>
          </cell>
          <cell r="P296">
            <v>0</v>
          </cell>
          <cell r="Q296">
            <v>0</v>
          </cell>
        </row>
        <row r="297">
          <cell r="B297" t="str">
            <v>AUG 2015</v>
          </cell>
          <cell r="C297" t="str">
            <v>KUCIE571</v>
          </cell>
          <cell r="D297">
            <v>196</v>
          </cell>
          <cell r="E297">
            <v>0</v>
          </cell>
          <cell r="F297">
            <v>0</v>
          </cell>
          <cell r="G297">
            <v>0</v>
          </cell>
          <cell r="H297">
            <v>116583613</v>
          </cell>
          <cell r="I297">
            <v>0</v>
          </cell>
          <cell r="J297">
            <v>0</v>
          </cell>
          <cell r="K297">
            <v>0</v>
          </cell>
          <cell r="O297">
            <v>296542</v>
          </cell>
          <cell r="P297">
            <v>283712</v>
          </cell>
          <cell r="Q297">
            <v>275127</v>
          </cell>
        </row>
        <row r="298">
          <cell r="B298" t="str">
            <v>AUG 2015</v>
          </cell>
          <cell r="C298" t="str">
            <v>KUCIE572</v>
          </cell>
          <cell r="D298">
            <v>462</v>
          </cell>
          <cell r="E298">
            <v>0</v>
          </cell>
          <cell r="F298">
            <v>0</v>
          </cell>
          <cell r="G298">
            <v>0</v>
          </cell>
          <cell r="H298">
            <v>151711802</v>
          </cell>
          <cell r="I298">
            <v>0</v>
          </cell>
          <cell r="J298">
            <v>0</v>
          </cell>
          <cell r="K298">
            <v>0</v>
          </cell>
          <cell r="O298">
            <v>367858</v>
          </cell>
          <cell r="P298">
            <v>343442</v>
          </cell>
          <cell r="Q298">
            <v>336756</v>
          </cell>
        </row>
        <row r="299">
          <cell r="B299" t="str">
            <v>AUG 2015</v>
          </cell>
          <cell r="C299" t="str">
            <v>KUCME110</v>
          </cell>
          <cell r="D299">
            <v>63498</v>
          </cell>
          <cell r="E299">
            <v>0</v>
          </cell>
          <cell r="F299">
            <v>0</v>
          </cell>
          <cell r="G299">
            <v>0</v>
          </cell>
          <cell r="H299">
            <v>73848581</v>
          </cell>
          <cell r="I299">
            <v>0</v>
          </cell>
          <cell r="J299">
            <v>0</v>
          </cell>
          <cell r="K299">
            <v>0</v>
          </cell>
          <cell r="O299">
            <v>0</v>
          </cell>
          <cell r="P299">
            <v>0</v>
          </cell>
          <cell r="Q299">
            <v>0</v>
          </cell>
        </row>
        <row r="300">
          <cell r="B300" t="str">
            <v>AUG 2015</v>
          </cell>
          <cell r="C300" t="str">
            <v>KUCME112</v>
          </cell>
          <cell r="D300">
            <v>0</v>
          </cell>
          <cell r="E300">
            <v>0</v>
          </cell>
          <cell r="F300">
            <v>0</v>
          </cell>
          <cell r="G300">
            <v>0</v>
          </cell>
          <cell r="H300">
            <v>0</v>
          </cell>
          <cell r="I300">
            <v>0</v>
          </cell>
          <cell r="J300">
            <v>0</v>
          </cell>
          <cell r="K300">
            <v>0</v>
          </cell>
          <cell r="O300">
            <v>0</v>
          </cell>
          <cell r="P300">
            <v>0</v>
          </cell>
          <cell r="Q300">
            <v>0</v>
          </cell>
        </row>
        <row r="301">
          <cell r="B301" t="str">
            <v>AUG 2015</v>
          </cell>
          <cell r="C301" t="str">
            <v>KUCME113</v>
          </cell>
          <cell r="D301">
            <v>18562</v>
          </cell>
          <cell r="E301">
            <v>0</v>
          </cell>
          <cell r="F301">
            <v>0</v>
          </cell>
          <cell r="G301">
            <v>0</v>
          </cell>
          <cell r="H301">
            <v>108396952</v>
          </cell>
          <cell r="I301">
            <v>0</v>
          </cell>
          <cell r="J301">
            <v>0</v>
          </cell>
          <cell r="K301">
            <v>0</v>
          </cell>
          <cell r="O301">
            <v>388709</v>
          </cell>
          <cell r="P301">
            <v>0</v>
          </cell>
          <cell r="Q301">
            <v>0</v>
          </cell>
        </row>
        <row r="302">
          <cell r="B302" t="str">
            <v>AUG 2015</v>
          </cell>
          <cell r="C302" t="str">
            <v>KUCME220</v>
          </cell>
          <cell r="D302">
            <v>376</v>
          </cell>
          <cell r="E302">
            <v>0</v>
          </cell>
          <cell r="F302">
            <v>0</v>
          </cell>
          <cell r="G302">
            <v>0</v>
          </cell>
          <cell r="H302">
            <v>629511</v>
          </cell>
          <cell r="I302">
            <v>0</v>
          </cell>
          <cell r="J302">
            <v>0</v>
          </cell>
          <cell r="K302">
            <v>0</v>
          </cell>
          <cell r="O302">
            <v>0</v>
          </cell>
          <cell r="P302">
            <v>0</v>
          </cell>
          <cell r="Q302">
            <v>0</v>
          </cell>
        </row>
        <row r="303">
          <cell r="B303" t="str">
            <v>AUG 2015</v>
          </cell>
          <cell r="C303" t="str">
            <v>KURSE010</v>
          </cell>
          <cell r="D303">
            <v>429501</v>
          </cell>
          <cell r="E303">
            <v>0</v>
          </cell>
          <cell r="F303">
            <v>0</v>
          </cell>
          <cell r="G303">
            <v>0</v>
          </cell>
          <cell r="H303">
            <v>576723280</v>
          </cell>
          <cell r="I303">
            <v>0</v>
          </cell>
          <cell r="J303">
            <v>0</v>
          </cell>
          <cell r="K303">
            <v>0</v>
          </cell>
          <cell r="O303">
            <v>0</v>
          </cell>
          <cell r="P303">
            <v>0</v>
          </cell>
          <cell r="Q303">
            <v>0</v>
          </cell>
        </row>
        <row r="304">
          <cell r="B304" t="str">
            <v>AUG 2015</v>
          </cell>
          <cell r="C304" t="str">
            <v>KURSE020</v>
          </cell>
          <cell r="D304">
            <v>0</v>
          </cell>
          <cell r="E304">
            <v>0</v>
          </cell>
          <cell r="F304">
            <v>0</v>
          </cell>
          <cell r="G304">
            <v>0</v>
          </cell>
          <cell r="H304">
            <v>0</v>
          </cell>
          <cell r="I304">
            <v>0</v>
          </cell>
          <cell r="J304">
            <v>0</v>
          </cell>
          <cell r="K304">
            <v>0</v>
          </cell>
          <cell r="O304">
            <v>0</v>
          </cell>
          <cell r="P304">
            <v>0</v>
          </cell>
          <cell r="Q304">
            <v>0</v>
          </cell>
        </row>
        <row r="305">
          <cell r="B305" t="str">
            <v>AUG 2015</v>
          </cell>
          <cell r="C305" t="str">
            <v>KURSE025</v>
          </cell>
          <cell r="D305">
            <v>0</v>
          </cell>
          <cell r="E305">
            <v>0</v>
          </cell>
          <cell r="F305">
            <v>0</v>
          </cell>
          <cell r="G305">
            <v>0</v>
          </cell>
          <cell r="H305">
            <v>0</v>
          </cell>
          <cell r="I305">
            <v>0</v>
          </cell>
          <cell r="J305">
            <v>0</v>
          </cell>
          <cell r="K305">
            <v>0</v>
          </cell>
          <cell r="O305">
            <v>0</v>
          </cell>
          <cell r="P305">
            <v>0</v>
          </cell>
          <cell r="Q305">
            <v>0</v>
          </cell>
        </row>
        <row r="306">
          <cell r="B306" t="str">
            <v>AUG 2015</v>
          </cell>
          <cell r="C306" t="str">
            <v>KURSE080</v>
          </cell>
          <cell r="D306">
            <v>0</v>
          </cell>
          <cell r="E306">
            <v>0</v>
          </cell>
          <cell r="F306">
            <v>0</v>
          </cell>
          <cell r="G306">
            <v>0</v>
          </cell>
          <cell r="H306">
            <v>0</v>
          </cell>
          <cell r="I306">
            <v>0</v>
          </cell>
          <cell r="J306">
            <v>0</v>
          </cell>
          <cell r="K306">
            <v>0</v>
          </cell>
          <cell r="O306">
            <v>0</v>
          </cell>
          <cell r="P306">
            <v>0</v>
          </cell>
          <cell r="Q306">
            <v>0</v>
          </cell>
        </row>
        <row r="307">
          <cell r="B307" t="str">
            <v>AUG 2015</v>
          </cell>
          <cell r="C307" t="str">
            <v>KURSE715</v>
          </cell>
          <cell r="D307">
            <v>0</v>
          </cell>
          <cell r="E307">
            <v>0</v>
          </cell>
          <cell r="F307">
            <v>0</v>
          </cell>
          <cell r="G307">
            <v>0</v>
          </cell>
          <cell r="H307">
            <v>0</v>
          </cell>
          <cell r="I307">
            <v>0</v>
          </cell>
          <cell r="J307">
            <v>0</v>
          </cell>
          <cell r="K307">
            <v>0</v>
          </cell>
          <cell r="O307">
            <v>0</v>
          </cell>
          <cell r="P307">
            <v>0</v>
          </cell>
          <cell r="Q307">
            <v>0</v>
          </cell>
        </row>
        <row r="308">
          <cell r="B308" t="str">
            <v>AUG 2015</v>
          </cell>
          <cell r="C308" t="str">
            <v>KTRSE020</v>
          </cell>
          <cell r="D308">
            <v>0</v>
          </cell>
          <cell r="E308">
            <v>0</v>
          </cell>
          <cell r="F308">
            <v>0</v>
          </cell>
          <cell r="G308">
            <v>0</v>
          </cell>
          <cell r="H308">
            <v>0</v>
          </cell>
          <cell r="I308">
            <v>0</v>
          </cell>
          <cell r="J308">
            <v>0</v>
          </cell>
          <cell r="K308">
            <v>0</v>
          </cell>
          <cell r="O308">
            <v>0</v>
          </cell>
          <cell r="P308">
            <v>0</v>
          </cell>
          <cell r="Q308">
            <v>0</v>
          </cell>
        </row>
        <row r="309">
          <cell r="B309" t="str">
            <v>AUG 2015</v>
          </cell>
          <cell r="C309" t="str">
            <v>KTRSE030</v>
          </cell>
          <cell r="D309">
            <v>0</v>
          </cell>
          <cell r="E309">
            <v>0</v>
          </cell>
          <cell r="F309">
            <v>0</v>
          </cell>
          <cell r="G309">
            <v>0</v>
          </cell>
          <cell r="H309">
            <v>0</v>
          </cell>
          <cell r="I309">
            <v>0</v>
          </cell>
          <cell r="J309">
            <v>0</v>
          </cell>
          <cell r="K309">
            <v>0</v>
          </cell>
          <cell r="O309">
            <v>0</v>
          </cell>
          <cell r="P309">
            <v>0</v>
          </cell>
          <cell r="Q309">
            <v>0</v>
          </cell>
        </row>
        <row r="310">
          <cell r="B310" t="str">
            <v>AUG 2015</v>
          </cell>
          <cell r="C310" t="str">
            <v>KUCME710</v>
          </cell>
          <cell r="D310">
            <v>0</v>
          </cell>
          <cell r="E310">
            <v>0</v>
          </cell>
          <cell r="F310">
            <v>0</v>
          </cell>
          <cell r="G310">
            <v>0</v>
          </cell>
          <cell r="H310">
            <v>0</v>
          </cell>
          <cell r="I310">
            <v>0</v>
          </cell>
          <cell r="J310">
            <v>0</v>
          </cell>
          <cell r="K310">
            <v>0</v>
          </cell>
          <cell r="O310">
            <v>0</v>
          </cell>
          <cell r="P310">
            <v>0</v>
          </cell>
          <cell r="Q310">
            <v>0</v>
          </cell>
        </row>
        <row r="311">
          <cell r="B311" t="str">
            <v>AUG 2015</v>
          </cell>
          <cell r="C311" t="str">
            <v>KUINE730</v>
          </cell>
          <cell r="D311">
            <v>1</v>
          </cell>
          <cell r="E311">
            <v>0</v>
          </cell>
          <cell r="F311">
            <v>0</v>
          </cell>
          <cell r="G311">
            <v>0</v>
          </cell>
          <cell r="H311">
            <v>46590427</v>
          </cell>
          <cell r="I311">
            <v>0</v>
          </cell>
          <cell r="J311">
            <v>0</v>
          </cell>
          <cell r="K311">
            <v>0</v>
          </cell>
          <cell r="O311">
            <v>185158</v>
          </cell>
          <cell r="P311">
            <v>185158</v>
          </cell>
          <cell r="Q311">
            <v>101388</v>
          </cell>
        </row>
        <row r="312">
          <cell r="B312" t="str">
            <v>AUG 2015</v>
          </cell>
          <cell r="C312" t="str">
            <v>KUCME290</v>
          </cell>
          <cell r="D312">
            <v>2</v>
          </cell>
          <cell r="E312">
            <v>0</v>
          </cell>
          <cell r="F312">
            <v>0</v>
          </cell>
          <cell r="G312">
            <v>0</v>
          </cell>
          <cell r="H312">
            <v>12623</v>
          </cell>
          <cell r="I312">
            <v>0</v>
          </cell>
          <cell r="J312">
            <v>0</v>
          </cell>
          <cell r="K312">
            <v>0</v>
          </cell>
          <cell r="O312">
            <v>0</v>
          </cell>
          <cell r="P312">
            <v>0</v>
          </cell>
          <cell r="Q312">
            <v>0</v>
          </cell>
        </row>
        <row r="313">
          <cell r="B313" t="str">
            <v>AUG 2015</v>
          </cell>
          <cell r="C313" t="str">
            <v>KUCME291</v>
          </cell>
          <cell r="D313">
            <v>0</v>
          </cell>
          <cell r="E313">
            <v>0</v>
          </cell>
          <cell r="F313">
            <v>0</v>
          </cell>
          <cell r="G313">
            <v>0</v>
          </cell>
          <cell r="H313">
            <v>0</v>
          </cell>
          <cell r="I313">
            <v>0</v>
          </cell>
          <cell r="J313">
            <v>0</v>
          </cell>
          <cell r="K313">
            <v>0</v>
          </cell>
          <cell r="O313">
            <v>0</v>
          </cell>
          <cell r="P313">
            <v>0</v>
          </cell>
          <cell r="Q313">
            <v>0</v>
          </cell>
        </row>
        <row r="314">
          <cell r="B314" t="str">
            <v>AUG 2015</v>
          </cell>
          <cell r="C314" t="str">
            <v>KUCME295</v>
          </cell>
          <cell r="D314">
            <v>747</v>
          </cell>
          <cell r="E314">
            <v>0</v>
          </cell>
          <cell r="F314">
            <v>0</v>
          </cell>
          <cell r="G314">
            <v>0</v>
          </cell>
          <cell r="H314">
            <v>100534</v>
          </cell>
          <cell r="I314">
            <v>0</v>
          </cell>
          <cell r="J314">
            <v>0</v>
          </cell>
          <cell r="K314">
            <v>0</v>
          </cell>
          <cell r="O314">
            <v>0</v>
          </cell>
          <cell r="P314">
            <v>0</v>
          </cell>
          <cell r="Q314">
            <v>0</v>
          </cell>
        </row>
        <row r="315">
          <cell r="B315" t="str">
            <v>AUG 2015</v>
          </cell>
          <cell r="C315" t="str">
            <v>KUCSR760</v>
          </cell>
          <cell r="D315">
            <v>0</v>
          </cell>
          <cell r="E315">
            <v>0</v>
          </cell>
          <cell r="F315">
            <v>0</v>
          </cell>
          <cell r="G315">
            <v>0</v>
          </cell>
          <cell r="H315">
            <v>0</v>
          </cell>
          <cell r="I315">
            <v>0</v>
          </cell>
          <cell r="J315">
            <v>0</v>
          </cell>
          <cell r="K315">
            <v>0</v>
          </cell>
          <cell r="O315">
            <v>0</v>
          </cell>
          <cell r="P315">
            <v>0</v>
          </cell>
          <cell r="Q315">
            <v>0</v>
          </cell>
        </row>
        <row r="316">
          <cell r="B316" t="str">
            <v>AUG 2015</v>
          </cell>
          <cell r="C316" t="str">
            <v>KUCSR780</v>
          </cell>
          <cell r="D316">
            <v>0</v>
          </cell>
          <cell r="E316">
            <v>0</v>
          </cell>
          <cell r="F316">
            <v>0</v>
          </cell>
          <cell r="G316">
            <v>0</v>
          </cell>
          <cell r="H316">
            <v>0</v>
          </cell>
          <cell r="I316">
            <v>0</v>
          </cell>
          <cell r="J316">
            <v>0</v>
          </cell>
          <cell r="K316">
            <v>0</v>
          </cell>
          <cell r="O316">
            <v>0</v>
          </cell>
          <cell r="P316">
            <v>0</v>
          </cell>
          <cell r="Q316">
            <v>0</v>
          </cell>
        </row>
        <row r="317">
          <cell r="B317" t="str">
            <v>AUG 2015</v>
          </cell>
          <cell r="C317" t="str">
            <v>KUCSR781</v>
          </cell>
          <cell r="D317">
            <v>0</v>
          </cell>
          <cell r="E317">
            <v>0</v>
          </cell>
          <cell r="F317">
            <v>0</v>
          </cell>
          <cell r="G317">
            <v>0</v>
          </cell>
          <cell r="H317">
            <v>0</v>
          </cell>
          <cell r="I317">
            <v>0</v>
          </cell>
          <cell r="J317">
            <v>0</v>
          </cell>
          <cell r="K317">
            <v>0</v>
          </cell>
          <cell r="O317">
            <v>0</v>
          </cell>
          <cell r="P317">
            <v>0</v>
          </cell>
          <cell r="Q317">
            <v>0</v>
          </cell>
        </row>
        <row r="318">
          <cell r="B318" t="str">
            <v>AUG 2015</v>
          </cell>
          <cell r="C318" t="str">
            <v>KUCSR783</v>
          </cell>
          <cell r="D318">
            <v>0</v>
          </cell>
          <cell r="E318">
            <v>0</v>
          </cell>
          <cell r="F318">
            <v>0</v>
          </cell>
          <cell r="G318">
            <v>0</v>
          </cell>
          <cell r="H318">
            <v>0</v>
          </cell>
          <cell r="I318">
            <v>0</v>
          </cell>
          <cell r="J318">
            <v>0</v>
          </cell>
          <cell r="K318">
            <v>0</v>
          </cell>
          <cell r="O318">
            <v>0</v>
          </cell>
          <cell r="P318">
            <v>0</v>
          </cell>
          <cell r="Q318">
            <v>0</v>
          </cell>
        </row>
        <row r="319">
          <cell r="B319" t="str">
            <v>AUG 2015</v>
          </cell>
          <cell r="C319" t="str">
            <v>KUCME713</v>
          </cell>
          <cell r="D319">
            <v>0</v>
          </cell>
          <cell r="E319">
            <v>0</v>
          </cell>
          <cell r="F319">
            <v>0</v>
          </cell>
          <cell r="G319">
            <v>0</v>
          </cell>
          <cell r="H319">
            <v>0</v>
          </cell>
          <cell r="I319">
            <v>0</v>
          </cell>
          <cell r="J319">
            <v>0</v>
          </cell>
          <cell r="K319">
            <v>0</v>
          </cell>
          <cell r="O319">
            <v>0</v>
          </cell>
          <cell r="P319">
            <v>0</v>
          </cell>
          <cell r="Q319">
            <v>0</v>
          </cell>
        </row>
        <row r="320">
          <cell r="B320" t="str">
            <v>AUG 2015</v>
          </cell>
          <cell r="C320" t="str">
            <v>KUCIE717</v>
          </cell>
          <cell r="D320">
            <v>0</v>
          </cell>
          <cell r="E320">
            <v>0</v>
          </cell>
          <cell r="F320">
            <v>0</v>
          </cell>
          <cell r="G320">
            <v>0</v>
          </cell>
          <cell r="H320">
            <v>0</v>
          </cell>
          <cell r="I320">
            <v>0</v>
          </cell>
          <cell r="J320">
            <v>0</v>
          </cell>
          <cell r="K320">
            <v>0</v>
          </cell>
          <cell r="O320">
            <v>0</v>
          </cell>
          <cell r="P320">
            <v>0</v>
          </cell>
          <cell r="Q320">
            <v>0</v>
          </cell>
        </row>
        <row r="321">
          <cell r="B321" t="str">
            <v>AUG 2015</v>
          </cell>
          <cell r="C321" t="str">
            <v>KUCME223</v>
          </cell>
          <cell r="D321">
            <v>0</v>
          </cell>
          <cell r="E321">
            <v>0</v>
          </cell>
          <cell r="F321">
            <v>0</v>
          </cell>
          <cell r="G321">
            <v>0</v>
          </cell>
          <cell r="H321">
            <v>0</v>
          </cell>
          <cell r="I321">
            <v>0</v>
          </cell>
          <cell r="J321">
            <v>0</v>
          </cell>
          <cell r="K321">
            <v>0</v>
          </cell>
          <cell r="O321">
            <v>0</v>
          </cell>
          <cell r="P321">
            <v>0</v>
          </cell>
          <cell r="Q321">
            <v>0</v>
          </cell>
        </row>
        <row r="322">
          <cell r="B322" t="str">
            <v>AUG 2015</v>
          </cell>
          <cell r="C322" t="str">
            <v>KURSE040</v>
          </cell>
          <cell r="D322">
            <v>7</v>
          </cell>
          <cell r="E322">
            <v>4017</v>
          </cell>
          <cell r="F322">
            <v>1188</v>
          </cell>
          <cell r="G322">
            <v>718</v>
          </cell>
          <cell r="H322">
            <v>5923</v>
          </cell>
          <cell r="I322">
            <v>0</v>
          </cell>
          <cell r="J322">
            <v>0</v>
          </cell>
          <cell r="K322">
            <v>0</v>
          </cell>
          <cell r="O322">
            <v>0</v>
          </cell>
          <cell r="P322">
            <v>0</v>
          </cell>
          <cell r="Q322">
            <v>0</v>
          </cell>
        </row>
        <row r="323">
          <cell r="B323" t="str">
            <v>AUG 2015</v>
          </cell>
          <cell r="C323" t="str">
            <v>KUCME221</v>
          </cell>
          <cell r="D323">
            <v>0</v>
          </cell>
          <cell r="E323">
            <v>0</v>
          </cell>
          <cell r="F323">
            <v>0</v>
          </cell>
          <cell r="G323">
            <v>0</v>
          </cell>
          <cell r="H323">
            <v>0</v>
          </cell>
          <cell r="I323">
            <v>0</v>
          </cell>
          <cell r="J323">
            <v>0</v>
          </cell>
          <cell r="K323">
            <v>0</v>
          </cell>
          <cell r="O323">
            <v>0</v>
          </cell>
          <cell r="P323">
            <v>0</v>
          </cell>
          <cell r="Q323">
            <v>0</v>
          </cell>
        </row>
        <row r="324">
          <cell r="B324" t="str">
            <v>AUG 2015</v>
          </cell>
          <cell r="C324" t="str">
            <v>KUCME224</v>
          </cell>
          <cell r="D324">
            <v>261</v>
          </cell>
          <cell r="E324">
            <v>0</v>
          </cell>
          <cell r="F324">
            <v>0</v>
          </cell>
          <cell r="G324">
            <v>0</v>
          </cell>
          <cell r="H324">
            <v>11667674</v>
          </cell>
          <cell r="I324">
            <v>0</v>
          </cell>
          <cell r="J324">
            <v>0</v>
          </cell>
          <cell r="K324">
            <v>0</v>
          </cell>
          <cell r="O324">
            <v>44048</v>
          </cell>
          <cell r="P324">
            <v>0</v>
          </cell>
          <cell r="Q324">
            <v>0</v>
          </cell>
        </row>
        <row r="325">
          <cell r="B325" t="str">
            <v>AUG 2015</v>
          </cell>
          <cell r="C325" t="str">
            <v>KUCME297</v>
          </cell>
          <cell r="D325">
            <v>0</v>
          </cell>
          <cell r="E325">
            <v>0</v>
          </cell>
          <cell r="F325">
            <v>0</v>
          </cell>
          <cell r="G325">
            <v>0</v>
          </cell>
          <cell r="H325">
            <v>0</v>
          </cell>
          <cell r="I325">
            <v>0</v>
          </cell>
          <cell r="J325">
            <v>0</v>
          </cell>
          <cell r="K325">
            <v>0</v>
          </cell>
          <cell r="O325">
            <v>0</v>
          </cell>
          <cell r="P325">
            <v>0</v>
          </cell>
          <cell r="Q325">
            <v>0</v>
          </cell>
        </row>
        <row r="326">
          <cell r="B326" t="str">
            <v>AUG 2015</v>
          </cell>
          <cell r="C326" t="str">
            <v>KUCME225</v>
          </cell>
          <cell r="D326">
            <v>0</v>
          </cell>
          <cell r="E326">
            <v>0</v>
          </cell>
          <cell r="F326">
            <v>0</v>
          </cell>
          <cell r="G326">
            <v>0</v>
          </cell>
          <cell r="H326">
            <v>0</v>
          </cell>
          <cell r="I326">
            <v>0</v>
          </cell>
          <cell r="J326">
            <v>0</v>
          </cell>
          <cell r="K326">
            <v>0</v>
          </cell>
          <cell r="O326">
            <v>0</v>
          </cell>
          <cell r="P326">
            <v>0</v>
          </cell>
          <cell r="Q326">
            <v>0</v>
          </cell>
        </row>
        <row r="327">
          <cell r="B327" t="str">
            <v>AUG 2015</v>
          </cell>
          <cell r="C327" t="str">
            <v>KUCME226</v>
          </cell>
          <cell r="D327">
            <v>0</v>
          </cell>
          <cell r="E327">
            <v>0</v>
          </cell>
          <cell r="F327">
            <v>0</v>
          </cell>
          <cell r="G327">
            <v>0</v>
          </cell>
          <cell r="H327">
            <v>0</v>
          </cell>
          <cell r="I327">
            <v>0</v>
          </cell>
          <cell r="J327">
            <v>0</v>
          </cell>
          <cell r="K327">
            <v>0</v>
          </cell>
          <cell r="O327">
            <v>0</v>
          </cell>
          <cell r="P327">
            <v>0</v>
          </cell>
          <cell r="Q327">
            <v>0</v>
          </cell>
        </row>
        <row r="328">
          <cell r="B328" t="str">
            <v>AUG 2015</v>
          </cell>
          <cell r="C328" t="str">
            <v>KUCME227</v>
          </cell>
          <cell r="D328">
            <v>0</v>
          </cell>
          <cell r="E328">
            <v>0</v>
          </cell>
          <cell r="F328">
            <v>0</v>
          </cell>
          <cell r="G328">
            <v>0</v>
          </cell>
          <cell r="H328">
            <v>0</v>
          </cell>
          <cell r="I328">
            <v>0</v>
          </cell>
          <cell r="J328">
            <v>0</v>
          </cell>
          <cell r="K328">
            <v>0</v>
          </cell>
          <cell r="O328">
            <v>0</v>
          </cell>
          <cell r="P328">
            <v>0</v>
          </cell>
          <cell r="Q328">
            <v>0</v>
          </cell>
        </row>
        <row r="329">
          <cell r="B329" t="str">
            <v>AUG 2015</v>
          </cell>
          <cell r="C329" t="str">
            <v>KUMNE912</v>
          </cell>
          <cell r="D329">
            <v>0</v>
          </cell>
          <cell r="E329">
            <v>0</v>
          </cell>
          <cell r="F329">
            <v>0</v>
          </cell>
          <cell r="G329">
            <v>0</v>
          </cell>
          <cell r="H329">
            <v>0</v>
          </cell>
          <cell r="I329">
            <v>0</v>
          </cell>
          <cell r="J329">
            <v>0</v>
          </cell>
          <cell r="K329">
            <v>0</v>
          </cell>
          <cell r="O329">
            <v>0</v>
          </cell>
          <cell r="P329">
            <v>0</v>
          </cell>
          <cell r="Q329">
            <v>0</v>
          </cell>
        </row>
        <row r="330">
          <cell r="B330" t="str">
            <v>AUG 2015</v>
          </cell>
          <cell r="C330" t="str">
            <v>KUMNE913</v>
          </cell>
          <cell r="D330">
            <v>0</v>
          </cell>
          <cell r="E330">
            <v>0</v>
          </cell>
          <cell r="F330">
            <v>0</v>
          </cell>
          <cell r="G330">
            <v>0</v>
          </cell>
          <cell r="H330">
            <v>0</v>
          </cell>
          <cell r="I330">
            <v>0</v>
          </cell>
          <cell r="J330">
            <v>0</v>
          </cell>
          <cell r="K330">
            <v>0</v>
          </cell>
          <cell r="O330">
            <v>0</v>
          </cell>
          <cell r="P330">
            <v>0</v>
          </cell>
          <cell r="Q330">
            <v>0</v>
          </cell>
        </row>
        <row r="331">
          <cell r="B331" t="str">
            <v>AUG 2015</v>
          </cell>
          <cell r="C331" t="str">
            <v>Result</v>
          </cell>
        </row>
        <row r="332">
          <cell r="B332" t="str">
            <v>SEP 2015</v>
          </cell>
          <cell r="C332" t="str">
            <v>KUCIE550</v>
          </cell>
          <cell r="D332">
            <v>32</v>
          </cell>
          <cell r="E332">
            <v>0</v>
          </cell>
          <cell r="F332">
            <v>0</v>
          </cell>
          <cell r="G332">
            <v>0</v>
          </cell>
          <cell r="H332">
            <v>118627727</v>
          </cell>
          <cell r="I332">
            <v>0</v>
          </cell>
          <cell r="J332">
            <v>0</v>
          </cell>
          <cell r="K332">
            <v>0</v>
          </cell>
          <cell r="O332">
            <v>303336</v>
          </cell>
          <cell r="P332">
            <v>286770</v>
          </cell>
          <cell r="Q332">
            <v>283053</v>
          </cell>
        </row>
        <row r="333">
          <cell r="B333" t="str">
            <v>SEP 2015</v>
          </cell>
          <cell r="C333" t="str">
            <v>KUCIE561</v>
          </cell>
          <cell r="D333">
            <v>201</v>
          </cell>
          <cell r="E333">
            <v>0</v>
          </cell>
          <cell r="F333">
            <v>0</v>
          </cell>
          <cell r="G333">
            <v>0</v>
          </cell>
          <cell r="H333">
            <v>17906267</v>
          </cell>
          <cell r="I333">
            <v>0</v>
          </cell>
          <cell r="J333">
            <v>0</v>
          </cell>
          <cell r="K333">
            <v>0</v>
          </cell>
          <cell r="O333">
            <v>0</v>
          </cell>
          <cell r="P333">
            <v>0</v>
          </cell>
          <cell r="Q333">
            <v>60267</v>
          </cell>
        </row>
        <row r="334">
          <cell r="B334" t="str">
            <v>SEP 2015</v>
          </cell>
          <cell r="C334" t="str">
            <v>KUCIE562</v>
          </cell>
          <cell r="D334">
            <v>4690</v>
          </cell>
          <cell r="E334">
            <v>0</v>
          </cell>
          <cell r="F334">
            <v>0</v>
          </cell>
          <cell r="G334">
            <v>0</v>
          </cell>
          <cell r="H334">
            <v>178051436</v>
          </cell>
          <cell r="I334">
            <v>0</v>
          </cell>
          <cell r="J334">
            <v>0</v>
          </cell>
          <cell r="K334">
            <v>0</v>
          </cell>
          <cell r="O334">
            <v>0</v>
          </cell>
          <cell r="P334">
            <v>0</v>
          </cell>
          <cell r="Q334">
            <v>684147</v>
          </cell>
        </row>
        <row r="335">
          <cell r="B335" t="str">
            <v>SEP 2015</v>
          </cell>
          <cell r="C335" t="str">
            <v>KUCIE563</v>
          </cell>
          <cell r="D335">
            <v>52</v>
          </cell>
          <cell r="E335">
            <v>0</v>
          </cell>
          <cell r="F335">
            <v>0</v>
          </cell>
          <cell r="G335">
            <v>0</v>
          </cell>
          <cell r="H335">
            <v>233921558</v>
          </cell>
          <cell r="I335">
            <v>0</v>
          </cell>
          <cell r="J335">
            <v>0</v>
          </cell>
          <cell r="K335">
            <v>0</v>
          </cell>
          <cell r="O335">
            <v>532320</v>
          </cell>
          <cell r="P335">
            <v>525566</v>
          </cell>
          <cell r="Q335">
            <v>518603</v>
          </cell>
        </row>
        <row r="336">
          <cell r="B336" t="str">
            <v>SEP 2015</v>
          </cell>
          <cell r="C336" t="str">
            <v>KUCIE566</v>
          </cell>
          <cell r="D336">
            <v>0</v>
          </cell>
          <cell r="E336">
            <v>0</v>
          </cell>
          <cell r="F336">
            <v>0</v>
          </cell>
          <cell r="G336">
            <v>0</v>
          </cell>
          <cell r="H336">
            <v>0</v>
          </cell>
          <cell r="I336">
            <v>0</v>
          </cell>
          <cell r="J336">
            <v>0</v>
          </cell>
          <cell r="K336">
            <v>0</v>
          </cell>
          <cell r="O336">
            <v>0</v>
          </cell>
          <cell r="P336">
            <v>0</v>
          </cell>
          <cell r="Q336">
            <v>0</v>
          </cell>
        </row>
        <row r="337">
          <cell r="B337" t="str">
            <v>SEP 2015</v>
          </cell>
          <cell r="C337" t="str">
            <v>KUCIE568</v>
          </cell>
          <cell r="D337">
            <v>0</v>
          </cell>
          <cell r="E337">
            <v>0</v>
          </cell>
          <cell r="F337">
            <v>0</v>
          </cell>
          <cell r="G337">
            <v>0</v>
          </cell>
          <cell r="H337">
            <v>0</v>
          </cell>
          <cell r="I337">
            <v>0</v>
          </cell>
          <cell r="J337">
            <v>0</v>
          </cell>
          <cell r="K337">
            <v>0</v>
          </cell>
          <cell r="O337">
            <v>0</v>
          </cell>
          <cell r="P337">
            <v>0</v>
          </cell>
          <cell r="Q337">
            <v>0</v>
          </cell>
        </row>
        <row r="338">
          <cell r="B338" t="str">
            <v>SEP 2015</v>
          </cell>
          <cell r="C338" t="str">
            <v>KUCIE571</v>
          </cell>
          <cell r="D338">
            <v>197</v>
          </cell>
          <cell r="E338">
            <v>0</v>
          </cell>
          <cell r="F338">
            <v>0</v>
          </cell>
          <cell r="G338">
            <v>0</v>
          </cell>
          <cell r="H338">
            <v>98398740</v>
          </cell>
          <cell r="I338">
            <v>0</v>
          </cell>
          <cell r="J338">
            <v>0</v>
          </cell>
          <cell r="K338">
            <v>0</v>
          </cell>
          <cell r="O338">
            <v>272897</v>
          </cell>
          <cell r="P338">
            <v>262231</v>
          </cell>
          <cell r="Q338">
            <v>252544</v>
          </cell>
        </row>
        <row r="339">
          <cell r="B339" t="str">
            <v>SEP 2015</v>
          </cell>
          <cell r="C339" t="str">
            <v>KUCIE572</v>
          </cell>
          <cell r="D339">
            <v>463</v>
          </cell>
          <cell r="E339">
            <v>0</v>
          </cell>
          <cell r="F339">
            <v>0</v>
          </cell>
          <cell r="G339">
            <v>0</v>
          </cell>
          <cell r="H339">
            <v>133838239</v>
          </cell>
          <cell r="I339">
            <v>0</v>
          </cell>
          <cell r="J339">
            <v>0</v>
          </cell>
          <cell r="K339">
            <v>0</v>
          </cell>
          <cell r="O339">
            <v>373420</v>
          </cell>
          <cell r="P339">
            <v>348634</v>
          </cell>
          <cell r="Q339">
            <v>341848</v>
          </cell>
        </row>
        <row r="340">
          <cell r="B340" t="str">
            <v>SEP 2015</v>
          </cell>
          <cell r="C340" t="str">
            <v>KUCME110</v>
          </cell>
          <cell r="D340">
            <v>63506</v>
          </cell>
          <cell r="E340">
            <v>0</v>
          </cell>
          <cell r="F340">
            <v>0</v>
          </cell>
          <cell r="G340">
            <v>0</v>
          </cell>
          <cell r="H340">
            <v>60603647</v>
          </cell>
          <cell r="I340">
            <v>0</v>
          </cell>
          <cell r="J340">
            <v>0</v>
          </cell>
          <cell r="K340">
            <v>0</v>
          </cell>
          <cell r="O340">
            <v>0</v>
          </cell>
          <cell r="P340">
            <v>0</v>
          </cell>
          <cell r="Q340">
            <v>0</v>
          </cell>
        </row>
        <row r="341">
          <cell r="B341" t="str">
            <v>SEP 2015</v>
          </cell>
          <cell r="C341" t="str">
            <v>KUCME112</v>
          </cell>
          <cell r="D341">
            <v>0</v>
          </cell>
          <cell r="E341">
            <v>0</v>
          </cell>
          <cell r="F341">
            <v>0</v>
          </cell>
          <cell r="G341">
            <v>0</v>
          </cell>
          <cell r="H341">
            <v>0</v>
          </cell>
          <cell r="I341">
            <v>0</v>
          </cell>
          <cell r="J341">
            <v>0</v>
          </cell>
          <cell r="K341">
            <v>0</v>
          </cell>
          <cell r="O341">
            <v>0</v>
          </cell>
          <cell r="P341">
            <v>0</v>
          </cell>
          <cell r="Q341">
            <v>0</v>
          </cell>
        </row>
        <row r="342">
          <cell r="B342" t="str">
            <v>SEP 2015</v>
          </cell>
          <cell r="C342" t="str">
            <v>KUCME113</v>
          </cell>
          <cell r="D342">
            <v>18564</v>
          </cell>
          <cell r="E342">
            <v>0</v>
          </cell>
          <cell r="F342">
            <v>0</v>
          </cell>
          <cell r="G342">
            <v>0</v>
          </cell>
          <cell r="H342">
            <v>88529551</v>
          </cell>
          <cell r="I342">
            <v>0</v>
          </cell>
          <cell r="J342">
            <v>0</v>
          </cell>
          <cell r="K342">
            <v>0</v>
          </cell>
          <cell r="O342">
            <v>365688</v>
          </cell>
          <cell r="P342">
            <v>0</v>
          </cell>
          <cell r="Q342">
            <v>0</v>
          </cell>
        </row>
        <row r="343">
          <cell r="B343" t="str">
            <v>SEP 2015</v>
          </cell>
          <cell r="C343" t="str">
            <v>KUCME220</v>
          </cell>
          <cell r="D343">
            <v>375</v>
          </cell>
          <cell r="E343">
            <v>0</v>
          </cell>
          <cell r="F343">
            <v>0</v>
          </cell>
          <cell r="G343">
            <v>0</v>
          </cell>
          <cell r="H343">
            <v>520806</v>
          </cell>
          <cell r="I343">
            <v>0</v>
          </cell>
          <cell r="J343">
            <v>0</v>
          </cell>
          <cell r="K343">
            <v>0</v>
          </cell>
          <cell r="O343">
            <v>0</v>
          </cell>
          <cell r="P343">
            <v>0</v>
          </cell>
          <cell r="Q343">
            <v>0</v>
          </cell>
        </row>
        <row r="344">
          <cell r="B344" t="str">
            <v>SEP 2015</v>
          </cell>
          <cell r="C344" t="str">
            <v>KURSE010</v>
          </cell>
          <cell r="D344">
            <v>429693</v>
          </cell>
          <cell r="E344">
            <v>0</v>
          </cell>
          <cell r="F344">
            <v>0</v>
          </cell>
          <cell r="G344">
            <v>0</v>
          </cell>
          <cell r="H344">
            <v>450429077</v>
          </cell>
          <cell r="I344">
            <v>0</v>
          </cell>
          <cell r="J344">
            <v>0</v>
          </cell>
          <cell r="K344">
            <v>0</v>
          </cell>
          <cell r="O344">
            <v>0</v>
          </cell>
          <cell r="P344">
            <v>0</v>
          </cell>
          <cell r="Q344">
            <v>0</v>
          </cell>
        </row>
        <row r="345">
          <cell r="B345" t="str">
            <v>SEP 2015</v>
          </cell>
          <cell r="C345" t="str">
            <v>KURSE020</v>
          </cell>
          <cell r="D345">
            <v>0</v>
          </cell>
          <cell r="E345">
            <v>0</v>
          </cell>
          <cell r="F345">
            <v>0</v>
          </cell>
          <cell r="G345">
            <v>0</v>
          </cell>
          <cell r="H345">
            <v>0</v>
          </cell>
          <cell r="I345">
            <v>0</v>
          </cell>
          <cell r="J345">
            <v>0</v>
          </cell>
          <cell r="K345">
            <v>0</v>
          </cell>
          <cell r="O345">
            <v>0</v>
          </cell>
          <cell r="P345">
            <v>0</v>
          </cell>
          <cell r="Q345">
            <v>0</v>
          </cell>
        </row>
        <row r="346">
          <cell r="B346" t="str">
            <v>SEP 2015</v>
          </cell>
          <cell r="C346" t="str">
            <v>KURSE025</v>
          </cell>
          <cell r="D346">
            <v>0</v>
          </cell>
          <cell r="E346">
            <v>0</v>
          </cell>
          <cell r="F346">
            <v>0</v>
          </cell>
          <cell r="G346">
            <v>0</v>
          </cell>
          <cell r="H346">
            <v>0</v>
          </cell>
          <cell r="I346">
            <v>0</v>
          </cell>
          <cell r="J346">
            <v>0</v>
          </cell>
          <cell r="K346">
            <v>0</v>
          </cell>
          <cell r="O346">
            <v>0</v>
          </cell>
          <cell r="P346">
            <v>0</v>
          </cell>
          <cell r="Q346">
            <v>0</v>
          </cell>
        </row>
        <row r="347">
          <cell r="B347" t="str">
            <v>SEP 2015</v>
          </cell>
          <cell r="C347" t="str">
            <v>KURSE080</v>
          </cell>
          <cell r="D347">
            <v>0</v>
          </cell>
          <cell r="E347">
            <v>0</v>
          </cell>
          <cell r="F347">
            <v>0</v>
          </cell>
          <cell r="G347">
            <v>0</v>
          </cell>
          <cell r="H347">
            <v>0</v>
          </cell>
          <cell r="I347">
            <v>0</v>
          </cell>
          <cell r="J347">
            <v>0</v>
          </cell>
          <cell r="K347">
            <v>0</v>
          </cell>
          <cell r="O347">
            <v>0</v>
          </cell>
          <cell r="P347">
            <v>0</v>
          </cell>
          <cell r="Q347">
            <v>0</v>
          </cell>
        </row>
        <row r="348">
          <cell r="B348" t="str">
            <v>SEP 2015</v>
          </cell>
          <cell r="C348" t="str">
            <v>KURSE715</v>
          </cell>
          <cell r="D348">
            <v>0</v>
          </cell>
          <cell r="E348">
            <v>0</v>
          </cell>
          <cell r="F348">
            <v>0</v>
          </cell>
          <cell r="G348">
            <v>0</v>
          </cell>
          <cell r="H348">
            <v>0</v>
          </cell>
          <cell r="I348">
            <v>0</v>
          </cell>
          <cell r="J348">
            <v>0</v>
          </cell>
          <cell r="K348">
            <v>0</v>
          </cell>
          <cell r="O348">
            <v>0</v>
          </cell>
          <cell r="P348">
            <v>0</v>
          </cell>
          <cell r="Q348">
            <v>0</v>
          </cell>
        </row>
        <row r="349">
          <cell r="B349" t="str">
            <v>SEP 2015</v>
          </cell>
          <cell r="C349" t="str">
            <v>ODRSE010</v>
          </cell>
          <cell r="D349">
            <v>0</v>
          </cell>
          <cell r="E349">
            <v>0</v>
          </cell>
          <cell r="F349">
            <v>0</v>
          </cell>
          <cell r="G349">
            <v>0</v>
          </cell>
          <cell r="H349">
            <v>0</v>
          </cell>
          <cell r="I349">
            <v>0</v>
          </cell>
          <cell r="J349">
            <v>0</v>
          </cell>
          <cell r="K349">
            <v>0</v>
          </cell>
          <cell r="O349">
            <v>0</v>
          </cell>
          <cell r="P349">
            <v>0</v>
          </cell>
          <cell r="Q349">
            <v>0</v>
          </cell>
        </row>
        <row r="350">
          <cell r="B350" t="str">
            <v>SEP 2015</v>
          </cell>
          <cell r="C350" t="str">
            <v>ODRSE020</v>
          </cell>
          <cell r="D350">
            <v>0</v>
          </cell>
          <cell r="E350">
            <v>0</v>
          </cell>
          <cell r="F350">
            <v>0</v>
          </cell>
          <cell r="G350">
            <v>0</v>
          </cell>
          <cell r="H350">
            <v>0</v>
          </cell>
          <cell r="I350">
            <v>0</v>
          </cell>
          <cell r="J350">
            <v>0</v>
          </cell>
          <cell r="K350">
            <v>0</v>
          </cell>
          <cell r="O350">
            <v>0</v>
          </cell>
          <cell r="P350">
            <v>0</v>
          </cell>
          <cell r="Q350">
            <v>0</v>
          </cell>
        </row>
        <row r="351">
          <cell r="B351" t="str">
            <v>SEP 2015</v>
          </cell>
          <cell r="C351" t="str">
            <v>KTRSE020</v>
          </cell>
          <cell r="D351">
            <v>0</v>
          </cell>
          <cell r="E351">
            <v>0</v>
          </cell>
          <cell r="F351">
            <v>0</v>
          </cell>
          <cell r="G351">
            <v>0</v>
          </cell>
          <cell r="H351">
            <v>0</v>
          </cell>
          <cell r="I351">
            <v>0</v>
          </cell>
          <cell r="J351">
            <v>0</v>
          </cell>
          <cell r="K351">
            <v>0</v>
          </cell>
          <cell r="O351">
            <v>0</v>
          </cell>
          <cell r="P351">
            <v>0</v>
          </cell>
          <cell r="Q351">
            <v>0</v>
          </cell>
        </row>
        <row r="352">
          <cell r="B352" t="str">
            <v>SEP 2015</v>
          </cell>
          <cell r="C352" t="str">
            <v>KTRSE030</v>
          </cell>
          <cell r="D352">
            <v>0</v>
          </cell>
          <cell r="E352">
            <v>0</v>
          </cell>
          <cell r="F352">
            <v>0</v>
          </cell>
          <cell r="G352">
            <v>0</v>
          </cell>
          <cell r="H352">
            <v>0</v>
          </cell>
          <cell r="I352">
            <v>0</v>
          </cell>
          <cell r="J352">
            <v>0</v>
          </cell>
          <cell r="K352">
            <v>0</v>
          </cell>
          <cell r="O352">
            <v>0</v>
          </cell>
          <cell r="P352">
            <v>0</v>
          </cell>
          <cell r="Q352">
            <v>0</v>
          </cell>
        </row>
        <row r="353">
          <cell r="B353" t="str">
            <v>SEP 2015</v>
          </cell>
          <cell r="C353" t="str">
            <v>KUCME710</v>
          </cell>
          <cell r="D353">
            <v>0</v>
          </cell>
          <cell r="E353">
            <v>0</v>
          </cell>
          <cell r="F353">
            <v>0</v>
          </cell>
          <cell r="G353">
            <v>0</v>
          </cell>
          <cell r="H353">
            <v>0</v>
          </cell>
          <cell r="I353">
            <v>0</v>
          </cell>
          <cell r="J353">
            <v>0</v>
          </cell>
          <cell r="K353">
            <v>0</v>
          </cell>
          <cell r="O353">
            <v>0</v>
          </cell>
          <cell r="P353">
            <v>0</v>
          </cell>
          <cell r="Q353">
            <v>0</v>
          </cell>
        </row>
        <row r="354">
          <cell r="B354" t="str">
            <v>SEP 2015</v>
          </cell>
          <cell r="C354" t="str">
            <v>KUINE730</v>
          </cell>
          <cell r="D354">
            <v>1</v>
          </cell>
          <cell r="E354">
            <v>0</v>
          </cell>
          <cell r="F354">
            <v>0</v>
          </cell>
          <cell r="G354">
            <v>0</v>
          </cell>
          <cell r="H354">
            <v>45641536</v>
          </cell>
          <cell r="I354">
            <v>0</v>
          </cell>
          <cell r="J354">
            <v>0</v>
          </cell>
          <cell r="K354">
            <v>0</v>
          </cell>
          <cell r="O354">
            <v>185158</v>
          </cell>
          <cell r="P354">
            <v>185158</v>
          </cell>
          <cell r="Q354">
            <v>101388</v>
          </cell>
        </row>
        <row r="355">
          <cell r="B355" t="str">
            <v>SEP 2015</v>
          </cell>
          <cell r="C355" t="str">
            <v>KUCME290</v>
          </cell>
          <cell r="D355">
            <v>2</v>
          </cell>
          <cell r="E355">
            <v>0</v>
          </cell>
          <cell r="F355">
            <v>0</v>
          </cell>
          <cell r="G355">
            <v>0</v>
          </cell>
          <cell r="H355">
            <v>12721</v>
          </cell>
          <cell r="I355">
            <v>0</v>
          </cell>
          <cell r="J355">
            <v>0</v>
          </cell>
          <cell r="K355">
            <v>0</v>
          </cell>
          <cell r="O355">
            <v>0</v>
          </cell>
          <cell r="P355">
            <v>0</v>
          </cell>
          <cell r="Q355">
            <v>0</v>
          </cell>
        </row>
        <row r="356">
          <cell r="B356" t="str">
            <v>SEP 2015</v>
          </cell>
          <cell r="C356" t="str">
            <v>KUCME291</v>
          </cell>
          <cell r="D356">
            <v>0</v>
          </cell>
          <cell r="E356">
            <v>0</v>
          </cell>
          <cell r="F356">
            <v>0</v>
          </cell>
          <cell r="G356">
            <v>0</v>
          </cell>
          <cell r="H356">
            <v>0</v>
          </cell>
          <cell r="I356">
            <v>0</v>
          </cell>
          <cell r="J356">
            <v>0</v>
          </cell>
          <cell r="K356">
            <v>0</v>
          </cell>
          <cell r="O356">
            <v>0</v>
          </cell>
          <cell r="P356">
            <v>0</v>
          </cell>
          <cell r="Q356">
            <v>0</v>
          </cell>
        </row>
        <row r="357">
          <cell r="B357" t="str">
            <v>SEP 2015</v>
          </cell>
          <cell r="C357" t="str">
            <v>KUCME295</v>
          </cell>
          <cell r="D357">
            <v>747</v>
          </cell>
          <cell r="E357">
            <v>0</v>
          </cell>
          <cell r="F357">
            <v>0</v>
          </cell>
          <cell r="G357">
            <v>0</v>
          </cell>
          <cell r="H357">
            <v>91750</v>
          </cell>
          <cell r="I357">
            <v>0</v>
          </cell>
          <cell r="J357">
            <v>0</v>
          </cell>
          <cell r="K357">
            <v>0</v>
          </cell>
          <cell r="O357">
            <v>0</v>
          </cell>
          <cell r="P357">
            <v>0</v>
          </cell>
          <cell r="Q357">
            <v>0</v>
          </cell>
        </row>
        <row r="358">
          <cell r="B358" t="str">
            <v>SEP 2015</v>
          </cell>
          <cell r="C358" t="str">
            <v>KUCSR760</v>
          </cell>
          <cell r="D358">
            <v>0</v>
          </cell>
          <cell r="E358">
            <v>0</v>
          </cell>
          <cell r="F358">
            <v>0</v>
          </cell>
          <cell r="G358">
            <v>0</v>
          </cell>
          <cell r="H358">
            <v>0</v>
          </cell>
          <cell r="I358">
            <v>0</v>
          </cell>
          <cell r="J358">
            <v>0</v>
          </cell>
          <cell r="K358">
            <v>0</v>
          </cell>
          <cell r="O358">
            <v>0</v>
          </cell>
          <cell r="P358">
            <v>0</v>
          </cell>
          <cell r="Q358">
            <v>0</v>
          </cell>
        </row>
        <row r="359">
          <cell r="B359" t="str">
            <v>SEP 2015</v>
          </cell>
          <cell r="C359" t="str">
            <v>KUCSR761</v>
          </cell>
          <cell r="D359">
            <v>0</v>
          </cell>
          <cell r="E359">
            <v>0</v>
          </cell>
          <cell r="F359">
            <v>0</v>
          </cell>
          <cell r="G359">
            <v>0</v>
          </cell>
          <cell r="H359">
            <v>0</v>
          </cell>
          <cell r="I359">
            <v>0</v>
          </cell>
          <cell r="J359">
            <v>0</v>
          </cell>
          <cell r="K359">
            <v>0</v>
          </cell>
          <cell r="O359">
            <v>0</v>
          </cell>
          <cell r="P359">
            <v>0</v>
          </cell>
          <cell r="Q359">
            <v>0</v>
          </cell>
        </row>
        <row r="360">
          <cell r="B360" t="str">
            <v>SEP 2015</v>
          </cell>
          <cell r="C360" t="str">
            <v>KUCSR783</v>
          </cell>
          <cell r="D360">
            <v>0</v>
          </cell>
          <cell r="E360">
            <v>0</v>
          </cell>
          <cell r="F360">
            <v>0</v>
          </cell>
          <cell r="G360">
            <v>0</v>
          </cell>
          <cell r="H360">
            <v>0</v>
          </cell>
          <cell r="I360">
            <v>0</v>
          </cell>
          <cell r="J360">
            <v>0</v>
          </cell>
          <cell r="K360">
            <v>0</v>
          </cell>
          <cell r="O360">
            <v>0</v>
          </cell>
          <cell r="P360">
            <v>0</v>
          </cell>
          <cell r="Q360">
            <v>0</v>
          </cell>
        </row>
        <row r="361">
          <cell r="B361" t="str">
            <v>SEP 2015</v>
          </cell>
          <cell r="C361" t="str">
            <v>KUCME713</v>
          </cell>
          <cell r="D361">
            <v>0</v>
          </cell>
          <cell r="E361">
            <v>0</v>
          </cell>
          <cell r="F361">
            <v>0</v>
          </cell>
          <cell r="G361">
            <v>0</v>
          </cell>
          <cell r="H361">
            <v>0</v>
          </cell>
          <cell r="I361">
            <v>0</v>
          </cell>
          <cell r="J361">
            <v>0</v>
          </cell>
          <cell r="K361">
            <v>0</v>
          </cell>
          <cell r="O361">
            <v>0</v>
          </cell>
          <cell r="P361">
            <v>0</v>
          </cell>
          <cell r="Q361">
            <v>0</v>
          </cell>
        </row>
        <row r="362">
          <cell r="B362" t="str">
            <v>SEP 2015</v>
          </cell>
          <cell r="C362" t="str">
            <v>KUCIE717</v>
          </cell>
          <cell r="D362">
            <v>0</v>
          </cell>
          <cell r="E362">
            <v>0</v>
          </cell>
          <cell r="F362">
            <v>0</v>
          </cell>
          <cell r="G362">
            <v>0</v>
          </cell>
          <cell r="H362">
            <v>0</v>
          </cell>
          <cell r="I362">
            <v>0</v>
          </cell>
          <cell r="J362">
            <v>0</v>
          </cell>
          <cell r="K362">
            <v>0</v>
          </cell>
          <cell r="O362">
            <v>0</v>
          </cell>
          <cell r="P362">
            <v>0</v>
          </cell>
          <cell r="Q362">
            <v>0</v>
          </cell>
        </row>
        <row r="363">
          <cell r="B363" t="str">
            <v>SEP 2015</v>
          </cell>
          <cell r="C363" t="str">
            <v>KUCME223</v>
          </cell>
          <cell r="D363">
            <v>0</v>
          </cell>
          <cell r="E363">
            <v>0</v>
          </cell>
          <cell r="F363">
            <v>0</v>
          </cell>
          <cell r="G363">
            <v>0</v>
          </cell>
          <cell r="H363">
            <v>0</v>
          </cell>
          <cell r="I363">
            <v>0</v>
          </cell>
          <cell r="J363">
            <v>0</v>
          </cell>
          <cell r="K363">
            <v>0</v>
          </cell>
          <cell r="O363">
            <v>0</v>
          </cell>
          <cell r="P363">
            <v>0</v>
          </cell>
          <cell r="Q363">
            <v>0</v>
          </cell>
        </row>
        <row r="364">
          <cell r="B364" t="str">
            <v>SEP 2015</v>
          </cell>
          <cell r="C364" t="str">
            <v>KURSE040</v>
          </cell>
          <cell r="D364">
            <v>7</v>
          </cell>
          <cell r="E364">
            <v>4218</v>
          </cell>
          <cell r="F364">
            <v>1626</v>
          </cell>
          <cell r="G364">
            <v>919</v>
          </cell>
          <cell r="H364">
            <v>6763</v>
          </cell>
          <cell r="I364">
            <v>0</v>
          </cell>
          <cell r="J364">
            <v>0</v>
          </cell>
          <cell r="K364">
            <v>0</v>
          </cell>
          <cell r="O364">
            <v>0</v>
          </cell>
          <cell r="P364">
            <v>0</v>
          </cell>
          <cell r="Q364">
            <v>0</v>
          </cell>
        </row>
        <row r="365">
          <cell r="B365" t="str">
            <v>SEP 2015</v>
          </cell>
          <cell r="C365" t="str">
            <v>KUCME221</v>
          </cell>
          <cell r="D365">
            <v>0</v>
          </cell>
          <cell r="E365">
            <v>0</v>
          </cell>
          <cell r="F365">
            <v>0</v>
          </cell>
          <cell r="G365">
            <v>0</v>
          </cell>
          <cell r="H365">
            <v>0</v>
          </cell>
          <cell r="I365">
            <v>0</v>
          </cell>
          <cell r="J365">
            <v>0</v>
          </cell>
          <cell r="K365">
            <v>0</v>
          </cell>
          <cell r="O365">
            <v>0</v>
          </cell>
          <cell r="P365">
            <v>0</v>
          </cell>
          <cell r="Q365">
            <v>0</v>
          </cell>
        </row>
        <row r="366">
          <cell r="B366" t="str">
            <v>SEP 2015</v>
          </cell>
          <cell r="C366" t="str">
            <v>KUCME224</v>
          </cell>
          <cell r="D366">
            <v>260</v>
          </cell>
          <cell r="E366">
            <v>0</v>
          </cell>
          <cell r="F366">
            <v>0</v>
          </cell>
          <cell r="G366">
            <v>0</v>
          </cell>
          <cell r="H366">
            <v>9652888</v>
          </cell>
          <cell r="I366">
            <v>0</v>
          </cell>
          <cell r="J366">
            <v>0</v>
          </cell>
          <cell r="K366">
            <v>0</v>
          </cell>
          <cell r="O366">
            <v>39766</v>
          </cell>
          <cell r="P366">
            <v>0</v>
          </cell>
          <cell r="Q366">
            <v>0</v>
          </cell>
        </row>
        <row r="367">
          <cell r="B367" t="str">
            <v>SEP 2015</v>
          </cell>
          <cell r="C367" t="str">
            <v>KUCME297</v>
          </cell>
          <cell r="D367">
            <v>0</v>
          </cell>
          <cell r="E367">
            <v>0</v>
          </cell>
          <cell r="F367">
            <v>0</v>
          </cell>
          <cell r="G367">
            <v>0</v>
          </cell>
          <cell r="H367">
            <v>0</v>
          </cell>
          <cell r="I367">
            <v>0</v>
          </cell>
          <cell r="J367">
            <v>0</v>
          </cell>
          <cell r="K367">
            <v>0</v>
          </cell>
          <cell r="O367">
            <v>0</v>
          </cell>
          <cell r="P367">
            <v>0</v>
          </cell>
          <cell r="Q367">
            <v>0</v>
          </cell>
        </row>
        <row r="368">
          <cell r="B368" t="str">
            <v>SEP 2015</v>
          </cell>
          <cell r="C368" t="str">
            <v>KUCME225</v>
          </cell>
          <cell r="D368">
            <v>0</v>
          </cell>
          <cell r="E368">
            <v>0</v>
          </cell>
          <cell r="F368">
            <v>0</v>
          </cell>
          <cell r="G368">
            <v>0</v>
          </cell>
          <cell r="H368">
            <v>0</v>
          </cell>
          <cell r="I368">
            <v>0</v>
          </cell>
          <cell r="J368">
            <v>0</v>
          </cell>
          <cell r="K368">
            <v>0</v>
          </cell>
          <cell r="O368">
            <v>0</v>
          </cell>
          <cell r="P368">
            <v>0</v>
          </cell>
          <cell r="Q368">
            <v>0</v>
          </cell>
        </row>
        <row r="369">
          <cell r="B369" t="str">
            <v>SEP 2015</v>
          </cell>
          <cell r="C369" t="str">
            <v>KUCME226</v>
          </cell>
          <cell r="D369">
            <v>0</v>
          </cell>
          <cell r="E369">
            <v>0</v>
          </cell>
          <cell r="F369">
            <v>0</v>
          </cell>
          <cell r="G369">
            <v>0</v>
          </cell>
          <cell r="H369">
            <v>0</v>
          </cell>
          <cell r="I369">
            <v>0</v>
          </cell>
          <cell r="J369">
            <v>0</v>
          </cell>
          <cell r="K369">
            <v>0</v>
          </cell>
          <cell r="O369">
            <v>0</v>
          </cell>
          <cell r="P369">
            <v>0</v>
          </cell>
          <cell r="Q369">
            <v>0</v>
          </cell>
        </row>
        <row r="370">
          <cell r="B370" t="str">
            <v>SEP 2015</v>
          </cell>
          <cell r="C370" t="str">
            <v>KUCME227</v>
          </cell>
          <cell r="D370">
            <v>0</v>
          </cell>
          <cell r="E370">
            <v>0</v>
          </cell>
          <cell r="F370">
            <v>0</v>
          </cell>
          <cell r="G370">
            <v>0</v>
          </cell>
          <cell r="H370">
            <v>0</v>
          </cell>
          <cell r="I370">
            <v>0</v>
          </cell>
          <cell r="J370">
            <v>0</v>
          </cell>
          <cell r="K370">
            <v>0</v>
          </cell>
          <cell r="O370">
            <v>0</v>
          </cell>
          <cell r="P370">
            <v>0</v>
          </cell>
          <cell r="Q370">
            <v>0</v>
          </cell>
        </row>
        <row r="371">
          <cell r="B371" t="str">
            <v>SEP 2015</v>
          </cell>
          <cell r="C371" t="str">
            <v>Result</v>
          </cell>
        </row>
        <row r="372">
          <cell r="B372" t="str">
            <v>OCT 2015</v>
          </cell>
          <cell r="C372" t="str">
            <v>KUCIE550</v>
          </cell>
          <cell r="D372">
            <v>32</v>
          </cell>
          <cell r="E372">
            <v>0</v>
          </cell>
          <cell r="F372">
            <v>0</v>
          </cell>
          <cell r="G372">
            <v>0</v>
          </cell>
          <cell r="H372">
            <v>127037667</v>
          </cell>
          <cell r="I372">
            <v>0</v>
          </cell>
          <cell r="J372">
            <v>0</v>
          </cell>
          <cell r="K372">
            <v>0</v>
          </cell>
          <cell r="O372">
            <v>295166</v>
          </cell>
          <cell r="P372">
            <v>285093</v>
          </cell>
          <cell r="Q372">
            <v>280936</v>
          </cell>
        </row>
        <row r="373">
          <cell r="B373" t="str">
            <v>OCT 2015</v>
          </cell>
          <cell r="C373" t="str">
            <v>KUCIE561</v>
          </cell>
          <cell r="D373">
            <v>199</v>
          </cell>
          <cell r="E373">
            <v>0</v>
          </cell>
          <cell r="F373">
            <v>0</v>
          </cell>
          <cell r="G373">
            <v>0</v>
          </cell>
          <cell r="H373">
            <v>18810649</v>
          </cell>
          <cell r="I373">
            <v>0</v>
          </cell>
          <cell r="J373">
            <v>0</v>
          </cell>
          <cell r="K373">
            <v>0</v>
          </cell>
          <cell r="O373">
            <v>0</v>
          </cell>
          <cell r="P373">
            <v>55989</v>
          </cell>
          <cell r="Q373">
            <v>0</v>
          </cell>
        </row>
        <row r="374">
          <cell r="B374" t="str">
            <v>OCT 2015</v>
          </cell>
          <cell r="C374" t="str">
            <v>KUCIE562</v>
          </cell>
          <cell r="D374">
            <v>4680</v>
          </cell>
          <cell r="E374">
            <v>0</v>
          </cell>
          <cell r="F374">
            <v>0</v>
          </cell>
          <cell r="G374">
            <v>0</v>
          </cell>
          <cell r="H374">
            <v>169242348</v>
          </cell>
          <cell r="I374">
            <v>0</v>
          </cell>
          <cell r="J374">
            <v>0</v>
          </cell>
          <cell r="K374">
            <v>0</v>
          </cell>
          <cell r="O374">
            <v>0</v>
          </cell>
          <cell r="P374">
            <v>565093</v>
          </cell>
          <cell r="Q374">
            <v>0</v>
          </cell>
        </row>
        <row r="375">
          <cell r="B375" t="str">
            <v>OCT 2015</v>
          </cell>
          <cell r="C375" t="str">
            <v>KUCIE563</v>
          </cell>
          <cell r="D375">
            <v>52</v>
          </cell>
          <cell r="E375">
            <v>0</v>
          </cell>
          <cell r="F375">
            <v>0</v>
          </cell>
          <cell r="G375">
            <v>0</v>
          </cell>
          <cell r="H375">
            <v>242601164</v>
          </cell>
          <cell r="I375">
            <v>0</v>
          </cell>
          <cell r="J375">
            <v>0</v>
          </cell>
          <cell r="K375">
            <v>0</v>
          </cell>
          <cell r="O375">
            <v>537698</v>
          </cell>
          <cell r="P375">
            <v>522820</v>
          </cell>
          <cell r="Q375">
            <v>505852</v>
          </cell>
        </row>
        <row r="376">
          <cell r="B376" t="str">
            <v>OCT 2015</v>
          </cell>
          <cell r="C376" t="str">
            <v>KUCIE566</v>
          </cell>
          <cell r="D376">
            <v>0</v>
          </cell>
          <cell r="E376">
            <v>0</v>
          </cell>
          <cell r="F376">
            <v>0</v>
          </cell>
          <cell r="G376">
            <v>0</v>
          </cell>
          <cell r="H376">
            <v>0</v>
          </cell>
          <cell r="I376">
            <v>0</v>
          </cell>
          <cell r="J376">
            <v>0</v>
          </cell>
          <cell r="K376">
            <v>0</v>
          </cell>
          <cell r="O376">
            <v>0</v>
          </cell>
          <cell r="P376">
            <v>0</v>
          </cell>
          <cell r="Q376">
            <v>0</v>
          </cell>
        </row>
        <row r="377">
          <cell r="B377" t="str">
            <v>OCT 2015</v>
          </cell>
          <cell r="C377" t="str">
            <v>KUCIE568</v>
          </cell>
          <cell r="D377">
            <v>0</v>
          </cell>
          <cell r="E377">
            <v>0</v>
          </cell>
          <cell r="F377">
            <v>0</v>
          </cell>
          <cell r="G377">
            <v>0</v>
          </cell>
          <cell r="H377">
            <v>0</v>
          </cell>
          <cell r="I377">
            <v>0</v>
          </cell>
          <cell r="J377">
            <v>0</v>
          </cell>
          <cell r="K377">
            <v>0</v>
          </cell>
          <cell r="O377">
            <v>0</v>
          </cell>
          <cell r="P377">
            <v>0</v>
          </cell>
          <cell r="Q377">
            <v>0</v>
          </cell>
        </row>
        <row r="378">
          <cell r="B378" t="str">
            <v>OCT 2015</v>
          </cell>
          <cell r="C378" t="str">
            <v>KUCIE571</v>
          </cell>
          <cell r="D378">
            <v>199</v>
          </cell>
          <cell r="E378">
            <v>0</v>
          </cell>
          <cell r="F378">
            <v>0</v>
          </cell>
          <cell r="G378">
            <v>0</v>
          </cell>
          <cell r="H378">
            <v>101809828</v>
          </cell>
          <cell r="I378">
            <v>0</v>
          </cell>
          <cell r="J378">
            <v>0</v>
          </cell>
          <cell r="K378">
            <v>0</v>
          </cell>
          <cell r="O378">
            <v>272350</v>
          </cell>
          <cell r="P378">
            <v>262435</v>
          </cell>
          <cell r="Q378">
            <v>254158</v>
          </cell>
        </row>
        <row r="379">
          <cell r="B379" t="str">
            <v>OCT 2015</v>
          </cell>
          <cell r="C379" t="str">
            <v>KUCIE572</v>
          </cell>
          <cell r="D379">
            <v>464</v>
          </cell>
          <cell r="E379">
            <v>0</v>
          </cell>
          <cell r="F379">
            <v>0</v>
          </cell>
          <cell r="G379">
            <v>0</v>
          </cell>
          <cell r="H379">
            <v>129968346</v>
          </cell>
          <cell r="I379">
            <v>0</v>
          </cell>
          <cell r="J379">
            <v>0</v>
          </cell>
          <cell r="K379">
            <v>0</v>
          </cell>
          <cell r="O379">
            <v>324937</v>
          </cell>
          <cell r="P379">
            <v>295953</v>
          </cell>
          <cell r="Q379">
            <v>289324</v>
          </cell>
        </row>
        <row r="380">
          <cell r="B380" t="str">
            <v>OCT 2015</v>
          </cell>
          <cell r="C380" t="str">
            <v>KUCME110</v>
          </cell>
          <cell r="D380">
            <v>63514</v>
          </cell>
          <cell r="E380">
            <v>0</v>
          </cell>
          <cell r="F380">
            <v>0</v>
          </cell>
          <cell r="G380">
            <v>0</v>
          </cell>
          <cell r="H380">
            <v>56367337</v>
          </cell>
          <cell r="I380">
            <v>0</v>
          </cell>
          <cell r="J380">
            <v>0</v>
          </cell>
          <cell r="K380">
            <v>0</v>
          </cell>
          <cell r="O380">
            <v>0</v>
          </cell>
          <cell r="P380">
            <v>0</v>
          </cell>
          <cell r="Q380">
            <v>0</v>
          </cell>
        </row>
        <row r="381">
          <cell r="B381" t="str">
            <v>OCT 2015</v>
          </cell>
          <cell r="C381" t="str">
            <v>KUCME112</v>
          </cell>
          <cell r="D381">
            <v>0</v>
          </cell>
          <cell r="E381">
            <v>0</v>
          </cell>
          <cell r="F381">
            <v>0</v>
          </cell>
          <cell r="G381">
            <v>0</v>
          </cell>
          <cell r="H381">
            <v>0</v>
          </cell>
          <cell r="I381">
            <v>0</v>
          </cell>
          <cell r="J381">
            <v>0</v>
          </cell>
          <cell r="K381">
            <v>0</v>
          </cell>
          <cell r="O381">
            <v>0</v>
          </cell>
          <cell r="P381">
            <v>0</v>
          </cell>
          <cell r="Q381">
            <v>0</v>
          </cell>
        </row>
        <row r="382">
          <cell r="B382" t="str">
            <v>OCT 2015</v>
          </cell>
          <cell r="C382" t="str">
            <v>KUCME113</v>
          </cell>
          <cell r="D382">
            <v>18566</v>
          </cell>
          <cell r="E382">
            <v>0</v>
          </cell>
          <cell r="F382">
            <v>0</v>
          </cell>
          <cell r="G382">
            <v>0</v>
          </cell>
          <cell r="H382">
            <v>82175085</v>
          </cell>
          <cell r="I382">
            <v>0</v>
          </cell>
          <cell r="J382">
            <v>0</v>
          </cell>
          <cell r="K382">
            <v>0</v>
          </cell>
          <cell r="O382">
            <v>354292</v>
          </cell>
          <cell r="P382">
            <v>0</v>
          </cell>
          <cell r="Q382">
            <v>0</v>
          </cell>
        </row>
        <row r="383">
          <cell r="B383" t="str">
            <v>OCT 2015</v>
          </cell>
          <cell r="C383" t="str">
            <v>KUCME220</v>
          </cell>
          <cell r="D383">
            <v>375</v>
          </cell>
          <cell r="E383">
            <v>0</v>
          </cell>
          <cell r="F383">
            <v>0</v>
          </cell>
          <cell r="G383">
            <v>0</v>
          </cell>
          <cell r="H383">
            <v>560790</v>
          </cell>
          <cell r="I383">
            <v>0</v>
          </cell>
          <cell r="J383">
            <v>0</v>
          </cell>
          <cell r="K383">
            <v>0</v>
          </cell>
          <cell r="O383">
            <v>0</v>
          </cell>
          <cell r="P383">
            <v>0</v>
          </cell>
          <cell r="Q383">
            <v>0</v>
          </cell>
        </row>
        <row r="384">
          <cell r="B384" t="str">
            <v>OCT 2015</v>
          </cell>
          <cell r="C384" t="str">
            <v>KURSE010</v>
          </cell>
          <cell r="D384">
            <v>429884</v>
          </cell>
          <cell r="E384">
            <v>0</v>
          </cell>
          <cell r="F384">
            <v>0</v>
          </cell>
          <cell r="G384">
            <v>0</v>
          </cell>
          <cell r="H384">
            <v>372865560</v>
          </cell>
          <cell r="I384">
            <v>0</v>
          </cell>
          <cell r="J384">
            <v>0</v>
          </cell>
          <cell r="K384">
            <v>0</v>
          </cell>
          <cell r="O384">
            <v>0</v>
          </cell>
          <cell r="P384">
            <v>0</v>
          </cell>
          <cell r="Q384">
            <v>0</v>
          </cell>
        </row>
        <row r="385">
          <cell r="B385" t="str">
            <v>OCT 2015</v>
          </cell>
          <cell r="C385" t="str">
            <v>KURSE020</v>
          </cell>
          <cell r="D385">
            <v>0</v>
          </cell>
          <cell r="E385">
            <v>0</v>
          </cell>
          <cell r="F385">
            <v>0</v>
          </cell>
          <cell r="G385">
            <v>0</v>
          </cell>
          <cell r="H385">
            <v>0</v>
          </cell>
          <cell r="I385">
            <v>0</v>
          </cell>
          <cell r="J385">
            <v>0</v>
          </cell>
          <cell r="K385">
            <v>0</v>
          </cell>
          <cell r="O385">
            <v>0</v>
          </cell>
          <cell r="P385">
            <v>0</v>
          </cell>
          <cell r="Q385">
            <v>0</v>
          </cell>
        </row>
        <row r="386">
          <cell r="B386" t="str">
            <v>OCT 2015</v>
          </cell>
          <cell r="C386" t="str">
            <v>KURSE025</v>
          </cell>
          <cell r="D386">
            <v>0</v>
          </cell>
          <cell r="E386">
            <v>0</v>
          </cell>
          <cell r="F386">
            <v>0</v>
          </cell>
          <cell r="G386">
            <v>0</v>
          </cell>
          <cell r="H386">
            <v>0</v>
          </cell>
          <cell r="I386">
            <v>0</v>
          </cell>
          <cell r="J386">
            <v>0</v>
          </cell>
          <cell r="K386">
            <v>0</v>
          </cell>
          <cell r="O386">
            <v>0</v>
          </cell>
          <cell r="P386">
            <v>0</v>
          </cell>
          <cell r="Q386">
            <v>0</v>
          </cell>
        </row>
        <row r="387">
          <cell r="B387" t="str">
            <v>OCT 2015</v>
          </cell>
          <cell r="C387" t="str">
            <v>KURSE080</v>
          </cell>
          <cell r="D387">
            <v>0</v>
          </cell>
          <cell r="E387">
            <v>0</v>
          </cell>
          <cell r="F387">
            <v>0</v>
          </cell>
          <cell r="G387">
            <v>0</v>
          </cell>
          <cell r="H387">
            <v>0</v>
          </cell>
          <cell r="I387">
            <v>0</v>
          </cell>
          <cell r="J387">
            <v>0</v>
          </cell>
          <cell r="K387">
            <v>0</v>
          </cell>
          <cell r="O387">
            <v>0</v>
          </cell>
          <cell r="P387">
            <v>0</v>
          </cell>
          <cell r="Q387">
            <v>0</v>
          </cell>
        </row>
        <row r="388">
          <cell r="B388" t="str">
            <v>OCT 2015</v>
          </cell>
          <cell r="C388" t="str">
            <v>KURSE715</v>
          </cell>
          <cell r="D388">
            <v>0</v>
          </cell>
          <cell r="E388">
            <v>0</v>
          </cell>
          <cell r="F388">
            <v>0</v>
          </cell>
          <cell r="G388">
            <v>0</v>
          </cell>
          <cell r="H388">
            <v>0</v>
          </cell>
          <cell r="I388">
            <v>0</v>
          </cell>
          <cell r="J388">
            <v>0</v>
          </cell>
          <cell r="K388">
            <v>0</v>
          </cell>
          <cell r="O388">
            <v>0</v>
          </cell>
          <cell r="P388">
            <v>0</v>
          </cell>
          <cell r="Q388">
            <v>0</v>
          </cell>
        </row>
        <row r="389">
          <cell r="B389" t="str">
            <v>OCT 2015</v>
          </cell>
          <cell r="C389" t="str">
            <v>ODRSE010</v>
          </cell>
          <cell r="D389">
            <v>0</v>
          </cell>
          <cell r="E389">
            <v>0</v>
          </cell>
          <cell r="F389">
            <v>0</v>
          </cell>
          <cell r="G389">
            <v>0</v>
          </cell>
          <cell r="H389">
            <v>0</v>
          </cell>
          <cell r="I389">
            <v>0</v>
          </cell>
          <cell r="J389">
            <v>0</v>
          </cell>
          <cell r="K389">
            <v>0</v>
          </cell>
          <cell r="O389">
            <v>0</v>
          </cell>
          <cell r="P389">
            <v>0</v>
          </cell>
          <cell r="Q389">
            <v>0</v>
          </cell>
        </row>
        <row r="390">
          <cell r="B390" t="str">
            <v>OCT 2015</v>
          </cell>
          <cell r="C390" t="str">
            <v>ODRSE020</v>
          </cell>
          <cell r="D390">
            <v>0</v>
          </cell>
          <cell r="E390">
            <v>0</v>
          </cell>
          <cell r="F390">
            <v>0</v>
          </cell>
          <cell r="G390">
            <v>0</v>
          </cell>
          <cell r="H390">
            <v>0</v>
          </cell>
          <cell r="I390">
            <v>0</v>
          </cell>
          <cell r="J390">
            <v>0</v>
          </cell>
          <cell r="K390">
            <v>0</v>
          </cell>
          <cell r="O390">
            <v>0</v>
          </cell>
          <cell r="P390">
            <v>0</v>
          </cell>
          <cell r="Q390">
            <v>0</v>
          </cell>
        </row>
        <row r="391">
          <cell r="B391" t="str">
            <v>OCT 2015</v>
          </cell>
          <cell r="C391" t="str">
            <v>KTRSE020</v>
          </cell>
          <cell r="D391">
            <v>0</v>
          </cell>
          <cell r="E391">
            <v>0</v>
          </cell>
          <cell r="F391">
            <v>0</v>
          </cell>
          <cell r="G391">
            <v>0</v>
          </cell>
          <cell r="H391">
            <v>0</v>
          </cell>
          <cell r="I391">
            <v>0</v>
          </cell>
          <cell r="J391">
            <v>0</v>
          </cell>
          <cell r="K391">
            <v>0</v>
          </cell>
          <cell r="O391">
            <v>0</v>
          </cell>
          <cell r="P391">
            <v>0</v>
          </cell>
          <cell r="Q391">
            <v>0</v>
          </cell>
        </row>
        <row r="392">
          <cell r="B392" t="str">
            <v>OCT 2015</v>
          </cell>
          <cell r="C392" t="str">
            <v>KTRSE030</v>
          </cell>
          <cell r="D392">
            <v>0</v>
          </cell>
          <cell r="E392">
            <v>0</v>
          </cell>
          <cell r="F392">
            <v>0</v>
          </cell>
          <cell r="G392">
            <v>0</v>
          </cell>
          <cell r="H392">
            <v>0</v>
          </cell>
          <cell r="I392">
            <v>0</v>
          </cell>
          <cell r="J392">
            <v>0</v>
          </cell>
          <cell r="K392">
            <v>0</v>
          </cell>
          <cell r="O392">
            <v>0</v>
          </cell>
          <cell r="P392">
            <v>0</v>
          </cell>
          <cell r="Q392">
            <v>0</v>
          </cell>
        </row>
        <row r="393">
          <cell r="B393" t="str">
            <v>OCT 2015</v>
          </cell>
          <cell r="C393" t="str">
            <v>KUCME710</v>
          </cell>
          <cell r="D393">
            <v>0</v>
          </cell>
          <cell r="E393">
            <v>0</v>
          </cell>
          <cell r="F393">
            <v>0</v>
          </cell>
          <cell r="G393">
            <v>0</v>
          </cell>
          <cell r="H393">
            <v>0</v>
          </cell>
          <cell r="I393">
            <v>0</v>
          </cell>
          <cell r="J393">
            <v>0</v>
          </cell>
          <cell r="K393">
            <v>0</v>
          </cell>
          <cell r="O393">
            <v>0</v>
          </cell>
          <cell r="P393">
            <v>0</v>
          </cell>
          <cell r="Q393">
            <v>0</v>
          </cell>
        </row>
        <row r="394">
          <cell r="B394" t="str">
            <v>OCT 2015</v>
          </cell>
          <cell r="C394" t="str">
            <v>KUINE730</v>
          </cell>
          <cell r="D394">
            <v>1</v>
          </cell>
          <cell r="E394">
            <v>0</v>
          </cell>
          <cell r="F394">
            <v>0</v>
          </cell>
          <cell r="G394">
            <v>0</v>
          </cell>
          <cell r="H394">
            <v>45507524</v>
          </cell>
          <cell r="I394">
            <v>0</v>
          </cell>
          <cell r="J394">
            <v>0</v>
          </cell>
          <cell r="K394">
            <v>0</v>
          </cell>
          <cell r="O394">
            <v>185158</v>
          </cell>
          <cell r="P394">
            <v>185158</v>
          </cell>
          <cell r="Q394">
            <v>101388</v>
          </cell>
        </row>
        <row r="395">
          <cell r="B395" t="str">
            <v>OCT 2015</v>
          </cell>
          <cell r="C395" t="str">
            <v>KUCME290</v>
          </cell>
          <cell r="D395">
            <v>2</v>
          </cell>
          <cell r="E395">
            <v>0</v>
          </cell>
          <cell r="F395">
            <v>0</v>
          </cell>
          <cell r="G395">
            <v>0</v>
          </cell>
          <cell r="H395">
            <v>13752</v>
          </cell>
          <cell r="I395">
            <v>0</v>
          </cell>
          <cell r="J395">
            <v>0</v>
          </cell>
          <cell r="K395">
            <v>0</v>
          </cell>
          <cell r="O395">
            <v>0</v>
          </cell>
          <cell r="P395">
            <v>0</v>
          </cell>
          <cell r="Q395">
            <v>0</v>
          </cell>
        </row>
        <row r="396">
          <cell r="B396" t="str">
            <v>OCT 2015</v>
          </cell>
          <cell r="C396" t="str">
            <v>KUCME291</v>
          </cell>
          <cell r="D396">
            <v>0</v>
          </cell>
          <cell r="E396">
            <v>0</v>
          </cell>
          <cell r="F396">
            <v>0</v>
          </cell>
          <cell r="G396">
            <v>0</v>
          </cell>
          <cell r="H396">
            <v>0</v>
          </cell>
          <cell r="I396">
            <v>0</v>
          </cell>
          <cell r="J396">
            <v>0</v>
          </cell>
          <cell r="K396">
            <v>0</v>
          </cell>
          <cell r="O396">
            <v>0</v>
          </cell>
          <cell r="P396">
            <v>0</v>
          </cell>
          <cell r="Q396">
            <v>0</v>
          </cell>
        </row>
        <row r="397">
          <cell r="B397" t="str">
            <v>OCT 2015</v>
          </cell>
          <cell r="C397" t="str">
            <v>KUCME295</v>
          </cell>
          <cell r="D397">
            <v>747</v>
          </cell>
          <cell r="E397">
            <v>0</v>
          </cell>
          <cell r="F397">
            <v>0</v>
          </cell>
          <cell r="G397">
            <v>0</v>
          </cell>
          <cell r="H397">
            <v>95410</v>
          </cell>
          <cell r="I397">
            <v>0</v>
          </cell>
          <cell r="J397">
            <v>0</v>
          </cell>
          <cell r="K397">
            <v>0</v>
          </cell>
          <cell r="O397">
            <v>0</v>
          </cell>
          <cell r="P397">
            <v>0</v>
          </cell>
          <cell r="Q397">
            <v>0</v>
          </cell>
        </row>
        <row r="398">
          <cell r="B398" t="str">
            <v>OCT 2015</v>
          </cell>
          <cell r="C398" t="str">
            <v>KUCSR760</v>
          </cell>
          <cell r="D398">
            <v>0</v>
          </cell>
          <cell r="E398">
            <v>0</v>
          </cell>
          <cell r="F398">
            <v>0</v>
          </cell>
          <cell r="G398">
            <v>0</v>
          </cell>
          <cell r="H398">
            <v>0</v>
          </cell>
          <cell r="I398">
            <v>0</v>
          </cell>
          <cell r="J398">
            <v>0</v>
          </cell>
          <cell r="K398">
            <v>0</v>
          </cell>
          <cell r="O398">
            <v>0</v>
          </cell>
          <cell r="P398">
            <v>0</v>
          </cell>
          <cell r="Q398">
            <v>0</v>
          </cell>
        </row>
        <row r="399">
          <cell r="B399" t="str">
            <v>OCT 2015</v>
          </cell>
          <cell r="C399" t="str">
            <v>KUCSR761</v>
          </cell>
          <cell r="D399">
            <v>0</v>
          </cell>
          <cell r="E399">
            <v>0</v>
          </cell>
          <cell r="F399">
            <v>0</v>
          </cell>
          <cell r="G399">
            <v>0</v>
          </cell>
          <cell r="H399">
            <v>0</v>
          </cell>
          <cell r="I399">
            <v>0</v>
          </cell>
          <cell r="J399">
            <v>0</v>
          </cell>
          <cell r="K399">
            <v>0</v>
          </cell>
          <cell r="O399">
            <v>0</v>
          </cell>
          <cell r="P399">
            <v>0</v>
          </cell>
          <cell r="Q399">
            <v>0</v>
          </cell>
        </row>
        <row r="400">
          <cell r="B400" t="str">
            <v>OCT 2015</v>
          </cell>
          <cell r="C400" t="str">
            <v>KUCSR783</v>
          </cell>
          <cell r="D400">
            <v>0</v>
          </cell>
          <cell r="E400">
            <v>0</v>
          </cell>
          <cell r="F400">
            <v>0</v>
          </cell>
          <cell r="G400">
            <v>0</v>
          </cell>
          <cell r="H400">
            <v>0</v>
          </cell>
          <cell r="I400">
            <v>0</v>
          </cell>
          <cell r="J400">
            <v>0</v>
          </cell>
          <cell r="K400">
            <v>0</v>
          </cell>
          <cell r="O400">
            <v>0</v>
          </cell>
          <cell r="P400">
            <v>0</v>
          </cell>
          <cell r="Q400">
            <v>0</v>
          </cell>
        </row>
        <row r="401">
          <cell r="B401" t="str">
            <v>OCT 2015</v>
          </cell>
          <cell r="C401" t="str">
            <v>KUCME713</v>
          </cell>
          <cell r="D401">
            <v>0</v>
          </cell>
          <cell r="E401">
            <v>0</v>
          </cell>
          <cell r="F401">
            <v>0</v>
          </cell>
          <cell r="G401">
            <v>0</v>
          </cell>
          <cell r="H401">
            <v>0</v>
          </cell>
          <cell r="I401">
            <v>0</v>
          </cell>
          <cell r="J401">
            <v>0</v>
          </cell>
          <cell r="K401">
            <v>0</v>
          </cell>
          <cell r="O401">
            <v>0</v>
          </cell>
          <cell r="P401">
            <v>0</v>
          </cell>
          <cell r="Q401">
            <v>0</v>
          </cell>
        </row>
        <row r="402">
          <cell r="B402" t="str">
            <v>OCT 2015</v>
          </cell>
          <cell r="C402" t="str">
            <v>KUCIE717</v>
          </cell>
          <cell r="D402">
            <v>0</v>
          </cell>
          <cell r="E402">
            <v>0</v>
          </cell>
          <cell r="F402">
            <v>0</v>
          </cell>
          <cell r="G402">
            <v>0</v>
          </cell>
          <cell r="H402">
            <v>0</v>
          </cell>
          <cell r="I402">
            <v>0</v>
          </cell>
          <cell r="J402">
            <v>0</v>
          </cell>
          <cell r="K402">
            <v>0</v>
          </cell>
          <cell r="O402">
            <v>0</v>
          </cell>
          <cell r="P402">
            <v>0</v>
          </cell>
          <cell r="Q402">
            <v>0</v>
          </cell>
        </row>
        <row r="403">
          <cell r="B403" t="str">
            <v>OCT 2015</v>
          </cell>
          <cell r="C403" t="str">
            <v>KUCME223</v>
          </cell>
          <cell r="D403">
            <v>0</v>
          </cell>
          <cell r="E403">
            <v>0</v>
          </cell>
          <cell r="F403">
            <v>0</v>
          </cell>
          <cell r="G403">
            <v>0</v>
          </cell>
          <cell r="H403">
            <v>0</v>
          </cell>
          <cell r="I403">
            <v>0</v>
          </cell>
          <cell r="J403">
            <v>0</v>
          </cell>
          <cell r="K403">
            <v>0</v>
          </cell>
          <cell r="O403">
            <v>0</v>
          </cell>
          <cell r="P403">
            <v>0</v>
          </cell>
          <cell r="Q403">
            <v>0</v>
          </cell>
        </row>
        <row r="404">
          <cell r="B404" t="str">
            <v>OCT 2015</v>
          </cell>
          <cell r="C404" t="str">
            <v>KURSE040</v>
          </cell>
          <cell r="D404">
            <v>7</v>
          </cell>
          <cell r="E404">
            <v>6021</v>
          </cell>
          <cell r="F404">
            <v>2399</v>
          </cell>
          <cell r="G404">
            <v>1423</v>
          </cell>
          <cell r="H404">
            <v>9843</v>
          </cell>
          <cell r="I404">
            <v>0</v>
          </cell>
          <cell r="J404">
            <v>0</v>
          </cell>
          <cell r="K404">
            <v>0</v>
          </cell>
          <cell r="O404">
            <v>0</v>
          </cell>
          <cell r="P404">
            <v>0</v>
          </cell>
          <cell r="Q404">
            <v>0</v>
          </cell>
        </row>
        <row r="405">
          <cell r="B405" t="str">
            <v>OCT 2015</v>
          </cell>
          <cell r="C405" t="str">
            <v>KUCME221</v>
          </cell>
          <cell r="D405">
            <v>0</v>
          </cell>
          <cell r="E405">
            <v>0</v>
          </cell>
          <cell r="F405">
            <v>0</v>
          </cell>
          <cell r="G405">
            <v>0</v>
          </cell>
          <cell r="H405">
            <v>0</v>
          </cell>
          <cell r="I405">
            <v>0</v>
          </cell>
          <cell r="J405">
            <v>0</v>
          </cell>
          <cell r="K405">
            <v>0</v>
          </cell>
          <cell r="O405">
            <v>0</v>
          </cell>
          <cell r="P405">
            <v>0</v>
          </cell>
          <cell r="Q405">
            <v>0</v>
          </cell>
        </row>
        <row r="406">
          <cell r="B406" t="str">
            <v>OCT 2015</v>
          </cell>
          <cell r="C406" t="str">
            <v>KUCME224</v>
          </cell>
          <cell r="D406">
            <v>260</v>
          </cell>
          <cell r="E406">
            <v>0</v>
          </cell>
          <cell r="F406">
            <v>0</v>
          </cell>
          <cell r="G406">
            <v>0</v>
          </cell>
          <cell r="H406">
            <v>10393976</v>
          </cell>
          <cell r="I406">
            <v>0</v>
          </cell>
          <cell r="J406">
            <v>0</v>
          </cell>
          <cell r="K406">
            <v>0</v>
          </cell>
          <cell r="O406">
            <v>43429</v>
          </cell>
          <cell r="P406">
            <v>0</v>
          </cell>
          <cell r="Q406">
            <v>0</v>
          </cell>
        </row>
        <row r="407">
          <cell r="B407" t="str">
            <v>OCT 2015</v>
          </cell>
          <cell r="C407" t="str">
            <v>KUCME297</v>
          </cell>
          <cell r="D407">
            <v>0</v>
          </cell>
          <cell r="E407">
            <v>0</v>
          </cell>
          <cell r="F407">
            <v>0</v>
          </cell>
          <cell r="G407">
            <v>0</v>
          </cell>
          <cell r="H407">
            <v>0</v>
          </cell>
          <cell r="I407">
            <v>0</v>
          </cell>
          <cell r="J407">
            <v>0</v>
          </cell>
          <cell r="K407">
            <v>0</v>
          </cell>
          <cell r="O407">
            <v>0</v>
          </cell>
          <cell r="P407">
            <v>0</v>
          </cell>
          <cell r="Q407">
            <v>0</v>
          </cell>
        </row>
        <row r="408">
          <cell r="B408" t="str">
            <v>OCT 2015</v>
          </cell>
          <cell r="C408" t="str">
            <v>KUCME225</v>
          </cell>
          <cell r="D408">
            <v>0</v>
          </cell>
          <cell r="E408">
            <v>0</v>
          </cell>
          <cell r="F408">
            <v>0</v>
          </cell>
          <cell r="G408">
            <v>0</v>
          </cell>
          <cell r="H408">
            <v>0</v>
          </cell>
          <cell r="I408">
            <v>0</v>
          </cell>
          <cell r="J408">
            <v>0</v>
          </cell>
          <cell r="K408">
            <v>0</v>
          </cell>
          <cell r="O408">
            <v>0</v>
          </cell>
          <cell r="P408">
            <v>0</v>
          </cell>
          <cell r="Q408">
            <v>0</v>
          </cell>
        </row>
        <row r="409">
          <cell r="B409" t="str">
            <v>OCT 2015</v>
          </cell>
          <cell r="C409" t="str">
            <v>KUCME226</v>
          </cell>
          <cell r="D409">
            <v>0</v>
          </cell>
          <cell r="E409">
            <v>0</v>
          </cell>
          <cell r="F409">
            <v>0</v>
          </cell>
          <cell r="G409">
            <v>0</v>
          </cell>
          <cell r="H409">
            <v>0</v>
          </cell>
          <cell r="I409">
            <v>0</v>
          </cell>
          <cell r="J409">
            <v>0</v>
          </cell>
          <cell r="K409">
            <v>0</v>
          </cell>
          <cell r="O409">
            <v>0</v>
          </cell>
          <cell r="P409">
            <v>0</v>
          </cell>
          <cell r="Q409">
            <v>0</v>
          </cell>
        </row>
        <row r="410">
          <cell r="B410" t="str">
            <v>OCT 2015</v>
          </cell>
          <cell r="C410" t="str">
            <v>KUCME227</v>
          </cell>
          <cell r="D410">
            <v>0</v>
          </cell>
          <cell r="E410">
            <v>0</v>
          </cell>
          <cell r="F410">
            <v>0</v>
          </cell>
          <cell r="G410">
            <v>0</v>
          </cell>
          <cell r="H410">
            <v>0</v>
          </cell>
          <cell r="I410">
            <v>0</v>
          </cell>
          <cell r="J410">
            <v>0</v>
          </cell>
          <cell r="K410">
            <v>0</v>
          </cell>
          <cell r="O410">
            <v>0</v>
          </cell>
          <cell r="P410">
            <v>0</v>
          </cell>
          <cell r="Q410">
            <v>0</v>
          </cell>
        </row>
        <row r="411">
          <cell r="B411" t="str">
            <v>OCT 2015</v>
          </cell>
          <cell r="C411" t="str">
            <v>Result</v>
          </cell>
        </row>
        <row r="412">
          <cell r="B412" t="str">
            <v>NOV 2015</v>
          </cell>
          <cell r="C412" t="str">
            <v>KUCIE550</v>
          </cell>
          <cell r="D412">
            <v>32</v>
          </cell>
          <cell r="E412">
            <v>0</v>
          </cell>
          <cell r="F412">
            <v>0</v>
          </cell>
          <cell r="G412">
            <v>0</v>
          </cell>
          <cell r="H412">
            <v>136559534</v>
          </cell>
          <cell r="I412">
            <v>0</v>
          </cell>
          <cell r="J412">
            <v>0</v>
          </cell>
          <cell r="K412">
            <v>0</v>
          </cell>
          <cell r="O412">
            <v>301167</v>
          </cell>
          <cell r="P412">
            <v>293808</v>
          </cell>
          <cell r="Q412">
            <v>283169</v>
          </cell>
        </row>
        <row r="413">
          <cell r="B413" t="str">
            <v>NOV 2015</v>
          </cell>
          <cell r="C413" t="str">
            <v>KUCIE561</v>
          </cell>
          <cell r="D413">
            <v>198</v>
          </cell>
          <cell r="E413">
            <v>0</v>
          </cell>
          <cell r="F413">
            <v>0</v>
          </cell>
          <cell r="G413">
            <v>0</v>
          </cell>
          <cell r="H413">
            <v>19617060</v>
          </cell>
          <cell r="I413">
            <v>0</v>
          </cell>
          <cell r="J413">
            <v>0</v>
          </cell>
          <cell r="K413">
            <v>0</v>
          </cell>
          <cell r="O413">
            <v>0</v>
          </cell>
          <cell r="P413">
            <v>54525</v>
          </cell>
          <cell r="Q413">
            <v>0</v>
          </cell>
        </row>
        <row r="414">
          <cell r="B414" t="str">
            <v>NOV 2015</v>
          </cell>
          <cell r="C414" t="str">
            <v>KUCIE562</v>
          </cell>
          <cell r="D414">
            <v>4670</v>
          </cell>
          <cell r="E414">
            <v>0</v>
          </cell>
          <cell r="F414">
            <v>0</v>
          </cell>
          <cell r="G414">
            <v>0</v>
          </cell>
          <cell r="H414">
            <v>160821920</v>
          </cell>
          <cell r="I414">
            <v>0</v>
          </cell>
          <cell r="J414">
            <v>0</v>
          </cell>
          <cell r="K414">
            <v>0</v>
          </cell>
          <cell r="O414">
            <v>0</v>
          </cell>
          <cell r="P414">
            <v>508359</v>
          </cell>
          <cell r="Q414">
            <v>0</v>
          </cell>
        </row>
        <row r="415">
          <cell r="B415" t="str">
            <v>NOV 2015</v>
          </cell>
          <cell r="C415" t="str">
            <v>KUCIE563</v>
          </cell>
          <cell r="D415">
            <v>52</v>
          </cell>
          <cell r="E415">
            <v>0</v>
          </cell>
          <cell r="F415">
            <v>0</v>
          </cell>
          <cell r="G415">
            <v>0</v>
          </cell>
          <cell r="H415">
            <v>250340516</v>
          </cell>
          <cell r="I415">
            <v>0</v>
          </cell>
          <cell r="J415">
            <v>0</v>
          </cell>
          <cell r="K415">
            <v>0</v>
          </cell>
          <cell r="O415">
            <v>513159</v>
          </cell>
          <cell r="P415">
            <v>490651</v>
          </cell>
          <cell r="Q415">
            <v>484533</v>
          </cell>
        </row>
        <row r="416">
          <cell r="B416" t="str">
            <v>NOV 2015</v>
          </cell>
          <cell r="C416" t="str">
            <v>KUCIE566</v>
          </cell>
          <cell r="D416">
            <v>0</v>
          </cell>
          <cell r="E416">
            <v>0</v>
          </cell>
          <cell r="F416">
            <v>0</v>
          </cell>
          <cell r="G416">
            <v>0</v>
          </cell>
          <cell r="H416">
            <v>0</v>
          </cell>
          <cell r="I416">
            <v>0</v>
          </cell>
          <cell r="J416">
            <v>0</v>
          </cell>
          <cell r="K416">
            <v>0</v>
          </cell>
          <cell r="O416">
            <v>0</v>
          </cell>
          <cell r="P416">
            <v>0</v>
          </cell>
          <cell r="Q416">
            <v>0</v>
          </cell>
        </row>
        <row r="417">
          <cell r="B417" t="str">
            <v>NOV 2015</v>
          </cell>
          <cell r="C417" t="str">
            <v>KUCIE568</v>
          </cell>
          <cell r="D417">
            <v>0</v>
          </cell>
          <cell r="E417">
            <v>0</v>
          </cell>
          <cell r="F417">
            <v>0</v>
          </cell>
          <cell r="G417">
            <v>0</v>
          </cell>
          <cell r="H417">
            <v>0</v>
          </cell>
          <cell r="I417">
            <v>0</v>
          </cell>
          <cell r="J417">
            <v>0</v>
          </cell>
          <cell r="K417">
            <v>0</v>
          </cell>
          <cell r="O417">
            <v>0</v>
          </cell>
          <cell r="P417">
            <v>0</v>
          </cell>
          <cell r="Q417">
            <v>0</v>
          </cell>
        </row>
        <row r="418">
          <cell r="B418" t="str">
            <v>NOV 2015</v>
          </cell>
          <cell r="C418" t="str">
            <v>KUCIE571</v>
          </cell>
          <cell r="D418">
            <v>200</v>
          </cell>
          <cell r="E418">
            <v>0</v>
          </cell>
          <cell r="F418">
            <v>0</v>
          </cell>
          <cell r="G418">
            <v>0</v>
          </cell>
          <cell r="H418">
            <v>104851396</v>
          </cell>
          <cell r="I418">
            <v>0</v>
          </cell>
          <cell r="J418">
            <v>0</v>
          </cell>
          <cell r="K418">
            <v>0</v>
          </cell>
          <cell r="O418">
            <v>268874</v>
          </cell>
          <cell r="P418">
            <v>257789</v>
          </cell>
          <cell r="Q418">
            <v>253788</v>
          </cell>
        </row>
        <row r="419">
          <cell r="B419" t="str">
            <v>NOV 2015</v>
          </cell>
          <cell r="C419" t="str">
            <v>KUCIE572</v>
          </cell>
          <cell r="D419">
            <v>465</v>
          </cell>
          <cell r="E419">
            <v>0</v>
          </cell>
          <cell r="F419">
            <v>0</v>
          </cell>
          <cell r="G419">
            <v>0</v>
          </cell>
          <cell r="H419">
            <v>126203044</v>
          </cell>
          <cell r="I419">
            <v>0</v>
          </cell>
          <cell r="J419">
            <v>0</v>
          </cell>
          <cell r="K419">
            <v>0</v>
          </cell>
          <cell r="O419">
            <v>300924</v>
          </cell>
          <cell r="P419">
            <v>274082</v>
          </cell>
          <cell r="Q419">
            <v>267942</v>
          </cell>
        </row>
        <row r="420">
          <cell r="B420" t="str">
            <v>NOV 2015</v>
          </cell>
          <cell r="C420" t="str">
            <v>KUCME110</v>
          </cell>
          <cell r="D420">
            <v>63522</v>
          </cell>
          <cell r="E420">
            <v>0</v>
          </cell>
          <cell r="F420">
            <v>0</v>
          </cell>
          <cell r="G420">
            <v>0</v>
          </cell>
          <cell r="H420">
            <v>55344548</v>
          </cell>
          <cell r="I420">
            <v>0</v>
          </cell>
          <cell r="J420">
            <v>0</v>
          </cell>
          <cell r="K420">
            <v>0</v>
          </cell>
          <cell r="O420">
            <v>0</v>
          </cell>
          <cell r="P420">
            <v>0</v>
          </cell>
          <cell r="Q420">
            <v>0</v>
          </cell>
        </row>
        <row r="421">
          <cell r="B421" t="str">
            <v>NOV 2015</v>
          </cell>
          <cell r="C421" t="str">
            <v>KUCME112</v>
          </cell>
          <cell r="D421">
            <v>0</v>
          </cell>
          <cell r="E421">
            <v>0</v>
          </cell>
          <cell r="F421">
            <v>0</v>
          </cell>
          <cell r="G421">
            <v>0</v>
          </cell>
          <cell r="H421">
            <v>0</v>
          </cell>
          <cell r="I421">
            <v>0</v>
          </cell>
          <cell r="J421">
            <v>0</v>
          </cell>
          <cell r="K421">
            <v>0</v>
          </cell>
          <cell r="O421">
            <v>0</v>
          </cell>
          <cell r="P421">
            <v>0</v>
          </cell>
          <cell r="Q421">
            <v>0</v>
          </cell>
        </row>
        <row r="422">
          <cell r="B422" t="str">
            <v>NOV 2015</v>
          </cell>
          <cell r="C422" t="str">
            <v>KUCME113</v>
          </cell>
          <cell r="D422">
            <v>18568</v>
          </cell>
          <cell r="E422">
            <v>0</v>
          </cell>
          <cell r="F422">
            <v>0</v>
          </cell>
          <cell r="G422">
            <v>0</v>
          </cell>
          <cell r="H422">
            <v>80640902</v>
          </cell>
          <cell r="I422">
            <v>0</v>
          </cell>
          <cell r="J422">
            <v>0</v>
          </cell>
          <cell r="K422">
            <v>0</v>
          </cell>
          <cell r="O422">
            <v>363606</v>
          </cell>
          <cell r="P422">
            <v>0</v>
          </cell>
          <cell r="Q422">
            <v>0</v>
          </cell>
        </row>
        <row r="423">
          <cell r="B423" t="str">
            <v>NOV 2015</v>
          </cell>
          <cell r="C423" t="str">
            <v>KUCME220</v>
          </cell>
          <cell r="D423">
            <v>374</v>
          </cell>
          <cell r="E423">
            <v>0</v>
          </cell>
          <cell r="F423">
            <v>0</v>
          </cell>
          <cell r="G423">
            <v>0</v>
          </cell>
          <cell r="H423">
            <v>645706</v>
          </cell>
          <cell r="I423">
            <v>0</v>
          </cell>
          <cell r="J423">
            <v>0</v>
          </cell>
          <cell r="K423">
            <v>0</v>
          </cell>
          <cell r="O423">
            <v>0</v>
          </cell>
          <cell r="P423">
            <v>0</v>
          </cell>
          <cell r="Q423">
            <v>0</v>
          </cell>
        </row>
        <row r="424">
          <cell r="B424" t="str">
            <v>NOV 2015</v>
          </cell>
          <cell r="C424" t="str">
            <v>KURSE010</v>
          </cell>
          <cell r="D424">
            <v>430076</v>
          </cell>
          <cell r="E424">
            <v>0</v>
          </cell>
          <cell r="F424">
            <v>0</v>
          </cell>
          <cell r="G424">
            <v>0</v>
          </cell>
          <cell r="H424">
            <v>425767369</v>
          </cell>
          <cell r="I424">
            <v>0</v>
          </cell>
          <cell r="J424">
            <v>0</v>
          </cell>
          <cell r="K424">
            <v>0</v>
          </cell>
          <cell r="O424">
            <v>0</v>
          </cell>
          <cell r="P424">
            <v>0</v>
          </cell>
          <cell r="Q424">
            <v>0</v>
          </cell>
        </row>
        <row r="425">
          <cell r="B425" t="str">
            <v>NOV 2015</v>
          </cell>
          <cell r="C425" t="str">
            <v>KURSE020</v>
          </cell>
          <cell r="D425">
            <v>0</v>
          </cell>
          <cell r="E425">
            <v>0</v>
          </cell>
          <cell r="F425">
            <v>0</v>
          </cell>
          <cell r="G425">
            <v>0</v>
          </cell>
          <cell r="H425">
            <v>0</v>
          </cell>
          <cell r="I425">
            <v>0</v>
          </cell>
          <cell r="J425">
            <v>0</v>
          </cell>
          <cell r="K425">
            <v>0</v>
          </cell>
          <cell r="O425">
            <v>0</v>
          </cell>
          <cell r="P425">
            <v>0</v>
          </cell>
          <cell r="Q425">
            <v>0</v>
          </cell>
        </row>
        <row r="426">
          <cell r="B426" t="str">
            <v>NOV 2015</v>
          </cell>
          <cell r="C426" t="str">
            <v>KURSE025</v>
          </cell>
          <cell r="D426">
            <v>0</v>
          </cell>
          <cell r="E426">
            <v>0</v>
          </cell>
          <cell r="F426">
            <v>0</v>
          </cell>
          <cell r="G426">
            <v>0</v>
          </cell>
          <cell r="H426">
            <v>0</v>
          </cell>
          <cell r="I426">
            <v>0</v>
          </cell>
          <cell r="J426">
            <v>0</v>
          </cell>
          <cell r="K426">
            <v>0</v>
          </cell>
          <cell r="O426">
            <v>0</v>
          </cell>
          <cell r="P426">
            <v>0</v>
          </cell>
          <cell r="Q426">
            <v>0</v>
          </cell>
        </row>
        <row r="427">
          <cell r="B427" t="str">
            <v>NOV 2015</v>
          </cell>
          <cell r="C427" t="str">
            <v>KURSE080</v>
          </cell>
          <cell r="D427">
            <v>0</v>
          </cell>
          <cell r="E427">
            <v>0</v>
          </cell>
          <cell r="F427">
            <v>0</v>
          </cell>
          <cell r="G427">
            <v>0</v>
          </cell>
          <cell r="H427">
            <v>0</v>
          </cell>
          <cell r="I427">
            <v>0</v>
          </cell>
          <cell r="J427">
            <v>0</v>
          </cell>
          <cell r="K427">
            <v>0</v>
          </cell>
          <cell r="O427">
            <v>0</v>
          </cell>
          <cell r="P427">
            <v>0</v>
          </cell>
          <cell r="Q427">
            <v>0</v>
          </cell>
        </row>
        <row r="428">
          <cell r="B428" t="str">
            <v>NOV 2015</v>
          </cell>
          <cell r="C428" t="str">
            <v>KURSE715</v>
          </cell>
          <cell r="D428">
            <v>0</v>
          </cell>
          <cell r="E428">
            <v>0</v>
          </cell>
          <cell r="F428">
            <v>0</v>
          </cell>
          <cell r="G428">
            <v>0</v>
          </cell>
          <cell r="H428">
            <v>0</v>
          </cell>
          <cell r="I428">
            <v>0</v>
          </cell>
          <cell r="J428">
            <v>0</v>
          </cell>
          <cell r="K428">
            <v>0</v>
          </cell>
          <cell r="O428">
            <v>0</v>
          </cell>
          <cell r="P428">
            <v>0</v>
          </cell>
          <cell r="Q428">
            <v>0</v>
          </cell>
        </row>
        <row r="429">
          <cell r="B429" t="str">
            <v>NOV 2015</v>
          </cell>
          <cell r="C429" t="str">
            <v>ODRSE010</v>
          </cell>
          <cell r="D429">
            <v>0</v>
          </cell>
          <cell r="E429">
            <v>0</v>
          </cell>
          <cell r="F429">
            <v>0</v>
          </cell>
          <cell r="G429">
            <v>0</v>
          </cell>
          <cell r="H429">
            <v>0</v>
          </cell>
          <cell r="I429">
            <v>0</v>
          </cell>
          <cell r="J429">
            <v>0</v>
          </cell>
          <cell r="K429">
            <v>0</v>
          </cell>
          <cell r="O429">
            <v>0</v>
          </cell>
          <cell r="P429">
            <v>0</v>
          </cell>
          <cell r="Q429">
            <v>0</v>
          </cell>
        </row>
        <row r="430">
          <cell r="B430" t="str">
            <v>NOV 2015</v>
          </cell>
          <cell r="C430" t="str">
            <v>ODRSE020</v>
          </cell>
          <cell r="D430">
            <v>0</v>
          </cell>
          <cell r="E430">
            <v>0</v>
          </cell>
          <cell r="F430">
            <v>0</v>
          </cell>
          <cell r="G430">
            <v>0</v>
          </cell>
          <cell r="H430">
            <v>0</v>
          </cell>
          <cell r="I430">
            <v>0</v>
          </cell>
          <cell r="J430">
            <v>0</v>
          </cell>
          <cell r="K430">
            <v>0</v>
          </cell>
          <cell r="O430">
            <v>0</v>
          </cell>
          <cell r="P430">
            <v>0</v>
          </cell>
          <cell r="Q430">
            <v>0</v>
          </cell>
        </row>
        <row r="431">
          <cell r="B431" t="str">
            <v>NOV 2015</v>
          </cell>
          <cell r="C431" t="str">
            <v>KTRSE020</v>
          </cell>
          <cell r="D431">
            <v>0</v>
          </cell>
          <cell r="E431">
            <v>0</v>
          </cell>
          <cell r="F431">
            <v>0</v>
          </cell>
          <cell r="G431">
            <v>0</v>
          </cell>
          <cell r="H431">
            <v>0</v>
          </cell>
          <cell r="I431">
            <v>0</v>
          </cell>
          <cell r="J431">
            <v>0</v>
          </cell>
          <cell r="K431">
            <v>0</v>
          </cell>
          <cell r="O431">
            <v>0</v>
          </cell>
          <cell r="P431">
            <v>0</v>
          </cell>
          <cell r="Q431">
            <v>0</v>
          </cell>
        </row>
        <row r="432">
          <cell r="B432" t="str">
            <v>NOV 2015</v>
          </cell>
          <cell r="C432" t="str">
            <v>KTRSE030</v>
          </cell>
          <cell r="D432">
            <v>0</v>
          </cell>
          <cell r="E432">
            <v>0</v>
          </cell>
          <cell r="F432">
            <v>0</v>
          </cell>
          <cell r="G432">
            <v>0</v>
          </cell>
          <cell r="H432">
            <v>0</v>
          </cell>
          <cell r="I432">
            <v>0</v>
          </cell>
          <cell r="J432">
            <v>0</v>
          </cell>
          <cell r="K432">
            <v>0</v>
          </cell>
          <cell r="O432">
            <v>0</v>
          </cell>
          <cell r="P432">
            <v>0</v>
          </cell>
          <cell r="Q432">
            <v>0</v>
          </cell>
        </row>
        <row r="433">
          <cell r="B433" t="str">
            <v>NOV 2015</v>
          </cell>
          <cell r="C433" t="str">
            <v>KUCME710</v>
          </cell>
          <cell r="D433">
            <v>0</v>
          </cell>
          <cell r="E433">
            <v>0</v>
          </cell>
          <cell r="F433">
            <v>0</v>
          </cell>
          <cell r="G433">
            <v>0</v>
          </cell>
          <cell r="H433">
            <v>0</v>
          </cell>
          <cell r="I433">
            <v>0</v>
          </cell>
          <cell r="J433">
            <v>0</v>
          </cell>
          <cell r="K433">
            <v>0</v>
          </cell>
          <cell r="O433">
            <v>0</v>
          </cell>
          <cell r="P433">
            <v>0</v>
          </cell>
          <cell r="Q433">
            <v>0</v>
          </cell>
        </row>
        <row r="434">
          <cell r="B434" t="str">
            <v>NOV 2015</v>
          </cell>
          <cell r="C434" t="str">
            <v>KUINE730</v>
          </cell>
          <cell r="D434">
            <v>1</v>
          </cell>
          <cell r="E434">
            <v>0</v>
          </cell>
          <cell r="F434">
            <v>0</v>
          </cell>
          <cell r="G434">
            <v>0</v>
          </cell>
          <cell r="H434">
            <v>44497248</v>
          </cell>
          <cell r="I434">
            <v>0</v>
          </cell>
          <cell r="J434">
            <v>0</v>
          </cell>
          <cell r="K434">
            <v>0</v>
          </cell>
          <cell r="O434">
            <v>185158</v>
          </cell>
          <cell r="P434">
            <v>185158</v>
          </cell>
          <cell r="Q434">
            <v>101388</v>
          </cell>
        </row>
        <row r="435">
          <cell r="B435" t="str">
            <v>NOV 2015</v>
          </cell>
          <cell r="C435" t="str">
            <v>KUCME290</v>
          </cell>
          <cell r="D435">
            <v>2</v>
          </cell>
          <cell r="E435">
            <v>0</v>
          </cell>
          <cell r="F435">
            <v>0</v>
          </cell>
          <cell r="G435">
            <v>0</v>
          </cell>
          <cell r="H435">
            <v>16078</v>
          </cell>
          <cell r="I435">
            <v>0</v>
          </cell>
          <cell r="J435">
            <v>0</v>
          </cell>
          <cell r="K435">
            <v>0</v>
          </cell>
          <cell r="O435">
            <v>0</v>
          </cell>
          <cell r="P435">
            <v>0</v>
          </cell>
          <cell r="Q435">
            <v>0</v>
          </cell>
        </row>
        <row r="436">
          <cell r="B436" t="str">
            <v>NOV 2015</v>
          </cell>
          <cell r="C436" t="str">
            <v>KUCME291</v>
          </cell>
          <cell r="D436">
            <v>0</v>
          </cell>
          <cell r="E436">
            <v>0</v>
          </cell>
          <cell r="F436">
            <v>0</v>
          </cell>
          <cell r="G436">
            <v>0</v>
          </cell>
          <cell r="H436">
            <v>0</v>
          </cell>
          <cell r="I436">
            <v>0</v>
          </cell>
          <cell r="J436">
            <v>0</v>
          </cell>
          <cell r="K436">
            <v>0</v>
          </cell>
          <cell r="O436">
            <v>0</v>
          </cell>
          <cell r="P436">
            <v>0</v>
          </cell>
          <cell r="Q436">
            <v>0</v>
          </cell>
        </row>
        <row r="437">
          <cell r="B437" t="str">
            <v>NOV 2015</v>
          </cell>
          <cell r="C437" t="str">
            <v>KUCME295</v>
          </cell>
          <cell r="D437">
            <v>747</v>
          </cell>
          <cell r="E437">
            <v>0</v>
          </cell>
          <cell r="F437">
            <v>0</v>
          </cell>
          <cell r="G437">
            <v>0</v>
          </cell>
          <cell r="H437">
            <v>100910</v>
          </cell>
          <cell r="I437">
            <v>0</v>
          </cell>
          <cell r="J437">
            <v>0</v>
          </cell>
          <cell r="K437">
            <v>0</v>
          </cell>
          <cell r="O437">
            <v>0</v>
          </cell>
          <cell r="P437">
            <v>0</v>
          </cell>
          <cell r="Q437">
            <v>0</v>
          </cell>
        </row>
        <row r="438">
          <cell r="B438" t="str">
            <v>NOV 2015</v>
          </cell>
          <cell r="C438" t="str">
            <v>KUCSR760</v>
          </cell>
          <cell r="D438">
            <v>0</v>
          </cell>
          <cell r="E438">
            <v>0</v>
          </cell>
          <cell r="F438">
            <v>0</v>
          </cell>
          <cell r="G438">
            <v>0</v>
          </cell>
          <cell r="H438">
            <v>0</v>
          </cell>
          <cell r="I438">
            <v>0</v>
          </cell>
          <cell r="J438">
            <v>0</v>
          </cell>
          <cell r="K438">
            <v>0</v>
          </cell>
          <cell r="O438">
            <v>0</v>
          </cell>
          <cell r="P438">
            <v>0</v>
          </cell>
          <cell r="Q438">
            <v>0</v>
          </cell>
        </row>
        <row r="439">
          <cell r="B439" t="str">
            <v>NOV 2015</v>
          </cell>
          <cell r="C439" t="str">
            <v>KUCSR761</v>
          </cell>
          <cell r="D439">
            <v>0</v>
          </cell>
          <cell r="E439">
            <v>0</v>
          </cell>
          <cell r="F439">
            <v>0</v>
          </cell>
          <cell r="G439">
            <v>0</v>
          </cell>
          <cell r="H439">
            <v>0</v>
          </cell>
          <cell r="I439">
            <v>0</v>
          </cell>
          <cell r="J439">
            <v>0</v>
          </cell>
          <cell r="K439">
            <v>0</v>
          </cell>
          <cell r="O439">
            <v>0</v>
          </cell>
          <cell r="P439">
            <v>0</v>
          </cell>
          <cell r="Q439">
            <v>0</v>
          </cell>
        </row>
        <row r="440">
          <cell r="B440" t="str">
            <v>NOV 2015</v>
          </cell>
          <cell r="C440" t="str">
            <v>KUCSR783</v>
          </cell>
          <cell r="D440">
            <v>0</v>
          </cell>
          <cell r="E440">
            <v>0</v>
          </cell>
          <cell r="F440">
            <v>0</v>
          </cell>
          <cell r="G440">
            <v>0</v>
          </cell>
          <cell r="H440">
            <v>0</v>
          </cell>
          <cell r="I440">
            <v>0</v>
          </cell>
          <cell r="J440">
            <v>0</v>
          </cell>
          <cell r="K440">
            <v>0</v>
          </cell>
          <cell r="O440">
            <v>0</v>
          </cell>
          <cell r="P440">
            <v>0</v>
          </cell>
          <cell r="Q440">
            <v>0</v>
          </cell>
        </row>
        <row r="441">
          <cell r="B441" t="str">
            <v>NOV 2015</v>
          </cell>
          <cell r="C441" t="str">
            <v>KUCME713</v>
          </cell>
          <cell r="D441">
            <v>0</v>
          </cell>
          <cell r="E441">
            <v>0</v>
          </cell>
          <cell r="F441">
            <v>0</v>
          </cell>
          <cell r="G441">
            <v>0</v>
          </cell>
          <cell r="H441">
            <v>0</v>
          </cell>
          <cell r="I441">
            <v>0</v>
          </cell>
          <cell r="J441">
            <v>0</v>
          </cell>
          <cell r="K441">
            <v>0</v>
          </cell>
          <cell r="O441">
            <v>0</v>
          </cell>
          <cell r="P441">
            <v>0</v>
          </cell>
          <cell r="Q441">
            <v>0</v>
          </cell>
        </row>
        <row r="442">
          <cell r="B442" t="str">
            <v>NOV 2015</v>
          </cell>
          <cell r="C442" t="str">
            <v>KUCIE717</v>
          </cell>
          <cell r="D442">
            <v>0</v>
          </cell>
          <cell r="E442">
            <v>0</v>
          </cell>
          <cell r="F442">
            <v>0</v>
          </cell>
          <cell r="G442">
            <v>0</v>
          </cell>
          <cell r="H442">
            <v>0</v>
          </cell>
          <cell r="I442">
            <v>0</v>
          </cell>
          <cell r="J442">
            <v>0</v>
          </cell>
          <cell r="K442">
            <v>0</v>
          </cell>
          <cell r="O442">
            <v>0</v>
          </cell>
          <cell r="P442">
            <v>0</v>
          </cell>
          <cell r="Q442">
            <v>0</v>
          </cell>
        </row>
        <row r="443">
          <cell r="B443" t="str">
            <v>NOV 2015</v>
          </cell>
          <cell r="C443" t="str">
            <v>KUCME223</v>
          </cell>
          <cell r="D443">
            <v>0</v>
          </cell>
          <cell r="E443">
            <v>0</v>
          </cell>
          <cell r="F443">
            <v>0</v>
          </cell>
          <cell r="G443">
            <v>0</v>
          </cell>
          <cell r="H443">
            <v>0</v>
          </cell>
          <cell r="I443">
            <v>0</v>
          </cell>
          <cell r="J443">
            <v>0</v>
          </cell>
          <cell r="K443">
            <v>0</v>
          </cell>
          <cell r="O443">
            <v>0</v>
          </cell>
          <cell r="P443">
            <v>0</v>
          </cell>
          <cell r="Q443">
            <v>0</v>
          </cell>
        </row>
        <row r="444">
          <cell r="B444" t="str">
            <v>NOV 2015</v>
          </cell>
          <cell r="C444" t="str">
            <v>KURSE040</v>
          </cell>
          <cell r="D444">
            <v>7</v>
          </cell>
          <cell r="E444">
            <v>6774</v>
          </cell>
          <cell r="F444">
            <v>3197</v>
          </cell>
          <cell r="G444">
            <v>1832</v>
          </cell>
          <cell r="H444">
            <v>11803</v>
          </cell>
          <cell r="I444">
            <v>0</v>
          </cell>
          <cell r="J444">
            <v>0</v>
          </cell>
          <cell r="K444">
            <v>0</v>
          </cell>
          <cell r="O444">
            <v>0</v>
          </cell>
          <cell r="P444">
            <v>0</v>
          </cell>
          <cell r="Q444">
            <v>0</v>
          </cell>
        </row>
        <row r="445">
          <cell r="B445" t="str">
            <v>NOV 2015</v>
          </cell>
          <cell r="C445" t="str">
            <v>KUCME221</v>
          </cell>
          <cell r="D445">
            <v>0</v>
          </cell>
          <cell r="E445">
            <v>0</v>
          </cell>
          <cell r="F445">
            <v>0</v>
          </cell>
          <cell r="G445">
            <v>0</v>
          </cell>
          <cell r="H445">
            <v>0</v>
          </cell>
          <cell r="I445">
            <v>0</v>
          </cell>
          <cell r="J445">
            <v>0</v>
          </cell>
          <cell r="K445">
            <v>0</v>
          </cell>
          <cell r="O445">
            <v>0</v>
          </cell>
          <cell r="P445">
            <v>0</v>
          </cell>
          <cell r="Q445">
            <v>0</v>
          </cell>
        </row>
        <row r="446">
          <cell r="B446" t="str">
            <v>NOV 2015</v>
          </cell>
          <cell r="C446" t="str">
            <v>KUCME224</v>
          </cell>
          <cell r="D446">
            <v>260</v>
          </cell>
          <cell r="E446">
            <v>0</v>
          </cell>
          <cell r="F446">
            <v>0</v>
          </cell>
          <cell r="G446">
            <v>0</v>
          </cell>
          <cell r="H446">
            <v>11967848</v>
          </cell>
          <cell r="I446">
            <v>0</v>
          </cell>
          <cell r="J446">
            <v>0</v>
          </cell>
          <cell r="K446">
            <v>0</v>
          </cell>
          <cell r="O446">
            <v>54419</v>
          </cell>
          <cell r="P446">
            <v>0</v>
          </cell>
          <cell r="Q446">
            <v>0</v>
          </cell>
        </row>
        <row r="447">
          <cell r="B447" t="str">
            <v>NOV 2015</v>
          </cell>
          <cell r="C447" t="str">
            <v>KUCME297</v>
          </cell>
          <cell r="D447">
            <v>0</v>
          </cell>
          <cell r="E447">
            <v>0</v>
          </cell>
          <cell r="F447">
            <v>0</v>
          </cell>
          <cell r="G447">
            <v>0</v>
          </cell>
          <cell r="H447">
            <v>0</v>
          </cell>
          <cell r="I447">
            <v>0</v>
          </cell>
          <cell r="J447">
            <v>0</v>
          </cell>
          <cell r="K447">
            <v>0</v>
          </cell>
          <cell r="O447">
            <v>0</v>
          </cell>
          <cell r="P447">
            <v>0</v>
          </cell>
          <cell r="Q447">
            <v>0</v>
          </cell>
        </row>
        <row r="448">
          <cell r="B448" t="str">
            <v>NOV 2015</v>
          </cell>
          <cell r="C448" t="str">
            <v>KUCME225</v>
          </cell>
          <cell r="D448">
            <v>0</v>
          </cell>
          <cell r="E448">
            <v>0</v>
          </cell>
          <cell r="F448">
            <v>0</v>
          </cell>
          <cell r="G448">
            <v>0</v>
          </cell>
          <cell r="H448">
            <v>0</v>
          </cell>
          <cell r="I448">
            <v>0</v>
          </cell>
          <cell r="J448">
            <v>0</v>
          </cell>
          <cell r="K448">
            <v>0</v>
          </cell>
          <cell r="O448">
            <v>0</v>
          </cell>
          <cell r="P448">
            <v>0</v>
          </cell>
          <cell r="Q448">
            <v>0</v>
          </cell>
        </row>
        <row r="449">
          <cell r="B449" t="str">
            <v>NOV 2015</v>
          </cell>
          <cell r="C449" t="str">
            <v>KUCME226</v>
          </cell>
          <cell r="D449">
            <v>0</v>
          </cell>
          <cell r="E449">
            <v>0</v>
          </cell>
          <cell r="F449">
            <v>0</v>
          </cell>
          <cell r="G449">
            <v>0</v>
          </cell>
          <cell r="H449">
            <v>0</v>
          </cell>
          <cell r="I449">
            <v>0</v>
          </cell>
          <cell r="J449">
            <v>0</v>
          </cell>
          <cell r="K449">
            <v>0</v>
          </cell>
          <cell r="O449">
            <v>0</v>
          </cell>
          <cell r="P449">
            <v>0</v>
          </cell>
          <cell r="Q449">
            <v>0</v>
          </cell>
        </row>
        <row r="450">
          <cell r="B450" t="str">
            <v>NOV 2015</v>
          </cell>
          <cell r="C450" t="str">
            <v>KUCME227</v>
          </cell>
          <cell r="D450">
            <v>0</v>
          </cell>
          <cell r="E450">
            <v>0</v>
          </cell>
          <cell r="F450">
            <v>0</v>
          </cell>
          <cell r="G450">
            <v>0</v>
          </cell>
          <cell r="H450">
            <v>0</v>
          </cell>
          <cell r="I450">
            <v>0</v>
          </cell>
          <cell r="J450">
            <v>0</v>
          </cell>
          <cell r="K450">
            <v>0</v>
          </cell>
          <cell r="O450">
            <v>0</v>
          </cell>
          <cell r="P450">
            <v>0</v>
          </cell>
          <cell r="Q450">
            <v>0</v>
          </cell>
        </row>
        <row r="451">
          <cell r="B451" t="str">
            <v>NOV 2015</v>
          </cell>
          <cell r="C451" t="str">
            <v>Result</v>
          </cell>
        </row>
        <row r="452">
          <cell r="B452" t="str">
            <v>DEC 2015</v>
          </cell>
          <cell r="C452" t="str">
            <v>KUCIE550</v>
          </cell>
          <cell r="D452">
            <v>32</v>
          </cell>
          <cell r="E452">
            <v>0</v>
          </cell>
          <cell r="F452">
            <v>0</v>
          </cell>
          <cell r="G452">
            <v>0</v>
          </cell>
          <cell r="H452">
            <v>143877223</v>
          </cell>
          <cell r="I452">
            <v>0</v>
          </cell>
          <cell r="J452">
            <v>0</v>
          </cell>
          <cell r="K452">
            <v>0</v>
          </cell>
          <cell r="O452">
            <v>305101</v>
          </cell>
          <cell r="P452">
            <v>298666</v>
          </cell>
          <cell r="Q452">
            <v>292465</v>
          </cell>
        </row>
        <row r="453">
          <cell r="B453" t="str">
            <v>DEC 2015</v>
          </cell>
          <cell r="C453" t="str">
            <v>KUCIE561</v>
          </cell>
          <cell r="D453">
            <v>196</v>
          </cell>
          <cell r="E453">
            <v>0</v>
          </cell>
          <cell r="F453">
            <v>0</v>
          </cell>
          <cell r="G453">
            <v>0</v>
          </cell>
          <cell r="H453">
            <v>20132212</v>
          </cell>
          <cell r="I453">
            <v>0</v>
          </cell>
          <cell r="J453">
            <v>0</v>
          </cell>
          <cell r="K453">
            <v>0</v>
          </cell>
          <cell r="O453">
            <v>0</v>
          </cell>
          <cell r="P453">
            <v>54459</v>
          </cell>
          <cell r="Q453">
            <v>0</v>
          </cell>
        </row>
        <row r="454">
          <cell r="B454" t="str">
            <v>DEC 2015</v>
          </cell>
          <cell r="C454" t="str">
            <v>KUCIE562</v>
          </cell>
          <cell r="D454">
            <v>4660</v>
          </cell>
          <cell r="E454">
            <v>0</v>
          </cell>
          <cell r="F454">
            <v>0</v>
          </cell>
          <cell r="G454">
            <v>0</v>
          </cell>
          <cell r="H454">
            <v>177385987</v>
          </cell>
          <cell r="I454">
            <v>0</v>
          </cell>
          <cell r="J454">
            <v>0</v>
          </cell>
          <cell r="K454">
            <v>0</v>
          </cell>
          <cell r="O454">
            <v>0</v>
          </cell>
          <cell r="P454">
            <v>548106</v>
          </cell>
          <cell r="Q454">
            <v>0</v>
          </cell>
        </row>
        <row r="455">
          <cell r="B455" t="str">
            <v>DEC 2015</v>
          </cell>
          <cell r="C455" t="str">
            <v>KUCIE563</v>
          </cell>
          <cell r="D455">
            <v>52</v>
          </cell>
          <cell r="E455">
            <v>0</v>
          </cell>
          <cell r="F455">
            <v>0</v>
          </cell>
          <cell r="G455">
            <v>0</v>
          </cell>
          <cell r="H455">
            <v>255284575</v>
          </cell>
          <cell r="I455">
            <v>0</v>
          </cell>
          <cell r="J455">
            <v>0</v>
          </cell>
          <cell r="K455">
            <v>0</v>
          </cell>
          <cell r="O455">
            <v>517261</v>
          </cell>
          <cell r="P455">
            <v>482638</v>
          </cell>
          <cell r="Q455">
            <v>479026</v>
          </cell>
        </row>
        <row r="456">
          <cell r="B456" t="str">
            <v>DEC 2015</v>
          </cell>
          <cell r="C456" t="str">
            <v>KUCIE566</v>
          </cell>
          <cell r="D456">
            <v>0</v>
          </cell>
          <cell r="E456">
            <v>0</v>
          </cell>
          <cell r="F456">
            <v>0</v>
          </cell>
          <cell r="G456">
            <v>0</v>
          </cell>
          <cell r="H456">
            <v>0</v>
          </cell>
          <cell r="I456">
            <v>0</v>
          </cell>
          <cell r="J456">
            <v>0</v>
          </cell>
          <cell r="K456">
            <v>0</v>
          </cell>
          <cell r="O456">
            <v>0</v>
          </cell>
          <cell r="P456">
            <v>0</v>
          </cell>
          <cell r="Q456">
            <v>0</v>
          </cell>
        </row>
        <row r="457">
          <cell r="B457" t="str">
            <v>DEC 2015</v>
          </cell>
          <cell r="C457" t="str">
            <v>KUCIE568</v>
          </cell>
          <cell r="D457">
            <v>0</v>
          </cell>
          <cell r="E457">
            <v>0</v>
          </cell>
          <cell r="F457">
            <v>0</v>
          </cell>
          <cell r="G457">
            <v>0</v>
          </cell>
          <cell r="H457">
            <v>0</v>
          </cell>
          <cell r="I457">
            <v>0</v>
          </cell>
          <cell r="J457">
            <v>0</v>
          </cell>
          <cell r="K457">
            <v>0</v>
          </cell>
          <cell r="O457">
            <v>0</v>
          </cell>
          <cell r="P457">
            <v>0</v>
          </cell>
          <cell r="Q457">
            <v>0</v>
          </cell>
        </row>
        <row r="458">
          <cell r="B458" t="str">
            <v>DEC 2015</v>
          </cell>
          <cell r="C458" t="str">
            <v>KUCIE571</v>
          </cell>
          <cell r="D458">
            <v>202</v>
          </cell>
          <cell r="E458">
            <v>0</v>
          </cell>
          <cell r="F458">
            <v>0</v>
          </cell>
          <cell r="G458">
            <v>0</v>
          </cell>
          <cell r="H458">
            <v>106794414</v>
          </cell>
          <cell r="I458">
            <v>0</v>
          </cell>
          <cell r="J458">
            <v>0</v>
          </cell>
          <cell r="K458">
            <v>0</v>
          </cell>
          <cell r="O458">
            <v>254407</v>
          </cell>
          <cell r="P458">
            <v>244745</v>
          </cell>
          <cell r="Q458">
            <v>241237</v>
          </cell>
        </row>
        <row r="459">
          <cell r="B459" t="str">
            <v>DEC 2015</v>
          </cell>
          <cell r="C459" t="str">
            <v>KUCIE572</v>
          </cell>
          <cell r="D459">
            <v>466</v>
          </cell>
          <cell r="E459">
            <v>0</v>
          </cell>
          <cell r="F459">
            <v>0</v>
          </cell>
          <cell r="G459">
            <v>0</v>
          </cell>
          <cell r="H459">
            <v>138941021</v>
          </cell>
          <cell r="I459">
            <v>0</v>
          </cell>
          <cell r="J459">
            <v>0</v>
          </cell>
          <cell r="K459">
            <v>0</v>
          </cell>
          <cell r="O459">
            <v>325202</v>
          </cell>
          <cell r="P459">
            <v>296195</v>
          </cell>
          <cell r="Q459">
            <v>289560</v>
          </cell>
        </row>
        <row r="460">
          <cell r="B460" t="str">
            <v>DEC 2015</v>
          </cell>
          <cell r="C460" t="str">
            <v>KUCME110</v>
          </cell>
          <cell r="D460">
            <v>63529</v>
          </cell>
          <cell r="E460">
            <v>0</v>
          </cell>
          <cell r="F460">
            <v>0</v>
          </cell>
          <cell r="G460">
            <v>0</v>
          </cell>
          <cell r="H460">
            <v>68970770</v>
          </cell>
          <cell r="I460">
            <v>0</v>
          </cell>
          <cell r="J460">
            <v>0</v>
          </cell>
          <cell r="K460">
            <v>0</v>
          </cell>
          <cell r="O460">
            <v>0</v>
          </cell>
          <cell r="P460">
            <v>0</v>
          </cell>
          <cell r="Q460">
            <v>0</v>
          </cell>
        </row>
        <row r="461">
          <cell r="B461" t="str">
            <v>DEC 2015</v>
          </cell>
          <cell r="C461" t="str">
            <v>KUCME112</v>
          </cell>
          <cell r="D461">
            <v>0</v>
          </cell>
          <cell r="E461">
            <v>0</v>
          </cell>
          <cell r="F461">
            <v>0</v>
          </cell>
          <cell r="G461">
            <v>0</v>
          </cell>
          <cell r="H461">
            <v>0</v>
          </cell>
          <cell r="I461">
            <v>0</v>
          </cell>
          <cell r="J461">
            <v>0</v>
          </cell>
          <cell r="K461">
            <v>0</v>
          </cell>
          <cell r="O461">
            <v>0</v>
          </cell>
          <cell r="P461">
            <v>0</v>
          </cell>
          <cell r="Q461">
            <v>0</v>
          </cell>
        </row>
        <row r="462">
          <cell r="B462" t="str">
            <v>DEC 2015</v>
          </cell>
          <cell r="C462" t="str">
            <v>KUCME113</v>
          </cell>
          <cell r="D462">
            <v>18571</v>
          </cell>
          <cell r="E462">
            <v>0</v>
          </cell>
          <cell r="F462">
            <v>0</v>
          </cell>
          <cell r="G462">
            <v>0</v>
          </cell>
          <cell r="H462">
            <v>101080235</v>
          </cell>
          <cell r="I462">
            <v>0</v>
          </cell>
          <cell r="J462">
            <v>0</v>
          </cell>
          <cell r="K462">
            <v>0</v>
          </cell>
          <cell r="O462">
            <v>385178</v>
          </cell>
          <cell r="P462">
            <v>0</v>
          </cell>
          <cell r="Q462">
            <v>0</v>
          </cell>
        </row>
        <row r="463">
          <cell r="B463" t="str">
            <v>DEC 2015</v>
          </cell>
          <cell r="C463" t="str">
            <v>KUCME220</v>
          </cell>
          <cell r="D463">
            <v>373</v>
          </cell>
          <cell r="E463">
            <v>0</v>
          </cell>
          <cell r="F463">
            <v>0</v>
          </cell>
          <cell r="G463">
            <v>0</v>
          </cell>
          <cell r="H463">
            <v>744788</v>
          </cell>
          <cell r="I463">
            <v>0</v>
          </cell>
          <cell r="J463">
            <v>0</v>
          </cell>
          <cell r="K463">
            <v>0</v>
          </cell>
          <cell r="O463">
            <v>0</v>
          </cell>
          <cell r="P463">
            <v>0</v>
          </cell>
          <cell r="Q463">
            <v>0</v>
          </cell>
        </row>
        <row r="464">
          <cell r="B464" t="str">
            <v>DEC 2015</v>
          </cell>
          <cell r="C464" t="str">
            <v>KURSE010</v>
          </cell>
          <cell r="D464">
            <v>430268</v>
          </cell>
          <cell r="E464">
            <v>0</v>
          </cell>
          <cell r="F464">
            <v>0</v>
          </cell>
          <cell r="G464">
            <v>0</v>
          </cell>
          <cell r="H464">
            <v>619539657</v>
          </cell>
          <cell r="I464">
            <v>0</v>
          </cell>
          <cell r="J464">
            <v>0</v>
          </cell>
          <cell r="K464">
            <v>0</v>
          </cell>
          <cell r="O464">
            <v>0</v>
          </cell>
          <cell r="P464">
            <v>0</v>
          </cell>
          <cell r="Q464">
            <v>0</v>
          </cell>
        </row>
        <row r="465">
          <cell r="B465" t="str">
            <v>DEC 2015</v>
          </cell>
          <cell r="C465" t="str">
            <v>KURSE020</v>
          </cell>
          <cell r="D465">
            <v>0</v>
          </cell>
          <cell r="E465">
            <v>0</v>
          </cell>
          <cell r="F465">
            <v>0</v>
          </cell>
          <cell r="G465">
            <v>0</v>
          </cell>
          <cell r="H465">
            <v>0</v>
          </cell>
          <cell r="I465">
            <v>0</v>
          </cell>
          <cell r="J465">
            <v>0</v>
          </cell>
          <cell r="K465">
            <v>0</v>
          </cell>
          <cell r="O465">
            <v>0</v>
          </cell>
          <cell r="P465">
            <v>0</v>
          </cell>
          <cell r="Q465">
            <v>0</v>
          </cell>
        </row>
        <row r="466">
          <cell r="B466" t="str">
            <v>DEC 2015</v>
          </cell>
          <cell r="C466" t="str">
            <v>KURSE025</v>
          </cell>
          <cell r="D466">
            <v>0</v>
          </cell>
          <cell r="E466">
            <v>0</v>
          </cell>
          <cell r="F466">
            <v>0</v>
          </cell>
          <cell r="G466">
            <v>0</v>
          </cell>
          <cell r="H466">
            <v>0</v>
          </cell>
          <cell r="I466">
            <v>0</v>
          </cell>
          <cell r="J466">
            <v>0</v>
          </cell>
          <cell r="K466">
            <v>0</v>
          </cell>
          <cell r="O466">
            <v>0</v>
          </cell>
          <cell r="P466">
            <v>0</v>
          </cell>
          <cell r="Q466">
            <v>0</v>
          </cell>
        </row>
        <row r="467">
          <cell r="B467" t="str">
            <v>DEC 2015</v>
          </cell>
          <cell r="C467" t="str">
            <v>KURSE080</v>
          </cell>
          <cell r="D467">
            <v>0</v>
          </cell>
          <cell r="E467">
            <v>0</v>
          </cell>
          <cell r="F467">
            <v>0</v>
          </cell>
          <cell r="G467">
            <v>0</v>
          </cell>
          <cell r="H467">
            <v>0</v>
          </cell>
          <cell r="I467">
            <v>0</v>
          </cell>
          <cell r="J467">
            <v>0</v>
          </cell>
          <cell r="K467">
            <v>0</v>
          </cell>
          <cell r="O467">
            <v>0</v>
          </cell>
          <cell r="P467">
            <v>0</v>
          </cell>
          <cell r="Q467">
            <v>0</v>
          </cell>
        </row>
        <row r="468">
          <cell r="B468" t="str">
            <v>DEC 2015</v>
          </cell>
          <cell r="C468" t="str">
            <v>KURSE715</v>
          </cell>
          <cell r="D468">
            <v>0</v>
          </cell>
          <cell r="E468">
            <v>0</v>
          </cell>
          <cell r="F468">
            <v>0</v>
          </cell>
          <cell r="G468">
            <v>0</v>
          </cell>
          <cell r="H468">
            <v>0</v>
          </cell>
          <cell r="I468">
            <v>0</v>
          </cell>
          <cell r="J468">
            <v>0</v>
          </cell>
          <cell r="K468">
            <v>0</v>
          </cell>
          <cell r="O468">
            <v>0</v>
          </cell>
          <cell r="P468">
            <v>0</v>
          </cell>
          <cell r="Q468">
            <v>0</v>
          </cell>
        </row>
        <row r="469">
          <cell r="B469" t="str">
            <v>DEC 2015</v>
          </cell>
          <cell r="C469" t="str">
            <v>ODRSE010</v>
          </cell>
          <cell r="D469">
            <v>0</v>
          </cell>
          <cell r="E469">
            <v>0</v>
          </cell>
          <cell r="F469">
            <v>0</v>
          </cell>
          <cell r="G469">
            <v>0</v>
          </cell>
          <cell r="H469">
            <v>0</v>
          </cell>
          <cell r="I469">
            <v>0</v>
          </cell>
          <cell r="J469">
            <v>0</v>
          </cell>
          <cell r="K469">
            <v>0</v>
          </cell>
          <cell r="O469">
            <v>0</v>
          </cell>
          <cell r="P469">
            <v>0</v>
          </cell>
          <cell r="Q469">
            <v>0</v>
          </cell>
        </row>
        <row r="470">
          <cell r="B470" t="str">
            <v>DEC 2015</v>
          </cell>
          <cell r="C470" t="str">
            <v>ODRSE020</v>
          </cell>
          <cell r="D470">
            <v>0</v>
          </cell>
          <cell r="E470">
            <v>0</v>
          </cell>
          <cell r="F470">
            <v>0</v>
          </cell>
          <cell r="G470">
            <v>0</v>
          </cell>
          <cell r="H470">
            <v>0</v>
          </cell>
          <cell r="I470">
            <v>0</v>
          </cell>
          <cell r="J470">
            <v>0</v>
          </cell>
          <cell r="K470">
            <v>0</v>
          </cell>
          <cell r="O470">
            <v>0</v>
          </cell>
          <cell r="P470">
            <v>0</v>
          </cell>
          <cell r="Q470">
            <v>0</v>
          </cell>
        </row>
        <row r="471">
          <cell r="B471" t="str">
            <v>DEC 2015</v>
          </cell>
          <cell r="C471" t="str">
            <v>KTRSE020</v>
          </cell>
          <cell r="D471">
            <v>0</v>
          </cell>
          <cell r="E471">
            <v>0</v>
          </cell>
          <cell r="F471">
            <v>0</v>
          </cell>
          <cell r="G471">
            <v>0</v>
          </cell>
          <cell r="H471">
            <v>0</v>
          </cell>
          <cell r="I471">
            <v>0</v>
          </cell>
          <cell r="J471">
            <v>0</v>
          </cell>
          <cell r="K471">
            <v>0</v>
          </cell>
          <cell r="O471">
            <v>0</v>
          </cell>
          <cell r="P471">
            <v>0</v>
          </cell>
          <cell r="Q471">
            <v>0</v>
          </cell>
        </row>
        <row r="472">
          <cell r="B472" t="str">
            <v>DEC 2015</v>
          </cell>
          <cell r="C472" t="str">
            <v>KTRSE030</v>
          </cell>
          <cell r="D472">
            <v>0</v>
          </cell>
          <cell r="E472">
            <v>0</v>
          </cell>
          <cell r="F472">
            <v>0</v>
          </cell>
          <cell r="G472">
            <v>0</v>
          </cell>
          <cell r="H472">
            <v>0</v>
          </cell>
          <cell r="I472">
            <v>0</v>
          </cell>
          <cell r="J472">
            <v>0</v>
          </cell>
          <cell r="K472">
            <v>0</v>
          </cell>
          <cell r="O472">
            <v>0</v>
          </cell>
          <cell r="P472">
            <v>0</v>
          </cell>
          <cell r="Q472">
            <v>0</v>
          </cell>
        </row>
        <row r="473">
          <cell r="B473" t="str">
            <v>DEC 2015</v>
          </cell>
          <cell r="C473" t="str">
            <v>KUCME710</v>
          </cell>
          <cell r="D473">
            <v>0</v>
          </cell>
          <cell r="E473">
            <v>0</v>
          </cell>
          <cell r="F473">
            <v>0</v>
          </cell>
          <cell r="G473">
            <v>0</v>
          </cell>
          <cell r="H473">
            <v>0</v>
          </cell>
          <cell r="I473">
            <v>0</v>
          </cell>
          <cell r="J473">
            <v>0</v>
          </cell>
          <cell r="K473">
            <v>0</v>
          </cell>
          <cell r="O473">
            <v>0</v>
          </cell>
          <cell r="P473">
            <v>0</v>
          </cell>
          <cell r="Q473">
            <v>0</v>
          </cell>
        </row>
        <row r="474">
          <cell r="B474" t="str">
            <v>DEC 2015</v>
          </cell>
          <cell r="C474" t="str">
            <v>KUINE730</v>
          </cell>
          <cell r="D474">
            <v>1</v>
          </cell>
          <cell r="E474">
            <v>0</v>
          </cell>
          <cell r="F474">
            <v>0</v>
          </cell>
          <cell r="G474">
            <v>0</v>
          </cell>
          <cell r="H474">
            <v>48145895</v>
          </cell>
          <cell r="I474">
            <v>0</v>
          </cell>
          <cell r="J474">
            <v>0</v>
          </cell>
          <cell r="K474">
            <v>0</v>
          </cell>
          <cell r="O474">
            <v>185158</v>
          </cell>
          <cell r="P474">
            <v>185158</v>
          </cell>
          <cell r="Q474">
            <v>101388</v>
          </cell>
        </row>
        <row r="475">
          <cell r="B475" t="str">
            <v>DEC 2015</v>
          </cell>
          <cell r="C475" t="str">
            <v>KUCME290</v>
          </cell>
          <cell r="D475">
            <v>2</v>
          </cell>
          <cell r="E475">
            <v>0</v>
          </cell>
          <cell r="F475">
            <v>0</v>
          </cell>
          <cell r="G475">
            <v>0</v>
          </cell>
          <cell r="H475">
            <v>20203</v>
          </cell>
          <cell r="I475">
            <v>0</v>
          </cell>
          <cell r="J475">
            <v>0</v>
          </cell>
          <cell r="K475">
            <v>0</v>
          </cell>
          <cell r="O475">
            <v>0</v>
          </cell>
          <cell r="P475">
            <v>0</v>
          </cell>
          <cell r="Q475">
            <v>0</v>
          </cell>
        </row>
        <row r="476">
          <cell r="B476" t="str">
            <v>DEC 2015</v>
          </cell>
          <cell r="C476" t="str">
            <v>KUCME291</v>
          </cell>
          <cell r="D476">
            <v>0</v>
          </cell>
          <cell r="E476">
            <v>0</v>
          </cell>
          <cell r="F476">
            <v>0</v>
          </cell>
          <cell r="G476">
            <v>0</v>
          </cell>
          <cell r="H476">
            <v>0</v>
          </cell>
          <cell r="I476">
            <v>0</v>
          </cell>
          <cell r="J476">
            <v>0</v>
          </cell>
          <cell r="K476">
            <v>0</v>
          </cell>
          <cell r="O476">
            <v>0</v>
          </cell>
          <cell r="P476">
            <v>0</v>
          </cell>
          <cell r="Q476">
            <v>0</v>
          </cell>
        </row>
        <row r="477">
          <cell r="B477" t="str">
            <v>DEC 2015</v>
          </cell>
          <cell r="C477" t="str">
            <v>KUCME295</v>
          </cell>
          <cell r="D477">
            <v>747</v>
          </cell>
          <cell r="E477">
            <v>0</v>
          </cell>
          <cell r="F477">
            <v>0</v>
          </cell>
          <cell r="G477">
            <v>0</v>
          </cell>
          <cell r="H477">
            <v>118302</v>
          </cell>
          <cell r="I477">
            <v>0</v>
          </cell>
          <cell r="J477">
            <v>0</v>
          </cell>
          <cell r="K477">
            <v>0</v>
          </cell>
          <cell r="O477">
            <v>0</v>
          </cell>
          <cell r="P477">
            <v>0</v>
          </cell>
          <cell r="Q477">
            <v>0</v>
          </cell>
        </row>
        <row r="478">
          <cell r="B478" t="str">
            <v>DEC 2015</v>
          </cell>
          <cell r="C478" t="str">
            <v>KUCSR760</v>
          </cell>
          <cell r="D478">
            <v>0</v>
          </cell>
          <cell r="E478">
            <v>0</v>
          </cell>
          <cell r="F478">
            <v>0</v>
          </cell>
          <cell r="G478">
            <v>0</v>
          </cell>
          <cell r="H478">
            <v>0</v>
          </cell>
          <cell r="I478">
            <v>0</v>
          </cell>
          <cell r="J478">
            <v>0</v>
          </cell>
          <cell r="K478">
            <v>0</v>
          </cell>
          <cell r="O478">
            <v>0</v>
          </cell>
          <cell r="P478">
            <v>0</v>
          </cell>
          <cell r="Q478">
            <v>0</v>
          </cell>
        </row>
        <row r="479">
          <cell r="B479" t="str">
            <v>DEC 2015</v>
          </cell>
          <cell r="C479" t="str">
            <v>KUCSR761</v>
          </cell>
          <cell r="D479">
            <v>0</v>
          </cell>
          <cell r="E479">
            <v>0</v>
          </cell>
          <cell r="F479">
            <v>0</v>
          </cell>
          <cell r="G479">
            <v>0</v>
          </cell>
          <cell r="H479">
            <v>0</v>
          </cell>
          <cell r="I479">
            <v>0</v>
          </cell>
          <cell r="J479">
            <v>0</v>
          </cell>
          <cell r="K479">
            <v>0</v>
          </cell>
          <cell r="O479">
            <v>0</v>
          </cell>
          <cell r="P479">
            <v>0</v>
          </cell>
          <cell r="Q479">
            <v>0</v>
          </cell>
        </row>
        <row r="480">
          <cell r="B480" t="str">
            <v>DEC 2015</v>
          </cell>
          <cell r="C480" t="str">
            <v>KUCSR783</v>
          </cell>
          <cell r="D480">
            <v>0</v>
          </cell>
          <cell r="E480">
            <v>0</v>
          </cell>
          <cell r="F480">
            <v>0</v>
          </cell>
          <cell r="G480">
            <v>0</v>
          </cell>
          <cell r="H480">
            <v>0</v>
          </cell>
          <cell r="I480">
            <v>0</v>
          </cell>
          <cell r="J480">
            <v>0</v>
          </cell>
          <cell r="K480">
            <v>0</v>
          </cell>
          <cell r="O480">
            <v>0</v>
          </cell>
          <cell r="P480">
            <v>0</v>
          </cell>
          <cell r="Q480">
            <v>0</v>
          </cell>
        </row>
        <row r="481">
          <cell r="B481" t="str">
            <v>DEC 2015</v>
          </cell>
          <cell r="C481" t="str">
            <v>KUCME713</v>
          </cell>
          <cell r="D481">
            <v>0</v>
          </cell>
          <cell r="E481">
            <v>0</v>
          </cell>
          <cell r="F481">
            <v>0</v>
          </cell>
          <cell r="G481">
            <v>0</v>
          </cell>
          <cell r="H481">
            <v>0</v>
          </cell>
          <cell r="I481">
            <v>0</v>
          </cell>
          <cell r="J481">
            <v>0</v>
          </cell>
          <cell r="K481">
            <v>0</v>
          </cell>
          <cell r="O481">
            <v>0</v>
          </cell>
          <cell r="P481">
            <v>0</v>
          </cell>
          <cell r="Q481">
            <v>0</v>
          </cell>
        </row>
        <row r="482">
          <cell r="B482" t="str">
            <v>DEC 2015</v>
          </cell>
          <cell r="C482" t="str">
            <v>KUCIE717</v>
          </cell>
          <cell r="D482">
            <v>0</v>
          </cell>
          <cell r="E482">
            <v>0</v>
          </cell>
          <cell r="F482">
            <v>0</v>
          </cell>
          <cell r="G482">
            <v>0</v>
          </cell>
          <cell r="H482">
            <v>0</v>
          </cell>
          <cell r="I482">
            <v>0</v>
          </cell>
          <cell r="J482">
            <v>0</v>
          </cell>
          <cell r="K482">
            <v>0</v>
          </cell>
          <cell r="O482">
            <v>0</v>
          </cell>
          <cell r="P482">
            <v>0</v>
          </cell>
          <cell r="Q482">
            <v>0</v>
          </cell>
        </row>
        <row r="483">
          <cell r="B483" t="str">
            <v>DEC 2015</v>
          </cell>
          <cell r="C483" t="str">
            <v>KUCME223</v>
          </cell>
          <cell r="D483">
            <v>0</v>
          </cell>
          <cell r="E483">
            <v>0</v>
          </cell>
          <cell r="F483">
            <v>0</v>
          </cell>
          <cell r="G483">
            <v>0</v>
          </cell>
          <cell r="H483">
            <v>0</v>
          </cell>
          <cell r="I483">
            <v>0</v>
          </cell>
          <cell r="J483">
            <v>0</v>
          </cell>
          <cell r="K483">
            <v>0</v>
          </cell>
          <cell r="O483">
            <v>0</v>
          </cell>
          <cell r="P483">
            <v>0</v>
          </cell>
          <cell r="Q483">
            <v>0</v>
          </cell>
        </row>
        <row r="484">
          <cell r="B484" t="str">
            <v>DEC 2015</v>
          </cell>
          <cell r="C484" t="str">
            <v>KURSE040</v>
          </cell>
          <cell r="D484">
            <v>7</v>
          </cell>
          <cell r="E484">
            <v>5906</v>
          </cell>
          <cell r="F484">
            <v>2533</v>
          </cell>
          <cell r="G484">
            <v>1737</v>
          </cell>
          <cell r="H484">
            <v>10176</v>
          </cell>
          <cell r="I484">
            <v>0</v>
          </cell>
          <cell r="J484">
            <v>0</v>
          </cell>
          <cell r="K484">
            <v>0</v>
          </cell>
          <cell r="O484">
            <v>0</v>
          </cell>
          <cell r="P484">
            <v>0</v>
          </cell>
          <cell r="Q484">
            <v>0</v>
          </cell>
        </row>
        <row r="485">
          <cell r="B485" t="str">
            <v>DEC 2015</v>
          </cell>
          <cell r="C485" t="str">
            <v>KUCME221</v>
          </cell>
          <cell r="D485">
            <v>0</v>
          </cell>
          <cell r="E485">
            <v>0</v>
          </cell>
          <cell r="F485">
            <v>0</v>
          </cell>
          <cell r="G485">
            <v>0</v>
          </cell>
          <cell r="H485">
            <v>0</v>
          </cell>
          <cell r="I485">
            <v>0</v>
          </cell>
          <cell r="J485">
            <v>0</v>
          </cell>
          <cell r="K485">
            <v>0</v>
          </cell>
          <cell r="O485">
            <v>0</v>
          </cell>
          <cell r="P485">
            <v>0</v>
          </cell>
          <cell r="Q485">
            <v>0</v>
          </cell>
        </row>
        <row r="486">
          <cell r="B486" t="str">
            <v>DEC 2015</v>
          </cell>
          <cell r="C486" t="str">
            <v>KUCME224</v>
          </cell>
          <cell r="D486">
            <v>260</v>
          </cell>
          <cell r="E486">
            <v>0</v>
          </cell>
          <cell r="F486">
            <v>0</v>
          </cell>
          <cell r="G486">
            <v>0</v>
          </cell>
          <cell r="H486">
            <v>13804282</v>
          </cell>
          <cell r="I486">
            <v>0</v>
          </cell>
          <cell r="J486">
            <v>0</v>
          </cell>
          <cell r="K486">
            <v>0</v>
          </cell>
          <cell r="O486">
            <v>51812</v>
          </cell>
          <cell r="P486">
            <v>0</v>
          </cell>
          <cell r="Q486">
            <v>0</v>
          </cell>
        </row>
        <row r="487">
          <cell r="B487" t="str">
            <v>DEC 2015</v>
          </cell>
          <cell r="C487" t="str">
            <v>KUCME297</v>
          </cell>
          <cell r="D487">
            <v>0</v>
          </cell>
          <cell r="E487">
            <v>0</v>
          </cell>
          <cell r="F487">
            <v>0</v>
          </cell>
          <cell r="G487">
            <v>0</v>
          </cell>
          <cell r="H487">
            <v>0</v>
          </cell>
          <cell r="I487">
            <v>0</v>
          </cell>
          <cell r="J487">
            <v>0</v>
          </cell>
          <cell r="K487">
            <v>0</v>
          </cell>
          <cell r="O487">
            <v>0</v>
          </cell>
          <cell r="P487">
            <v>0</v>
          </cell>
          <cell r="Q487">
            <v>0</v>
          </cell>
        </row>
        <row r="488">
          <cell r="B488" t="str">
            <v>DEC 2015</v>
          </cell>
          <cell r="C488" t="str">
            <v>KUCME225</v>
          </cell>
          <cell r="D488">
            <v>0</v>
          </cell>
          <cell r="E488">
            <v>0</v>
          </cell>
          <cell r="F488">
            <v>0</v>
          </cell>
          <cell r="G488">
            <v>0</v>
          </cell>
          <cell r="H488">
            <v>0</v>
          </cell>
          <cell r="I488">
            <v>0</v>
          </cell>
          <cell r="J488">
            <v>0</v>
          </cell>
          <cell r="K488">
            <v>0</v>
          </cell>
          <cell r="O488">
            <v>0</v>
          </cell>
          <cell r="P488">
            <v>0</v>
          </cell>
          <cell r="Q488">
            <v>0</v>
          </cell>
        </row>
        <row r="489">
          <cell r="B489" t="str">
            <v>DEC 2015</v>
          </cell>
          <cell r="C489" t="str">
            <v>KUCME226</v>
          </cell>
          <cell r="D489">
            <v>0</v>
          </cell>
          <cell r="E489">
            <v>0</v>
          </cell>
          <cell r="F489">
            <v>0</v>
          </cell>
          <cell r="G489">
            <v>0</v>
          </cell>
          <cell r="H489">
            <v>0</v>
          </cell>
          <cell r="I489">
            <v>0</v>
          </cell>
          <cell r="J489">
            <v>0</v>
          </cell>
          <cell r="K489">
            <v>0</v>
          </cell>
          <cell r="O489">
            <v>0</v>
          </cell>
          <cell r="P489">
            <v>0</v>
          </cell>
          <cell r="Q489">
            <v>0</v>
          </cell>
        </row>
        <row r="490">
          <cell r="B490" t="str">
            <v>DEC 2015</v>
          </cell>
          <cell r="C490" t="str">
            <v>KUCME227</v>
          </cell>
          <cell r="D490">
            <v>0</v>
          </cell>
          <cell r="E490">
            <v>0</v>
          </cell>
          <cell r="F490">
            <v>0</v>
          </cell>
          <cell r="G490">
            <v>0</v>
          </cell>
          <cell r="H490">
            <v>0</v>
          </cell>
          <cell r="I490">
            <v>0</v>
          </cell>
          <cell r="J490">
            <v>0</v>
          </cell>
          <cell r="K490">
            <v>0</v>
          </cell>
          <cell r="O490">
            <v>0</v>
          </cell>
          <cell r="P490">
            <v>0</v>
          </cell>
          <cell r="Q490">
            <v>0</v>
          </cell>
        </row>
        <row r="491">
          <cell r="B491" t="str">
            <v>DEC 2015</v>
          </cell>
          <cell r="C491" t="str">
            <v>Result</v>
          </cell>
        </row>
      </sheetData>
      <sheetData sheetId="27">
        <row r="3">
          <cell r="A3" t="str">
            <v>JAN 2016</v>
          </cell>
          <cell r="C3" t="str">
            <v>KTUM_406</v>
          </cell>
        </row>
        <row r="4">
          <cell r="A4" t="str">
            <v>JAN 2016</v>
          </cell>
          <cell r="C4" t="str">
            <v>KTUM_428</v>
          </cell>
        </row>
        <row r="5">
          <cell r="A5" t="str">
            <v>JAN 2016</v>
          </cell>
          <cell r="C5" t="str">
            <v>KUUM_360</v>
          </cell>
          <cell r="E5">
            <v>172</v>
          </cell>
        </row>
        <row r="6">
          <cell r="A6" t="str">
            <v>JAN 2016</v>
          </cell>
          <cell r="C6" t="str">
            <v>KUUM_361</v>
          </cell>
          <cell r="E6">
            <v>26</v>
          </cell>
        </row>
        <row r="7">
          <cell r="A7" t="str">
            <v>JAN 2016</v>
          </cell>
          <cell r="C7" t="str">
            <v>KUUM_362</v>
          </cell>
          <cell r="E7">
            <v>44</v>
          </cell>
        </row>
        <row r="8">
          <cell r="A8" t="str">
            <v>JAN 2016</v>
          </cell>
          <cell r="C8" t="str">
            <v>KUUM_363</v>
          </cell>
          <cell r="E8">
            <v>5</v>
          </cell>
        </row>
        <row r="9">
          <cell r="A9" t="str">
            <v>JAN 2016</v>
          </cell>
          <cell r="C9" t="str">
            <v>KUUM_364</v>
          </cell>
          <cell r="E9">
            <v>1</v>
          </cell>
        </row>
        <row r="10">
          <cell r="A10" t="str">
            <v>JAN 2016</v>
          </cell>
          <cell r="C10" t="str">
            <v>KUUM_365</v>
          </cell>
          <cell r="E10">
            <v>5</v>
          </cell>
        </row>
        <row r="11">
          <cell r="A11" t="str">
            <v>JAN 2016</v>
          </cell>
          <cell r="C11" t="str">
            <v>KUUM_366</v>
          </cell>
          <cell r="E11">
            <v>10</v>
          </cell>
        </row>
        <row r="12">
          <cell r="A12" t="str">
            <v>JAN 2016</v>
          </cell>
          <cell r="C12" t="str">
            <v>KUUM_367</v>
          </cell>
          <cell r="E12">
            <v>24</v>
          </cell>
        </row>
        <row r="13">
          <cell r="A13" t="str">
            <v>JAN 2016</v>
          </cell>
          <cell r="C13" t="str">
            <v>KUUM_368</v>
          </cell>
          <cell r="E13">
            <v>1</v>
          </cell>
        </row>
        <row r="14">
          <cell r="A14" t="str">
            <v>JAN 2016</v>
          </cell>
          <cell r="C14" t="str">
            <v>KUUM_370</v>
          </cell>
          <cell r="E14">
            <v>16</v>
          </cell>
        </row>
        <row r="15">
          <cell r="A15" t="str">
            <v>JAN 2016</v>
          </cell>
          <cell r="C15" t="str">
            <v>KUUM_372</v>
          </cell>
          <cell r="E15">
            <v>1</v>
          </cell>
        </row>
        <row r="16">
          <cell r="A16" t="str">
            <v>JAN 2016</v>
          </cell>
          <cell r="C16" t="str">
            <v>KUUM_373</v>
          </cell>
          <cell r="E16">
            <v>19</v>
          </cell>
        </row>
        <row r="17">
          <cell r="A17" t="str">
            <v>JAN 2016</v>
          </cell>
          <cell r="C17" t="str">
            <v>KUUM_374</v>
          </cell>
          <cell r="E17">
            <v>4</v>
          </cell>
        </row>
        <row r="18">
          <cell r="A18" t="str">
            <v>JAN 2016</v>
          </cell>
          <cell r="C18" t="str">
            <v>KUUM_375</v>
          </cell>
          <cell r="E18">
            <v>3</v>
          </cell>
        </row>
        <row r="19">
          <cell r="A19" t="str">
            <v>JAN 2016</v>
          </cell>
          <cell r="C19" t="str">
            <v>KUUM_376</v>
          </cell>
          <cell r="E19">
            <v>2</v>
          </cell>
        </row>
        <row r="20">
          <cell r="A20" t="str">
            <v>JAN 2016</v>
          </cell>
          <cell r="C20" t="str">
            <v>KUUM_377</v>
          </cell>
          <cell r="E20">
            <v>49</v>
          </cell>
        </row>
        <row r="21">
          <cell r="A21" t="str">
            <v>JAN 2016</v>
          </cell>
          <cell r="C21" t="str">
            <v>KUUM_378</v>
          </cell>
          <cell r="E21">
            <v>2</v>
          </cell>
        </row>
        <row r="22">
          <cell r="A22" t="str">
            <v>JAN 2016</v>
          </cell>
          <cell r="C22" t="str">
            <v>KUUM_401</v>
          </cell>
          <cell r="E22">
            <v>52</v>
          </cell>
        </row>
        <row r="23">
          <cell r="A23" t="str">
            <v>JAN 2016</v>
          </cell>
          <cell r="C23" t="str">
            <v>KUUM_404</v>
          </cell>
          <cell r="E23">
            <v>7293</v>
          </cell>
        </row>
        <row r="24">
          <cell r="A24" t="str">
            <v>JAN 2016</v>
          </cell>
          <cell r="C24" t="str">
            <v>KUUM_409</v>
          </cell>
          <cell r="E24">
            <v>147</v>
          </cell>
        </row>
        <row r="25">
          <cell r="A25" t="str">
            <v>JAN 2016</v>
          </cell>
          <cell r="C25" t="str">
            <v>KUUM_410</v>
          </cell>
          <cell r="E25">
            <v>240</v>
          </cell>
        </row>
        <row r="26">
          <cell r="A26" t="str">
            <v>JAN 2016</v>
          </cell>
          <cell r="C26" t="str">
            <v>KUUM_411</v>
          </cell>
          <cell r="E26">
            <v>145</v>
          </cell>
        </row>
        <row r="27">
          <cell r="A27" t="str">
            <v>JAN 2016</v>
          </cell>
          <cell r="C27" t="str">
            <v>KUUM_412</v>
          </cell>
          <cell r="E27">
            <v>28</v>
          </cell>
        </row>
        <row r="28">
          <cell r="A28" t="str">
            <v>JAN 2016</v>
          </cell>
          <cell r="C28" t="str">
            <v>KUUM_413</v>
          </cell>
          <cell r="E28">
            <v>96</v>
          </cell>
        </row>
        <row r="29">
          <cell r="A29" t="str">
            <v>JAN 2016</v>
          </cell>
          <cell r="C29" t="str">
            <v>KUUM_414</v>
          </cell>
          <cell r="E29">
            <v>21</v>
          </cell>
        </row>
        <row r="30">
          <cell r="A30" t="str">
            <v>JAN 2016</v>
          </cell>
          <cell r="C30" t="str">
            <v>KUUM_415</v>
          </cell>
          <cell r="E30">
            <v>10</v>
          </cell>
        </row>
        <row r="31">
          <cell r="A31" t="str">
            <v>JAN 2016</v>
          </cell>
          <cell r="C31" t="str">
            <v>KUUM_420</v>
          </cell>
          <cell r="E31">
            <v>454</v>
          </cell>
        </row>
        <row r="32">
          <cell r="A32" t="str">
            <v>JAN 2016</v>
          </cell>
          <cell r="C32" t="str">
            <v>KUUM_421</v>
          </cell>
          <cell r="E32">
            <v>5</v>
          </cell>
        </row>
        <row r="33">
          <cell r="A33" t="str">
            <v>JAN 2016</v>
          </cell>
          <cell r="C33" t="str">
            <v>KUUM_422</v>
          </cell>
          <cell r="E33">
            <v>684</v>
          </cell>
        </row>
        <row r="34">
          <cell r="A34" t="str">
            <v>JAN 2016</v>
          </cell>
          <cell r="C34" t="str">
            <v>KUUM_424</v>
          </cell>
          <cell r="E34">
            <v>92</v>
          </cell>
        </row>
        <row r="35">
          <cell r="A35" t="str">
            <v>JAN 2016</v>
          </cell>
          <cell r="C35" t="str">
            <v>KUUM_425</v>
          </cell>
          <cell r="E35">
            <v>2</v>
          </cell>
        </row>
        <row r="36">
          <cell r="A36" t="str">
            <v>JAN 2016</v>
          </cell>
          <cell r="C36" t="str">
            <v>KUUM_426</v>
          </cell>
          <cell r="E36">
            <v>171</v>
          </cell>
        </row>
        <row r="37">
          <cell r="A37" t="str">
            <v>JAN 2016</v>
          </cell>
          <cell r="C37" t="str">
            <v>KUUM_428</v>
          </cell>
          <cell r="E37">
            <v>36280</v>
          </cell>
        </row>
        <row r="38">
          <cell r="A38" t="str">
            <v>JAN 2016</v>
          </cell>
          <cell r="C38" t="str">
            <v>KUUM_430</v>
          </cell>
          <cell r="E38">
            <v>1166</v>
          </cell>
        </row>
        <row r="39">
          <cell r="A39" t="str">
            <v>JAN 2016</v>
          </cell>
          <cell r="C39" t="str">
            <v>KUUM_434</v>
          </cell>
          <cell r="E39">
            <v>6</v>
          </cell>
        </row>
        <row r="40">
          <cell r="A40" t="str">
            <v>JAN 2016</v>
          </cell>
          <cell r="C40" t="str">
            <v>KUUM_440</v>
          </cell>
          <cell r="E40">
            <v>2</v>
          </cell>
        </row>
        <row r="41">
          <cell r="A41" t="str">
            <v>JAN 2016</v>
          </cell>
          <cell r="C41" t="str">
            <v>KUUM_446</v>
          </cell>
          <cell r="E41">
            <v>1080</v>
          </cell>
        </row>
        <row r="42">
          <cell r="A42" t="str">
            <v>JAN 2016</v>
          </cell>
          <cell r="C42" t="str">
            <v>KUUM_447</v>
          </cell>
          <cell r="E42">
            <v>728</v>
          </cell>
        </row>
        <row r="43">
          <cell r="A43" t="str">
            <v>JAN 2016</v>
          </cell>
          <cell r="C43" t="str">
            <v>KUUM_448</v>
          </cell>
          <cell r="E43">
            <v>1476</v>
          </cell>
        </row>
        <row r="44">
          <cell r="A44" t="str">
            <v>JAN 2016</v>
          </cell>
          <cell r="C44" t="str">
            <v>KUUM_450</v>
          </cell>
          <cell r="E44">
            <v>646</v>
          </cell>
        </row>
        <row r="45">
          <cell r="A45" t="str">
            <v>JAN 2016</v>
          </cell>
          <cell r="C45" t="str">
            <v>KUUM_451</v>
          </cell>
          <cell r="E45">
            <v>5134</v>
          </cell>
        </row>
        <row r="46">
          <cell r="A46" t="str">
            <v>JAN 2016</v>
          </cell>
          <cell r="C46" t="str">
            <v>KUUM_452</v>
          </cell>
          <cell r="E46">
            <v>1057</v>
          </cell>
        </row>
        <row r="47">
          <cell r="A47" t="str">
            <v>JAN 2016</v>
          </cell>
          <cell r="C47" t="str">
            <v>KUUM_454</v>
          </cell>
          <cell r="E47">
            <v>150</v>
          </cell>
        </row>
        <row r="48">
          <cell r="A48" t="str">
            <v>JAN 2016</v>
          </cell>
          <cell r="C48" t="str">
            <v>KUUM_455</v>
          </cell>
          <cell r="E48">
            <v>1024</v>
          </cell>
        </row>
        <row r="49">
          <cell r="A49" t="str">
            <v>JAN 2016</v>
          </cell>
          <cell r="C49" t="str">
            <v>KUUM_456</v>
          </cell>
          <cell r="E49">
            <v>139</v>
          </cell>
        </row>
        <row r="50">
          <cell r="A50" t="str">
            <v>JAN 2016</v>
          </cell>
          <cell r="C50" t="str">
            <v>KUUM_457</v>
          </cell>
          <cell r="E50">
            <v>439</v>
          </cell>
        </row>
        <row r="51">
          <cell r="A51" t="str">
            <v>JAN 2016</v>
          </cell>
          <cell r="C51" t="str">
            <v>KUUM_458</v>
          </cell>
          <cell r="E51">
            <v>1471</v>
          </cell>
        </row>
        <row r="52">
          <cell r="A52" t="str">
            <v>JAN 2016</v>
          </cell>
          <cell r="C52" t="str">
            <v>KUUM_459</v>
          </cell>
          <cell r="E52">
            <v>231</v>
          </cell>
        </row>
        <row r="53">
          <cell r="A53" t="str">
            <v>JAN 2016</v>
          </cell>
          <cell r="C53" t="str">
            <v>KUUM_460</v>
          </cell>
          <cell r="E53">
            <v>28</v>
          </cell>
        </row>
        <row r="54">
          <cell r="A54" t="str">
            <v>JAN 2016</v>
          </cell>
          <cell r="C54" t="str">
            <v>KUUM_461</v>
          </cell>
          <cell r="E54">
            <v>7211</v>
          </cell>
        </row>
        <row r="55">
          <cell r="A55" t="str">
            <v>JAN 2016</v>
          </cell>
          <cell r="C55" t="str">
            <v>KUUM_462</v>
          </cell>
          <cell r="E55">
            <v>8738</v>
          </cell>
        </row>
        <row r="56">
          <cell r="A56" t="str">
            <v>JAN 2016</v>
          </cell>
          <cell r="C56" t="str">
            <v>KUUM_463</v>
          </cell>
          <cell r="E56">
            <v>20840</v>
          </cell>
        </row>
        <row r="57">
          <cell r="A57" t="str">
            <v>JAN 2016</v>
          </cell>
          <cell r="C57" t="str">
            <v>KUUM_464</v>
          </cell>
          <cell r="E57">
            <v>7628</v>
          </cell>
        </row>
        <row r="58">
          <cell r="A58" t="str">
            <v>JAN 2016</v>
          </cell>
          <cell r="C58" t="str">
            <v>KUUM_465</v>
          </cell>
          <cell r="E58">
            <v>2804</v>
          </cell>
        </row>
        <row r="59">
          <cell r="A59" t="str">
            <v>JAN 2016</v>
          </cell>
          <cell r="C59" t="str">
            <v>KUUM_466</v>
          </cell>
          <cell r="E59">
            <v>855</v>
          </cell>
        </row>
        <row r="60">
          <cell r="A60" t="str">
            <v>JAN 2016</v>
          </cell>
          <cell r="C60" t="str">
            <v>KUUM_467</v>
          </cell>
          <cell r="E60">
            <v>1353</v>
          </cell>
        </row>
        <row r="61">
          <cell r="A61" t="str">
            <v>JAN 2016</v>
          </cell>
          <cell r="C61" t="str">
            <v>KUUM_468</v>
          </cell>
          <cell r="E61">
            <v>4050</v>
          </cell>
        </row>
        <row r="62">
          <cell r="A62" t="str">
            <v>JAN 2016</v>
          </cell>
          <cell r="C62" t="str">
            <v>KUUM_469</v>
          </cell>
          <cell r="E62">
            <v>293</v>
          </cell>
        </row>
        <row r="63">
          <cell r="A63" t="str">
            <v>JAN 2016</v>
          </cell>
          <cell r="C63" t="str">
            <v>KUUM_470</v>
          </cell>
          <cell r="E63">
            <v>61</v>
          </cell>
        </row>
        <row r="64">
          <cell r="A64" t="str">
            <v>JAN 2016</v>
          </cell>
          <cell r="C64" t="str">
            <v>KUUM_471</v>
          </cell>
          <cell r="E64">
            <v>3569</v>
          </cell>
        </row>
        <row r="65">
          <cell r="A65" t="str">
            <v>JAN 2016</v>
          </cell>
          <cell r="C65" t="str">
            <v>KUUM_472</v>
          </cell>
          <cell r="E65">
            <v>8447</v>
          </cell>
        </row>
        <row r="66">
          <cell r="A66" t="str">
            <v>JAN 2016</v>
          </cell>
          <cell r="C66" t="str">
            <v>KUUM_473</v>
          </cell>
          <cell r="E66">
            <v>3345</v>
          </cell>
        </row>
        <row r="67">
          <cell r="A67" t="str">
            <v>JAN 2016</v>
          </cell>
          <cell r="C67" t="str">
            <v>KUUM_474</v>
          </cell>
          <cell r="E67">
            <v>5074</v>
          </cell>
        </row>
        <row r="68">
          <cell r="A68" t="str">
            <v>JAN 2016</v>
          </cell>
          <cell r="C68" t="str">
            <v>KUUM_475</v>
          </cell>
          <cell r="E68">
            <v>506</v>
          </cell>
        </row>
        <row r="69">
          <cell r="A69" t="str">
            <v>JAN 2016</v>
          </cell>
          <cell r="C69" t="str">
            <v>KUUM_476</v>
          </cell>
          <cell r="E69">
            <v>4464</v>
          </cell>
        </row>
        <row r="70">
          <cell r="A70" t="str">
            <v>JAN 2016</v>
          </cell>
          <cell r="C70" t="str">
            <v>KUUM_477</v>
          </cell>
          <cell r="E70">
            <v>1061</v>
          </cell>
        </row>
        <row r="71">
          <cell r="A71" t="str">
            <v>JAN 2016</v>
          </cell>
          <cell r="C71" t="str">
            <v>KUUM_478</v>
          </cell>
          <cell r="E71">
            <v>1421</v>
          </cell>
        </row>
        <row r="72">
          <cell r="A72" t="str">
            <v>JAN 2016</v>
          </cell>
          <cell r="C72" t="str">
            <v>KUUM_479</v>
          </cell>
          <cell r="E72">
            <v>962</v>
          </cell>
        </row>
        <row r="73">
          <cell r="A73" t="str">
            <v>JAN 2016</v>
          </cell>
          <cell r="C73" t="str">
            <v>KUUM_487</v>
          </cell>
          <cell r="E73">
            <v>11100</v>
          </cell>
        </row>
        <row r="74">
          <cell r="A74" t="str">
            <v>JAN 2016</v>
          </cell>
          <cell r="C74" t="str">
            <v>KUUM_488</v>
          </cell>
          <cell r="E74">
            <v>6584</v>
          </cell>
        </row>
        <row r="75">
          <cell r="A75" t="str">
            <v>JAN 2016</v>
          </cell>
          <cell r="C75" t="str">
            <v>KUUM_489</v>
          </cell>
          <cell r="E75">
            <v>8363</v>
          </cell>
        </row>
        <row r="76">
          <cell r="A76" t="str">
            <v>JAN 2016</v>
          </cell>
          <cell r="C76" t="str">
            <v>KUUM_490</v>
          </cell>
          <cell r="E76">
            <v>58</v>
          </cell>
        </row>
        <row r="77">
          <cell r="A77" t="str">
            <v>JAN 2016</v>
          </cell>
          <cell r="C77" t="str">
            <v>KUUM_491</v>
          </cell>
          <cell r="E77">
            <v>301</v>
          </cell>
        </row>
        <row r="78">
          <cell r="A78" t="str">
            <v>JAN 2016</v>
          </cell>
          <cell r="C78" t="str">
            <v>KUUM_492</v>
          </cell>
          <cell r="E78">
            <v>2</v>
          </cell>
        </row>
        <row r="79">
          <cell r="A79" t="str">
            <v>JAN 2016</v>
          </cell>
          <cell r="C79" t="str">
            <v>KUUM_493</v>
          </cell>
          <cell r="E79">
            <v>43</v>
          </cell>
        </row>
        <row r="80">
          <cell r="A80" t="str">
            <v>JAN 2016</v>
          </cell>
          <cell r="C80" t="str">
            <v>KUUM_494</v>
          </cell>
          <cell r="E80">
            <v>167</v>
          </cell>
        </row>
        <row r="81">
          <cell r="A81" t="str">
            <v>JAN 2016</v>
          </cell>
          <cell r="C81" t="str">
            <v>KUUM_495</v>
          </cell>
          <cell r="E81">
            <v>617</v>
          </cell>
        </row>
        <row r="82">
          <cell r="A82" t="str">
            <v>JAN 2016</v>
          </cell>
          <cell r="C82" t="str">
            <v>KUUM_496</v>
          </cell>
          <cell r="E82">
            <v>157</v>
          </cell>
        </row>
        <row r="83">
          <cell r="A83" t="str">
            <v>JAN 2016</v>
          </cell>
          <cell r="C83" t="str">
            <v>KUUM_497</v>
          </cell>
          <cell r="E83">
            <v>8</v>
          </cell>
        </row>
        <row r="84">
          <cell r="A84" t="str">
            <v>JAN 2016</v>
          </cell>
          <cell r="C84" t="str">
            <v>KUUM_498</v>
          </cell>
          <cell r="E84">
            <v>24</v>
          </cell>
        </row>
        <row r="85">
          <cell r="A85" t="str">
            <v>JAN 2016</v>
          </cell>
          <cell r="C85" t="str">
            <v>KUUM_499</v>
          </cell>
          <cell r="E85">
            <v>24</v>
          </cell>
        </row>
        <row r="86">
          <cell r="A86" t="str">
            <v>JAN 2016</v>
          </cell>
          <cell r="C86" t="str">
            <v>Result</v>
          </cell>
          <cell r="E86">
            <v>171011</v>
          </cell>
        </row>
        <row r="89">
          <cell r="A89" t="str">
            <v>FEB 2016</v>
          </cell>
          <cell r="C89" t="str">
            <v>KTUM_406</v>
          </cell>
        </row>
        <row r="90">
          <cell r="A90" t="str">
            <v>FEB 2016</v>
          </cell>
          <cell r="C90" t="str">
            <v>KTUM_428</v>
          </cell>
        </row>
        <row r="91">
          <cell r="A91" t="str">
            <v>FEB 2016</v>
          </cell>
          <cell r="C91" t="str">
            <v>KUUM_360</v>
          </cell>
          <cell r="E91">
            <v>177</v>
          </cell>
        </row>
        <row r="92">
          <cell r="A92" t="str">
            <v>FEB 2016</v>
          </cell>
          <cell r="C92" t="str">
            <v>KUUM_361</v>
          </cell>
          <cell r="E92">
            <v>25</v>
          </cell>
        </row>
        <row r="93">
          <cell r="A93" t="str">
            <v>FEB 2016</v>
          </cell>
          <cell r="C93" t="str">
            <v>KUUM_362</v>
          </cell>
          <cell r="E93">
            <v>43</v>
          </cell>
        </row>
        <row r="94">
          <cell r="A94" t="str">
            <v>FEB 2016</v>
          </cell>
          <cell r="C94" t="str">
            <v>KUUM_363</v>
          </cell>
          <cell r="E94">
            <v>5</v>
          </cell>
        </row>
        <row r="95">
          <cell r="A95" t="str">
            <v>FEB 2016</v>
          </cell>
          <cell r="C95" t="str">
            <v>KUUM_364</v>
          </cell>
          <cell r="E95">
            <v>1</v>
          </cell>
        </row>
        <row r="96">
          <cell r="A96" t="str">
            <v>FEB 2016</v>
          </cell>
          <cell r="C96" t="str">
            <v>KUUM_365</v>
          </cell>
          <cell r="E96">
            <v>5</v>
          </cell>
        </row>
        <row r="97">
          <cell r="A97" t="str">
            <v>FEB 2016</v>
          </cell>
          <cell r="C97" t="str">
            <v>KUUM_366</v>
          </cell>
          <cell r="E97">
            <v>9</v>
          </cell>
        </row>
        <row r="98">
          <cell r="A98" t="str">
            <v>FEB 2016</v>
          </cell>
          <cell r="C98" t="str">
            <v>KUUM_367</v>
          </cell>
          <cell r="E98">
            <v>25</v>
          </cell>
        </row>
        <row r="99">
          <cell r="A99" t="str">
            <v>FEB 2016</v>
          </cell>
          <cell r="C99" t="str">
            <v>KUUM_368</v>
          </cell>
          <cell r="E99">
            <v>1</v>
          </cell>
        </row>
        <row r="100">
          <cell r="A100" t="str">
            <v>FEB 2016</v>
          </cell>
          <cell r="C100" t="str">
            <v>KUUM_370</v>
          </cell>
          <cell r="E100">
            <v>15</v>
          </cell>
        </row>
        <row r="101">
          <cell r="A101" t="str">
            <v>FEB 2016</v>
          </cell>
          <cell r="C101" t="str">
            <v>KUUM_372</v>
          </cell>
          <cell r="E101">
            <v>1</v>
          </cell>
        </row>
        <row r="102">
          <cell r="A102" t="str">
            <v>FEB 2016</v>
          </cell>
          <cell r="C102" t="str">
            <v>KUUM_373</v>
          </cell>
          <cell r="E102">
            <v>20</v>
          </cell>
        </row>
        <row r="103">
          <cell r="A103" t="str">
            <v>FEB 2016</v>
          </cell>
          <cell r="C103" t="str">
            <v>KUUM_374</v>
          </cell>
          <cell r="E103">
            <v>4</v>
          </cell>
        </row>
        <row r="104">
          <cell r="A104" t="str">
            <v>FEB 2016</v>
          </cell>
          <cell r="C104" t="str">
            <v>KUUM_375</v>
          </cell>
          <cell r="E104">
            <v>3</v>
          </cell>
        </row>
        <row r="105">
          <cell r="A105" t="str">
            <v>FEB 2016</v>
          </cell>
          <cell r="C105" t="str">
            <v>KUUM_376</v>
          </cell>
          <cell r="E105">
            <v>2</v>
          </cell>
        </row>
        <row r="106">
          <cell r="A106" t="str">
            <v>FEB 2016</v>
          </cell>
          <cell r="C106" t="str">
            <v>KUUM_377</v>
          </cell>
          <cell r="E106">
            <v>51</v>
          </cell>
        </row>
        <row r="107">
          <cell r="A107" t="str">
            <v>FEB 2016</v>
          </cell>
          <cell r="C107" t="str">
            <v>KUUM_378</v>
          </cell>
          <cell r="E107">
            <v>2</v>
          </cell>
        </row>
        <row r="108">
          <cell r="A108" t="str">
            <v>FEB 2016</v>
          </cell>
          <cell r="C108" t="str">
            <v>KUUM_401</v>
          </cell>
          <cell r="E108">
            <v>52</v>
          </cell>
        </row>
        <row r="109">
          <cell r="A109" t="str">
            <v>FEB 2016</v>
          </cell>
          <cell r="C109" t="str">
            <v>KUUM_404</v>
          </cell>
          <cell r="E109">
            <v>7337</v>
          </cell>
        </row>
        <row r="110">
          <cell r="A110" t="str">
            <v>FEB 2016</v>
          </cell>
          <cell r="C110" t="str">
            <v>KUUM_409</v>
          </cell>
          <cell r="E110">
            <v>136</v>
          </cell>
        </row>
        <row r="111">
          <cell r="A111" t="str">
            <v>FEB 2016</v>
          </cell>
          <cell r="C111" t="str">
            <v>KUUM_410</v>
          </cell>
          <cell r="E111">
            <v>239</v>
          </cell>
        </row>
        <row r="112">
          <cell r="A112" t="str">
            <v>FEB 2016</v>
          </cell>
          <cell r="C112" t="str">
            <v>KUUM_411</v>
          </cell>
          <cell r="E112">
            <v>144</v>
          </cell>
        </row>
        <row r="113">
          <cell r="A113" t="str">
            <v>FEB 2016</v>
          </cell>
          <cell r="C113" t="str">
            <v>KUUM_412</v>
          </cell>
          <cell r="E113">
            <v>28</v>
          </cell>
        </row>
        <row r="114">
          <cell r="A114" t="str">
            <v>FEB 2016</v>
          </cell>
          <cell r="C114" t="str">
            <v>KUUM_413</v>
          </cell>
          <cell r="E114">
            <v>96</v>
          </cell>
        </row>
        <row r="115">
          <cell r="A115" t="str">
            <v>FEB 2016</v>
          </cell>
          <cell r="C115" t="str">
            <v>KUUM_414</v>
          </cell>
          <cell r="E115">
            <v>21</v>
          </cell>
        </row>
        <row r="116">
          <cell r="A116" t="str">
            <v>FEB 2016</v>
          </cell>
          <cell r="C116" t="str">
            <v>KUUM_415</v>
          </cell>
          <cell r="E116">
            <v>10</v>
          </cell>
        </row>
        <row r="117">
          <cell r="A117" t="str">
            <v>FEB 2016</v>
          </cell>
          <cell r="C117" t="str">
            <v>KUUM_420</v>
          </cell>
          <cell r="E117">
            <v>462</v>
          </cell>
        </row>
        <row r="118">
          <cell r="A118" t="str">
            <v>FEB 2016</v>
          </cell>
          <cell r="C118" t="str">
            <v>KUUM_421</v>
          </cell>
          <cell r="E118">
            <v>5</v>
          </cell>
        </row>
        <row r="119">
          <cell r="A119" t="str">
            <v>FEB 2016</v>
          </cell>
          <cell r="C119" t="str">
            <v>KUUM_422</v>
          </cell>
          <cell r="E119">
            <v>686</v>
          </cell>
        </row>
        <row r="120">
          <cell r="A120" t="str">
            <v>FEB 2016</v>
          </cell>
          <cell r="C120" t="str">
            <v>KUUM_424</v>
          </cell>
          <cell r="E120">
            <v>87</v>
          </cell>
        </row>
        <row r="121">
          <cell r="A121" t="str">
            <v>FEB 2016</v>
          </cell>
          <cell r="C121" t="str">
            <v>KUUM_425</v>
          </cell>
          <cell r="E121">
            <v>2</v>
          </cell>
        </row>
        <row r="122">
          <cell r="A122" t="str">
            <v>FEB 2016</v>
          </cell>
          <cell r="C122" t="str">
            <v>KUUM_426</v>
          </cell>
          <cell r="E122">
            <v>171</v>
          </cell>
        </row>
        <row r="123">
          <cell r="A123" t="str">
            <v>FEB 2016</v>
          </cell>
          <cell r="C123" t="str">
            <v>KUUM_428</v>
          </cell>
          <cell r="E123">
            <v>36624</v>
          </cell>
        </row>
        <row r="124">
          <cell r="A124" t="str">
            <v>FEB 2016</v>
          </cell>
          <cell r="C124" t="str">
            <v>KUUM_430</v>
          </cell>
          <cell r="E124">
            <v>1149</v>
          </cell>
        </row>
        <row r="125">
          <cell r="A125" t="str">
            <v>FEB 2016</v>
          </cell>
          <cell r="C125" t="str">
            <v>KUUM_434</v>
          </cell>
          <cell r="E125">
            <v>6</v>
          </cell>
        </row>
        <row r="126">
          <cell r="A126" t="str">
            <v>FEB 2016</v>
          </cell>
          <cell r="C126" t="str">
            <v>KUUM_440</v>
          </cell>
          <cell r="E126">
            <v>2</v>
          </cell>
        </row>
        <row r="127">
          <cell r="A127" t="str">
            <v>FEB 2016</v>
          </cell>
          <cell r="C127" t="str">
            <v>KUUM_446</v>
          </cell>
          <cell r="E127">
            <v>1082</v>
          </cell>
        </row>
        <row r="128">
          <cell r="A128" t="str">
            <v>FEB 2016</v>
          </cell>
          <cell r="C128" t="str">
            <v>KUUM_447</v>
          </cell>
          <cell r="E128">
            <v>752</v>
          </cell>
        </row>
        <row r="129">
          <cell r="A129" t="str">
            <v>FEB 2016</v>
          </cell>
          <cell r="C129" t="str">
            <v>KUUM_448</v>
          </cell>
          <cell r="E129">
            <v>1493</v>
          </cell>
        </row>
        <row r="130">
          <cell r="A130" t="str">
            <v>FEB 2016</v>
          </cell>
          <cell r="C130" t="str">
            <v>KUUM_450</v>
          </cell>
          <cell r="E130">
            <v>660</v>
          </cell>
        </row>
        <row r="131">
          <cell r="A131" t="str">
            <v>FEB 2016</v>
          </cell>
          <cell r="C131" t="str">
            <v>KUUM_451</v>
          </cell>
          <cell r="E131">
            <v>5069</v>
          </cell>
        </row>
        <row r="132">
          <cell r="A132" t="str">
            <v>FEB 2016</v>
          </cell>
          <cell r="C132" t="str">
            <v>KUUM_452</v>
          </cell>
          <cell r="E132">
            <v>1038</v>
          </cell>
        </row>
        <row r="133">
          <cell r="A133" t="str">
            <v>FEB 2016</v>
          </cell>
          <cell r="C133" t="str">
            <v>KUUM_454</v>
          </cell>
          <cell r="E133">
            <v>155</v>
          </cell>
        </row>
        <row r="134">
          <cell r="A134" t="str">
            <v>FEB 2016</v>
          </cell>
          <cell r="C134" t="str">
            <v>KUUM_455</v>
          </cell>
          <cell r="E134">
            <v>1014</v>
          </cell>
        </row>
        <row r="135">
          <cell r="A135" t="str">
            <v>FEB 2016</v>
          </cell>
          <cell r="C135" t="str">
            <v>KUUM_456</v>
          </cell>
          <cell r="E135">
            <v>139</v>
          </cell>
        </row>
        <row r="136">
          <cell r="A136" t="str">
            <v>FEB 2016</v>
          </cell>
          <cell r="C136" t="str">
            <v>KUUM_457</v>
          </cell>
          <cell r="E136">
            <v>451</v>
          </cell>
        </row>
        <row r="137">
          <cell r="A137" t="str">
            <v>FEB 2016</v>
          </cell>
          <cell r="C137" t="str">
            <v>KUUM_458</v>
          </cell>
          <cell r="E137">
            <v>1458</v>
          </cell>
        </row>
        <row r="138">
          <cell r="A138" t="str">
            <v>FEB 2016</v>
          </cell>
          <cell r="C138" t="str">
            <v>KUUM_459</v>
          </cell>
          <cell r="E138">
            <v>227</v>
          </cell>
        </row>
        <row r="139">
          <cell r="A139" t="str">
            <v>FEB 2016</v>
          </cell>
          <cell r="C139" t="str">
            <v>KUUM_460</v>
          </cell>
          <cell r="E139">
            <v>27</v>
          </cell>
        </row>
        <row r="140">
          <cell r="A140" t="str">
            <v>FEB 2016</v>
          </cell>
          <cell r="C140" t="str">
            <v>KUUM_461</v>
          </cell>
          <cell r="E140">
            <v>6486</v>
          </cell>
        </row>
        <row r="141">
          <cell r="A141" t="str">
            <v>FEB 2016</v>
          </cell>
          <cell r="C141" t="str">
            <v>KUUM_462</v>
          </cell>
          <cell r="E141">
            <v>8585</v>
          </cell>
        </row>
        <row r="142">
          <cell r="A142" t="str">
            <v>FEB 2016</v>
          </cell>
          <cell r="C142" t="str">
            <v>KUUM_463</v>
          </cell>
          <cell r="E142">
            <v>19533</v>
          </cell>
        </row>
        <row r="143">
          <cell r="A143" t="str">
            <v>FEB 2016</v>
          </cell>
          <cell r="C143" t="str">
            <v>KUUM_464</v>
          </cell>
          <cell r="E143">
            <v>7342</v>
          </cell>
        </row>
        <row r="144">
          <cell r="A144" t="str">
            <v>FEB 2016</v>
          </cell>
          <cell r="C144" t="str">
            <v>KUUM_465</v>
          </cell>
          <cell r="E144">
            <v>2710</v>
          </cell>
        </row>
        <row r="145">
          <cell r="A145" t="str">
            <v>FEB 2016</v>
          </cell>
          <cell r="C145" t="str">
            <v>KUUM_466</v>
          </cell>
          <cell r="E145">
            <v>713</v>
          </cell>
        </row>
        <row r="146">
          <cell r="A146" t="str">
            <v>FEB 2016</v>
          </cell>
          <cell r="C146" t="str">
            <v>KUUM_467</v>
          </cell>
          <cell r="E146">
            <v>1232</v>
          </cell>
        </row>
        <row r="147">
          <cell r="A147" t="str">
            <v>FEB 2016</v>
          </cell>
          <cell r="C147" t="str">
            <v>KUUM_468</v>
          </cell>
          <cell r="E147">
            <v>3948</v>
          </cell>
        </row>
        <row r="148">
          <cell r="A148" t="str">
            <v>FEB 2016</v>
          </cell>
          <cell r="C148" t="str">
            <v>KUUM_469</v>
          </cell>
          <cell r="E148">
            <v>277</v>
          </cell>
        </row>
        <row r="149">
          <cell r="A149" t="str">
            <v>FEB 2016</v>
          </cell>
          <cell r="C149" t="str">
            <v>KUUM_470</v>
          </cell>
          <cell r="E149">
            <v>53</v>
          </cell>
        </row>
        <row r="150">
          <cell r="A150" t="str">
            <v>FEB 2016</v>
          </cell>
          <cell r="C150" t="str">
            <v>KUUM_471</v>
          </cell>
          <cell r="E150">
            <v>3657</v>
          </cell>
        </row>
        <row r="151">
          <cell r="A151" t="str">
            <v>FEB 2016</v>
          </cell>
          <cell r="C151" t="str">
            <v>KUUM_472</v>
          </cell>
          <cell r="E151">
            <v>8690</v>
          </cell>
        </row>
        <row r="152">
          <cell r="A152" t="str">
            <v>FEB 2016</v>
          </cell>
          <cell r="C152" t="str">
            <v>KUUM_473</v>
          </cell>
          <cell r="E152">
            <v>3354</v>
          </cell>
        </row>
        <row r="153">
          <cell r="A153" t="str">
            <v>FEB 2016</v>
          </cell>
          <cell r="C153" t="str">
            <v>KUUM_474</v>
          </cell>
          <cell r="E153">
            <v>5082</v>
          </cell>
        </row>
        <row r="154">
          <cell r="A154" t="str">
            <v>FEB 2016</v>
          </cell>
          <cell r="C154" t="str">
            <v>KUUM_475</v>
          </cell>
          <cell r="E154">
            <v>512</v>
          </cell>
        </row>
        <row r="155">
          <cell r="A155" t="str">
            <v>FEB 2016</v>
          </cell>
          <cell r="C155" t="str">
            <v>KUUM_476</v>
          </cell>
          <cell r="E155">
            <v>4549</v>
          </cell>
        </row>
        <row r="156">
          <cell r="A156" t="str">
            <v>FEB 2016</v>
          </cell>
          <cell r="C156" t="str">
            <v>KUUM_477</v>
          </cell>
          <cell r="E156">
            <v>1057</v>
          </cell>
        </row>
        <row r="157">
          <cell r="A157" t="str">
            <v>FEB 2016</v>
          </cell>
          <cell r="C157" t="str">
            <v>KUUM_478</v>
          </cell>
          <cell r="E157">
            <v>1389</v>
          </cell>
        </row>
        <row r="158">
          <cell r="A158" t="str">
            <v>FEB 2016</v>
          </cell>
          <cell r="C158" t="str">
            <v>KUUM_479</v>
          </cell>
          <cell r="E158">
            <v>955</v>
          </cell>
        </row>
        <row r="159">
          <cell r="A159" t="str">
            <v>FEB 2016</v>
          </cell>
          <cell r="C159" t="str">
            <v>KUUM_487</v>
          </cell>
          <cell r="E159">
            <v>11150</v>
          </cell>
        </row>
        <row r="160">
          <cell r="A160" t="str">
            <v>FEB 2016</v>
          </cell>
          <cell r="C160" t="str">
            <v>KUUM_488</v>
          </cell>
          <cell r="E160">
            <v>6552</v>
          </cell>
        </row>
        <row r="161">
          <cell r="A161" t="str">
            <v>FEB 2016</v>
          </cell>
          <cell r="C161" t="str">
            <v>KUUM_489</v>
          </cell>
          <cell r="E161">
            <v>8281</v>
          </cell>
        </row>
        <row r="162">
          <cell r="A162" t="str">
            <v>FEB 2016</v>
          </cell>
          <cell r="C162" t="str">
            <v>KUUM_490</v>
          </cell>
          <cell r="E162">
            <v>60</v>
          </cell>
        </row>
        <row r="163">
          <cell r="A163" t="str">
            <v>FEB 2016</v>
          </cell>
          <cell r="C163" t="str">
            <v>KUUM_491</v>
          </cell>
          <cell r="E163">
            <v>302</v>
          </cell>
        </row>
        <row r="164">
          <cell r="A164" t="str">
            <v>FEB 2016</v>
          </cell>
          <cell r="C164" t="str">
            <v>KUUM_492</v>
          </cell>
          <cell r="E164">
            <v>2</v>
          </cell>
        </row>
        <row r="165">
          <cell r="A165" t="str">
            <v>FEB 2016</v>
          </cell>
          <cell r="C165" t="str">
            <v>KUUM_493</v>
          </cell>
          <cell r="E165">
            <v>43</v>
          </cell>
        </row>
        <row r="166">
          <cell r="A166" t="str">
            <v>FEB 2016</v>
          </cell>
          <cell r="C166" t="str">
            <v>KUUM_494</v>
          </cell>
          <cell r="E166">
            <v>179</v>
          </cell>
        </row>
        <row r="167">
          <cell r="A167" t="str">
            <v>FEB 2016</v>
          </cell>
          <cell r="C167" t="str">
            <v>KUUM_495</v>
          </cell>
          <cell r="E167">
            <v>624</v>
          </cell>
        </row>
        <row r="168">
          <cell r="A168" t="str">
            <v>FEB 2016</v>
          </cell>
          <cell r="C168" t="str">
            <v>KUUM_496</v>
          </cell>
          <cell r="E168">
            <v>156</v>
          </cell>
        </row>
        <row r="169">
          <cell r="A169" t="str">
            <v>FEB 2016</v>
          </cell>
          <cell r="C169" t="str">
            <v>KUUM_497</v>
          </cell>
          <cell r="E169">
            <v>8</v>
          </cell>
        </row>
        <row r="170">
          <cell r="A170" t="str">
            <v>FEB 2016</v>
          </cell>
          <cell r="C170" t="str">
            <v>KUUM_498</v>
          </cell>
          <cell r="E170">
            <v>30</v>
          </cell>
        </row>
        <row r="171">
          <cell r="A171" t="str">
            <v>FEB 2016</v>
          </cell>
          <cell r="C171" t="str">
            <v>KUUM_499</v>
          </cell>
          <cell r="E171">
            <v>24</v>
          </cell>
        </row>
        <row r="172">
          <cell r="A172" t="str">
            <v>FEB 2016</v>
          </cell>
          <cell r="C172" t="str">
            <v>Result</v>
          </cell>
          <cell r="E172">
            <v>168746</v>
          </cell>
        </row>
        <row r="175">
          <cell r="A175" t="str">
            <v>MAR 2016</v>
          </cell>
          <cell r="C175" t="str">
            <v>KTUM_406</v>
          </cell>
        </row>
        <row r="176">
          <cell r="A176" t="str">
            <v>MAR 2016</v>
          </cell>
          <cell r="C176" t="str">
            <v>KTUM_428</v>
          </cell>
        </row>
        <row r="177">
          <cell r="A177" t="str">
            <v>MAR 2016</v>
          </cell>
          <cell r="C177" t="str">
            <v>KUUM_360</v>
          </cell>
          <cell r="E177">
            <v>178</v>
          </cell>
        </row>
        <row r="178">
          <cell r="A178" t="str">
            <v>MAR 2016</v>
          </cell>
          <cell r="C178" t="str">
            <v>KUUM_361</v>
          </cell>
          <cell r="E178">
            <v>25</v>
          </cell>
        </row>
        <row r="179">
          <cell r="A179" t="str">
            <v>MAR 2016</v>
          </cell>
          <cell r="C179" t="str">
            <v>KUUM_362</v>
          </cell>
          <cell r="E179">
            <v>43</v>
          </cell>
        </row>
        <row r="180">
          <cell r="A180" t="str">
            <v>MAR 2016</v>
          </cell>
          <cell r="C180" t="str">
            <v>KUUM_363</v>
          </cell>
          <cell r="E180">
            <v>5</v>
          </cell>
        </row>
        <row r="181">
          <cell r="A181" t="str">
            <v>MAR 2016</v>
          </cell>
          <cell r="C181" t="str">
            <v>KUUM_364</v>
          </cell>
          <cell r="E181">
            <v>1</v>
          </cell>
        </row>
        <row r="182">
          <cell r="A182" t="str">
            <v>MAR 2016</v>
          </cell>
          <cell r="C182" t="str">
            <v>KUUM_365</v>
          </cell>
          <cell r="E182">
            <v>5</v>
          </cell>
        </row>
        <row r="183">
          <cell r="A183" t="str">
            <v>MAR 2016</v>
          </cell>
          <cell r="C183" t="str">
            <v>KUUM_366</v>
          </cell>
          <cell r="E183">
            <v>9</v>
          </cell>
        </row>
        <row r="184">
          <cell r="A184" t="str">
            <v>MAR 2016</v>
          </cell>
          <cell r="C184" t="str">
            <v>KUUM_367</v>
          </cell>
          <cell r="E184">
            <v>25</v>
          </cell>
        </row>
        <row r="185">
          <cell r="A185" t="str">
            <v>MAR 2016</v>
          </cell>
          <cell r="C185" t="str">
            <v>KUUM_368</v>
          </cell>
          <cell r="E185">
            <v>1</v>
          </cell>
        </row>
        <row r="186">
          <cell r="A186" t="str">
            <v>MAR 2016</v>
          </cell>
          <cell r="C186" t="str">
            <v>KUUM_370</v>
          </cell>
          <cell r="E186">
            <v>15</v>
          </cell>
        </row>
        <row r="187">
          <cell r="A187" t="str">
            <v>MAR 2016</v>
          </cell>
          <cell r="C187" t="str">
            <v>KUUM_372</v>
          </cell>
          <cell r="E187">
            <v>1</v>
          </cell>
        </row>
        <row r="188">
          <cell r="A188" t="str">
            <v>MAR 2016</v>
          </cell>
          <cell r="C188" t="str">
            <v>KUUM_373</v>
          </cell>
          <cell r="E188">
            <v>20</v>
          </cell>
        </row>
        <row r="189">
          <cell r="A189" t="str">
            <v>MAR 2016</v>
          </cell>
          <cell r="C189" t="str">
            <v>KUUM_374</v>
          </cell>
          <cell r="E189">
            <v>4</v>
          </cell>
        </row>
        <row r="190">
          <cell r="A190" t="str">
            <v>MAR 2016</v>
          </cell>
          <cell r="C190" t="str">
            <v>KUUM_375</v>
          </cell>
          <cell r="E190">
            <v>3</v>
          </cell>
        </row>
        <row r="191">
          <cell r="A191" t="str">
            <v>MAR 2016</v>
          </cell>
          <cell r="C191" t="str">
            <v>KUUM_376</v>
          </cell>
          <cell r="E191">
            <v>2</v>
          </cell>
        </row>
        <row r="192">
          <cell r="A192" t="str">
            <v>MAR 2016</v>
          </cell>
          <cell r="C192" t="str">
            <v>KUUM_377</v>
          </cell>
          <cell r="E192">
            <v>51</v>
          </cell>
        </row>
        <row r="193">
          <cell r="A193" t="str">
            <v>MAR 2016</v>
          </cell>
          <cell r="C193" t="str">
            <v>KUUM_378</v>
          </cell>
          <cell r="E193">
            <v>2</v>
          </cell>
        </row>
        <row r="194">
          <cell r="A194" t="str">
            <v>MAR 2016</v>
          </cell>
          <cell r="C194" t="str">
            <v>KUUM_401</v>
          </cell>
          <cell r="E194">
            <v>52</v>
          </cell>
        </row>
        <row r="195">
          <cell r="A195" t="str">
            <v>MAR 2016</v>
          </cell>
          <cell r="C195" t="str">
            <v>KUUM_404</v>
          </cell>
          <cell r="E195">
            <v>7279</v>
          </cell>
        </row>
        <row r="196">
          <cell r="A196" t="str">
            <v>MAR 2016</v>
          </cell>
          <cell r="C196" t="str">
            <v>KUUM_409</v>
          </cell>
          <cell r="E196">
            <v>143</v>
          </cell>
        </row>
        <row r="197">
          <cell r="A197" t="str">
            <v>MAR 2016</v>
          </cell>
          <cell r="C197" t="str">
            <v>KUUM_410</v>
          </cell>
          <cell r="E197">
            <v>240</v>
          </cell>
        </row>
        <row r="198">
          <cell r="A198" t="str">
            <v>MAR 2016</v>
          </cell>
          <cell r="C198" t="str">
            <v>KUUM_411</v>
          </cell>
          <cell r="E198">
            <v>145</v>
          </cell>
        </row>
        <row r="199">
          <cell r="A199" t="str">
            <v>MAR 2016</v>
          </cell>
          <cell r="C199" t="str">
            <v>KUUM_412</v>
          </cell>
          <cell r="E199">
            <v>28</v>
          </cell>
        </row>
        <row r="200">
          <cell r="A200" t="str">
            <v>MAR 2016</v>
          </cell>
          <cell r="C200" t="str">
            <v>KUUM_413</v>
          </cell>
          <cell r="E200">
            <v>96</v>
          </cell>
        </row>
        <row r="201">
          <cell r="A201" t="str">
            <v>MAR 2016</v>
          </cell>
          <cell r="C201" t="str">
            <v>KUUM_414</v>
          </cell>
          <cell r="E201">
            <v>21</v>
          </cell>
        </row>
        <row r="202">
          <cell r="A202" t="str">
            <v>MAR 2016</v>
          </cell>
          <cell r="C202" t="str">
            <v>KUUM_415</v>
          </cell>
          <cell r="E202">
            <v>10</v>
          </cell>
        </row>
        <row r="203">
          <cell r="A203" t="str">
            <v>MAR 2016</v>
          </cell>
          <cell r="C203" t="str">
            <v>KUUM_420</v>
          </cell>
          <cell r="E203">
            <v>466</v>
          </cell>
        </row>
        <row r="204">
          <cell r="A204" t="str">
            <v>MAR 2016</v>
          </cell>
          <cell r="C204" t="str">
            <v>KUUM_421</v>
          </cell>
          <cell r="E204">
            <v>5</v>
          </cell>
        </row>
        <row r="205">
          <cell r="A205" t="str">
            <v>MAR 2016</v>
          </cell>
          <cell r="C205" t="str">
            <v>KUUM_422</v>
          </cell>
          <cell r="E205">
            <v>678</v>
          </cell>
        </row>
        <row r="206">
          <cell r="A206" t="str">
            <v>MAR 2016</v>
          </cell>
          <cell r="C206" t="str">
            <v>KUUM_424</v>
          </cell>
          <cell r="E206">
            <v>70</v>
          </cell>
        </row>
        <row r="207">
          <cell r="A207" t="str">
            <v>MAR 2016</v>
          </cell>
          <cell r="C207" t="str">
            <v>KUUM_425</v>
          </cell>
          <cell r="E207">
            <v>2</v>
          </cell>
        </row>
        <row r="208">
          <cell r="A208" t="str">
            <v>MAR 2016</v>
          </cell>
          <cell r="C208" t="str">
            <v>KUUM_426</v>
          </cell>
          <cell r="E208">
            <v>170</v>
          </cell>
        </row>
        <row r="209">
          <cell r="A209" t="str">
            <v>MAR 2016</v>
          </cell>
          <cell r="C209" t="str">
            <v>KUUM_428</v>
          </cell>
          <cell r="E209">
            <v>36727</v>
          </cell>
        </row>
        <row r="210">
          <cell r="A210" t="str">
            <v>MAR 2016</v>
          </cell>
          <cell r="C210" t="str">
            <v>KUUM_430</v>
          </cell>
          <cell r="E210">
            <v>1180</v>
          </cell>
        </row>
        <row r="211">
          <cell r="A211" t="str">
            <v>MAR 2016</v>
          </cell>
          <cell r="C211" t="str">
            <v>KUUM_434</v>
          </cell>
          <cell r="E211">
            <v>5</v>
          </cell>
        </row>
        <row r="212">
          <cell r="A212" t="str">
            <v>MAR 2016</v>
          </cell>
          <cell r="C212" t="str">
            <v>KUUM_440</v>
          </cell>
          <cell r="E212">
            <v>2</v>
          </cell>
        </row>
        <row r="213">
          <cell r="A213" t="str">
            <v>MAR 2016</v>
          </cell>
          <cell r="C213" t="str">
            <v>KUUM_446</v>
          </cell>
          <cell r="E213">
            <v>1086</v>
          </cell>
        </row>
        <row r="214">
          <cell r="A214" t="str">
            <v>MAR 2016</v>
          </cell>
          <cell r="C214" t="str">
            <v>KUUM_447</v>
          </cell>
          <cell r="E214">
            <v>743</v>
          </cell>
        </row>
        <row r="215">
          <cell r="A215" t="str">
            <v>MAR 2016</v>
          </cell>
          <cell r="C215" t="str">
            <v>KUUM_448</v>
          </cell>
          <cell r="E215">
            <v>1487</v>
          </cell>
        </row>
        <row r="216">
          <cell r="A216" t="str">
            <v>MAR 2016</v>
          </cell>
          <cell r="C216" t="str">
            <v>KUUM_450</v>
          </cell>
          <cell r="E216">
            <v>664</v>
          </cell>
        </row>
        <row r="217">
          <cell r="A217" t="str">
            <v>MAR 2016</v>
          </cell>
          <cell r="C217" t="str">
            <v>KUUM_451</v>
          </cell>
          <cell r="E217">
            <v>5146</v>
          </cell>
        </row>
        <row r="218">
          <cell r="A218" t="str">
            <v>MAR 2016</v>
          </cell>
          <cell r="C218" t="str">
            <v>KUUM_452</v>
          </cell>
          <cell r="E218">
            <v>1044</v>
          </cell>
        </row>
        <row r="219">
          <cell r="A219" t="str">
            <v>MAR 2016</v>
          </cell>
          <cell r="C219" t="str">
            <v>KUUM_454</v>
          </cell>
          <cell r="E219">
            <v>151</v>
          </cell>
        </row>
        <row r="220">
          <cell r="A220" t="str">
            <v>MAR 2016</v>
          </cell>
          <cell r="C220" t="str">
            <v>KUUM_455</v>
          </cell>
          <cell r="E220">
            <v>1035</v>
          </cell>
        </row>
        <row r="221">
          <cell r="A221" t="str">
            <v>MAR 2016</v>
          </cell>
          <cell r="C221" t="str">
            <v>KUUM_456</v>
          </cell>
          <cell r="E221">
            <v>140</v>
          </cell>
        </row>
        <row r="222">
          <cell r="A222" t="str">
            <v>MAR 2016</v>
          </cell>
          <cell r="C222" t="str">
            <v>KUUM_457</v>
          </cell>
          <cell r="E222">
            <v>454</v>
          </cell>
        </row>
        <row r="223">
          <cell r="A223" t="str">
            <v>MAR 2016</v>
          </cell>
          <cell r="C223" t="str">
            <v>KUUM_458</v>
          </cell>
          <cell r="E223">
            <v>1480</v>
          </cell>
        </row>
        <row r="224">
          <cell r="A224" t="str">
            <v>MAR 2016</v>
          </cell>
          <cell r="C224" t="str">
            <v>KUUM_459</v>
          </cell>
          <cell r="E224">
            <v>228</v>
          </cell>
        </row>
        <row r="225">
          <cell r="A225" t="str">
            <v>MAR 2016</v>
          </cell>
          <cell r="C225" t="str">
            <v>KUUM_460</v>
          </cell>
          <cell r="E225">
            <v>27</v>
          </cell>
        </row>
        <row r="226">
          <cell r="A226" t="str">
            <v>MAR 2016</v>
          </cell>
          <cell r="C226" t="str">
            <v>KUUM_461</v>
          </cell>
          <cell r="E226">
            <v>6927</v>
          </cell>
        </row>
        <row r="227">
          <cell r="A227" t="str">
            <v>MAR 2016</v>
          </cell>
          <cell r="C227" t="str">
            <v>KUUM_462</v>
          </cell>
          <cell r="E227">
            <v>8846</v>
          </cell>
        </row>
        <row r="228">
          <cell r="A228" t="str">
            <v>MAR 2016</v>
          </cell>
          <cell r="C228" t="str">
            <v>KUUM_463</v>
          </cell>
          <cell r="E228">
            <v>20615</v>
          </cell>
        </row>
        <row r="229">
          <cell r="A229" t="str">
            <v>MAR 2016</v>
          </cell>
          <cell r="C229" t="str">
            <v>KUUM_464</v>
          </cell>
          <cell r="E229">
            <v>7599</v>
          </cell>
        </row>
        <row r="230">
          <cell r="A230" t="str">
            <v>MAR 2016</v>
          </cell>
          <cell r="C230" t="str">
            <v>KUUM_465</v>
          </cell>
          <cell r="E230">
            <v>2814</v>
          </cell>
        </row>
        <row r="231">
          <cell r="A231" t="str">
            <v>MAR 2016</v>
          </cell>
          <cell r="C231" t="str">
            <v>KUUM_466</v>
          </cell>
          <cell r="E231">
            <v>858</v>
          </cell>
        </row>
        <row r="232">
          <cell r="A232" t="str">
            <v>MAR 2016</v>
          </cell>
          <cell r="C232" t="str">
            <v>KUUM_467</v>
          </cell>
          <cell r="E232">
            <v>1355</v>
          </cell>
        </row>
        <row r="233">
          <cell r="A233" t="str">
            <v>MAR 2016</v>
          </cell>
          <cell r="C233" t="str">
            <v>KUUM_468</v>
          </cell>
          <cell r="E233">
            <v>3987</v>
          </cell>
        </row>
        <row r="234">
          <cell r="A234" t="str">
            <v>MAR 2016</v>
          </cell>
          <cell r="C234" t="str">
            <v>KUUM_469</v>
          </cell>
          <cell r="E234">
            <v>292</v>
          </cell>
        </row>
        <row r="235">
          <cell r="A235" t="str">
            <v>MAR 2016</v>
          </cell>
          <cell r="C235" t="str">
            <v>KUUM_470</v>
          </cell>
          <cell r="E235">
            <v>61</v>
          </cell>
        </row>
        <row r="236">
          <cell r="A236" t="str">
            <v>MAR 2016</v>
          </cell>
          <cell r="C236" t="str">
            <v>KUUM_471</v>
          </cell>
          <cell r="E236">
            <v>3672</v>
          </cell>
        </row>
        <row r="237">
          <cell r="A237" t="str">
            <v>MAR 2016</v>
          </cell>
          <cell r="C237" t="str">
            <v>KUUM_472</v>
          </cell>
          <cell r="E237">
            <v>8733</v>
          </cell>
        </row>
        <row r="238">
          <cell r="A238" t="str">
            <v>MAR 2016</v>
          </cell>
          <cell r="C238" t="str">
            <v>KUUM_473</v>
          </cell>
          <cell r="E238">
            <v>3397</v>
          </cell>
        </row>
        <row r="239">
          <cell r="A239" t="str">
            <v>MAR 2016</v>
          </cell>
          <cell r="C239" t="str">
            <v>KUUM_474</v>
          </cell>
          <cell r="E239">
            <v>5157</v>
          </cell>
        </row>
        <row r="240">
          <cell r="A240" t="str">
            <v>MAR 2016</v>
          </cell>
          <cell r="C240" t="str">
            <v>KUUM_475</v>
          </cell>
          <cell r="E240">
            <v>514</v>
          </cell>
        </row>
        <row r="241">
          <cell r="A241" t="str">
            <v>MAR 2016</v>
          </cell>
          <cell r="C241" t="str">
            <v>KUUM_476</v>
          </cell>
          <cell r="E241">
            <v>4568</v>
          </cell>
        </row>
        <row r="242">
          <cell r="A242" t="str">
            <v>MAR 2016</v>
          </cell>
          <cell r="C242" t="str">
            <v>KUUM_477</v>
          </cell>
          <cell r="E242">
            <v>1063</v>
          </cell>
        </row>
        <row r="243">
          <cell r="A243" t="str">
            <v>MAR 2016</v>
          </cell>
          <cell r="C243" t="str">
            <v>KUUM_478</v>
          </cell>
          <cell r="E243">
            <v>1419</v>
          </cell>
        </row>
        <row r="244">
          <cell r="A244" t="str">
            <v>MAR 2016</v>
          </cell>
          <cell r="C244" t="str">
            <v>KUUM_479</v>
          </cell>
          <cell r="E244">
            <v>961</v>
          </cell>
        </row>
        <row r="245">
          <cell r="A245" t="str">
            <v>MAR 2016</v>
          </cell>
          <cell r="C245" t="str">
            <v>KUUM_487</v>
          </cell>
          <cell r="E245">
            <v>11140</v>
          </cell>
        </row>
        <row r="246">
          <cell r="A246" t="str">
            <v>MAR 2016</v>
          </cell>
          <cell r="C246" t="str">
            <v>KUUM_488</v>
          </cell>
          <cell r="E246">
            <v>6428</v>
          </cell>
        </row>
        <row r="247">
          <cell r="A247" t="str">
            <v>MAR 2016</v>
          </cell>
          <cell r="C247" t="str">
            <v>KUUM_489</v>
          </cell>
          <cell r="E247">
            <v>8179</v>
          </cell>
        </row>
        <row r="248">
          <cell r="A248" t="str">
            <v>MAR 2016</v>
          </cell>
          <cell r="C248" t="str">
            <v>KUUM_490</v>
          </cell>
          <cell r="E248">
            <v>58</v>
          </cell>
        </row>
        <row r="249">
          <cell r="A249" t="str">
            <v>MAR 2016</v>
          </cell>
          <cell r="C249" t="str">
            <v>KUUM_491</v>
          </cell>
          <cell r="E249">
            <v>314</v>
          </cell>
        </row>
        <row r="250">
          <cell r="A250" t="str">
            <v>MAR 2016</v>
          </cell>
          <cell r="C250" t="str">
            <v>KUUM_492</v>
          </cell>
          <cell r="E250">
            <v>2</v>
          </cell>
        </row>
        <row r="251">
          <cell r="A251" t="str">
            <v>MAR 2016</v>
          </cell>
          <cell r="C251" t="str">
            <v>KUUM_493</v>
          </cell>
          <cell r="E251">
            <v>43</v>
          </cell>
        </row>
        <row r="252">
          <cell r="A252" t="str">
            <v>MAR 2016</v>
          </cell>
          <cell r="C252" t="str">
            <v>KUUM_494</v>
          </cell>
          <cell r="E252">
            <v>168</v>
          </cell>
        </row>
        <row r="253">
          <cell r="A253" t="str">
            <v>MAR 2016</v>
          </cell>
          <cell r="C253" t="str">
            <v>KUUM_495</v>
          </cell>
          <cell r="E253">
            <v>626</v>
          </cell>
        </row>
        <row r="254">
          <cell r="A254" t="str">
            <v>MAR 2016</v>
          </cell>
          <cell r="C254" t="str">
            <v>KUUM_496</v>
          </cell>
          <cell r="E254">
            <v>157</v>
          </cell>
        </row>
        <row r="255">
          <cell r="A255" t="str">
            <v>MAR 2016</v>
          </cell>
          <cell r="C255" t="str">
            <v>KUUM_497</v>
          </cell>
          <cell r="E255">
            <v>10</v>
          </cell>
        </row>
        <row r="256">
          <cell r="A256" t="str">
            <v>MAR 2016</v>
          </cell>
          <cell r="C256" t="str">
            <v>KUUM_498</v>
          </cell>
          <cell r="E256">
            <v>30</v>
          </cell>
        </row>
        <row r="257">
          <cell r="A257" t="str">
            <v>MAR 2016</v>
          </cell>
          <cell r="C257" t="str">
            <v>KUUM_499</v>
          </cell>
          <cell r="E257">
            <v>24</v>
          </cell>
        </row>
        <row r="258">
          <cell r="A258" t="str">
            <v>MAR 2016</v>
          </cell>
          <cell r="C258" t="str">
            <v>Result</v>
          </cell>
          <cell r="E258">
            <v>171411</v>
          </cell>
        </row>
        <row r="261">
          <cell r="A261" t="str">
            <v>APR 2016</v>
          </cell>
          <cell r="C261" t="str">
            <v>KTUM_406</v>
          </cell>
        </row>
        <row r="262">
          <cell r="A262" t="str">
            <v>APR 2016</v>
          </cell>
          <cell r="C262" t="str">
            <v>KTUM_428</v>
          </cell>
        </row>
        <row r="263">
          <cell r="A263" t="str">
            <v>APR 2016</v>
          </cell>
          <cell r="C263" t="str">
            <v>KUUM_360</v>
          </cell>
          <cell r="E263">
            <v>178</v>
          </cell>
        </row>
        <row r="264">
          <cell r="A264" t="str">
            <v>APR 2016</v>
          </cell>
          <cell r="C264" t="str">
            <v>KUUM_361</v>
          </cell>
          <cell r="E264">
            <v>25</v>
          </cell>
        </row>
        <row r="265">
          <cell r="A265" t="str">
            <v>APR 2016</v>
          </cell>
          <cell r="C265" t="str">
            <v>KUUM_362</v>
          </cell>
          <cell r="E265">
            <v>43</v>
          </cell>
        </row>
        <row r="266">
          <cell r="A266" t="str">
            <v>APR 2016</v>
          </cell>
          <cell r="C266" t="str">
            <v>KUUM_363</v>
          </cell>
          <cell r="E266">
            <v>5</v>
          </cell>
        </row>
        <row r="267">
          <cell r="A267" t="str">
            <v>APR 2016</v>
          </cell>
          <cell r="C267" t="str">
            <v>KUUM_364</v>
          </cell>
          <cell r="E267">
            <v>1</v>
          </cell>
        </row>
        <row r="268">
          <cell r="A268" t="str">
            <v>APR 2016</v>
          </cell>
          <cell r="C268" t="str">
            <v>KUUM_365</v>
          </cell>
          <cell r="E268">
            <v>5</v>
          </cell>
        </row>
        <row r="269">
          <cell r="A269" t="str">
            <v>APR 2016</v>
          </cell>
          <cell r="C269" t="str">
            <v>KUUM_366</v>
          </cell>
          <cell r="E269">
            <v>9</v>
          </cell>
        </row>
        <row r="270">
          <cell r="A270" t="str">
            <v>APR 2016</v>
          </cell>
          <cell r="C270" t="str">
            <v>KUUM_367</v>
          </cell>
          <cell r="E270">
            <v>25</v>
          </cell>
        </row>
        <row r="271">
          <cell r="A271" t="str">
            <v>APR 2016</v>
          </cell>
          <cell r="C271" t="str">
            <v>KUUM_368</v>
          </cell>
          <cell r="E271">
            <v>1</v>
          </cell>
        </row>
        <row r="272">
          <cell r="A272" t="str">
            <v>APR 2016</v>
          </cell>
          <cell r="C272" t="str">
            <v>KUUM_370</v>
          </cell>
          <cell r="E272">
            <v>15</v>
          </cell>
        </row>
        <row r="273">
          <cell r="A273" t="str">
            <v>APR 2016</v>
          </cell>
          <cell r="C273" t="str">
            <v>KUUM_372</v>
          </cell>
          <cell r="E273">
            <v>1</v>
          </cell>
        </row>
        <row r="274">
          <cell r="A274" t="str">
            <v>APR 2016</v>
          </cell>
          <cell r="C274" t="str">
            <v>KUUM_373</v>
          </cell>
          <cell r="E274">
            <v>20</v>
          </cell>
        </row>
        <row r="275">
          <cell r="A275" t="str">
            <v>APR 2016</v>
          </cell>
          <cell r="C275" t="str">
            <v>KUUM_374</v>
          </cell>
          <cell r="E275">
            <v>4</v>
          </cell>
        </row>
        <row r="276">
          <cell r="A276" t="str">
            <v>APR 2016</v>
          </cell>
          <cell r="C276" t="str">
            <v>KUUM_375</v>
          </cell>
          <cell r="E276">
            <v>3</v>
          </cell>
        </row>
        <row r="277">
          <cell r="A277" t="str">
            <v>APR 2016</v>
          </cell>
          <cell r="C277" t="str">
            <v>KUUM_376</v>
          </cell>
          <cell r="E277">
            <v>2</v>
          </cell>
        </row>
        <row r="278">
          <cell r="A278" t="str">
            <v>APR 2016</v>
          </cell>
          <cell r="C278" t="str">
            <v>KUUM_377</v>
          </cell>
          <cell r="E278">
            <v>51</v>
          </cell>
        </row>
        <row r="279">
          <cell r="A279" t="str">
            <v>APR 2016</v>
          </cell>
          <cell r="C279" t="str">
            <v>KUUM_378</v>
          </cell>
          <cell r="E279">
            <v>2</v>
          </cell>
        </row>
        <row r="280">
          <cell r="A280" t="str">
            <v>APR 2016</v>
          </cell>
          <cell r="C280" t="str">
            <v>KUUM_401</v>
          </cell>
          <cell r="E280">
            <v>52</v>
          </cell>
        </row>
        <row r="281">
          <cell r="A281" t="str">
            <v>APR 2016</v>
          </cell>
          <cell r="C281" t="str">
            <v>KUUM_404</v>
          </cell>
          <cell r="E281">
            <v>7208</v>
          </cell>
        </row>
        <row r="282">
          <cell r="A282" t="str">
            <v>APR 2016</v>
          </cell>
          <cell r="C282" t="str">
            <v>KUUM_409</v>
          </cell>
          <cell r="E282">
            <v>141</v>
          </cell>
        </row>
        <row r="283">
          <cell r="A283" t="str">
            <v>APR 2016</v>
          </cell>
          <cell r="C283" t="str">
            <v>KUUM_410</v>
          </cell>
          <cell r="E283">
            <v>240</v>
          </cell>
        </row>
        <row r="284">
          <cell r="A284" t="str">
            <v>APR 2016</v>
          </cell>
          <cell r="C284" t="str">
            <v>KUUM_411</v>
          </cell>
          <cell r="E284">
            <v>150</v>
          </cell>
        </row>
        <row r="285">
          <cell r="A285" t="str">
            <v>APR 2016</v>
          </cell>
          <cell r="C285" t="str">
            <v>KUUM_412</v>
          </cell>
          <cell r="E285">
            <v>28</v>
          </cell>
        </row>
        <row r="286">
          <cell r="A286" t="str">
            <v>APR 2016</v>
          </cell>
          <cell r="C286" t="str">
            <v>KUUM_413</v>
          </cell>
          <cell r="E286">
            <v>96</v>
          </cell>
        </row>
        <row r="287">
          <cell r="A287" t="str">
            <v>APR 2016</v>
          </cell>
          <cell r="C287" t="str">
            <v>KUUM_414</v>
          </cell>
          <cell r="E287">
            <v>21</v>
          </cell>
        </row>
        <row r="288">
          <cell r="A288" t="str">
            <v>APR 2016</v>
          </cell>
          <cell r="C288" t="str">
            <v>KUUM_415</v>
          </cell>
          <cell r="E288">
            <v>10</v>
          </cell>
        </row>
        <row r="289">
          <cell r="A289" t="str">
            <v>APR 2016</v>
          </cell>
          <cell r="C289" t="str">
            <v>KUUM_420</v>
          </cell>
          <cell r="E289">
            <v>465</v>
          </cell>
        </row>
        <row r="290">
          <cell r="A290" t="str">
            <v>APR 2016</v>
          </cell>
          <cell r="C290" t="str">
            <v>KUUM_421</v>
          </cell>
          <cell r="E290">
            <v>5</v>
          </cell>
        </row>
        <row r="291">
          <cell r="A291" t="str">
            <v>APR 2016</v>
          </cell>
          <cell r="C291" t="str">
            <v>KUUM_422</v>
          </cell>
          <cell r="E291">
            <v>676</v>
          </cell>
        </row>
        <row r="292">
          <cell r="A292" t="str">
            <v>APR 2016</v>
          </cell>
          <cell r="C292" t="str">
            <v>KUUM_424</v>
          </cell>
          <cell r="E292">
            <v>65</v>
          </cell>
        </row>
        <row r="293">
          <cell r="A293" t="str">
            <v>APR 2016</v>
          </cell>
          <cell r="C293" t="str">
            <v>KUUM_425</v>
          </cell>
          <cell r="E293">
            <v>2</v>
          </cell>
        </row>
        <row r="294">
          <cell r="A294" t="str">
            <v>APR 2016</v>
          </cell>
          <cell r="C294" t="str">
            <v>KUUM_426</v>
          </cell>
          <cell r="E294">
            <v>172</v>
          </cell>
        </row>
        <row r="295">
          <cell r="A295" t="str">
            <v>APR 2016</v>
          </cell>
          <cell r="C295" t="str">
            <v>KUUM_428</v>
          </cell>
          <cell r="E295">
            <v>36659</v>
          </cell>
        </row>
        <row r="296">
          <cell r="A296" t="str">
            <v>APR 2016</v>
          </cell>
          <cell r="C296" t="str">
            <v>KUUM_430</v>
          </cell>
          <cell r="E296">
            <v>1180</v>
          </cell>
        </row>
        <row r="297">
          <cell r="A297" t="str">
            <v>APR 2016</v>
          </cell>
          <cell r="C297" t="str">
            <v>KUUM_434</v>
          </cell>
          <cell r="E297">
            <v>5</v>
          </cell>
        </row>
        <row r="298">
          <cell r="A298" t="str">
            <v>APR 2016</v>
          </cell>
          <cell r="C298" t="str">
            <v>KUUM_440</v>
          </cell>
          <cell r="E298">
            <v>2</v>
          </cell>
        </row>
        <row r="299">
          <cell r="A299" t="str">
            <v>APR 2016</v>
          </cell>
          <cell r="C299" t="str">
            <v>KUUM_446</v>
          </cell>
          <cell r="E299">
            <v>1081</v>
          </cell>
        </row>
        <row r="300">
          <cell r="A300" t="str">
            <v>APR 2016</v>
          </cell>
          <cell r="C300" t="str">
            <v>KUUM_447</v>
          </cell>
          <cell r="E300">
            <v>742</v>
          </cell>
        </row>
        <row r="301">
          <cell r="A301" t="str">
            <v>APR 2016</v>
          </cell>
          <cell r="C301" t="str">
            <v>KUUM_448</v>
          </cell>
          <cell r="E301">
            <v>1480</v>
          </cell>
        </row>
        <row r="302">
          <cell r="A302" t="str">
            <v>APR 2016</v>
          </cell>
          <cell r="C302" t="str">
            <v>KUUM_450</v>
          </cell>
          <cell r="E302">
            <v>660</v>
          </cell>
        </row>
        <row r="303">
          <cell r="A303" t="str">
            <v>APR 2016</v>
          </cell>
          <cell r="C303" t="str">
            <v>KUUM_451</v>
          </cell>
          <cell r="E303">
            <v>5129</v>
          </cell>
        </row>
        <row r="304">
          <cell r="A304" t="str">
            <v>APR 2016</v>
          </cell>
          <cell r="C304" t="str">
            <v>KUUM_452</v>
          </cell>
          <cell r="E304">
            <v>1045</v>
          </cell>
        </row>
        <row r="305">
          <cell r="A305" t="str">
            <v>APR 2016</v>
          </cell>
          <cell r="C305" t="str">
            <v>KUUM_454</v>
          </cell>
          <cell r="E305">
            <v>150</v>
          </cell>
        </row>
        <row r="306">
          <cell r="A306" t="str">
            <v>APR 2016</v>
          </cell>
          <cell r="C306" t="str">
            <v>KUUM_455</v>
          </cell>
          <cell r="E306">
            <v>1022</v>
          </cell>
        </row>
        <row r="307">
          <cell r="A307" t="str">
            <v>APR 2016</v>
          </cell>
          <cell r="C307" t="str">
            <v>KUUM_456</v>
          </cell>
          <cell r="E307">
            <v>142</v>
          </cell>
        </row>
        <row r="308">
          <cell r="A308" t="str">
            <v>APR 2016</v>
          </cell>
          <cell r="C308" t="str">
            <v>KUUM_457</v>
          </cell>
          <cell r="E308">
            <v>453</v>
          </cell>
        </row>
        <row r="309">
          <cell r="A309" t="str">
            <v>APR 2016</v>
          </cell>
          <cell r="C309" t="str">
            <v>KUUM_458</v>
          </cell>
          <cell r="E309">
            <v>1479</v>
          </cell>
        </row>
        <row r="310">
          <cell r="A310" t="str">
            <v>APR 2016</v>
          </cell>
          <cell r="C310" t="str">
            <v>KUUM_459</v>
          </cell>
          <cell r="E310">
            <v>224</v>
          </cell>
        </row>
        <row r="311">
          <cell r="A311" t="str">
            <v>APR 2016</v>
          </cell>
          <cell r="C311" t="str">
            <v>KUUM_460</v>
          </cell>
          <cell r="E311">
            <v>26</v>
          </cell>
        </row>
        <row r="312">
          <cell r="A312" t="str">
            <v>APR 2016</v>
          </cell>
          <cell r="C312" t="str">
            <v>KUUM_461</v>
          </cell>
          <cell r="E312">
            <v>6932</v>
          </cell>
        </row>
        <row r="313">
          <cell r="A313" t="str">
            <v>APR 2016</v>
          </cell>
          <cell r="C313" t="str">
            <v>KUUM_462</v>
          </cell>
          <cell r="E313">
            <v>8852</v>
          </cell>
        </row>
        <row r="314">
          <cell r="A314" t="str">
            <v>APR 2016</v>
          </cell>
          <cell r="C314" t="str">
            <v>KUUM_463</v>
          </cell>
          <cell r="E314">
            <v>19948</v>
          </cell>
        </row>
        <row r="315">
          <cell r="A315" t="str">
            <v>APR 2016</v>
          </cell>
          <cell r="C315" t="str">
            <v>KUUM_464</v>
          </cell>
          <cell r="E315">
            <v>7558</v>
          </cell>
        </row>
        <row r="316">
          <cell r="A316" t="str">
            <v>APR 2016</v>
          </cell>
          <cell r="C316" t="str">
            <v>KUUM_465</v>
          </cell>
          <cell r="E316">
            <v>2807</v>
          </cell>
        </row>
        <row r="317">
          <cell r="A317" t="str">
            <v>APR 2016</v>
          </cell>
          <cell r="C317" t="str">
            <v>KUUM_466</v>
          </cell>
          <cell r="E317">
            <v>854</v>
          </cell>
        </row>
        <row r="318">
          <cell r="A318" t="str">
            <v>APR 2016</v>
          </cell>
          <cell r="C318" t="str">
            <v>KUUM_467</v>
          </cell>
          <cell r="E318">
            <v>1355</v>
          </cell>
        </row>
        <row r="319">
          <cell r="A319" t="str">
            <v>APR 2016</v>
          </cell>
          <cell r="C319" t="str">
            <v>KUUM_468</v>
          </cell>
          <cell r="E319">
            <v>4026</v>
          </cell>
        </row>
        <row r="320">
          <cell r="A320" t="str">
            <v>APR 2016</v>
          </cell>
          <cell r="C320" t="str">
            <v>KUUM_469</v>
          </cell>
          <cell r="E320">
            <v>294</v>
          </cell>
        </row>
        <row r="321">
          <cell r="A321" t="str">
            <v>APR 2016</v>
          </cell>
          <cell r="C321" t="str">
            <v>KUUM_470</v>
          </cell>
          <cell r="E321">
            <v>61</v>
          </cell>
        </row>
        <row r="322">
          <cell r="A322" t="str">
            <v>APR 2016</v>
          </cell>
          <cell r="C322" t="str">
            <v>KUUM_471</v>
          </cell>
          <cell r="E322">
            <v>3667</v>
          </cell>
        </row>
        <row r="323">
          <cell r="A323" t="str">
            <v>APR 2016</v>
          </cell>
          <cell r="C323" t="str">
            <v>KUUM_472</v>
          </cell>
          <cell r="E323">
            <v>8745</v>
          </cell>
        </row>
        <row r="324">
          <cell r="A324" t="str">
            <v>APR 2016</v>
          </cell>
          <cell r="C324" t="str">
            <v>KUUM_473</v>
          </cell>
          <cell r="E324">
            <v>3397</v>
          </cell>
        </row>
        <row r="325">
          <cell r="A325" t="str">
            <v>APR 2016</v>
          </cell>
          <cell r="C325" t="str">
            <v>KUUM_474</v>
          </cell>
          <cell r="E325">
            <v>5168</v>
          </cell>
        </row>
        <row r="326">
          <cell r="A326" t="str">
            <v>APR 2016</v>
          </cell>
          <cell r="C326" t="str">
            <v>KUUM_475</v>
          </cell>
          <cell r="E326">
            <v>515</v>
          </cell>
        </row>
        <row r="327">
          <cell r="A327" t="str">
            <v>APR 2016</v>
          </cell>
          <cell r="C327" t="str">
            <v>KUUM_476</v>
          </cell>
          <cell r="E327">
            <v>4570</v>
          </cell>
        </row>
        <row r="328">
          <cell r="A328" t="str">
            <v>APR 2016</v>
          </cell>
          <cell r="C328" t="str">
            <v>KUUM_477</v>
          </cell>
          <cell r="E328">
            <v>1063</v>
          </cell>
        </row>
        <row r="329">
          <cell r="A329" t="str">
            <v>APR 2016</v>
          </cell>
          <cell r="C329" t="str">
            <v>KUUM_478</v>
          </cell>
          <cell r="E329">
            <v>1411</v>
          </cell>
        </row>
        <row r="330">
          <cell r="A330" t="str">
            <v>APR 2016</v>
          </cell>
          <cell r="C330" t="str">
            <v>KUUM_479</v>
          </cell>
          <cell r="E330">
            <v>951</v>
          </cell>
        </row>
        <row r="331">
          <cell r="A331" t="str">
            <v>APR 2016</v>
          </cell>
          <cell r="C331" t="str">
            <v>KUUM_487</v>
          </cell>
          <cell r="E331">
            <v>11151</v>
          </cell>
        </row>
        <row r="332">
          <cell r="A332" t="str">
            <v>APR 2016</v>
          </cell>
          <cell r="C332" t="str">
            <v>KUUM_488</v>
          </cell>
          <cell r="E332">
            <v>6634</v>
          </cell>
        </row>
        <row r="333">
          <cell r="A333" t="str">
            <v>APR 2016</v>
          </cell>
          <cell r="C333" t="str">
            <v>KUUM_489</v>
          </cell>
          <cell r="E333">
            <v>8349</v>
          </cell>
        </row>
        <row r="334">
          <cell r="A334" t="str">
            <v>APR 2016</v>
          </cell>
          <cell r="C334" t="str">
            <v>KUUM_490</v>
          </cell>
          <cell r="E334">
            <v>58</v>
          </cell>
        </row>
        <row r="335">
          <cell r="A335" t="str">
            <v>APR 2016</v>
          </cell>
          <cell r="C335" t="str">
            <v>KUUM_491</v>
          </cell>
          <cell r="E335">
            <v>301</v>
          </cell>
        </row>
        <row r="336">
          <cell r="A336" t="str">
            <v>APR 2016</v>
          </cell>
          <cell r="C336" t="str">
            <v>KUUM_492</v>
          </cell>
          <cell r="E336">
            <v>2</v>
          </cell>
        </row>
        <row r="337">
          <cell r="A337" t="str">
            <v>APR 2016</v>
          </cell>
          <cell r="C337" t="str">
            <v>KUUM_493</v>
          </cell>
          <cell r="E337">
            <v>43</v>
          </cell>
        </row>
        <row r="338">
          <cell r="A338" t="str">
            <v>APR 2016</v>
          </cell>
          <cell r="C338" t="str">
            <v>KUUM_494</v>
          </cell>
          <cell r="E338">
            <v>168</v>
          </cell>
        </row>
        <row r="339">
          <cell r="A339" t="str">
            <v>APR 2016</v>
          </cell>
          <cell r="C339" t="str">
            <v>KUUM_495</v>
          </cell>
          <cell r="E339">
            <v>620</v>
          </cell>
        </row>
        <row r="340">
          <cell r="A340" t="str">
            <v>APR 2016</v>
          </cell>
          <cell r="C340" t="str">
            <v>KUUM_496</v>
          </cell>
          <cell r="E340">
            <v>157</v>
          </cell>
        </row>
        <row r="341">
          <cell r="A341" t="str">
            <v>APR 2016</v>
          </cell>
          <cell r="C341" t="str">
            <v>KUUM_497</v>
          </cell>
          <cell r="E341">
            <v>10</v>
          </cell>
        </row>
        <row r="342">
          <cell r="A342" t="str">
            <v>APR 2016</v>
          </cell>
          <cell r="C342" t="str">
            <v>KUUM_498</v>
          </cell>
          <cell r="E342">
            <v>12</v>
          </cell>
        </row>
        <row r="343">
          <cell r="A343" t="str">
            <v>APR 2016</v>
          </cell>
          <cell r="C343" t="str">
            <v>KUUM_499</v>
          </cell>
          <cell r="E343">
            <v>24</v>
          </cell>
        </row>
        <row r="344">
          <cell r="A344" t="str">
            <v>APR 2016</v>
          </cell>
          <cell r="C344" t="str">
            <v>Result</v>
          </cell>
          <cell r="E344">
            <v>170903</v>
          </cell>
        </row>
        <row r="347">
          <cell r="A347" t="str">
            <v>MAY 2016</v>
          </cell>
          <cell r="C347" t="str">
            <v>KTUM_406</v>
          </cell>
        </row>
        <row r="348">
          <cell r="A348" t="str">
            <v>MAY 2016</v>
          </cell>
          <cell r="C348" t="str">
            <v>KTUM_428</v>
          </cell>
        </row>
        <row r="349">
          <cell r="A349" t="str">
            <v>MAY 2016</v>
          </cell>
          <cell r="C349" t="str">
            <v>KUUM_360</v>
          </cell>
          <cell r="E349">
            <v>179</v>
          </cell>
        </row>
        <row r="350">
          <cell r="A350" t="str">
            <v>MAY 2016</v>
          </cell>
          <cell r="C350" t="str">
            <v>KUUM_361</v>
          </cell>
          <cell r="E350">
            <v>25</v>
          </cell>
        </row>
        <row r="351">
          <cell r="A351" t="str">
            <v>MAY 2016</v>
          </cell>
          <cell r="C351" t="str">
            <v>KUUM_362</v>
          </cell>
          <cell r="E351">
            <v>43</v>
          </cell>
        </row>
        <row r="352">
          <cell r="A352" t="str">
            <v>MAY 2016</v>
          </cell>
          <cell r="C352" t="str">
            <v>KUUM_363</v>
          </cell>
          <cell r="E352">
            <v>5</v>
          </cell>
        </row>
        <row r="353">
          <cell r="A353" t="str">
            <v>MAY 2016</v>
          </cell>
          <cell r="C353" t="str">
            <v>KUUM_364</v>
          </cell>
          <cell r="E353">
            <v>1</v>
          </cell>
        </row>
        <row r="354">
          <cell r="A354" t="str">
            <v>MAY 2016</v>
          </cell>
          <cell r="C354" t="str">
            <v>KUUM_365</v>
          </cell>
          <cell r="E354">
            <v>5</v>
          </cell>
        </row>
        <row r="355">
          <cell r="A355" t="str">
            <v>MAY 2016</v>
          </cell>
          <cell r="C355" t="str">
            <v>KUUM_366</v>
          </cell>
          <cell r="E355">
            <v>9</v>
          </cell>
        </row>
        <row r="356">
          <cell r="A356" t="str">
            <v>MAY 2016</v>
          </cell>
          <cell r="C356" t="str">
            <v>KUUM_367</v>
          </cell>
          <cell r="E356">
            <v>25</v>
          </cell>
        </row>
        <row r="357">
          <cell r="A357" t="str">
            <v>MAY 2016</v>
          </cell>
          <cell r="C357" t="str">
            <v>KUUM_368</v>
          </cell>
          <cell r="E357">
            <v>1</v>
          </cell>
        </row>
        <row r="358">
          <cell r="A358" t="str">
            <v>MAY 2016</v>
          </cell>
          <cell r="C358" t="str">
            <v>KUUM_370</v>
          </cell>
          <cell r="E358">
            <v>15</v>
          </cell>
        </row>
        <row r="359">
          <cell r="A359" t="str">
            <v>MAY 2016</v>
          </cell>
          <cell r="C359" t="str">
            <v>KUUM_372</v>
          </cell>
          <cell r="E359">
            <v>1</v>
          </cell>
        </row>
        <row r="360">
          <cell r="A360" t="str">
            <v>MAY 2016</v>
          </cell>
          <cell r="C360" t="str">
            <v>KUUM_373</v>
          </cell>
          <cell r="E360">
            <v>20</v>
          </cell>
        </row>
        <row r="361">
          <cell r="A361" t="str">
            <v>MAY 2016</v>
          </cell>
          <cell r="C361" t="str">
            <v>KUUM_374</v>
          </cell>
          <cell r="E361">
            <v>4</v>
          </cell>
        </row>
        <row r="362">
          <cell r="A362" t="str">
            <v>MAY 2016</v>
          </cell>
          <cell r="C362" t="str">
            <v>KUUM_375</v>
          </cell>
          <cell r="E362">
            <v>3</v>
          </cell>
        </row>
        <row r="363">
          <cell r="A363" t="str">
            <v>MAY 2016</v>
          </cell>
          <cell r="C363" t="str">
            <v>KUUM_376</v>
          </cell>
          <cell r="E363">
            <v>2</v>
          </cell>
        </row>
        <row r="364">
          <cell r="A364" t="str">
            <v>MAY 2016</v>
          </cell>
          <cell r="C364" t="str">
            <v>KUUM_377</v>
          </cell>
          <cell r="E364">
            <v>51</v>
          </cell>
        </row>
        <row r="365">
          <cell r="A365" t="str">
            <v>MAY 2016</v>
          </cell>
          <cell r="C365" t="str">
            <v>KUUM_378</v>
          </cell>
          <cell r="E365">
            <v>2</v>
          </cell>
        </row>
        <row r="366">
          <cell r="A366" t="str">
            <v>MAY 2016</v>
          </cell>
          <cell r="C366" t="str">
            <v>KUUM_401</v>
          </cell>
          <cell r="E366">
            <v>52</v>
          </cell>
        </row>
        <row r="367">
          <cell r="A367" t="str">
            <v>MAY 2016</v>
          </cell>
          <cell r="C367" t="str">
            <v>KUUM_404</v>
          </cell>
          <cell r="E367">
            <v>7158</v>
          </cell>
        </row>
        <row r="368">
          <cell r="A368" t="str">
            <v>MAY 2016</v>
          </cell>
          <cell r="C368" t="str">
            <v>KUUM_409</v>
          </cell>
          <cell r="E368">
            <v>142</v>
          </cell>
        </row>
        <row r="369">
          <cell r="A369" t="str">
            <v>MAY 2016</v>
          </cell>
          <cell r="C369" t="str">
            <v>KUUM_410</v>
          </cell>
          <cell r="E369">
            <v>242</v>
          </cell>
        </row>
        <row r="370">
          <cell r="A370" t="str">
            <v>MAY 2016</v>
          </cell>
          <cell r="C370" t="str">
            <v>KUUM_411</v>
          </cell>
          <cell r="E370">
            <v>151</v>
          </cell>
        </row>
        <row r="371">
          <cell r="A371" t="str">
            <v>MAY 2016</v>
          </cell>
          <cell r="C371" t="str">
            <v>KUUM_412</v>
          </cell>
          <cell r="E371">
            <v>28</v>
          </cell>
        </row>
        <row r="372">
          <cell r="A372" t="str">
            <v>MAY 2016</v>
          </cell>
          <cell r="C372" t="str">
            <v>KUUM_413</v>
          </cell>
          <cell r="E372">
            <v>97</v>
          </cell>
        </row>
        <row r="373">
          <cell r="A373" t="str">
            <v>MAY 2016</v>
          </cell>
          <cell r="C373" t="str">
            <v>KUUM_414</v>
          </cell>
          <cell r="E373">
            <v>21</v>
          </cell>
        </row>
        <row r="374">
          <cell r="A374" t="str">
            <v>MAY 2016</v>
          </cell>
          <cell r="C374" t="str">
            <v>KUUM_415</v>
          </cell>
          <cell r="E374">
            <v>10</v>
          </cell>
        </row>
        <row r="375">
          <cell r="A375" t="str">
            <v>MAY 2016</v>
          </cell>
          <cell r="C375" t="str">
            <v>KUUM_420</v>
          </cell>
          <cell r="E375">
            <v>470</v>
          </cell>
        </row>
        <row r="376">
          <cell r="A376" t="str">
            <v>MAY 2016</v>
          </cell>
          <cell r="C376" t="str">
            <v>KUUM_421</v>
          </cell>
          <cell r="E376">
            <v>5</v>
          </cell>
        </row>
        <row r="377">
          <cell r="A377" t="str">
            <v>MAY 2016</v>
          </cell>
          <cell r="C377" t="str">
            <v>KUUM_422</v>
          </cell>
          <cell r="E377">
            <v>679</v>
          </cell>
        </row>
        <row r="378">
          <cell r="A378" t="str">
            <v>MAY 2016</v>
          </cell>
          <cell r="C378" t="str">
            <v>KUUM_424</v>
          </cell>
          <cell r="E378">
            <v>47</v>
          </cell>
        </row>
        <row r="379">
          <cell r="A379" t="str">
            <v>MAY 2016</v>
          </cell>
          <cell r="C379" t="str">
            <v>KUUM_425</v>
          </cell>
          <cell r="E379">
            <v>2</v>
          </cell>
        </row>
        <row r="380">
          <cell r="A380" t="str">
            <v>MAY 2016</v>
          </cell>
          <cell r="C380" t="str">
            <v>KUUM_426</v>
          </cell>
          <cell r="E380">
            <v>171</v>
          </cell>
        </row>
        <row r="381">
          <cell r="A381" t="str">
            <v>MAY 2016</v>
          </cell>
          <cell r="C381" t="str">
            <v>KUUM_428</v>
          </cell>
          <cell r="E381">
            <v>36951</v>
          </cell>
        </row>
        <row r="382">
          <cell r="A382" t="str">
            <v>MAY 2016</v>
          </cell>
          <cell r="C382" t="str">
            <v>KUUM_430</v>
          </cell>
          <cell r="E382">
            <v>1194</v>
          </cell>
        </row>
        <row r="383">
          <cell r="A383" t="str">
            <v>MAY 2016</v>
          </cell>
          <cell r="C383" t="str">
            <v>KUUM_434</v>
          </cell>
          <cell r="E383">
            <v>3</v>
          </cell>
        </row>
        <row r="384">
          <cell r="A384" t="str">
            <v>MAY 2016</v>
          </cell>
          <cell r="C384" t="str">
            <v>KUUM_440</v>
          </cell>
          <cell r="E384">
            <v>2</v>
          </cell>
        </row>
        <row r="385">
          <cell r="A385" t="str">
            <v>MAY 2016</v>
          </cell>
          <cell r="C385" t="str">
            <v>KUUM_446</v>
          </cell>
          <cell r="E385">
            <v>1088</v>
          </cell>
        </row>
        <row r="386">
          <cell r="A386" t="str">
            <v>MAY 2016</v>
          </cell>
          <cell r="C386" t="str">
            <v>KUUM_447</v>
          </cell>
          <cell r="E386">
            <v>748</v>
          </cell>
        </row>
        <row r="387">
          <cell r="A387" t="str">
            <v>MAY 2016</v>
          </cell>
          <cell r="C387" t="str">
            <v>KUUM_448</v>
          </cell>
          <cell r="E387">
            <v>1489</v>
          </cell>
        </row>
        <row r="388">
          <cell r="A388" t="str">
            <v>MAY 2016</v>
          </cell>
          <cell r="C388" t="str">
            <v>KUUM_450</v>
          </cell>
          <cell r="E388">
            <v>674</v>
          </cell>
        </row>
        <row r="389">
          <cell r="A389" t="str">
            <v>MAY 2016</v>
          </cell>
          <cell r="C389" t="str">
            <v>KUUM_451</v>
          </cell>
          <cell r="E389">
            <v>5222</v>
          </cell>
        </row>
        <row r="390">
          <cell r="A390" t="str">
            <v>MAY 2016</v>
          </cell>
          <cell r="C390" t="str">
            <v>KUUM_452</v>
          </cell>
          <cell r="E390">
            <v>1046</v>
          </cell>
        </row>
        <row r="391">
          <cell r="A391" t="str">
            <v>MAY 2016</v>
          </cell>
          <cell r="C391" t="str">
            <v>KUUM_454</v>
          </cell>
          <cell r="E391">
            <v>152</v>
          </cell>
        </row>
        <row r="392">
          <cell r="A392" t="str">
            <v>MAY 2016</v>
          </cell>
          <cell r="C392" t="str">
            <v>KUUM_455</v>
          </cell>
          <cell r="E392">
            <v>1059</v>
          </cell>
        </row>
        <row r="393">
          <cell r="A393" t="str">
            <v>MAY 2016</v>
          </cell>
          <cell r="C393" t="str">
            <v>KUUM_456</v>
          </cell>
          <cell r="E393">
            <v>141</v>
          </cell>
        </row>
        <row r="394">
          <cell r="A394" t="str">
            <v>MAY 2016</v>
          </cell>
          <cell r="C394" t="str">
            <v>KUUM_457</v>
          </cell>
          <cell r="E394">
            <v>457</v>
          </cell>
        </row>
        <row r="395">
          <cell r="A395" t="str">
            <v>MAY 2016</v>
          </cell>
          <cell r="C395" t="str">
            <v>KUUM_458</v>
          </cell>
          <cell r="E395">
            <v>1485</v>
          </cell>
        </row>
        <row r="396">
          <cell r="A396" t="str">
            <v>MAY 2016</v>
          </cell>
          <cell r="C396" t="str">
            <v>KUUM_459</v>
          </cell>
          <cell r="E396">
            <v>225</v>
          </cell>
        </row>
        <row r="397">
          <cell r="A397" t="str">
            <v>MAY 2016</v>
          </cell>
          <cell r="C397" t="str">
            <v>KUUM_460</v>
          </cell>
          <cell r="E397">
            <v>26</v>
          </cell>
        </row>
        <row r="398">
          <cell r="A398" t="str">
            <v>MAY 2016</v>
          </cell>
          <cell r="C398" t="str">
            <v>KUUM_461</v>
          </cell>
          <cell r="E398">
            <v>4404</v>
          </cell>
        </row>
        <row r="399">
          <cell r="A399" t="str">
            <v>MAY 2016</v>
          </cell>
          <cell r="C399" t="str">
            <v>KUUM_462</v>
          </cell>
          <cell r="E399">
            <v>8921</v>
          </cell>
        </row>
        <row r="400">
          <cell r="A400" t="str">
            <v>MAY 2016</v>
          </cell>
          <cell r="C400" t="str">
            <v>KUUM_463</v>
          </cell>
          <cell r="E400">
            <v>20402</v>
          </cell>
        </row>
        <row r="401">
          <cell r="A401" t="str">
            <v>MAY 2016</v>
          </cell>
          <cell r="C401" t="str">
            <v>KUUM_464</v>
          </cell>
          <cell r="E401">
            <v>7454</v>
          </cell>
        </row>
        <row r="402">
          <cell r="A402" t="str">
            <v>MAY 2016</v>
          </cell>
          <cell r="C402" t="str">
            <v>KUUM_465</v>
          </cell>
          <cell r="E402">
            <v>2835</v>
          </cell>
        </row>
        <row r="403">
          <cell r="A403" t="str">
            <v>MAY 2016</v>
          </cell>
          <cell r="C403" t="str">
            <v>KUUM_466</v>
          </cell>
          <cell r="E403">
            <v>865</v>
          </cell>
        </row>
        <row r="404">
          <cell r="A404" t="str">
            <v>MAY 2016</v>
          </cell>
          <cell r="C404" t="str">
            <v>KUUM_467</v>
          </cell>
          <cell r="E404">
            <v>1370</v>
          </cell>
        </row>
        <row r="405">
          <cell r="A405" t="str">
            <v>MAY 2016</v>
          </cell>
          <cell r="C405" t="str">
            <v>KUUM_468</v>
          </cell>
          <cell r="E405">
            <v>4061</v>
          </cell>
        </row>
        <row r="406">
          <cell r="A406" t="str">
            <v>MAY 2016</v>
          </cell>
          <cell r="C406" t="str">
            <v>KUUM_469</v>
          </cell>
          <cell r="E406">
            <v>296</v>
          </cell>
        </row>
        <row r="407">
          <cell r="A407" t="str">
            <v>MAY 2016</v>
          </cell>
          <cell r="C407" t="str">
            <v>KUUM_470</v>
          </cell>
          <cell r="E407">
            <v>61</v>
          </cell>
        </row>
        <row r="408">
          <cell r="A408" t="str">
            <v>MAY 2016</v>
          </cell>
          <cell r="C408" t="str">
            <v>KUUM_471</v>
          </cell>
          <cell r="E408">
            <v>3695</v>
          </cell>
        </row>
        <row r="409">
          <cell r="A409" t="str">
            <v>MAY 2016</v>
          </cell>
          <cell r="C409" t="str">
            <v>KUUM_472</v>
          </cell>
          <cell r="E409">
            <v>8811</v>
          </cell>
        </row>
        <row r="410">
          <cell r="A410" t="str">
            <v>MAY 2016</v>
          </cell>
          <cell r="C410" t="str">
            <v>KUUM_473</v>
          </cell>
          <cell r="E410">
            <v>3418</v>
          </cell>
        </row>
        <row r="411">
          <cell r="A411" t="str">
            <v>MAY 2016</v>
          </cell>
          <cell r="C411" t="str">
            <v>KUUM_474</v>
          </cell>
          <cell r="E411">
            <v>5209</v>
          </cell>
        </row>
        <row r="412">
          <cell r="A412" t="str">
            <v>MAY 2016</v>
          </cell>
          <cell r="C412" t="str">
            <v>KUUM_475</v>
          </cell>
          <cell r="E412">
            <v>519</v>
          </cell>
        </row>
        <row r="413">
          <cell r="A413" t="str">
            <v>MAY 2016</v>
          </cell>
          <cell r="C413" t="str">
            <v>KUUM_476</v>
          </cell>
          <cell r="E413">
            <v>4601</v>
          </cell>
        </row>
        <row r="414">
          <cell r="A414" t="str">
            <v>MAY 2016</v>
          </cell>
          <cell r="C414" t="str">
            <v>KUUM_477</v>
          </cell>
          <cell r="E414">
            <v>1060</v>
          </cell>
        </row>
        <row r="415">
          <cell r="A415" t="str">
            <v>MAY 2016</v>
          </cell>
          <cell r="C415" t="str">
            <v>KUUM_478</v>
          </cell>
          <cell r="E415">
            <v>1423</v>
          </cell>
        </row>
        <row r="416">
          <cell r="A416" t="str">
            <v>MAY 2016</v>
          </cell>
          <cell r="C416" t="str">
            <v>KUUM_479</v>
          </cell>
          <cell r="E416">
            <v>956</v>
          </cell>
        </row>
        <row r="417">
          <cell r="A417" t="str">
            <v>MAY 2016</v>
          </cell>
          <cell r="C417" t="str">
            <v>KUUM_487</v>
          </cell>
          <cell r="E417">
            <v>11252</v>
          </cell>
        </row>
        <row r="418">
          <cell r="A418" t="str">
            <v>MAY 2016</v>
          </cell>
          <cell r="C418" t="str">
            <v>KUUM_488</v>
          </cell>
          <cell r="E418">
            <v>6689</v>
          </cell>
        </row>
        <row r="419">
          <cell r="A419" t="str">
            <v>MAY 2016</v>
          </cell>
          <cell r="C419" t="str">
            <v>KUUM_489</v>
          </cell>
          <cell r="E419">
            <v>8376</v>
          </cell>
        </row>
        <row r="420">
          <cell r="A420" t="str">
            <v>MAY 2016</v>
          </cell>
          <cell r="C420" t="str">
            <v>KUUM_490</v>
          </cell>
          <cell r="E420">
            <v>58</v>
          </cell>
        </row>
        <row r="421">
          <cell r="A421" t="str">
            <v>MAY 2016</v>
          </cell>
          <cell r="C421" t="str">
            <v>KUUM_491</v>
          </cell>
          <cell r="E421">
            <v>297</v>
          </cell>
        </row>
        <row r="422">
          <cell r="A422" t="str">
            <v>MAY 2016</v>
          </cell>
          <cell r="C422" t="str">
            <v>KUUM_492</v>
          </cell>
          <cell r="E422">
            <v>2</v>
          </cell>
        </row>
        <row r="423">
          <cell r="A423" t="str">
            <v>MAY 2016</v>
          </cell>
          <cell r="C423" t="str">
            <v>KUUM_493</v>
          </cell>
          <cell r="E423">
            <v>43</v>
          </cell>
        </row>
        <row r="424">
          <cell r="A424" t="str">
            <v>MAY 2016</v>
          </cell>
          <cell r="C424" t="str">
            <v>KUUM_494</v>
          </cell>
          <cell r="E424">
            <v>170</v>
          </cell>
        </row>
        <row r="425">
          <cell r="A425" t="str">
            <v>MAY 2016</v>
          </cell>
          <cell r="C425" t="str">
            <v>KUUM_495</v>
          </cell>
          <cell r="E425">
            <v>626</v>
          </cell>
        </row>
        <row r="426">
          <cell r="A426" t="str">
            <v>MAY 2016</v>
          </cell>
          <cell r="C426" t="str">
            <v>KUUM_496</v>
          </cell>
          <cell r="E426">
            <v>155</v>
          </cell>
        </row>
        <row r="427">
          <cell r="A427" t="str">
            <v>MAY 2016</v>
          </cell>
          <cell r="C427" t="str">
            <v>KUUM_497</v>
          </cell>
          <cell r="E427">
            <v>10</v>
          </cell>
        </row>
        <row r="428">
          <cell r="A428" t="str">
            <v>MAY 2016</v>
          </cell>
          <cell r="C428" t="str">
            <v>KUUM_498</v>
          </cell>
          <cell r="E428">
            <v>24</v>
          </cell>
        </row>
        <row r="429">
          <cell r="A429" t="str">
            <v>MAY 2016</v>
          </cell>
          <cell r="C429" t="str">
            <v>KUUM_499</v>
          </cell>
          <cell r="E429">
            <v>24</v>
          </cell>
        </row>
        <row r="430">
          <cell r="A430" t="str">
            <v>MAY 2016</v>
          </cell>
          <cell r="C430" t="str">
            <v>Result</v>
          </cell>
          <cell r="E430">
            <v>169715</v>
          </cell>
        </row>
        <row r="433">
          <cell r="A433" t="str">
            <v>JUN 2016</v>
          </cell>
          <cell r="C433" t="str">
            <v>KTUM_406</v>
          </cell>
        </row>
        <row r="434">
          <cell r="A434" t="str">
            <v>JUN 2016</v>
          </cell>
          <cell r="C434" t="str">
            <v>KTUM_428</v>
          </cell>
        </row>
        <row r="435">
          <cell r="A435" t="str">
            <v>JUN 2016</v>
          </cell>
          <cell r="C435" t="str">
            <v>KUUM_360</v>
          </cell>
          <cell r="E435">
            <v>178</v>
          </cell>
        </row>
        <row r="436">
          <cell r="A436" t="str">
            <v>JUN 2016</v>
          </cell>
          <cell r="C436" t="str">
            <v>KUUM_361</v>
          </cell>
          <cell r="E436">
            <v>25</v>
          </cell>
        </row>
        <row r="437">
          <cell r="A437" t="str">
            <v>JUN 2016</v>
          </cell>
          <cell r="C437" t="str">
            <v>KUUM_362</v>
          </cell>
          <cell r="E437">
            <v>43</v>
          </cell>
        </row>
        <row r="438">
          <cell r="A438" t="str">
            <v>JUN 2016</v>
          </cell>
          <cell r="C438" t="str">
            <v>KUUM_363</v>
          </cell>
          <cell r="E438">
            <v>5</v>
          </cell>
        </row>
        <row r="439">
          <cell r="A439" t="str">
            <v>JUN 2016</v>
          </cell>
          <cell r="C439" t="str">
            <v>KUUM_364</v>
          </cell>
          <cell r="E439">
            <v>1</v>
          </cell>
        </row>
        <row r="440">
          <cell r="A440" t="str">
            <v>JUN 2016</v>
          </cell>
          <cell r="C440" t="str">
            <v>KUUM_365</v>
          </cell>
          <cell r="E440">
            <v>5</v>
          </cell>
        </row>
        <row r="441">
          <cell r="A441" t="str">
            <v>JUN 2016</v>
          </cell>
          <cell r="C441" t="str">
            <v>KUUM_366</v>
          </cell>
          <cell r="E441">
            <v>9</v>
          </cell>
        </row>
        <row r="442">
          <cell r="A442" t="str">
            <v>JUN 2016</v>
          </cell>
          <cell r="C442" t="str">
            <v>KUUM_367</v>
          </cell>
          <cell r="E442">
            <v>25</v>
          </cell>
        </row>
        <row r="443">
          <cell r="A443" t="str">
            <v>JUN 2016</v>
          </cell>
          <cell r="C443" t="str">
            <v>KUUM_368</v>
          </cell>
          <cell r="E443">
            <v>1</v>
          </cell>
        </row>
        <row r="444">
          <cell r="A444" t="str">
            <v>JUN 2016</v>
          </cell>
          <cell r="C444" t="str">
            <v>KUUM_370</v>
          </cell>
          <cell r="E444">
            <v>15</v>
          </cell>
        </row>
        <row r="445">
          <cell r="A445" t="str">
            <v>JUN 2016</v>
          </cell>
          <cell r="C445" t="str">
            <v>KUUM_372</v>
          </cell>
          <cell r="E445">
            <v>1</v>
          </cell>
        </row>
        <row r="446">
          <cell r="A446" t="str">
            <v>JUN 2016</v>
          </cell>
          <cell r="C446" t="str">
            <v>KUUM_373</v>
          </cell>
          <cell r="E446">
            <v>20</v>
          </cell>
        </row>
        <row r="447">
          <cell r="A447" t="str">
            <v>JUN 2016</v>
          </cell>
          <cell r="C447" t="str">
            <v>KUUM_374</v>
          </cell>
          <cell r="E447">
            <v>4</v>
          </cell>
        </row>
        <row r="448">
          <cell r="A448" t="str">
            <v>JUN 2016</v>
          </cell>
          <cell r="C448" t="str">
            <v>KUUM_375</v>
          </cell>
          <cell r="E448">
            <v>3</v>
          </cell>
        </row>
        <row r="449">
          <cell r="A449" t="str">
            <v>JUN 2016</v>
          </cell>
          <cell r="C449" t="str">
            <v>KUUM_376</v>
          </cell>
          <cell r="E449">
            <v>2</v>
          </cell>
        </row>
        <row r="450">
          <cell r="A450" t="str">
            <v>JUN 2016</v>
          </cell>
          <cell r="C450" t="str">
            <v>KUUM_377</v>
          </cell>
          <cell r="E450">
            <v>51</v>
          </cell>
        </row>
        <row r="451">
          <cell r="A451" t="str">
            <v>JUN 2016</v>
          </cell>
          <cell r="C451" t="str">
            <v>KUUM_378</v>
          </cell>
          <cell r="E451">
            <v>2</v>
          </cell>
        </row>
        <row r="452">
          <cell r="A452" t="str">
            <v>JUN 2016</v>
          </cell>
          <cell r="C452" t="str">
            <v>KUUM_401</v>
          </cell>
          <cell r="E452">
            <v>52</v>
          </cell>
        </row>
        <row r="453">
          <cell r="A453" t="str">
            <v>JUN 2016</v>
          </cell>
          <cell r="C453" t="str">
            <v>KUUM_404</v>
          </cell>
          <cell r="E453">
            <v>7151</v>
          </cell>
        </row>
        <row r="454">
          <cell r="A454" t="str">
            <v>JUN 2016</v>
          </cell>
          <cell r="C454" t="str">
            <v>KUUM_409</v>
          </cell>
          <cell r="E454">
            <v>141</v>
          </cell>
        </row>
        <row r="455">
          <cell r="A455" t="str">
            <v>JUN 2016</v>
          </cell>
          <cell r="C455" t="str">
            <v>KUUM_410</v>
          </cell>
          <cell r="E455">
            <v>241</v>
          </cell>
        </row>
        <row r="456">
          <cell r="A456" t="str">
            <v>JUN 2016</v>
          </cell>
          <cell r="C456" t="str">
            <v>KUUM_411</v>
          </cell>
          <cell r="E456">
            <v>150</v>
          </cell>
        </row>
        <row r="457">
          <cell r="A457" t="str">
            <v>JUN 2016</v>
          </cell>
          <cell r="C457" t="str">
            <v>KUUM_412</v>
          </cell>
          <cell r="E457">
            <v>28</v>
          </cell>
        </row>
        <row r="458">
          <cell r="A458" t="str">
            <v>JUN 2016</v>
          </cell>
          <cell r="C458" t="str">
            <v>KUUM_413</v>
          </cell>
          <cell r="E458">
            <v>96</v>
          </cell>
        </row>
        <row r="459">
          <cell r="A459" t="str">
            <v>JUN 2016</v>
          </cell>
          <cell r="C459" t="str">
            <v>KUUM_414</v>
          </cell>
          <cell r="E459">
            <v>21</v>
          </cell>
        </row>
        <row r="460">
          <cell r="A460" t="str">
            <v>JUN 2016</v>
          </cell>
          <cell r="C460" t="str">
            <v>KUUM_415</v>
          </cell>
          <cell r="E460">
            <v>10</v>
          </cell>
        </row>
        <row r="461">
          <cell r="A461" t="str">
            <v>JUN 2016</v>
          </cell>
          <cell r="C461" t="str">
            <v>KUUM_420</v>
          </cell>
          <cell r="E461">
            <v>478</v>
          </cell>
        </row>
        <row r="462">
          <cell r="A462" t="str">
            <v>JUN 2016</v>
          </cell>
          <cell r="C462" t="str">
            <v>KUUM_421</v>
          </cell>
          <cell r="E462">
            <v>5</v>
          </cell>
        </row>
        <row r="463">
          <cell r="A463" t="str">
            <v>JUN 2016</v>
          </cell>
          <cell r="C463" t="str">
            <v>KUUM_422</v>
          </cell>
          <cell r="E463">
            <v>674</v>
          </cell>
        </row>
        <row r="464">
          <cell r="A464" t="str">
            <v>JUN 2016</v>
          </cell>
          <cell r="C464" t="str">
            <v>KUUM_424</v>
          </cell>
          <cell r="E464">
            <v>47</v>
          </cell>
        </row>
        <row r="465">
          <cell r="A465" t="str">
            <v>JUN 2016</v>
          </cell>
          <cell r="C465" t="str">
            <v>KUUM_425</v>
          </cell>
          <cell r="E465">
            <v>2</v>
          </cell>
        </row>
        <row r="466">
          <cell r="A466" t="str">
            <v>JUN 2016</v>
          </cell>
          <cell r="C466" t="str">
            <v>KUUM_426</v>
          </cell>
          <cell r="E466">
            <v>173</v>
          </cell>
        </row>
        <row r="467">
          <cell r="A467" t="str">
            <v>JUN 2016</v>
          </cell>
          <cell r="C467" t="str">
            <v>KUUM_428</v>
          </cell>
          <cell r="E467">
            <v>36760</v>
          </cell>
        </row>
        <row r="468">
          <cell r="A468" t="str">
            <v>JUN 2016</v>
          </cell>
          <cell r="C468" t="str">
            <v>KUUM_430</v>
          </cell>
          <cell r="E468">
            <v>1176</v>
          </cell>
        </row>
        <row r="469">
          <cell r="A469" t="str">
            <v>JUN 2016</v>
          </cell>
          <cell r="C469" t="str">
            <v>KUUM_434</v>
          </cell>
          <cell r="E469">
            <v>3</v>
          </cell>
        </row>
        <row r="470">
          <cell r="A470" t="str">
            <v>JUN 2016</v>
          </cell>
          <cell r="C470" t="str">
            <v>KUUM_440</v>
          </cell>
          <cell r="E470">
            <v>2</v>
          </cell>
        </row>
        <row r="471">
          <cell r="A471" t="str">
            <v>JUN 2016</v>
          </cell>
          <cell r="C471" t="str">
            <v>KUUM_446</v>
          </cell>
          <cell r="E471">
            <v>1086</v>
          </cell>
        </row>
        <row r="472">
          <cell r="A472" t="str">
            <v>JUN 2016</v>
          </cell>
          <cell r="C472" t="str">
            <v>KUUM_447</v>
          </cell>
          <cell r="E472">
            <v>713</v>
          </cell>
        </row>
        <row r="473">
          <cell r="A473" t="str">
            <v>JUN 2016</v>
          </cell>
          <cell r="C473" t="str">
            <v>KUUM_448</v>
          </cell>
          <cell r="E473">
            <v>1484</v>
          </cell>
        </row>
        <row r="474">
          <cell r="A474" t="str">
            <v>JUN 2016</v>
          </cell>
          <cell r="C474" t="str">
            <v>KUUM_450</v>
          </cell>
          <cell r="E474">
            <v>670</v>
          </cell>
        </row>
        <row r="475">
          <cell r="A475" t="str">
            <v>JUN 2016</v>
          </cell>
          <cell r="C475" t="str">
            <v>KUUM_451</v>
          </cell>
          <cell r="E475">
            <v>5215</v>
          </cell>
        </row>
        <row r="476">
          <cell r="A476" t="str">
            <v>JUN 2016</v>
          </cell>
          <cell r="C476" t="str">
            <v>KUUM_452</v>
          </cell>
          <cell r="E476">
            <v>1044</v>
          </cell>
        </row>
        <row r="477">
          <cell r="A477" t="str">
            <v>JUN 2016</v>
          </cell>
          <cell r="C477" t="str">
            <v>KUUM_454</v>
          </cell>
          <cell r="E477">
            <v>150</v>
          </cell>
        </row>
        <row r="478">
          <cell r="A478" t="str">
            <v>JUN 2016</v>
          </cell>
          <cell r="C478" t="str">
            <v>KUUM_455</v>
          </cell>
          <cell r="E478">
            <v>1029</v>
          </cell>
        </row>
        <row r="479">
          <cell r="A479" t="str">
            <v>JUN 2016</v>
          </cell>
          <cell r="C479" t="str">
            <v>KUUM_456</v>
          </cell>
          <cell r="E479">
            <v>141</v>
          </cell>
        </row>
        <row r="480">
          <cell r="A480" t="str">
            <v>JUN 2016</v>
          </cell>
          <cell r="C480" t="str">
            <v>KUUM_457</v>
          </cell>
          <cell r="E480">
            <v>454</v>
          </cell>
        </row>
        <row r="481">
          <cell r="A481" t="str">
            <v>JUN 2016</v>
          </cell>
          <cell r="C481" t="str">
            <v>KUUM_458</v>
          </cell>
          <cell r="E481">
            <v>1464</v>
          </cell>
        </row>
        <row r="482">
          <cell r="A482" t="str">
            <v>JUN 2016</v>
          </cell>
          <cell r="C482" t="str">
            <v>KUUM_459</v>
          </cell>
          <cell r="E482">
            <v>227</v>
          </cell>
        </row>
        <row r="483">
          <cell r="A483" t="str">
            <v>JUN 2016</v>
          </cell>
          <cell r="C483" t="str">
            <v>KUUM_460</v>
          </cell>
          <cell r="E483">
            <v>26</v>
          </cell>
        </row>
        <row r="484">
          <cell r="A484" t="str">
            <v>JUN 2016</v>
          </cell>
          <cell r="C484" t="str">
            <v>KUUM_461</v>
          </cell>
          <cell r="E484">
            <v>6948</v>
          </cell>
        </row>
        <row r="485">
          <cell r="A485" t="str">
            <v>JUN 2016</v>
          </cell>
          <cell r="C485" t="str">
            <v>KUUM_462</v>
          </cell>
          <cell r="E485">
            <v>8771</v>
          </cell>
        </row>
        <row r="486">
          <cell r="A486" t="str">
            <v>JUN 2016</v>
          </cell>
          <cell r="C486" t="str">
            <v>KUUM_463</v>
          </cell>
          <cell r="E486">
            <v>20445</v>
          </cell>
        </row>
        <row r="487">
          <cell r="A487" t="str">
            <v>JUN 2016</v>
          </cell>
          <cell r="C487" t="str">
            <v>KUUM_464</v>
          </cell>
          <cell r="E487">
            <v>7600</v>
          </cell>
        </row>
        <row r="488">
          <cell r="A488" t="str">
            <v>JUN 2016</v>
          </cell>
          <cell r="C488" t="str">
            <v>KUUM_465</v>
          </cell>
          <cell r="E488">
            <v>2817</v>
          </cell>
        </row>
        <row r="489">
          <cell r="A489" t="str">
            <v>JUN 2016</v>
          </cell>
          <cell r="C489" t="str">
            <v>KUUM_466</v>
          </cell>
          <cell r="E489">
            <v>866</v>
          </cell>
        </row>
        <row r="490">
          <cell r="A490" t="str">
            <v>JUN 2016</v>
          </cell>
          <cell r="C490" t="str">
            <v>KUUM_467</v>
          </cell>
          <cell r="E490">
            <v>1367</v>
          </cell>
        </row>
        <row r="491">
          <cell r="A491" t="str">
            <v>JUN 2016</v>
          </cell>
          <cell r="C491" t="str">
            <v>KUUM_468</v>
          </cell>
          <cell r="E491">
            <v>4042</v>
          </cell>
        </row>
        <row r="492">
          <cell r="A492" t="str">
            <v>JUN 2016</v>
          </cell>
          <cell r="C492" t="str">
            <v>KUUM_469</v>
          </cell>
          <cell r="E492">
            <v>296</v>
          </cell>
        </row>
        <row r="493">
          <cell r="A493" t="str">
            <v>JUN 2016</v>
          </cell>
          <cell r="C493" t="str">
            <v>KUUM_470</v>
          </cell>
          <cell r="E493">
            <v>61</v>
          </cell>
        </row>
        <row r="494">
          <cell r="A494" t="str">
            <v>JUN 2016</v>
          </cell>
          <cell r="C494" t="str">
            <v>KUUM_471</v>
          </cell>
          <cell r="E494">
            <v>3675</v>
          </cell>
        </row>
        <row r="495">
          <cell r="A495" t="str">
            <v>JUN 2016</v>
          </cell>
          <cell r="C495" t="str">
            <v>KUUM_472</v>
          </cell>
          <cell r="E495">
            <v>8789</v>
          </cell>
        </row>
        <row r="496">
          <cell r="A496" t="str">
            <v>JUN 2016</v>
          </cell>
          <cell r="C496" t="str">
            <v>KUUM_473</v>
          </cell>
          <cell r="E496">
            <v>3381</v>
          </cell>
        </row>
        <row r="497">
          <cell r="A497" t="str">
            <v>JUN 2016</v>
          </cell>
          <cell r="C497" t="str">
            <v>KUUM_474</v>
          </cell>
          <cell r="E497">
            <v>5208</v>
          </cell>
        </row>
        <row r="498">
          <cell r="A498" t="str">
            <v>JUN 2016</v>
          </cell>
          <cell r="C498" t="str">
            <v>KUUM_475</v>
          </cell>
          <cell r="E498">
            <v>509</v>
          </cell>
        </row>
        <row r="499">
          <cell r="A499" t="str">
            <v>JUN 2016</v>
          </cell>
          <cell r="C499" t="str">
            <v>KUUM_476</v>
          </cell>
          <cell r="E499">
            <v>4575</v>
          </cell>
        </row>
        <row r="500">
          <cell r="A500" t="str">
            <v>JUN 2016</v>
          </cell>
          <cell r="C500" t="str">
            <v>KUUM_477</v>
          </cell>
          <cell r="E500">
            <v>1055</v>
          </cell>
        </row>
        <row r="501">
          <cell r="A501" t="str">
            <v>JUN 2016</v>
          </cell>
          <cell r="C501" t="str">
            <v>KUUM_478</v>
          </cell>
          <cell r="E501">
            <v>1411</v>
          </cell>
        </row>
        <row r="502">
          <cell r="A502" t="str">
            <v>JUN 2016</v>
          </cell>
          <cell r="C502" t="str">
            <v>KUUM_479</v>
          </cell>
          <cell r="E502">
            <v>943</v>
          </cell>
        </row>
        <row r="503">
          <cell r="A503" t="str">
            <v>JUN 2016</v>
          </cell>
          <cell r="C503" t="str">
            <v>KUUM_487</v>
          </cell>
          <cell r="E503">
            <v>11195</v>
          </cell>
        </row>
        <row r="504">
          <cell r="A504" t="str">
            <v>JUN 2016</v>
          </cell>
          <cell r="C504" t="str">
            <v>KUUM_488</v>
          </cell>
          <cell r="E504">
            <v>6647</v>
          </cell>
        </row>
        <row r="505">
          <cell r="A505" t="str">
            <v>JUN 2016</v>
          </cell>
          <cell r="C505" t="str">
            <v>KUUM_489</v>
          </cell>
          <cell r="E505">
            <v>8399</v>
          </cell>
        </row>
        <row r="506">
          <cell r="A506" t="str">
            <v>JUN 2016</v>
          </cell>
          <cell r="C506" t="str">
            <v>KUUM_490</v>
          </cell>
          <cell r="E506">
            <v>58</v>
          </cell>
        </row>
        <row r="507">
          <cell r="A507" t="str">
            <v>JUN 2016</v>
          </cell>
          <cell r="C507" t="str">
            <v>KUUM_491</v>
          </cell>
          <cell r="E507">
            <v>313</v>
          </cell>
        </row>
        <row r="508">
          <cell r="A508" t="str">
            <v>JUN 2016</v>
          </cell>
          <cell r="C508" t="str">
            <v>KUUM_492</v>
          </cell>
          <cell r="E508">
            <v>2</v>
          </cell>
        </row>
        <row r="509">
          <cell r="A509" t="str">
            <v>JUN 2016</v>
          </cell>
          <cell r="C509" t="str">
            <v>KUUM_493</v>
          </cell>
          <cell r="E509">
            <v>43</v>
          </cell>
        </row>
        <row r="510">
          <cell r="A510" t="str">
            <v>JUN 2016</v>
          </cell>
          <cell r="C510" t="str">
            <v>KUUM_494</v>
          </cell>
          <cell r="E510">
            <v>168</v>
          </cell>
        </row>
        <row r="511">
          <cell r="A511" t="str">
            <v>JUN 2016</v>
          </cell>
          <cell r="C511" t="str">
            <v>KUUM_495</v>
          </cell>
          <cell r="E511">
            <v>634</v>
          </cell>
        </row>
        <row r="512">
          <cell r="A512" t="str">
            <v>JUN 2016</v>
          </cell>
          <cell r="C512" t="str">
            <v>KUUM_496</v>
          </cell>
          <cell r="E512">
            <v>154</v>
          </cell>
        </row>
        <row r="513">
          <cell r="A513" t="str">
            <v>JUN 2016</v>
          </cell>
          <cell r="C513" t="str">
            <v>KUUM_497</v>
          </cell>
          <cell r="E513">
            <v>10</v>
          </cell>
        </row>
        <row r="514">
          <cell r="A514" t="str">
            <v>JUN 2016</v>
          </cell>
          <cell r="C514" t="str">
            <v>KUUM_498</v>
          </cell>
          <cell r="E514">
            <v>26</v>
          </cell>
        </row>
        <row r="515">
          <cell r="A515" t="str">
            <v>JUN 2016</v>
          </cell>
          <cell r="C515" t="str">
            <v>KUUM_499</v>
          </cell>
          <cell r="E515">
            <v>25</v>
          </cell>
        </row>
        <row r="516">
          <cell r="A516" t="str">
            <v>JUN 2016</v>
          </cell>
          <cell r="C516" t="str">
            <v>Result</v>
          </cell>
          <cell r="E516">
            <v>171736</v>
          </cell>
        </row>
        <row r="518">
          <cell r="A518" t="str">
            <v>JUL 2015</v>
          </cell>
          <cell r="C518" t="str">
            <v>KTUM_406</v>
          </cell>
        </row>
        <row r="519">
          <cell r="A519" t="str">
            <v>JUL 2015</v>
          </cell>
          <cell r="C519" t="str">
            <v>KTUM_428</v>
          </cell>
        </row>
        <row r="520">
          <cell r="A520" t="str">
            <v>JUL 2015</v>
          </cell>
          <cell r="C520" t="str">
            <v>KUUM_360</v>
          </cell>
          <cell r="E520">
            <v>178</v>
          </cell>
        </row>
        <row r="521">
          <cell r="A521" t="str">
            <v>JUL 2015</v>
          </cell>
          <cell r="C521" t="str">
            <v>KUUM_361</v>
          </cell>
          <cell r="E521">
            <v>25</v>
          </cell>
        </row>
        <row r="522">
          <cell r="A522" t="str">
            <v>JUL 2015</v>
          </cell>
          <cell r="C522" t="str">
            <v>KUUM_362</v>
          </cell>
          <cell r="E522">
            <v>43</v>
          </cell>
        </row>
        <row r="523">
          <cell r="A523" t="str">
            <v>JUL 2015</v>
          </cell>
          <cell r="C523" t="str">
            <v>KUUM_363</v>
          </cell>
          <cell r="E523">
            <v>5</v>
          </cell>
        </row>
        <row r="524">
          <cell r="A524" t="str">
            <v>JUL 2015</v>
          </cell>
          <cell r="C524" t="str">
            <v>KUUM_364</v>
          </cell>
          <cell r="E524">
            <v>1</v>
          </cell>
        </row>
        <row r="525">
          <cell r="A525" t="str">
            <v>JUL 2015</v>
          </cell>
          <cell r="C525" t="str">
            <v>KUUM_365</v>
          </cell>
          <cell r="E525">
            <v>5</v>
          </cell>
        </row>
        <row r="526">
          <cell r="A526" t="str">
            <v>JUL 2015</v>
          </cell>
          <cell r="C526" t="str">
            <v>KUUM_366</v>
          </cell>
          <cell r="E526">
            <v>9</v>
          </cell>
        </row>
        <row r="527">
          <cell r="A527" t="str">
            <v>JUL 2015</v>
          </cell>
          <cell r="C527" t="str">
            <v>KUUM_367</v>
          </cell>
          <cell r="E527">
            <v>25</v>
          </cell>
        </row>
        <row r="528">
          <cell r="A528" t="str">
            <v>JUL 2015</v>
          </cell>
          <cell r="C528" t="str">
            <v>KUUM_368</v>
          </cell>
          <cell r="E528">
            <v>1</v>
          </cell>
        </row>
        <row r="529">
          <cell r="A529" t="str">
            <v>JUL 2015</v>
          </cell>
          <cell r="C529" t="str">
            <v>KUUM_370</v>
          </cell>
          <cell r="E529">
            <v>15</v>
          </cell>
        </row>
        <row r="530">
          <cell r="A530" t="str">
            <v>JUL 2015</v>
          </cell>
          <cell r="C530" t="str">
            <v>KUUM_372</v>
          </cell>
          <cell r="E530">
            <v>1</v>
          </cell>
        </row>
        <row r="531">
          <cell r="A531" t="str">
            <v>JUL 2015</v>
          </cell>
          <cell r="C531" t="str">
            <v>KUUM_373</v>
          </cell>
          <cell r="E531">
            <v>20</v>
          </cell>
        </row>
        <row r="532">
          <cell r="A532" t="str">
            <v>JUL 2015</v>
          </cell>
          <cell r="C532" t="str">
            <v>KUUM_374</v>
          </cell>
          <cell r="E532">
            <v>4</v>
          </cell>
        </row>
        <row r="533">
          <cell r="A533" t="str">
            <v>JUL 2015</v>
          </cell>
          <cell r="C533" t="str">
            <v>KUUM_375</v>
          </cell>
          <cell r="E533">
            <v>3</v>
          </cell>
        </row>
        <row r="534">
          <cell r="A534" t="str">
            <v>JUL 2015</v>
          </cell>
          <cell r="C534" t="str">
            <v>KUUM_376</v>
          </cell>
          <cell r="E534">
            <v>2</v>
          </cell>
        </row>
        <row r="535">
          <cell r="A535" t="str">
            <v>JUL 2015</v>
          </cell>
          <cell r="C535" t="str">
            <v>KUUM_377</v>
          </cell>
          <cell r="E535">
            <v>51</v>
          </cell>
        </row>
        <row r="536">
          <cell r="A536" t="str">
            <v>JUL 2015</v>
          </cell>
          <cell r="C536" t="str">
            <v>KUUM_378</v>
          </cell>
          <cell r="E536">
            <v>2</v>
          </cell>
        </row>
        <row r="537">
          <cell r="A537" t="str">
            <v>JUL 2015</v>
          </cell>
          <cell r="C537" t="str">
            <v>KUUM_401</v>
          </cell>
          <cell r="E537">
            <v>52</v>
          </cell>
        </row>
        <row r="538">
          <cell r="A538" t="str">
            <v>JUL 2015</v>
          </cell>
          <cell r="C538" t="str">
            <v>KUUM_404</v>
          </cell>
          <cell r="E538">
            <v>7070</v>
          </cell>
        </row>
        <row r="539">
          <cell r="A539" t="str">
            <v>JUL 2015</v>
          </cell>
          <cell r="C539" t="str">
            <v>KUUM_409</v>
          </cell>
          <cell r="E539">
            <v>137</v>
          </cell>
        </row>
        <row r="540">
          <cell r="A540" t="str">
            <v>JUL 2015</v>
          </cell>
          <cell r="C540" t="str">
            <v>KUUM_410</v>
          </cell>
          <cell r="E540">
            <v>239</v>
          </cell>
        </row>
        <row r="541">
          <cell r="A541" t="str">
            <v>JUL 2015</v>
          </cell>
          <cell r="C541" t="str">
            <v>KUUM_411</v>
          </cell>
          <cell r="E541">
            <v>150</v>
          </cell>
        </row>
        <row r="542">
          <cell r="A542" t="str">
            <v>JUL 2015</v>
          </cell>
          <cell r="C542" t="str">
            <v>KUUM_412</v>
          </cell>
          <cell r="E542">
            <v>28</v>
          </cell>
        </row>
        <row r="543">
          <cell r="A543" t="str">
            <v>JUL 2015</v>
          </cell>
          <cell r="C543" t="str">
            <v>KUUM_413</v>
          </cell>
          <cell r="E543">
            <v>96</v>
          </cell>
        </row>
        <row r="544">
          <cell r="A544" t="str">
            <v>JUL 2015</v>
          </cell>
          <cell r="C544" t="str">
            <v>KUUM_414</v>
          </cell>
          <cell r="E544">
            <v>21</v>
          </cell>
        </row>
        <row r="545">
          <cell r="A545" t="str">
            <v>JUL 2015</v>
          </cell>
          <cell r="C545" t="str">
            <v>KUUM_415</v>
          </cell>
          <cell r="E545">
            <v>10</v>
          </cell>
        </row>
        <row r="546">
          <cell r="A546" t="str">
            <v>JUL 2015</v>
          </cell>
          <cell r="C546" t="str">
            <v>KUUM_420</v>
          </cell>
          <cell r="E546">
            <v>476</v>
          </cell>
        </row>
        <row r="547">
          <cell r="A547" t="str">
            <v>JUL 2015</v>
          </cell>
          <cell r="C547" t="str">
            <v>KUUM_421</v>
          </cell>
          <cell r="E547">
            <v>5</v>
          </cell>
        </row>
        <row r="548">
          <cell r="A548" t="str">
            <v>JUL 2015</v>
          </cell>
          <cell r="C548" t="str">
            <v>KUUM_422</v>
          </cell>
          <cell r="E548">
            <v>666</v>
          </cell>
        </row>
        <row r="549">
          <cell r="A549" t="str">
            <v>JUL 2015</v>
          </cell>
          <cell r="C549" t="str">
            <v>KUUM_424</v>
          </cell>
          <cell r="E549">
            <v>49</v>
          </cell>
        </row>
        <row r="550">
          <cell r="A550" t="str">
            <v>JUL 2015</v>
          </cell>
          <cell r="C550" t="str">
            <v>KUUM_425</v>
          </cell>
          <cell r="E550">
            <v>2</v>
          </cell>
        </row>
        <row r="551">
          <cell r="A551" t="str">
            <v>JUL 2015</v>
          </cell>
          <cell r="C551" t="str">
            <v>KUUM_426</v>
          </cell>
          <cell r="E551">
            <v>176</v>
          </cell>
        </row>
        <row r="552">
          <cell r="A552" t="str">
            <v>JUL 2015</v>
          </cell>
          <cell r="C552" t="str">
            <v>KUUM_428</v>
          </cell>
          <cell r="E552">
            <v>36590</v>
          </cell>
        </row>
        <row r="553">
          <cell r="A553" t="str">
            <v>JUL 2015</v>
          </cell>
          <cell r="C553" t="str">
            <v>KUUM_430</v>
          </cell>
          <cell r="E553">
            <v>1178</v>
          </cell>
        </row>
        <row r="554">
          <cell r="A554" t="str">
            <v>JUL 2015</v>
          </cell>
          <cell r="C554" t="str">
            <v>KUUM_440</v>
          </cell>
          <cell r="E554">
            <v>2</v>
          </cell>
        </row>
        <row r="555">
          <cell r="A555" t="str">
            <v>JUL 2015</v>
          </cell>
          <cell r="C555" t="str">
            <v>KUUM_446</v>
          </cell>
          <cell r="E555">
            <v>1077</v>
          </cell>
        </row>
        <row r="556">
          <cell r="A556" t="str">
            <v>JUL 2015</v>
          </cell>
          <cell r="C556" t="str">
            <v>KUUM_447</v>
          </cell>
          <cell r="E556">
            <v>709</v>
          </cell>
        </row>
        <row r="557">
          <cell r="A557" t="str">
            <v>JUL 2015</v>
          </cell>
          <cell r="C557" t="str">
            <v>KUUM_448</v>
          </cell>
          <cell r="E557">
            <v>1481</v>
          </cell>
        </row>
        <row r="558">
          <cell r="A558" t="str">
            <v>JUL 2015</v>
          </cell>
          <cell r="C558" t="str">
            <v>KUUM_450</v>
          </cell>
          <cell r="E558">
            <v>672</v>
          </cell>
        </row>
        <row r="559">
          <cell r="A559" t="str">
            <v>JUL 2015</v>
          </cell>
          <cell r="C559" t="str">
            <v>KUUM_451</v>
          </cell>
          <cell r="E559">
            <v>5245</v>
          </cell>
        </row>
        <row r="560">
          <cell r="A560" t="str">
            <v>JUL 2015</v>
          </cell>
          <cell r="C560" t="str">
            <v>KUUM_452</v>
          </cell>
          <cell r="E560">
            <v>1047</v>
          </cell>
        </row>
        <row r="561">
          <cell r="A561" t="str">
            <v>JUL 2015</v>
          </cell>
          <cell r="C561" t="str">
            <v>KUUM_454</v>
          </cell>
          <cell r="E561">
            <v>152</v>
          </cell>
        </row>
        <row r="562">
          <cell r="A562" t="str">
            <v>JUL 2015</v>
          </cell>
          <cell r="C562" t="str">
            <v>KUUM_455</v>
          </cell>
          <cell r="E562">
            <v>1030</v>
          </cell>
        </row>
        <row r="563">
          <cell r="A563" t="str">
            <v>JUL 2015</v>
          </cell>
          <cell r="C563" t="str">
            <v>KUUM_456</v>
          </cell>
          <cell r="E563">
            <v>141</v>
          </cell>
        </row>
        <row r="564">
          <cell r="A564" t="str">
            <v>JUL 2015</v>
          </cell>
          <cell r="C564" t="str">
            <v>KUUM_457</v>
          </cell>
          <cell r="E564">
            <v>452</v>
          </cell>
        </row>
        <row r="565">
          <cell r="A565" t="str">
            <v>JUL 2015</v>
          </cell>
          <cell r="C565" t="str">
            <v>KUUM_458</v>
          </cell>
          <cell r="E565">
            <v>1457</v>
          </cell>
        </row>
        <row r="566">
          <cell r="A566" t="str">
            <v>JUL 2015</v>
          </cell>
          <cell r="C566" t="str">
            <v>KUUM_459</v>
          </cell>
          <cell r="E566">
            <v>222</v>
          </cell>
        </row>
        <row r="567">
          <cell r="A567" t="str">
            <v>JUL 2015</v>
          </cell>
          <cell r="C567" t="str">
            <v>KUUM_460</v>
          </cell>
          <cell r="E567">
            <v>26</v>
          </cell>
        </row>
        <row r="568">
          <cell r="A568" t="str">
            <v>JUL 2015</v>
          </cell>
          <cell r="C568" t="str">
            <v>KUUM_461</v>
          </cell>
          <cell r="E568">
            <v>6980</v>
          </cell>
        </row>
        <row r="569">
          <cell r="A569" t="str">
            <v>JUL 2015</v>
          </cell>
          <cell r="C569" t="str">
            <v>KUUM_462</v>
          </cell>
          <cell r="E569">
            <v>8948</v>
          </cell>
        </row>
        <row r="570">
          <cell r="A570" t="str">
            <v>JUL 2015</v>
          </cell>
          <cell r="C570" t="str">
            <v>KUUM_463</v>
          </cell>
          <cell r="E570">
            <v>20988</v>
          </cell>
        </row>
        <row r="571">
          <cell r="A571" t="str">
            <v>JUL 2015</v>
          </cell>
          <cell r="C571" t="str">
            <v>KUUM_464</v>
          </cell>
          <cell r="E571">
            <v>7748</v>
          </cell>
        </row>
        <row r="572">
          <cell r="A572" t="str">
            <v>JUL 2015</v>
          </cell>
          <cell r="C572" t="str">
            <v>KUUM_465</v>
          </cell>
          <cell r="E572">
            <v>2794</v>
          </cell>
        </row>
        <row r="573">
          <cell r="A573" t="str">
            <v>JUL 2015</v>
          </cell>
          <cell r="C573" t="str">
            <v>KUUM_466</v>
          </cell>
          <cell r="E573">
            <v>995</v>
          </cell>
        </row>
        <row r="574">
          <cell r="A574" t="str">
            <v>JUL 2015</v>
          </cell>
          <cell r="C574" t="str">
            <v>KUUM_467</v>
          </cell>
          <cell r="E574">
            <v>1475</v>
          </cell>
        </row>
        <row r="575">
          <cell r="A575" t="str">
            <v>JUL 2015</v>
          </cell>
          <cell r="C575" t="str">
            <v>KUUM_468</v>
          </cell>
          <cell r="E575">
            <v>4065</v>
          </cell>
        </row>
        <row r="576">
          <cell r="A576" t="str">
            <v>JUL 2015</v>
          </cell>
          <cell r="C576" t="str">
            <v>KUUM_469</v>
          </cell>
          <cell r="E576">
            <v>293</v>
          </cell>
        </row>
        <row r="577">
          <cell r="A577" t="str">
            <v>JUL 2015</v>
          </cell>
          <cell r="C577" t="str">
            <v>KUUM_470</v>
          </cell>
          <cell r="E577">
            <v>61</v>
          </cell>
        </row>
        <row r="578">
          <cell r="A578" t="str">
            <v>JUL 2015</v>
          </cell>
          <cell r="C578" t="str">
            <v>KUUM_471</v>
          </cell>
          <cell r="E578">
            <v>3658</v>
          </cell>
        </row>
        <row r="579">
          <cell r="A579" t="str">
            <v>JUL 2015</v>
          </cell>
          <cell r="C579" t="str">
            <v>KUUM_472</v>
          </cell>
          <cell r="E579">
            <v>8782</v>
          </cell>
        </row>
        <row r="580">
          <cell r="A580" t="str">
            <v>JUL 2015</v>
          </cell>
          <cell r="C580" t="str">
            <v>KUUM_473</v>
          </cell>
          <cell r="E580">
            <v>3388</v>
          </cell>
        </row>
        <row r="581">
          <cell r="A581" t="str">
            <v>JUL 2015</v>
          </cell>
          <cell r="C581" t="str">
            <v>KUUM_474</v>
          </cell>
          <cell r="E581">
            <v>5209</v>
          </cell>
        </row>
        <row r="582">
          <cell r="A582" t="str">
            <v>JUL 2015</v>
          </cell>
          <cell r="C582" t="str">
            <v>KUUM_475</v>
          </cell>
          <cell r="E582">
            <v>508</v>
          </cell>
        </row>
        <row r="583">
          <cell r="A583" t="str">
            <v>JUL 2015</v>
          </cell>
          <cell r="C583" t="str">
            <v>KUUM_476</v>
          </cell>
          <cell r="E583">
            <v>4553</v>
          </cell>
        </row>
        <row r="584">
          <cell r="A584" t="str">
            <v>JUL 2015</v>
          </cell>
          <cell r="C584" t="str">
            <v>KUUM_477</v>
          </cell>
          <cell r="E584">
            <v>1050</v>
          </cell>
        </row>
        <row r="585">
          <cell r="A585" t="str">
            <v>JUL 2015</v>
          </cell>
          <cell r="C585" t="str">
            <v>KUUM_478</v>
          </cell>
          <cell r="E585">
            <v>1406</v>
          </cell>
        </row>
        <row r="586">
          <cell r="A586" t="str">
            <v>JUL 2015</v>
          </cell>
          <cell r="C586" t="str">
            <v>KUUM_479</v>
          </cell>
          <cell r="E586">
            <v>946</v>
          </cell>
        </row>
        <row r="587">
          <cell r="A587" t="str">
            <v>JUL 2015</v>
          </cell>
          <cell r="C587" t="str">
            <v>KUUM_487</v>
          </cell>
          <cell r="E587">
            <v>11139</v>
          </cell>
        </row>
        <row r="588">
          <cell r="A588" t="str">
            <v>JUL 2015</v>
          </cell>
          <cell r="C588" t="str">
            <v>KUUM_488</v>
          </cell>
          <cell r="E588">
            <v>6653</v>
          </cell>
        </row>
        <row r="589">
          <cell r="A589" t="str">
            <v>JUL 2015</v>
          </cell>
          <cell r="C589" t="str">
            <v>KUUM_489</v>
          </cell>
          <cell r="E589">
            <v>8370</v>
          </cell>
        </row>
        <row r="590">
          <cell r="A590" t="str">
            <v>JUL 2015</v>
          </cell>
          <cell r="C590" t="str">
            <v>KUUM_490</v>
          </cell>
          <cell r="E590">
            <v>60</v>
          </cell>
        </row>
        <row r="591">
          <cell r="A591" t="str">
            <v>JUL 2015</v>
          </cell>
          <cell r="C591" t="str">
            <v>KUUM_491</v>
          </cell>
          <cell r="E591">
            <v>303</v>
          </cell>
        </row>
        <row r="592">
          <cell r="A592" t="str">
            <v>JUL 2015</v>
          </cell>
          <cell r="C592" t="str">
            <v>KUUM_492</v>
          </cell>
          <cell r="E592">
            <v>2</v>
          </cell>
        </row>
        <row r="593">
          <cell r="A593" t="str">
            <v>JUL 2015</v>
          </cell>
          <cell r="C593" t="str">
            <v>KUUM_493</v>
          </cell>
          <cell r="E593">
            <v>43</v>
          </cell>
        </row>
        <row r="594">
          <cell r="A594" t="str">
            <v>JUL 2015</v>
          </cell>
          <cell r="C594" t="str">
            <v>KUUM_494</v>
          </cell>
          <cell r="E594">
            <v>182</v>
          </cell>
        </row>
        <row r="595">
          <cell r="A595" t="str">
            <v>JUL 2015</v>
          </cell>
          <cell r="C595" t="str">
            <v>KUUM_495</v>
          </cell>
          <cell r="E595">
            <v>648</v>
          </cell>
        </row>
        <row r="596">
          <cell r="A596" t="str">
            <v>JUL 2015</v>
          </cell>
          <cell r="C596" t="str">
            <v>KUUM_496</v>
          </cell>
          <cell r="E596">
            <v>154</v>
          </cell>
        </row>
        <row r="597">
          <cell r="A597" t="str">
            <v>JUL 2015</v>
          </cell>
          <cell r="C597" t="str">
            <v>KUUM_497</v>
          </cell>
          <cell r="E597">
            <v>10</v>
          </cell>
        </row>
        <row r="598">
          <cell r="A598" t="str">
            <v>JUL 2015</v>
          </cell>
          <cell r="C598" t="str">
            <v>KUUM_498</v>
          </cell>
          <cell r="E598">
            <v>26</v>
          </cell>
        </row>
        <row r="599">
          <cell r="A599" t="str">
            <v>JUL 2015</v>
          </cell>
          <cell r="C599" t="str">
            <v>KUUM_499</v>
          </cell>
          <cell r="E599">
            <v>30</v>
          </cell>
        </row>
        <row r="600">
          <cell r="A600" t="str">
            <v>JUL 2015</v>
          </cell>
          <cell r="C600" t="str">
            <v>Result</v>
          </cell>
        </row>
        <row r="602">
          <cell r="A602" t="str">
            <v>AUG 2015</v>
          </cell>
          <cell r="C602" t="str">
            <v>KUUM_360</v>
          </cell>
          <cell r="E602">
            <v>177</v>
          </cell>
        </row>
        <row r="603">
          <cell r="A603" t="str">
            <v>AUG 2015</v>
          </cell>
          <cell r="C603" t="str">
            <v>KUUM_361</v>
          </cell>
          <cell r="E603">
            <v>25</v>
          </cell>
        </row>
        <row r="604">
          <cell r="A604" t="str">
            <v>AUG 2015</v>
          </cell>
          <cell r="C604" t="str">
            <v>KUUM_362</v>
          </cell>
          <cell r="E604">
            <v>43</v>
          </cell>
        </row>
        <row r="605">
          <cell r="A605" t="str">
            <v>AUG 2015</v>
          </cell>
          <cell r="C605" t="str">
            <v>KUUM_363</v>
          </cell>
          <cell r="E605">
            <v>5</v>
          </cell>
        </row>
        <row r="606">
          <cell r="A606" t="str">
            <v>AUG 2015</v>
          </cell>
          <cell r="C606" t="str">
            <v>KUUM_364</v>
          </cell>
          <cell r="E606">
            <v>1</v>
          </cell>
        </row>
        <row r="607">
          <cell r="A607" t="str">
            <v>AUG 2015</v>
          </cell>
          <cell r="C607" t="str">
            <v>KUUM_365</v>
          </cell>
          <cell r="E607">
            <v>5</v>
          </cell>
        </row>
        <row r="608">
          <cell r="A608" t="str">
            <v>AUG 2015</v>
          </cell>
          <cell r="C608" t="str">
            <v>KUUM_366</v>
          </cell>
          <cell r="E608">
            <v>9</v>
          </cell>
        </row>
        <row r="609">
          <cell r="A609" t="str">
            <v>AUG 2015</v>
          </cell>
          <cell r="C609" t="str">
            <v>KUUM_367</v>
          </cell>
          <cell r="E609">
            <v>25</v>
          </cell>
        </row>
        <row r="610">
          <cell r="A610" t="str">
            <v>AUG 2015</v>
          </cell>
          <cell r="C610" t="str">
            <v>KUUM_368</v>
          </cell>
          <cell r="E610">
            <v>1</v>
          </cell>
        </row>
        <row r="611">
          <cell r="A611" t="str">
            <v>AUG 2015</v>
          </cell>
          <cell r="C611" t="str">
            <v>KUUM_370</v>
          </cell>
          <cell r="E611">
            <v>15</v>
          </cell>
        </row>
        <row r="612">
          <cell r="A612" t="str">
            <v>AUG 2015</v>
          </cell>
          <cell r="C612" t="str">
            <v>KUUM_372</v>
          </cell>
          <cell r="E612">
            <v>1</v>
          </cell>
        </row>
        <row r="613">
          <cell r="A613" t="str">
            <v>AUG 2015</v>
          </cell>
          <cell r="C613" t="str">
            <v>KUUM_373</v>
          </cell>
          <cell r="E613">
            <v>20</v>
          </cell>
        </row>
        <row r="614">
          <cell r="A614" t="str">
            <v>AUG 2015</v>
          </cell>
          <cell r="C614" t="str">
            <v>KUUM_374</v>
          </cell>
          <cell r="E614">
            <v>4</v>
          </cell>
        </row>
        <row r="615">
          <cell r="A615" t="str">
            <v>AUG 2015</v>
          </cell>
          <cell r="C615" t="str">
            <v>KUUM_375</v>
          </cell>
          <cell r="E615">
            <v>3</v>
          </cell>
        </row>
        <row r="616">
          <cell r="A616" t="str">
            <v>AUG 2015</v>
          </cell>
          <cell r="C616" t="str">
            <v>KUUM_376</v>
          </cell>
          <cell r="E616">
            <v>2</v>
          </cell>
        </row>
        <row r="617">
          <cell r="A617" t="str">
            <v>AUG 2015</v>
          </cell>
          <cell r="C617" t="str">
            <v>KUUM_377</v>
          </cell>
          <cell r="E617">
            <v>51</v>
          </cell>
        </row>
        <row r="618">
          <cell r="A618" t="str">
            <v>AUG 2015</v>
          </cell>
          <cell r="C618" t="str">
            <v>KUUM_378</v>
          </cell>
          <cell r="E618">
            <v>2</v>
          </cell>
        </row>
        <row r="619">
          <cell r="A619" t="str">
            <v>AUG 2015</v>
          </cell>
          <cell r="C619" t="str">
            <v>KUUM_401</v>
          </cell>
          <cell r="E619">
            <v>52</v>
          </cell>
        </row>
        <row r="620">
          <cell r="A620" t="str">
            <v>AUG 2015</v>
          </cell>
          <cell r="C620" t="str">
            <v>KUUM_404</v>
          </cell>
          <cell r="E620">
            <v>7030</v>
          </cell>
        </row>
        <row r="621">
          <cell r="A621" t="str">
            <v>AUG 2015</v>
          </cell>
          <cell r="C621" t="str">
            <v>KUUM_409</v>
          </cell>
          <cell r="E621">
            <v>136</v>
          </cell>
        </row>
        <row r="622">
          <cell r="A622" t="str">
            <v>AUG 2015</v>
          </cell>
          <cell r="C622" t="str">
            <v>KUUM_410</v>
          </cell>
          <cell r="E622">
            <v>238</v>
          </cell>
        </row>
        <row r="623">
          <cell r="A623" t="str">
            <v>AUG 2015</v>
          </cell>
          <cell r="C623" t="str">
            <v>KUUM_411</v>
          </cell>
          <cell r="E623">
            <v>149</v>
          </cell>
        </row>
        <row r="624">
          <cell r="A624" t="str">
            <v>AUG 2015</v>
          </cell>
          <cell r="C624" t="str">
            <v>KUUM_412</v>
          </cell>
          <cell r="E624">
            <v>28</v>
          </cell>
        </row>
        <row r="625">
          <cell r="A625" t="str">
            <v>AUG 2015</v>
          </cell>
          <cell r="C625" t="str">
            <v>KUUM_413</v>
          </cell>
          <cell r="E625">
            <v>95</v>
          </cell>
        </row>
        <row r="626">
          <cell r="A626" t="str">
            <v>AUG 2015</v>
          </cell>
          <cell r="C626" t="str">
            <v>KUUM_414</v>
          </cell>
          <cell r="E626">
            <v>21</v>
          </cell>
        </row>
        <row r="627">
          <cell r="A627" t="str">
            <v>AUG 2015</v>
          </cell>
          <cell r="C627" t="str">
            <v>KUUM_415</v>
          </cell>
          <cell r="E627">
            <v>10</v>
          </cell>
        </row>
        <row r="628">
          <cell r="A628" t="str">
            <v>AUG 2015</v>
          </cell>
          <cell r="C628" t="str">
            <v>KUUM_420</v>
          </cell>
          <cell r="E628">
            <v>473</v>
          </cell>
        </row>
        <row r="629">
          <cell r="A629" t="str">
            <v>AUG 2015</v>
          </cell>
          <cell r="C629" t="str">
            <v>KUUM_421</v>
          </cell>
          <cell r="E629">
            <v>5</v>
          </cell>
        </row>
        <row r="630">
          <cell r="A630" t="str">
            <v>AUG 2015</v>
          </cell>
          <cell r="C630" t="str">
            <v>KUUM_422</v>
          </cell>
          <cell r="E630">
            <v>662</v>
          </cell>
        </row>
        <row r="631">
          <cell r="A631" t="str">
            <v>AUG 2015</v>
          </cell>
          <cell r="C631" t="str">
            <v>KUUM_424</v>
          </cell>
          <cell r="E631">
            <v>49</v>
          </cell>
        </row>
        <row r="632">
          <cell r="A632" t="str">
            <v>AUG 2015</v>
          </cell>
          <cell r="C632" t="str">
            <v>KUUM_425</v>
          </cell>
          <cell r="E632">
            <v>2</v>
          </cell>
        </row>
        <row r="633">
          <cell r="A633" t="str">
            <v>AUG 2015</v>
          </cell>
          <cell r="C633" t="str">
            <v>KUUM_426</v>
          </cell>
          <cell r="E633">
            <v>175</v>
          </cell>
        </row>
        <row r="634">
          <cell r="A634" t="str">
            <v>AUG 2015</v>
          </cell>
          <cell r="C634" t="str">
            <v>KUUM_428</v>
          </cell>
          <cell r="E634">
            <v>36380</v>
          </cell>
        </row>
        <row r="635">
          <cell r="A635" t="str">
            <v>AUG 2015</v>
          </cell>
          <cell r="C635" t="str">
            <v>KUUM_430</v>
          </cell>
          <cell r="E635">
            <v>1171</v>
          </cell>
        </row>
        <row r="636">
          <cell r="A636" t="str">
            <v>AUG 2015</v>
          </cell>
          <cell r="C636" t="str">
            <v>KUUM_440</v>
          </cell>
          <cell r="E636">
            <v>2</v>
          </cell>
        </row>
        <row r="637">
          <cell r="A637" t="str">
            <v>AUG 2015</v>
          </cell>
          <cell r="C637" t="str">
            <v>KUUM_446</v>
          </cell>
          <cell r="E637">
            <v>1068</v>
          </cell>
        </row>
        <row r="638">
          <cell r="A638" t="str">
            <v>AUG 2015</v>
          </cell>
          <cell r="C638" t="str">
            <v>KUUM_447</v>
          </cell>
          <cell r="E638">
            <v>705</v>
          </cell>
        </row>
        <row r="639">
          <cell r="A639" t="str">
            <v>AUG 2015</v>
          </cell>
          <cell r="C639" t="str">
            <v>KUUM_448</v>
          </cell>
          <cell r="E639">
            <v>1473</v>
          </cell>
        </row>
        <row r="640">
          <cell r="A640" t="str">
            <v>AUG 2015</v>
          </cell>
          <cell r="C640" t="str">
            <v>KUUM_450</v>
          </cell>
          <cell r="E640">
            <v>668</v>
          </cell>
        </row>
        <row r="641">
          <cell r="A641" t="str">
            <v>AUG 2015</v>
          </cell>
          <cell r="C641" t="str">
            <v>KUUM_451</v>
          </cell>
          <cell r="E641">
            <v>5215</v>
          </cell>
        </row>
        <row r="642">
          <cell r="A642" t="str">
            <v>AUG 2015</v>
          </cell>
          <cell r="C642" t="str">
            <v>KUUM_452</v>
          </cell>
          <cell r="E642">
            <v>1041</v>
          </cell>
        </row>
        <row r="643">
          <cell r="A643" t="str">
            <v>AUG 2015</v>
          </cell>
          <cell r="C643" t="str">
            <v>KUUM_454</v>
          </cell>
          <cell r="E643">
            <v>151</v>
          </cell>
        </row>
        <row r="644">
          <cell r="A644" t="str">
            <v>AUG 2015</v>
          </cell>
          <cell r="C644" t="str">
            <v>KUUM_455</v>
          </cell>
          <cell r="E644">
            <v>1024</v>
          </cell>
        </row>
        <row r="645">
          <cell r="A645" t="str">
            <v>AUG 2015</v>
          </cell>
          <cell r="C645" t="str">
            <v>KUUM_456</v>
          </cell>
          <cell r="E645">
            <v>140</v>
          </cell>
        </row>
        <row r="646">
          <cell r="A646" t="str">
            <v>AUG 2015</v>
          </cell>
          <cell r="C646" t="str">
            <v>KUUM_457</v>
          </cell>
          <cell r="E646">
            <v>449</v>
          </cell>
        </row>
        <row r="647">
          <cell r="A647" t="str">
            <v>AUG 2015</v>
          </cell>
          <cell r="C647" t="str">
            <v>KUUM_458</v>
          </cell>
          <cell r="E647">
            <v>1449</v>
          </cell>
        </row>
        <row r="648">
          <cell r="A648" t="str">
            <v>AUG 2015</v>
          </cell>
          <cell r="C648" t="str">
            <v>KUUM_459</v>
          </cell>
          <cell r="E648">
            <v>221</v>
          </cell>
        </row>
        <row r="649">
          <cell r="A649" t="str">
            <v>AUG 2015</v>
          </cell>
          <cell r="C649" t="str">
            <v>KUUM_460</v>
          </cell>
          <cell r="E649">
            <v>26</v>
          </cell>
        </row>
        <row r="650">
          <cell r="A650" t="str">
            <v>AUG 2015</v>
          </cell>
          <cell r="C650" t="str">
            <v>KUUM_461</v>
          </cell>
          <cell r="E650">
            <v>6941</v>
          </cell>
        </row>
        <row r="651">
          <cell r="A651" t="str">
            <v>AUG 2015</v>
          </cell>
          <cell r="C651" t="str">
            <v>KUUM_462</v>
          </cell>
          <cell r="E651">
            <v>8897</v>
          </cell>
        </row>
        <row r="652">
          <cell r="A652" t="str">
            <v>AUG 2015</v>
          </cell>
          <cell r="C652" t="str">
            <v>KUUM_463</v>
          </cell>
          <cell r="E652">
            <v>20867</v>
          </cell>
        </row>
        <row r="653">
          <cell r="A653" t="str">
            <v>AUG 2015</v>
          </cell>
          <cell r="C653" t="str">
            <v>KUUM_464</v>
          </cell>
          <cell r="E653">
            <v>7704</v>
          </cell>
        </row>
        <row r="654">
          <cell r="A654" t="str">
            <v>AUG 2015</v>
          </cell>
          <cell r="C654" t="str">
            <v>KUUM_465</v>
          </cell>
          <cell r="E654">
            <v>2778</v>
          </cell>
        </row>
        <row r="655">
          <cell r="A655" t="str">
            <v>AUG 2015</v>
          </cell>
          <cell r="C655" t="str">
            <v>KUUM_466</v>
          </cell>
          <cell r="E655">
            <v>989</v>
          </cell>
        </row>
        <row r="656">
          <cell r="A656" t="str">
            <v>AUG 2015</v>
          </cell>
          <cell r="C656" t="str">
            <v>KUUM_467</v>
          </cell>
          <cell r="E656">
            <v>1467</v>
          </cell>
        </row>
        <row r="657">
          <cell r="A657" t="str">
            <v>AUG 2015</v>
          </cell>
          <cell r="C657" t="str">
            <v>KUUM_468</v>
          </cell>
          <cell r="E657">
            <v>4042</v>
          </cell>
        </row>
        <row r="658">
          <cell r="A658" t="str">
            <v>AUG 2015</v>
          </cell>
          <cell r="C658" t="str">
            <v>KUUM_469</v>
          </cell>
          <cell r="E658">
            <v>291</v>
          </cell>
        </row>
        <row r="659">
          <cell r="A659" t="str">
            <v>AUG 2015</v>
          </cell>
          <cell r="C659" t="str">
            <v>KUUM_470</v>
          </cell>
          <cell r="E659">
            <v>61</v>
          </cell>
        </row>
        <row r="660">
          <cell r="A660" t="str">
            <v>AUG 2015</v>
          </cell>
          <cell r="C660" t="str">
            <v>KUUM_471</v>
          </cell>
          <cell r="E660">
            <v>3637</v>
          </cell>
        </row>
        <row r="661">
          <cell r="A661" t="str">
            <v>AUG 2015</v>
          </cell>
          <cell r="C661" t="str">
            <v>KUUM_472</v>
          </cell>
          <cell r="E661">
            <v>8732</v>
          </cell>
        </row>
        <row r="662">
          <cell r="A662" t="str">
            <v>AUG 2015</v>
          </cell>
          <cell r="C662" t="str">
            <v>KUUM_473</v>
          </cell>
          <cell r="E662">
            <v>3369</v>
          </cell>
        </row>
        <row r="663">
          <cell r="A663" t="str">
            <v>AUG 2015</v>
          </cell>
          <cell r="C663" t="str">
            <v>KUUM_474</v>
          </cell>
          <cell r="E663">
            <v>5180</v>
          </cell>
        </row>
        <row r="664">
          <cell r="A664" t="str">
            <v>AUG 2015</v>
          </cell>
          <cell r="C664" t="str">
            <v>KUUM_475</v>
          </cell>
          <cell r="E664">
            <v>505</v>
          </cell>
        </row>
        <row r="665">
          <cell r="A665" t="str">
            <v>AUG 2015</v>
          </cell>
          <cell r="C665" t="str">
            <v>KUUM_476</v>
          </cell>
          <cell r="E665">
            <v>4527</v>
          </cell>
        </row>
        <row r="666">
          <cell r="A666" t="str">
            <v>AUG 2015</v>
          </cell>
          <cell r="C666" t="str">
            <v>KUUM_477</v>
          </cell>
          <cell r="E666">
            <v>1044</v>
          </cell>
        </row>
        <row r="667">
          <cell r="A667" t="str">
            <v>AUG 2015</v>
          </cell>
          <cell r="C667" t="str">
            <v>KUUM_478</v>
          </cell>
          <cell r="E667">
            <v>1398</v>
          </cell>
        </row>
        <row r="668">
          <cell r="A668" t="str">
            <v>AUG 2015</v>
          </cell>
          <cell r="C668" t="str">
            <v>KUUM_479</v>
          </cell>
          <cell r="E668">
            <v>941</v>
          </cell>
        </row>
        <row r="669">
          <cell r="A669" t="str">
            <v>AUG 2015</v>
          </cell>
          <cell r="C669" t="str">
            <v>KUUM_487</v>
          </cell>
          <cell r="E669">
            <v>11076</v>
          </cell>
        </row>
        <row r="670">
          <cell r="A670" t="str">
            <v>AUG 2015</v>
          </cell>
          <cell r="C670" t="str">
            <v>KUUM_488</v>
          </cell>
          <cell r="E670">
            <v>6615</v>
          </cell>
        </row>
        <row r="671">
          <cell r="A671" t="str">
            <v>AUG 2015</v>
          </cell>
          <cell r="C671" t="str">
            <v>KUUM_489</v>
          </cell>
          <cell r="E671">
            <v>8323</v>
          </cell>
        </row>
        <row r="672">
          <cell r="A672" t="str">
            <v>AUG 2015</v>
          </cell>
          <cell r="C672" t="str">
            <v>KUUM_490</v>
          </cell>
          <cell r="E672">
            <v>60</v>
          </cell>
        </row>
        <row r="673">
          <cell r="A673" t="str">
            <v>AUG 2015</v>
          </cell>
          <cell r="C673" t="str">
            <v>KUUM_491</v>
          </cell>
          <cell r="E673">
            <v>301</v>
          </cell>
        </row>
        <row r="674">
          <cell r="A674" t="str">
            <v>AUG 2015</v>
          </cell>
          <cell r="C674" t="str">
            <v>KUUM_492</v>
          </cell>
          <cell r="E674">
            <v>2</v>
          </cell>
        </row>
        <row r="675">
          <cell r="A675" t="str">
            <v>AUG 2015</v>
          </cell>
          <cell r="C675" t="str">
            <v>KUUM_493</v>
          </cell>
          <cell r="E675">
            <v>43</v>
          </cell>
        </row>
        <row r="676">
          <cell r="A676" t="str">
            <v>AUG 2015</v>
          </cell>
          <cell r="C676" t="str">
            <v>KUUM_494</v>
          </cell>
          <cell r="E676">
            <v>181</v>
          </cell>
        </row>
        <row r="677">
          <cell r="A677" t="str">
            <v>AUG 2015</v>
          </cell>
          <cell r="C677" t="str">
            <v>KUUM_495</v>
          </cell>
          <cell r="E677">
            <v>644</v>
          </cell>
        </row>
        <row r="678">
          <cell r="A678" t="str">
            <v>AUG 2015</v>
          </cell>
          <cell r="C678" t="str">
            <v>KUUM_496</v>
          </cell>
          <cell r="E678">
            <v>153</v>
          </cell>
        </row>
        <row r="679">
          <cell r="A679" t="str">
            <v>AUG 2015</v>
          </cell>
          <cell r="C679" t="str">
            <v>KUUM_497</v>
          </cell>
          <cell r="E679">
            <v>10</v>
          </cell>
        </row>
        <row r="680">
          <cell r="A680" t="str">
            <v>AUG 2015</v>
          </cell>
          <cell r="C680" t="str">
            <v>KUUM_498</v>
          </cell>
          <cell r="E680">
            <v>26</v>
          </cell>
        </row>
        <row r="681">
          <cell r="A681" t="str">
            <v>AUG 2015</v>
          </cell>
          <cell r="C681" t="str">
            <v>KUUM_499</v>
          </cell>
          <cell r="E681">
            <v>25</v>
          </cell>
        </row>
        <row r="682">
          <cell r="A682" t="str">
            <v>AUG 2015</v>
          </cell>
          <cell r="C682" t="str">
            <v>Result</v>
          </cell>
        </row>
        <row r="685">
          <cell r="A685" t="str">
            <v>SEP 2015</v>
          </cell>
          <cell r="C685" t="str">
            <v>KUUM_360</v>
          </cell>
          <cell r="E685">
            <v>172</v>
          </cell>
        </row>
        <row r="686">
          <cell r="A686" t="str">
            <v>SEP 2015</v>
          </cell>
          <cell r="C686" t="str">
            <v>KUUM_361</v>
          </cell>
          <cell r="E686">
            <v>26</v>
          </cell>
        </row>
        <row r="687">
          <cell r="A687" t="str">
            <v>SEP 2015</v>
          </cell>
          <cell r="C687" t="str">
            <v>KUUM_362</v>
          </cell>
          <cell r="E687">
            <v>40</v>
          </cell>
        </row>
        <row r="688">
          <cell r="A688" t="str">
            <v>SEP 2015</v>
          </cell>
          <cell r="C688" t="str">
            <v>KUUM_363</v>
          </cell>
          <cell r="E688">
            <v>5</v>
          </cell>
        </row>
        <row r="689">
          <cell r="A689" t="str">
            <v>SEP 2015</v>
          </cell>
          <cell r="C689" t="str">
            <v>KUUM_364</v>
          </cell>
          <cell r="E689">
            <v>1</v>
          </cell>
        </row>
        <row r="690">
          <cell r="A690" t="str">
            <v>SEP 2015</v>
          </cell>
          <cell r="C690" t="str">
            <v>KUUM_365</v>
          </cell>
          <cell r="E690">
            <v>5</v>
          </cell>
        </row>
        <row r="691">
          <cell r="A691" t="str">
            <v>SEP 2015</v>
          </cell>
          <cell r="C691" t="str">
            <v>KUUM_366</v>
          </cell>
          <cell r="E691">
            <v>10</v>
          </cell>
        </row>
        <row r="692">
          <cell r="A692" t="str">
            <v>SEP 2015</v>
          </cell>
          <cell r="C692" t="str">
            <v>KUUM_367</v>
          </cell>
          <cell r="E692">
            <v>24</v>
          </cell>
        </row>
        <row r="693">
          <cell r="A693" t="str">
            <v>SEP 2015</v>
          </cell>
          <cell r="C693" t="str">
            <v>KUUM_368</v>
          </cell>
          <cell r="E693">
            <v>1</v>
          </cell>
        </row>
        <row r="694">
          <cell r="A694" t="str">
            <v>SEP 2015</v>
          </cell>
          <cell r="C694" t="str">
            <v>KUUM_370</v>
          </cell>
          <cell r="E694">
            <v>16</v>
          </cell>
        </row>
        <row r="695">
          <cell r="A695" t="str">
            <v>SEP 2015</v>
          </cell>
          <cell r="C695" t="str">
            <v>KUUM_372</v>
          </cell>
          <cell r="E695">
            <v>1</v>
          </cell>
        </row>
        <row r="696">
          <cell r="A696" t="str">
            <v>SEP 2015</v>
          </cell>
          <cell r="C696" t="str">
            <v>KUUM_373</v>
          </cell>
          <cell r="E696">
            <v>19</v>
          </cell>
        </row>
        <row r="697">
          <cell r="A697" t="str">
            <v>SEP 2015</v>
          </cell>
          <cell r="C697" t="str">
            <v>KUUM_374</v>
          </cell>
          <cell r="E697">
            <v>4</v>
          </cell>
        </row>
        <row r="698">
          <cell r="A698" t="str">
            <v>SEP 2015</v>
          </cell>
          <cell r="C698" t="str">
            <v>KUUM_375</v>
          </cell>
          <cell r="E698">
            <v>3</v>
          </cell>
        </row>
        <row r="699">
          <cell r="A699" t="str">
            <v>SEP 2015</v>
          </cell>
          <cell r="C699" t="str">
            <v>KUUM_376</v>
          </cell>
          <cell r="E699">
            <v>2</v>
          </cell>
        </row>
        <row r="700">
          <cell r="A700" t="str">
            <v>SEP 2015</v>
          </cell>
          <cell r="C700" t="str">
            <v>KUUM_377</v>
          </cell>
          <cell r="E700">
            <v>49</v>
          </cell>
        </row>
        <row r="701">
          <cell r="A701" t="str">
            <v>SEP 2015</v>
          </cell>
          <cell r="C701" t="str">
            <v>KUUM_378</v>
          </cell>
          <cell r="E701">
            <v>2</v>
          </cell>
        </row>
        <row r="702">
          <cell r="A702" t="str">
            <v>SEP 2015</v>
          </cell>
          <cell r="C702" t="str">
            <v>KUUM_401</v>
          </cell>
          <cell r="E702">
            <v>50</v>
          </cell>
        </row>
        <row r="703">
          <cell r="A703" t="str">
            <v>SEP 2015</v>
          </cell>
          <cell r="C703" t="str">
            <v>KUUM_404</v>
          </cell>
          <cell r="E703">
            <v>7169</v>
          </cell>
        </row>
        <row r="704">
          <cell r="A704" t="str">
            <v>SEP 2015</v>
          </cell>
          <cell r="C704" t="str">
            <v>KUUM_409</v>
          </cell>
          <cell r="E704">
            <v>134</v>
          </cell>
        </row>
        <row r="705">
          <cell r="A705" t="str">
            <v>SEP 2015</v>
          </cell>
          <cell r="C705" t="str">
            <v>KUUM_410</v>
          </cell>
          <cell r="E705">
            <v>236</v>
          </cell>
        </row>
        <row r="706">
          <cell r="A706" t="str">
            <v>SEP 2015</v>
          </cell>
          <cell r="C706" t="str">
            <v>KUUM_411</v>
          </cell>
          <cell r="E706">
            <v>142</v>
          </cell>
        </row>
        <row r="707">
          <cell r="A707" t="str">
            <v>SEP 2015</v>
          </cell>
          <cell r="C707" t="str">
            <v>KUUM_412</v>
          </cell>
          <cell r="E707">
            <v>28</v>
          </cell>
        </row>
        <row r="708">
          <cell r="A708" t="str">
            <v>SEP 2015</v>
          </cell>
          <cell r="C708" t="str">
            <v>KUUM_413</v>
          </cell>
          <cell r="E708">
            <v>95</v>
          </cell>
        </row>
        <row r="709">
          <cell r="A709" t="str">
            <v>SEP 2015</v>
          </cell>
          <cell r="C709" t="str">
            <v>KUUM_414</v>
          </cell>
          <cell r="E709">
            <v>21</v>
          </cell>
        </row>
        <row r="710">
          <cell r="A710" t="str">
            <v>SEP 2015</v>
          </cell>
          <cell r="C710" t="str">
            <v>KUUM_415</v>
          </cell>
          <cell r="E710">
            <v>10</v>
          </cell>
        </row>
        <row r="711">
          <cell r="A711" t="str">
            <v>SEP 2015</v>
          </cell>
          <cell r="C711" t="str">
            <v>KUUM_420</v>
          </cell>
          <cell r="E711">
            <v>448</v>
          </cell>
        </row>
        <row r="712">
          <cell r="A712" t="str">
            <v>SEP 2015</v>
          </cell>
          <cell r="C712" t="str">
            <v>KUUM_421</v>
          </cell>
          <cell r="E712">
            <v>5</v>
          </cell>
        </row>
        <row r="713">
          <cell r="A713" t="str">
            <v>SEP 2015</v>
          </cell>
          <cell r="C713" t="str">
            <v>KUUM_422</v>
          </cell>
          <cell r="E713">
            <v>680</v>
          </cell>
        </row>
        <row r="714">
          <cell r="A714" t="str">
            <v>SEP 2015</v>
          </cell>
          <cell r="C714" t="str">
            <v>KUUM_424</v>
          </cell>
          <cell r="E714">
            <v>134</v>
          </cell>
        </row>
        <row r="715">
          <cell r="A715" t="str">
            <v>SEP 2015</v>
          </cell>
          <cell r="C715" t="str">
            <v>KUUM_425</v>
          </cell>
          <cell r="E715">
            <v>2</v>
          </cell>
        </row>
        <row r="716">
          <cell r="A716" t="str">
            <v>SEP 2015</v>
          </cell>
          <cell r="C716" t="str">
            <v>KUUM_426</v>
          </cell>
          <cell r="E716">
            <v>161</v>
          </cell>
        </row>
        <row r="717">
          <cell r="A717" t="str">
            <v>SEP 2015</v>
          </cell>
          <cell r="C717" t="str">
            <v>KUUM_428</v>
          </cell>
          <cell r="E717">
            <v>34832</v>
          </cell>
        </row>
        <row r="718">
          <cell r="A718" t="str">
            <v>SEP 2015</v>
          </cell>
          <cell r="C718" t="str">
            <v>KUUM_430</v>
          </cell>
          <cell r="E718">
            <v>1087</v>
          </cell>
        </row>
        <row r="719">
          <cell r="A719" t="str">
            <v>SEP 2015</v>
          </cell>
          <cell r="C719" t="str">
            <v>KUUM_434</v>
          </cell>
          <cell r="E719">
            <v>8</v>
          </cell>
        </row>
        <row r="720">
          <cell r="A720" t="str">
            <v>SEP 2015</v>
          </cell>
          <cell r="C720" t="str">
            <v>KUUM_440</v>
          </cell>
          <cell r="E720">
            <v>2</v>
          </cell>
        </row>
        <row r="721">
          <cell r="A721" t="str">
            <v>SEP 2015</v>
          </cell>
          <cell r="C721" t="str">
            <v>KUUM_446</v>
          </cell>
          <cell r="E721">
            <v>1038</v>
          </cell>
        </row>
        <row r="722">
          <cell r="A722" t="str">
            <v>SEP 2015</v>
          </cell>
          <cell r="C722" t="str">
            <v>KUUM_447</v>
          </cell>
          <cell r="E722">
            <v>728</v>
          </cell>
        </row>
        <row r="723">
          <cell r="A723" t="str">
            <v>SEP 2015</v>
          </cell>
          <cell r="C723" t="str">
            <v>KUUM_448</v>
          </cell>
          <cell r="E723">
            <v>1562</v>
          </cell>
        </row>
        <row r="724">
          <cell r="A724" t="str">
            <v>SEP 2015</v>
          </cell>
          <cell r="C724" t="str">
            <v>KUUM_450</v>
          </cell>
          <cell r="E724">
            <v>614</v>
          </cell>
        </row>
        <row r="725">
          <cell r="A725" t="str">
            <v>SEP 2015</v>
          </cell>
          <cell r="C725" t="str">
            <v>KUUM_451</v>
          </cell>
          <cell r="E725">
            <v>4845</v>
          </cell>
        </row>
        <row r="726">
          <cell r="A726" t="str">
            <v>SEP 2015</v>
          </cell>
          <cell r="C726" t="str">
            <v>KUUM_452</v>
          </cell>
          <cell r="E726">
            <v>993</v>
          </cell>
        </row>
        <row r="727">
          <cell r="A727" t="str">
            <v>SEP 2015</v>
          </cell>
          <cell r="C727" t="str">
            <v>KUUM_454</v>
          </cell>
          <cell r="E727">
            <v>142</v>
          </cell>
        </row>
        <row r="728">
          <cell r="A728" t="str">
            <v>SEP 2015</v>
          </cell>
          <cell r="C728" t="str">
            <v>KUUM_455</v>
          </cell>
          <cell r="E728">
            <v>991</v>
          </cell>
        </row>
        <row r="729">
          <cell r="A729" t="str">
            <v>SEP 2015</v>
          </cell>
          <cell r="C729" t="str">
            <v>KUUM_456</v>
          </cell>
          <cell r="E729">
            <v>135</v>
          </cell>
        </row>
        <row r="730">
          <cell r="A730" t="str">
            <v>SEP 2015</v>
          </cell>
          <cell r="C730" t="str">
            <v>KUUM_457</v>
          </cell>
          <cell r="E730">
            <v>440</v>
          </cell>
        </row>
        <row r="731">
          <cell r="A731" t="str">
            <v>SEP 2015</v>
          </cell>
          <cell r="C731" t="str">
            <v>KUUM_458</v>
          </cell>
          <cell r="E731">
            <v>1451</v>
          </cell>
        </row>
        <row r="732">
          <cell r="A732" t="str">
            <v>SEP 2015</v>
          </cell>
          <cell r="C732" t="str">
            <v>KUUM_459</v>
          </cell>
          <cell r="E732">
            <v>216</v>
          </cell>
        </row>
        <row r="733">
          <cell r="A733" t="str">
            <v>SEP 2015</v>
          </cell>
          <cell r="C733" t="str">
            <v>KUUM_460</v>
          </cell>
          <cell r="E733">
            <v>27</v>
          </cell>
        </row>
        <row r="734">
          <cell r="A734" t="str">
            <v>SEP 2015</v>
          </cell>
          <cell r="C734" t="str">
            <v>KUUM_461</v>
          </cell>
          <cell r="E734">
            <v>6651</v>
          </cell>
        </row>
        <row r="735">
          <cell r="A735" t="str">
            <v>SEP 2015</v>
          </cell>
          <cell r="C735" t="str">
            <v>KUUM_462</v>
          </cell>
          <cell r="E735">
            <v>7035</v>
          </cell>
        </row>
        <row r="736">
          <cell r="A736" t="str">
            <v>SEP 2015</v>
          </cell>
          <cell r="C736" t="str">
            <v>KUUM_463</v>
          </cell>
          <cell r="E736">
            <v>19648</v>
          </cell>
        </row>
        <row r="737">
          <cell r="A737" t="str">
            <v>SEP 2015</v>
          </cell>
          <cell r="C737" t="str">
            <v>KUUM_464</v>
          </cell>
          <cell r="E737">
            <v>7196</v>
          </cell>
        </row>
        <row r="738">
          <cell r="A738" t="str">
            <v>SEP 2015</v>
          </cell>
          <cell r="C738" t="str">
            <v>KUUM_465</v>
          </cell>
          <cell r="E738">
            <v>2704</v>
          </cell>
        </row>
        <row r="739">
          <cell r="A739" t="str">
            <v>SEP 2015</v>
          </cell>
          <cell r="C739" t="str">
            <v>KUUM_466</v>
          </cell>
          <cell r="E739">
            <v>828</v>
          </cell>
        </row>
        <row r="740">
          <cell r="A740" t="str">
            <v>SEP 2015</v>
          </cell>
          <cell r="C740" t="str">
            <v>KUUM_467</v>
          </cell>
          <cell r="E740">
            <v>1211</v>
          </cell>
        </row>
        <row r="741">
          <cell r="A741" t="str">
            <v>SEP 2015</v>
          </cell>
          <cell r="C741" t="str">
            <v>KUUM_468</v>
          </cell>
          <cell r="E741">
            <v>3811</v>
          </cell>
        </row>
        <row r="742">
          <cell r="A742" t="str">
            <v>SEP 2015</v>
          </cell>
          <cell r="C742" t="str">
            <v>KUUM_469</v>
          </cell>
          <cell r="E742">
            <v>283</v>
          </cell>
        </row>
        <row r="743">
          <cell r="A743" t="str">
            <v>SEP 2015</v>
          </cell>
          <cell r="C743" t="str">
            <v>KUUM_470</v>
          </cell>
          <cell r="E743">
            <v>68</v>
          </cell>
        </row>
        <row r="744">
          <cell r="A744" t="str">
            <v>SEP 2015</v>
          </cell>
          <cell r="C744" t="str">
            <v>KUUM_471</v>
          </cell>
          <cell r="E744">
            <v>3586</v>
          </cell>
        </row>
        <row r="745">
          <cell r="A745" t="str">
            <v>SEP 2015</v>
          </cell>
          <cell r="C745" t="str">
            <v>KUUM_472</v>
          </cell>
          <cell r="E745">
            <v>8391</v>
          </cell>
        </row>
        <row r="746">
          <cell r="A746" t="str">
            <v>SEP 2015</v>
          </cell>
          <cell r="C746" t="str">
            <v>KUUM_473</v>
          </cell>
          <cell r="E746">
            <v>3288</v>
          </cell>
        </row>
        <row r="747">
          <cell r="A747" t="str">
            <v>SEP 2015</v>
          </cell>
          <cell r="C747" t="str">
            <v>KUUM_474</v>
          </cell>
          <cell r="E747">
            <v>4910</v>
          </cell>
        </row>
        <row r="748">
          <cell r="A748" t="str">
            <v>SEP 2015</v>
          </cell>
          <cell r="C748" t="str">
            <v>KUUM_475</v>
          </cell>
          <cell r="E748">
            <v>470</v>
          </cell>
        </row>
        <row r="749">
          <cell r="A749" t="str">
            <v>SEP 2015</v>
          </cell>
          <cell r="C749" t="str">
            <v>KUUM_476</v>
          </cell>
          <cell r="E749">
            <v>4455</v>
          </cell>
        </row>
        <row r="750">
          <cell r="A750" t="str">
            <v>SEP 2015</v>
          </cell>
          <cell r="C750" t="str">
            <v>KUUM_477</v>
          </cell>
          <cell r="E750">
            <v>1033</v>
          </cell>
        </row>
        <row r="751">
          <cell r="A751" t="str">
            <v>SEP 2015</v>
          </cell>
          <cell r="C751" t="str">
            <v>KUUM_478</v>
          </cell>
          <cell r="E751">
            <v>1364</v>
          </cell>
        </row>
        <row r="752">
          <cell r="A752" t="str">
            <v>SEP 2015</v>
          </cell>
          <cell r="C752" t="str">
            <v>KUUM_479</v>
          </cell>
          <cell r="E752">
            <v>889</v>
          </cell>
        </row>
        <row r="753">
          <cell r="A753" t="str">
            <v>SEP 2015</v>
          </cell>
          <cell r="C753" t="str">
            <v>KUUM_487</v>
          </cell>
          <cell r="E753">
            <v>10616</v>
          </cell>
        </row>
        <row r="754">
          <cell r="A754" t="str">
            <v>SEP 2015</v>
          </cell>
          <cell r="C754" t="str">
            <v>KUUM_488</v>
          </cell>
          <cell r="E754">
            <v>6292</v>
          </cell>
        </row>
        <row r="755">
          <cell r="A755" t="str">
            <v>SEP 2015</v>
          </cell>
          <cell r="C755" t="str">
            <v>KUUM_489</v>
          </cell>
          <cell r="E755">
            <v>7976</v>
          </cell>
        </row>
        <row r="756">
          <cell r="A756" t="str">
            <v>SEP 2015</v>
          </cell>
          <cell r="C756" t="str">
            <v>KUUM_490</v>
          </cell>
          <cell r="E756">
            <v>56</v>
          </cell>
        </row>
        <row r="757">
          <cell r="A757" t="str">
            <v>SEP 2015</v>
          </cell>
          <cell r="C757" t="str">
            <v>KUUM_491</v>
          </cell>
          <cell r="E757">
            <v>311</v>
          </cell>
        </row>
        <row r="758">
          <cell r="A758" t="str">
            <v>SEP 2015</v>
          </cell>
          <cell r="C758" t="str">
            <v>KUUM_492</v>
          </cell>
          <cell r="E758">
            <v>2</v>
          </cell>
        </row>
        <row r="759">
          <cell r="A759" t="str">
            <v>SEP 2015</v>
          </cell>
          <cell r="C759" t="str">
            <v>KUUM_493</v>
          </cell>
          <cell r="E759">
            <v>48</v>
          </cell>
        </row>
        <row r="760">
          <cell r="A760" t="str">
            <v>SEP 2015</v>
          </cell>
          <cell r="C760" t="str">
            <v>KUUM_494</v>
          </cell>
          <cell r="E760">
            <v>191</v>
          </cell>
        </row>
        <row r="761">
          <cell r="A761" t="str">
            <v>SEP 2015</v>
          </cell>
          <cell r="C761" t="str">
            <v>KUUM_495</v>
          </cell>
          <cell r="E761">
            <v>612</v>
          </cell>
        </row>
        <row r="762">
          <cell r="A762" t="str">
            <v>SEP 2015</v>
          </cell>
          <cell r="C762" t="str">
            <v>KUUM_496</v>
          </cell>
          <cell r="E762">
            <v>159</v>
          </cell>
        </row>
        <row r="763">
          <cell r="A763" t="str">
            <v>SEP 2015</v>
          </cell>
          <cell r="C763" t="str">
            <v>KUUM_497</v>
          </cell>
          <cell r="E763">
            <v>7</v>
          </cell>
        </row>
        <row r="764">
          <cell r="A764" t="str">
            <v>SEP 2015</v>
          </cell>
          <cell r="C764" t="str">
            <v>KUUM_498</v>
          </cell>
          <cell r="E764">
            <v>20</v>
          </cell>
        </row>
        <row r="765">
          <cell r="A765" t="str">
            <v>SEP 2015</v>
          </cell>
          <cell r="C765" t="str">
            <v>KUUM_499</v>
          </cell>
          <cell r="E765">
            <v>19</v>
          </cell>
        </row>
        <row r="766">
          <cell r="A766" t="str">
            <v>SEP 2015</v>
          </cell>
          <cell r="C766" t="str">
            <v>Result</v>
          </cell>
        </row>
        <row r="769">
          <cell r="A769" t="str">
            <v>OCT 2015</v>
          </cell>
          <cell r="C769" t="str">
            <v>KUUM_360</v>
          </cell>
          <cell r="E769">
            <v>172</v>
          </cell>
        </row>
        <row r="770">
          <cell r="A770" t="str">
            <v>OCT 2015</v>
          </cell>
          <cell r="C770" t="str">
            <v>KUUM_361</v>
          </cell>
          <cell r="E770">
            <v>26</v>
          </cell>
        </row>
        <row r="771">
          <cell r="A771" t="str">
            <v>OCT 2015</v>
          </cell>
          <cell r="C771" t="str">
            <v>KUUM_362</v>
          </cell>
          <cell r="E771">
            <v>44</v>
          </cell>
        </row>
        <row r="772">
          <cell r="A772" t="str">
            <v>OCT 2015</v>
          </cell>
          <cell r="C772" t="str">
            <v>KUUM_363</v>
          </cell>
          <cell r="E772">
            <v>5</v>
          </cell>
        </row>
        <row r="773">
          <cell r="A773" t="str">
            <v>OCT 2015</v>
          </cell>
          <cell r="C773" t="str">
            <v>KUUM_364</v>
          </cell>
          <cell r="E773">
            <v>1</v>
          </cell>
        </row>
        <row r="774">
          <cell r="A774" t="str">
            <v>OCT 2015</v>
          </cell>
          <cell r="C774" t="str">
            <v>KUUM_365</v>
          </cell>
          <cell r="E774">
            <v>5</v>
          </cell>
        </row>
        <row r="775">
          <cell r="A775" t="str">
            <v>OCT 2015</v>
          </cell>
          <cell r="C775" t="str">
            <v>KUUM_366</v>
          </cell>
          <cell r="E775">
            <v>10</v>
          </cell>
        </row>
        <row r="776">
          <cell r="A776" t="str">
            <v>OCT 2015</v>
          </cell>
          <cell r="C776" t="str">
            <v>KUUM_367</v>
          </cell>
          <cell r="E776">
            <v>24</v>
          </cell>
        </row>
        <row r="777">
          <cell r="A777" t="str">
            <v>OCT 2015</v>
          </cell>
          <cell r="C777" t="str">
            <v>KUUM_368</v>
          </cell>
          <cell r="E777">
            <v>1</v>
          </cell>
        </row>
        <row r="778">
          <cell r="A778" t="str">
            <v>OCT 2015</v>
          </cell>
          <cell r="C778" t="str">
            <v>KUUM_370</v>
          </cell>
          <cell r="E778">
            <v>16</v>
          </cell>
        </row>
        <row r="779">
          <cell r="A779" t="str">
            <v>OCT 2015</v>
          </cell>
          <cell r="C779" t="str">
            <v>KUUM_372</v>
          </cell>
          <cell r="E779">
            <v>1</v>
          </cell>
        </row>
        <row r="780">
          <cell r="A780" t="str">
            <v>OCT 2015</v>
          </cell>
          <cell r="C780" t="str">
            <v>KUUM_373</v>
          </cell>
          <cell r="E780">
            <v>19</v>
          </cell>
        </row>
        <row r="781">
          <cell r="A781" t="str">
            <v>OCT 2015</v>
          </cell>
          <cell r="C781" t="str">
            <v>KUUM_374</v>
          </cell>
          <cell r="E781">
            <v>4</v>
          </cell>
        </row>
        <row r="782">
          <cell r="A782" t="str">
            <v>OCT 2015</v>
          </cell>
          <cell r="C782" t="str">
            <v>KUUM_375</v>
          </cell>
          <cell r="E782">
            <v>3</v>
          </cell>
        </row>
        <row r="783">
          <cell r="A783" t="str">
            <v>OCT 2015</v>
          </cell>
          <cell r="C783" t="str">
            <v>KUUM_376</v>
          </cell>
          <cell r="E783">
            <v>2</v>
          </cell>
        </row>
        <row r="784">
          <cell r="A784" t="str">
            <v>OCT 2015</v>
          </cell>
          <cell r="C784" t="str">
            <v>KUUM_377</v>
          </cell>
          <cell r="E784">
            <v>49</v>
          </cell>
        </row>
        <row r="785">
          <cell r="A785" t="str">
            <v>OCT 2015</v>
          </cell>
          <cell r="C785" t="str">
            <v>KUUM_378</v>
          </cell>
          <cell r="E785">
            <v>2</v>
          </cell>
        </row>
        <row r="786">
          <cell r="A786" t="str">
            <v>OCT 2015</v>
          </cell>
          <cell r="C786" t="str">
            <v>KUUM_401</v>
          </cell>
          <cell r="E786">
            <v>56</v>
          </cell>
        </row>
        <row r="787">
          <cell r="A787" t="str">
            <v>OCT 2015</v>
          </cell>
          <cell r="C787" t="str">
            <v>KUUM_404</v>
          </cell>
          <cell r="E787">
            <v>7156</v>
          </cell>
        </row>
        <row r="788">
          <cell r="A788" t="str">
            <v>OCT 2015</v>
          </cell>
          <cell r="C788" t="str">
            <v>KUUM_409</v>
          </cell>
          <cell r="E788">
            <v>134</v>
          </cell>
        </row>
        <row r="789">
          <cell r="A789" t="str">
            <v>OCT 2015</v>
          </cell>
          <cell r="C789" t="str">
            <v>KUUM_410</v>
          </cell>
          <cell r="E789">
            <v>236</v>
          </cell>
        </row>
        <row r="790">
          <cell r="A790" t="str">
            <v>OCT 2015</v>
          </cell>
          <cell r="C790" t="str">
            <v>KUUM_411</v>
          </cell>
          <cell r="E790">
            <v>142</v>
          </cell>
        </row>
        <row r="791">
          <cell r="A791" t="str">
            <v>OCT 2015</v>
          </cell>
          <cell r="C791" t="str">
            <v>KUUM_412</v>
          </cell>
          <cell r="E791">
            <v>28</v>
          </cell>
        </row>
        <row r="792">
          <cell r="A792" t="str">
            <v>OCT 2015</v>
          </cell>
          <cell r="C792" t="str">
            <v>KUUM_413</v>
          </cell>
          <cell r="E792">
            <v>95</v>
          </cell>
        </row>
        <row r="793">
          <cell r="A793" t="str">
            <v>OCT 2015</v>
          </cell>
          <cell r="C793" t="str">
            <v>KUUM_414</v>
          </cell>
          <cell r="E793">
            <v>21</v>
          </cell>
        </row>
        <row r="794">
          <cell r="A794" t="str">
            <v>OCT 2015</v>
          </cell>
          <cell r="C794" t="str">
            <v>KUUM_415</v>
          </cell>
          <cell r="E794">
            <v>10</v>
          </cell>
        </row>
        <row r="795">
          <cell r="A795" t="str">
            <v>OCT 2015</v>
          </cell>
          <cell r="C795" t="str">
            <v>KUUM_420</v>
          </cell>
          <cell r="E795">
            <v>468</v>
          </cell>
        </row>
        <row r="796">
          <cell r="A796" t="str">
            <v>OCT 2015</v>
          </cell>
          <cell r="C796" t="str">
            <v>KUUM_421</v>
          </cell>
          <cell r="E796">
            <v>5</v>
          </cell>
        </row>
        <row r="797">
          <cell r="A797" t="str">
            <v>OCT 2015</v>
          </cell>
          <cell r="C797" t="str">
            <v>KUUM_422</v>
          </cell>
          <cell r="E797">
            <v>676</v>
          </cell>
        </row>
        <row r="798">
          <cell r="A798" t="str">
            <v>OCT 2015</v>
          </cell>
          <cell r="C798" t="str">
            <v>KUUM_424</v>
          </cell>
          <cell r="E798">
            <v>120</v>
          </cell>
        </row>
        <row r="799">
          <cell r="A799" t="str">
            <v>OCT 2015</v>
          </cell>
          <cell r="C799" t="str">
            <v>KUUM_425</v>
          </cell>
          <cell r="E799">
            <v>2</v>
          </cell>
        </row>
        <row r="800">
          <cell r="A800" t="str">
            <v>OCT 2015</v>
          </cell>
          <cell r="C800" t="str">
            <v>KUUM_426</v>
          </cell>
          <cell r="E800">
            <v>162</v>
          </cell>
        </row>
        <row r="801">
          <cell r="A801" t="str">
            <v>OCT 2015</v>
          </cell>
          <cell r="C801" t="str">
            <v>KUUM_428</v>
          </cell>
          <cell r="E801">
            <v>34926</v>
          </cell>
        </row>
        <row r="802">
          <cell r="A802" t="str">
            <v>OCT 2015</v>
          </cell>
          <cell r="C802" t="str">
            <v>KUUM_430</v>
          </cell>
          <cell r="E802">
            <v>1146</v>
          </cell>
        </row>
        <row r="803">
          <cell r="A803" t="str">
            <v>OCT 2015</v>
          </cell>
          <cell r="C803" t="str">
            <v>KUUM_434</v>
          </cell>
          <cell r="E803">
            <v>16</v>
          </cell>
        </row>
        <row r="804">
          <cell r="A804" t="str">
            <v>OCT 2015</v>
          </cell>
          <cell r="C804" t="str">
            <v>KUUM_440</v>
          </cell>
          <cell r="E804">
            <v>2</v>
          </cell>
        </row>
        <row r="805">
          <cell r="A805" t="str">
            <v>OCT 2015</v>
          </cell>
          <cell r="C805" t="str">
            <v>KUUM_446</v>
          </cell>
          <cell r="E805">
            <v>1070</v>
          </cell>
        </row>
        <row r="806">
          <cell r="A806" t="str">
            <v>OCT 2015</v>
          </cell>
          <cell r="C806" t="str">
            <v>KUUM_447</v>
          </cell>
          <cell r="E806">
            <v>734</v>
          </cell>
        </row>
        <row r="807">
          <cell r="A807" t="str">
            <v>OCT 2015</v>
          </cell>
          <cell r="C807" t="str">
            <v>KUUM_448</v>
          </cell>
          <cell r="E807">
            <v>1606</v>
          </cell>
        </row>
        <row r="808">
          <cell r="A808" t="str">
            <v>OCT 2015</v>
          </cell>
          <cell r="C808" t="str">
            <v>KUUM_450</v>
          </cell>
          <cell r="E808">
            <v>614</v>
          </cell>
        </row>
        <row r="809">
          <cell r="A809" t="str">
            <v>OCT 2015</v>
          </cell>
          <cell r="C809" t="str">
            <v>KUUM_451</v>
          </cell>
          <cell r="E809">
            <v>5013</v>
          </cell>
        </row>
        <row r="810">
          <cell r="A810" t="str">
            <v>OCT 2015</v>
          </cell>
          <cell r="C810" t="str">
            <v>KUUM_452</v>
          </cell>
          <cell r="E810">
            <v>1038</v>
          </cell>
        </row>
        <row r="811">
          <cell r="A811" t="str">
            <v>OCT 2015</v>
          </cell>
          <cell r="C811" t="str">
            <v>KUUM_454</v>
          </cell>
          <cell r="E811">
            <v>124</v>
          </cell>
        </row>
        <row r="812">
          <cell r="A812" t="str">
            <v>OCT 2015</v>
          </cell>
          <cell r="C812" t="str">
            <v>KUUM_455</v>
          </cell>
          <cell r="E812">
            <v>1027</v>
          </cell>
        </row>
        <row r="813">
          <cell r="A813" t="str">
            <v>OCT 2015</v>
          </cell>
          <cell r="C813" t="str">
            <v>KUUM_456</v>
          </cell>
          <cell r="E813">
            <v>126</v>
          </cell>
        </row>
        <row r="814">
          <cell r="A814" t="str">
            <v>OCT 2015</v>
          </cell>
          <cell r="C814" t="str">
            <v>KUUM_457</v>
          </cell>
          <cell r="E814">
            <v>402</v>
          </cell>
        </row>
        <row r="815">
          <cell r="A815" t="str">
            <v>OCT 2015</v>
          </cell>
          <cell r="C815" t="str">
            <v>KUUM_458</v>
          </cell>
          <cell r="E815">
            <v>1593</v>
          </cell>
        </row>
        <row r="816">
          <cell r="A816" t="str">
            <v>OCT 2015</v>
          </cell>
          <cell r="C816" t="str">
            <v>KUUM_459</v>
          </cell>
          <cell r="E816">
            <v>246</v>
          </cell>
        </row>
        <row r="817">
          <cell r="A817" t="str">
            <v>OCT 2015</v>
          </cell>
          <cell r="C817" t="str">
            <v>KUUM_460</v>
          </cell>
          <cell r="E817">
            <v>-249</v>
          </cell>
        </row>
        <row r="818">
          <cell r="A818" t="str">
            <v>OCT 2015</v>
          </cell>
          <cell r="C818" t="str">
            <v>KUUM_461</v>
          </cell>
          <cell r="E818">
            <v>6468</v>
          </cell>
        </row>
        <row r="819">
          <cell r="A819" t="str">
            <v>OCT 2015</v>
          </cell>
          <cell r="C819" t="str">
            <v>KUUM_462</v>
          </cell>
          <cell r="E819">
            <v>9867</v>
          </cell>
        </row>
        <row r="820">
          <cell r="A820" t="str">
            <v>OCT 2015</v>
          </cell>
          <cell r="C820" t="str">
            <v>KUUM_463</v>
          </cell>
          <cell r="E820">
            <v>20338</v>
          </cell>
        </row>
        <row r="821">
          <cell r="A821" t="str">
            <v>OCT 2015</v>
          </cell>
          <cell r="C821" t="str">
            <v>KUUM_464</v>
          </cell>
          <cell r="E821">
            <v>7723</v>
          </cell>
        </row>
        <row r="822">
          <cell r="A822" t="str">
            <v>OCT 2015</v>
          </cell>
          <cell r="C822" t="str">
            <v>KUUM_465</v>
          </cell>
          <cell r="E822">
            <v>2855</v>
          </cell>
        </row>
        <row r="823">
          <cell r="A823" t="str">
            <v>OCT 2015</v>
          </cell>
          <cell r="C823" t="str">
            <v>KUUM_466</v>
          </cell>
          <cell r="E823">
            <v>804</v>
          </cell>
        </row>
        <row r="824">
          <cell r="A824" t="str">
            <v>OCT 2015</v>
          </cell>
          <cell r="C824" t="str">
            <v>KUUM_467</v>
          </cell>
          <cell r="E824">
            <v>1329</v>
          </cell>
        </row>
        <row r="825">
          <cell r="A825" t="str">
            <v>OCT 2015</v>
          </cell>
          <cell r="C825" t="str">
            <v>KUUM_468</v>
          </cell>
          <cell r="E825">
            <v>3982</v>
          </cell>
        </row>
        <row r="826">
          <cell r="A826" t="str">
            <v>OCT 2015</v>
          </cell>
          <cell r="C826" t="str">
            <v>KUUM_469</v>
          </cell>
          <cell r="E826">
            <v>291</v>
          </cell>
        </row>
        <row r="827">
          <cell r="A827" t="str">
            <v>OCT 2015</v>
          </cell>
          <cell r="C827" t="str">
            <v>KUUM_470</v>
          </cell>
          <cell r="E827">
            <v>-36</v>
          </cell>
        </row>
        <row r="828">
          <cell r="A828" t="str">
            <v>OCT 2015</v>
          </cell>
          <cell r="C828" t="str">
            <v>KUUM_471</v>
          </cell>
          <cell r="E828">
            <v>3400</v>
          </cell>
        </row>
        <row r="829">
          <cell r="A829" t="str">
            <v>OCT 2015</v>
          </cell>
          <cell r="C829" t="str">
            <v>KUUM_472</v>
          </cell>
          <cell r="E829">
            <v>8623</v>
          </cell>
        </row>
        <row r="830">
          <cell r="A830" t="str">
            <v>OCT 2015</v>
          </cell>
          <cell r="C830" t="str">
            <v>KUUM_473</v>
          </cell>
          <cell r="E830">
            <v>3232</v>
          </cell>
        </row>
        <row r="831">
          <cell r="A831" t="str">
            <v>OCT 2015</v>
          </cell>
          <cell r="C831" t="str">
            <v>KUUM_474</v>
          </cell>
          <cell r="E831">
            <v>5197</v>
          </cell>
        </row>
        <row r="832">
          <cell r="A832" t="str">
            <v>OCT 2015</v>
          </cell>
          <cell r="C832" t="str">
            <v>KUUM_475</v>
          </cell>
          <cell r="E832">
            <v>453</v>
          </cell>
        </row>
        <row r="833">
          <cell r="A833" t="str">
            <v>OCT 2015</v>
          </cell>
          <cell r="C833" t="str">
            <v>KUUM_476</v>
          </cell>
          <cell r="E833">
            <v>4555</v>
          </cell>
        </row>
        <row r="834">
          <cell r="A834" t="str">
            <v>OCT 2015</v>
          </cell>
          <cell r="C834" t="str">
            <v>KUUM_477</v>
          </cell>
          <cell r="E834">
            <v>1021</v>
          </cell>
        </row>
        <row r="835">
          <cell r="A835" t="str">
            <v>OCT 2015</v>
          </cell>
          <cell r="C835" t="str">
            <v>KUUM_478</v>
          </cell>
          <cell r="E835">
            <v>1392</v>
          </cell>
        </row>
        <row r="836">
          <cell r="A836" t="str">
            <v>OCT 2015</v>
          </cell>
          <cell r="C836" t="str">
            <v>KUUM_479</v>
          </cell>
          <cell r="E836">
            <v>999</v>
          </cell>
        </row>
        <row r="837">
          <cell r="A837" t="str">
            <v>OCT 2015</v>
          </cell>
          <cell r="C837" t="str">
            <v>KUUM_487</v>
          </cell>
          <cell r="E837">
            <v>10673</v>
          </cell>
        </row>
        <row r="838">
          <cell r="A838" t="str">
            <v>OCT 2015</v>
          </cell>
          <cell r="C838" t="str">
            <v>KUUM_488</v>
          </cell>
          <cell r="E838">
            <v>6332</v>
          </cell>
        </row>
        <row r="839">
          <cell r="A839" t="str">
            <v>OCT 2015</v>
          </cell>
          <cell r="C839" t="str">
            <v>KUUM_489</v>
          </cell>
          <cell r="E839">
            <v>8016</v>
          </cell>
        </row>
        <row r="840">
          <cell r="A840" t="str">
            <v>OCT 2015</v>
          </cell>
          <cell r="C840" t="str">
            <v>KUUM_490</v>
          </cell>
          <cell r="E840">
            <v>56</v>
          </cell>
        </row>
        <row r="841">
          <cell r="A841" t="str">
            <v>OCT 2015</v>
          </cell>
          <cell r="C841" t="str">
            <v>KUUM_491</v>
          </cell>
          <cell r="E841">
            <v>317</v>
          </cell>
        </row>
        <row r="842">
          <cell r="A842" t="str">
            <v>OCT 2015</v>
          </cell>
          <cell r="C842" t="str">
            <v>KUUM_492</v>
          </cell>
          <cell r="E842">
            <v>2</v>
          </cell>
        </row>
        <row r="843">
          <cell r="A843" t="str">
            <v>OCT 2015</v>
          </cell>
          <cell r="C843" t="str">
            <v>KUUM_493</v>
          </cell>
          <cell r="E843">
            <v>47</v>
          </cell>
        </row>
        <row r="844">
          <cell r="A844" t="str">
            <v>OCT 2015</v>
          </cell>
          <cell r="C844" t="str">
            <v>KUUM_494</v>
          </cell>
          <cell r="E844">
            <v>191</v>
          </cell>
        </row>
        <row r="845">
          <cell r="A845" t="str">
            <v>OCT 2015</v>
          </cell>
          <cell r="C845" t="str">
            <v>KUUM_495</v>
          </cell>
          <cell r="E845">
            <v>624</v>
          </cell>
        </row>
        <row r="846">
          <cell r="A846" t="str">
            <v>OCT 2015</v>
          </cell>
          <cell r="C846" t="str">
            <v>KUUM_496</v>
          </cell>
          <cell r="E846">
            <v>159</v>
          </cell>
        </row>
        <row r="847">
          <cell r="A847" t="str">
            <v>OCT 2015</v>
          </cell>
          <cell r="C847" t="str">
            <v>KUUM_497</v>
          </cell>
          <cell r="E847">
            <v>7</v>
          </cell>
        </row>
        <row r="848">
          <cell r="A848" t="str">
            <v>OCT 2015</v>
          </cell>
          <cell r="C848" t="str">
            <v>KUUM_498</v>
          </cell>
          <cell r="E848">
            <v>20</v>
          </cell>
        </row>
        <row r="849">
          <cell r="A849" t="str">
            <v>OCT 2015</v>
          </cell>
          <cell r="C849" t="str">
            <v>KUUM_499</v>
          </cell>
          <cell r="E849">
            <v>22</v>
          </cell>
        </row>
        <row r="850">
          <cell r="A850" t="str">
            <v>OCT 2015</v>
          </cell>
          <cell r="C850" t="str">
            <v>Result</v>
          </cell>
        </row>
        <row r="852">
          <cell r="A852" t="str">
            <v>NOV 2015</v>
          </cell>
          <cell r="C852" t="str">
            <v>KTUM_406</v>
          </cell>
        </row>
        <row r="853">
          <cell r="A853" t="str">
            <v>NOV 2015</v>
          </cell>
          <cell r="C853" t="str">
            <v>KTUM_428</v>
          </cell>
        </row>
        <row r="854">
          <cell r="A854" t="str">
            <v>NOV 2015</v>
          </cell>
          <cell r="C854" t="str">
            <v>KUUM_360</v>
          </cell>
          <cell r="E854">
            <v>172</v>
          </cell>
        </row>
        <row r="855">
          <cell r="A855" t="str">
            <v>NOV 2015</v>
          </cell>
          <cell r="C855" t="str">
            <v>KUUM_361</v>
          </cell>
          <cell r="E855">
            <v>26</v>
          </cell>
        </row>
        <row r="856">
          <cell r="A856" t="str">
            <v>NOV 2015</v>
          </cell>
          <cell r="C856" t="str">
            <v>KUUM_362</v>
          </cell>
          <cell r="E856">
            <v>44</v>
          </cell>
        </row>
        <row r="857">
          <cell r="A857" t="str">
            <v>NOV 2015</v>
          </cell>
          <cell r="C857" t="str">
            <v>KUUM_363</v>
          </cell>
          <cell r="E857">
            <v>5</v>
          </cell>
        </row>
        <row r="858">
          <cell r="A858" t="str">
            <v>NOV 2015</v>
          </cell>
          <cell r="C858" t="str">
            <v>KUUM_364</v>
          </cell>
          <cell r="E858">
            <v>1</v>
          </cell>
        </row>
        <row r="859">
          <cell r="A859" t="str">
            <v>NOV 2015</v>
          </cell>
          <cell r="C859" t="str">
            <v>KUUM_365</v>
          </cell>
          <cell r="E859">
            <v>5</v>
          </cell>
        </row>
        <row r="860">
          <cell r="A860" t="str">
            <v>NOV 2015</v>
          </cell>
          <cell r="C860" t="str">
            <v>KUUM_366</v>
          </cell>
          <cell r="E860">
            <v>10</v>
          </cell>
        </row>
        <row r="861">
          <cell r="A861" t="str">
            <v>NOV 2015</v>
          </cell>
          <cell r="C861" t="str">
            <v>KUUM_367</v>
          </cell>
          <cell r="E861">
            <v>24</v>
          </cell>
        </row>
        <row r="862">
          <cell r="A862" t="str">
            <v>NOV 2015</v>
          </cell>
          <cell r="C862" t="str">
            <v>KUUM_368</v>
          </cell>
          <cell r="E862">
            <v>1</v>
          </cell>
        </row>
        <row r="863">
          <cell r="A863" t="str">
            <v>NOV 2015</v>
          </cell>
          <cell r="C863" t="str">
            <v>KUUM_370</v>
          </cell>
          <cell r="E863">
            <v>16</v>
          </cell>
        </row>
        <row r="864">
          <cell r="A864" t="str">
            <v>NOV 2015</v>
          </cell>
          <cell r="C864" t="str">
            <v>KUUM_372</v>
          </cell>
          <cell r="E864">
            <v>1</v>
          </cell>
        </row>
        <row r="865">
          <cell r="A865" t="str">
            <v>NOV 2015</v>
          </cell>
          <cell r="C865" t="str">
            <v>KUUM_373</v>
          </cell>
          <cell r="E865">
            <v>19</v>
          </cell>
        </row>
        <row r="866">
          <cell r="A866" t="str">
            <v>NOV 2015</v>
          </cell>
          <cell r="C866" t="str">
            <v>KUUM_374</v>
          </cell>
          <cell r="E866">
            <v>4</v>
          </cell>
        </row>
        <row r="867">
          <cell r="A867" t="str">
            <v>NOV 2015</v>
          </cell>
          <cell r="C867" t="str">
            <v>KUUM_375</v>
          </cell>
          <cell r="E867">
            <v>3</v>
          </cell>
        </row>
        <row r="868">
          <cell r="A868" t="str">
            <v>NOV 2015</v>
          </cell>
          <cell r="C868" t="str">
            <v>KUUM_376</v>
          </cell>
          <cell r="E868">
            <v>2</v>
          </cell>
        </row>
        <row r="869">
          <cell r="A869" t="str">
            <v>NOV 2015</v>
          </cell>
          <cell r="C869" t="str">
            <v>KUUM_377</v>
          </cell>
          <cell r="E869">
            <v>49</v>
          </cell>
        </row>
        <row r="870">
          <cell r="A870" t="str">
            <v>NOV 2015</v>
          </cell>
          <cell r="C870" t="str">
            <v>KUUM_378</v>
          </cell>
          <cell r="E870">
            <v>2</v>
          </cell>
        </row>
        <row r="871">
          <cell r="A871" t="str">
            <v>NOV 2015</v>
          </cell>
          <cell r="C871" t="str">
            <v>KUUM_401</v>
          </cell>
          <cell r="E871">
            <v>45</v>
          </cell>
        </row>
        <row r="872">
          <cell r="A872" t="str">
            <v>NOV 2015</v>
          </cell>
          <cell r="C872" t="str">
            <v>KUUM_404</v>
          </cell>
          <cell r="E872">
            <v>7081</v>
          </cell>
        </row>
        <row r="873">
          <cell r="A873" t="str">
            <v>NOV 2015</v>
          </cell>
          <cell r="C873" t="str">
            <v>KUUM_409</v>
          </cell>
          <cell r="E873">
            <v>133</v>
          </cell>
        </row>
        <row r="874">
          <cell r="A874" t="str">
            <v>NOV 2015</v>
          </cell>
          <cell r="C874" t="str">
            <v>KUUM_410</v>
          </cell>
          <cell r="E874">
            <v>236</v>
          </cell>
        </row>
        <row r="875">
          <cell r="A875" t="str">
            <v>NOV 2015</v>
          </cell>
          <cell r="C875" t="str">
            <v>KUUM_411</v>
          </cell>
          <cell r="E875">
            <v>142</v>
          </cell>
        </row>
        <row r="876">
          <cell r="A876" t="str">
            <v>NOV 2015</v>
          </cell>
          <cell r="C876" t="str">
            <v>KUUM_412</v>
          </cell>
          <cell r="E876">
            <v>28</v>
          </cell>
        </row>
        <row r="877">
          <cell r="A877" t="str">
            <v>NOV 2015</v>
          </cell>
          <cell r="C877" t="str">
            <v>KUUM_413</v>
          </cell>
          <cell r="E877">
            <v>95</v>
          </cell>
        </row>
        <row r="878">
          <cell r="A878" t="str">
            <v>NOV 2015</v>
          </cell>
          <cell r="C878" t="str">
            <v>KUUM_414</v>
          </cell>
          <cell r="E878">
            <v>21</v>
          </cell>
        </row>
        <row r="879">
          <cell r="A879" t="str">
            <v>NOV 2015</v>
          </cell>
          <cell r="C879" t="str">
            <v>KUUM_415</v>
          </cell>
          <cell r="E879">
            <v>10</v>
          </cell>
        </row>
        <row r="880">
          <cell r="A880" t="str">
            <v>NOV 2015</v>
          </cell>
          <cell r="C880" t="str">
            <v>KUUM_420</v>
          </cell>
          <cell r="E880">
            <v>449</v>
          </cell>
        </row>
        <row r="881">
          <cell r="A881" t="str">
            <v>NOV 2015</v>
          </cell>
          <cell r="C881" t="str">
            <v>KUUM_421</v>
          </cell>
          <cell r="E881">
            <v>5</v>
          </cell>
        </row>
        <row r="882">
          <cell r="A882" t="str">
            <v>NOV 2015</v>
          </cell>
          <cell r="C882" t="str">
            <v>KUUM_422</v>
          </cell>
          <cell r="E882">
            <v>676</v>
          </cell>
        </row>
        <row r="883">
          <cell r="A883" t="str">
            <v>NOV 2015</v>
          </cell>
          <cell r="C883" t="str">
            <v>KUUM_424</v>
          </cell>
          <cell r="E883">
            <v>113</v>
          </cell>
        </row>
        <row r="884">
          <cell r="A884" t="str">
            <v>NOV 2015</v>
          </cell>
          <cell r="C884" t="str">
            <v>KUUM_425</v>
          </cell>
          <cell r="E884">
            <v>2</v>
          </cell>
        </row>
        <row r="885">
          <cell r="A885" t="str">
            <v>NOV 2015</v>
          </cell>
          <cell r="C885" t="str">
            <v>KUUM_426</v>
          </cell>
          <cell r="E885">
            <v>162</v>
          </cell>
        </row>
        <row r="886">
          <cell r="A886" t="str">
            <v>NOV 2015</v>
          </cell>
          <cell r="C886" t="str">
            <v>KUUM_428</v>
          </cell>
          <cell r="E886">
            <v>34801</v>
          </cell>
        </row>
        <row r="887">
          <cell r="A887" t="str">
            <v>NOV 2015</v>
          </cell>
          <cell r="C887" t="str">
            <v>KUUM_430</v>
          </cell>
          <cell r="E887">
            <v>1089</v>
          </cell>
        </row>
        <row r="888">
          <cell r="A888" t="str">
            <v>NOV 2015</v>
          </cell>
          <cell r="C888" t="str">
            <v>KUUM_434</v>
          </cell>
          <cell r="E888">
            <v>8</v>
          </cell>
        </row>
        <row r="889">
          <cell r="A889" t="str">
            <v>NOV 2015</v>
          </cell>
          <cell r="C889" t="str">
            <v>KUUM_440</v>
          </cell>
          <cell r="E889">
            <v>2</v>
          </cell>
        </row>
        <row r="890">
          <cell r="A890" t="str">
            <v>NOV 2015</v>
          </cell>
          <cell r="C890" t="str">
            <v>KUUM_446</v>
          </cell>
          <cell r="E890">
            <v>1035</v>
          </cell>
        </row>
        <row r="891">
          <cell r="A891" t="str">
            <v>NOV 2015</v>
          </cell>
          <cell r="C891" t="str">
            <v>KUUM_447</v>
          </cell>
          <cell r="E891">
            <v>728</v>
          </cell>
        </row>
        <row r="892">
          <cell r="A892" t="str">
            <v>NOV 2015</v>
          </cell>
          <cell r="C892" t="str">
            <v>KUUM_448</v>
          </cell>
          <cell r="E892">
            <v>1364</v>
          </cell>
        </row>
        <row r="893">
          <cell r="A893" t="str">
            <v>NOV 2015</v>
          </cell>
          <cell r="C893" t="str">
            <v>KUUM_450</v>
          </cell>
          <cell r="E893">
            <v>612</v>
          </cell>
        </row>
        <row r="894">
          <cell r="A894" t="str">
            <v>NOV 2015</v>
          </cell>
          <cell r="C894" t="str">
            <v>KUUM_451</v>
          </cell>
          <cell r="E894">
            <v>4819</v>
          </cell>
        </row>
        <row r="895">
          <cell r="A895" t="str">
            <v>NOV 2015</v>
          </cell>
          <cell r="C895" t="str">
            <v>KUUM_452</v>
          </cell>
          <cell r="E895">
            <v>1013</v>
          </cell>
        </row>
        <row r="896">
          <cell r="A896" t="str">
            <v>NOV 2015</v>
          </cell>
          <cell r="C896" t="str">
            <v>KUUM_454</v>
          </cell>
          <cell r="E896">
            <v>146</v>
          </cell>
        </row>
        <row r="897">
          <cell r="A897" t="str">
            <v>NOV 2015</v>
          </cell>
          <cell r="C897" t="str">
            <v>KUUM_455</v>
          </cell>
          <cell r="E897">
            <v>979</v>
          </cell>
        </row>
        <row r="898">
          <cell r="A898" t="str">
            <v>NOV 2015</v>
          </cell>
          <cell r="C898" t="str">
            <v>KUUM_456</v>
          </cell>
          <cell r="E898">
            <v>136</v>
          </cell>
        </row>
        <row r="899">
          <cell r="A899" t="str">
            <v>NOV 2015</v>
          </cell>
          <cell r="C899" t="str">
            <v>KUUM_457</v>
          </cell>
          <cell r="E899">
            <v>441</v>
          </cell>
        </row>
        <row r="900">
          <cell r="A900" t="str">
            <v>NOV 2015</v>
          </cell>
          <cell r="C900" t="str">
            <v>KUUM_458</v>
          </cell>
          <cell r="E900">
            <v>1355</v>
          </cell>
        </row>
        <row r="901">
          <cell r="A901" t="str">
            <v>NOV 2015</v>
          </cell>
          <cell r="C901" t="str">
            <v>KUUM_459</v>
          </cell>
          <cell r="E901">
            <v>226</v>
          </cell>
        </row>
        <row r="902">
          <cell r="A902" t="str">
            <v>NOV 2015</v>
          </cell>
          <cell r="C902" t="str">
            <v>KUUM_460</v>
          </cell>
          <cell r="E902">
            <v>26</v>
          </cell>
        </row>
        <row r="903">
          <cell r="A903" t="str">
            <v>NOV 2015</v>
          </cell>
          <cell r="C903" t="str">
            <v>KUUM_461</v>
          </cell>
          <cell r="E903">
            <v>6648</v>
          </cell>
        </row>
        <row r="904">
          <cell r="A904" t="str">
            <v>NOV 2015</v>
          </cell>
          <cell r="C904" t="str">
            <v>KUUM_462</v>
          </cell>
          <cell r="E904">
            <v>6813</v>
          </cell>
        </row>
        <row r="905">
          <cell r="A905" t="str">
            <v>NOV 2015</v>
          </cell>
          <cell r="C905" t="str">
            <v>KUUM_463</v>
          </cell>
          <cell r="E905">
            <v>19649</v>
          </cell>
        </row>
        <row r="906">
          <cell r="A906" t="str">
            <v>NOV 2015</v>
          </cell>
          <cell r="C906" t="str">
            <v>KUUM_464</v>
          </cell>
          <cell r="E906">
            <v>7024</v>
          </cell>
        </row>
        <row r="907">
          <cell r="A907" t="str">
            <v>NOV 2015</v>
          </cell>
          <cell r="C907" t="str">
            <v>KUUM_465</v>
          </cell>
          <cell r="E907">
            <v>2645</v>
          </cell>
        </row>
        <row r="908">
          <cell r="A908" t="str">
            <v>NOV 2015</v>
          </cell>
          <cell r="C908" t="str">
            <v>KUUM_466</v>
          </cell>
          <cell r="E908">
            <v>829</v>
          </cell>
        </row>
        <row r="909">
          <cell r="A909" t="str">
            <v>NOV 2015</v>
          </cell>
          <cell r="C909" t="str">
            <v>KUUM_467</v>
          </cell>
          <cell r="E909">
            <v>1213</v>
          </cell>
        </row>
        <row r="910">
          <cell r="A910" t="str">
            <v>NOV 2015</v>
          </cell>
          <cell r="C910" t="str">
            <v>KUUM_468</v>
          </cell>
          <cell r="E910">
            <v>3824</v>
          </cell>
        </row>
        <row r="911">
          <cell r="A911" t="str">
            <v>NOV 2015</v>
          </cell>
          <cell r="C911" t="str">
            <v>KUUM_469</v>
          </cell>
          <cell r="E911">
            <v>284</v>
          </cell>
        </row>
        <row r="912">
          <cell r="A912" t="str">
            <v>NOV 2015</v>
          </cell>
          <cell r="C912" t="str">
            <v>KUUM_470</v>
          </cell>
          <cell r="E912">
            <v>63</v>
          </cell>
        </row>
        <row r="913">
          <cell r="A913" t="str">
            <v>NOV 2015</v>
          </cell>
          <cell r="C913" t="str">
            <v>KUUM_471</v>
          </cell>
          <cell r="E913">
            <v>3585</v>
          </cell>
        </row>
        <row r="914">
          <cell r="A914" t="str">
            <v>NOV 2015</v>
          </cell>
          <cell r="C914" t="str">
            <v>KUUM_472</v>
          </cell>
          <cell r="E914">
            <v>8388</v>
          </cell>
        </row>
        <row r="915">
          <cell r="A915" t="str">
            <v>NOV 2015</v>
          </cell>
          <cell r="C915" t="str">
            <v>KUUM_473</v>
          </cell>
          <cell r="E915">
            <v>3296</v>
          </cell>
        </row>
        <row r="916">
          <cell r="A916" t="str">
            <v>NOV 2015</v>
          </cell>
          <cell r="C916" t="str">
            <v>KUUM_474</v>
          </cell>
          <cell r="E916">
            <v>4926</v>
          </cell>
        </row>
        <row r="917">
          <cell r="A917" t="str">
            <v>NOV 2015</v>
          </cell>
          <cell r="C917" t="str">
            <v>KUUM_475</v>
          </cell>
          <cell r="E917">
            <v>466</v>
          </cell>
        </row>
        <row r="918">
          <cell r="A918" t="str">
            <v>NOV 2015</v>
          </cell>
          <cell r="C918" t="str">
            <v>KUUM_476</v>
          </cell>
          <cell r="E918">
            <v>4461</v>
          </cell>
        </row>
        <row r="919">
          <cell r="A919" t="str">
            <v>NOV 2015</v>
          </cell>
          <cell r="C919" t="str">
            <v>KUUM_477</v>
          </cell>
          <cell r="E919">
            <v>1034</v>
          </cell>
        </row>
        <row r="920">
          <cell r="A920" t="str">
            <v>NOV 2015</v>
          </cell>
          <cell r="C920" t="str">
            <v>KUUM_478</v>
          </cell>
          <cell r="E920">
            <v>1369</v>
          </cell>
        </row>
        <row r="921">
          <cell r="A921" t="str">
            <v>NOV 2015</v>
          </cell>
          <cell r="C921" t="str">
            <v>KUUM_479</v>
          </cell>
          <cell r="E921">
            <v>917</v>
          </cell>
        </row>
        <row r="922">
          <cell r="A922" t="str">
            <v>NOV 2015</v>
          </cell>
          <cell r="C922" t="str">
            <v>KUUM_487</v>
          </cell>
          <cell r="E922">
            <v>10653</v>
          </cell>
        </row>
        <row r="923">
          <cell r="A923" t="str">
            <v>NOV 2015</v>
          </cell>
          <cell r="C923" t="str">
            <v>KUUM_488</v>
          </cell>
          <cell r="E923">
            <v>6273</v>
          </cell>
        </row>
        <row r="924">
          <cell r="A924" t="str">
            <v>NOV 2015</v>
          </cell>
          <cell r="C924" t="str">
            <v>KUUM_489</v>
          </cell>
          <cell r="E924">
            <v>7884</v>
          </cell>
        </row>
        <row r="925">
          <cell r="A925" t="str">
            <v>NOV 2015</v>
          </cell>
          <cell r="C925" t="str">
            <v>KUUM_490</v>
          </cell>
          <cell r="E925">
            <v>56</v>
          </cell>
        </row>
        <row r="926">
          <cell r="A926" t="str">
            <v>NOV 2015</v>
          </cell>
          <cell r="C926" t="str">
            <v>KUUM_491</v>
          </cell>
          <cell r="E926">
            <v>287</v>
          </cell>
        </row>
        <row r="927">
          <cell r="A927" t="str">
            <v>NOV 2015</v>
          </cell>
          <cell r="C927" t="str">
            <v>KUUM_492</v>
          </cell>
          <cell r="E927">
            <v>2</v>
          </cell>
        </row>
        <row r="928">
          <cell r="A928" t="str">
            <v>NOV 2015</v>
          </cell>
          <cell r="C928" t="str">
            <v>KUUM_493</v>
          </cell>
          <cell r="E928">
            <v>45</v>
          </cell>
        </row>
        <row r="929">
          <cell r="A929" t="str">
            <v>NOV 2015</v>
          </cell>
          <cell r="C929" t="str">
            <v>KUUM_494</v>
          </cell>
          <cell r="E929">
            <v>191</v>
          </cell>
        </row>
        <row r="930">
          <cell r="A930" t="str">
            <v>NOV 2015</v>
          </cell>
          <cell r="C930" t="str">
            <v>KUUM_495</v>
          </cell>
          <cell r="E930">
            <v>593</v>
          </cell>
        </row>
        <row r="931">
          <cell r="A931" t="str">
            <v>NOV 2015</v>
          </cell>
          <cell r="C931" t="str">
            <v>KUUM_496</v>
          </cell>
          <cell r="E931">
            <v>159</v>
          </cell>
        </row>
        <row r="932">
          <cell r="A932" t="str">
            <v>NOV 2015</v>
          </cell>
          <cell r="C932" t="str">
            <v>KUUM_497</v>
          </cell>
          <cell r="E932">
            <v>8</v>
          </cell>
        </row>
        <row r="933">
          <cell r="A933" t="str">
            <v>NOV 2015</v>
          </cell>
          <cell r="C933" t="str">
            <v>KUUM_498</v>
          </cell>
          <cell r="E933">
            <v>20</v>
          </cell>
        </row>
        <row r="934">
          <cell r="A934" t="str">
            <v>NOV 2015</v>
          </cell>
          <cell r="C934" t="str">
            <v>KUUM_499</v>
          </cell>
          <cell r="E934">
            <v>23</v>
          </cell>
        </row>
        <row r="935">
          <cell r="A935" t="str">
            <v>NOV 2015</v>
          </cell>
          <cell r="C935" t="str">
            <v>Result</v>
          </cell>
        </row>
        <row r="938">
          <cell r="A938" t="str">
            <v>DEC 2015</v>
          </cell>
          <cell r="C938" t="str">
            <v>KUUM_360</v>
          </cell>
          <cell r="E938">
            <v>172</v>
          </cell>
        </row>
        <row r="939">
          <cell r="A939" t="str">
            <v>DEC 2015</v>
          </cell>
          <cell r="C939" t="str">
            <v>KUUM_361</v>
          </cell>
          <cell r="E939">
            <v>26</v>
          </cell>
        </row>
        <row r="940">
          <cell r="A940" t="str">
            <v>DEC 2015</v>
          </cell>
          <cell r="C940" t="str">
            <v>KUUM_362</v>
          </cell>
          <cell r="E940">
            <v>44</v>
          </cell>
        </row>
        <row r="941">
          <cell r="A941" t="str">
            <v>DEC 2015</v>
          </cell>
          <cell r="C941" t="str">
            <v>KUUM_363</v>
          </cell>
          <cell r="E941">
            <v>5</v>
          </cell>
        </row>
        <row r="942">
          <cell r="A942" t="str">
            <v>DEC 2015</v>
          </cell>
          <cell r="C942" t="str">
            <v>KUUM_364</v>
          </cell>
          <cell r="E942">
            <v>1</v>
          </cell>
        </row>
        <row r="943">
          <cell r="A943" t="str">
            <v>DEC 2015</v>
          </cell>
          <cell r="C943" t="str">
            <v>KUUM_365</v>
          </cell>
          <cell r="E943">
            <v>5</v>
          </cell>
        </row>
        <row r="944">
          <cell r="A944" t="str">
            <v>DEC 2015</v>
          </cell>
          <cell r="C944" t="str">
            <v>KUUM_366</v>
          </cell>
          <cell r="E944">
            <v>10</v>
          </cell>
        </row>
        <row r="945">
          <cell r="A945" t="str">
            <v>DEC 2015</v>
          </cell>
          <cell r="C945" t="str">
            <v>KUUM_367</v>
          </cell>
          <cell r="E945">
            <v>24</v>
          </cell>
        </row>
        <row r="946">
          <cell r="A946" t="str">
            <v>DEC 2015</v>
          </cell>
          <cell r="C946" t="str">
            <v>KUUM_368</v>
          </cell>
          <cell r="E946">
            <v>1</v>
          </cell>
        </row>
        <row r="947">
          <cell r="A947" t="str">
            <v>DEC 2015</v>
          </cell>
          <cell r="C947" t="str">
            <v>KUUM_370</v>
          </cell>
          <cell r="E947">
            <v>16</v>
          </cell>
        </row>
        <row r="948">
          <cell r="A948" t="str">
            <v>DEC 2015</v>
          </cell>
          <cell r="C948" t="str">
            <v>KUUM_372</v>
          </cell>
          <cell r="E948">
            <v>1</v>
          </cell>
        </row>
        <row r="949">
          <cell r="A949" t="str">
            <v>DEC 2015</v>
          </cell>
          <cell r="C949" t="str">
            <v>KUUM_373</v>
          </cell>
          <cell r="E949">
            <v>19</v>
          </cell>
        </row>
        <row r="950">
          <cell r="A950" t="str">
            <v>DEC 2015</v>
          </cell>
          <cell r="C950" t="str">
            <v>KUUM_374</v>
          </cell>
          <cell r="E950">
            <v>4</v>
          </cell>
        </row>
        <row r="951">
          <cell r="A951" t="str">
            <v>DEC 2015</v>
          </cell>
          <cell r="C951" t="str">
            <v>KUUM_375</v>
          </cell>
          <cell r="E951">
            <v>3</v>
          </cell>
        </row>
        <row r="952">
          <cell r="A952" t="str">
            <v>DEC 2015</v>
          </cell>
          <cell r="C952" t="str">
            <v>KUUM_376</v>
          </cell>
          <cell r="E952">
            <v>2</v>
          </cell>
        </row>
        <row r="953">
          <cell r="A953" t="str">
            <v>DEC 2015</v>
          </cell>
          <cell r="C953" t="str">
            <v>KUUM_377</v>
          </cell>
          <cell r="E953">
            <v>52</v>
          </cell>
        </row>
        <row r="954">
          <cell r="A954" t="str">
            <v>DEC 2015</v>
          </cell>
          <cell r="C954" t="str">
            <v>KUUM_378</v>
          </cell>
          <cell r="E954">
            <v>2</v>
          </cell>
        </row>
        <row r="955">
          <cell r="A955" t="str">
            <v>DEC 2015</v>
          </cell>
          <cell r="C955" t="str">
            <v>KUUM_401</v>
          </cell>
          <cell r="E955">
            <v>51</v>
          </cell>
        </row>
        <row r="956">
          <cell r="A956" t="str">
            <v>DEC 2015</v>
          </cell>
          <cell r="C956" t="str">
            <v>KUUM_404</v>
          </cell>
          <cell r="E956">
            <v>7046</v>
          </cell>
        </row>
        <row r="957">
          <cell r="A957" t="str">
            <v>DEC 2015</v>
          </cell>
          <cell r="C957" t="str">
            <v>KUUM_409</v>
          </cell>
          <cell r="E957">
            <v>130</v>
          </cell>
        </row>
        <row r="958">
          <cell r="A958" t="str">
            <v>DEC 2015</v>
          </cell>
          <cell r="C958" t="str">
            <v>KUUM_410</v>
          </cell>
          <cell r="E958">
            <v>236</v>
          </cell>
        </row>
        <row r="959">
          <cell r="A959" t="str">
            <v>DEC 2015</v>
          </cell>
          <cell r="C959" t="str">
            <v>KUUM_411</v>
          </cell>
          <cell r="E959">
            <v>142</v>
          </cell>
        </row>
        <row r="960">
          <cell r="A960" t="str">
            <v>DEC 2015</v>
          </cell>
          <cell r="C960" t="str">
            <v>KUUM_412</v>
          </cell>
          <cell r="E960">
            <v>28</v>
          </cell>
        </row>
        <row r="961">
          <cell r="A961" t="str">
            <v>DEC 2015</v>
          </cell>
          <cell r="C961" t="str">
            <v>KUUM_413</v>
          </cell>
          <cell r="E961">
            <v>97</v>
          </cell>
        </row>
        <row r="962">
          <cell r="A962" t="str">
            <v>DEC 2015</v>
          </cell>
          <cell r="C962" t="str">
            <v>KUUM_414</v>
          </cell>
          <cell r="E962">
            <v>21</v>
          </cell>
        </row>
        <row r="963">
          <cell r="A963" t="str">
            <v>DEC 2015</v>
          </cell>
          <cell r="C963" t="str">
            <v>KUUM_415</v>
          </cell>
          <cell r="E963">
            <v>10</v>
          </cell>
        </row>
        <row r="964">
          <cell r="A964" t="str">
            <v>DEC 2015</v>
          </cell>
          <cell r="C964" t="str">
            <v>KUUM_420</v>
          </cell>
          <cell r="E964">
            <v>458</v>
          </cell>
        </row>
        <row r="965">
          <cell r="A965" t="str">
            <v>DEC 2015</v>
          </cell>
          <cell r="C965" t="str">
            <v>KUUM_421</v>
          </cell>
          <cell r="E965">
            <v>5</v>
          </cell>
        </row>
        <row r="966">
          <cell r="A966" t="str">
            <v>DEC 2015</v>
          </cell>
          <cell r="C966" t="str">
            <v>KUUM_422</v>
          </cell>
          <cell r="E966">
            <v>674</v>
          </cell>
        </row>
        <row r="967">
          <cell r="A967" t="str">
            <v>DEC 2015</v>
          </cell>
          <cell r="C967" t="str">
            <v>KUUM_424</v>
          </cell>
          <cell r="E967">
            <v>113</v>
          </cell>
        </row>
        <row r="968">
          <cell r="A968" t="str">
            <v>DEC 2015</v>
          </cell>
          <cell r="C968" t="str">
            <v>KUUM_425</v>
          </cell>
          <cell r="E968">
            <v>2</v>
          </cell>
        </row>
        <row r="969">
          <cell r="A969" t="str">
            <v>DEC 2015</v>
          </cell>
          <cell r="C969" t="str">
            <v>KUUM_426</v>
          </cell>
          <cell r="E969">
            <v>161</v>
          </cell>
        </row>
        <row r="970">
          <cell r="A970" t="str">
            <v>DEC 2015</v>
          </cell>
          <cell r="C970" t="str">
            <v>KUUM_428</v>
          </cell>
          <cell r="E970">
            <v>34888</v>
          </cell>
        </row>
        <row r="971">
          <cell r="A971" t="str">
            <v>DEC 2015</v>
          </cell>
          <cell r="C971" t="str">
            <v>KUUM_430</v>
          </cell>
          <cell r="E971">
            <v>1109</v>
          </cell>
        </row>
        <row r="972">
          <cell r="A972" t="str">
            <v>DEC 2015</v>
          </cell>
          <cell r="C972" t="str">
            <v>KUUM_434</v>
          </cell>
          <cell r="E972">
            <v>8</v>
          </cell>
        </row>
        <row r="973">
          <cell r="A973" t="str">
            <v>DEC 2015</v>
          </cell>
          <cell r="C973" t="str">
            <v>KUUM_440</v>
          </cell>
          <cell r="E973">
            <v>2</v>
          </cell>
        </row>
        <row r="974">
          <cell r="A974" t="str">
            <v>DEC 2015</v>
          </cell>
          <cell r="C974" t="str">
            <v>KUUM_446</v>
          </cell>
          <cell r="E974">
            <v>1048</v>
          </cell>
        </row>
        <row r="975">
          <cell r="A975" t="str">
            <v>DEC 2015</v>
          </cell>
          <cell r="C975" t="str">
            <v>KUUM_447</v>
          </cell>
          <cell r="E975">
            <v>729</v>
          </cell>
        </row>
        <row r="976">
          <cell r="A976" t="str">
            <v>DEC 2015</v>
          </cell>
          <cell r="C976" t="str">
            <v>KUUM_448</v>
          </cell>
          <cell r="E976">
            <v>1465</v>
          </cell>
        </row>
        <row r="977">
          <cell r="A977" t="str">
            <v>DEC 2015</v>
          </cell>
          <cell r="C977" t="str">
            <v>KUUM_450</v>
          </cell>
          <cell r="E977">
            <v>632</v>
          </cell>
        </row>
        <row r="978">
          <cell r="A978" t="str">
            <v>DEC 2015</v>
          </cell>
          <cell r="C978" t="str">
            <v>KUUM_451</v>
          </cell>
          <cell r="E978">
            <v>4824</v>
          </cell>
        </row>
        <row r="979">
          <cell r="A979" t="str">
            <v>DEC 2015</v>
          </cell>
          <cell r="C979" t="str">
            <v>KUUM_452</v>
          </cell>
          <cell r="E979">
            <v>1015</v>
          </cell>
        </row>
        <row r="980">
          <cell r="A980" t="str">
            <v>DEC 2015</v>
          </cell>
          <cell r="C980" t="str">
            <v>KUUM_454</v>
          </cell>
          <cell r="E980">
            <v>150</v>
          </cell>
        </row>
        <row r="981">
          <cell r="A981" t="str">
            <v>DEC 2015</v>
          </cell>
          <cell r="C981" t="str">
            <v>KUUM_455</v>
          </cell>
          <cell r="E981">
            <v>998</v>
          </cell>
        </row>
        <row r="982">
          <cell r="A982" t="str">
            <v>DEC 2015</v>
          </cell>
          <cell r="C982" t="str">
            <v>KUUM_456</v>
          </cell>
          <cell r="E982">
            <v>136</v>
          </cell>
        </row>
        <row r="983">
          <cell r="A983" t="str">
            <v>DEC 2015</v>
          </cell>
          <cell r="C983" t="str">
            <v>KUUM_457</v>
          </cell>
          <cell r="E983">
            <v>440</v>
          </cell>
        </row>
        <row r="984">
          <cell r="A984" t="str">
            <v>DEC 2015</v>
          </cell>
          <cell r="C984" t="str">
            <v>KUUM_458</v>
          </cell>
          <cell r="E984">
            <v>1463</v>
          </cell>
        </row>
        <row r="985">
          <cell r="A985" t="str">
            <v>DEC 2015</v>
          </cell>
          <cell r="C985" t="str">
            <v>KUUM_459</v>
          </cell>
          <cell r="E985">
            <v>223</v>
          </cell>
        </row>
        <row r="986">
          <cell r="A986" t="str">
            <v>DEC 2015</v>
          </cell>
          <cell r="C986" t="str">
            <v>KUUM_460</v>
          </cell>
          <cell r="E986">
            <v>26</v>
          </cell>
        </row>
        <row r="987">
          <cell r="A987" t="str">
            <v>DEC 2015</v>
          </cell>
          <cell r="C987" t="str">
            <v>KUUM_461</v>
          </cell>
          <cell r="E987">
            <v>6310</v>
          </cell>
        </row>
        <row r="988">
          <cell r="A988" t="str">
            <v>DEC 2015</v>
          </cell>
          <cell r="C988" t="str">
            <v>KUUM_462</v>
          </cell>
          <cell r="E988">
            <v>8386</v>
          </cell>
        </row>
        <row r="989">
          <cell r="A989" t="str">
            <v>DEC 2015</v>
          </cell>
          <cell r="C989" t="str">
            <v>KUUM_463</v>
          </cell>
          <cell r="E989">
            <v>19399</v>
          </cell>
        </row>
        <row r="990">
          <cell r="A990" t="str">
            <v>DEC 2015</v>
          </cell>
          <cell r="C990" t="str">
            <v>KUUM_464</v>
          </cell>
          <cell r="E990">
            <v>7205</v>
          </cell>
        </row>
        <row r="991">
          <cell r="A991" t="str">
            <v>DEC 2015</v>
          </cell>
          <cell r="C991" t="str">
            <v>KUUM_465</v>
          </cell>
          <cell r="E991">
            <v>2683</v>
          </cell>
        </row>
        <row r="992">
          <cell r="A992" t="str">
            <v>DEC 2015</v>
          </cell>
          <cell r="C992" t="str">
            <v>KUUM_466</v>
          </cell>
          <cell r="E992">
            <v>828</v>
          </cell>
        </row>
        <row r="993">
          <cell r="A993" t="str">
            <v>DEC 2015</v>
          </cell>
          <cell r="C993" t="str">
            <v>KUUM_467</v>
          </cell>
          <cell r="E993">
            <v>1298</v>
          </cell>
        </row>
        <row r="994">
          <cell r="A994" t="str">
            <v>DEC 2015</v>
          </cell>
          <cell r="C994" t="str">
            <v>KUUM_468</v>
          </cell>
          <cell r="E994">
            <v>3842</v>
          </cell>
        </row>
        <row r="995">
          <cell r="A995" t="str">
            <v>DEC 2015</v>
          </cell>
          <cell r="C995" t="str">
            <v>KUUM_469</v>
          </cell>
          <cell r="E995">
            <v>288</v>
          </cell>
        </row>
        <row r="996">
          <cell r="A996" t="str">
            <v>DEC 2015</v>
          </cell>
          <cell r="C996" t="str">
            <v>KUUM_470</v>
          </cell>
          <cell r="E996">
            <v>62</v>
          </cell>
        </row>
        <row r="997">
          <cell r="A997" t="str">
            <v>DEC 2015</v>
          </cell>
          <cell r="C997" t="str">
            <v>KUUM_471</v>
          </cell>
          <cell r="E997">
            <v>3578</v>
          </cell>
        </row>
        <row r="998">
          <cell r="A998" t="str">
            <v>DEC 2015</v>
          </cell>
          <cell r="C998" t="str">
            <v>KUUM_472</v>
          </cell>
          <cell r="E998">
            <v>8410</v>
          </cell>
        </row>
        <row r="999">
          <cell r="A999" t="str">
            <v>DEC 2015</v>
          </cell>
          <cell r="C999" t="str">
            <v>KUUM_473</v>
          </cell>
          <cell r="E999">
            <v>3238</v>
          </cell>
        </row>
        <row r="1000">
          <cell r="A1000" t="str">
            <v>DEC 2015</v>
          </cell>
          <cell r="C1000" t="str">
            <v>KUUM_474</v>
          </cell>
          <cell r="E1000">
            <v>4981</v>
          </cell>
        </row>
        <row r="1001">
          <cell r="A1001" t="str">
            <v>DEC 2015</v>
          </cell>
          <cell r="C1001" t="str">
            <v>KUUM_475</v>
          </cell>
          <cell r="E1001">
            <v>499</v>
          </cell>
        </row>
        <row r="1002">
          <cell r="A1002" t="str">
            <v>DEC 2015</v>
          </cell>
          <cell r="C1002" t="str">
            <v>KUUM_476</v>
          </cell>
          <cell r="E1002">
            <v>4457</v>
          </cell>
        </row>
        <row r="1003">
          <cell r="A1003" t="str">
            <v>DEC 2015</v>
          </cell>
          <cell r="C1003" t="str">
            <v>KUUM_477</v>
          </cell>
          <cell r="E1003">
            <v>1033</v>
          </cell>
        </row>
        <row r="1004">
          <cell r="A1004" t="str">
            <v>DEC 2015</v>
          </cell>
          <cell r="C1004" t="str">
            <v>KUUM_478</v>
          </cell>
          <cell r="E1004">
            <v>1361</v>
          </cell>
        </row>
        <row r="1005">
          <cell r="A1005" t="str">
            <v>DEC 2015</v>
          </cell>
          <cell r="C1005" t="str">
            <v>KUUM_479</v>
          </cell>
          <cell r="E1005">
            <v>920</v>
          </cell>
        </row>
        <row r="1006">
          <cell r="A1006" t="str">
            <v>DEC 2015</v>
          </cell>
          <cell r="C1006" t="str">
            <v>KUUM_487</v>
          </cell>
          <cell r="E1006">
            <v>10668</v>
          </cell>
        </row>
        <row r="1007">
          <cell r="A1007" t="str">
            <v>DEC 2015</v>
          </cell>
          <cell r="C1007" t="str">
            <v>KUUM_488</v>
          </cell>
          <cell r="E1007">
            <v>6284</v>
          </cell>
        </row>
        <row r="1008">
          <cell r="A1008" t="str">
            <v>DEC 2015</v>
          </cell>
          <cell r="C1008" t="str">
            <v>KUUM_489</v>
          </cell>
          <cell r="E1008">
            <v>7982</v>
          </cell>
        </row>
        <row r="1009">
          <cell r="A1009" t="str">
            <v>DEC 2015</v>
          </cell>
          <cell r="C1009" t="str">
            <v>KUUM_490</v>
          </cell>
          <cell r="E1009">
            <v>56</v>
          </cell>
        </row>
        <row r="1010">
          <cell r="A1010" t="str">
            <v>DEC 2015</v>
          </cell>
          <cell r="C1010" t="str">
            <v>KUUM_491</v>
          </cell>
          <cell r="E1010">
            <v>286</v>
          </cell>
        </row>
        <row r="1011">
          <cell r="A1011" t="str">
            <v>DEC 2015</v>
          </cell>
          <cell r="C1011" t="str">
            <v>KUUM_492</v>
          </cell>
          <cell r="E1011">
            <v>2</v>
          </cell>
        </row>
        <row r="1012">
          <cell r="A1012" t="str">
            <v>DEC 2015</v>
          </cell>
          <cell r="C1012" t="str">
            <v>KUUM_493</v>
          </cell>
          <cell r="E1012">
            <v>45</v>
          </cell>
        </row>
        <row r="1013">
          <cell r="A1013" t="str">
            <v>DEC 2015</v>
          </cell>
          <cell r="C1013" t="str">
            <v>KUUM_494</v>
          </cell>
          <cell r="E1013">
            <v>174</v>
          </cell>
        </row>
        <row r="1014">
          <cell r="A1014" t="str">
            <v>DEC 2015</v>
          </cell>
          <cell r="C1014" t="str">
            <v>KUUM_495</v>
          </cell>
          <cell r="E1014">
            <v>593</v>
          </cell>
        </row>
        <row r="1015">
          <cell r="A1015" t="str">
            <v>DEC 2015</v>
          </cell>
          <cell r="C1015" t="str">
            <v>KUUM_496</v>
          </cell>
          <cell r="E1015">
            <v>168</v>
          </cell>
        </row>
        <row r="1016">
          <cell r="A1016" t="str">
            <v>DEC 2015</v>
          </cell>
          <cell r="C1016" t="str">
            <v>KUUM_497</v>
          </cell>
          <cell r="E1016">
            <v>8</v>
          </cell>
        </row>
        <row r="1017">
          <cell r="A1017" t="str">
            <v>DEC 2015</v>
          </cell>
          <cell r="C1017" t="str">
            <v>KUUM_498</v>
          </cell>
          <cell r="E1017">
            <v>20</v>
          </cell>
        </row>
        <row r="1018">
          <cell r="A1018" t="str">
            <v>DEC 2015</v>
          </cell>
          <cell r="C1018" t="str">
            <v>KUUM_499</v>
          </cell>
          <cell r="E1018">
            <v>23</v>
          </cell>
        </row>
      </sheetData>
      <sheetData sheetId="28">
        <row r="3">
          <cell r="A3" t="str">
            <v>JAN 2016</v>
          </cell>
          <cell r="B3" t="str">
            <v>KTRSE020</v>
          </cell>
          <cell r="D3" t="str">
            <v>TNRS</v>
          </cell>
          <cell r="S3">
            <v>0</v>
          </cell>
          <cell r="T3">
            <v>0</v>
          </cell>
          <cell r="U3">
            <v>0</v>
          </cell>
        </row>
        <row r="4">
          <cell r="A4" t="str">
            <v>JAN 2016</v>
          </cell>
          <cell r="B4" t="str">
            <v>KTRSE030</v>
          </cell>
          <cell r="D4" t="str">
            <v>TNRS</v>
          </cell>
          <cell r="S4">
            <v>0</v>
          </cell>
          <cell r="T4">
            <v>0</v>
          </cell>
          <cell r="U4">
            <v>0</v>
          </cell>
        </row>
        <row r="5">
          <cell r="A5" t="str">
            <v>JAN 2016</v>
          </cell>
          <cell r="B5" t="str">
            <v>KTUM_406</v>
          </cell>
          <cell r="D5" t="str">
            <v>TNLS</v>
          </cell>
          <cell r="S5">
            <v>0</v>
          </cell>
          <cell r="T5">
            <v>0</v>
          </cell>
          <cell r="U5">
            <v>0</v>
          </cell>
        </row>
        <row r="6">
          <cell r="A6" t="str">
            <v>JAN 2016</v>
          </cell>
          <cell r="B6" t="str">
            <v>KTUM_428</v>
          </cell>
          <cell r="D6" t="str">
            <v>TNLS</v>
          </cell>
          <cell r="S6">
            <v>0</v>
          </cell>
          <cell r="T6">
            <v>0</v>
          </cell>
          <cell r="U6">
            <v>0</v>
          </cell>
        </row>
        <row r="7">
          <cell r="A7" t="str">
            <v>JAN 2016</v>
          </cell>
          <cell r="B7" t="str">
            <v>KUCIE000</v>
          </cell>
          <cell r="D7" t="str">
            <v>TS</v>
          </cell>
          <cell r="S7">
            <v>0</v>
          </cell>
          <cell r="T7">
            <v>0</v>
          </cell>
          <cell r="U7">
            <v>0</v>
          </cell>
        </row>
        <row r="8">
          <cell r="A8" t="str">
            <v>JAN 2016</v>
          </cell>
          <cell r="B8" t="str">
            <v>KUCIE550</v>
          </cell>
          <cell r="D8" t="str">
            <v>RTS</v>
          </cell>
          <cell r="E8">
            <v>138414539</v>
          </cell>
          <cell r="F8">
            <v>24000</v>
          </cell>
          <cell r="L8">
            <v>0</v>
          </cell>
          <cell r="M8">
            <v>438340</v>
          </cell>
          <cell r="P8">
            <v>0</v>
          </cell>
          <cell r="R8">
            <v>8518992</v>
          </cell>
          <cell r="S8">
            <v>5029984</v>
          </cell>
          <cell r="T8">
            <v>2391109</v>
          </cell>
          <cell r="U8">
            <v>635559</v>
          </cell>
        </row>
        <row r="9">
          <cell r="A9" t="str">
            <v>JAN 2016</v>
          </cell>
          <cell r="B9" t="str">
            <v>KUCIE561</v>
          </cell>
          <cell r="D9" t="str">
            <v>PSP</v>
          </cell>
          <cell r="E9">
            <v>18906207</v>
          </cell>
          <cell r="F9">
            <v>33150</v>
          </cell>
          <cell r="L9">
            <v>15638</v>
          </cell>
          <cell r="M9">
            <v>59873</v>
          </cell>
          <cell r="P9">
            <v>0</v>
          </cell>
          <cell r="R9">
            <v>1587710</v>
          </cell>
          <cell r="S9">
            <v>673440</v>
          </cell>
          <cell r="T9">
            <v>718798</v>
          </cell>
          <cell r="U9">
            <v>86812</v>
          </cell>
        </row>
        <row r="10">
          <cell r="A10" t="str">
            <v>JAN 2016</v>
          </cell>
          <cell r="B10" t="str">
            <v>KUCIE562</v>
          </cell>
          <cell r="D10" t="str">
            <v>PSS</v>
          </cell>
          <cell r="E10">
            <v>174767460</v>
          </cell>
          <cell r="F10">
            <v>418500</v>
          </cell>
          <cell r="L10">
            <v>144553</v>
          </cell>
          <cell r="M10">
            <v>553465</v>
          </cell>
          <cell r="P10">
            <v>0</v>
          </cell>
          <cell r="R10">
            <v>15649686</v>
          </cell>
          <cell r="S10">
            <v>6228712</v>
          </cell>
          <cell r="T10">
            <v>7501975</v>
          </cell>
          <cell r="U10">
            <v>802481</v>
          </cell>
        </row>
        <row r="11">
          <cell r="A11" t="str">
            <v>JAN 2016</v>
          </cell>
          <cell r="B11" t="str">
            <v>KUCIE563</v>
          </cell>
          <cell r="D11" t="str">
            <v>TODP</v>
          </cell>
          <cell r="E11">
            <v>243518261</v>
          </cell>
          <cell r="F11">
            <v>15600</v>
          </cell>
          <cell r="L11">
            <v>201417</v>
          </cell>
          <cell r="M11">
            <v>771189</v>
          </cell>
          <cell r="P11">
            <v>0</v>
          </cell>
          <cell r="R11">
            <v>15355884</v>
          </cell>
          <cell r="S11">
            <v>9168462</v>
          </cell>
          <cell r="T11">
            <v>4081050</v>
          </cell>
          <cell r="U11">
            <v>1118165</v>
          </cell>
        </row>
        <row r="12">
          <cell r="A12" t="str">
            <v>JAN 2016</v>
          </cell>
          <cell r="B12" t="str">
            <v>KUCIE566</v>
          </cell>
          <cell r="D12" t="str">
            <v>PSP</v>
          </cell>
          <cell r="E12">
            <v>0</v>
          </cell>
          <cell r="F12">
            <v>0</v>
          </cell>
          <cell r="L12">
            <v>0</v>
          </cell>
          <cell r="M12">
            <v>0</v>
          </cell>
          <cell r="P12">
            <v>0</v>
          </cell>
          <cell r="R12">
            <v>0</v>
          </cell>
          <cell r="S12">
            <v>0</v>
          </cell>
          <cell r="T12">
            <v>0</v>
          </cell>
          <cell r="U12">
            <v>0</v>
          </cell>
        </row>
        <row r="13">
          <cell r="A13" t="str">
            <v>JAN 2016</v>
          </cell>
          <cell r="B13" t="str">
            <v>KUCIE568</v>
          </cell>
          <cell r="D13" t="str">
            <v>PSS</v>
          </cell>
          <cell r="E13">
            <v>0</v>
          </cell>
          <cell r="F13">
            <v>0</v>
          </cell>
          <cell r="L13">
            <v>0</v>
          </cell>
          <cell r="M13">
            <v>0</v>
          </cell>
          <cell r="P13">
            <v>0</v>
          </cell>
          <cell r="R13">
            <v>0</v>
          </cell>
          <cell r="S13">
            <v>0</v>
          </cell>
          <cell r="T13">
            <v>0</v>
          </cell>
          <cell r="U13">
            <v>0</v>
          </cell>
        </row>
        <row r="14">
          <cell r="A14" t="str">
            <v>JAN 2016</v>
          </cell>
          <cell r="B14" t="str">
            <v>KUCIE571</v>
          </cell>
          <cell r="D14" t="str">
            <v>TODP</v>
          </cell>
          <cell r="E14">
            <v>102170247</v>
          </cell>
          <cell r="F14">
            <v>60900</v>
          </cell>
          <cell r="L14">
            <v>84506</v>
          </cell>
          <cell r="M14">
            <v>323559</v>
          </cell>
          <cell r="P14">
            <v>0</v>
          </cell>
          <cell r="R14">
            <v>6932375</v>
          </cell>
          <cell r="S14">
            <v>3846710</v>
          </cell>
          <cell r="T14">
            <v>2147563</v>
          </cell>
          <cell r="U14">
            <v>469136</v>
          </cell>
        </row>
        <row r="15">
          <cell r="A15" t="str">
            <v>JAN 2016</v>
          </cell>
          <cell r="B15" t="str">
            <v>KUCIE572</v>
          </cell>
          <cell r="D15" t="str">
            <v>TODS</v>
          </cell>
          <cell r="E15">
            <v>133726084</v>
          </cell>
          <cell r="F15">
            <v>93400</v>
          </cell>
          <cell r="L15">
            <v>110607</v>
          </cell>
          <cell r="M15">
            <v>423492</v>
          </cell>
          <cell r="P15">
            <v>0</v>
          </cell>
          <cell r="R15">
            <v>9672910</v>
          </cell>
          <cell r="S15">
            <v>5045485</v>
          </cell>
          <cell r="T15">
            <v>3385895</v>
          </cell>
          <cell r="U15">
            <v>614031</v>
          </cell>
        </row>
        <row r="16">
          <cell r="A16" t="str">
            <v>JAN 2016</v>
          </cell>
          <cell r="B16" t="str">
            <v>KUCIE717</v>
          </cell>
          <cell r="D16" t="str">
            <v>PSS</v>
          </cell>
          <cell r="E16">
            <v>0</v>
          </cell>
          <cell r="F16">
            <v>0</v>
          </cell>
          <cell r="L16">
            <v>0</v>
          </cell>
          <cell r="M16">
            <v>0</v>
          </cell>
          <cell r="P16">
            <v>0</v>
          </cell>
          <cell r="R16">
            <v>0</v>
          </cell>
          <cell r="S16">
            <v>0</v>
          </cell>
          <cell r="T16">
            <v>0</v>
          </cell>
          <cell r="U16">
            <v>0</v>
          </cell>
        </row>
        <row r="17">
          <cell r="A17" t="str">
            <v>JAN 2016</v>
          </cell>
          <cell r="B17" t="str">
            <v>KUCME000</v>
          </cell>
          <cell r="D17" t="str">
            <v>TS</v>
          </cell>
          <cell r="E17">
            <v>0</v>
          </cell>
          <cell r="F17">
            <v>0</v>
          </cell>
          <cell r="L17">
            <v>0</v>
          </cell>
          <cell r="M17">
            <v>0</v>
          </cell>
          <cell r="P17">
            <v>0</v>
          </cell>
          <cell r="R17">
            <v>0</v>
          </cell>
          <cell r="S17">
            <v>0</v>
          </cell>
          <cell r="T17">
            <v>0</v>
          </cell>
          <cell r="U17">
            <v>0</v>
          </cell>
        </row>
        <row r="18">
          <cell r="A18" t="str">
            <v>JAN 2016</v>
          </cell>
          <cell r="B18" t="str">
            <v>KUCME110</v>
          </cell>
          <cell r="D18" t="str">
            <v>GS</v>
          </cell>
          <cell r="E18">
            <v>75764744</v>
          </cell>
          <cell r="F18">
            <v>1270742</v>
          </cell>
          <cell r="L18">
            <v>62666</v>
          </cell>
          <cell r="M18">
            <v>239937</v>
          </cell>
          <cell r="P18">
            <v>0</v>
          </cell>
          <cell r="R18">
            <v>8910532</v>
          </cell>
          <cell r="S18">
            <v>6989297</v>
          </cell>
          <cell r="T18">
            <v>0</v>
          </cell>
          <cell r="U18">
            <v>347890</v>
          </cell>
        </row>
        <row r="19">
          <cell r="A19" t="str">
            <v>JAN 2016</v>
          </cell>
          <cell r="B19" t="str">
            <v>KUCME112</v>
          </cell>
          <cell r="D19" t="str">
            <v>GS</v>
          </cell>
          <cell r="E19">
            <v>0</v>
          </cell>
          <cell r="F19">
            <v>0</v>
          </cell>
          <cell r="L19">
            <v>0</v>
          </cell>
          <cell r="M19">
            <v>0</v>
          </cell>
          <cell r="P19">
            <v>0</v>
          </cell>
          <cell r="R19">
            <v>0</v>
          </cell>
          <cell r="S19">
            <v>0</v>
          </cell>
          <cell r="T19">
            <v>0</v>
          </cell>
          <cell r="U19">
            <v>0</v>
          </cell>
        </row>
        <row r="20">
          <cell r="A20" t="str">
            <v>JAN 2016</v>
          </cell>
          <cell r="B20" t="str">
            <v>KUCME113</v>
          </cell>
          <cell r="D20" t="str">
            <v>GS3</v>
          </cell>
          <cell r="E20">
            <v>111271196</v>
          </cell>
          <cell r="F20">
            <v>650052</v>
          </cell>
          <cell r="L20">
            <v>92034</v>
          </cell>
          <cell r="M20">
            <v>352381</v>
          </cell>
          <cell r="P20">
            <v>0</v>
          </cell>
          <cell r="R20">
            <v>11870159</v>
          </cell>
          <cell r="S20">
            <v>10264767</v>
          </cell>
          <cell r="T20">
            <v>0</v>
          </cell>
          <cell r="U20">
            <v>510925</v>
          </cell>
        </row>
        <row r="21">
          <cell r="A21" t="str">
            <v>JAN 2016</v>
          </cell>
          <cell r="B21" t="str">
            <v>KUCME220</v>
          </cell>
          <cell r="D21" t="str">
            <v>AES</v>
          </cell>
          <cell r="E21">
            <v>784373</v>
          </cell>
          <cell r="F21">
            <v>7480</v>
          </cell>
          <cell r="L21">
            <v>649</v>
          </cell>
          <cell r="M21">
            <v>2484</v>
          </cell>
          <cell r="P21">
            <v>0</v>
          </cell>
          <cell r="R21">
            <v>72572</v>
          </cell>
          <cell r="S21">
            <v>58357</v>
          </cell>
          <cell r="T21">
            <v>0</v>
          </cell>
          <cell r="U21">
            <v>3602</v>
          </cell>
        </row>
        <row r="22">
          <cell r="A22" t="str">
            <v>JAN 2016</v>
          </cell>
          <cell r="B22" t="str">
            <v>KUCME221</v>
          </cell>
          <cell r="D22" t="str">
            <v>AESP</v>
          </cell>
          <cell r="E22">
            <v>0</v>
          </cell>
          <cell r="F22">
            <v>0</v>
          </cell>
          <cell r="L22">
            <v>0</v>
          </cell>
          <cell r="M22">
            <v>0</v>
          </cell>
          <cell r="P22">
            <v>0</v>
          </cell>
          <cell r="R22">
            <v>0</v>
          </cell>
          <cell r="S22">
            <v>0</v>
          </cell>
          <cell r="T22">
            <v>0</v>
          </cell>
          <cell r="U22">
            <v>0</v>
          </cell>
        </row>
        <row r="23">
          <cell r="A23" t="str">
            <v>JAN 2016</v>
          </cell>
          <cell r="B23" t="str">
            <v>KUCME223</v>
          </cell>
          <cell r="D23" t="str">
            <v>AES3</v>
          </cell>
          <cell r="E23">
            <v>0</v>
          </cell>
          <cell r="F23">
            <v>0</v>
          </cell>
          <cell r="L23">
            <v>0</v>
          </cell>
          <cell r="M23">
            <v>0</v>
          </cell>
          <cell r="P23">
            <v>0</v>
          </cell>
          <cell r="R23">
            <v>0</v>
          </cell>
          <cell r="S23">
            <v>0</v>
          </cell>
          <cell r="T23">
            <v>0</v>
          </cell>
          <cell r="U23">
            <v>0</v>
          </cell>
        </row>
        <row r="24">
          <cell r="A24" t="str">
            <v>JAN 2016</v>
          </cell>
          <cell r="B24" t="str">
            <v>KUCME224</v>
          </cell>
          <cell r="D24" t="str">
            <v>AES3P</v>
          </cell>
          <cell r="E24">
            <v>14537966</v>
          </cell>
          <cell r="F24">
            <v>9100</v>
          </cell>
          <cell r="L24">
            <v>12025</v>
          </cell>
          <cell r="M24">
            <v>46040</v>
          </cell>
          <cell r="P24">
            <v>0</v>
          </cell>
          <cell r="R24">
            <v>1215543</v>
          </cell>
          <cell r="S24">
            <v>1081625</v>
          </cell>
          <cell r="T24">
            <v>0</v>
          </cell>
          <cell r="U24">
            <v>66754</v>
          </cell>
        </row>
        <row r="25">
          <cell r="A25" t="str">
            <v>JAN 2016</v>
          </cell>
          <cell r="B25" t="str">
            <v>KUCME225</v>
          </cell>
          <cell r="D25" t="str">
            <v>AES3PSS</v>
          </cell>
          <cell r="E25">
            <v>0</v>
          </cell>
          <cell r="F25">
            <v>0</v>
          </cell>
          <cell r="L25">
            <v>0</v>
          </cell>
          <cell r="M25">
            <v>0</v>
          </cell>
          <cell r="P25">
            <v>0</v>
          </cell>
          <cell r="R25">
            <v>0</v>
          </cell>
          <cell r="S25">
            <v>0</v>
          </cell>
          <cell r="T25">
            <v>0</v>
          </cell>
          <cell r="U25">
            <v>0</v>
          </cell>
        </row>
        <row r="26">
          <cell r="A26" t="str">
            <v>JAN 2016</v>
          </cell>
          <cell r="B26" t="str">
            <v>KUCME226</v>
          </cell>
          <cell r="D26" t="str">
            <v>AESPSS</v>
          </cell>
          <cell r="E26">
            <v>0</v>
          </cell>
          <cell r="F26">
            <v>0</v>
          </cell>
          <cell r="L26">
            <v>0</v>
          </cell>
          <cell r="M26">
            <v>0</v>
          </cell>
          <cell r="P26">
            <v>0</v>
          </cell>
          <cell r="R26">
            <v>0</v>
          </cell>
          <cell r="S26">
            <v>0</v>
          </cell>
          <cell r="T26">
            <v>0</v>
          </cell>
          <cell r="U26">
            <v>0</v>
          </cell>
        </row>
        <row r="27">
          <cell r="A27" t="str">
            <v>JAN 2016</v>
          </cell>
          <cell r="B27" t="str">
            <v>KUCME227</v>
          </cell>
          <cell r="D27" t="str">
            <v>AESTODS</v>
          </cell>
          <cell r="E27">
            <v>0</v>
          </cell>
          <cell r="F27">
            <v>0</v>
          </cell>
          <cell r="L27">
            <v>0</v>
          </cell>
          <cell r="M27">
            <v>0</v>
          </cell>
          <cell r="P27">
            <v>0</v>
          </cell>
          <cell r="R27">
            <v>0</v>
          </cell>
          <cell r="S27">
            <v>0</v>
          </cell>
          <cell r="T27">
            <v>0</v>
          </cell>
          <cell r="U27">
            <v>0</v>
          </cell>
        </row>
        <row r="28">
          <cell r="A28" t="str">
            <v>JAN 2016</v>
          </cell>
          <cell r="B28" t="str">
            <v>KUCME290</v>
          </cell>
          <cell r="D28" t="str">
            <v>LE</v>
          </cell>
          <cell r="E28">
            <v>0</v>
          </cell>
          <cell r="F28">
            <v>0</v>
          </cell>
          <cell r="L28">
            <v>0</v>
          </cell>
          <cell r="M28">
            <v>0</v>
          </cell>
          <cell r="P28">
            <v>0</v>
          </cell>
          <cell r="R28">
            <v>0</v>
          </cell>
          <cell r="S28">
            <v>0</v>
          </cell>
          <cell r="T28">
            <v>0</v>
          </cell>
          <cell r="U28">
            <v>0</v>
          </cell>
        </row>
        <row r="29">
          <cell r="A29" t="str">
            <v>JAN 2016</v>
          </cell>
          <cell r="B29" t="str">
            <v>KUCME291</v>
          </cell>
          <cell r="D29" t="str">
            <v>LE</v>
          </cell>
          <cell r="E29">
            <v>0</v>
          </cell>
          <cell r="F29">
            <v>0</v>
          </cell>
          <cell r="L29">
            <v>0</v>
          </cell>
          <cell r="M29">
            <v>0</v>
          </cell>
          <cell r="P29">
            <v>0</v>
          </cell>
          <cell r="R29">
            <v>0</v>
          </cell>
          <cell r="S29">
            <v>0</v>
          </cell>
          <cell r="T29">
            <v>0</v>
          </cell>
          <cell r="U29">
            <v>0</v>
          </cell>
        </row>
        <row r="30">
          <cell r="A30" t="str">
            <v>JAN 2016</v>
          </cell>
          <cell r="B30" t="str">
            <v>KUCME295</v>
          </cell>
          <cell r="D30" t="str">
            <v>TE</v>
          </cell>
          <cell r="E30">
            <v>0</v>
          </cell>
          <cell r="F30">
            <v>0</v>
          </cell>
          <cell r="L30">
            <v>0</v>
          </cell>
          <cell r="M30">
            <v>0</v>
          </cell>
          <cell r="P30">
            <v>0</v>
          </cell>
          <cell r="R30">
            <v>0</v>
          </cell>
          <cell r="S30">
            <v>0</v>
          </cell>
          <cell r="T30">
            <v>0</v>
          </cell>
          <cell r="U30">
            <v>0</v>
          </cell>
        </row>
        <row r="31">
          <cell r="A31" t="str">
            <v>JAN 2016</v>
          </cell>
          <cell r="B31" t="str">
            <v>KUCME297</v>
          </cell>
          <cell r="D31" t="str">
            <v>TE</v>
          </cell>
          <cell r="E31">
            <v>0</v>
          </cell>
          <cell r="F31">
            <v>0</v>
          </cell>
          <cell r="L31">
            <v>0</v>
          </cell>
          <cell r="M31">
            <v>0</v>
          </cell>
          <cell r="P31">
            <v>0</v>
          </cell>
          <cell r="R31">
            <v>0</v>
          </cell>
          <cell r="S31">
            <v>0</v>
          </cell>
          <cell r="T31">
            <v>0</v>
          </cell>
          <cell r="U31">
            <v>0</v>
          </cell>
        </row>
        <row r="32">
          <cell r="A32" t="str">
            <v>JAN 2016</v>
          </cell>
          <cell r="B32" t="str">
            <v>KUCME705</v>
          </cell>
          <cell r="D32" t="str">
            <v>SQF</v>
          </cell>
          <cell r="E32">
            <v>0</v>
          </cell>
          <cell r="F32">
            <v>0</v>
          </cell>
          <cell r="L32">
            <v>0</v>
          </cell>
          <cell r="M32">
            <v>0</v>
          </cell>
          <cell r="P32">
            <v>0</v>
          </cell>
          <cell r="R32">
            <v>0</v>
          </cell>
          <cell r="S32">
            <v>0</v>
          </cell>
          <cell r="T32">
            <v>0</v>
          </cell>
          <cell r="U32">
            <v>0</v>
          </cell>
        </row>
        <row r="33">
          <cell r="A33" t="str">
            <v>JAN 2016</v>
          </cell>
          <cell r="B33" t="str">
            <v>KUCME707</v>
          </cell>
          <cell r="D33" t="str">
            <v>LQF</v>
          </cell>
          <cell r="E33">
            <v>0</v>
          </cell>
          <cell r="F33">
            <v>0</v>
          </cell>
          <cell r="L33">
            <v>0</v>
          </cell>
          <cell r="M33">
            <v>0</v>
          </cell>
          <cell r="P33">
            <v>0</v>
          </cell>
          <cell r="R33">
            <v>0</v>
          </cell>
          <cell r="S33">
            <v>0</v>
          </cell>
          <cell r="T33">
            <v>0</v>
          </cell>
          <cell r="U33">
            <v>0</v>
          </cell>
        </row>
        <row r="34">
          <cell r="A34" t="str">
            <v>JAN 2016</v>
          </cell>
          <cell r="B34" t="str">
            <v>KUCME710</v>
          </cell>
          <cell r="D34" t="str">
            <v>GS</v>
          </cell>
          <cell r="E34">
            <v>0</v>
          </cell>
          <cell r="F34">
            <v>0</v>
          </cell>
          <cell r="L34">
            <v>0</v>
          </cell>
          <cell r="M34">
            <v>0</v>
          </cell>
          <cell r="P34">
            <v>0</v>
          </cell>
          <cell r="R34">
            <v>0</v>
          </cell>
          <cell r="S34">
            <v>0</v>
          </cell>
          <cell r="T34">
            <v>0</v>
          </cell>
          <cell r="U34">
            <v>0</v>
          </cell>
        </row>
        <row r="35">
          <cell r="A35" t="str">
            <v>JAN 2016</v>
          </cell>
          <cell r="B35" t="str">
            <v>KUCME713</v>
          </cell>
          <cell r="D35" t="str">
            <v>GS3</v>
          </cell>
          <cell r="E35">
            <v>0</v>
          </cell>
          <cell r="F35">
            <v>0</v>
          </cell>
          <cell r="L35">
            <v>0</v>
          </cell>
          <cell r="M35">
            <v>0</v>
          </cell>
          <cell r="P35">
            <v>0</v>
          </cell>
          <cell r="R35">
            <v>0</v>
          </cell>
          <cell r="S35">
            <v>0</v>
          </cell>
          <cell r="T35">
            <v>0</v>
          </cell>
          <cell r="U35">
            <v>0</v>
          </cell>
        </row>
        <row r="36">
          <cell r="A36" t="str">
            <v>JAN 2016</v>
          </cell>
          <cell r="B36" t="str">
            <v>KUCME841</v>
          </cell>
          <cell r="D36" t="str">
            <v>LRI</v>
          </cell>
          <cell r="E36">
            <v>0</v>
          </cell>
          <cell r="F36">
            <v>0</v>
          </cell>
          <cell r="L36">
            <v>0</v>
          </cell>
          <cell r="M36">
            <v>0</v>
          </cell>
          <cell r="P36">
            <v>0</v>
          </cell>
          <cell r="R36">
            <v>0</v>
          </cell>
          <cell r="S36">
            <v>0</v>
          </cell>
          <cell r="T36">
            <v>0</v>
          </cell>
          <cell r="U36">
            <v>0</v>
          </cell>
        </row>
        <row r="37">
          <cell r="A37" t="str">
            <v>JAN 2016</v>
          </cell>
          <cell r="B37" t="str">
            <v>KUCSR760</v>
          </cell>
          <cell r="D37" t="str">
            <v>CSR</v>
          </cell>
          <cell r="E37">
            <v>0</v>
          </cell>
          <cell r="F37">
            <v>0</v>
          </cell>
          <cell r="L37">
            <v>0</v>
          </cell>
          <cell r="M37">
            <v>0</v>
          </cell>
          <cell r="P37">
            <v>-989829</v>
          </cell>
          <cell r="R37">
            <v>-989829</v>
          </cell>
          <cell r="S37">
            <v>0</v>
          </cell>
          <cell r="T37">
            <v>0</v>
          </cell>
          <cell r="U37">
            <v>0</v>
          </cell>
        </row>
        <row r="38">
          <cell r="A38" t="str">
            <v>JAN 2016</v>
          </cell>
          <cell r="B38" t="str">
            <v>KUCSR761</v>
          </cell>
          <cell r="D38" t="str">
            <v>CSR</v>
          </cell>
          <cell r="E38">
            <v>0</v>
          </cell>
          <cell r="F38">
            <v>0</v>
          </cell>
          <cell r="L38">
            <v>0</v>
          </cell>
          <cell r="M38">
            <v>0</v>
          </cell>
          <cell r="P38">
            <v>0</v>
          </cell>
          <cell r="R38">
            <v>0</v>
          </cell>
          <cell r="S38">
            <v>0</v>
          </cell>
          <cell r="T38">
            <v>0</v>
          </cell>
          <cell r="U38">
            <v>0</v>
          </cell>
        </row>
        <row r="39">
          <cell r="A39" t="str">
            <v>JAN 2016</v>
          </cell>
          <cell r="B39" t="str">
            <v>KUCSR783</v>
          </cell>
          <cell r="D39" t="str">
            <v>CSR</v>
          </cell>
          <cell r="E39">
            <v>0</v>
          </cell>
          <cell r="F39">
            <v>0</v>
          </cell>
          <cell r="L39">
            <v>0</v>
          </cell>
          <cell r="M39">
            <v>0</v>
          </cell>
          <cell r="P39">
            <v>0</v>
          </cell>
          <cell r="R39">
            <v>0</v>
          </cell>
          <cell r="S39">
            <v>0</v>
          </cell>
          <cell r="T39">
            <v>0</v>
          </cell>
          <cell r="U39">
            <v>0</v>
          </cell>
        </row>
        <row r="40">
          <cell r="A40" t="str">
            <v>JAN 2016</v>
          </cell>
          <cell r="B40" t="str">
            <v>KUCUE851</v>
          </cell>
          <cell r="D40" t="str">
            <v>CU</v>
          </cell>
          <cell r="E40">
            <v>0</v>
          </cell>
          <cell r="F40">
            <v>0</v>
          </cell>
          <cell r="L40">
            <v>0</v>
          </cell>
          <cell r="M40">
            <v>0</v>
          </cell>
          <cell r="P40">
            <v>0</v>
          </cell>
          <cell r="R40">
            <v>0</v>
          </cell>
          <cell r="S40">
            <v>0</v>
          </cell>
          <cell r="T40">
            <v>0</v>
          </cell>
          <cell r="U40">
            <v>0</v>
          </cell>
        </row>
        <row r="41">
          <cell r="A41" t="str">
            <v>JAN 2016</v>
          </cell>
          <cell r="B41" t="str">
            <v>KUCUE852</v>
          </cell>
          <cell r="D41" t="str">
            <v>CU</v>
          </cell>
          <cell r="E41">
            <v>0</v>
          </cell>
          <cell r="F41">
            <v>0</v>
          </cell>
          <cell r="L41">
            <v>0</v>
          </cell>
          <cell r="M41">
            <v>0</v>
          </cell>
          <cell r="P41">
            <v>0</v>
          </cell>
          <cell r="R41">
            <v>0</v>
          </cell>
          <cell r="S41">
            <v>0</v>
          </cell>
          <cell r="T41">
            <v>0</v>
          </cell>
          <cell r="U41">
            <v>0</v>
          </cell>
        </row>
        <row r="42">
          <cell r="A42" t="str">
            <v>JAN 2016</v>
          </cell>
          <cell r="B42" t="str">
            <v>KUMNE902</v>
          </cell>
          <cell r="D42" t="str">
            <v>WPS</v>
          </cell>
          <cell r="E42">
            <v>0</v>
          </cell>
          <cell r="F42">
            <v>0</v>
          </cell>
          <cell r="L42">
            <v>0</v>
          </cell>
          <cell r="M42">
            <v>0</v>
          </cell>
          <cell r="P42">
            <v>0</v>
          </cell>
          <cell r="R42">
            <v>0</v>
          </cell>
          <cell r="S42">
            <v>0</v>
          </cell>
          <cell r="T42">
            <v>0</v>
          </cell>
          <cell r="U42">
            <v>0</v>
          </cell>
        </row>
        <row r="43">
          <cell r="A43" t="str">
            <v>JAN 2016</v>
          </cell>
          <cell r="B43" t="str">
            <v>KUMNE903</v>
          </cell>
          <cell r="D43" t="str">
            <v>WPS</v>
          </cell>
          <cell r="E43">
            <v>0</v>
          </cell>
          <cell r="F43">
            <v>0</v>
          </cell>
          <cell r="L43">
            <v>0</v>
          </cell>
          <cell r="M43">
            <v>0</v>
          </cell>
          <cell r="P43">
            <v>0</v>
          </cell>
          <cell r="R43">
            <v>0</v>
          </cell>
          <cell r="S43">
            <v>0</v>
          </cell>
          <cell r="T43">
            <v>0</v>
          </cell>
          <cell r="U43">
            <v>0</v>
          </cell>
        </row>
        <row r="44">
          <cell r="A44" t="str">
            <v>JAN 2016</v>
          </cell>
          <cell r="B44" t="str">
            <v>KUMNE934</v>
          </cell>
          <cell r="D44" t="str">
            <v>WPS</v>
          </cell>
          <cell r="E44">
            <v>0</v>
          </cell>
          <cell r="F44">
            <v>0</v>
          </cell>
          <cell r="L44">
            <v>0</v>
          </cell>
          <cell r="M44">
            <v>0</v>
          </cell>
          <cell r="P44">
            <v>0</v>
          </cell>
          <cell r="R44">
            <v>0</v>
          </cell>
          <cell r="S44">
            <v>0</v>
          </cell>
          <cell r="T44">
            <v>0</v>
          </cell>
          <cell r="U44">
            <v>0</v>
          </cell>
        </row>
        <row r="45">
          <cell r="A45" t="str">
            <v>JAN 2016</v>
          </cell>
          <cell r="B45" t="str">
            <v>KUINE730</v>
          </cell>
          <cell r="D45" t="str">
            <v>FLS</v>
          </cell>
          <cell r="E45">
            <v>48922696</v>
          </cell>
          <cell r="F45">
            <v>750</v>
          </cell>
          <cell r="L45">
            <v>0</v>
          </cell>
          <cell r="M45">
            <v>154932</v>
          </cell>
          <cell r="P45">
            <v>0</v>
          </cell>
          <cell r="R45">
            <v>2695889</v>
          </cell>
          <cell r="S45">
            <v>1595369</v>
          </cell>
          <cell r="T45">
            <v>720199</v>
          </cell>
          <cell r="U45">
            <v>224639</v>
          </cell>
        </row>
        <row r="46">
          <cell r="A46" t="str">
            <v>JAN 2016</v>
          </cell>
          <cell r="B46" t="str">
            <v>KURSE000</v>
          </cell>
          <cell r="D46" t="str">
            <v>TS</v>
          </cell>
          <cell r="E46">
            <v>0</v>
          </cell>
          <cell r="F46">
            <v>0</v>
          </cell>
          <cell r="L46">
            <v>0</v>
          </cell>
          <cell r="M46">
            <v>0</v>
          </cell>
          <cell r="P46">
            <v>0</v>
          </cell>
          <cell r="R46">
            <v>0</v>
          </cell>
          <cell r="S46">
            <v>0</v>
          </cell>
          <cell r="T46">
            <v>0</v>
          </cell>
          <cell r="U46">
            <v>0</v>
          </cell>
        </row>
        <row r="47">
          <cell r="A47" t="str">
            <v>JAN 2016</v>
          </cell>
          <cell r="B47" t="str">
            <v>KURSE010</v>
          </cell>
          <cell r="D47" t="str">
            <v>RS</v>
          </cell>
          <cell r="E47">
            <v>742967901</v>
          </cell>
          <cell r="F47">
            <v>4625458</v>
          </cell>
          <cell r="L47">
            <v>614519</v>
          </cell>
          <cell r="M47">
            <v>2352878</v>
          </cell>
          <cell r="P47">
            <v>0</v>
          </cell>
          <cell r="R47">
            <v>68539781</v>
          </cell>
          <cell r="S47">
            <v>57535435</v>
          </cell>
          <cell r="T47">
            <v>0</v>
          </cell>
          <cell r="U47">
            <v>3411491</v>
          </cell>
        </row>
        <row r="48">
          <cell r="A48" t="str">
            <v>JAN 2016</v>
          </cell>
          <cell r="B48" t="str">
            <v>KURSE020</v>
          </cell>
          <cell r="D48" t="str">
            <v>RS</v>
          </cell>
          <cell r="E48">
            <v>0</v>
          </cell>
          <cell r="F48">
            <v>0</v>
          </cell>
          <cell r="L48">
            <v>0</v>
          </cell>
          <cell r="M48">
            <v>0</v>
          </cell>
          <cell r="P48">
            <v>0</v>
          </cell>
          <cell r="R48">
            <v>0</v>
          </cell>
          <cell r="S48">
            <v>0</v>
          </cell>
          <cell r="T48">
            <v>0</v>
          </cell>
          <cell r="U48">
            <v>0</v>
          </cell>
        </row>
        <row r="49">
          <cell r="A49" t="str">
            <v>JAN 2016</v>
          </cell>
          <cell r="B49" t="str">
            <v>KURSE025</v>
          </cell>
          <cell r="D49" t="str">
            <v>RS3</v>
          </cell>
          <cell r="E49">
            <v>0</v>
          </cell>
          <cell r="F49">
            <v>0</v>
          </cell>
          <cell r="L49">
            <v>0</v>
          </cell>
          <cell r="M49">
            <v>0</v>
          </cell>
          <cell r="P49">
            <v>0</v>
          </cell>
          <cell r="R49">
            <v>0</v>
          </cell>
          <cell r="S49">
            <v>0</v>
          </cell>
          <cell r="T49">
            <v>0</v>
          </cell>
          <cell r="U49">
            <v>0</v>
          </cell>
        </row>
        <row r="50">
          <cell r="A50" t="str">
            <v>JAN 2016</v>
          </cell>
          <cell r="B50" t="str">
            <v>KURSE040</v>
          </cell>
          <cell r="D50" t="str">
            <v>RSLEV</v>
          </cell>
          <cell r="E50">
            <v>0</v>
          </cell>
          <cell r="F50">
            <v>0</v>
          </cell>
          <cell r="L50">
            <v>0</v>
          </cell>
          <cell r="M50">
            <v>0</v>
          </cell>
          <cell r="P50">
            <v>0</v>
          </cell>
          <cell r="R50">
            <v>0</v>
          </cell>
          <cell r="S50">
            <v>0</v>
          </cell>
          <cell r="T50">
            <v>0</v>
          </cell>
          <cell r="U50">
            <v>0</v>
          </cell>
        </row>
        <row r="51">
          <cell r="A51" t="str">
            <v>JAN 2016</v>
          </cell>
          <cell r="B51" t="str">
            <v>KURSE080</v>
          </cell>
          <cell r="D51" t="str">
            <v>RSVFD</v>
          </cell>
          <cell r="E51">
            <v>0</v>
          </cell>
          <cell r="F51">
            <v>0</v>
          </cell>
          <cell r="L51">
            <v>0</v>
          </cell>
          <cell r="M51">
            <v>0</v>
          </cell>
          <cell r="P51">
            <v>0</v>
          </cell>
          <cell r="R51">
            <v>0</v>
          </cell>
          <cell r="S51">
            <v>0</v>
          </cell>
          <cell r="T51">
            <v>0</v>
          </cell>
          <cell r="U51">
            <v>0</v>
          </cell>
        </row>
        <row r="52">
          <cell r="A52" t="str">
            <v>JAN 2016</v>
          </cell>
          <cell r="B52" t="str">
            <v>KURSE715</v>
          </cell>
          <cell r="D52" t="str">
            <v>RS</v>
          </cell>
          <cell r="E52">
            <v>0</v>
          </cell>
          <cell r="F52">
            <v>0</v>
          </cell>
          <cell r="L52">
            <v>0</v>
          </cell>
          <cell r="M52">
            <v>0</v>
          </cell>
          <cell r="P52">
            <v>0</v>
          </cell>
          <cell r="R52">
            <v>0</v>
          </cell>
          <cell r="S52">
            <v>0</v>
          </cell>
          <cell r="T52">
            <v>0</v>
          </cell>
          <cell r="U52">
            <v>0</v>
          </cell>
        </row>
        <row r="53">
          <cell r="A53" t="str">
            <v>JAN 2016</v>
          </cell>
          <cell r="B53" t="str">
            <v>ODL</v>
          </cell>
          <cell r="E53">
            <v>12912242</v>
          </cell>
          <cell r="F53">
            <v>0</v>
          </cell>
          <cell r="L53">
            <v>0</v>
          </cell>
          <cell r="M53">
            <v>40891</v>
          </cell>
          <cell r="P53">
            <v>0</v>
          </cell>
          <cell r="R53">
            <v>2233943</v>
          </cell>
          <cell r="S53">
            <v>2133762</v>
          </cell>
          <cell r="T53">
            <v>0</v>
          </cell>
          <cell r="U53">
            <v>59289</v>
          </cell>
        </row>
        <row r="54">
          <cell r="A54" t="str">
            <v>JAN 2016</v>
          </cell>
          <cell r="B54" t="str">
            <v>KUUM_360</v>
          </cell>
          <cell r="D54" t="str">
            <v>LS</v>
          </cell>
          <cell r="S54">
            <v>0</v>
          </cell>
          <cell r="T54">
            <v>0</v>
          </cell>
          <cell r="U54">
            <v>0</v>
          </cell>
        </row>
        <row r="55">
          <cell r="A55" t="str">
            <v>JAN 2016</v>
          </cell>
          <cell r="B55" t="str">
            <v>KUUM_361</v>
          </cell>
          <cell r="D55" t="str">
            <v>LS</v>
          </cell>
          <cell r="S55">
            <v>0</v>
          </cell>
          <cell r="T55">
            <v>0</v>
          </cell>
          <cell r="U55">
            <v>0</v>
          </cell>
        </row>
        <row r="56">
          <cell r="A56" t="str">
            <v>JAN 2016</v>
          </cell>
          <cell r="B56" t="str">
            <v>KUUM_362</v>
          </cell>
          <cell r="D56" t="str">
            <v>LS</v>
          </cell>
          <cell r="S56">
            <v>0</v>
          </cell>
          <cell r="T56">
            <v>0</v>
          </cell>
          <cell r="U56">
            <v>0</v>
          </cell>
        </row>
        <row r="57">
          <cell r="A57" t="str">
            <v>JAN 2016</v>
          </cell>
          <cell r="B57" t="str">
            <v>KUUM_363</v>
          </cell>
          <cell r="D57" t="str">
            <v>LS</v>
          </cell>
          <cell r="S57">
            <v>0</v>
          </cell>
          <cell r="T57">
            <v>0</v>
          </cell>
          <cell r="U57">
            <v>0</v>
          </cell>
        </row>
        <row r="58">
          <cell r="A58" t="str">
            <v>JAN 2016</v>
          </cell>
          <cell r="B58" t="str">
            <v>KUUM_364</v>
          </cell>
          <cell r="D58" t="str">
            <v>LS</v>
          </cell>
          <cell r="S58">
            <v>0</v>
          </cell>
          <cell r="T58">
            <v>0</v>
          </cell>
          <cell r="U58">
            <v>0</v>
          </cell>
        </row>
        <row r="59">
          <cell r="A59" t="str">
            <v>JAN 2016</v>
          </cell>
          <cell r="B59" t="str">
            <v>KUUM_365</v>
          </cell>
          <cell r="D59" t="str">
            <v>LS</v>
          </cell>
          <cell r="S59">
            <v>0</v>
          </cell>
          <cell r="T59">
            <v>0</v>
          </cell>
          <cell r="U59">
            <v>0</v>
          </cell>
        </row>
        <row r="60">
          <cell r="A60" t="str">
            <v>JAN 2016</v>
          </cell>
          <cell r="B60" t="str">
            <v>KUUM_366</v>
          </cell>
          <cell r="D60" t="str">
            <v>LS</v>
          </cell>
          <cell r="S60">
            <v>0</v>
          </cell>
          <cell r="T60">
            <v>0</v>
          </cell>
          <cell r="U60">
            <v>0</v>
          </cell>
        </row>
        <row r="61">
          <cell r="A61" t="str">
            <v>JAN 2016</v>
          </cell>
          <cell r="B61" t="str">
            <v>KUUM_367</v>
          </cell>
          <cell r="D61" t="str">
            <v>LS</v>
          </cell>
          <cell r="S61">
            <v>0</v>
          </cell>
          <cell r="T61">
            <v>0</v>
          </cell>
          <cell r="U61">
            <v>0</v>
          </cell>
        </row>
        <row r="62">
          <cell r="A62" t="str">
            <v>JAN 2016</v>
          </cell>
          <cell r="B62" t="str">
            <v>KUUM_368</v>
          </cell>
          <cell r="D62" t="str">
            <v>LS</v>
          </cell>
          <cell r="S62">
            <v>0</v>
          </cell>
          <cell r="T62">
            <v>0</v>
          </cell>
          <cell r="U62">
            <v>0</v>
          </cell>
        </row>
        <row r="63">
          <cell r="A63" t="str">
            <v>JAN 2016</v>
          </cell>
          <cell r="B63" t="str">
            <v>KUUM_370</v>
          </cell>
          <cell r="D63" t="str">
            <v>LS</v>
          </cell>
          <cell r="S63">
            <v>0</v>
          </cell>
          <cell r="T63">
            <v>0</v>
          </cell>
          <cell r="U63">
            <v>0</v>
          </cell>
        </row>
        <row r="64">
          <cell r="A64" t="str">
            <v>JAN 2016</v>
          </cell>
          <cell r="B64" t="str">
            <v>KUUM_372</v>
          </cell>
          <cell r="D64" t="str">
            <v>LS</v>
          </cell>
          <cell r="S64">
            <v>0</v>
          </cell>
          <cell r="T64">
            <v>0</v>
          </cell>
          <cell r="U64">
            <v>0</v>
          </cell>
        </row>
        <row r="65">
          <cell r="A65" t="str">
            <v>JAN 2016</v>
          </cell>
          <cell r="B65" t="str">
            <v>KUUM_373</v>
          </cell>
          <cell r="D65" t="str">
            <v>LS</v>
          </cell>
          <cell r="S65">
            <v>0</v>
          </cell>
          <cell r="T65">
            <v>0</v>
          </cell>
          <cell r="U65">
            <v>0</v>
          </cell>
        </row>
        <row r="66">
          <cell r="A66" t="str">
            <v>JAN 2016</v>
          </cell>
          <cell r="B66" t="str">
            <v>KUUM_374</v>
          </cell>
          <cell r="D66" t="str">
            <v>LS</v>
          </cell>
          <cell r="S66">
            <v>0</v>
          </cell>
          <cell r="T66">
            <v>0</v>
          </cell>
          <cell r="U66">
            <v>0</v>
          </cell>
        </row>
        <row r="67">
          <cell r="A67" t="str">
            <v>JAN 2016</v>
          </cell>
          <cell r="B67" t="str">
            <v>KUUM_375</v>
          </cell>
          <cell r="D67" t="str">
            <v>LS</v>
          </cell>
          <cell r="S67">
            <v>0</v>
          </cell>
          <cell r="T67">
            <v>0</v>
          </cell>
          <cell r="U67">
            <v>0</v>
          </cell>
        </row>
        <row r="68">
          <cell r="A68" t="str">
            <v>JAN 2016</v>
          </cell>
          <cell r="B68" t="str">
            <v>KUUM_376</v>
          </cell>
          <cell r="D68" t="str">
            <v>LS</v>
          </cell>
          <cell r="S68">
            <v>0</v>
          </cell>
          <cell r="T68">
            <v>0</v>
          </cell>
          <cell r="U68">
            <v>0</v>
          </cell>
        </row>
        <row r="69">
          <cell r="A69" t="str">
            <v>JAN 2016</v>
          </cell>
          <cell r="B69" t="str">
            <v>KUUM_377</v>
          </cell>
          <cell r="D69" t="str">
            <v>LS</v>
          </cell>
          <cell r="S69">
            <v>0</v>
          </cell>
          <cell r="T69">
            <v>0</v>
          </cell>
          <cell r="U69">
            <v>0</v>
          </cell>
        </row>
        <row r="70">
          <cell r="A70" t="str">
            <v>JAN 2016</v>
          </cell>
          <cell r="B70" t="str">
            <v>KUUM_378</v>
          </cell>
          <cell r="D70" t="str">
            <v>LS</v>
          </cell>
          <cell r="S70">
            <v>0</v>
          </cell>
          <cell r="T70">
            <v>0</v>
          </cell>
          <cell r="U70">
            <v>0</v>
          </cell>
        </row>
        <row r="71">
          <cell r="A71" t="str">
            <v>JAN 2016</v>
          </cell>
          <cell r="B71" t="str">
            <v>KUUM_401</v>
          </cell>
          <cell r="D71" t="str">
            <v>LS</v>
          </cell>
          <cell r="S71">
            <v>0</v>
          </cell>
          <cell r="T71">
            <v>0</v>
          </cell>
          <cell r="U71">
            <v>0</v>
          </cell>
        </row>
        <row r="72">
          <cell r="A72" t="str">
            <v>JAN 2016</v>
          </cell>
          <cell r="B72" t="str">
            <v>KUUM_404</v>
          </cell>
          <cell r="D72" t="str">
            <v>RLS</v>
          </cell>
          <cell r="S72">
            <v>0</v>
          </cell>
          <cell r="T72">
            <v>0</v>
          </cell>
          <cell r="U72">
            <v>0</v>
          </cell>
        </row>
        <row r="73">
          <cell r="A73" t="str">
            <v>JAN 2016</v>
          </cell>
          <cell r="B73" t="str">
            <v>KUUM_409</v>
          </cell>
          <cell r="D73" t="str">
            <v>RLS</v>
          </cell>
          <cell r="S73">
            <v>0</v>
          </cell>
          <cell r="T73">
            <v>0</v>
          </cell>
          <cell r="U73">
            <v>0</v>
          </cell>
        </row>
        <row r="74">
          <cell r="A74" t="str">
            <v>JAN 2016</v>
          </cell>
          <cell r="B74" t="str">
            <v>KUUM_410</v>
          </cell>
          <cell r="D74" t="str">
            <v>RLS</v>
          </cell>
          <cell r="S74">
            <v>0</v>
          </cell>
          <cell r="T74">
            <v>0</v>
          </cell>
          <cell r="U74">
            <v>0</v>
          </cell>
        </row>
        <row r="75">
          <cell r="A75" t="str">
            <v>JAN 2016</v>
          </cell>
          <cell r="B75" t="str">
            <v>KUUM_411</v>
          </cell>
          <cell r="D75" t="str">
            <v>RLS</v>
          </cell>
          <cell r="S75">
            <v>0</v>
          </cell>
          <cell r="T75">
            <v>0</v>
          </cell>
          <cell r="U75">
            <v>0</v>
          </cell>
        </row>
        <row r="76">
          <cell r="A76" t="str">
            <v>JAN 2016</v>
          </cell>
          <cell r="B76" t="str">
            <v>KUUM_412</v>
          </cell>
          <cell r="D76" t="str">
            <v>LS</v>
          </cell>
          <cell r="S76">
            <v>0</v>
          </cell>
          <cell r="T76">
            <v>0</v>
          </cell>
          <cell r="U76">
            <v>0</v>
          </cell>
        </row>
        <row r="77">
          <cell r="A77" t="str">
            <v>JAN 2016</v>
          </cell>
          <cell r="B77" t="str">
            <v>KUUM_413</v>
          </cell>
          <cell r="D77" t="str">
            <v>RLS</v>
          </cell>
          <cell r="S77">
            <v>0</v>
          </cell>
          <cell r="T77">
            <v>0</v>
          </cell>
          <cell r="U77">
            <v>0</v>
          </cell>
        </row>
        <row r="78">
          <cell r="A78" t="str">
            <v>JAN 2016</v>
          </cell>
          <cell r="B78" t="str">
            <v>KUUM_414</v>
          </cell>
          <cell r="D78" t="str">
            <v>LS</v>
          </cell>
          <cell r="S78">
            <v>0</v>
          </cell>
          <cell r="T78">
            <v>0</v>
          </cell>
          <cell r="U78">
            <v>0</v>
          </cell>
        </row>
        <row r="79">
          <cell r="A79" t="str">
            <v>JAN 2016</v>
          </cell>
          <cell r="B79" t="str">
            <v>KUUM_415</v>
          </cell>
          <cell r="D79" t="str">
            <v>LS</v>
          </cell>
          <cell r="S79">
            <v>0</v>
          </cell>
          <cell r="T79">
            <v>0</v>
          </cell>
          <cell r="U79">
            <v>0</v>
          </cell>
        </row>
        <row r="80">
          <cell r="A80" t="str">
            <v>JAN 2016</v>
          </cell>
          <cell r="B80" t="str">
            <v>KUUM_420</v>
          </cell>
          <cell r="D80" t="str">
            <v>LS</v>
          </cell>
          <cell r="S80">
            <v>0</v>
          </cell>
          <cell r="T80">
            <v>0</v>
          </cell>
          <cell r="U80">
            <v>0</v>
          </cell>
        </row>
        <row r="81">
          <cell r="A81" t="str">
            <v>JAN 2016</v>
          </cell>
          <cell r="B81" t="str">
            <v>KUUM_421</v>
          </cell>
          <cell r="D81" t="str">
            <v>RLS</v>
          </cell>
          <cell r="S81">
            <v>0</v>
          </cell>
          <cell r="T81">
            <v>0</v>
          </cell>
          <cell r="U81">
            <v>0</v>
          </cell>
        </row>
        <row r="82">
          <cell r="A82" t="str">
            <v>JAN 2016</v>
          </cell>
          <cell r="B82" t="str">
            <v>KUUM_422</v>
          </cell>
          <cell r="D82" t="str">
            <v>RLS</v>
          </cell>
          <cell r="S82">
            <v>0</v>
          </cell>
          <cell r="T82">
            <v>0</v>
          </cell>
          <cell r="U82">
            <v>0</v>
          </cell>
        </row>
        <row r="83">
          <cell r="A83" t="str">
            <v>JAN 2016</v>
          </cell>
          <cell r="B83" t="str">
            <v>KUUM_424</v>
          </cell>
          <cell r="D83" t="str">
            <v>RLS</v>
          </cell>
          <cell r="S83">
            <v>0</v>
          </cell>
          <cell r="T83">
            <v>0</v>
          </cell>
          <cell r="U83">
            <v>0</v>
          </cell>
        </row>
        <row r="84">
          <cell r="A84" t="str">
            <v>JAN 2016</v>
          </cell>
          <cell r="B84" t="str">
            <v>KUUM_425</v>
          </cell>
          <cell r="D84" t="str">
            <v>RLS</v>
          </cell>
          <cell r="S84">
            <v>0</v>
          </cell>
          <cell r="T84">
            <v>0</v>
          </cell>
          <cell r="U84">
            <v>0</v>
          </cell>
        </row>
        <row r="85">
          <cell r="A85" t="str">
            <v>JAN 2016</v>
          </cell>
          <cell r="B85" t="str">
            <v>KUUM_426</v>
          </cell>
          <cell r="D85" t="str">
            <v>RLS</v>
          </cell>
          <cell r="S85">
            <v>0</v>
          </cell>
          <cell r="T85">
            <v>0</v>
          </cell>
          <cell r="U85">
            <v>0</v>
          </cell>
        </row>
        <row r="86">
          <cell r="A86" t="str">
            <v>JAN 2016</v>
          </cell>
          <cell r="B86" t="str">
            <v>KUUM_428</v>
          </cell>
          <cell r="D86" t="str">
            <v>LS</v>
          </cell>
          <cell r="S86">
            <v>0</v>
          </cell>
          <cell r="T86">
            <v>0</v>
          </cell>
          <cell r="U86">
            <v>0</v>
          </cell>
        </row>
        <row r="87">
          <cell r="A87" t="str">
            <v>JAN 2016</v>
          </cell>
          <cell r="B87" t="str">
            <v>KUUM_430</v>
          </cell>
          <cell r="D87" t="str">
            <v>LS</v>
          </cell>
          <cell r="S87">
            <v>0</v>
          </cell>
          <cell r="T87">
            <v>0</v>
          </cell>
          <cell r="U87">
            <v>0</v>
          </cell>
        </row>
        <row r="88">
          <cell r="A88" t="str">
            <v>JAN 2016</v>
          </cell>
          <cell r="B88" t="str">
            <v>KUUM_434</v>
          </cell>
          <cell r="D88" t="str">
            <v>RLS</v>
          </cell>
          <cell r="S88">
            <v>0</v>
          </cell>
          <cell r="T88">
            <v>0</v>
          </cell>
          <cell r="U88">
            <v>0</v>
          </cell>
        </row>
        <row r="89">
          <cell r="A89" t="str">
            <v>JAN 2016</v>
          </cell>
          <cell r="B89" t="str">
            <v>KUUM_440</v>
          </cell>
          <cell r="D89" t="str">
            <v>RLS</v>
          </cell>
          <cell r="S89">
            <v>0</v>
          </cell>
          <cell r="T89">
            <v>0</v>
          </cell>
          <cell r="U89">
            <v>0</v>
          </cell>
        </row>
        <row r="90">
          <cell r="A90" t="str">
            <v>JAN 2016</v>
          </cell>
          <cell r="B90" t="str">
            <v>KUUM_446</v>
          </cell>
          <cell r="D90" t="str">
            <v>RLS</v>
          </cell>
          <cell r="S90">
            <v>0</v>
          </cell>
          <cell r="T90">
            <v>0</v>
          </cell>
          <cell r="U90">
            <v>0</v>
          </cell>
        </row>
        <row r="91">
          <cell r="A91" t="str">
            <v>JAN 2016</v>
          </cell>
          <cell r="B91" t="str">
            <v>KUUM_447</v>
          </cell>
          <cell r="D91" t="str">
            <v>RLS</v>
          </cell>
          <cell r="S91">
            <v>0</v>
          </cell>
          <cell r="T91">
            <v>0</v>
          </cell>
          <cell r="U91">
            <v>0</v>
          </cell>
        </row>
        <row r="92">
          <cell r="A92" t="str">
            <v>JAN 2016</v>
          </cell>
          <cell r="B92" t="str">
            <v>KUUM_448</v>
          </cell>
          <cell r="D92" t="str">
            <v>RLS</v>
          </cell>
          <cell r="S92">
            <v>0</v>
          </cell>
          <cell r="T92">
            <v>0</v>
          </cell>
          <cell r="U92">
            <v>0</v>
          </cell>
        </row>
        <row r="93">
          <cell r="A93" t="str">
            <v>JAN 2016</v>
          </cell>
          <cell r="B93" t="str">
            <v>KUUM_450</v>
          </cell>
          <cell r="D93" t="str">
            <v>LS</v>
          </cell>
          <cell r="S93">
            <v>0</v>
          </cell>
          <cell r="T93">
            <v>0</v>
          </cell>
          <cell r="U93">
            <v>0</v>
          </cell>
        </row>
        <row r="94">
          <cell r="A94" t="str">
            <v>JAN 2016</v>
          </cell>
          <cell r="B94" t="str">
            <v>KUUM_451</v>
          </cell>
          <cell r="D94" t="str">
            <v>LS</v>
          </cell>
          <cell r="S94">
            <v>0</v>
          </cell>
          <cell r="T94">
            <v>0</v>
          </cell>
          <cell r="U94">
            <v>0</v>
          </cell>
        </row>
        <row r="95">
          <cell r="A95" t="str">
            <v>JAN 2016</v>
          </cell>
          <cell r="B95" t="str">
            <v>KUUM_452</v>
          </cell>
          <cell r="D95" t="str">
            <v>LS</v>
          </cell>
          <cell r="S95">
            <v>0</v>
          </cell>
          <cell r="T95">
            <v>0</v>
          </cell>
          <cell r="U95">
            <v>0</v>
          </cell>
        </row>
        <row r="96">
          <cell r="A96" t="str">
            <v>JAN 2016</v>
          </cell>
          <cell r="B96" t="str">
            <v>KUUM_454</v>
          </cell>
          <cell r="D96" t="str">
            <v>RLS</v>
          </cell>
          <cell r="S96">
            <v>0</v>
          </cell>
          <cell r="T96">
            <v>0</v>
          </cell>
          <cell r="U96">
            <v>0</v>
          </cell>
        </row>
        <row r="97">
          <cell r="A97" t="str">
            <v>JAN 2016</v>
          </cell>
          <cell r="B97" t="str">
            <v>KUUM_455</v>
          </cell>
          <cell r="D97" t="str">
            <v>RLS</v>
          </cell>
          <cell r="S97">
            <v>0</v>
          </cell>
          <cell r="T97">
            <v>0</v>
          </cell>
          <cell r="U97">
            <v>0</v>
          </cell>
        </row>
        <row r="98">
          <cell r="A98" t="str">
            <v>JAN 2016</v>
          </cell>
          <cell r="B98" t="str">
            <v>KUUM_456</v>
          </cell>
          <cell r="D98" t="str">
            <v>RLS</v>
          </cell>
          <cell r="S98">
            <v>0</v>
          </cell>
          <cell r="T98">
            <v>0</v>
          </cell>
          <cell r="U98">
            <v>0</v>
          </cell>
        </row>
        <row r="99">
          <cell r="A99" t="str">
            <v>JAN 2016</v>
          </cell>
          <cell r="B99" t="str">
            <v>KUUM_457</v>
          </cell>
          <cell r="D99" t="str">
            <v>RLS</v>
          </cell>
          <cell r="S99">
            <v>0</v>
          </cell>
          <cell r="T99">
            <v>0</v>
          </cell>
          <cell r="U99">
            <v>0</v>
          </cell>
        </row>
        <row r="100">
          <cell r="A100" t="str">
            <v>JAN 2016</v>
          </cell>
          <cell r="B100" t="str">
            <v>KUUM_458</v>
          </cell>
          <cell r="D100" t="str">
            <v>RLS</v>
          </cell>
          <cell r="S100">
            <v>0</v>
          </cell>
          <cell r="T100">
            <v>0</v>
          </cell>
          <cell r="U100">
            <v>0</v>
          </cell>
        </row>
        <row r="101">
          <cell r="A101" t="str">
            <v>JAN 2016</v>
          </cell>
          <cell r="B101" t="str">
            <v>KUUM_459</v>
          </cell>
          <cell r="D101" t="str">
            <v>RLS</v>
          </cell>
          <cell r="S101">
            <v>0</v>
          </cell>
          <cell r="T101">
            <v>0</v>
          </cell>
          <cell r="U101">
            <v>0</v>
          </cell>
        </row>
        <row r="102">
          <cell r="A102" t="str">
            <v>JAN 2016</v>
          </cell>
          <cell r="B102" t="str">
            <v>KUUM_460</v>
          </cell>
          <cell r="D102" t="str">
            <v>RLS</v>
          </cell>
          <cell r="S102">
            <v>0</v>
          </cell>
          <cell r="T102">
            <v>0</v>
          </cell>
          <cell r="U102">
            <v>0</v>
          </cell>
        </row>
        <row r="103">
          <cell r="A103" t="str">
            <v>JAN 2016</v>
          </cell>
          <cell r="B103" t="str">
            <v>KUUM_461</v>
          </cell>
          <cell r="D103" t="str">
            <v>RLS</v>
          </cell>
          <cell r="S103">
            <v>0</v>
          </cell>
          <cell r="T103">
            <v>0</v>
          </cell>
          <cell r="U103">
            <v>0</v>
          </cell>
        </row>
        <row r="104">
          <cell r="A104" t="str">
            <v>JAN 2016</v>
          </cell>
          <cell r="B104" t="str">
            <v>KUUM_462</v>
          </cell>
          <cell r="D104" t="str">
            <v>LS</v>
          </cell>
          <cell r="S104">
            <v>0</v>
          </cell>
          <cell r="T104">
            <v>0</v>
          </cell>
          <cell r="U104">
            <v>0</v>
          </cell>
        </row>
        <row r="105">
          <cell r="A105" t="str">
            <v>JAN 2016</v>
          </cell>
          <cell r="B105" t="str">
            <v>KUUM_463</v>
          </cell>
          <cell r="D105" t="str">
            <v>LS</v>
          </cell>
          <cell r="S105">
            <v>0</v>
          </cell>
          <cell r="T105">
            <v>0</v>
          </cell>
          <cell r="U105">
            <v>0</v>
          </cell>
        </row>
        <row r="106">
          <cell r="A106" t="str">
            <v>JAN 2016</v>
          </cell>
          <cell r="B106" t="str">
            <v>KUUM_464</v>
          </cell>
          <cell r="D106" t="str">
            <v>LS</v>
          </cell>
          <cell r="S106">
            <v>0</v>
          </cell>
          <cell r="T106">
            <v>0</v>
          </cell>
          <cell r="U106">
            <v>0</v>
          </cell>
        </row>
        <row r="107">
          <cell r="A107" t="str">
            <v>JAN 2016</v>
          </cell>
          <cell r="B107" t="str">
            <v>KUUM_465</v>
          </cell>
          <cell r="D107" t="str">
            <v>LS</v>
          </cell>
          <cell r="S107">
            <v>0</v>
          </cell>
          <cell r="T107">
            <v>0</v>
          </cell>
          <cell r="U107">
            <v>0</v>
          </cell>
        </row>
        <row r="108">
          <cell r="A108" t="str">
            <v>JAN 2016</v>
          </cell>
          <cell r="B108" t="str">
            <v>KUUM_465CU</v>
          </cell>
          <cell r="D108" t="str">
            <v>LS</v>
          </cell>
          <cell r="S108">
            <v>0</v>
          </cell>
          <cell r="T108">
            <v>0</v>
          </cell>
          <cell r="U108">
            <v>0</v>
          </cell>
        </row>
        <row r="109">
          <cell r="A109" t="str">
            <v>JAN 2016</v>
          </cell>
          <cell r="B109" t="str">
            <v>KUUM_466</v>
          </cell>
          <cell r="D109" t="str">
            <v>RLS</v>
          </cell>
          <cell r="S109">
            <v>0</v>
          </cell>
          <cell r="T109">
            <v>0</v>
          </cell>
          <cell r="U109">
            <v>0</v>
          </cell>
        </row>
        <row r="110">
          <cell r="A110" t="str">
            <v>JAN 2016</v>
          </cell>
          <cell r="B110" t="str">
            <v>KUUM_467</v>
          </cell>
          <cell r="D110" t="str">
            <v>LS</v>
          </cell>
          <cell r="S110">
            <v>0</v>
          </cell>
          <cell r="T110">
            <v>0</v>
          </cell>
          <cell r="U110">
            <v>0</v>
          </cell>
        </row>
        <row r="111">
          <cell r="A111" t="str">
            <v>JAN 2016</v>
          </cell>
          <cell r="B111" t="str">
            <v>KUUM_468</v>
          </cell>
          <cell r="D111" t="str">
            <v>LS</v>
          </cell>
          <cell r="S111">
            <v>0</v>
          </cell>
          <cell r="T111">
            <v>0</v>
          </cell>
          <cell r="U111">
            <v>0</v>
          </cell>
        </row>
        <row r="112">
          <cell r="A112" t="str">
            <v>JAN 2016</v>
          </cell>
          <cell r="B112" t="str">
            <v>KUUM_469</v>
          </cell>
          <cell r="D112" t="str">
            <v>RLS</v>
          </cell>
          <cell r="S112">
            <v>0</v>
          </cell>
          <cell r="T112">
            <v>0</v>
          </cell>
          <cell r="U112">
            <v>0</v>
          </cell>
        </row>
        <row r="113">
          <cell r="A113" t="str">
            <v>JAN 2016</v>
          </cell>
          <cell r="B113" t="str">
            <v>KUUM_470</v>
          </cell>
          <cell r="D113" t="str">
            <v>RLS</v>
          </cell>
          <cell r="S113">
            <v>0</v>
          </cell>
          <cell r="T113">
            <v>0</v>
          </cell>
          <cell r="U113">
            <v>0</v>
          </cell>
        </row>
        <row r="114">
          <cell r="A114" t="str">
            <v>JAN 2016</v>
          </cell>
          <cell r="B114" t="str">
            <v>KUUM_471</v>
          </cell>
          <cell r="D114" t="str">
            <v>RLS</v>
          </cell>
          <cell r="S114">
            <v>0</v>
          </cell>
          <cell r="T114">
            <v>0</v>
          </cell>
          <cell r="U114">
            <v>0</v>
          </cell>
        </row>
        <row r="115">
          <cell r="A115" t="str">
            <v>JAN 2016</v>
          </cell>
          <cell r="B115" t="str">
            <v>KUUM_472</v>
          </cell>
          <cell r="D115" t="str">
            <v>LS</v>
          </cell>
          <cell r="S115">
            <v>0</v>
          </cell>
          <cell r="T115">
            <v>0</v>
          </cell>
          <cell r="U115">
            <v>0</v>
          </cell>
        </row>
        <row r="116">
          <cell r="A116" t="str">
            <v>JAN 2016</v>
          </cell>
          <cell r="B116" t="str">
            <v>KUUM_473</v>
          </cell>
          <cell r="D116" t="str">
            <v>LS</v>
          </cell>
          <cell r="S116">
            <v>0</v>
          </cell>
          <cell r="T116">
            <v>0</v>
          </cell>
          <cell r="U116">
            <v>0</v>
          </cell>
        </row>
        <row r="117">
          <cell r="A117" t="str">
            <v>JAN 2016</v>
          </cell>
          <cell r="B117" t="str">
            <v>KUUM_474</v>
          </cell>
          <cell r="D117" t="str">
            <v>LS</v>
          </cell>
          <cell r="S117">
            <v>0</v>
          </cell>
          <cell r="T117">
            <v>0</v>
          </cell>
          <cell r="U117">
            <v>0</v>
          </cell>
        </row>
        <row r="118">
          <cell r="A118" t="str">
            <v>JAN 2016</v>
          </cell>
          <cell r="B118" t="str">
            <v>KUUM_475</v>
          </cell>
          <cell r="D118" t="str">
            <v>LS</v>
          </cell>
          <cell r="S118">
            <v>0</v>
          </cell>
          <cell r="T118">
            <v>0</v>
          </cell>
          <cell r="U118">
            <v>0</v>
          </cell>
        </row>
        <row r="119">
          <cell r="A119" t="str">
            <v>JAN 2016</v>
          </cell>
          <cell r="B119" t="str">
            <v>KUUM_476</v>
          </cell>
          <cell r="D119" t="str">
            <v>LS</v>
          </cell>
          <cell r="S119">
            <v>0</v>
          </cell>
          <cell r="T119">
            <v>0</v>
          </cell>
          <cell r="U119">
            <v>0</v>
          </cell>
        </row>
        <row r="120">
          <cell r="A120" t="str">
            <v>JAN 2016</v>
          </cell>
          <cell r="B120" t="str">
            <v>KUUM_477</v>
          </cell>
          <cell r="D120" t="str">
            <v>LS</v>
          </cell>
          <cell r="S120">
            <v>0</v>
          </cell>
          <cell r="T120">
            <v>0</v>
          </cell>
          <cell r="U120">
            <v>0</v>
          </cell>
        </row>
        <row r="121">
          <cell r="A121" t="str">
            <v>JAN 2016</v>
          </cell>
          <cell r="B121" t="str">
            <v>KUUM_478</v>
          </cell>
          <cell r="D121" t="str">
            <v>LS</v>
          </cell>
          <cell r="S121">
            <v>0</v>
          </cell>
          <cell r="T121">
            <v>0</v>
          </cell>
          <cell r="U121">
            <v>0</v>
          </cell>
        </row>
        <row r="122">
          <cell r="A122" t="str">
            <v>JAN 2016</v>
          </cell>
          <cell r="B122" t="str">
            <v>KUUM_479</v>
          </cell>
          <cell r="D122" t="str">
            <v>LS</v>
          </cell>
          <cell r="S122">
            <v>0</v>
          </cell>
          <cell r="T122">
            <v>0</v>
          </cell>
          <cell r="U122">
            <v>0</v>
          </cell>
        </row>
        <row r="123">
          <cell r="A123" t="str">
            <v>JAN 2016</v>
          </cell>
          <cell r="B123" t="str">
            <v>KUUM_487</v>
          </cell>
          <cell r="D123" t="str">
            <v>LS</v>
          </cell>
          <cell r="S123">
            <v>0</v>
          </cell>
          <cell r="T123">
            <v>0</v>
          </cell>
          <cell r="U123">
            <v>0</v>
          </cell>
        </row>
        <row r="124">
          <cell r="A124" t="str">
            <v>JAN 2016</v>
          </cell>
          <cell r="B124" t="str">
            <v>KUUM_488</v>
          </cell>
          <cell r="D124" t="str">
            <v>LS</v>
          </cell>
          <cell r="S124">
            <v>0</v>
          </cell>
          <cell r="T124">
            <v>0</v>
          </cell>
          <cell r="U124">
            <v>0</v>
          </cell>
        </row>
        <row r="125">
          <cell r="A125" t="str">
            <v>JAN 2016</v>
          </cell>
          <cell r="B125" t="str">
            <v>KUUM_489</v>
          </cell>
          <cell r="D125" t="str">
            <v>LS</v>
          </cell>
          <cell r="S125">
            <v>0</v>
          </cell>
          <cell r="T125">
            <v>0</v>
          </cell>
          <cell r="U125">
            <v>0</v>
          </cell>
        </row>
        <row r="126">
          <cell r="A126" t="str">
            <v>JAN 2016</v>
          </cell>
          <cell r="B126" t="str">
            <v>KUUM_490</v>
          </cell>
          <cell r="D126" t="str">
            <v>LS</v>
          </cell>
          <cell r="S126">
            <v>0</v>
          </cell>
          <cell r="T126">
            <v>0</v>
          </cell>
          <cell r="U126">
            <v>0</v>
          </cell>
        </row>
        <row r="127">
          <cell r="A127" t="str">
            <v>JAN 2016</v>
          </cell>
          <cell r="B127" t="str">
            <v>KUUM_491</v>
          </cell>
          <cell r="D127" t="str">
            <v>LS</v>
          </cell>
          <cell r="S127">
            <v>0</v>
          </cell>
          <cell r="T127">
            <v>0</v>
          </cell>
          <cell r="U127">
            <v>0</v>
          </cell>
        </row>
        <row r="128">
          <cell r="A128" t="str">
            <v>JAN 2016</v>
          </cell>
          <cell r="B128" t="str">
            <v>KUUM_492</v>
          </cell>
          <cell r="D128" t="str">
            <v>LS</v>
          </cell>
          <cell r="S128">
            <v>0</v>
          </cell>
          <cell r="T128">
            <v>0</v>
          </cell>
          <cell r="U128">
            <v>0</v>
          </cell>
        </row>
        <row r="129">
          <cell r="A129" t="str">
            <v>JAN 2016</v>
          </cell>
          <cell r="B129" t="str">
            <v>KUUM_493</v>
          </cell>
          <cell r="D129" t="str">
            <v>LS</v>
          </cell>
          <cell r="S129">
            <v>0</v>
          </cell>
          <cell r="T129">
            <v>0</v>
          </cell>
          <cell r="U129">
            <v>0</v>
          </cell>
        </row>
        <row r="130">
          <cell r="A130" t="str">
            <v>JAN 2016</v>
          </cell>
          <cell r="B130" t="str">
            <v>KUUM_494</v>
          </cell>
          <cell r="D130" t="str">
            <v>LS</v>
          </cell>
          <cell r="S130">
            <v>0</v>
          </cell>
          <cell r="T130">
            <v>0</v>
          </cell>
          <cell r="U130">
            <v>0</v>
          </cell>
        </row>
        <row r="131">
          <cell r="A131" t="str">
            <v>JAN 2016</v>
          </cell>
          <cell r="B131" t="str">
            <v>KUUM_495</v>
          </cell>
          <cell r="D131" t="str">
            <v>LS</v>
          </cell>
          <cell r="S131">
            <v>0</v>
          </cell>
          <cell r="T131">
            <v>0</v>
          </cell>
          <cell r="U131">
            <v>0</v>
          </cell>
        </row>
        <row r="132">
          <cell r="A132" t="str">
            <v>JAN 2016</v>
          </cell>
          <cell r="B132" t="str">
            <v>KUUM_496</v>
          </cell>
          <cell r="D132" t="str">
            <v>LS</v>
          </cell>
          <cell r="S132">
            <v>0</v>
          </cell>
          <cell r="T132">
            <v>0</v>
          </cell>
          <cell r="U132">
            <v>0</v>
          </cell>
        </row>
        <row r="133">
          <cell r="A133" t="str">
            <v>JAN 2016</v>
          </cell>
          <cell r="B133" t="str">
            <v>KUUM_497</v>
          </cell>
          <cell r="D133" t="str">
            <v>LS</v>
          </cell>
          <cell r="S133">
            <v>0</v>
          </cell>
          <cell r="T133">
            <v>0</v>
          </cell>
          <cell r="U133">
            <v>0</v>
          </cell>
        </row>
        <row r="134">
          <cell r="A134" t="str">
            <v>JAN 2016</v>
          </cell>
          <cell r="B134" t="str">
            <v>KUUM_498</v>
          </cell>
          <cell r="D134" t="str">
            <v>LS</v>
          </cell>
          <cell r="S134">
            <v>0</v>
          </cell>
          <cell r="T134">
            <v>0</v>
          </cell>
          <cell r="U134">
            <v>0</v>
          </cell>
        </row>
        <row r="135">
          <cell r="A135" t="str">
            <v>JAN 2016</v>
          </cell>
          <cell r="B135" t="str">
            <v>KUUM_499</v>
          </cell>
          <cell r="D135" t="str">
            <v>LS</v>
          </cell>
          <cell r="S135">
            <v>0</v>
          </cell>
          <cell r="T135">
            <v>0</v>
          </cell>
          <cell r="U135">
            <v>0</v>
          </cell>
        </row>
        <row r="136">
          <cell r="A136" t="str">
            <v>JAN 2016</v>
          </cell>
          <cell r="B136" t="str">
            <v>ODL</v>
          </cell>
          <cell r="D136" t="str">
            <v>ODL</v>
          </cell>
          <cell r="S136">
            <v>0</v>
          </cell>
          <cell r="T136">
            <v>0</v>
          </cell>
          <cell r="U136">
            <v>0</v>
          </cell>
        </row>
        <row r="137">
          <cell r="A137" t="str">
            <v>JAN 2016</v>
          </cell>
          <cell r="B137" t="str">
            <v>KUUM_825</v>
          </cell>
          <cell r="D137" t="str">
            <v>EF</v>
          </cell>
          <cell r="S137">
            <v>0</v>
          </cell>
          <cell r="T137">
            <v>0</v>
          </cell>
          <cell r="U137">
            <v>0</v>
          </cell>
        </row>
        <row r="138">
          <cell r="A138" t="str">
            <v>JAN 2016</v>
          </cell>
          <cell r="B138" t="str">
            <v>KUUM_826</v>
          </cell>
          <cell r="D138" t="str">
            <v>EF</v>
          </cell>
          <cell r="S138">
            <v>0</v>
          </cell>
          <cell r="T138">
            <v>0</v>
          </cell>
          <cell r="U138">
            <v>0</v>
          </cell>
        </row>
        <row r="139">
          <cell r="A139" t="str">
            <v>JAN 2016</v>
          </cell>
          <cell r="B139" t="str">
            <v>KUUM_827</v>
          </cell>
          <cell r="D139" t="str">
            <v>DA</v>
          </cell>
          <cell r="S139">
            <v>0</v>
          </cell>
          <cell r="T139">
            <v>0</v>
          </cell>
          <cell r="U139">
            <v>0</v>
          </cell>
        </row>
        <row r="140">
          <cell r="A140" t="str">
            <v>JAN 2016</v>
          </cell>
          <cell r="B140" t="str">
            <v>KUUM_828</v>
          </cell>
          <cell r="D140" t="str">
            <v>EF</v>
          </cell>
          <cell r="S140">
            <v>0</v>
          </cell>
          <cell r="T140">
            <v>0</v>
          </cell>
          <cell r="U140">
            <v>0</v>
          </cell>
        </row>
        <row r="141">
          <cell r="A141" t="str">
            <v>JAN 2016</v>
          </cell>
          <cell r="B141" t="str">
            <v>KUUM_829</v>
          </cell>
          <cell r="D141" t="str">
            <v>EF</v>
          </cell>
          <cell r="S141">
            <v>0</v>
          </cell>
          <cell r="T141">
            <v>0</v>
          </cell>
          <cell r="U141">
            <v>0</v>
          </cell>
        </row>
        <row r="142">
          <cell r="A142" t="str">
            <v>JAN 2016</v>
          </cell>
          <cell r="B142" t="str">
            <v>ODRSE010</v>
          </cell>
          <cell r="D142" t="str">
            <v>ODRS</v>
          </cell>
          <cell r="S142">
            <v>0</v>
          </cell>
          <cell r="T142">
            <v>0</v>
          </cell>
          <cell r="U142">
            <v>0</v>
          </cell>
        </row>
        <row r="143">
          <cell r="A143" t="str">
            <v>JAN 2016</v>
          </cell>
          <cell r="B143" t="str">
            <v>ODRSE020</v>
          </cell>
          <cell r="D143" t="str">
            <v>ODRS</v>
          </cell>
          <cell r="S143">
            <v>0</v>
          </cell>
          <cell r="T143">
            <v>0</v>
          </cell>
          <cell r="U143">
            <v>0</v>
          </cell>
        </row>
        <row r="144">
          <cell r="A144" t="str">
            <v>JAN 2016</v>
          </cell>
          <cell r="B144" t="str">
            <v>Result</v>
          </cell>
          <cell r="S144">
            <v>0</v>
          </cell>
          <cell r="T144">
            <v>0</v>
          </cell>
          <cell r="U144">
            <v>0</v>
          </cell>
        </row>
        <row r="145">
          <cell r="E145" t="str">
            <v>KWH</v>
          </cell>
          <cell r="F145" t="str">
            <v>Customer  Charge</v>
          </cell>
          <cell r="L145" t="str">
            <v>DSM</v>
          </cell>
          <cell r="M145" t="str">
            <v>FAC</v>
          </cell>
          <cell r="P145" t="str">
            <v>Curtailable Serv. Rider</v>
          </cell>
          <cell r="Q145" t="str">
            <v>MSR</v>
          </cell>
          <cell r="R145" t="str">
            <v>Revenue Amount</v>
          </cell>
          <cell r="S145" t="e">
            <v>#VALUE!</v>
          </cell>
          <cell r="T145" t="e">
            <v>#VALUE!</v>
          </cell>
          <cell r="U145" t="e">
            <v>#VALUE!</v>
          </cell>
        </row>
        <row r="146">
          <cell r="A146" t="str">
            <v>Revenue Period</v>
          </cell>
          <cell r="B146" t="str">
            <v>Rate Category</v>
          </cell>
          <cell r="E146" t="str">
            <v>KWH</v>
          </cell>
          <cell r="F146" t="str">
            <v>$</v>
          </cell>
          <cell r="L146" t="str">
            <v>$</v>
          </cell>
          <cell r="M146" t="str">
            <v>$</v>
          </cell>
          <cell r="P146" t="str">
            <v>$</v>
          </cell>
          <cell r="Q146" t="str">
            <v>$</v>
          </cell>
          <cell r="R146" t="str">
            <v>$</v>
          </cell>
          <cell r="S146" t="e">
            <v>#VALUE!</v>
          </cell>
          <cell r="T146" t="e">
            <v>#VALUE!</v>
          </cell>
          <cell r="U146" t="e">
            <v>#VALUE!</v>
          </cell>
        </row>
        <row r="147">
          <cell r="A147" t="str">
            <v>FEB 2016</v>
          </cell>
          <cell r="B147" t="str">
            <v>KTRSE020</v>
          </cell>
          <cell r="D147" t="str">
            <v>TNRS</v>
          </cell>
          <cell r="S147">
            <v>0</v>
          </cell>
          <cell r="T147">
            <v>0</v>
          </cell>
          <cell r="U147">
            <v>0</v>
          </cell>
        </row>
        <row r="148">
          <cell r="A148" t="str">
            <v>FEB 2016</v>
          </cell>
          <cell r="B148" t="str">
            <v>KTRSE030</v>
          </cell>
          <cell r="D148" t="str">
            <v>TNRS</v>
          </cell>
          <cell r="S148">
            <v>0</v>
          </cell>
          <cell r="T148">
            <v>0</v>
          </cell>
          <cell r="U148">
            <v>0</v>
          </cell>
        </row>
        <row r="149">
          <cell r="A149" t="str">
            <v>FEB 2016</v>
          </cell>
          <cell r="B149" t="str">
            <v>KTUM_406</v>
          </cell>
          <cell r="D149" t="str">
            <v>TNLS</v>
          </cell>
          <cell r="S149">
            <v>0</v>
          </cell>
          <cell r="T149">
            <v>0</v>
          </cell>
          <cell r="U149">
            <v>0</v>
          </cell>
        </row>
        <row r="150">
          <cell r="A150" t="str">
            <v>FEB 2016</v>
          </cell>
          <cell r="B150" t="str">
            <v>KTUM_428</v>
          </cell>
          <cell r="D150" t="str">
            <v>TNLS</v>
          </cell>
          <cell r="S150">
            <v>0</v>
          </cell>
          <cell r="T150">
            <v>0</v>
          </cell>
          <cell r="U150">
            <v>0</v>
          </cell>
        </row>
        <row r="151">
          <cell r="A151" t="str">
            <v>FEB 2016</v>
          </cell>
          <cell r="B151" t="str">
            <v>KUCIE000</v>
          </cell>
          <cell r="D151" t="str">
            <v>TS</v>
          </cell>
          <cell r="S151">
            <v>0</v>
          </cell>
          <cell r="T151">
            <v>0</v>
          </cell>
          <cell r="U151">
            <v>0</v>
          </cell>
        </row>
        <row r="152">
          <cell r="A152" t="str">
            <v>FEB 2016</v>
          </cell>
          <cell r="B152" t="str">
            <v>KUCIE550</v>
          </cell>
          <cell r="D152" t="str">
            <v>RTS</v>
          </cell>
          <cell r="E152">
            <v>130048832</v>
          </cell>
          <cell r="F152">
            <v>24000</v>
          </cell>
          <cell r="L152">
            <v>0</v>
          </cell>
          <cell r="M152">
            <v>559286</v>
          </cell>
          <cell r="P152">
            <v>0</v>
          </cell>
          <cell r="R152">
            <v>8445287</v>
          </cell>
          <cell r="S152">
            <v>4725974</v>
          </cell>
          <cell r="T152">
            <v>2430500</v>
          </cell>
          <cell r="U152">
            <v>705527</v>
          </cell>
        </row>
        <row r="153">
          <cell r="A153" t="str">
            <v>FEB 2016</v>
          </cell>
          <cell r="B153" t="str">
            <v>KUCIE561</v>
          </cell>
          <cell r="D153" t="str">
            <v>PSP</v>
          </cell>
          <cell r="E153">
            <v>17683176</v>
          </cell>
          <cell r="F153">
            <v>33150</v>
          </cell>
          <cell r="L153">
            <v>16967</v>
          </cell>
          <cell r="M153">
            <v>76048</v>
          </cell>
          <cell r="P153">
            <v>0</v>
          </cell>
          <cell r="R153">
            <v>1571774</v>
          </cell>
          <cell r="S153">
            <v>629874</v>
          </cell>
          <cell r="T153">
            <v>719802</v>
          </cell>
          <cell r="U153">
            <v>95933</v>
          </cell>
        </row>
        <row r="154">
          <cell r="A154" t="str">
            <v>FEB 2016</v>
          </cell>
          <cell r="B154" t="str">
            <v>KUCIE562</v>
          </cell>
          <cell r="D154" t="str">
            <v>PSS</v>
          </cell>
          <cell r="E154">
            <v>153360986</v>
          </cell>
          <cell r="F154">
            <v>417600</v>
          </cell>
          <cell r="L154">
            <v>147146</v>
          </cell>
          <cell r="M154">
            <v>659542</v>
          </cell>
          <cell r="P154">
            <v>0</v>
          </cell>
          <cell r="R154">
            <v>14478038</v>
          </cell>
          <cell r="S154">
            <v>5465786</v>
          </cell>
          <cell r="T154">
            <v>6955967</v>
          </cell>
          <cell r="U154">
            <v>831998</v>
          </cell>
        </row>
        <row r="155">
          <cell r="A155" t="str">
            <v>FEB 2016</v>
          </cell>
          <cell r="B155" t="str">
            <v>KUCIE563</v>
          </cell>
          <cell r="D155" t="str">
            <v>TODP</v>
          </cell>
          <cell r="E155">
            <v>231780500</v>
          </cell>
          <cell r="F155">
            <v>15600</v>
          </cell>
          <cell r="L155">
            <v>222388</v>
          </cell>
          <cell r="M155">
            <v>996792</v>
          </cell>
          <cell r="P155">
            <v>0</v>
          </cell>
          <cell r="R155">
            <v>15496976</v>
          </cell>
          <cell r="S155">
            <v>8726536</v>
          </cell>
          <cell r="T155">
            <v>4278228</v>
          </cell>
          <cell r="U155">
            <v>1257431</v>
          </cell>
        </row>
        <row r="156">
          <cell r="A156" t="str">
            <v>FEB 2016</v>
          </cell>
          <cell r="B156" t="str">
            <v>KUCIE566</v>
          </cell>
          <cell r="D156" t="str">
            <v>PSP</v>
          </cell>
          <cell r="E156">
            <v>0</v>
          </cell>
          <cell r="F156">
            <v>0</v>
          </cell>
          <cell r="L156">
            <v>0</v>
          </cell>
          <cell r="M156">
            <v>0</v>
          </cell>
          <cell r="P156">
            <v>0</v>
          </cell>
          <cell r="R156">
            <v>0</v>
          </cell>
          <cell r="S156">
            <v>0</v>
          </cell>
          <cell r="T156">
            <v>0</v>
          </cell>
          <cell r="U156">
            <v>0</v>
          </cell>
        </row>
        <row r="157">
          <cell r="A157" t="str">
            <v>FEB 2016</v>
          </cell>
          <cell r="B157" t="str">
            <v>KUCIE568</v>
          </cell>
          <cell r="D157" t="str">
            <v>PSS</v>
          </cell>
          <cell r="E157">
            <v>0</v>
          </cell>
          <cell r="F157">
            <v>0</v>
          </cell>
          <cell r="L157">
            <v>0</v>
          </cell>
          <cell r="M157">
            <v>0</v>
          </cell>
          <cell r="P157">
            <v>0</v>
          </cell>
          <cell r="R157">
            <v>0</v>
          </cell>
          <cell r="S157">
            <v>0</v>
          </cell>
          <cell r="T157">
            <v>0</v>
          </cell>
          <cell r="U157">
            <v>0</v>
          </cell>
        </row>
        <row r="158">
          <cell r="A158" t="str">
            <v>FEB 2016</v>
          </cell>
          <cell r="B158" t="str">
            <v>KUCIE571</v>
          </cell>
          <cell r="D158" t="str">
            <v>TODP</v>
          </cell>
          <cell r="E158">
            <v>97557303</v>
          </cell>
          <cell r="F158">
            <v>61500</v>
          </cell>
          <cell r="L158">
            <v>93604</v>
          </cell>
          <cell r="M158">
            <v>419554</v>
          </cell>
          <cell r="P158">
            <v>0</v>
          </cell>
          <cell r="R158">
            <v>6966161</v>
          </cell>
          <cell r="S158">
            <v>3673032</v>
          </cell>
          <cell r="T158">
            <v>2189213</v>
          </cell>
          <cell r="U158">
            <v>529257</v>
          </cell>
        </row>
        <row r="159">
          <cell r="A159" t="str">
            <v>FEB 2016</v>
          </cell>
          <cell r="B159" t="str">
            <v>KUCIE572</v>
          </cell>
          <cell r="D159" t="str">
            <v>TODS</v>
          </cell>
          <cell r="E159">
            <v>120135692</v>
          </cell>
          <cell r="F159">
            <v>93600</v>
          </cell>
          <cell r="L159">
            <v>115267</v>
          </cell>
          <cell r="M159">
            <v>516654</v>
          </cell>
          <cell r="P159">
            <v>0</v>
          </cell>
          <cell r="R159">
            <v>9091363</v>
          </cell>
          <cell r="S159">
            <v>4532719</v>
          </cell>
          <cell r="T159">
            <v>3181375</v>
          </cell>
          <cell r="U159">
            <v>651747</v>
          </cell>
        </row>
        <row r="160">
          <cell r="A160" t="str">
            <v>FEB 2016</v>
          </cell>
          <cell r="B160" t="str">
            <v>KUCIE717</v>
          </cell>
          <cell r="D160" t="str">
            <v>PSS</v>
          </cell>
          <cell r="E160">
            <v>0</v>
          </cell>
          <cell r="F160">
            <v>0</v>
          </cell>
          <cell r="L160">
            <v>0</v>
          </cell>
          <cell r="M160">
            <v>0</v>
          </cell>
          <cell r="P160">
            <v>0</v>
          </cell>
          <cell r="R160">
            <v>0</v>
          </cell>
          <cell r="S160">
            <v>0</v>
          </cell>
          <cell r="T160">
            <v>0</v>
          </cell>
          <cell r="U160">
            <v>0</v>
          </cell>
        </row>
        <row r="161">
          <cell r="A161" t="str">
            <v>FEB 2016</v>
          </cell>
          <cell r="B161" t="str">
            <v>KUCME000</v>
          </cell>
          <cell r="D161" t="str">
            <v>TS</v>
          </cell>
          <cell r="E161">
            <v>0</v>
          </cell>
          <cell r="F161">
            <v>0</v>
          </cell>
          <cell r="L161">
            <v>0</v>
          </cell>
          <cell r="M161">
            <v>0</v>
          </cell>
          <cell r="P161">
            <v>0</v>
          </cell>
          <cell r="R161">
            <v>0</v>
          </cell>
          <cell r="S161">
            <v>0</v>
          </cell>
          <cell r="T161">
            <v>0</v>
          </cell>
          <cell r="U161">
            <v>0</v>
          </cell>
        </row>
        <row r="162">
          <cell r="A162" t="str">
            <v>FEB 2016</v>
          </cell>
          <cell r="B162" t="str">
            <v>KUCME110</v>
          </cell>
          <cell r="D162" t="str">
            <v>GS</v>
          </cell>
          <cell r="E162">
            <v>68222049</v>
          </cell>
          <cell r="F162">
            <v>1270897</v>
          </cell>
          <cell r="L162">
            <v>65457</v>
          </cell>
          <cell r="M162">
            <v>293395</v>
          </cell>
          <cell r="P162">
            <v>0</v>
          </cell>
          <cell r="R162">
            <v>8293344</v>
          </cell>
          <cell r="S162">
            <v>6293484</v>
          </cell>
          <cell r="T162">
            <v>0</v>
          </cell>
          <cell r="U162">
            <v>370111</v>
          </cell>
        </row>
        <row r="163">
          <cell r="A163" t="str">
            <v>FEB 2016</v>
          </cell>
          <cell r="B163" t="str">
            <v>KUCME112</v>
          </cell>
          <cell r="D163" t="str">
            <v>GS</v>
          </cell>
          <cell r="E163">
            <v>0</v>
          </cell>
          <cell r="F163">
            <v>0</v>
          </cell>
          <cell r="L163">
            <v>0</v>
          </cell>
          <cell r="M163">
            <v>0</v>
          </cell>
          <cell r="P163">
            <v>0</v>
          </cell>
          <cell r="R163">
            <v>0</v>
          </cell>
          <cell r="S163">
            <v>0</v>
          </cell>
          <cell r="T163">
            <v>0</v>
          </cell>
          <cell r="U163">
            <v>0</v>
          </cell>
        </row>
        <row r="164">
          <cell r="A164" t="str">
            <v>FEB 2016</v>
          </cell>
          <cell r="B164" t="str">
            <v>KUCME113</v>
          </cell>
          <cell r="D164" t="str">
            <v>GS3</v>
          </cell>
          <cell r="E164">
            <v>99957153</v>
          </cell>
          <cell r="F164">
            <v>650130</v>
          </cell>
          <cell r="L164">
            <v>95907</v>
          </cell>
          <cell r="M164">
            <v>429875</v>
          </cell>
          <cell r="P164">
            <v>0</v>
          </cell>
          <cell r="R164">
            <v>10939236</v>
          </cell>
          <cell r="S164">
            <v>9221047</v>
          </cell>
          <cell r="T164">
            <v>0</v>
          </cell>
          <cell r="U164">
            <v>542277</v>
          </cell>
        </row>
        <row r="165">
          <cell r="A165" t="str">
            <v>FEB 2016</v>
          </cell>
          <cell r="B165" t="str">
            <v>KUCME220</v>
          </cell>
          <cell r="D165" t="str">
            <v>AES</v>
          </cell>
          <cell r="E165">
            <v>719702</v>
          </cell>
          <cell r="F165">
            <v>7460</v>
          </cell>
          <cell r="L165">
            <v>691</v>
          </cell>
          <cell r="M165">
            <v>3095</v>
          </cell>
          <cell r="P165">
            <v>0</v>
          </cell>
          <cell r="R165">
            <v>68696</v>
          </cell>
          <cell r="S165">
            <v>53546</v>
          </cell>
          <cell r="T165">
            <v>0</v>
          </cell>
          <cell r="U165">
            <v>3904</v>
          </cell>
        </row>
        <row r="166">
          <cell r="A166" t="str">
            <v>FEB 2016</v>
          </cell>
          <cell r="B166" t="str">
            <v>KUCME221</v>
          </cell>
          <cell r="D166" t="str">
            <v>AESP</v>
          </cell>
          <cell r="E166">
            <v>0</v>
          </cell>
          <cell r="F166">
            <v>0</v>
          </cell>
          <cell r="L166">
            <v>0</v>
          </cell>
          <cell r="M166">
            <v>0</v>
          </cell>
          <cell r="P166">
            <v>0</v>
          </cell>
          <cell r="R166">
            <v>0</v>
          </cell>
          <cell r="S166">
            <v>0</v>
          </cell>
          <cell r="T166">
            <v>0</v>
          </cell>
          <cell r="U166">
            <v>0</v>
          </cell>
        </row>
        <row r="167">
          <cell r="A167" t="str">
            <v>FEB 2016</v>
          </cell>
          <cell r="B167" t="str">
            <v>KUCME223</v>
          </cell>
          <cell r="D167" t="str">
            <v>AES3</v>
          </cell>
          <cell r="E167">
            <v>0</v>
          </cell>
          <cell r="F167">
            <v>0</v>
          </cell>
          <cell r="L167">
            <v>0</v>
          </cell>
          <cell r="M167">
            <v>0</v>
          </cell>
          <cell r="P167">
            <v>0</v>
          </cell>
          <cell r="R167">
            <v>0</v>
          </cell>
          <cell r="S167">
            <v>0</v>
          </cell>
          <cell r="T167">
            <v>0</v>
          </cell>
          <cell r="U167">
            <v>0</v>
          </cell>
        </row>
        <row r="168">
          <cell r="A168" t="str">
            <v>FEB 2016</v>
          </cell>
          <cell r="B168" t="str">
            <v>KUCME224</v>
          </cell>
          <cell r="D168" t="str">
            <v>AES3P</v>
          </cell>
          <cell r="E168">
            <v>13339327</v>
          </cell>
          <cell r="F168">
            <v>9100</v>
          </cell>
          <cell r="L168">
            <v>12799</v>
          </cell>
          <cell r="M168">
            <v>57367</v>
          </cell>
          <cell r="P168">
            <v>0</v>
          </cell>
          <cell r="R168">
            <v>1144079</v>
          </cell>
          <cell r="S168">
            <v>992446</v>
          </cell>
          <cell r="T168">
            <v>0</v>
          </cell>
          <cell r="U168">
            <v>72367</v>
          </cell>
        </row>
        <row r="169">
          <cell r="A169" t="str">
            <v>FEB 2016</v>
          </cell>
          <cell r="B169" t="str">
            <v>KUCME225</v>
          </cell>
          <cell r="D169" t="str">
            <v>AES3PSS</v>
          </cell>
          <cell r="E169">
            <v>0</v>
          </cell>
          <cell r="F169">
            <v>0</v>
          </cell>
          <cell r="L169">
            <v>0</v>
          </cell>
          <cell r="M169">
            <v>0</v>
          </cell>
          <cell r="P169">
            <v>0</v>
          </cell>
          <cell r="R169">
            <v>0</v>
          </cell>
          <cell r="S169">
            <v>0</v>
          </cell>
          <cell r="T169">
            <v>0</v>
          </cell>
          <cell r="U169">
            <v>0</v>
          </cell>
        </row>
        <row r="170">
          <cell r="A170" t="str">
            <v>FEB 2016</v>
          </cell>
          <cell r="B170" t="str">
            <v>KUCME226</v>
          </cell>
          <cell r="D170" t="str">
            <v>AESPSS</v>
          </cell>
          <cell r="E170">
            <v>0</v>
          </cell>
          <cell r="F170">
            <v>0</v>
          </cell>
          <cell r="L170">
            <v>0</v>
          </cell>
          <cell r="M170">
            <v>0</v>
          </cell>
          <cell r="P170">
            <v>0</v>
          </cell>
          <cell r="R170">
            <v>0</v>
          </cell>
          <cell r="S170">
            <v>0</v>
          </cell>
          <cell r="T170">
            <v>0</v>
          </cell>
          <cell r="U170">
            <v>0</v>
          </cell>
        </row>
        <row r="171">
          <cell r="A171" t="str">
            <v>FEB 2016</v>
          </cell>
          <cell r="B171" t="str">
            <v>KUCME227</v>
          </cell>
          <cell r="D171" t="str">
            <v>AESTODS</v>
          </cell>
          <cell r="E171">
            <v>0</v>
          </cell>
          <cell r="F171">
            <v>0</v>
          </cell>
          <cell r="L171">
            <v>0</v>
          </cell>
          <cell r="M171">
            <v>0</v>
          </cell>
          <cell r="P171">
            <v>0</v>
          </cell>
          <cell r="R171">
            <v>0</v>
          </cell>
          <cell r="S171">
            <v>0</v>
          </cell>
          <cell r="T171">
            <v>0</v>
          </cell>
          <cell r="U171">
            <v>0</v>
          </cell>
        </row>
        <row r="172">
          <cell r="A172" t="str">
            <v>FEB 2016</v>
          </cell>
          <cell r="B172" t="str">
            <v>KUCME290</v>
          </cell>
          <cell r="D172" t="str">
            <v>LE</v>
          </cell>
          <cell r="E172">
            <v>0</v>
          </cell>
          <cell r="F172">
            <v>0</v>
          </cell>
          <cell r="L172">
            <v>0</v>
          </cell>
          <cell r="M172">
            <v>0</v>
          </cell>
          <cell r="P172">
            <v>0</v>
          </cell>
          <cell r="R172">
            <v>0</v>
          </cell>
          <cell r="S172">
            <v>0</v>
          </cell>
          <cell r="T172">
            <v>0</v>
          </cell>
          <cell r="U172">
            <v>0</v>
          </cell>
        </row>
        <row r="173">
          <cell r="A173" t="str">
            <v>FEB 2016</v>
          </cell>
          <cell r="B173" t="str">
            <v>KUCME291</v>
          </cell>
          <cell r="D173" t="str">
            <v>LE</v>
          </cell>
          <cell r="E173">
            <v>0</v>
          </cell>
          <cell r="F173">
            <v>0</v>
          </cell>
          <cell r="L173">
            <v>0</v>
          </cell>
          <cell r="M173">
            <v>0</v>
          </cell>
          <cell r="P173">
            <v>0</v>
          </cell>
          <cell r="R173">
            <v>0</v>
          </cell>
          <cell r="S173">
            <v>0</v>
          </cell>
          <cell r="T173">
            <v>0</v>
          </cell>
          <cell r="U173">
            <v>0</v>
          </cell>
        </row>
        <row r="174">
          <cell r="A174" t="str">
            <v>FEB 2016</v>
          </cell>
          <cell r="B174" t="str">
            <v>KUCME295</v>
          </cell>
          <cell r="D174" t="str">
            <v>TE</v>
          </cell>
          <cell r="E174">
            <v>0</v>
          </cell>
          <cell r="F174">
            <v>0</v>
          </cell>
          <cell r="L174">
            <v>0</v>
          </cell>
          <cell r="M174">
            <v>0</v>
          </cell>
          <cell r="P174">
            <v>0</v>
          </cell>
          <cell r="R174">
            <v>0</v>
          </cell>
          <cell r="S174">
            <v>0</v>
          </cell>
          <cell r="T174">
            <v>0</v>
          </cell>
          <cell r="U174">
            <v>0</v>
          </cell>
        </row>
        <row r="175">
          <cell r="A175" t="str">
            <v>FEB 2016</v>
          </cell>
          <cell r="B175" t="str">
            <v>KUCME297</v>
          </cell>
          <cell r="D175" t="str">
            <v>TE</v>
          </cell>
          <cell r="E175">
            <v>0</v>
          </cell>
          <cell r="F175">
            <v>0</v>
          </cell>
          <cell r="L175">
            <v>0</v>
          </cell>
          <cell r="M175">
            <v>0</v>
          </cell>
          <cell r="P175">
            <v>0</v>
          </cell>
          <cell r="R175">
            <v>0</v>
          </cell>
          <cell r="S175">
            <v>0</v>
          </cell>
          <cell r="T175">
            <v>0</v>
          </cell>
          <cell r="U175">
            <v>0</v>
          </cell>
        </row>
        <row r="176">
          <cell r="A176" t="str">
            <v>FEB 2016</v>
          </cell>
          <cell r="B176" t="str">
            <v>KUCME705</v>
          </cell>
          <cell r="D176" t="str">
            <v>SQF</v>
          </cell>
          <cell r="E176">
            <v>0</v>
          </cell>
          <cell r="F176">
            <v>0</v>
          </cell>
          <cell r="L176">
            <v>0</v>
          </cell>
          <cell r="M176">
            <v>0</v>
          </cell>
          <cell r="P176">
            <v>0</v>
          </cell>
          <cell r="R176">
            <v>0</v>
          </cell>
          <cell r="S176">
            <v>0</v>
          </cell>
          <cell r="T176">
            <v>0</v>
          </cell>
          <cell r="U176">
            <v>0</v>
          </cell>
        </row>
        <row r="177">
          <cell r="A177" t="str">
            <v>FEB 2016</v>
          </cell>
          <cell r="B177" t="str">
            <v>KUCME707</v>
          </cell>
          <cell r="D177" t="str">
            <v>LQF</v>
          </cell>
          <cell r="E177">
            <v>0</v>
          </cell>
          <cell r="F177">
            <v>0</v>
          </cell>
          <cell r="L177">
            <v>0</v>
          </cell>
          <cell r="M177">
            <v>0</v>
          </cell>
          <cell r="P177">
            <v>0</v>
          </cell>
          <cell r="R177">
            <v>0</v>
          </cell>
          <cell r="S177">
            <v>0</v>
          </cell>
          <cell r="T177">
            <v>0</v>
          </cell>
          <cell r="U177">
            <v>0</v>
          </cell>
        </row>
        <row r="178">
          <cell r="A178" t="str">
            <v>FEB 2016</v>
          </cell>
          <cell r="B178" t="str">
            <v>KUCME710</v>
          </cell>
          <cell r="D178" t="str">
            <v>GS</v>
          </cell>
          <cell r="E178">
            <v>0</v>
          </cell>
          <cell r="F178">
            <v>0</v>
          </cell>
          <cell r="L178">
            <v>0</v>
          </cell>
          <cell r="M178">
            <v>0</v>
          </cell>
          <cell r="P178">
            <v>0</v>
          </cell>
          <cell r="R178">
            <v>0</v>
          </cell>
          <cell r="S178">
            <v>0</v>
          </cell>
          <cell r="T178">
            <v>0</v>
          </cell>
          <cell r="U178">
            <v>0</v>
          </cell>
        </row>
        <row r="179">
          <cell r="A179" t="str">
            <v>FEB 2016</v>
          </cell>
          <cell r="B179" t="str">
            <v>KUCME713</v>
          </cell>
          <cell r="D179" t="str">
            <v>GS3</v>
          </cell>
          <cell r="E179">
            <v>0</v>
          </cell>
          <cell r="F179">
            <v>0</v>
          </cell>
          <cell r="L179">
            <v>0</v>
          </cell>
          <cell r="M179">
            <v>0</v>
          </cell>
          <cell r="P179">
            <v>0</v>
          </cell>
          <cell r="R179">
            <v>0</v>
          </cell>
          <cell r="S179">
            <v>0</v>
          </cell>
          <cell r="T179">
            <v>0</v>
          </cell>
          <cell r="U179">
            <v>0</v>
          </cell>
        </row>
        <row r="180">
          <cell r="A180" t="str">
            <v>FEB 2016</v>
          </cell>
          <cell r="B180" t="str">
            <v>KUCME841</v>
          </cell>
          <cell r="D180" t="str">
            <v>LRI</v>
          </cell>
          <cell r="E180">
            <v>0</v>
          </cell>
          <cell r="F180">
            <v>0</v>
          </cell>
          <cell r="L180">
            <v>0</v>
          </cell>
          <cell r="M180">
            <v>0</v>
          </cell>
          <cell r="P180">
            <v>0</v>
          </cell>
          <cell r="R180">
            <v>0</v>
          </cell>
          <cell r="S180">
            <v>0</v>
          </cell>
          <cell r="T180">
            <v>0</v>
          </cell>
          <cell r="U180">
            <v>0</v>
          </cell>
        </row>
        <row r="181">
          <cell r="A181" t="str">
            <v>FEB 2016</v>
          </cell>
          <cell r="B181" t="str">
            <v>KUCSR760</v>
          </cell>
          <cell r="D181" t="str">
            <v>CSR</v>
          </cell>
          <cell r="E181">
            <v>0</v>
          </cell>
          <cell r="F181">
            <v>0</v>
          </cell>
          <cell r="L181">
            <v>0</v>
          </cell>
          <cell r="M181">
            <v>0</v>
          </cell>
          <cell r="P181">
            <v>-989829</v>
          </cell>
          <cell r="R181">
            <v>-989829</v>
          </cell>
          <cell r="S181">
            <v>0</v>
          </cell>
          <cell r="T181">
            <v>0</v>
          </cell>
          <cell r="U181">
            <v>0</v>
          </cell>
        </row>
        <row r="182">
          <cell r="A182" t="str">
            <v>FEB 2016</v>
          </cell>
          <cell r="B182" t="str">
            <v>KUCSR761</v>
          </cell>
          <cell r="D182" t="str">
            <v>CSR</v>
          </cell>
          <cell r="E182">
            <v>0</v>
          </cell>
          <cell r="F182">
            <v>0</v>
          </cell>
          <cell r="L182">
            <v>0</v>
          </cell>
          <cell r="M182">
            <v>0</v>
          </cell>
          <cell r="P182">
            <v>0</v>
          </cell>
          <cell r="R182">
            <v>0</v>
          </cell>
          <cell r="S182">
            <v>0</v>
          </cell>
          <cell r="T182">
            <v>0</v>
          </cell>
          <cell r="U182">
            <v>0</v>
          </cell>
        </row>
        <row r="183">
          <cell r="A183" t="str">
            <v>FEB 2016</v>
          </cell>
          <cell r="B183" t="str">
            <v>KUCSR781</v>
          </cell>
          <cell r="D183" t="str">
            <v>CSR</v>
          </cell>
          <cell r="E183">
            <v>0</v>
          </cell>
          <cell r="F183">
            <v>0</v>
          </cell>
          <cell r="L183">
            <v>0</v>
          </cell>
          <cell r="M183">
            <v>0</v>
          </cell>
          <cell r="P183">
            <v>0</v>
          </cell>
          <cell r="R183">
            <v>0</v>
          </cell>
          <cell r="S183">
            <v>0</v>
          </cell>
          <cell r="T183">
            <v>0</v>
          </cell>
          <cell r="U183">
            <v>0</v>
          </cell>
        </row>
        <row r="184">
          <cell r="A184" t="str">
            <v>FEB 2016</v>
          </cell>
          <cell r="B184" t="str">
            <v>KUCSR783</v>
          </cell>
          <cell r="D184" t="str">
            <v>CSR</v>
          </cell>
          <cell r="E184">
            <v>0</v>
          </cell>
          <cell r="F184">
            <v>0</v>
          </cell>
          <cell r="L184">
            <v>0</v>
          </cell>
          <cell r="M184">
            <v>0</v>
          </cell>
          <cell r="P184">
            <v>0</v>
          </cell>
          <cell r="R184">
            <v>0</v>
          </cell>
          <cell r="S184">
            <v>0</v>
          </cell>
          <cell r="T184">
            <v>0</v>
          </cell>
          <cell r="U184">
            <v>0</v>
          </cell>
        </row>
        <row r="185">
          <cell r="A185" t="str">
            <v>FEB 2016</v>
          </cell>
          <cell r="B185" t="str">
            <v>KUCUE851</v>
          </cell>
          <cell r="D185" t="str">
            <v>CU</v>
          </cell>
          <cell r="E185">
            <v>0</v>
          </cell>
          <cell r="F185">
            <v>0</v>
          </cell>
          <cell r="L185">
            <v>0</v>
          </cell>
          <cell r="M185">
            <v>0</v>
          </cell>
          <cell r="P185">
            <v>0</v>
          </cell>
          <cell r="R185">
            <v>0</v>
          </cell>
          <cell r="S185">
            <v>0</v>
          </cell>
          <cell r="T185">
            <v>0</v>
          </cell>
          <cell r="U185">
            <v>0</v>
          </cell>
        </row>
        <row r="186">
          <cell r="A186" t="str">
            <v>FEB 2016</v>
          </cell>
          <cell r="B186" t="str">
            <v>KUCUE852</v>
          </cell>
          <cell r="D186" t="str">
            <v>CU</v>
          </cell>
          <cell r="E186">
            <v>0</v>
          </cell>
          <cell r="F186">
            <v>0</v>
          </cell>
          <cell r="L186">
            <v>0</v>
          </cell>
          <cell r="M186">
            <v>0</v>
          </cell>
          <cell r="P186">
            <v>0</v>
          </cell>
          <cell r="R186">
            <v>0</v>
          </cell>
          <cell r="S186">
            <v>0</v>
          </cell>
          <cell r="T186">
            <v>0</v>
          </cell>
          <cell r="U186">
            <v>0</v>
          </cell>
        </row>
        <row r="187">
          <cell r="A187" t="str">
            <v>FEB 2016</v>
          </cell>
          <cell r="B187" t="str">
            <v>KUINE730</v>
          </cell>
          <cell r="D187" t="str">
            <v>FLS</v>
          </cell>
          <cell r="E187">
            <v>46508169</v>
          </cell>
          <cell r="F187">
            <v>750</v>
          </cell>
          <cell r="L187">
            <v>0</v>
          </cell>
          <cell r="M187">
            <v>200012</v>
          </cell>
          <cell r="P187">
            <v>0</v>
          </cell>
          <cell r="R187">
            <v>2689904</v>
          </cell>
          <cell r="S187">
            <v>1516631</v>
          </cell>
          <cell r="T187">
            <v>720199</v>
          </cell>
          <cell r="U187">
            <v>252311</v>
          </cell>
        </row>
        <row r="188">
          <cell r="A188" t="str">
            <v>FEB 2016</v>
          </cell>
          <cell r="B188" t="str">
            <v>KUMNE902</v>
          </cell>
          <cell r="D188" t="str">
            <v>WPS</v>
          </cell>
          <cell r="E188">
            <v>0</v>
          </cell>
          <cell r="F188">
            <v>0</v>
          </cell>
          <cell r="L188">
            <v>0</v>
          </cell>
          <cell r="M188">
            <v>0</v>
          </cell>
          <cell r="P188">
            <v>0</v>
          </cell>
          <cell r="R188">
            <v>0</v>
          </cell>
          <cell r="S188">
            <v>0</v>
          </cell>
          <cell r="T188">
            <v>0</v>
          </cell>
          <cell r="U188">
            <v>0</v>
          </cell>
        </row>
        <row r="189">
          <cell r="A189" t="str">
            <v>FEB 2016</v>
          </cell>
          <cell r="B189" t="str">
            <v>KUMNE903</v>
          </cell>
          <cell r="D189" t="str">
            <v>WPS</v>
          </cell>
          <cell r="E189">
            <v>0</v>
          </cell>
          <cell r="F189">
            <v>0</v>
          </cell>
          <cell r="L189">
            <v>0</v>
          </cell>
          <cell r="M189">
            <v>0</v>
          </cell>
          <cell r="P189">
            <v>0</v>
          </cell>
          <cell r="R189">
            <v>0</v>
          </cell>
          <cell r="S189">
            <v>0</v>
          </cell>
          <cell r="T189">
            <v>0</v>
          </cell>
          <cell r="U189">
            <v>0</v>
          </cell>
        </row>
        <row r="190">
          <cell r="A190" t="str">
            <v>FEB 2016</v>
          </cell>
          <cell r="B190" t="str">
            <v>KUMNE934</v>
          </cell>
          <cell r="D190" t="str">
            <v>WPS</v>
          </cell>
          <cell r="E190">
            <v>0</v>
          </cell>
          <cell r="F190">
            <v>0</v>
          </cell>
          <cell r="L190">
            <v>0</v>
          </cell>
          <cell r="M190">
            <v>0</v>
          </cell>
          <cell r="P190">
            <v>0</v>
          </cell>
          <cell r="R190">
            <v>0</v>
          </cell>
          <cell r="S190">
            <v>0</v>
          </cell>
          <cell r="T190">
            <v>0</v>
          </cell>
          <cell r="U190">
            <v>0</v>
          </cell>
        </row>
        <row r="191">
          <cell r="A191" t="str">
            <v>FEB 2016</v>
          </cell>
          <cell r="B191" t="str">
            <v>KURSE000</v>
          </cell>
          <cell r="D191" t="str">
            <v>TS</v>
          </cell>
          <cell r="E191">
            <v>0</v>
          </cell>
          <cell r="F191">
            <v>0</v>
          </cell>
          <cell r="L191">
            <v>0</v>
          </cell>
          <cell r="M191">
            <v>0</v>
          </cell>
          <cell r="P191">
            <v>0</v>
          </cell>
          <cell r="R191">
            <v>0</v>
          </cell>
          <cell r="S191">
            <v>0</v>
          </cell>
          <cell r="T191">
            <v>0</v>
          </cell>
          <cell r="U191">
            <v>0</v>
          </cell>
        </row>
        <row r="192">
          <cell r="A192" t="str">
            <v>FEB 2016</v>
          </cell>
          <cell r="B192" t="str">
            <v>KURSE010</v>
          </cell>
          <cell r="D192" t="str">
            <v>RS</v>
          </cell>
          <cell r="E192">
            <v>640541923</v>
          </cell>
          <cell r="F192">
            <v>4627417</v>
          </cell>
          <cell r="L192">
            <v>614585</v>
          </cell>
          <cell r="M192">
            <v>2754707</v>
          </cell>
          <cell r="P192">
            <v>0</v>
          </cell>
          <cell r="R192">
            <v>61075275</v>
          </cell>
          <cell r="S192">
            <v>49603566</v>
          </cell>
          <cell r="T192">
            <v>0</v>
          </cell>
          <cell r="U192">
            <v>3475000</v>
          </cell>
        </row>
        <row r="193">
          <cell r="A193" t="str">
            <v>FEB 2016</v>
          </cell>
          <cell r="B193" t="str">
            <v>KURSE020</v>
          </cell>
          <cell r="D193" t="str">
            <v>RS</v>
          </cell>
          <cell r="E193">
            <v>0</v>
          </cell>
          <cell r="F193">
            <v>0</v>
          </cell>
          <cell r="L193">
            <v>0</v>
          </cell>
          <cell r="M193">
            <v>0</v>
          </cell>
          <cell r="P193">
            <v>0</v>
          </cell>
          <cell r="R193">
            <v>0</v>
          </cell>
          <cell r="S193">
            <v>0</v>
          </cell>
          <cell r="T193">
            <v>0</v>
          </cell>
          <cell r="U193">
            <v>0</v>
          </cell>
        </row>
        <row r="194">
          <cell r="A194" t="str">
            <v>FEB 2016</v>
          </cell>
          <cell r="B194" t="str">
            <v>KURSE025</v>
          </cell>
          <cell r="D194" t="str">
            <v>RS3</v>
          </cell>
          <cell r="E194">
            <v>0</v>
          </cell>
          <cell r="F194">
            <v>0</v>
          </cell>
          <cell r="L194">
            <v>0</v>
          </cell>
          <cell r="M194">
            <v>0</v>
          </cell>
          <cell r="P194">
            <v>0</v>
          </cell>
          <cell r="R194">
            <v>0</v>
          </cell>
          <cell r="S194">
            <v>0</v>
          </cell>
          <cell r="T194">
            <v>0</v>
          </cell>
          <cell r="U194">
            <v>0</v>
          </cell>
        </row>
        <row r="195">
          <cell r="A195" t="str">
            <v>FEB 2016</v>
          </cell>
          <cell r="B195" t="str">
            <v>KURSE040</v>
          </cell>
          <cell r="D195" t="str">
            <v>RSLEV</v>
          </cell>
          <cell r="E195">
            <v>0</v>
          </cell>
          <cell r="F195">
            <v>0</v>
          </cell>
          <cell r="L195">
            <v>0</v>
          </cell>
          <cell r="M195">
            <v>0</v>
          </cell>
          <cell r="P195">
            <v>0</v>
          </cell>
          <cell r="R195">
            <v>0</v>
          </cell>
          <cell r="S195">
            <v>0</v>
          </cell>
          <cell r="T195">
            <v>0</v>
          </cell>
          <cell r="U195">
            <v>0</v>
          </cell>
        </row>
        <row r="196">
          <cell r="A196" t="str">
            <v>FEB 2016</v>
          </cell>
          <cell r="B196" t="str">
            <v>KURSE080</v>
          </cell>
          <cell r="D196" t="str">
            <v>RSVFD</v>
          </cell>
          <cell r="E196">
            <v>0</v>
          </cell>
          <cell r="F196">
            <v>0</v>
          </cell>
          <cell r="L196">
            <v>0</v>
          </cell>
          <cell r="M196">
            <v>0</v>
          </cell>
          <cell r="P196">
            <v>0</v>
          </cell>
          <cell r="R196">
            <v>0</v>
          </cell>
          <cell r="S196">
            <v>0</v>
          </cell>
          <cell r="T196">
            <v>0</v>
          </cell>
          <cell r="U196">
            <v>0</v>
          </cell>
        </row>
        <row r="197">
          <cell r="A197" t="str">
            <v>FEB 2016</v>
          </cell>
          <cell r="B197" t="str">
            <v>KURSE715</v>
          </cell>
          <cell r="D197" t="str">
            <v>RS</v>
          </cell>
          <cell r="E197">
            <v>0</v>
          </cell>
          <cell r="F197">
            <v>0</v>
          </cell>
          <cell r="L197">
            <v>0</v>
          </cell>
          <cell r="M197">
            <v>0</v>
          </cell>
          <cell r="P197">
            <v>0</v>
          </cell>
          <cell r="R197">
            <v>0</v>
          </cell>
          <cell r="S197">
            <v>0</v>
          </cell>
          <cell r="T197">
            <v>0</v>
          </cell>
          <cell r="U197">
            <v>0</v>
          </cell>
        </row>
        <row r="198">
          <cell r="A198" t="str">
            <v>FEB 2016</v>
          </cell>
          <cell r="B198" t="str">
            <v>ODL</v>
          </cell>
          <cell r="E198">
            <v>9323849</v>
          </cell>
          <cell r="F198">
            <v>0</v>
          </cell>
          <cell r="L198">
            <v>0</v>
          </cell>
          <cell r="M198">
            <v>40098</v>
          </cell>
          <cell r="P198">
            <v>0</v>
          </cell>
          <cell r="R198">
            <v>2197349</v>
          </cell>
          <cell r="S198">
            <v>2106668</v>
          </cell>
          <cell r="T198">
            <v>0</v>
          </cell>
          <cell r="U198">
            <v>50583</v>
          </cell>
        </row>
        <row r="199">
          <cell r="A199" t="str">
            <v>FEB 2016</v>
          </cell>
          <cell r="B199" t="str">
            <v>KUUM_360</v>
          </cell>
          <cell r="D199" t="str">
            <v>LS</v>
          </cell>
          <cell r="S199">
            <v>0</v>
          </cell>
          <cell r="T199">
            <v>0</v>
          </cell>
          <cell r="U199">
            <v>0</v>
          </cell>
        </row>
        <row r="200">
          <cell r="A200" t="str">
            <v>FEB 2016</v>
          </cell>
          <cell r="B200" t="str">
            <v>KUUM_361</v>
          </cell>
          <cell r="D200" t="str">
            <v>LS</v>
          </cell>
          <cell r="S200">
            <v>0</v>
          </cell>
          <cell r="T200">
            <v>0</v>
          </cell>
          <cell r="U200">
            <v>0</v>
          </cell>
        </row>
        <row r="201">
          <cell r="A201" t="str">
            <v>FEB 2016</v>
          </cell>
          <cell r="B201" t="str">
            <v>KUUM_362</v>
          </cell>
          <cell r="D201" t="str">
            <v>LS</v>
          </cell>
          <cell r="S201">
            <v>0</v>
          </cell>
          <cell r="T201">
            <v>0</v>
          </cell>
          <cell r="U201">
            <v>0</v>
          </cell>
        </row>
        <row r="202">
          <cell r="A202" t="str">
            <v>FEB 2016</v>
          </cell>
          <cell r="B202" t="str">
            <v>KUUM_363</v>
          </cell>
          <cell r="D202" t="str">
            <v>LS</v>
          </cell>
          <cell r="S202">
            <v>0</v>
          </cell>
          <cell r="T202">
            <v>0</v>
          </cell>
          <cell r="U202">
            <v>0</v>
          </cell>
        </row>
        <row r="203">
          <cell r="A203" t="str">
            <v>FEB 2016</v>
          </cell>
          <cell r="B203" t="str">
            <v>KUUM_364</v>
          </cell>
          <cell r="D203" t="str">
            <v>LS</v>
          </cell>
          <cell r="S203">
            <v>0</v>
          </cell>
          <cell r="T203">
            <v>0</v>
          </cell>
          <cell r="U203">
            <v>0</v>
          </cell>
        </row>
        <row r="204">
          <cell r="A204" t="str">
            <v>FEB 2016</v>
          </cell>
          <cell r="B204" t="str">
            <v>KUUM_365</v>
          </cell>
          <cell r="D204" t="str">
            <v>LS</v>
          </cell>
          <cell r="S204">
            <v>0</v>
          </cell>
          <cell r="T204">
            <v>0</v>
          </cell>
          <cell r="U204">
            <v>0</v>
          </cell>
        </row>
        <row r="205">
          <cell r="A205" t="str">
            <v>FEB 2016</v>
          </cell>
          <cell r="B205" t="str">
            <v>KUUM_366</v>
          </cell>
          <cell r="D205" t="str">
            <v>LS</v>
          </cell>
          <cell r="S205">
            <v>0</v>
          </cell>
          <cell r="T205">
            <v>0</v>
          </cell>
          <cell r="U205">
            <v>0</v>
          </cell>
        </row>
        <row r="206">
          <cell r="A206" t="str">
            <v>FEB 2016</v>
          </cell>
          <cell r="B206" t="str">
            <v>KUUM_367</v>
          </cell>
          <cell r="D206" t="str">
            <v>LS</v>
          </cell>
          <cell r="S206">
            <v>0</v>
          </cell>
          <cell r="T206">
            <v>0</v>
          </cell>
          <cell r="U206">
            <v>0</v>
          </cell>
        </row>
        <row r="207">
          <cell r="A207" t="str">
            <v>FEB 2016</v>
          </cell>
          <cell r="B207" t="str">
            <v>KUUM_368</v>
          </cell>
          <cell r="D207" t="str">
            <v>LS</v>
          </cell>
          <cell r="S207">
            <v>0</v>
          </cell>
          <cell r="T207">
            <v>0</v>
          </cell>
          <cell r="U207">
            <v>0</v>
          </cell>
        </row>
        <row r="208">
          <cell r="A208" t="str">
            <v>FEB 2016</v>
          </cell>
          <cell r="B208" t="str">
            <v>KUUM_370</v>
          </cell>
          <cell r="D208" t="str">
            <v>LS</v>
          </cell>
          <cell r="S208">
            <v>0</v>
          </cell>
          <cell r="T208">
            <v>0</v>
          </cell>
          <cell r="U208">
            <v>0</v>
          </cell>
        </row>
        <row r="209">
          <cell r="A209" t="str">
            <v>FEB 2016</v>
          </cell>
          <cell r="B209" t="str">
            <v>KUUM_372</v>
          </cell>
          <cell r="D209" t="str">
            <v>LS</v>
          </cell>
          <cell r="S209">
            <v>0</v>
          </cell>
          <cell r="T209">
            <v>0</v>
          </cell>
          <cell r="U209">
            <v>0</v>
          </cell>
        </row>
        <row r="210">
          <cell r="A210" t="str">
            <v>FEB 2016</v>
          </cell>
          <cell r="B210" t="str">
            <v>KUUM_373</v>
          </cell>
          <cell r="D210" t="str">
            <v>LS</v>
          </cell>
          <cell r="S210">
            <v>0</v>
          </cell>
          <cell r="T210">
            <v>0</v>
          </cell>
          <cell r="U210">
            <v>0</v>
          </cell>
        </row>
        <row r="211">
          <cell r="A211" t="str">
            <v>FEB 2016</v>
          </cell>
          <cell r="B211" t="str">
            <v>KUUM_374</v>
          </cell>
          <cell r="D211" t="str">
            <v>LS</v>
          </cell>
          <cell r="S211">
            <v>0</v>
          </cell>
          <cell r="T211">
            <v>0</v>
          </cell>
          <cell r="U211">
            <v>0</v>
          </cell>
        </row>
        <row r="212">
          <cell r="A212" t="str">
            <v>FEB 2016</v>
          </cell>
          <cell r="B212" t="str">
            <v>KUUM_375</v>
          </cell>
          <cell r="D212" t="str">
            <v>LS</v>
          </cell>
          <cell r="S212">
            <v>0</v>
          </cell>
          <cell r="T212">
            <v>0</v>
          </cell>
          <cell r="U212">
            <v>0</v>
          </cell>
        </row>
        <row r="213">
          <cell r="A213" t="str">
            <v>FEB 2016</v>
          </cell>
          <cell r="B213" t="str">
            <v>KUUM_376</v>
          </cell>
          <cell r="D213" t="str">
            <v>LS</v>
          </cell>
          <cell r="S213">
            <v>0</v>
          </cell>
          <cell r="T213">
            <v>0</v>
          </cell>
          <cell r="U213">
            <v>0</v>
          </cell>
        </row>
        <row r="214">
          <cell r="A214" t="str">
            <v>FEB 2016</v>
          </cell>
          <cell r="B214" t="str">
            <v>KUUM_377</v>
          </cell>
          <cell r="D214" t="str">
            <v>LS</v>
          </cell>
          <cell r="S214">
            <v>0</v>
          </cell>
          <cell r="T214">
            <v>0</v>
          </cell>
          <cell r="U214">
            <v>0</v>
          </cell>
        </row>
        <row r="215">
          <cell r="A215" t="str">
            <v>FEB 2016</v>
          </cell>
          <cell r="B215" t="str">
            <v>KUUM_378</v>
          </cell>
          <cell r="D215" t="str">
            <v>LS</v>
          </cell>
          <cell r="S215">
            <v>0</v>
          </cell>
          <cell r="T215">
            <v>0</v>
          </cell>
          <cell r="U215">
            <v>0</v>
          </cell>
        </row>
        <row r="216">
          <cell r="A216" t="str">
            <v>FEB 2016</v>
          </cell>
          <cell r="B216" t="str">
            <v>KUUM_401</v>
          </cell>
          <cell r="D216" t="str">
            <v>LS</v>
          </cell>
          <cell r="S216">
            <v>0</v>
          </cell>
          <cell r="T216">
            <v>0</v>
          </cell>
          <cell r="U216">
            <v>0</v>
          </cell>
        </row>
        <row r="217">
          <cell r="A217" t="str">
            <v>FEB 2016</v>
          </cell>
          <cell r="B217" t="str">
            <v>KUUM_404</v>
          </cell>
          <cell r="D217" t="str">
            <v>RLS</v>
          </cell>
          <cell r="S217">
            <v>0</v>
          </cell>
          <cell r="T217">
            <v>0</v>
          </cell>
          <cell r="U217">
            <v>0</v>
          </cell>
        </row>
        <row r="218">
          <cell r="A218" t="str">
            <v>FEB 2016</v>
          </cell>
          <cell r="B218" t="str">
            <v>KUUM_405</v>
          </cell>
          <cell r="D218" t="str">
            <v>LS</v>
          </cell>
          <cell r="S218">
            <v>0</v>
          </cell>
          <cell r="T218">
            <v>0</v>
          </cell>
          <cell r="U218">
            <v>0</v>
          </cell>
        </row>
        <row r="219">
          <cell r="A219" t="str">
            <v>FEB 2016</v>
          </cell>
          <cell r="B219" t="str">
            <v>KUUM_409</v>
          </cell>
          <cell r="D219" t="str">
            <v>RLS</v>
          </cell>
          <cell r="S219">
            <v>0</v>
          </cell>
          <cell r="T219">
            <v>0</v>
          </cell>
          <cell r="U219">
            <v>0</v>
          </cell>
        </row>
        <row r="220">
          <cell r="A220" t="str">
            <v>FEB 2016</v>
          </cell>
          <cell r="B220" t="str">
            <v>KUUM_410</v>
          </cell>
          <cell r="D220" t="str">
            <v>RLS</v>
          </cell>
          <cell r="S220">
            <v>0</v>
          </cell>
          <cell r="T220">
            <v>0</v>
          </cell>
          <cell r="U220">
            <v>0</v>
          </cell>
        </row>
        <row r="221">
          <cell r="A221" t="str">
            <v>FEB 2016</v>
          </cell>
          <cell r="B221" t="str">
            <v>KUUM_411</v>
          </cell>
          <cell r="D221" t="str">
            <v>LS</v>
          </cell>
          <cell r="S221">
            <v>0</v>
          </cell>
          <cell r="T221">
            <v>0</v>
          </cell>
          <cell r="U221">
            <v>0</v>
          </cell>
        </row>
        <row r="222">
          <cell r="A222" t="str">
            <v>FEB 2016</v>
          </cell>
          <cell r="B222" t="str">
            <v>KUUM_412</v>
          </cell>
          <cell r="D222" t="str">
            <v>RLS</v>
          </cell>
          <cell r="S222">
            <v>0</v>
          </cell>
          <cell r="T222">
            <v>0</v>
          </cell>
          <cell r="U222">
            <v>0</v>
          </cell>
        </row>
        <row r="223">
          <cell r="A223" t="str">
            <v>FEB 2016</v>
          </cell>
          <cell r="B223" t="str">
            <v>KUUM_413</v>
          </cell>
          <cell r="D223" t="str">
            <v>RLS</v>
          </cell>
          <cell r="S223">
            <v>0</v>
          </cell>
          <cell r="T223">
            <v>0</v>
          </cell>
          <cell r="U223">
            <v>0</v>
          </cell>
        </row>
        <row r="224">
          <cell r="A224" t="str">
            <v>FEB 2016</v>
          </cell>
          <cell r="B224" t="str">
            <v>KUUM_414</v>
          </cell>
          <cell r="D224" t="str">
            <v>LS</v>
          </cell>
          <cell r="S224">
            <v>0</v>
          </cell>
          <cell r="T224">
            <v>0</v>
          </cell>
          <cell r="U224">
            <v>0</v>
          </cell>
        </row>
        <row r="225">
          <cell r="A225" t="str">
            <v>FEB 2016</v>
          </cell>
          <cell r="B225" t="str">
            <v>KUUM_415</v>
          </cell>
          <cell r="D225" t="str">
            <v>LS</v>
          </cell>
          <cell r="S225">
            <v>0</v>
          </cell>
          <cell r="T225">
            <v>0</v>
          </cell>
          <cell r="U225">
            <v>0</v>
          </cell>
        </row>
        <row r="226">
          <cell r="A226" t="str">
            <v>FEB 2016</v>
          </cell>
          <cell r="B226" t="str">
            <v>KUUM_420</v>
          </cell>
          <cell r="D226" t="str">
            <v>LS</v>
          </cell>
          <cell r="S226">
            <v>0</v>
          </cell>
          <cell r="T226">
            <v>0</v>
          </cell>
          <cell r="U226">
            <v>0</v>
          </cell>
        </row>
        <row r="227">
          <cell r="A227" t="str">
            <v>FEB 2016</v>
          </cell>
          <cell r="B227" t="str">
            <v>KUUM_421</v>
          </cell>
          <cell r="D227" t="str">
            <v>RLS</v>
          </cell>
          <cell r="S227">
            <v>0</v>
          </cell>
          <cell r="T227">
            <v>0</v>
          </cell>
          <cell r="U227">
            <v>0</v>
          </cell>
        </row>
        <row r="228">
          <cell r="A228" t="str">
            <v>FEB 2016</v>
          </cell>
          <cell r="B228" t="str">
            <v>KUUM_422</v>
          </cell>
          <cell r="D228" t="str">
            <v>RLS</v>
          </cell>
          <cell r="S228">
            <v>0</v>
          </cell>
          <cell r="T228">
            <v>0</v>
          </cell>
          <cell r="U228">
            <v>0</v>
          </cell>
        </row>
        <row r="229">
          <cell r="A229" t="str">
            <v>FEB 2016</v>
          </cell>
          <cell r="B229" t="str">
            <v>KUUM_424</v>
          </cell>
          <cell r="D229" t="str">
            <v>RLS</v>
          </cell>
          <cell r="S229">
            <v>0</v>
          </cell>
          <cell r="T229">
            <v>0</v>
          </cell>
          <cell r="U229">
            <v>0</v>
          </cell>
        </row>
        <row r="230">
          <cell r="A230" t="str">
            <v>FEB 2016</v>
          </cell>
          <cell r="B230" t="str">
            <v>KUUM_425</v>
          </cell>
          <cell r="D230" t="str">
            <v>RLS</v>
          </cell>
          <cell r="S230">
            <v>0</v>
          </cell>
          <cell r="T230">
            <v>0</v>
          </cell>
          <cell r="U230">
            <v>0</v>
          </cell>
        </row>
        <row r="231">
          <cell r="A231" t="str">
            <v>FEB 2016</v>
          </cell>
          <cell r="B231" t="str">
            <v>KUUM_426</v>
          </cell>
          <cell r="D231" t="str">
            <v>RLS</v>
          </cell>
          <cell r="S231">
            <v>0</v>
          </cell>
          <cell r="T231">
            <v>0</v>
          </cell>
          <cell r="U231">
            <v>0</v>
          </cell>
        </row>
        <row r="232">
          <cell r="A232" t="str">
            <v>FEB 2016</v>
          </cell>
          <cell r="B232" t="str">
            <v>KUUM_428</v>
          </cell>
          <cell r="D232" t="str">
            <v>LS</v>
          </cell>
          <cell r="S232">
            <v>0</v>
          </cell>
          <cell r="T232">
            <v>0</v>
          </cell>
          <cell r="U232">
            <v>0</v>
          </cell>
        </row>
        <row r="233">
          <cell r="A233" t="str">
            <v>FEB 2016</v>
          </cell>
          <cell r="B233" t="str">
            <v>KUUM_430</v>
          </cell>
          <cell r="D233" t="str">
            <v>LS</v>
          </cell>
          <cell r="S233">
            <v>0</v>
          </cell>
          <cell r="T233">
            <v>0</v>
          </cell>
          <cell r="U233">
            <v>0</v>
          </cell>
        </row>
        <row r="234">
          <cell r="A234" t="str">
            <v>FEB 2016</v>
          </cell>
          <cell r="B234" t="str">
            <v>KUUM_434</v>
          </cell>
          <cell r="D234" t="str">
            <v>RLS</v>
          </cell>
          <cell r="S234">
            <v>0</v>
          </cell>
          <cell r="T234">
            <v>0</v>
          </cell>
          <cell r="U234">
            <v>0</v>
          </cell>
        </row>
        <row r="235">
          <cell r="A235" t="str">
            <v>FEB 2016</v>
          </cell>
          <cell r="B235" t="str">
            <v>KUUM_440</v>
          </cell>
          <cell r="D235" t="str">
            <v>RLS</v>
          </cell>
          <cell r="S235">
            <v>0</v>
          </cell>
          <cell r="T235">
            <v>0</v>
          </cell>
          <cell r="U235">
            <v>0</v>
          </cell>
        </row>
        <row r="236">
          <cell r="A236" t="str">
            <v>FEB 2016</v>
          </cell>
          <cell r="B236" t="str">
            <v>KUUM_446</v>
          </cell>
          <cell r="D236" t="str">
            <v>RLS</v>
          </cell>
          <cell r="S236">
            <v>0</v>
          </cell>
          <cell r="T236">
            <v>0</v>
          </cell>
          <cell r="U236">
            <v>0</v>
          </cell>
        </row>
        <row r="237">
          <cell r="A237" t="str">
            <v>FEB 2016</v>
          </cell>
          <cell r="B237" t="str">
            <v>KUUM_447</v>
          </cell>
          <cell r="D237" t="str">
            <v>RLS</v>
          </cell>
          <cell r="S237">
            <v>0</v>
          </cell>
          <cell r="T237">
            <v>0</v>
          </cell>
          <cell r="U237">
            <v>0</v>
          </cell>
        </row>
        <row r="238">
          <cell r="A238" t="str">
            <v>FEB 2016</v>
          </cell>
          <cell r="B238" t="str">
            <v>KUUM_448</v>
          </cell>
          <cell r="D238" t="str">
            <v>RLS</v>
          </cell>
          <cell r="S238">
            <v>0</v>
          </cell>
          <cell r="T238">
            <v>0</v>
          </cell>
          <cell r="U238">
            <v>0</v>
          </cell>
        </row>
        <row r="239">
          <cell r="A239" t="str">
            <v>FEB 2016</v>
          </cell>
          <cell r="B239" t="str">
            <v>KUUM_450</v>
          </cell>
          <cell r="D239" t="str">
            <v>LS</v>
          </cell>
          <cell r="S239">
            <v>0</v>
          </cell>
          <cell r="T239">
            <v>0</v>
          </cell>
          <cell r="U239">
            <v>0</v>
          </cell>
        </row>
        <row r="240">
          <cell r="A240" t="str">
            <v>FEB 2016</v>
          </cell>
          <cell r="B240" t="str">
            <v>KUUM_451</v>
          </cell>
          <cell r="D240" t="str">
            <v>LS</v>
          </cell>
          <cell r="S240">
            <v>0</v>
          </cell>
          <cell r="T240">
            <v>0</v>
          </cell>
          <cell r="U240">
            <v>0</v>
          </cell>
        </row>
        <row r="241">
          <cell r="A241" t="str">
            <v>FEB 2016</v>
          </cell>
          <cell r="B241" t="str">
            <v>KUUM_452</v>
          </cell>
          <cell r="D241" t="str">
            <v>LS</v>
          </cell>
          <cell r="S241">
            <v>0</v>
          </cell>
          <cell r="T241">
            <v>0</v>
          </cell>
          <cell r="U241">
            <v>0</v>
          </cell>
        </row>
        <row r="242">
          <cell r="A242" t="str">
            <v>FEB 2016</v>
          </cell>
          <cell r="B242" t="str">
            <v>KUUM_454</v>
          </cell>
          <cell r="D242" t="str">
            <v>RLS</v>
          </cell>
          <cell r="S242">
            <v>0</v>
          </cell>
          <cell r="T242">
            <v>0</v>
          </cell>
          <cell r="U242">
            <v>0</v>
          </cell>
        </row>
        <row r="243">
          <cell r="A243" t="str">
            <v>FEB 2016</v>
          </cell>
          <cell r="B243" t="str">
            <v>KUUM_455</v>
          </cell>
          <cell r="D243" t="str">
            <v>RLS</v>
          </cell>
          <cell r="S243">
            <v>0</v>
          </cell>
          <cell r="T243">
            <v>0</v>
          </cell>
          <cell r="U243">
            <v>0</v>
          </cell>
        </row>
        <row r="244">
          <cell r="A244" t="str">
            <v>FEB 2016</v>
          </cell>
          <cell r="B244" t="str">
            <v>KUUM_456</v>
          </cell>
          <cell r="D244" t="str">
            <v>RLS</v>
          </cell>
          <cell r="S244">
            <v>0</v>
          </cell>
          <cell r="T244">
            <v>0</v>
          </cell>
          <cell r="U244">
            <v>0</v>
          </cell>
        </row>
        <row r="245">
          <cell r="A245" t="str">
            <v>FEB 2016</v>
          </cell>
          <cell r="B245" t="str">
            <v>KUUM_457</v>
          </cell>
          <cell r="D245" t="str">
            <v>RLS</v>
          </cell>
          <cell r="S245">
            <v>0</v>
          </cell>
          <cell r="T245">
            <v>0</v>
          </cell>
          <cell r="U245">
            <v>0</v>
          </cell>
        </row>
        <row r="246">
          <cell r="A246" t="str">
            <v>FEB 2016</v>
          </cell>
          <cell r="B246" t="str">
            <v>KUUM_458</v>
          </cell>
          <cell r="D246" t="str">
            <v>RLS</v>
          </cell>
          <cell r="S246">
            <v>0</v>
          </cell>
          <cell r="T246">
            <v>0</v>
          </cell>
          <cell r="U246">
            <v>0</v>
          </cell>
        </row>
        <row r="247">
          <cell r="A247" t="str">
            <v>FEB 2016</v>
          </cell>
          <cell r="B247" t="str">
            <v>KUUM_459</v>
          </cell>
          <cell r="D247" t="str">
            <v>RLS</v>
          </cell>
          <cell r="S247">
            <v>0</v>
          </cell>
          <cell r="T247">
            <v>0</v>
          </cell>
          <cell r="U247">
            <v>0</v>
          </cell>
        </row>
        <row r="248">
          <cell r="A248" t="str">
            <v>FEB 2016</v>
          </cell>
          <cell r="B248" t="str">
            <v>KUUM_460</v>
          </cell>
          <cell r="D248" t="str">
            <v>RLS</v>
          </cell>
          <cell r="S248">
            <v>0</v>
          </cell>
          <cell r="T248">
            <v>0</v>
          </cell>
          <cell r="U248">
            <v>0</v>
          </cell>
        </row>
        <row r="249">
          <cell r="A249" t="str">
            <v>FEB 2016</v>
          </cell>
          <cell r="B249" t="str">
            <v>KUUM_461</v>
          </cell>
          <cell r="D249" t="str">
            <v>RLS</v>
          </cell>
          <cell r="S249">
            <v>0</v>
          </cell>
          <cell r="T249">
            <v>0</v>
          </cell>
          <cell r="U249">
            <v>0</v>
          </cell>
        </row>
        <row r="250">
          <cell r="A250" t="str">
            <v>FEB 2016</v>
          </cell>
          <cell r="B250" t="str">
            <v>KUUM_462</v>
          </cell>
          <cell r="D250" t="str">
            <v>LS</v>
          </cell>
          <cell r="S250">
            <v>0</v>
          </cell>
          <cell r="T250">
            <v>0</v>
          </cell>
          <cell r="U250">
            <v>0</v>
          </cell>
        </row>
        <row r="251">
          <cell r="A251" t="str">
            <v>FEB 2016</v>
          </cell>
          <cell r="B251" t="str">
            <v>KUUM_463</v>
          </cell>
          <cell r="D251" t="str">
            <v>LS</v>
          </cell>
          <cell r="S251">
            <v>0</v>
          </cell>
          <cell r="T251">
            <v>0</v>
          </cell>
          <cell r="U251">
            <v>0</v>
          </cell>
        </row>
        <row r="252">
          <cell r="A252" t="str">
            <v>FEB 2016</v>
          </cell>
          <cell r="B252" t="str">
            <v>KUUM_464</v>
          </cell>
          <cell r="D252" t="str">
            <v>LS</v>
          </cell>
          <cell r="S252">
            <v>0</v>
          </cell>
          <cell r="T252">
            <v>0</v>
          </cell>
          <cell r="U252">
            <v>0</v>
          </cell>
        </row>
        <row r="253">
          <cell r="A253" t="str">
            <v>FEB 2016</v>
          </cell>
          <cell r="B253" t="str">
            <v>KUUM_465</v>
          </cell>
          <cell r="D253" t="str">
            <v>LS</v>
          </cell>
          <cell r="S253">
            <v>0</v>
          </cell>
          <cell r="T253">
            <v>0</v>
          </cell>
          <cell r="U253">
            <v>0</v>
          </cell>
        </row>
        <row r="254">
          <cell r="A254" t="str">
            <v>FEB 2016</v>
          </cell>
          <cell r="B254" t="str">
            <v>KUUM_465CU</v>
          </cell>
          <cell r="D254" t="str">
            <v>LS</v>
          </cell>
          <cell r="S254">
            <v>0</v>
          </cell>
          <cell r="T254">
            <v>0</v>
          </cell>
          <cell r="U254">
            <v>0</v>
          </cell>
        </row>
        <row r="255">
          <cell r="A255" t="str">
            <v>FEB 2016</v>
          </cell>
          <cell r="B255" t="str">
            <v>KUUM_466</v>
          </cell>
          <cell r="D255" t="str">
            <v>RLS</v>
          </cell>
          <cell r="S255">
            <v>0</v>
          </cell>
          <cell r="T255">
            <v>0</v>
          </cell>
          <cell r="U255">
            <v>0</v>
          </cell>
        </row>
        <row r="256">
          <cell r="A256" t="str">
            <v>FEB 2016</v>
          </cell>
          <cell r="B256" t="str">
            <v>KUUM_467</v>
          </cell>
          <cell r="D256" t="str">
            <v>LS</v>
          </cell>
          <cell r="S256">
            <v>0</v>
          </cell>
          <cell r="T256">
            <v>0</v>
          </cell>
          <cell r="U256">
            <v>0</v>
          </cell>
        </row>
        <row r="257">
          <cell r="A257" t="str">
            <v>FEB 2016</v>
          </cell>
          <cell r="B257" t="str">
            <v>KUUM_468</v>
          </cell>
          <cell r="D257" t="str">
            <v>LS</v>
          </cell>
          <cell r="S257">
            <v>0</v>
          </cell>
          <cell r="T257">
            <v>0</v>
          </cell>
          <cell r="U257">
            <v>0</v>
          </cell>
        </row>
        <row r="258">
          <cell r="A258" t="str">
            <v>FEB 2016</v>
          </cell>
          <cell r="B258" t="str">
            <v>KUUM_469</v>
          </cell>
          <cell r="D258" t="str">
            <v>RLS</v>
          </cell>
          <cell r="S258">
            <v>0</v>
          </cell>
          <cell r="T258">
            <v>0</v>
          </cell>
          <cell r="U258">
            <v>0</v>
          </cell>
        </row>
        <row r="259">
          <cell r="A259" t="str">
            <v>FEB 2016</v>
          </cell>
          <cell r="B259" t="str">
            <v>KUUM_470</v>
          </cell>
          <cell r="D259" t="str">
            <v>RLS</v>
          </cell>
          <cell r="S259">
            <v>0</v>
          </cell>
          <cell r="T259">
            <v>0</v>
          </cell>
          <cell r="U259">
            <v>0</v>
          </cell>
        </row>
        <row r="260">
          <cell r="A260" t="str">
            <v>FEB 2016</v>
          </cell>
          <cell r="B260" t="str">
            <v>KUUM_471</v>
          </cell>
          <cell r="D260" t="str">
            <v>RLS</v>
          </cell>
          <cell r="S260">
            <v>0</v>
          </cell>
          <cell r="T260">
            <v>0</v>
          </cell>
          <cell r="U260">
            <v>0</v>
          </cell>
        </row>
        <row r="261">
          <cell r="A261" t="str">
            <v>FEB 2016</v>
          </cell>
          <cell r="B261" t="str">
            <v>KUUM_472</v>
          </cell>
          <cell r="D261" t="str">
            <v>LS</v>
          </cell>
          <cell r="S261">
            <v>0</v>
          </cell>
          <cell r="T261">
            <v>0</v>
          </cell>
          <cell r="U261">
            <v>0</v>
          </cell>
        </row>
        <row r="262">
          <cell r="A262" t="str">
            <v>FEB 2016</v>
          </cell>
          <cell r="B262" t="str">
            <v>KUUM_473</v>
          </cell>
          <cell r="D262" t="str">
            <v>LS</v>
          </cell>
          <cell r="S262">
            <v>0</v>
          </cell>
          <cell r="T262">
            <v>0</v>
          </cell>
          <cell r="U262">
            <v>0</v>
          </cell>
        </row>
        <row r="263">
          <cell r="A263" t="str">
            <v>FEB 2016</v>
          </cell>
          <cell r="B263" t="str">
            <v>KUUM_474</v>
          </cell>
          <cell r="D263" t="str">
            <v>LS</v>
          </cell>
          <cell r="S263">
            <v>0</v>
          </cell>
          <cell r="T263">
            <v>0</v>
          </cell>
          <cell r="U263">
            <v>0</v>
          </cell>
        </row>
        <row r="264">
          <cell r="A264" t="str">
            <v>FEB 2016</v>
          </cell>
          <cell r="B264" t="str">
            <v>KUUM_475</v>
          </cell>
          <cell r="D264" t="str">
            <v>LS</v>
          </cell>
          <cell r="S264">
            <v>0</v>
          </cell>
          <cell r="T264">
            <v>0</v>
          </cell>
          <cell r="U264">
            <v>0</v>
          </cell>
        </row>
        <row r="265">
          <cell r="A265" t="str">
            <v>FEB 2016</v>
          </cell>
          <cell r="B265" t="str">
            <v>KUUM_476</v>
          </cell>
          <cell r="D265" t="str">
            <v>LS</v>
          </cell>
          <cell r="S265">
            <v>0</v>
          </cell>
          <cell r="T265">
            <v>0</v>
          </cell>
          <cell r="U265">
            <v>0</v>
          </cell>
        </row>
        <row r="266">
          <cell r="A266" t="str">
            <v>FEB 2016</v>
          </cell>
          <cell r="B266" t="str">
            <v>KUUM_477</v>
          </cell>
          <cell r="D266" t="str">
            <v>LS</v>
          </cell>
          <cell r="S266">
            <v>0</v>
          </cell>
          <cell r="T266">
            <v>0</v>
          </cell>
          <cell r="U266">
            <v>0</v>
          </cell>
        </row>
        <row r="267">
          <cell r="A267" t="str">
            <v>FEB 2016</v>
          </cell>
          <cell r="B267" t="str">
            <v>KUUM_478</v>
          </cell>
          <cell r="D267" t="str">
            <v>LS</v>
          </cell>
          <cell r="S267">
            <v>0</v>
          </cell>
          <cell r="T267">
            <v>0</v>
          </cell>
          <cell r="U267">
            <v>0</v>
          </cell>
        </row>
        <row r="268">
          <cell r="A268" t="str">
            <v>FEB 2016</v>
          </cell>
          <cell r="B268" t="str">
            <v>KUUM_479</v>
          </cell>
          <cell r="D268" t="str">
            <v>LS</v>
          </cell>
          <cell r="S268">
            <v>0</v>
          </cell>
          <cell r="T268">
            <v>0</v>
          </cell>
          <cell r="U268">
            <v>0</v>
          </cell>
        </row>
        <row r="269">
          <cell r="A269" t="str">
            <v>FEB 2016</v>
          </cell>
          <cell r="B269" t="str">
            <v>KUUM_487</v>
          </cell>
          <cell r="D269" t="str">
            <v>LS</v>
          </cell>
          <cell r="S269">
            <v>0</v>
          </cell>
          <cell r="T269">
            <v>0</v>
          </cell>
          <cell r="U269">
            <v>0</v>
          </cell>
        </row>
        <row r="270">
          <cell r="A270" t="str">
            <v>FEB 2016</v>
          </cell>
          <cell r="B270" t="str">
            <v>KUUM_488</v>
          </cell>
          <cell r="D270" t="str">
            <v>LS</v>
          </cell>
          <cell r="S270">
            <v>0</v>
          </cell>
          <cell r="T270">
            <v>0</v>
          </cell>
          <cell r="U270">
            <v>0</v>
          </cell>
        </row>
        <row r="271">
          <cell r="A271" t="str">
            <v>FEB 2016</v>
          </cell>
          <cell r="B271" t="str">
            <v>KUUM_489</v>
          </cell>
          <cell r="D271" t="str">
            <v>LS</v>
          </cell>
          <cell r="S271">
            <v>0</v>
          </cell>
          <cell r="T271">
            <v>0</v>
          </cell>
          <cell r="U271">
            <v>0</v>
          </cell>
        </row>
        <row r="272">
          <cell r="A272" t="str">
            <v>FEB 2016</v>
          </cell>
          <cell r="B272" t="str">
            <v>KUUM_490</v>
          </cell>
          <cell r="D272" t="str">
            <v>LS</v>
          </cell>
          <cell r="S272">
            <v>0</v>
          </cell>
          <cell r="T272">
            <v>0</v>
          </cell>
          <cell r="U272">
            <v>0</v>
          </cell>
        </row>
        <row r="273">
          <cell r="A273" t="str">
            <v>FEB 2016</v>
          </cell>
          <cell r="B273" t="str">
            <v>KUUM_491</v>
          </cell>
          <cell r="D273" t="str">
            <v>LS</v>
          </cell>
          <cell r="S273">
            <v>0</v>
          </cell>
          <cell r="T273">
            <v>0</v>
          </cell>
          <cell r="U273">
            <v>0</v>
          </cell>
        </row>
        <row r="274">
          <cell r="A274" t="str">
            <v>FEB 2016</v>
          </cell>
          <cell r="B274" t="str">
            <v>KUUM_492</v>
          </cell>
          <cell r="D274" t="str">
            <v>LS</v>
          </cell>
          <cell r="S274">
            <v>0</v>
          </cell>
          <cell r="T274">
            <v>0</v>
          </cell>
          <cell r="U274">
            <v>0</v>
          </cell>
        </row>
        <row r="275">
          <cell r="A275" t="str">
            <v>FEB 2016</v>
          </cell>
          <cell r="B275" t="str">
            <v>KUUM_493</v>
          </cell>
          <cell r="D275" t="str">
            <v>LS</v>
          </cell>
          <cell r="S275">
            <v>0</v>
          </cell>
          <cell r="T275">
            <v>0</v>
          </cell>
          <cell r="U275">
            <v>0</v>
          </cell>
        </row>
        <row r="276">
          <cell r="A276" t="str">
            <v>FEB 2016</v>
          </cell>
          <cell r="B276" t="str">
            <v>KUUM_494</v>
          </cell>
          <cell r="D276" t="str">
            <v>LS</v>
          </cell>
          <cell r="S276">
            <v>0</v>
          </cell>
          <cell r="T276">
            <v>0</v>
          </cell>
          <cell r="U276">
            <v>0</v>
          </cell>
        </row>
        <row r="277">
          <cell r="A277" t="str">
            <v>FEB 2016</v>
          </cell>
          <cell r="B277" t="str">
            <v>KUUM_495</v>
          </cell>
          <cell r="D277" t="str">
            <v>LS</v>
          </cell>
          <cell r="S277">
            <v>0</v>
          </cell>
          <cell r="T277">
            <v>0</v>
          </cell>
          <cell r="U277">
            <v>0</v>
          </cell>
        </row>
        <row r="278">
          <cell r="A278" t="str">
            <v>FEB 2016</v>
          </cell>
          <cell r="B278" t="str">
            <v>KUUM_496</v>
          </cell>
          <cell r="D278" t="str">
            <v>LS</v>
          </cell>
          <cell r="S278">
            <v>0</v>
          </cell>
          <cell r="T278">
            <v>0</v>
          </cell>
          <cell r="U278">
            <v>0</v>
          </cell>
        </row>
        <row r="279">
          <cell r="A279" t="str">
            <v>FEB 2016</v>
          </cell>
          <cell r="B279" t="str">
            <v>KUUM_497</v>
          </cell>
          <cell r="D279" t="str">
            <v>LS</v>
          </cell>
          <cell r="S279">
            <v>0</v>
          </cell>
          <cell r="T279">
            <v>0</v>
          </cell>
          <cell r="U279">
            <v>0</v>
          </cell>
        </row>
        <row r="280">
          <cell r="A280" t="str">
            <v>FEB 2016</v>
          </cell>
          <cell r="B280" t="str">
            <v>KUUM_498</v>
          </cell>
          <cell r="D280" t="str">
            <v>LS</v>
          </cell>
          <cell r="S280">
            <v>0</v>
          </cell>
          <cell r="T280">
            <v>0</v>
          </cell>
          <cell r="U280">
            <v>0</v>
          </cell>
        </row>
        <row r="281">
          <cell r="A281" t="str">
            <v>FEB 2016</v>
          </cell>
          <cell r="B281" t="str">
            <v>KUUM_499</v>
          </cell>
          <cell r="D281" t="str">
            <v>LS</v>
          </cell>
          <cell r="S281">
            <v>0</v>
          </cell>
          <cell r="T281">
            <v>0</v>
          </cell>
          <cell r="U281">
            <v>0</v>
          </cell>
        </row>
        <row r="282">
          <cell r="A282" t="str">
            <v>FEB 2016</v>
          </cell>
          <cell r="B282" t="str">
            <v>KUUM_820</v>
          </cell>
          <cell r="D282" t="str">
            <v>ODL</v>
          </cell>
          <cell r="S282">
            <v>0</v>
          </cell>
          <cell r="T282">
            <v>0</v>
          </cell>
          <cell r="U282">
            <v>0</v>
          </cell>
        </row>
        <row r="283">
          <cell r="A283" t="str">
            <v>FEB 2016</v>
          </cell>
          <cell r="B283" t="str">
            <v>KUUM_825</v>
          </cell>
          <cell r="D283" t="str">
            <v>EF</v>
          </cell>
          <cell r="S283">
            <v>0</v>
          </cell>
          <cell r="T283">
            <v>0</v>
          </cell>
          <cell r="U283">
            <v>0</v>
          </cell>
        </row>
        <row r="284">
          <cell r="A284" t="str">
            <v>FEB 2016</v>
          </cell>
          <cell r="B284" t="str">
            <v>KUUM_826</v>
          </cell>
          <cell r="D284" t="str">
            <v>EF</v>
          </cell>
          <cell r="S284">
            <v>0</v>
          </cell>
          <cell r="T284">
            <v>0</v>
          </cell>
          <cell r="U284">
            <v>0</v>
          </cell>
        </row>
        <row r="285">
          <cell r="A285" t="str">
            <v>FEB 2016</v>
          </cell>
          <cell r="B285" t="str">
            <v>KUUM_827</v>
          </cell>
          <cell r="D285" t="str">
            <v>DA</v>
          </cell>
          <cell r="S285">
            <v>0</v>
          </cell>
          <cell r="T285">
            <v>0</v>
          </cell>
          <cell r="U285">
            <v>0</v>
          </cell>
        </row>
        <row r="286">
          <cell r="A286" t="str">
            <v>FEB 2016</v>
          </cell>
          <cell r="B286" t="str">
            <v>KUUM_828</v>
          </cell>
          <cell r="D286" t="str">
            <v>EF</v>
          </cell>
          <cell r="S286">
            <v>0</v>
          </cell>
          <cell r="T286">
            <v>0</v>
          </cell>
          <cell r="U286">
            <v>0</v>
          </cell>
        </row>
        <row r="287">
          <cell r="A287" t="str">
            <v>FEB 2016</v>
          </cell>
          <cell r="B287" t="str">
            <v>KUUM_829</v>
          </cell>
          <cell r="D287" t="str">
            <v>EF</v>
          </cell>
          <cell r="S287">
            <v>0</v>
          </cell>
          <cell r="T287">
            <v>0</v>
          </cell>
          <cell r="U287">
            <v>0</v>
          </cell>
        </row>
        <row r="288">
          <cell r="A288" t="str">
            <v>FEB 2016</v>
          </cell>
          <cell r="B288" t="str">
            <v>ODRSE020</v>
          </cell>
          <cell r="D288" t="str">
            <v>ODRS</v>
          </cell>
          <cell r="S288">
            <v>0</v>
          </cell>
          <cell r="T288">
            <v>0</v>
          </cell>
          <cell r="U288">
            <v>0</v>
          </cell>
        </row>
        <row r="289">
          <cell r="A289" t="str">
            <v>FEB 2016</v>
          </cell>
          <cell r="B289" t="str">
            <v>Result</v>
          </cell>
          <cell r="S289">
            <v>0</v>
          </cell>
          <cell r="T289">
            <v>0</v>
          </cell>
          <cell r="U289">
            <v>0</v>
          </cell>
        </row>
        <row r="290">
          <cell r="A290" t="str">
            <v>MAR 2016</v>
          </cell>
          <cell r="B290" t="str">
            <v>KTRSE020</v>
          </cell>
          <cell r="D290" t="str">
            <v>TNRS</v>
          </cell>
          <cell r="S290">
            <v>0</v>
          </cell>
          <cell r="T290">
            <v>0</v>
          </cell>
          <cell r="U290">
            <v>0</v>
          </cell>
        </row>
        <row r="291">
          <cell r="A291" t="str">
            <v>MAR 2016</v>
          </cell>
          <cell r="B291" t="str">
            <v>KTRSE030</v>
          </cell>
          <cell r="D291" t="str">
            <v>TNRS</v>
          </cell>
          <cell r="S291">
            <v>0</v>
          </cell>
          <cell r="T291">
            <v>0</v>
          </cell>
          <cell r="U291">
            <v>0</v>
          </cell>
        </row>
        <row r="292">
          <cell r="A292" t="str">
            <v>MAR 2016</v>
          </cell>
          <cell r="B292" t="str">
            <v>KTUM_406</v>
          </cell>
          <cell r="D292" t="str">
            <v>TNLS</v>
          </cell>
          <cell r="S292">
            <v>0</v>
          </cell>
          <cell r="T292">
            <v>0</v>
          </cell>
          <cell r="U292">
            <v>0</v>
          </cell>
        </row>
        <row r="293">
          <cell r="A293" t="str">
            <v>MAR 2016</v>
          </cell>
          <cell r="B293" t="str">
            <v>KTUM_428</v>
          </cell>
          <cell r="D293" t="str">
            <v>TNLS</v>
          </cell>
          <cell r="S293">
            <v>0</v>
          </cell>
          <cell r="T293">
            <v>0</v>
          </cell>
          <cell r="U293">
            <v>0</v>
          </cell>
        </row>
        <row r="294">
          <cell r="A294" t="str">
            <v>MAR 2016</v>
          </cell>
          <cell r="B294" t="str">
            <v>KUCIE000</v>
          </cell>
          <cell r="D294" t="str">
            <v>TS</v>
          </cell>
          <cell r="S294">
            <v>0</v>
          </cell>
          <cell r="T294">
            <v>0</v>
          </cell>
          <cell r="U294">
            <v>0</v>
          </cell>
        </row>
        <row r="295">
          <cell r="A295" t="str">
            <v>MAR 2016</v>
          </cell>
          <cell r="B295" t="str">
            <v>KUCIE550</v>
          </cell>
          <cell r="D295" t="str">
            <v>RTS</v>
          </cell>
          <cell r="E295">
            <v>134527236</v>
          </cell>
          <cell r="F295">
            <v>24000</v>
          </cell>
          <cell r="L295">
            <v>0</v>
          </cell>
          <cell r="M295">
            <v>327305</v>
          </cell>
          <cell r="P295">
            <v>0</v>
          </cell>
          <cell r="R295">
            <v>8377675</v>
          </cell>
          <cell r="S295">
            <v>4888720</v>
          </cell>
          <cell r="T295">
            <v>2362369</v>
          </cell>
          <cell r="U295">
            <v>775280</v>
          </cell>
        </row>
        <row r="296">
          <cell r="A296" t="str">
            <v>MAR 2016</v>
          </cell>
          <cell r="B296" t="str">
            <v>KUCIE561</v>
          </cell>
          <cell r="D296" t="str">
            <v>PSP</v>
          </cell>
          <cell r="E296">
            <v>18258219</v>
          </cell>
          <cell r="F296">
            <v>33150</v>
          </cell>
          <cell r="L296">
            <v>22436</v>
          </cell>
          <cell r="M296">
            <v>44422</v>
          </cell>
          <cell r="P296">
            <v>0</v>
          </cell>
          <cell r="R296">
            <v>1576674</v>
          </cell>
          <cell r="S296">
            <v>650358</v>
          </cell>
          <cell r="T296">
            <v>721085</v>
          </cell>
          <cell r="U296">
            <v>105222</v>
          </cell>
        </row>
        <row r="297">
          <cell r="A297" t="str">
            <v>MAR 2016</v>
          </cell>
          <cell r="B297" t="str">
            <v>KUCIE562</v>
          </cell>
          <cell r="D297" t="str">
            <v>PSS</v>
          </cell>
          <cell r="E297">
            <v>154898630</v>
          </cell>
          <cell r="F297">
            <v>416700</v>
          </cell>
          <cell r="L297">
            <v>190344</v>
          </cell>
          <cell r="M297">
            <v>376869</v>
          </cell>
          <cell r="P297">
            <v>0</v>
          </cell>
          <cell r="R297">
            <v>14260048</v>
          </cell>
          <cell r="S297">
            <v>5520587</v>
          </cell>
          <cell r="T297">
            <v>6862867</v>
          </cell>
          <cell r="U297">
            <v>892681</v>
          </cell>
        </row>
        <row r="298">
          <cell r="A298" t="str">
            <v>MAR 2016</v>
          </cell>
          <cell r="B298" t="str">
            <v>KUCIE563</v>
          </cell>
          <cell r="D298" t="str">
            <v>TODP</v>
          </cell>
          <cell r="E298">
            <v>237299344</v>
          </cell>
          <cell r="F298">
            <v>15600</v>
          </cell>
          <cell r="L298">
            <v>291601</v>
          </cell>
          <cell r="M298">
            <v>577350</v>
          </cell>
          <cell r="P298">
            <v>0</v>
          </cell>
          <cell r="R298">
            <v>15469040</v>
          </cell>
          <cell r="S298">
            <v>8934320</v>
          </cell>
          <cell r="T298">
            <v>4282613</v>
          </cell>
          <cell r="U298">
            <v>1367556</v>
          </cell>
        </row>
        <row r="299">
          <cell r="A299" t="str">
            <v>MAR 2016</v>
          </cell>
          <cell r="B299" t="str">
            <v>KUCIE566</v>
          </cell>
          <cell r="D299" t="str">
            <v>PSP</v>
          </cell>
          <cell r="E299">
            <v>0</v>
          </cell>
          <cell r="F299">
            <v>0</v>
          </cell>
          <cell r="L299">
            <v>0</v>
          </cell>
          <cell r="M299">
            <v>0</v>
          </cell>
          <cell r="P299">
            <v>0</v>
          </cell>
          <cell r="R299">
            <v>0</v>
          </cell>
          <cell r="S299">
            <v>0</v>
          </cell>
          <cell r="T299">
            <v>0</v>
          </cell>
          <cell r="U299">
            <v>0</v>
          </cell>
        </row>
        <row r="300">
          <cell r="A300" t="str">
            <v>MAR 2016</v>
          </cell>
          <cell r="B300" t="str">
            <v>KUCIE568</v>
          </cell>
          <cell r="D300" t="str">
            <v>PSS</v>
          </cell>
          <cell r="E300">
            <v>0</v>
          </cell>
          <cell r="F300">
            <v>0</v>
          </cell>
          <cell r="L300">
            <v>0</v>
          </cell>
          <cell r="M300">
            <v>0</v>
          </cell>
          <cell r="P300">
            <v>0</v>
          </cell>
          <cell r="R300">
            <v>0</v>
          </cell>
          <cell r="S300">
            <v>0</v>
          </cell>
          <cell r="T300">
            <v>0</v>
          </cell>
          <cell r="U300">
            <v>0</v>
          </cell>
        </row>
        <row r="301">
          <cell r="A301" t="str">
            <v>MAR 2016</v>
          </cell>
          <cell r="B301" t="str">
            <v>KUCIE571</v>
          </cell>
          <cell r="D301" t="str">
            <v>TODP</v>
          </cell>
          <cell r="E301">
            <v>99726211</v>
          </cell>
          <cell r="F301">
            <v>61800</v>
          </cell>
          <cell r="L301">
            <v>122547</v>
          </cell>
          <cell r="M301">
            <v>242634</v>
          </cell>
          <cell r="P301">
            <v>0</v>
          </cell>
          <cell r="R301">
            <v>6923437</v>
          </cell>
          <cell r="S301">
            <v>3754692</v>
          </cell>
          <cell r="T301">
            <v>2167042</v>
          </cell>
          <cell r="U301">
            <v>574722</v>
          </cell>
        </row>
        <row r="302">
          <cell r="A302" t="str">
            <v>MAR 2016</v>
          </cell>
          <cell r="B302" t="str">
            <v>KUCIE572</v>
          </cell>
          <cell r="D302" t="str">
            <v>TODS</v>
          </cell>
          <cell r="E302">
            <v>121409593</v>
          </cell>
          <cell r="F302">
            <v>93800</v>
          </cell>
          <cell r="L302">
            <v>149192</v>
          </cell>
          <cell r="M302">
            <v>295390</v>
          </cell>
          <cell r="P302">
            <v>0</v>
          </cell>
          <cell r="R302">
            <v>8971201</v>
          </cell>
          <cell r="S302">
            <v>4580784</v>
          </cell>
          <cell r="T302">
            <v>3152352</v>
          </cell>
          <cell r="U302">
            <v>699683</v>
          </cell>
        </row>
        <row r="303">
          <cell r="A303" t="str">
            <v>MAR 2016</v>
          </cell>
          <cell r="B303" t="str">
            <v>KUCIE717</v>
          </cell>
          <cell r="D303" t="str">
            <v>PSS</v>
          </cell>
          <cell r="E303">
            <v>0</v>
          </cell>
          <cell r="F303">
            <v>0</v>
          </cell>
          <cell r="L303">
            <v>0</v>
          </cell>
          <cell r="M303">
            <v>0</v>
          </cell>
          <cell r="P303">
            <v>0</v>
          </cell>
          <cell r="R303">
            <v>0</v>
          </cell>
          <cell r="S303">
            <v>0</v>
          </cell>
          <cell r="T303">
            <v>0</v>
          </cell>
          <cell r="U303">
            <v>0</v>
          </cell>
        </row>
        <row r="304">
          <cell r="A304" t="str">
            <v>MAR 2016</v>
          </cell>
          <cell r="B304" t="str">
            <v>KUCME000</v>
          </cell>
          <cell r="D304" t="str">
            <v>TS</v>
          </cell>
          <cell r="E304">
            <v>0</v>
          </cell>
          <cell r="F304">
            <v>0</v>
          </cell>
          <cell r="L304">
            <v>0</v>
          </cell>
          <cell r="M304">
            <v>0</v>
          </cell>
          <cell r="P304">
            <v>0</v>
          </cell>
          <cell r="R304">
            <v>0</v>
          </cell>
          <cell r="S304">
            <v>0</v>
          </cell>
          <cell r="T304">
            <v>0</v>
          </cell>
          <cell r="U304">
            <v>0</v>
          </cell>
        </row>
        <row r="305">
          <cell r="A305" t="str">
            <v>MAR 2016</v>
          </cell>
          <cell r="B305" t="str">
            <v>KUCME110</v>
          </cell>
          <cell r="D305" t="str">
            <v>GS</v>
          </cell>
          <cell r="E305">
            <v>62577001</v>
          </cell>
          <cell r="F305">
            <v>1271052</v>
          </cell>
          <cell r="L305">
            <v>76897</v>
          </cell>
          <cell r="M305">
            <v>152250</v>
          </cell>
          <cell r="P305">
            <v>0</v>
          </cell>
          <cell r="R305">
            <v>7633558</v>
          </cell>
          <cell r="S305">
            <v>5772729</v>
          </cell>
          <cell r="T305">
            <v>0</v>
          </cell>
          <cell r="U305">
            <v>360631</v>
          </cell>
        </row>
        <row r="306">
          <cell r="A306" t="str">
            <v>MAR 2016</v>
          </cell>
          <cell r="B306" t="str">
            <v>KUCME112</v>
          </cell>
          <cell r="D306" t="str">
            <v>GS</v>
          </cell>
          <cell r="E306">
            <v>0</v>
          </cell>
          <cell r="F306">
            <v>0</v>
          </cell>
          <cell r="L306">
            <v>0</v>
          </cell>
          <cell r="M306">
            <v>0</v>
          </cell>
          <cell r="P306">
            <v>0</v>
          </cell>
          <cell r="R306">
            <v>0</v>
          </cell>
          <cell r="S306">
            <v>0</v>
          </cell>
          <cell r="T306">
            <v>0</v>
          </cell>
          <cell r="U306">
            <v>0</v>
          </cell>
        </row>
        <row r="307">
          <cell r="A307" t="str">
            <v>MAR 2016</v>
          </cell>
          <cell r="B307" t="str">
            <v>KUCME113</v>
          </cell>
          <cell r="D307" t="str">
            <v>GS3</v>
          </cell>
          <cell r="E307">
            <v>91489582</v>
          </cell>
          <cell r="F307">
            <v>650209</v>
          </cell>
          <cell r="L307">
            <v>112425</v>
          </cell>
          <cell r="M307">
            <v>222595</v>
          </cell>
          <cell r="P307">
            <v>0</v>
          </cell>
          <cell r="R307">
            <v>9952397</v>
          </cell>
          <cell r="S307">
            <v>8439914</v>
          </cell>
          <cell r="T307">
            <v>0</v>
          </cell>
          <cell r="U307">
            <v>527254</v>
          </cell>
        </row>
        <row r="308">
          <cell r="A308" t="str">
            <v>MAR 2016</v>
          </cell>
          <cell r="B308" t="str">
            <v>KUCME220</v>
          </cell>
          <cell r="D308" t="str">
            <v>AES</v>
          </cell>
          <cell r="E308">
            <v>688333</v>
          </cell>
          <cell r="F308">
            <v>7420</v>
          </cell>
          <cell r="L308">
            <v>846</v>
          </cell>
          <cell r="M308">
            <v>1675</v>
          </cell>
          <cell r="P308">
            <v>0</v>
          </cell>
          <cell r="R308">
            <v>65119</v>
          </cell>
          <cell r="S308">
            <v>51212</v>
          </cell>
          <cell r="T308">
            <v>0</v>
          </cell>
          <cell r="U308">
            <v>3967</v>
          </cell>
        </row>
        <row r="309">
          <cell r="A309" t="str">
            <v>MAR 2016</v>
          </cell>
          <cell r="B309" t="str">
            <v>KUCME221</v>
          </cell>
          <cell r="D309" t="str">
            <v>AESP</v>
          </cell>
          <cell r="E309">
            <v>0</v>
          </cell>
          <cell r="F309">
            <v>0</v>
          </cell>
          <cell r="L309">
            <v>0</v>
          </cell>
          <cell r="M309">
            <v>0</v>
          </cell>
          <cell r="P309">
            <v>0</v>
          </cell>
          <cell r="R309">
            <v>0</v>
          </cell>
          <cell r="S309">
            <v>0</v>
          </cell>
          <cell r="T309">
            <v>0</v>
          </cell>
          <cell r="U309">
            <v>0</v>
          </cell>
        </row>
        <row r="310">
          <cell r="A310" t="str">
            <v>MAR 2016</v>
          </cell>
          <cell r="B310" t="str">
            <v>KUCME223</v>
          </cell>
          <cell r="D310" t="str">
            <v>AES3</v>
          </cell>
          <cell r="E310">
            <v>0</v>
          </cell>
          <cell r="F310">
            <v>0</v>
          </cell>
          <cell r="L310">
            <v>0</v>
          </cell>
          <cell r="M310">
            <v>0</v>
          </cell>
          <cell r="P310">
            <v>0</v>
          </cell>
          <cell r="R310">
            <v>0</v>
          </cell>
          <cell r="S310">
            <v>0</v>
          </cell>
          <cell r="T310">
            <v>0</v>
          </cell>
          <cell r="U310">
            <v>0</v>
          </cell>
        </row>
        <row r="311">
          <cell r="A311" t="str">
            <v>MAR 2016</v>
          </cell>
          <cell r="B311" t="str">
            <v>KUCME224</v>
          </cell>
          <cell r="D311" t="str">
            <v>AES3P</v>
          </cell>
          <cell r="E311">
            <v>12757916</v>
          </cell>
          <cell r="F311">
            <v>8995</v>
          </cell>
          <cell r="L311">
            <v>15677</v>
          </cell>
          <cell r="M311">
            <v>31040</v>
          </cell>
          <cell r="P311">
            <v>0</v>
          </cell>
          <cell r="R311">
            <v>1078425</v>
          </cell>
          <cell r="S311">
            <v>949189</v>
          </cell>
          <cell r="T311">
            <v>0</v>
          </cell>
          <cell r="U311">
            <v>73524</v>
          </cell>
        </row>
        <row r="312">
          <cell r="A312" t="str">
            <v>MAR 2016</v>
          </cell>
          <cell r="B312" t="str">
            <v>KUCME225</v>
          </cell>
          <cell r="D312" t="str">
            <v>AES3PSS</v>
          </cell>
          <cell r="E312">
            <v>0</v>
          </cell>
          <cell r="F312">
            <v>0</v>
          </cell>
          <cell r="L312">
            <v>0</v>
          </cell>
          <cell r="M312">
            <v>0</v>
          </cell>
          <cell r="P312">
            <v>0</v>
          </cell>
          <cell r="R312">
            <v>0</v>
          </cell>
          <cell r="S312">
            <v>0</v>
          </cell>
          <cell r="T312">
            <v>0</v>
          </cell>
          <cell r="U312">
            <v>0</v>
          </cell>
        </row>
        <row r="313">
          <cell r="A313" t="str">
            <v>MAR 2016</v>
          </cell>
          <cell r="B313" t="str">
            <v>KUCME226</v>
          </cell>
          <cell r="D313" t="str">
            <v>AESPSS</v>
          </cell>
          <cell r="E313">
            <v>0</v>
          </cell>
          <cell r="F313">
            <v>0</v>
          </cell>
          <cell r="L313">
            <v>0</v>
          </cell>
          <cell r="M313">
            <v>0</v>
          </cell>
          <cell r="P313">
            <v>0</v>
          </cell>
          <cell r="R313">
            <v>0</v>
          </cell>
          <cell r="S313">
            <v>0</v>
          </cell>
          <cell r="T313">
            <v>0</v>
          </cell>
          <cell r="U313">
            <v>0</v>
          </cell>
        </row>
        <row r="314">
          <cell r="A314" t="str">
            <v>MAR 2016</v>
          </cell>
          <cell r="B314" t="str">
            <v>KUCME227</v>
          </cell>
          <cell r="D314" t="str">
            <v>AESTODS</v>
          </cell>
          <cell r="E314">
            <v>0</v>
          </cell>
          <cell r="F314">
            <v>0</v>
          </cell>
          <cell r="L314">
            <v>0</v>
          </cell>
          <cell r="M314">
            <v>0</v>
          </cell>
          <cell r="P314">
            <v>0</v>
          </cell>
          <cell r="R314">
            <v>0</v>
          </cell>
          <cell r="S314">
            <v>0</v>
          </cell>
          <cell r="T314">
            <v>0</v>
          </cell>
          <cell r="U314">
            <v>0</v>
          </cell>
        </row>
        <row r="315">
          <cell r="A315" t="str">
            <v>MAR 2016</v>
          </cell>
          <cell r="B315" t="str">
            <v>KUCME290</v>
          </cell>
          <cell r="D315" t="str">
            <v>LE</v>
          </cell>
          <cell r="E315">
            <v>0</v>
          </cell>
          <cell r="F315">
            <v>0</v>
          </cell>
          <cell r="L315">
            <v>0</v>
          </cell>
          <cell r="M315">
            <v>0</v>
          </cell>
          <cell r="P315">
            <v>0</v>
          </cell>
          <cell r="R315">
            <v>0</v>
          </cell>
          <cell r="S315">
            <v>0</v>
          </cell>
          <cell r="T315">
            <v>0</v>
          </cell>
          <cell r="U315">
            <v>0</v>
          </cell>
        </row>
        <row r="316">
          <cell r="A316" t="str">
            <v>MAR 2016</v>
          </cell>
          <cell r="B316" t="str">
            <v>KUCME291</v>
          </cell>
          <cell r="D316" t="str">
            <v>LE</v>
          </cell>
          <cell r="E316">
            <v>0</v>
          </cell>
          <cell r="F316">
            <v>0</v>
          </cell>
          <cell r="L316">
            <v>0</v>
          </cell>
          <cell r="M316">
            <v>0</v>
          </cell>
          <cell r="P316">
            <v>0</v>
          </cell>
          <cell r="R316">
            <v>0</v>
          </cell>
          <cell r="S316">
            <v>0</v>
          </cell>
          <cell r="T316">
            <v>0</v>
          </cell>
          <cell r="U316">
            <v>0</v>
          </cell>
        </row>
        <row r="317">
          <cell r="A317" t="str">
            <v>MAR 2016</v>
          </cell>
          <cell r="B317" t="str">
            <v>KUCME295</v>
          </cell>
          <cell r="D317" t="str">
            <v>TE</v>
          </cell>
          <cell r="E317">
            <v>0</v>
          </cell>
          <cell r="F317">
            <v>0</v>
          </cell>
          <cell r="L317">
            <v>0</v>
          </cell>
          <cell r="M317">
            <v>0</v>
          </cell>
          <cell r="P317">
            <v>0</v>
          </cell>
          <cell r="R317">
            <v>0</v>
          </cell>
          <cell r="S317">
            <v>0</v>
          </cell>
          <cell r="T317">
            <v>0</v>
          </cell>
          <cell r="U317">
            <v>0</v>
          </cell>
        </row>
        <row r="318">
          <cell r="A318" t="str">
            <v>MAR 2016</v>
          </cell>
          <cell r="B318" t="str">
            <v>KUCME297</v>
          </cell>
          <cell r="D318" t="str">
            <v>TE</v>
          </cell>
          <cell r="E318">
            <v>0</v>
          </cell>
          <cell r="F318">
            <v>0</v>
          </cell>
          <cell r="L318">
            <v>0</v>
          </cell>
          <cell r="M318">
            <v>0</v>
          </cell>
          <cell r="P318">
            <v>0</v>
          </cell>
          <cell r="R318">
            <v>0</v>
          </cell>
          <cell r="S318">
            <v>0</v>
          </cell>
          <cell r="T318">
            <v>0</v>
          </cell>
          <cell r="U318">
            <v>0</v>
          </cell>
        </row>
        <row r="319">
          <cell r="A319" t="str">
            <v>MAR 2016</v>
          </cell>
          <cell r="B319" t="str">
            <v>KUCME705</v>
          </cell>
          <cell r="D319" t="str">
            <v>SQF</v>
          </cell>
          <cell r="E319">
            <v>0</v>
          </cell>
          <cell r="F319">
            <v>0</v>
          </cell>
          <cell r="L319">
            <v>0</v>
          </cell>
          <cell r="M319">
            <v>0</v>
          </cell>
          <cell r="P319">
            <v>0</v>
          </cell>
          <cell r="R319">
            <v>0</v>
          </cell>
          <cell r="S319">
            <v>0</v>
          </cell>
          <cell r="T319">
            <v>0</v>
          </cell>
          <cell r="U319">
            <v>0</v>
          </cell>
        </row>
        <row r="320">
          <cell r="A320" t="str">
            <v>MAR 2016</v>
          </cell>
          <cell r="B320" t="str">
            <v>KUCME707</v>
          </cell>
          <cell r="D320" t="str">
            <v>LQF</v>
          </cell>
          <cell r="E320">
            <v>0</v>
          </cell>
          <cell r="F320">
            <v>0</v>
          </cell>
          <cell r="L320">
            <v>0</v>
          </cell>
          <cell r="M320">
            <v>0</v>
          </cell>
          <cell r="P320">
            <v>0</v>
          </cell>
          <cell r="R320">
            <v>0</v>
          </cell>
          <cell r="S320">
            <v>0</v>
          </cell>
          <cell r="T320">
            <v>0</v>
          </cell>
          <cell r="U320">
            <v>0</v>
          </cell>
        </row>
        <row r="321">
          <cell r="A321" t="str">
            <v>MAR 2016</v>
          </cell>
          <cell r="B321" t="str">
            <v>KUCME710</v>
          </cell>
          <cell r="D321" t="str">
            <v>GS</v>
          </cell>
          <cell r="E321">
            <v>0</v>
          </cell>
          <cell r="F321">
            <v>0</v>
          </cell>
          <cell r="L321">
            <v>0</v>
          </cell>
          <cell r="M321">
            <v>0</v>
          </cell>
          <cell r="P321">
            <v>0</v>
          </cell>
          <cell r="R321">
            <v>0</v>
          </cell>
          <cell r="S321">
            <v>0</v>
          </cell>
          <cell r="T321">
            <v>0</v>
          </cell>
          <cell r="U321">
            <v>0</v>
          </cell>
        </row>
        <row r="322">
          <cell r="A322" t="str">
            <v>MAR 2016</v>
          </cell>
          <cell r="B322" t="str">
            <v>KUCME713</v>
          </cell>
          <cell r="D322" t="str">
            <v>GS3</v>
          </cell>
          <cell r="E322">
            <v>0</v>
          </cell>
          <cell r="F322">
            <v>0</v>
          </cell>
          <cell r="L322">
            <v>0</v>
          </cell>
          <cell r="M322">
            <v>0</v>
          </cell>
          <cell r="P322">
            <v>0</v>
          </cell>
          <cell r="R322">
            <v>0</v>
          </cell>
          <cell r="S322">
            <v>0</v>
          </cell>
          <cell r="T322">
            <v>0</v>
          </cell>
          <cell r="U322">
            <v>0</v>
          </cell>
        </row>
        <row r="323">
          <cell r="A323" t="str">
            <v>MAR 2016</v>
          </cell>
          <cell r="B323" t="str">
            <v>KUCME841</v>
          </cell>
          <cell r="D323" t="str">
            <v>LRI</v>
          </cell>
          <cell r="E323">
            <v>0</v>
          </cell>
          <cell r="F323">
            <v>0</v>
          </cell>
          <cell r="L323">
            <v>0</v>
          </cell>
          <cell r="M323">
            <v>0</v>
          </cell>
          <cell r="P323">
            <v>0</v>
          </cell>
          <cell r="R323">
            <v>0</v>
          </cell>
          <cell r="S323">
            <v>0</v>
          </cell>
          <cell r="T323">
            <v>0</v>
          </cell>
          <cell r="U323">
            <v>0</v>
          </cell>
        </row>
        <row r="324">
          <cell r="A324" t="str">
            <v>MAR 2016</v>
          </cell>
          <cell r="B324" t="str">
            <v>KUCSR760</v>
          </cell>
          <cell r="D324" t="str">
            <v>CSR</v>
          </cell>
          <cell r="E324">
            <v>0</v>
          </cell>
          <cell r="F324">
            <v>0</v>
          </cell>
          <cell r="L324">
            <v>0</v>
          </cell>
          <cell r="M324">
            <v>0</v>
          </cell>
          <cell r="P324">
            <v>-989829</v>
          </cell>
          <cell r="R324">
            <v>-989829</v>
          </cell>
          <cell r="S324">
            <v>0</v>
          </cell>
          <cell r="T324">
            <v>0</v>
          </cell>
          <cell r="U324">
            <v>0</v>
          </cell>
        </row>
        <row r="325">
          <cell r="A325" t="str">
            <v>MAR 2016</v>
          </cell>
          <cell r="B325" t="str">
            <v>KUCSR761</v>
          </cell>
          <cell r="D325" t="str">
            <v>CSR</v>
          </cell>
          <cell r="E325">
            <v>0</v>
          </cell>
          <cell r="F325">
            <v>0</v>
          </cell>
          <cell r="L325">
            <v>0</v>
          </cell>
          <cell r="M325">
            <v>0</v>
          </cell>
          <cell r="P325">
            <v>0</v>
          </cell>
          <cell r="R325">
            <v>0</v>
          </cell>
          <cell r="S325">
            <v>0</v>
          </cell>
          <cell r="T325">
            <v>0</v>
          </cell>
          <cell r="U325">
            <v>0</v>
          </cell>
        </row>
        <row r="326">
          <cell r="A326" t="str">
            <v>MAR 2016</v>
          </cell>
          <cell r="B326" t="str">
            <v>KUCSR781</v>
          </cell>
          <cell r="D326" t="str">
            <v>CSR</v>
          </cell>
          <cell r="E326">
            <v>0</v>
          </cell>
          <cell r="F326">
            <v>0</v>
          </cell>
          <cell r="L326">
            <v>0</v>
          </cell>
          <cell r="M326">
            <v>0</v>
          </cell>
          <cell r="P326">
            <v>0</v>
          </cell>
          <cell r="R326">
            <v>0</v>
          </cell>
          <cell r="S326">
            <v>0</v>
          </cell>
          <cell r="T326">
            <v>0</v>
          </cell>
          <cell r="U326">
            <v>0</v>
          </cell>
        </row>
        <row r="327">
          <cell r="A327" t="str">
            <v>MAR 2016</v>
          </cell>
          <cell r="B327" t="str">
            <v>KUCSR783</v>
          </cell>
          <cell r="D327" t="str">
            <v>CSR</v>
          </cell>
          <cell r="E327">
            <v>0</v>
          </cell>
          <cell r="F327">
            <v>0</v>
          </cell>
          <cell r="L327">
            <v>0</v>
          </cell>
          <cell r="M327">
            <v>0</v>
          </cell>
          <cell r="P327">
            <v>0</v>
          </cell>
          <cell r="R327">
            <v>0</v>
          </cell>
          <cell r="S327">
            <v>0</v>
          </cell>
          <cell r="T327">
            <v>0</v>
          </cell>
          <cell r="U327">
            <v>0</v>
          </cell>
        </row>
        <row r="328">
          <cell r="A328" t="str">
            <v>MAR 2016</v>
          </cell>
          <cell r="B328" t="str">
            <v>KUCUE851</v>
          </cell>
          <cell r="D328" t="str">
            <v>CU</v>
          </cell>
          <cell r="E328">
            <v>0</v>
          </cell>
          <cell r="F328">
            <v>0</v>
          </cell>
          <cell r="L328">
            <v>0</v>
          </cell>
          <cell r="M328">
            <v>0</v>
          </cell>
          <cell r="P328">
            <v>0</v>
          </cell>
          <cell r="R328">
            <v>0</v>
          </cell>
          <cell r="S328">
            <v>0</v>
          </cell>
          <cell r="T328">
            <v>0</v>
          </cell>
          <cell r="U328">
            <v>0</v>
          </cell>
        </row>
        <row r="329">
          <cell r="A329" t="str">
            <v>MAR 2016</v>
          </cell>
          <cell r="B329" t="str">
            <v>KUCUE852</v>
          </cell>
          <cell r="D329" t="str">
            <v>CU</v>
          </cell>
          <cell r="E329">
            <v>0</v>
          </cell>
          <cell r="F329">
            <v>0</v>
          </cell>
          <cell r="L329">
            <v>0</v>
          </cell>
          <cell r="M329">
            <v>0</v>
          </cell>
          <cell r="P329">
            <v>0</v>
          </cell>
          <cell r="R329">
            <v>0</v>
          </cell>
          <cell r="S329">
            <v>0</v>
          </cell>
          <cell r="T329">
            <v>0</v>
          </cell>
          <cell r="U329">
            <v>0</v>
          </cell>
        </row>
        <row r="330">
          <cell r="A330" t="str">
            <v>MAR 2016</v>
          </cell>
          <cell r="B330" t="str">
            <v>KUINE730</v>
          </cell>
          <cell r="D330" t="str">
            <v>FLS</v>
          </cell>
          <cell r="E330">
            <v>48339184</v>
          </cell>
          <cell r="F330">
            <v>750</v>
          </cell>
          <cell r="L330">
            <v>0</v>
          </cell>
          <cell r="M330">
            <v>117609</v>
          </cell>
          <cell r="P330">
            <v>0</v>
          </cell>
          <cell r="R330">
            <v>2693478</v>
          </cell>
          <cell r="S330">
            <v>1576341</v>
          </cell>
          <cell r="T330">
            <v>720199</v>
          </cell>
          <cell r="U330">
            <v>278579</v>
          </cell>
        </row>
        <row r="331">
          <cell r="A331" t="str">
            <v>MAR 2016</v>
          </cell>
          <cell r="B331" t="str">
            <v>KUMNE902</v>
          </cell>
          <cell r="D331" t="str">
            <v>WPS</v>
          </cell>
          <cell r="E331">
            <v>0</v>
          </cell>
          <cell r="F331">
            <v>0</v>
          </cell>
          <cell r="L331">
            <v>0</v>
          </cell>
          <cell r="M331">
            <v>0</v>
          </cell>
          <cell r="P331">
            <v>0</v>
          </cell>
          <cell r="R331">
            <v>0</v>
          </cell>
          <cell r="S331">
            <v>0</v>
          </cell>
          <cell r="T331">
            <v>0</v>
          </cell>
          <cell r="U331">
            <v>0</v>
          </cell>
        </row>
        <row r="332">
          <cell r="A332" t="str">
            <v>MAR 2016</v>
          </cell>
          <cell r="B332" t="str">
            <v>KUMNE903</v>
          </cell>
          <cell r="D332" t="str">
            <v>WPS</v>
          </cell>
          <cell r="E332">
            <v>0</v>
          </cell>
          <cell r="F332">
            <v>0</v>
          </cell>
          <cell r="L332">
            <v>0</v>
          </cell>
          <cell r="M332">
            <v>0</v>
          </cell>
          <cell r="P332">
            <v>0</v>
          </cell>
          <cell r="R332">
            <v>0</v>
          </cell>
          <cell r="S332">
            <v>0</v>
          </cell>
          <cell r="T332">
            <v>0</v>
          </cell>
          <cell r="U332">
            <v>0</v>
          </cell>
        </row>
        <row r="333">
          <cell r="A333" t="str">
            <v>MAR 2016</v>
          </cell>
          <cell r="B333" t="str">
            <v>KUMNE934</v>
          </cell>
          <cell r="D333" t="str">
            <v>WPS</v>
          </cell>
          <cell r="E333">
            <v>0</v>
          </cell>
          <cell r="F333">
            <v>0</v>
          </cell>
          <cell r="L333">
            <v>0</v>
          </cell>
          <cell r="M333">
            <v>0</v>
          </cell>
          <cell r="P333">
            <v>0</v>
          </cell>
          <cell r="R333">
            <v>0</v>
          </cell>
          <cell r="S333">
            <v>0</v>
          </cell>
          <cell r="T333">
            <v>0</v>
          </cell>
          <cell r="U333">
            <v>0</v>
          </cell>
        </row>
        <row r="334">
          <cell r="A334" t="str">
            <v>MAR 2016</v>
          </cell>
          <cell r="B334" t="str">
            <v>KURSE000</v>
          </cell>
          <cell r="D334" t="str">
            <v>TS</v>
          </cell>
          <cell r="E334">
            <v>0</v>
          </cell>
          <cell r="F334">
            <v>0</v>
          </cell>
          <cell r="L334">
            <v>0</v>
          </cell>
          <cell r="M334">
            <v>0</v>
          </cell>
          <cell r="P334">
            <v>0</v>
          </cell>
          <cell r="R334">
            <v>0</v>
          </cell>
          <cell r="S334">
            <v>0</v>
          </cell>
          <cell r="T334">
            <v>0</v>
          </cell>
          <cell r="U334">
            <v>0</v>
          </cell>
        </row>
        <row r="335">
          <cell r="A335" t="str">
            <v>MAR 2016</v>
          </cell>
          <cell r="B335" t="str">
            <v>KURSE010</v>
          </cell>
          <cell r="D335" t="str">
            <v>RS</v>
          </cell>
          <cell r="E335">
            <v>556780635</v>
          </cell>
          <cell r="F335">
            <v>4633289</v>
          </cell>
          <cell r="L335">
            <v>684189</v>
          </cell>
          <cell r="M335">
            <v>1354650</v>
          </cell>
          <cell r="P335">
            <v>0</v>
          </cell>
          <cell r="R335">
            <v>52997946</v>
          </cell>
          <cell r="S335">
            <v>43117092</v>
          </cell>
          <cell r="T335">
            <v>0</v>
          </cell>
          <cell r="U335">
            <v>3208726</v>
          </cell>
        </row>
        <row r="336">
          <cell r="A336" t="str">
            <v>MAR 2016</v>
          </cell>
          <cell r="B336" t="str">
            <v>KURSE020</v>
          </cell>
          <cell r="D336" t="str">
            <v>RS</v>
          </cell>
          <cell r="E336">
            <v>0</v>
          </cell>
          <cell r="F336">
            <v>0</v>
          </cell>
          <cell r="L336">
            <v>0</v>
          </cell>
          <cell r="M336">
            <v>0</v>
          </cell>
          <cell r="P336">
            <v>0</v>
          </cell>
          <cell r="R336">
            <v>0</v>
          </cell>
          <cell r="S336">
            <v>0</v>
          </cell>
          <cell r="T336">
            <v>0</v>
          </cell>
          <cell r="U336">
            <v>0</v>
          </cell>
        </row>
        <row r="337">
          <cell r="A337" t="str">
            <v>MAR 2016</v>
          </cell>
          <cell r="B337" t="str">
            <v>KURSE025</v>
          </cell>
          <cell r="D337" t="str">
            <v>RS3</v>
          </cell>
          <cell r="E337">
            <v>0</v>
          </cell>
          <cell r="F337">
            <v>0</v>
          </cell>
          <cell r="L337">
            <v>0</v>
          </cell>
          <cell r="M337">
            <v>0</v>
          </cell>
          <cell r="P337">
            <v>0</v>
          </cell>
          <cell r="R337">
            <v>0</v>
          </cell>
          <cell r="S337">
            <v>0</v>
          </cell>
          <cell r="T337">
            <v>0</v>
          </cell>
          <cell r="U337">
            <v>0</v>
          </cell>
        </row>
        <row r="338">
          <cell r="A338" t="str">
            <v>MAR 2016</v>
          </cell>
          <cell r="B338" t="str">
            <v>KURSE040</v>
          </cell>
          <cell r="D338" t="str">
            <v>RSLEV</v>
          </cell>
          <cell r="E338">
            <v>0</v>
          </cell>
          <cell r="F338">
            <v>0</v>
          </cell>
          <cell r="L338">
            <v>0</v>
          </cell>
          <cell r="M338">
            <v>0</v>
          </cell>
          <cell r="P338">
            <v>0</v>
          </cell>
          <cell r="R338">
            <v>0</v>
          </cell>
          <cell r="S338">
            <v>0</v>
          </cell>
          <cell r="T338">
            <v>0</v>
          </cell>
          <cell r="U338">
            <v>0</v>
          </cell>
        </row>
        <row r="339">
          <cell r="A339" t="str">
            <v>MAR 2016</v>
          </cell>
          <cell r="B339" t="str">
            <v>KURSE080</v>
          </cell>
          <cell r="D339" t="str">
            <v>RSVFD</v>
          </cell>
          <cell r="E339">
            <v>0</v>
          </cell>
          <cell r="F339">
            <v>0</v>
          </cell>
          <cell r="L339">
            <v>0</v>
          </cell>
          <cell r="M339">
            <v>0</v>
          </cell>
          <cell r="P339">
            <v>0</v>
          </cell>
          <cell r="R339">
            <v>0</v>
          </cell>
          <cell r="S339">
            <v>0</v>
          </cell>
          <cell r="T339">
            <v>0</v>
          </cell>
          <cell r="U339">
            <v>0</v>
          </cell>
        </row>
        <row r="340">
          <cell r="A340" t="str">
            <v>MAR 2016</v>
          </cell>
          <cell r="B340" t="str">
            <v>KURSE715</v>
          </cell>
          <cell r="D340" t="str">
            <v>RS</v>
          </cell>
          <cell r="E340">
            <v>0</v>
          </cell>
          <cell r="F340">
            <v>0</v>
          </cell>
          <cell r="L340">
            <v>0</v>
          </cell>
          <cell r="M340">
            <v>0</v>
          </cell>
          <cell r="P340">
            <v>0</v>
          </cell>
          <cell r="R340">
            <v>0</v>
          </cell>
          <cell r="S340">
            <v>0</v>
          </cell>
          <cell r="T340">
            <v>0</v>
          </cell>
          <cell r="U340">
            <v>0</v>
          </cell>
        </row>
        <row r="341">
          <cell r="A341" t="str">
            <v>MAR 2016</v>
          </cell>
          <cell r="B341" t="str">
            <v>ODL</v>
          </cell>
          <cell r="E341">
            <v>9079099</v>
          </cell>
          <cell r="F341">
            <v>0</v>
          </cell>
          <cell r="L341">
            <v>0</v>
          </cell>
          <cell r="M341">
            <v>22089</v>
          </cell>
          <cell r="P341">
            <v>0</v>
          </cell>
          <cell r="R341">
            <v>2210597</v>
          </cell>
          <cell r="S341">
            <v>2136185</v>
          </cell>
          <cell r="T341">
            <v>0</v>
          </cell>
          <cell r="U341">
            <v>52323</v>
          </cell>
        </row>
        <row r="342">
          <cell r="A342" t="str">
            <v>MAR 2016</v>
          </cell>
          <cell r="B342" t="str">
            <v>KUUM_360</v>
          </cell>
          <cell r="D342" t="str">
            <v>LS</v>
          </cell>
          <cell r="S342">
            <v>0</v>
          </cell>
          <cell r="T342">
            <v>0</v>
          </cell>
          <cell r="U342">
            <v>0</v>
          </cell>
        </row>
        <row r="343">
          <cell r="A343" t="str">
            <v>MAR 2016</v>
          </cell>
          <cell r="B343" t="str">
            <v>KUUM_361</v>
          </cell>
          <cell r="D343" t="str">
            <v>LS</v>
          </cell>
          <cell r="S343">
            <v>0</v>
          </cell>
          <cell r="T343">
            <v>0</v>
          </cell>
          <cell r="U343">
            <v>0</v>
          </cell>
        </row>
        <row r="344">
          <cell r="A344" t="str">
            <v>MAR 2016</v>
          </cell>
          <cell r="B344" t="str">
            <v>KUUM_362</v>
          </cell>
          <cell r="D344" t="str">
            <v>LS</v>
          </cell>
          <cell r="S344">
            <v>0</v>
          </cell>
          <cell r="T344">
            <v>0</v>
          </cell>
          <cell r="U344">
            <v>0</v>
          </cell>
        </row>
        <row r="345">
          <cell r="A345" t="str">
            <v>MAR 2016</v>
          </cell>
          <cell r="B345" t="str">
            <v>KUUM_363</v>
          </cell>
          <cell r="D345" t="str">
            <v>LS</v>
          </cell>
          <cell r="S345">
            <v>0</v>
          </cell>
          <cell r="T345">
            <v>0</v>
          </cell>
          <cell r="U345">
            <v>0</v>
          </cell>
        </row>
        <row r="346">
          <cell r="A346" t="str">
            <v>MAR 2016</v>
          </cell>
          <cell r="B346" t="str">
            <v>KUUM_364</v>
          </cell>
          <cell r="D346" t="str">
            <v>LS</v>
          </cell>
          <cell r="S346">
            <v>0</v>
          </cell>
          <cell r="T346">
            <v>0</v>
          </cell>
          <cell r="U346">
            <v>0</v>
          </cell>
        </row>
        <row r="347">
          <cell r="A347" t="str">
            <v>MAR 2016</v>
          </cell>
          <cell r="B347" t="str">
            <v>KUUM_365</v>
          </cell>
          <cell r="D347" t="str">
            <v>LS</v>
          </cell>
          <cell r="S347">
            <v>0</v>
          </cell>
          <cell r="T347">
            <v>0</v>
          </cell>
          <cell r="U347">
            <v>0</v>
          </cell>
        </row>
        <row r="348">
          <cell r="A348" t="str">
            <v>MAR 2016</v>
          </cell>
          <cell r="B348" t="str">
            <v>KUUM_366</v>
          </cell>
          <cell r="D348" t="str">
            <v>LS</v>
          </cell>
          <cell r="S348">
            <v>0</v>
          </cell>
          <cell r="T348">
            <v>0</v>
          </cell>
          <cell r="U348">
            <v>0</v>
          </cell>
        </row>
        <row r="349">
          <cell r="A349" t="str">
            <v>MAR 2016</v>
          </cell>
          <cell r="B349" t="str">
            <v>KUUM_367</v>
          </cell>
          <cell r="D349" t="str">
            <v>LS</v>
          </cell>
          <cell r="S349">
            <v>0</v>
          </cell>
          <cell r="T349">
            <v>0</v>
          </cell>
          <cell r="U349">
            <v>0</v>
          </cell>
        </row>
        <row r="350">
          <cell r="A350" t="str">
            <v>MAR 2016</v>
          </cell>
          <cell r="B350" t="str">
            <v>KUUM_368</v>
          </cell>
          <cell r="D350" t="str">
            <v>LS</v>
          </cell>
          <cell r="S350">
            <v>0</v>
          </cell>
          <cell r="T350">
            <v>0</v>
          </cell>
          <cell r="U350">
            <v>0</v>
          </cell>
        </row>
        <row r="351">
          <cell r="A351" t="str">
            <v>MAR 2016</v>
          </cell>
          <cell r="B351" t="str">
            <v>KUUM_370</v>
          </cell>
          <cell r="D351" t="str">
            <v>LS</v>
          </cell>
          <cell r="S351">
            <v>0</v>
          </cell>
          <cell r="T351">
            <v>0</v>
          </cell>
          <cell r="U351">
            <v>0</v>
          </cell>
        </row>
        <row r="352">
          <cell r="A352" t="str">
            <v>MAR 2016</v>
          </cell>
          <cell r="B352" t="str">
            <v>KUUM_372</v>
          </cell>
          <cell r="D352" t="str">
            <v>LS</v>
          </cell>
          <cell r="S352">
            <v>0</v>
          </cell>
          <cell r="T352">
            <v>0</v>
          </cell>
          <cell r="U352">
            <v>0</v>
          </cell>
        </row>
        <row r="353">
          <cell r="A353" t="str">
            <v>MAR 2016</v>
          </cell>
          <cell r="B353" t="str">
            <v>KUUM_373</v>
          </cell>
          <cell r="D353" t="str">
            <v>LS</v>
          </cell>
          <cell r="S353">
            <v>0</v>
          </cell>
          <cell r="T353">
            <v>0</v>
          </cell>
          <cell r="U353">
            <v>0</v>
          </cell>
        </row>
        <row r="354">
          <cell r="A354" t="str">
            <v>MAR 2016</v>
          </cell>
          <cell r="B354" t="str">
            <v>KUUM_374</v>
          </cell>
          <cell r="D354" t="str">
            <v>LS</v>
          </cell>
          <cell r="S354">
            <v>0</v>
          </cell>
          <cell r="T354">
            <v>0</v>
          </cell>
          <cell r="U354">
            <v>0</v>
          </cell>
        </row>
        <row r="355">
          <cell r="A355" t="str">
            <v>MAR 2016</v>
          </cell>
          <cell r="B355" t="str">
            <v>KUUM_375</v>
          </cell>
          <cell r="D355" t="str">
            <v>LS</v>
          </cell>
          <cell r="S355">
            <v>0</v>
          </cell>
          <cell r="T355">
            <v>0</v>
          </cell>
          <cell r="U355">
            <v>0</v>
          </cell>
        </row>
        <row r="356">
          <cell r="A356" t="str">
            <v>MAR 2016</v>
          </cell>
          <cell r="B356" t="str">
            <v>KUUM_376</v>
          </cell>
          <cell r="D356" t="str">
            <v>LS</v>
          </cell>
          <cell r="S356">
            <v>0</v>
          </cell>
          <cell r="T356">
            <v>0</v>
          </cell>
          <cell r="U356">
            <v>0</v>
          </cell>
        </row>
        <row r="357">
          <cell r="A357" t="str">
            <v>MAR 2016</v>
          </cell>
          <cell r="B357" t="str">
            <v>KUUM_377</v>
          </cell>
          <cell r="D357" t="str">
            <v>LS</v>
          </cell>
          <cell r="S357">
            <v>0</v>
          </cell>
          <cell r="T357">
            <v>0</v>
          </cell>
          <cell r="U357">
            <v>0</v>
          </cell>
        </row>
        <row r="358">
          <cell r="A358" t="str">
            <v>MAR 2016</v>
          </cell>
          <cell r="B358" t="str">
            <v>KUUM_378</v>
          </cell>
          <cell r="D358" t="str">
            <v>LS</v>
          </cell>
          <cell r="S358">
            <v>0</v>
          </cell>
          <cell r="T358">
            <v>0</v>
          </cell>
          <cell r="U358">
            <v>0</v>
          </cell>
        </row>
        <row r="359">
          <cell r="A359" t="str">
            <v>MAR 2016</v>
          </cell>
          <cell r="B359" t="str">
            <v>KUUM_401</v>
          </cell>
          <cell r="D359" t="str">
            <v>LS</v>
          </cell>
          <cell r="S359">
            <v>0</v>
          </cell>
          <cell r="T359">
            <v>0</v>
          </cell>
          <cell r="U359">
            <v>0</v>
          </cell>
        </row>
        <row r="360">
          <cell r="A360" t="str">
            <v>MAR 2016</v>
          </cell>
          <cell r="B360" t="str">
            <v>KUUM_404</v>
          </cell>
          <cell r="D360" t="str">
            <v>RLS</v>
          </cell>
          <cell r="S360">
            <v>0</v>
          </cell>
          <cell r="T360">
            <v>0</v>
          </cell>
          <cell r="U360">
            <v>0</v>
          </cell>
        </row>
        <row r="361">
          <cell r="A361" t="str">
            <v>MAR 2016</v>
          </cell>
          <cell r="B361" t="str">
            <v>KUUM_405</v>
          </cell>
          <cell r="D361" t="str">
            <v>LS</v>
          </cell>
          <cell r="S361">
            <v>0</v>
          </cell>
          <cell r="T361">
            <v>0</v>
          </cell>
          <cell r="U361">
            <v>0</v>
          </cell>
        </row>
        <row r="362">
          <cell r="A362" t="str">
            <v>MAR 2016</v>
          </cell>
          <cell r="B362" t="str">
            <v>KUUM_409</v>
          </cell>
          <cell r="D362" t="str">
            <v>RLS</v>
          </cell>
          <cell r="S362">
            <v>0</v>
          </cell>
          <cell r="T362">
            <v>0</v>
          </cell>
          <cell r="U362">
            <v>0</v>
          </cell>
        </row>
        <row r="363">
          <cell r="A363" t="str">
            <v>MAR 2016</v>
          </cell>
          <cell r="B363" t="str">
            <v>KUUM_410</v>
          </cell>
          <cell r="D363" t="str">
            <v>RLS</v>
          </cell>
          <cell r="S363">
            <v>0</v>
          </cell>
          <cell r="T363">
            <v>0</v>
          </cell>
          <cell r="U363">
            <v>0</v>
          </cell>
        </row>
        <row r="364">
          <cell r="A364" t="str">
            <v>MAR 2016</v>
          </cell>
          <cell r="B364" t="str">
            <v>KUUM_411</v>
          </cell>
          <cell r="D364" t="str">
            <v>LS</v>
          </cell>
          <cell r="S364">
            <v>0</v>
          </cell>
          <cell r="T364">
            <v>0</v>
          </cell>
          <cell r="U364">
            <v>0</v>
          </cell>
        </row>
        <row r="365">
          <cell r="A365" t="str">
            <v>MAR 2016</v>
          </cell>
          <cell r="B365" t="str">
            <v>KUUM_412</v>
          </cell>
          <cell r="D365" t="str">
            <v>RLS</v>
          </cell>
          <cell r="S365">
            <v>0</v>
          </cell>
          <cell r="T365">
            <v>0</v>
          </cell>
          <cell r="U365">
            <v>0</v>
          </cell>
        </row>
        <row r="366">
          <cell r="A366" t="str">
            <v>MAR 2016</v>
          </cell>
          <cell r="B366" t="str">
            <v>KUUM_413</v>
          </cell>
          <cell r="D366" t="str">
            <v>RLS</v>
          </cell>
          <cell r="S366">
            <v>0</v>
          </cell>
          <cell r="T366">
            <v>0</v>
          </cell>
          <cell r="U366">
            <v>0</v>
          </cell>
        </row>
        <row r="367">
          <cell r="A367" t="str">
            <v>MAR 2016</v>
          </cell>
          <cell r="B367" t="str">
            <v>KUUM_414</v>
          </cell>
          <cell r="D367" t="str">
            <v>LS</v>
          </cell>
          <cell r="S367">
            <v>0</v>
          </cell>
          <cell r="T367">
            <v>0</v>
          </cell>
          <cell r="U367">
            <v>0</v>
          </cell>
        </row>
        <row r="368">
          <cell r="A368" t="str">
            <v>MAR 2016</v>
          </cell>
          <cell r="B368" t="str">
            <v>KUUM_415</v>
          </cell>
          <cell r="D368" t="str">
            <v>LS</v>
          </cell>
          <cell r="S368">
            <v>0</v>
          </cell>
          <cell r="T368">
            <v>0</v>
          </cell>
          <cell r="U368">
            <v>0</v>
          </cell>
        </row>
        <row r="369">
          <cell r="A369" t="str">
            <v>MAR 2016</v>
          </cell>
          <cell r="B369" t="str">
            <v>KUUM_420</v>
          </cell>
          <cell r="D369" t="str">
            <v>LS</v>
          </cell>
          <cell r="S369">
            <v>0</v>
          </cell>
          <cell r="T369">
            <v>0</v>
          </cell>
          <cell r="U369">
            <v>0</v>
          </cell>
        </row>
        <row r="370">
          <cell r="A370" t="str">
            <v>MAR 2016</v>
          </cell>
          <cell r="B370" t="str">
            <v>KUUM_421</v>
          </cell>
          <cell r="D370" t="str">
            <v>RLS</v>
          </cell>
          <cell r="S370">
            <v>0</v>
          </cell>
          <cell r="T370">
            <v>0</v>
          </cell>
          <cell r="U370">
            <v>0</v>
          </cell>
        </row>
        <row r="371">
          <cell r="A371" t="str">
            <v>MAR 2016</v>
          </cell>
          <cell r="B371" t="str">
            <v>KUUM_422</v>
          </cell>
          <cell r="D371" t="str">
            <v>RLS</v>
          </cell>
          <cell r="S371">
            <v>0</v>
          </cell>
          <cell r="T371">
            <v>0</v>
          </cell>
          <cell r="U371">
            <v>0</v>
          </cell>
        </row>
        <row r="372">
          <cell r="A372" t="str">
            <v>MAR 2016</v>
          </cell>
          <cell r="B372" t="str">
            <v>KUUM_424</v>
          </cell>
          <cell r="D372" t="str">
            <v>RLS</v>
          </cell>
          <cell r="S372">
            <v>0</v>
          </cell>
          <cell r="T372">
            <v>0</v>
          </cell>
          <cell r="U372">
            <v>0</v>
          </cell>
        </row>
        <row r="373">
          <cell r="A373" t="str">
            <v>MAR 2016</v>
          </cell>
          <cell r="B373" t="str">
            <v>KUUM_425</v>
          </cell>
          <cell r="D373" t="str">
            <v>RLS</v>
          </cell>
          <cell r="S373">
            <v>0</v>
          </cell>
          <cell r="T373">
            <v>0</v>
          </cell>
          <cell r="U373">
            <v>0</v>
          </cell>
        </row>
        <row r="374">
          <cell r="A374" t="str">
            <v>MAR 2016</v>
          </cell>
          <cell r="B374" t="str">
            <v>KUUM_426</v>
          </cell>
          <cell r="D374" t="str">
            <v>RLS</v>
          </cell>
          <cell r="S374">
            <v>0</v>
          </cell>
          <cell r="T374">
            <v>0</v>
          </cell>
          <cell r="U374">
            <v>0</v>
          </cell>
        </row>
        <row r="375">
          <cell r="A375" t="str">
            <v>MAR 2016</v>
          </cell>
          <cell r="B375" t="str">
            <v>KUUM_428</v>
          </cell>
          <cell r="D375" t="str">
            <v>LS</v>
          </cell>
          <cell r="S375">
            <v>0</v>
          </cell>
          <cell r="T375">
            <v>0</v>
          </cell>
          <cell r="U375">
            <v>0</v>
          </cell>
        </row>
        <row r="376">
          <cell r="A376" t="str">
            <v>MAR 2016</v>
          </cell>
          <cell r="B376" t="str">
            <v>KUUM_430</v>
          </cell>
          <cell r="D376" t="str">
            <v>LS</v>
          </cell>
          <cell r="S376">
            <v>0</v>
          </cell>
          <cell r="T376">
            <v>0</v>
          </cell>
          <cell r="U376">
            <v>0</v>
          </cell>
        </row>
        <row r="377">
          <cell r="A377" t="str">
            <v>MAR 2016</v>
          </cell>
          <cell r="B377" t="str">
            <v>KUUM_434</v>
          </cell>
          <cell r="D377" t="str">
            <v>RLS</v>
          </cell>
          <cell r="S377">
            <v>0</v>
          </cell>
          <cell r="T377">
            <v>0</v>
          </cell>
          <cell r="U377">
            <v>0</v>
          </cell>
        </row>
        <row r="378">
          <cell r="A378" t="str">
            <v>MAR 2016</v>
          </cell>
          <cell r="B378" t="str">
            <v>KUUM_440</v>
          </cell>
          <cell r="D378" t="str">
            <v>RLS</v>
          </cell>
          <cell r="S378">
            <v>0</v>
          </cell>
          <cell r="T378">
            <v>0</v>
          </cell>
          <cell r="U378">
            <v>0</v>
          </cell>
        </row>
        <row r="379">
          <cell r="A379" t="str">
            <v>MAR 2016</v>
          </cell>
          <cell r="B379" t="str">
            <v>KUUM_446</v>
          </cell>
          <cell r="D379" t="str">
            <v>RLS</v>
          </cell>
          <cell r="S379">
            <v>0</v>
          </cell>
          <cell r="T379">
            <v>0</v>
          </cell>
          <cell r="U379">
            <v>0</v>
          </cell>
        </row>
        <row r="380">
          <cell r="A380" t="str">
            <v>MAR 2016</v>
          </cell>
          <cell r="B380" t="str">
            <v>KUUM_447</v>
          </cell>
          <cell r="D380" t="str">
            <v>RLS</v>
          </cell>
          <cell r="S380">
            <v>0</v>
          </cell>
          <cell r="T380">
            <v>0</v>
          </cell>
          <cell r="U380">
            <v>0</v>
          </cell>
        </row>
        <row r="381">
          <cell r="A381" t="str">
            <v>MAR 2016</v>
          </cell>
          <cell r="B381" t="str">
            <v>KUUM_448</v>
          </cell>
          <cell r="D381" t="str">
            <v>RLS</v>
          </cell>
          <cell r="S381">
            <v>0</v>
          </cell>
          <cell r="T381">
            <v>0</v>
          </cell>
          <cell r="U381">
            <v>0</v>
          </cell>
        </row>
        <row r="382">
          <cell r="A382" t="str">
            <v>MAR 2016</v>
          </cell>
          <cell r="B382" t="str">
            <v>KUUM_450</v>
          </cell>
          <cell r="D382" t="str">
            <v>LS</v>
          </cell>
          <cell r="S382">
            <v>0</v>
          </cell>
          <cell r="T382">
            <v>0</v>
          </cell>
          <cell r="U382">
            <v>0</v>
          </cell>
        </row>
        <row r="383">
          <cell r="A383" t="str">
            <v>MAR 2016</v>
          </cell>
          <cell r="B383" t="str">
            <v>KUUM_451</v>
          </cell>
          <cell r="D383" t="str">
            <v>LS</v>
          </cell>
          <cell r="S383">
            <v>0</v>
          </cell>
          <cell r="T383">
            <v>0</v>
          </cell>
          <cell r="U383">
            <v>0</v>
          </cell>
        </row>
        <row r="384">
          <cell r="A384" t="str">
            <v>MAR 2016</v>
          </cell>
          <cell r="B384" t="str">
            <v>KUUM_452</v>
          </cell>
          <cell r="D384" t="str">
            <v>LS</v>
          </cell>
          <cell r="S384">
            <v>0</v>
          </cell>
          <cell r="T384">
            <v>0</v>
          </cell>
          <cell r="U384">
            <v>0</v>
          </cell>
        </row>
        <row r="385">
          <cell r="A385" t="str">
            <v>MAR 2016</v>
          </cell>
          <cell r="B385" t="str">
            <v>KUUM_454</v>
          </cell>
          <cell r="D385" t="str">
            <v>RLS</v>
          </cell>
          <cell r="S385">
            <v>0</v>
          </cell>
          <cell r="T385">
            <v>0</v>
          </cell>
          <cell r="U385">
            <v>0</v>
          </cell>
        </row>
        <row r="386">
          <cell r="A386" t="str">
            <v>MAR 2016</v>
          </cell>
          <cell r="B386" t="str">
            <v>KUUM_455</v>
          </cell>
          <cell r="D386" t="str">
            <v>RLS</v>
          </cell>
          <cell r="S386">
            <v>0</v>
          </cell>
          <cell r="T386">
            <v>0</v>
          </cell>
          <cell r="U386">
            <v>0</v>
          </cell>
        </row>
        <row r="387">
          <cell r="A387" t="str">
            <v>MAR 2016</v>
          </cell>
          <cell r="B387" t="str">
            <v>KUUM_456</v>
          </cell>
          <cell r="D387" t="str">
            <v>RLS</v>
          </cell>
          <cell r="S387">
            <v>0</v>
          </cell>
          <cell r="T387">
            <v>0</v>
          </cell>
          <cell r="U387">
            <v>0</v>
          </cell>
        </row>
        <row r="388">
          <cell r="A388" t="str">
            <v>MAR 2016</v>
          </cell>
          <cell r="B388" t="str">
            <v>KUUM_457</v>
          </cell>
          <cell r="D388" t="str">
            <v>RLS</v>
          </cell>
          <cell r="S388">
            <v>0</v>
          </cell>
          <cell r="T388">
            <v>0</v>
          </cell>
          <cell r="U388">
            <v>0</v>
          </cell>
        </row>
        <row r="389">
          <cell r="A389" t="str">
            <v>MAR 2016</v>
          </cell>
          <cell r="B389" t="str">
            <v>KUUM_458</v>
          </cell>
          <cell r="D389" t="str">
            <v>RLS</v>
          </cell>
          <cell r="S389">
            <v>0</v>
          </cell>
          <cell r="T389">
            <v>0</v>
          </cell>
          <cell r="U389">
            <v>0</v>
          </cell>
        </row>
        <row r="390">
          <cell r="A390" t="str">
            <v>MAR 2016</v>
          </cell>
          <cell r="B390" t="str">
            <v>KUUM_459</v>
          </cell>
          <cell r="D390" t="str">
            <v>RLS</v>
          </cell>
          <cell r="S390">
            <v>0</v>
          </cell>
          <cell r="T390">
            <v>0</v>
          </cell>
          <cell r="U390">
            <v>0</v>
          </cell>
        </row>
        <row r="391">
          <cell r="A391" t="str">
            <v>MAR 2016</v>
          </cell>
          <cell r="B391" t="str">
            <v>KUUM_460</v>
          </cell>
          <cell r="D391" t="str">
            <v>RLS</v>
          </cell>
          <cell r="S391">
            <v>0</v>
          </cell>
          <cell r="T391">
            <v>0</v>
          </cell>
          <cell r="U391">
            <v>0</v>
          </cell>
        </row>
        <row r="392">
          <cell r="A392" t="str">
            <v>MAR 2016</v>
          </cell>
          <cell r="B392" t="str">
            <v>KUUM_461</v>
          </cell>
          <cell r="D392" t="str">
            <v>RLS</v>
          </cell>
          <cell r="S392">
            <v>0</v>
          </cell>
          <cell r="T392">
            <v>0</v>
          </cell>
          <cell r="U392">
            <v>0</v>
          </cell>
        </row>
        <row r="393">
          <cell r="A393" t="str">
            <v>MAR 2016</v>
          </cell>
          <cell r="B393" t="str">
            <v>KUUM_462</v>
          </cell>
          <cell r="D393" t="str">
            <v>LS</v>
          </cell>
          <cell r="S393">
            <v>0</v>
          </cell>
          <cell r="T393">
            <v>0</v>
          </cell>
          <cell r="U393">
            <v>0</v>
          </cell>
        </row>
        <row r="394">
          <cell r="A394" t="str">
            <v>MAR 2016</v>
          </cell>
          <cell r="B394" t="str">
            <v>KUUM_463</v>
          </cell>
          <cell r="D394" t="str">
            <v>LS</v>
          </cell>
          <cell r="S394">
            <v>0</v>
          </cell>
          <cell r="T394">
            <v>0</v>
          </cell>
          <cell r="U394">
            <v>0</v>
          </cell>
        </row>
        <row r="395">
          <cell r="A395" t="str">
            <v>MAR 2016</v>
          </cell>
          <cell r="B395" t="str">
            <v>KUUM_464</v>
          </cell>
          <cell r="D395" t="str">
            <v>LS</v>
          </cell>
          <cell r="S395">
            <v>0</v>
          </cell>
          <cell r="T395">
            <v>0</v>
          </cell>
          <cell r="U395">
            <v>0</v>
          </cell>
        </row>
        <row r="396">
          <cell r="A396" t="str">
            <v>MAR 2016</v>
          </cell>
          <cell r="B396" t="str">
            <v>KUUM_465</v>
          </cell>
          <cell r="D396" t="str">
            <v>LS</v>
          </cell>
          <cell r="S396">
            <v>0</v>
          </cell>
          <cell r="T396">
            <v>0</v>
          </cell>
          <cell r="U396">
            <v>0</v>
          </cell>
        </row>
        <row r="397">
          <cell r="A397" t="str">
            <v>MAR 2016</v>
          </cell>
          <cell r="B397" t="str">
            <v>KUUM_465CU</v>
          </cell>
          <cell r="D397" t="str">
            <v>LS</v>
          </cell>
          <cell r="S397">
            <v>0</v>
          </cell>
          <cell r="T397">
            <v>0</v>
          </cell>
          <cell r="U397">
            <v>0</v>
          </cell>
        </row>
        <row r="398">
          <cell r="A398" t="str">
            <v>MAR 2016</v>
          </cell>
          <cell r="B398" t="str">
            <v>KUUM_466</v>
          </cell>
          <cell r="D398" t="str">
            <v>RLS</v>
          </cell>
          <cell r="S398">
            <v>0</v>
          </cell>
          <cell r="T398">
            <v>0</v>
          </cell>
          <cell r="U398">
            <v>0</v>
          </cell>
        </row>
        <row r="399">
          <cell r="A399" t="str">
            <v>MAR 2016</v>
          </cell>
          <cell r="B399" t="str">
            <v>KUUM_467</v>
          </cell>
          <cell r="D399" t="str">
            <v>LS</v>
          </cell>
          <cell r="S399">
            <v>0</v>
          </cell>
          <cell r="T399">
            <v>0</v>
          </cell>
          <cell r="U399">
            <v>0</v>
          </cell>
        </row>
        <row r="400">
          <cell r="A400" t="str">
            <v>MAR 2016</v>
          </cell>
          <cell r="B400" t="str">
            <v>KUUM_468</v>
          </cell>
          <cell r="D400" t="str">
            <v>LS</v>
          </cell>
          <cell r="S400">
            <v>0</v>
          </cell>
          <cell r="T400">
            <v>0</v>
          </cell>
          <cell r="U400">
            <v>0</v>
          </cell>
        </row>
        <row r="401">
          <cell r="A401" t="str">
            <v>MAR 2016</v>
          </cell>
          <cell r="B401" t="str">
            <v>KUUM_469</v>
          </cell>
          <cell r="D401" t="str">
            <v>RLS</v>
          </cell>
          <cell r="S401">
            <v>0</v>
          </cell>
          <cell r="T401">
            <v>0</v>
          </cell>
          <cell r="U401">
            <v>0</v>
          </cell>
        </row>
        <row r="402">
          <cell r="A402" t="str">
            <v>MAR 2016</v>
          </cell>
          <cell r="B402" t="str">
            <v>KUUM_470</v>
          </cell>
          <cell r="D402" t="str">
            <v>RLS</v>
          </cell>
          <cell r="S402">
            <v>0</v>
          </cell>
          <cell r="T402">
            <v>0</v>
          </cell>
          <cell r="U402">
            <v>0</v>
          </cell>
        </row>
        <row r="403">
          <cell r="A403" t="str">
            <v>MAR 2016</v>
          </cell>
          <cell r="B403" t="str">
            <v>KUUM_471</v>
          </cell>
          <cell r="D403" t="str">
            <v>RLS</v>
          </cell>
          <cell r="S403">
            <v>0</v>
          </cell>
          <cell r="T403">
            <v>0</v>
          </cell>
          <cell r="U403">
            <v>0</v>
          </cell>
        </row>
        <row r="404">
          <cell r="A404" t="str">
            <v>MAR 2016</v>
          </cell>
          <cell r="B404" t="str">
            <v>KUUM_472</v>
          </cell>
          <cell r="D404" t="str">
            <v>LS</v>
          </cell>
          <cell r="S404">
            <v>0</v>
          </cell>
          <cell r="T404">
            <v>0</v>
          </cell>
          <cell r="U404">
            <v>0</v>
          </cell>
        </row>
        <row r="405">
          <cell r="A405" t="str">
            <v>MAR 2016</v>
          </cell>
          <cell r="B405" t="str">
            <v>KUUM_473</v>
          </cell>
          <cell r="D405" t="str">
            <v>LS</v>
          </cell>
          <cell r="S405">
            <v>0</v>
          </cell>
          <cell r="T405">
            <v>0</v>
          </cell>
          <cell r="U405">
            <v>0</v>
          </cell>
        </row>
        <row r="406">
          <cell r="A406" t="str">
            <v>MAR 2016</v>
          </cell>
          <cell r="B406" t="str">
            <v>KUUM_474</v>
          </cell>
          <cell r="D406" t="str">
            <v>LS</v>
          </cell>
          <cell r="S406">
            <v>0</v>
          </cell>
          <cell r="T406">
            <v>0</v>
          </cell>
          <cell r="U406">
            <v>0</v>
          </cell>
        </row>
        <row r="407">
          <cell r="A407" t="str">
            <v>MAR 2016</v>
          </cell>
          <cell r="B407" t="str">
            <v>KUUM_475</v>
          </cell>
          <cell r="D407" t="str">
            <v>LS</v>
          </cell>
          <cell r="S407">
            <v>0</v>
          </cell>
          <cell r="T407">
            <v>0</v>
          </cell>
          <cell r="U407">
            <v>0</v>
          </cell>
        </row>
        <row r="408">
          <cell r="A408" t="str">
            <v>MAR 2016</v>
          </cell>
          <cell r="B408" t="str">
            <v>KUUM_476</v>
          </cell>
          <cell r="D408" t="str">
            <v>LS</v>
          </cell>
          <cell r="S408">
            <v>0</v>
          </cell>
          <cell r="T408">
            <v>0</v>
          </cell>
          <cell r="U408">
            <v>0</v>
          </cell>
        </row>
        <row r="409">
          <cell r="A409" t="str">
            <v>MAR 2016</v>
          </cell>
          <cell r="B409" t="str">
            <v>KUUM_477</v>
          </cell>
          <cell r="D409" t="str">
            <v>LS</v>
          </cell>
          <cell r="S409">
            <v>0</v>
          </cell>
          <cell r="T409">
            <v>0</v>
          </cell>
          <cell r="U409">
            <v>0</v>
          </cell>
        </row>
        <row r="410">
          <cell r="A410" t="str">
            <v>MAR 2016</v>
          </cell>
          <cell r="B410" t="str">
            <v>KUUM_478</v>
          </cell>
          <cell r="D410" t="str">
            <v>LS</v>
          </cell>
          <cell r="S410">
            <v>0</v>
          </cell>
          <cell r="T410">
            <v>0</v>
          </cell>
          <cell r="U410">
            <v>0</v>
          </cell>
        </row>
        <row r="411">
          <cell r="A411" t="str">
            <v>MAR 2016</v>
          </cell>
          <cell r="B411" t="str">
            <v>KUUM_479</v>
          </cell>
          <cell r="D411" t="str">
            <v>LS</v>
          </cell>
          <cell r="S411">
            <v>0</v>
          </cell>
          <cell r="T411">
            <v>0</v>
          </cell>
          <cell r="U411">
            <v>0</v>
          </cell>
        </row>
        <row r="412">
          <cell r="A412" t="str">
            <v>MAR 2016</v>
          </cell>
          <cell r="B412" t="str">
            <v>KUUM_487</v>
          </cell>
          <cell r="D412" t="str">
            <v>LS</v>
          </cell>
          <cell r="S412">
            <v>0</v>
          </cell>
          <cell r="T412">
            <v>0</v>
          </cell>
          <cell r="U412">
            <v>0</v>
          </cell>
        </row>
        <row r="413">
          <cell r="A413" t="str">
            <v>MAR 2016</v>
          </cell>
          <cell r="B413" t="str">
            <v>KUUM_488</v>
          </cell>
          <cell r="D413" t="str">
            <v>LS</v>
          </cell>
          <cell r="S413">
            <v>0</v>
          </cell>
          <cell r="T413">
            <v>0</v>
          </cell>
          <cell r="U413">
            <v>0</v>
          </cell>
        </row>
        <row r="414">
          <cell r="A414" t="str">
            <v>MAR 2016</v>
          </cell>
          <cell r="B414" t="str">
            <v>KUUM_489</v>
          </cell>
          <cell r="D414" t="str">
            <v>LS</v>
          </cell>
          <cell r="S414">
            <v>0</v>
          </cell>
          <cell r="T414">
            <v>0</v>
          </cell>
          <cell r="U414">
            <v>0</v>
          </cell>
        </row>
        <row r="415">
          <cell r="A415" t="str">
            <v>MAR 2016</v>
          </cell>
          <cell r="B415" t="str">
            <v>KUUM_490</v>
          </cell>
          <cell r="D415" t="str">
            <v>LS</v>
          </cell>
          <cell r="S415">
            <v>0</v>
          </cell>
          <cell r="T415">
            <v>0</v>
          </cell>
          <cell r="U415">
            <v>0</v>
          </cell>
        </row>
        <row r="416">
          <cell r="A416" t="str">
            <v>MAR 2016</v>
          </cell>
          <cell r="B416" t="str">
            <v>KUUM_491</v>
          </cell>
          <cell r="D416" t="str">
            <v>LS</v>
          </cell>
          <cell r="S416">
            <v>0</v>
          </cell>
          <cell r="T416">
            <v>0</v>
          </cell>
          <cell r="U416">
            <v>0</v>
          </cell>
        </row>
        <row r="417">
          <cell r="A417" t="str">
            <v>MAR 2016</v>
          </cell>
          <cell r="B417" t="str">
            <v>KUUM_492</v>
          </cell>
          <cell r="D417" t="str">
            <v>LS</v>
          </cell>
          <cell r="S417">
            <v>0</v>
          </cell>
          <cell r="T417">
            <v>0</v>
          </cell>
          <cell r="U417">
            <v>0</v>
          </cell>
        </row>
        <row r="418">
          <cell r="A418" t="str">
            <v>MAR 2016</v>
          </cell>
          <cell r="B418" t="str">
            <v>KUUM_493</v>
          </cell>
          <cell r="D418" t="str">
            <v>LS</v>
          </cell>
          <cell r="S418">
            <v>0</v>
          </cell>
          <cell r="T418">
            <v>0</v>
          </cell>
          <cell r="U418">
            <v>0</v>
          </cell>
        </row>
        <row r="419">
          <cell r="A419" t="str">
            <v>MAR 2016</v>
          </cell>
          <cell r="B419" t="str">
            <v>KUUM_494</v>
          </cell>
          <cell r="D419" t="str">
            <v>LS</v>
          </cell>
          <cell r="S419">
            <v>0</v>
          </cell>
          <cell r="T419">
            <v>0</v>
          </cell>
          <cell r="U419">
            <v>0</v>
          </cell>
        </row>
        <row r="420">
          <cell r="A420" t="str">
            <v>MAR 2016</v>
          </cell>
          <cell r="B420" t="str">
            <v>KUUM_495</v>
          </cell>
          <cell r="D420" t="str">
            <v>LS</v>
          </cell>
          <cell r="S420">
            <v>0</v>
          </cell>
          <cell r="T420">
            <v>0</v>
          </cell>
          <cell r="U420">
            <v>0</v>
          </cell>
        </row>
        <row r="421">
          <cell r="A421" t="str">
            <v>MAR 2016</v>
          </cell>
          <cell r="B421" t="str">
            <v>KUUM_496</v>
          </cell>
          <cell r="D421" t="str">
            <v>LS</v>
          </cell>
          <cell r="S421">
            <v>0</v>
          </cell>
          <cell r="T421">
            <v>0</v>
          </cell>
          <cell r="U421">
            <v>0</v>
          </cell>
        </row>
        <row r="422">
          <cell r="A422" t="str">
            <v>MAR 2016</v>
          </cell>
          <cell r="B422" t="str">
            <v>KUUM_497</v>
          </cell>
          <cell r="D422" t="str">
            <v>LS</v>
          </cell>
          <cell r="S422">
            <v>0</v>
          </cell>
          <cell r="T422">
            <v>0</v>
          </cell>
          <cell r="U422">
            <v>0</v>
          </cell>
        </row>
        <row r="423">
          <cell r="A423" t="str">
            <v>MAR 2016</v>
          </cell>
          <cell r="B423" t="str">
            <v>KUUM_498</v>
          </cell>
          <cell r="D423" t="str">
            <v>LS</v>
          </cell>
          <cell r="S423">
            <v>0</v>
          </cell>
          <cell r="T423">
            <v>0</v>
          </cell>
          <cell r="U423">
            <v>0</v>
          </cell>
        </row>
        <row r="424">
          <cell r="A424" t="str">
            <v>MAR 2016</v>
          </cell>
          <cell r="B424" t="str">
            <v>KUUM_499</v>
          </cell>
          <cell r="D424" t="str">
            <v>LS</v>
          </cell>
          <cell r="S424">
            <v>0</v>
          </cell>
          <cell r="T424">
            <v>0</v>
          </cell>
          <cell r="U424">
            <v>0</v>
          </cell>
        </row>
        <row r="425">
          <cell r="A425" t="str">
            <v>MAR 2016</v>
          </cell>
          <cell r="B425" t="str">
            <v>KUUM_820</v>
          </cell>
          <cell r="D425" t="str">
            <v>ODL</v>
          </cell>
          <cell r="S425">
            <v>0</v>
          </cell>
          <cell r="T425">
            <v>0</v>
          </cell>
          <cell r="U425">
            <v>0</v>
          </cell>
        </row>
        <row r="426">
          <cell r="A426" t="str">
            <v>MAR 2016</v>
          </cell>
          <cell r="B426" t="str">
            <v>KUUM_825</v>
          </cell>
          <cell r="D426" t="str">
            <v>EF</v>
          </cell>
          <cell r="S426">
            <v>0</v>
          </cell>
          <cell r="T426">
            <v>0</v>
          </cell>
          <cell r="U426">
            <v>0</v>
          </cell>
        </row>
        <row r="427">
          <cell r="A427" t="str">
            <v>MAR 2016</v>
          </cell>
          <cell r="B427" t="str">
            <v>KUUM_826</v>
          </cell>
          <cell r="D427" t="str">
            <v>EF</v>
          </cell>
          <cell r="S427">
            <v>0</v>
          </cell>
          <cell r="T427">
            <v>0</v>
          </cell>
          <cell r="U427">
            <v>0</v>
          </cell>
        </row>
        <row r="428">
          <cell r="A428" t="str">
            <v>MAR 2016</v>
          </cell>
          <cell r="B428" t="str">
            <v>KUUM_827</v>
          </cell>
          <cell r="D428" t="str">
            <v>DA</v>
          </cell>
          <cell r="S428">
            <v>0</v>
          </cell>
          <cell r="T428">
            <v>0</v>
          </cell>
          <cell r="U428">
            <v>0</v>
          </cell>
        </row>
        <row r="429">
          <cell r="A429" t="str">
            <v>MAR 2016</v>
          </cell>
          <cell r="B429" t="str">
            <v>KUUM_828</v>
          </cell>
          <cell r="D429" t="str">
            <v>EF</v>
          </cell>
          <cell r="S429">
            <v>0</v>
          </cell>
          <cell r="T429">
            <v>0</v>
          </cell>
          <cell r="U429">
            <v>0</v>
          </cell>
        </row>
        <row r="430">
          <cell r="A430" t="str">
            <v>MAR 2016</v>
          </cell>
          <cell r="B430" t="str">
            <v>KUUM_829</v>
          </cell>
          <cell r="D430" t="str">
            <v>EF</v>
          </cell>
          <cell r="S430">
            <v>0</v>
          </cell>
          <cell r="T430">
            <v>0</v>
          </cell>
          <cell r="U430">
            <v>0</v>
          </cell>
        </row>
        <row r="431">
          <cell r="A431" t="str">
            <v>MAR 2016</v>
          </cell>
          <cell r="B431" t="str">
            <v>ODRSE020</v>
          </cell>
          <cell r="D431" t="str">
            <v>ODRS</v>
          </cell>
          <cell r="S431">
            <v>0</v>
          </cell>
          <cell r="T431">
            <v>0</v>
          </cell>
          <cell r="U431">
            <v>0</v>
          </cell>
        </row>
        <row r="432">
          <cell r="A432" t="str">
            <v>MAR 2016</v>
          </cell>
          <cell r="B432" t="str">
            <v>Result</v>
          </cell>
          <cell r="S432">
            <v>0</v>
          </cell>
          <cell r="T432">
            <v>0</v>
          </cell>
          <cell r="U432">
            <v>0</v>
          </cell>
        </row>
        <row r="433">
          <cell r="A433" t="str">
            <v>APR 2016</v>
          </cell>
          <cell r="B433" t="str">
            <v>KTRSE020</v>
          </cell>
          <cell r="D433" t="str">
            <v>TNRS</v>
          </cell>
          <cell r="S433">
            <v>0</v>
          </cell>
          <cell r="T433">
            <v>0</v>
          </cell>
          <cell r="U433">
            <v>0</v>
          </cell>
        </row>
        <row r="434">
          <cell r="A434" t="str">
            <v>APR 2016</v>
          </cell>
          <cell r="B434" t="str">
            <v>KTRSE030</v>
          </cell>
          <cell r="D434" t="str">
            <v>TNRS</v>
          </cell>
          <cell r="S434">
            <v>0</v>
          </cell>
          <cell r="T434">
            <v>0</v>
          </cell>
          <cell r="U434">
            <v>0</v>
          </cell>
        </row>
        <row r="435">
          <cell r="A435" t="str">
            <v>APR 2016</v>
          </cell>
          <cell r="B435" t="str">
            <v>KTUM_406</v>
          </cell>
          <cell r="D435" t="str">
            <v>TNLS</v>
          </cell>
          <cell r="S435">
            <v>0</v>
          </cell>
          <cell r="T435">
            <v>0</v>
          </cell>
          <cell r="U435">
            <v>0</v>
          </cell>
        </row>
        <row r="436">
          <cell r="A436" t="str">
            <v>APR 2016</v>
          </cell>
          <cell r="B436" t="str">
            <v>KTUM_428</v>
          </cell>
          <cell r="D436" t="str">
            <v>TNLS</v>
          </cell>
          <cell r="S436">
            <v>0</v>
          </cell>
          <cell r="T436">
            <v>0</v>
          </cell>
          <cell r="U436">
            <v>0</v>
          </cell>
        </row>
        <row r="437">
          <cell r="A437" t="str">
            <v>APR 2016</v>
          </cell>
          <cell r="B437" t="str">
            <v>KUCIE000</v>
          </cell>
          <cell r="D437" t="str">
            <v>TS</v>
          </cell>
          <cell r="S437">
            <v>0</v>
          </cell>
          <cell r="T437">
            <v>0</v>
          </cell>
          <cell r="U437">
            <v>0</v>
          </cell>
        </row>
        <row r="438">
          <cell r="A438" t="str">
            <v>APR 2016</v>
          </cell>
          <cell r="B438" t="str">
            <v>KUCIE550</v>
          </cell>
          <cell r="D438" t="str">
            <v>RTS</v>
          </cell>
          <cell r="E438">
            <v>125338353</v>
          </cell>
          <cell r="F438">
            <v>24000</v>
          </cell>
          <cell r="L438">
            <v>0</v>
          </cell>
          <cell r="M438">
            <v>485740</v>
          </cell>
          <cell r="P438">
            <v>0</v>
          </cell>
          <cell r="R438">
            <v>8393043</v>
          </cell>
          <cell r="S438">
            <v>4554796</v>
          </cell>
          <cell r="T438">
            <v>2388026</v>
          </cell>
          <cell r="U438">
            <v>940480</v>
          </cell>
        </row>
        <row r="439">
          <cell r="A439" t="str">
            <v>APR 2016</v>
          </cell>
          <cell r="B439" t="str">
            <v>KUCIE561</v>
          </cell>
          <cell r="D439" t="str">
            <v>PSP</v>
          </cell>
          <cell r="E439">
            <v>17125531</v>
          </cell>
          <cell r="F439">
            <v>33150</v>
          </cell>
          <cell r="L439">
            <v>22447</v>
          </cell>
          <cell r="M439">
            <v>66369</v>
          </cell>
          <cell r="P439">
            <v>0</v>
          </cell>
          <cell r="R439">
            <v>1586367</v>
          </cell>
          <cell r="S439">
            <v>610011</v>
          </cell>
          <cell r="T439">
            <v>725889</v>
          </cell>
          <cell r="U439">
            <v>128502</v>
          </cell>
        </row>
        <row r="440">
          <cell r="A440" t="str">
            <v>APR 2016</v>
          </cell>
          <cell r="B440" t="str">
            <v>KUCIE562</v>
          </cell>
          <cell r="D440" t="str">
            <v>PSS</v>
          </cell>
          <cell r="E440">
            <v>148653381</v>
          </cell>
          <cell r="F440">
            <v>415800</v>
          </cell>
          <cell r="L440">
            <v>194841</v>
          </cell>
          <cell r="M440">
            <v>576096</v>
          </cell>
          <cell r="P440">
            <v>0</v>
          </cell>
          <cell r="R440">
            <v>14563953</v>
          </cell>
          <cell r="S440">
            <v>5298007</v>
          </cell>
          <cell r="T440">
            <v>6963785</v>
          </cell>
          <cell r="U440">
            <v>1115425</v>
          </cell>
        </row>
        <row r="441">
          <cell r="A441" t="str">
            <v>APR 2016</v>
          </cell>
          <cell r="B441" t="str">
            <v>KUCIE563</v>
          </cell>
          <cell r="D441" t="str">
            <v>TODP</v>
          </cell>
          <cell r="E441">
            <v>226428621</v>
          </cell>
          <cell r="F441">
            <v>15600</v>
          </cell>
          <cell r="L441">
            <v>296781</v>
          </cell>
          <cell r="M441">
            <v>877509</v>
          </cell>
          <cell r="P441">
            <v>0</v>
          </cell>
          <cell r="R441">
            <v>15702311</v>
          </cell>
          <cell r="S441">
            <v>8525038</v>
          </cell>
          <cell r="T441">
            <v>4288370</v>
          </cell>
          <cell r="U441">
            <v>1699013</v>
          </cell>
        </row>
        <row r="442">
          <cell r="A442" t="str">
            <v>APR 2016</v>
          </cell>
          <cell r="B442" t="str">
            <v>KUCIE566</v>
          </cell>
          <cell r="D442" t="str">
            <v>PSP</v>
          </cell>
          <cell r="E442">
            <v>0</v>
          </cell>
          <cell r="F442">
            <v>0</v>
          </cell>
          <cell r="L442">
            <v>0</v>
          </cell>
          <cell r="M442">
            <v>0</v>
          </cell>
          <cell r="P442">
            <v>0</v>
          </cell>
          <cell r="R442">
            <v>0</v>
          </cell>
          <cell r="S442">
            <v>0</v>
          </cell>
          <cell r="T442">
            <v>0</v>
          </cell>
          <cell r="U442">
            <v>0</v>
          </cell>
        </row>
        <row r="443">
          <cell r="A443" t="str">
            <v>APR 2016</v>
          </cell>
          <cell r="B443" t="str">
            <v>KUCIE568</v>
          </cell>
          <cell r="D443" t="str">
            <v>PSS</v>
          </cell>
          <cell r="E443">
            <v>0</v>
          </cell>
          <cell r="F443">
            <v>0</v>
          </cell>
          <cell r="L443">
            <v>0</v>
          </cell>
          <cell r="M443">
            <v>0</v>
          </cell>
          <cell r="P443">
            <v>0</v>
          </cell>
          <cell r="R443">
            <v>0</v>
          </cell>
          <cell r="S443">
            <v>0</v>
          </cell>
          <cell r="T443">
            <v>0</v>
          </cell>
          <cell r="U443">
            <v>0</v>
          </cell>
        </row>
        <row r="444">
          <cell r="A444" t="str">
            <v>APR 2016</v>
          </cell>
          <cell r="B444" t="str">
            <v>KUCIE571</v>
          </cell>
          <cell r="D444" t="str">
            <v>TODP</v>
          </cell>
          <cell r="E444">
            <v>95454012</v>
          </cell>
          <cell r="F444">
            <v>62400</v>
          </cell>
          <cell r="L444">
            <v>125112</v>
          </cell>
          <cell r="M444">
            <v>369926</v>
          </cell>
          <cell r="P444">
            <v>0</v>
          </cell>
          <cell r="R444">
            <v>7187901</v>
          </cell>
          <cell r="S444">
            <v>3593844</v>
          </cell>
          <cell r="T444">
            <v>2320378</v>
          </cell>
          <cell r="U444">
            <v>716242</v>
          </cell>
        </row>
        <row r="445">
          <cell r="A445" t="str">
            <v>APR 2016</v>
          </cell>
          <cell r="B445" t="str">
            <v>KUCIE572</v>
          </cell>
          <cell r="D445" t="str">
            <v>TODS</v>
          </cell>
          <cell r="E445">
            <v>117607497</v>
          </cell>
          <cell r="F445">
            <v>94000</v>
          </cell>
          <cell r="L445">
            <v>154149</v>
          </cell>
          <cell r="M445">
            <v>455780</v>
          </cell>
          <cell r="P445">
            <v>0</v>
          </cell>
          <cell r="R445">
            <v>9222692</v>
          </cell>
          <cell r="S445">
            <v>4437331</v>
          </cell>
          <cell r="T445">
            <v>3198961</v>
          </cell>
          <cell r="U445">
            <v>882471</v>
          </cell>
        </row>
        <row r="446">
          <cell r="A446" t="str">
            <v>APR 2016</v>
          </cell>
          <cell r="B446" t="str">
            <v>KUCIE717</v>
          </cell>
          <cell r="D446" t="str">
            <v>PSS</v>
          </cell>
          <cell r="E446">
            <v>0</v>
          </cell>
          <cell r="F446">
            <v>0</v>
          </cell>
          <cell r="L446">
            <v>0</v>
          </cell>
          <cell r="M446">
            <v>0</v>
          </cell>
          <cell r="P446">
            <v>0</v>
          </cell>
          <cell r="R446">
            <v>0</v>
          </cell>
          <cell r="S446">
            <v>0</v>
          </cell>
          <cell r="T446">
            <v>0</v>
          </cell>
          <cell r="U446">
            <v>0</v>
          </cell>
        </row>
        <row r="447">
          <cell r="A447" t="str">
            <v>APR 2016</v>
          </cell>
          <cell r="B447" t="str">
            <v>KUCME000</v>
          </cell>
          <cell r="D447" t="str">
            <v>TS</v>
          </cell>
          <cell r="E447">
            <v>0</v>
          </cell>
          <cell r="F447">
            <v>0</v>
          </cell>
          <cell r="L447">
            <v>0</v>
          </cell>
          <cell r="M447">
            <v>0</v>
          </cell>
          <cell r="P447">
            <v>0</v>
          </cell>
          <cell r="R447">
            <v>0</v>
          </cell>
          <cell r="S447">
            <v>0</v>
          </cell>
          <cell r="T447">
            <v>0</v>
          </cell>
          <cell r="U447">
            <v>0</v>
          </cell>
        </row>
        <row r="448">
          <cell r="A448" t="str">
            <v>APR 2016</v>
          </cell>
          <cell r="B448" t="str">
            <v>KUCME110</v>
          </cell>
          <cell r="D448" t="str">
            <v>GS</v>
          </cell>
          <cell r="E448">
            <v>53952631</v>
          </cell>
          <cell r="F448">
            <v>1271207</v>
          </cell>
          <cell r="L448">
            <v>70716</v>
          </cell>
          <cell r="M448">
            <v>209090</v>
          </cell>
          <cell r="P448">
            <v>0</v>
          </cell>
          <cell r="R448">
            <v>6932978</v>
          </cell>
          <cell r="S448">
            <v>4977130</v>
          </cell>
          <cell r="T448">
            <v>0</v>
          </cell>
          <cell r="U448">
            <v>404835</v>
          </cell>
        </row>
        <row r="449">
          <cell r="A449" t="str">
            <v>APR 2016</v>
          </cell>
          <cell r="B449" t="str">
            <v>KUCME112</v>
          </cell>
          <cell r="D449" t="str">
            <v>GS</v>
          </cell>
          <cell r="E449">
            <v>0</v>
          </cell>
          <cell r="F449">
            <v>0</v>
          </cell>
          <cell r="L449">
            <v>0</v>
          </cell>
          <cell r="M449">
            <v>0</v>
          </cell>
          <cell r="P449">
            <v>0</v>
          </cell>
          <cell r="R449">
            <v>0</v>
          </cell>
          <cell r="S449">
            <v>0</v>
          </cell>
          <cell r="T449">
            <v>0</v>
          </cell>
          <cell r="U449">
            <v>0</v>
          </cell>
        </row>
        <row r="450">
          <cell r="A450" t="str">
            <v>APR 2016</v>
          </cell>
          <cell r="B450" t="str">
            <v>KUCME113</v>
          </cell>
          <cell r="D450" t="str">
            <v>GS3</v>
          </cell>
          <cell r="E450">
            <v>78553027</v>
          </cell>
          <cell r="F450">
            <v>650288</v>
          </cell>
          <cell r="L450">
            <v>102960</v>
          </cell>
          <cell r="M450">
            <v>304427</v>
          </cell>
          <cell r="P450">
            <v>0</v>
          </cell>
          <cell r="R450">
            <v>8893616</v>
          </cell>
          <cell r="S450">
            <v>7246517</v>
          </cell>
          <cell r="T450">
            <v>0</v>
          </cell>
          <cell r="U450">
            <v>589425</v>
          </cell>
        </row>
        <row r="451">
          <cell r="A451" t="str">
            <v>APR 2016</v>
          </cell>
          <cell r="B451" t="str">
            <v>KUCME220</v>
          </cell>
          <cell r="D451" t="str">
            <v>AES</v>
          </cell>
          <cell r="E451">
            <v>567977</v>
          </cell>
          <cell r="F451">
            <v>7180</v>
          </cell>
          <cell r="L451">
            <v>744</v>
          </cell>
          <cell r="M451">
            <v>2201</v>
          </cell>
          <cell r="P451">
            <v>0</v>
          </cell>
          <cell r="R451">
            <v>56645</v>
          </cell>
          <cell r="S451">
            <v>42257</v>
          </cell>
          <cell r="T451">
            <v>0</v>
          </cell>
          <cell r="U451">
            <v>4262</v>
          </cell>
        </row>
        <row r="452">
          <cell r="A452" t="str">
            <v>APR 2016</v>
          </cell>
          <cell r="B452" t="str">
            <v>KUCME221</v>
          </cell>
          <cell r="D452" t="str">
            <v>AESP</v>
          </cell>
          <cell r="E452">
            <v>0</v>
          </cell>
          <cell r="F452">
            <v>0</v>
          </cell>
          <cell r="L452">
            <v>0</v>
          </cell>
          <cell r="M452">
            <v>0</v>
          </cell>
          <cell r="P452">
            <v>0</v>
          </cell>
          <cell r="R452">
            <v>0</v>
          </cell>
          <cell r="S452">
            <v>0</v>
          </cell>
          <cell r="T452">
            <v>0</v>
          </cell>
          <cell r="U452">
            <v>0</v>
          </cell>
        </row>
        <row r="453">
          <cell r="A453" t="str">
            <v>APR 2016</v>
          </cell>
          <cell r="B453" t="str">
            <v>KUCME223</v>
          </cell>
          <cell r="D453" t="str">
            <v>AES3</v>
          </cell>
          <cell r="E453">
            <v>0</v>
          </cell>
          <cell r="F453">
            <v>0</v>
          </cell>
          <cell r="L453">
            <v>0</v>
          </cell>
          <cell r="M453">
            <v>0</v>
          </cell>
          <cell r="P453">
            <v>0</v>
          </cell>
          <cell r="R453">
            <v>0</v>
          </cell>
          <cell r="S453">
            <v>0</v>
          </cell>
          <cell r="T453">
            <v>0</v>
          </cell>
          <cell r="U453">
            <v>0</v>
          </cell>
        </row>
        <row r="454">
          <cell r="A454" t="str">
            <v>APR 2016</v>
          </cell>
          <cell r="B454" t="str">
            <v>KUCME224</v>
          </cell>
          <cell r="D454" t="str">
            <v>AES3P</v>
          </cell>
          <cell r="E454">
            <v>10527179</v>
          </cell>
          <cell r="F454">
            <v>8715</v>
          </cell>
          <cell r="L454">
            <v>13798</v>
          </cell>
          <cell r="M454">
            <v>40797</v>
          </cell>
          <cell r="P454">
            <v>0</v>
          </cell>
          <cell r="R454">
            <v>925524</v>
          </cell>
          <cell r="S454">
            <v>783223</v>
          </cell>
          <cell r="T454">
            <v>0</v>
          </cell>
          <cell r="U454">
            <v>78991</v>
          </cell>
        </row>
        <row r="455">
          <cell r="A455" t="str">
            <v>APR 2016</v>
          </cell>
          <cell r="B455" t="str">
            <v>KUCME225</v>
          </cell>
          <cell r="D455" t="str">
            <v>AES3PSS</v>
          </cell>
          <cell r="E455">
            <v>0</v>
          </cell>
          <cell r="F455">
            <v>0</v>
          </cell>
          <cell r="L455">
            <v>0</v>
          </cell>
          <cell r="M455">
            <v>0</v>
          </cell>
          <cell r="P455">
            <v>0</v>
          </cell>
          <cell r="R455">
            <v>0</v>
          </cell>
          <cell r="S455">
            <v>0</v>
          </cell>
          <cell r="T455">
            <v>0</v>
          </cell>
          <cell r="U455">
            <v>0</v>
          </cell>
        </row>
        <row r="456">
          <cell r="A456" t="str">
            <v>APR 2016</v>
          </cell>
          <cell r="B456" t="str">
            <v>KUCME226</v>
          </cell>
          <cell r="D456" t="str">
            <v>AESPSS</v>
          </cell>
          <cell r="E456">
            <v>0</v>
          </cell>
          <cell r="F456">
            <v>0</v>
          </cell>
          <cell r="L456">
            <v>0</v>
          </cell>
          <cell r="M456">
            <v>0</v>
          </cell>
          <cell r="P456">
            <v>0</v>
          </cell>
          <cell r="R456">
            <v>0</v>
          </cell>
          <cell r="S456">
            <v>0</v>
          </cell>
          <cell r="T456">
            <v>0</v>
          </cell>
          <cell r="U456">
            <v>0</v>
          </cell>
        </row>
        <row r="457">
          <cell r="A457" t="str">
            <v>APR 2016</v>
          </cell>
          <cell r="B457" t="str">
            <v>KUCME227</v>
          </cell>
          <cell r="D457" t="str">
            <v>AESTODS</v>
          </cell>
          <cell r="E457">
            <v>0</v>
          </cell>
          <cell r="F457">
            <v>0</v>
          </cell>
          <cell r="L457">
            <v>0</v>
          </cell>
          <cell r="M457">
            <v>0</v>
          </cell>
          <cell r="P457">
            <v>0</v>
          </cell>
          <cell r="R457">
            <v>0</v>
          </cell>
          <cell r="S457">
            <v>0</v>
          </cell>
          <cell r="T457">
            <v>0</v>
          </cell>
          <cell r="U457">
            <v>0</v>
          </cell>
        </row>
        <row r="458">
          <cell r="A458" t="str">
            <v>APR 2016</v>
          </cell>
          <cell r="B458" t="str">
            <v>KUCME290</v>
          </cell>
          <cell r="D458" t="str">
            <v>LE</v>
          </cell>
          <cell r="E458">
            <v>0</v>
          </cell>
          <cell r="F458">
            <v>0</v>
          </cell>
          <cell r="L458">
            <v>0</v>
          </cell>
          <cell r="M458">
            <v>0</v>
          </cell>
          <cell r="P458">
            <v>0</v>
          </cell>
          <cell r="R458">
            <v>0</v>
          </cell>
          <cell r="S458">
            <v>0</v>
          </cell>
          <cell r="T458">
            <v>0</v>
          </cell>
          <cell r="U458">
            <v>0</v>
          </cell>
        </row>
        <row r="459">
          <cell r="A459" t="str">
            <v>APR 2016</v>
          </cell>
          <cell r="B459" t="str">
            <v>KUCME291</v>
          </cell>
          <cell r="D459" t="str">
            <v>LE</v>
          </cell>
          <cell r="E459">
            <v>0</v>
          </cell>
          <cell r="F459">
            <v>0</v>
          </cell>
          <cell r="L459">
            <v>0</v>
          </cell>
          <cell r="M459">
            <v>0</v>
          </cell>
          <cell r="P459">
            <v>0</v>
          </cell>
          <cell r="R459">
            <v>0</v>
          </cell>
          <cell r="S459">
            <v>0</v>
          </cell>
          <cell r="T459">
            <v>0</v>
          </cell>
          <cell r="U459">
            <v>0</v>
          </cell>
        </row>
        <row r="460">
          <cell r="A460" t="str">
            <v>APR 2016</v>
          </cell>
          <cell r="B460" t="str">
            <v>KUCME295</v>
          </cell>
          <cell r="D460" t="str">
            <v>TE</v>
          </cell>
          <cell r="E460">
            <v>0</v>
          </cell>
          <cell r="F460">
            <v>0</v>
          </cell>
          <cell r="L460">
            <v>0</v>
          </cell>
          <cell r="M460">
            <v>0</v>
          </cell>
          <cell r="P460">
            <v>0</v>
          </cell>
          <cell r="R460">
            <v>0</v>
          </cell>
          <cell r="S460">
            <v>0</v>
          </cell>
          <cell r="T460">
            <v>0</v>
          </cell>
          <cell r="U460">
            <v>0</v>
          </cell>
        </row>
        <row r="461">
          <cell r="A461" t="str">
            <v>APR 2016</v>
          </cell>
          <cell r="B461" t="str">
            <v>KUCME297</v>
          </cell>
          <cell r="D461" t="str">
            <v>TE</v>
          </cell>
          <cell r="E461">
            <v>0</v>
          </cell>
          <cell r="F461">
            <v>0</v>
          </cell>
          <cell r="L461">
            <v>0</v>
          </cell>
          <cell r="M461">
            <v>0</v>
          </cell>
          <cell r="P461">
            <v>0</v>
          </cell>
          <cell r="R461">
            <v>0</v>
          </cell>
          <cell r="S461">
            <v>0</v>
          </cell>
          <cell r="T461">
            <v>0</v>
          </cell>
          <cell r="U461">
            <v>0</v>
          </cell>
        </row>
        <row r="462">
          <cell r="A462" t="str">
            <v>APR 2016</v>
          </cell>
          <cell r="B462" t="str">
            <v>KUCME705</v>
          </cell>
          <cell r="D462" t="str">
            <v>SQF</v>
          </cell>
          <cell r="E462">
            <v>0</v>
          </cell>
          <cell r="F462">
            <v>0</v>
          </cell>
          <cell r="L462">
            <v>0</v>
          </cell>
          <cell r="M462">
            <v>0</v>
          </cell>
          <cell r="P462">
            <v>0</v>
          </cell>
          <cell r="R462">
            <v>0</v>
          </cell>
          <cell r="S462">
            <v>0</v>
          </cell>
          <cell r="T462">
            <v>0</v>
          </cell>
          <cell r="U462">
            <v>0</v>
          </cell>
        </row>
        <row r="463">
          <cell r="A463" t="str">
            <v>APR 2016</v>
          </cell>
          <cell r="B463" t="str">
            <v>KUCME707</v>
          </cell>
          <cell r="D463" t="str">
            <v>LQF</v>
          </cell>
          <cell r="E463">
            <v>0</v>
          </cell>
          <cell r="F463">
            <v>0</v>
          </cell>
          <cell r="L463">
            <v>0</v>
          </cell>
          <cell r="M463">
            <v>0</v>
          </cell>
          <cell r="P463">
            <v>0</v>
          </cell>
          <cell r="R463">
            <v>0</v>
          </cell>
          <cell r="S463">
            <v>0</v>
          </cell>
          <cell r="T463">
            <v>0</v>
          </cell>
          <cell r="U463">
            <v>0</v>
          </cell>
        </row>
        <row r="464">
          <cell r="A464" t="str">
            <v>APR 2016</v>
          </cell>
          <cell r="B464" t="str">
            <v>KUCME710</v>
          </cell>
          <cell r="D464" t="str">
            <v>GS</v>
          </cell>
          <cell r="E464">
            <v>0</v>
          </cell>
          <cell r="F464">
            <v>0</v>
          </cell>
          <cell r="L464">
            <v>0</v>
          </cell>
          <cell r="M464">
            <v>0</v>
          </cell>
          <cell r="P464">
            <v>0</v>
          </cell>
          <cell r="R464">
            <v>0</v>
          </cell>
          <cell r="S464">
            <v>0</v>
          </cell>
          <cell r="T464">
            <v>0</v>
          </cell>
          <cell r="U464">
            <v>0</v>
          </cell>
        </row>
        <row r="465">
          <cell r="A465" t="str">
            <v>APR 2016</v>
          </cell>
          <cell r="B465" t="str">
            <v>KUCME713</v>
          </cell>
          <cell r="D465" t="str">
            <v>GS3</v>
          </cell>
          <cell r="E465">
            <v>0</v>
          </cell>
          <cell r="F465">
            <v>0</v>
          </cell>
          <cell r="L465">
            <v>0</v>
          </cell>
          <cell r="M465">
            <v>0</v>
          </cell>
          <cell r="P465">
            <v>0</v>
          </cell>
          <cell r="R465">
            <v>0</v>
          </cell>
          <cell r="S465">
            <v>0</v>
          </cell>
          <cell r="T465">
            <v>0</v>
          </cell>
          <cell r="U465">
            <v>0</v>
          </cell>
        </row>
        <row r="466">
          <cell r="A466" t="str">
            <v>APR 2016</v>
          </cell>
          <cell r="B466" t="str">
            <v>KUCME841</v>
          </cell>
          <cell r="D466" t="str">
            <v>LRI</v>
          </cell>
          <cell r="E466">
            <v>0</v>
          </cell>
          <cell r="F466">
            <v>0</v>
          </cell>
          <cell r="L466">
            <v>0</v>
          </cell>
          <cell r="M466">
            <v>0</v>
          </cell>
          <cell r="P466">
            <v>0</v>
          </cell>
          <cell r="R466">
            <v>0</v>
          </cell>
          <cell r="S466">
            <v>0</v>
          </cell>
          <cell r="T466">
            <v>0</v>
          </cell>
          <cell r="U466">
            <v>0</v>
          </cell>
        </row>
        <row r="467">
          <cell r="A467" t="str">
            <v>APR 2016</v>
          </cell>
          <cell r="B467" t="str">
            <v>KUCSR760</v>
          </cell>
          <cell r="D467" t="str">
            <v>CSR</v>
          </cell>
          <cell r="E467">
            <v>0</v>
          </cell>
          <cell r="F467">
            <v>0</v>
          </cell>
          <cell r="L467">
            <v>0</v>
          </cell>
          <cell r="M467">
            <v>0</v>
          </cell>
          <cell r="P467">
            <v>-989829</v>
          </cell>
          <cell r="R467">
            <v>-989829</v>
          </cell>
          <cell r="S467">
            <v>0</v>
          </cell>
          <cell r="T467">
            <v>0</v>
          </cell>
          <cell r="U467">
            <v>0</v>
          </cell>
        </row>
        <row r="468">
          <cell r="A468" t="str">
            <v>APR 2016</v>
          </cell>
          <cell r="B468" t="str">
            <v>KUCSR761</v>
          </cell>
          <cell r="D468" t="str">
            <v>CSR</v>
          </cell>
          <cell r="E468">
            <v>0</v>
          </cell>
          <cell r="F468">
            <v>0</v>
          </cell>
          <cell r="L468">
            <v>0</v>
          </cell>
          <cell r="M468">
            <v>0</v>
          </cell>
          <cell r="P468">
            <v>0</v>
          </cell>
          <cell r="R468">
            <v>0</v>
          </cell>
          <cell r="S468">
            <v>0</v>
          </cell>
          <cell r="T468">
            <v>0</v>
          </cell>
          <cell r="U468">
            <v>0</v>
          </cell>
        </row>
        <row r="469">
          <cell r="A469" t="str">
            <v>APR 2016</v>
          </cell>
          <cell r="B469" t="str">
            <v>KUCSR781</v>
          </cell>
          <cell r="D469" t="str">
            <v>CSR</v>
          </cell>
          <cell r="E469">
            <v>0</v>
          </cell>
          <cell r="F469">
            <v>0</v>
          </cell>
          <cell r="L469">
            <v>0</v>
          </cell>
          <cell r="M469">
            <v>0</v>
          </cell>
          <cell r="P469">
            <v>0</v>
          </cell>
          <cell r="R469">
            <v>0</v>
          </cell>
          <cell r="S469">
            <v>0</v>
          </cell>
          <cell r="T469">
            <v>0</v>
          </cell>
          <cell r="U469">
            <v>0</v>
          </cell>
        </row>
        <row r="470">
          <cell r="A470" t="str">
            <v>APR 2016</v>
          </cell>
          <cell r="B470" t="str">
            <v>KUCSR783</v>
          </cell>
          <cell r="D470" t="str">
            <v>CSR</v>
          </cell>
          <cell r="E470">
            <v>0</v>
          </cell>
          <cell r="F470">
            <v>0</v>
          </cell>
          <cell r="L470">
            <v>0</v>
          </cell>
          <cell r="M470">
            <v>0</v>
          </cell>
          <cell r="P470">
            <v>0</v>
          </cell>
          <cell r="R470">
            <v>0</v>
          </cell>
          <cell r="S470">
            <v>0</v>
          </cell>
          <cell r="T470">
            <v>0</v>
          </cell>
          <cell r="U470">
            <v>0</v>
          </cell>
        </row>
        <row r="471">
          <cell r="A471" t="str">
            <v>APR 2016</v>
          </cell>
          <cell r="B471" t="str">
            <v>KUCUE851</v>
          </cell>
          <cell r="D471" t="str">
            <v>CU</v>
          </cell>
          <cell r="E471">
            <v>0</v>
          </cell>
          <cell r="F471">
            <v>0</v>
          </cell>
          <cell r="L471">
            <v>0</v>
          </cell>
          <cell r="M471">
            <v>0</v>
          </cell>
          <cell r="P471">
            <v>0</v>
          </cell>
          <cell r="R471">
            <v>0</v>
          </cell>
          <cell r="S471">
            <v>0</v>
          </cell>
          <cell r="T471">
            <v>0</v>
          </cell>
          <cell r="U471">
            <v>0</v>
          </cell>
        </row>
        <row r="472">
          <cell r="A472" t="str">
            <v>APR 2016</v>
          </cell>
          <cell r="B472" t="str">
            <v>KUCUE852</v>
          </cell>
          <cell r="D472" t="str">
            <v>CU</v>
          </cell>
          <cell r="E472">
            <v>0</v>
          </cell>
          <cell r="F472">
            <v>0</v>
          </cell>
          <cell r="L472">
            <v>0</v>
          </cell>
          <cell r="M472">
            <v>0</v>
          </cell>
          <cell r="P472">
            <v>0</v>
          </cell>
          <cell r="R472">
            <v>0</v>
          </cell>
          <cell r="S472">
            <v>0</v>
          </cell>
          <cell r="T472">
            <v>0</v>
          </cell>
          <cell r="U472">
            <v>0</v>
          </cell>
        </row>
        <row r="473">
          <cell r="A473" t="str">
            <v>APR 2016</v>
          </cell>
          <cell r="B473" t="str">
            <v>KUINE730</v>
          </cell>
          <cell r="D473" t="str">
            <v>FLS</v>
          </cell>
          <cell r="E473">
            <v>47968041</v>
          </cell>
          <cell r="F473">
            <v>750</v>
          </cell>
          <cell r="L473">
            <v>0</v>
          </cell>
          <cell r="M473">
            <v>185897</v>
          </cell>
          <cell r="P473">
            <v>0</v>
          </cell>
          <cell r="R473">
            <v>2831013</v>
          </cell>
          <cell r="S473">
            <v>1564238</v>
          </cell>
          <cell r="T473">
            <v>720199</v>
          </cell>
          <cell r="U473">
            <v>359930</v>
          </cell>
        </row>
        <row r="474">
          <cell r="A474" t="str">
            <v>APR 2016</v>
          </cell>
          <cell r="B474" t="str">
            <v>KUMNE902</v>
          </cell>
          <cell r="D474" t="str">
            <v>WPS</v>
          </cell>
          <cell r="E474">
            <v>0</v>
          </cell>
          <cell r="F474">
            <v>0</v>
          </cell>
          <cell r="L474">
            <v>0</v>
          </cell>
          <cell r="M474">
            <v>0</v>
          </cell>
          <cell r="P474">
            <v>0</v>
          </cell>
          <cell r="R474">
            <v>0</v>
          </cell>
          <cell r="S474">
            <v>0</v>
          </cell>
          <cell r="T474">
            <v>0</v>
          </cell>
          <cell r="U474">
            <v>0</v>
          </cell>
        </row>
        <row r="475">
          <cell r="A475" t="str">
            <v>APR 2016</v>
          </cell>
          <cell r="B475" t="str">
            <v>KUMNE903</v>
          </cell>
          <cell r="D475" t="str">
            <v>WPS</v>
          </cell>
          <cell r="E475">
            <v>0</v>
          </cell>
          <cell r="F475">
            <v>0</v>
          </cell>
          <cell r="L475">
            <v>0</v>
          </cell>
          <cell r="M475">
            <v>0</v>
          </cell>
          <cell r="P475">
            <v>0</v>
          </cell>
          <cell r="R475">
            <v>0</v>
          </cell>
          <cell r="S475">
            <v>0</v>
          </cell>
          <cell r="T475">
            <v>0</v>
          </cell>
          <cell r="U475">
            <v>0</v>
          </cell>
        </row>
        <row r="476">
          <cell r="A476" t="str">
            <v>APR 2016</v>
          </cell>
          <cell r="B476" t="str">
            <v>KUMNE934</v>
          </cell>
          <cell r="D476" t="str">
            <v>WPS</v>
          </cell>
          <cell r="E476">
            <v>0</v>
          </cell>
          <cell r="F476">
            <v>0</v>
          </cell>
          <cell r="L476">
            <v>0</v>
          </cell>
          <cell r="M476">
            <v>0</v>
          </cell>
          <cell r="P476">
            <v>0</v>
          </cell>
          <cell r="R476">
            <v>0</v>
          </cell>
          <cell r="S476">
            <v>0</v>
          </cell>
          <cell r="T476">
            <v>0</v>
          </cell>
          <cell r="U476">
            <v>0</v>
          </cell>
        </row>
        <row r="477">
          <cell r="A477" t="str">
            <v>APR 2016</v>
          </cell>
          <cell r="B477" t="str">
            <v>KURSE000</v>
          </cell>
          <cell r="D477" t="str">
            <v>TS</v>
          </cell>
          <cell r="E477">
            <v>0</v>
          </cell>
          <cell r="F477">
            <v>0</v>
          </cell>
          <cell r="L477">
            <v>0</v>
          </cell>
          <cell r="M477">
            <v>0</v>
          </cell>
          <cell r="P477">
            <v>0</v>
          </cell>
          <cell r="R477">
            <v>0</v>
          </cell>
          <cell r="S477">
            <v>0</v>
          </cell>
          <cell r="T477">
            <v>0</v>
          </cell>
          <cell r="U477">
            <v>0</v>
          </cell>
        </row>
        <row r="478">
          <cell r="A478" t="str">
            <v>APR 2016</v>
          </cell>
          <cell r="B478" t="str">
            <v>KURSE010</v>
          </cell>
          <cell r="D478" t="str">
            <v>RS</v>
          </cell>
          <cell r="E478">
            <v>411416354</v>
          </cell>
          <cell r="F478">
            <v>4635248</v>
          </cell>
          <cell r="L478">
            <v>539245</v>
          </cell>
          <cell r="M478">
            <v>1594417</v>
          </cell>
          <cell r="P478">
            <v>0</v>
          </cell>
          <cell r="R478">
            <v>41716067</v>
          </cell>
          <cell r="S478">
            <v>31860083</v>
          </cell>
          <cell r="T478">
            <v>0</v>
          </cell>
          <cell r="U478">
            <v>3087074</v>
          </cell>
        </row>
        <row r="479">
          <cell r="A479" t="str">
            <v>APR 2016</v>
          </cell>
          <cell r="B479" t="str">
            <v>KURSE020</v>
          </cell>
          <cell r="D479" t="str">
            <v>RS</v>
          </cell>
          <cell r="E479">
            <v>0</v>
          </cell>
          <cell r="F479">
            <v>0</v>
          </cell>
          <cell r="L479">
            <v>0</v>
          </cell>
          <cell r="M479">
            <v>0</v>
          </cell>
          <cell r="P479">
            <v>0</v>
          </cell>
          <cell r="R479">
            <v>0</v>
          </cell>
          <cell r="S479">
            <v>0</v>
          </cell>
          <cell r="T479">
            <v>0</v>
          </cell>
          <cell r="U479">
            <v>0</v>
          </cell>
        </row>
        <row r="480">
          <cell r="A480" t="str">
            <v>APR 2016</v>
          </cell>
          <cell r="B480" t="str">
            <v>KURSE025</v>
          </cell>
          <cell r="D480" t="str">
            <v>RS3</v>
          </cell>
          <cell r="E480">
            <v>0</v>
          </cell>
          <cell r="F480">
            <v>0</v>
          </cell>
          <cell r="L480">
            <v>0</v>
          </cell>
          <cell r="M480">
            <v>0</v>
          </cell>
          <cell r="P480">
            <v>0</v>
          </cell>
          <cell r="R480">
            <v>0</v>
          </cell>
          <cell r="S480">
            <v>0</v>
          </cell>
          <cell r="T480">
            <v>0</v>
          </cell>
          <cell r="U480">
            <v>0</v>
          </cell>
        </row>
        <row r="481">
          <cell r="A481" t="str">
            <v>APR 2016</v>
          </cell>
          <cell r="B481" t="str">
            <v>KURSE040</v>
          </cell>
          <cell r="D481" t="str">
            <v>RSLEV</v>
          </cell>
          <cell r="E481">
            <v>0</v>
          </cell>
          <cell r="F481">
            <v>0</v>
          </cell>
          <cell r="L481">
            <v>0</v>
          </cell>
          <cell r="M481">
            <v>0</v>
          </cell>
          <cell r="P481">
            <v>0</v>
          </cell>
          <cell r="R481">
            <v>0</v>
          </cell>
          <cell r="S481">
            <v>0</v>
          </cell>
          <cell r="T481">
            <v>0</v>
          </cell>
          <cell r="U481">
            <v>0</v>
          </cell>
        </row>
        <row r="482">
          <cell r="A482" t="str">
            <v>APR 2016</v>
          </cell>
          <cell r="B482" t="str">
            <v>KURSE080</v>
          </cell>
          <cell r="D482" t="str">
            <v>RSVFD</v>
          </cell>
          <cell r="E482">
            <v>0</v>
          </cell>
          <cell r="F482">
            <v>0</v>
          </cell>
          <cell r="L482">
            <v>0</v>
          </cell>
          <cell r="M482">
            <v>0</v>
          </cell>
          <cell r="P482">
            <v>0</v>
          </cell>
          <cell r="R482">
            <v>0</v>
          </cell>
          <cell r="S482">
            <v>0</v>
          </cell>
          <cell r="T482">
            <v>0</v>
          </cell>
          <cell r="U482">
            <v>0</v>
          </cell>
        </row>
        <row r="483">
          <cell r="A483" t="str">
            <v>APR 2016</v>
          </cell>
          <cell r="B483" t="str">
            <v>KURSE715</v>
          </cell>
          <cell r="D483" t="str">
            <v>RS</v>
          </cell>
          <cell r="E483">
            <v>0</v>
          </cell>
          <cell r="F483">
            <v>0</v>
          </cell>
          <cell r="L483">
            <v>0</v>
          </cell>
          <cell r="M483">
            <v>0</v>
          </cell>
          <cell r="P483">
            <v>0</v>
          </cell>
          <cell r="R483">
            <v>0</v>
          </cell>
          <cell r="S483">
            <v>0</v>
          </cell>
          <cell r="T483">
            <v>0</v>
          </cell>
          <cell r="U483">
            <v>0</v>
          </cell>
        </row>
        <row r="484">
          <cell r="A484" t="str">
            <v>APR 2016</v>
          </cell>
          <cell r="B484" t="str">
            <v>ODL</v>
          </cell>
          <cell r="E484">
            <v>8978325</v>
          </cell>
          <cell r="F484">
            <v>0</v>
          </cell>
          <cell r="L484">
            <v>0</v>
          </cell>
          <cell r="M484">
            <v>34795</v>
          </cell>
          <cell r="P484">
            <v>0</v>
          </cell>
          <cell r="R484">
            <v>2233783</v>
          </cell>
          <cell r="S484">
            <v>2131618</v>
          </cell>
          <cell r="T484">
            <v>0</v>
          </cell>
          <cell r="U484">
            <v>67369</v>
          </cell>
        </row>
        <row r="485">
          <cell r="A485" t="str">
            <v>APR 2016</v>
          </cell>
          <cell r="B485" t="str">
            <v>KUUM_360</v>
          </cell>
          <cell r="D485" t="str">
            <v>LS</v>
          </cell>
          <cell r="S485">
            <v>0</v>
          </cell>
          <cell r="T485">
            <v>0</v>
          </cell>
          <cell r="U485">
            <v>0</v>
          </cell>
        </row>
        <row r="486">
          <cell r="A486" t="str">
            <v>APR 2016</v>
          </cell>
          <cell r="B486" t="str">
            <v>KUUM_361</v>
          </cell>
          <cell r="D486" t="str">
            <v>LS</v>
          </cell>
          <cell r="S486">
            <v>0</v>
          </cell>
          <cell r="T486">
            <v>0</v>
          </cell>
          <cell r="U486">
            <v>0</v>
          </cell>
        </row>
        <row r="487">
          <cell r="A487" t="str">
            <v>APR 2016</v>
          </cell>
          <cell r="B487" t="str">
            <v>KUUM_362</v>
          </cell>
          <cell r="D487" t="str">
            <v>LS</v>
          </cell>
          <cell r="S487">
            <v>0</v>
          </cell>
          <cell r="T487">
            <v>0</v>
          </cell>
          <cell r="U487">
            <v>0</v>
          </cell>
        </row>
        <row r="488">
          <cell r="A488" t="str">
            <v>APR 2016</v>
          </cell>
          <cell r="B488" t="str">
            <v>KUUM_363</v>
          </cell>
          <cell r="D488" t="str">
            <v>LS</v>
          </cell>
          <cell r="S488">
            <v>0</v>
          </cell>
          <cell r="T488">
            <v>0</v>
          </cell>
          <cell r="U488">
            <v>0</v>
          </cell>
        </row>
        <row r="489">
          <cell r="A489" t="str">
            <v>APR 2016</v>
          </cell>
          <cell r="B489" t="str">
            <v>KUUM_364</v>
          </cell>
          <cell r="D489" t="str">
            <v>LS</v>
          </cell>
          <cell r="S489">
            <v>0</v>
          </cell>
          <cell r="T489">
            <v>0</v>
          </cell>
          <cell r="U489">
            <v>0</v>
          </cell>
        </row>
        <row r="490">
          <cell r="A490" t="str">
            <v>APR 2016</v>
          </cell>
          <cell r="B490" t="str">
            <v>KUUM_365</v>
          </cell>
          <cell r="D490" t="str">
            <v>LS</v>
          </cell>
          <cell r="S490">
            <v>0</v>
          </cell>
          <cell r="T490">
            <v>0</v>
          </cell>
          <cell r="U490">
            <v>0</v>
          </cell>
        </row>
        <row r="491">
          <cell r="A491" t="str">
            <v>APR 2016</v>
          </cell>
          <cell r="B491" t="str">
            <v>KUUM_366</v>
          </cell>
          <cell r="D491" t="str">
            <v>LS</v>
          </cell>
          <cell r="S491">
            <v>0</v>
          </cell>
          <cell r="T491">
            <v>0</v>
          </cell>
          <cell r="U491">
            <v>0</v>
          </cell>
        </row>
        <row r="492">
          <cell r="A492" t="str">
            <v>APR 2016</v>
          </cell>
          <cell r="B492" t="str">
            <v>KUUM_367</v>
          </cell>
          <cell r="D492" t="str">
            <v>LS</v>
          </cell>
          <cell r="S492">
            <v>0</v>
          </cell>
          <cell r="T492">
            <v>0</v>
          </cell>
          <cell r="U492">
            <v>0</v>
          </cell>
        </row>
        <row r="493">
          <cell r="A493" t="str">
            <v>APR 2016</v>
          </cell>
          <cell r="B493" t="str">
            <v>KUUM_368</v>
          </cell>
          <cell r="D493" t="str">
            <v>LS</v>
          </cell>
          <cell r="S493">
            <v>0</v>
          </cell>
          <cell r="T493">
            <v>0</v>
          </cell>
          <cell r="U493">
            <v>0</v>
          </cell>
        </row>
        <row r="494">
          <cell r="A494" t="str">
            <v>APR 2016</v>
          </cell>
          <cell r="B494" t="str">
            <v>KUUM_370</v>
          </cell>
          <cell r="D494" t="str">
            <v>LS</v>
          </cell>
          <cell r="S494">
            <v>0</v>
          </cell>
          <cell r="T494">
            <v>0</v>
          </cell>
          <cell r="U494">
            <v>0</v>
          </cell>
        </row>
        <row r="495">
          <cell r="A495" t="str">
            <v>APR 2016</v>
          </cell>
          <cell r="B495" t="str">
            <v>KUUM_372</v>
          </cell>
          <cell r="D495" t="str">
            <v>LS</v>
          </cell>
          <cell r="S495">
            <v>0</v>
          </cell>
          <cell r="T495">
            <v>0</v>
          </cell>
          <cell r="U495">
            <v>0</v>
          </cell>
        </row>
        <row r="496">
          <cell r="A496" t="str">
            <v>APR 2016</v>
          </cell>
          <cell r="B496" t="str">
            <v>KUUM_373</v>
          </cell>
          <cell r="D496" t="str">
            <v>LS</v>
          </cell>
          <cell r="S496">
            <v>0</v>
          </cell>
          <cell r="T496">
            <v>0</v>
          </cell>
          <cell r="U496">
            <v>0</v>
          </cell>
        </row>
        <row r="497">
          <cell r="A497" t="str">
            <v>APR 2016</v>
          </cell>
          <cell r="B497" t="str">
            <v>KUUM_374</v>
          </cell>
          <cell r="D497" t="str">
            <v>LS</v>
          </cell>
          <cell r="S497">
            <v>0</v>
          </cell>
          <cell r="T497">
            <v>0</v>
          </cell>
          <cell r="U497">
            <v>0</v>
          </cell>
        </row>
        <row r="498">
          <cell r="A498" t="str">
            <v>APR 2016</v>
          </cell>
          <cell r="B498" t="str">
            <v>KUUM_375</v>
          </cell>
          <cell r="D498" t="str">
            <v>LS</v>
          </cell>
          <cell r="S498">
            <v>0</v>
          </cell>
          <cell r="T498">
            <v>0</v>
          </cell>
          <cell r="U498">
            <v>0</v>
          </cell>
        </row>
        <row r="499">
          <cell r="A499" t="str">
            <v>APR 2016</v>
          </cell>
          <cell r="B499" t="str">
            <v>KUUM_376</v>
          </cell>
          <cell r="D499" t="str">
            <v>LS</v>
          </cell>
          <cell r="S499">
            <v>0</v>
          </cell>
          <cell r="T499">
            <v>0</v>
          </cell>
          <cell r="U499">
            <v>0</v>
          </cell>
        </row>
        <row r="500">
          <cell r="A500" t="str">
            <v>APR 2016</v>
          </cell>
          <cell r="B500" t="str">
            <v>KUUM_377</v>
          </cell>
          <cell r="D500" t="str">
            <v>LS</v>
          </cell>
          <cell r="S500">
            <v>0</v>
          </cell>
          <cell r="T500">
            <v>0</v>
          </cell>
          <cell r="U500">
            <v>0</v>
          </cell>
        </row>
        <row r="501">
          <cell r="A501" t="str">
            <v>APR 2016</v>
          </cell>
          <cell r="B501" t="str">
            <v>KUUM_378</v>
          </cell>
          <cell r="D501" t="str">
            <v>LS</v>
          </cell>
          <cell r="S501">
            <v>0</v>
          </cell>
          <cell r="T501">
            <v>0</v>
          </cell>
          <cell r="U501">
            <v>0</v>
          </cell>
        </row>
        <row r="502">
          <cell r="A502" t="str">
            <v>APR 2016</v>
          </cell>
          <cell r="B502" t="str">
            <v>KUUM_401</v>
          </cell>
          <cell r="D502" t="str">
            <v>LS</v>
          </cell>
          <cell r="S502">
            <v>0</v>
          </cell>
          <cell r="T502">
            <v>0</v>
          </cell>
          <cell r="U502">
            <v>0</v>
          </cell>
        </row>
        <row r="503">
          <cell r="A503" t="str">
            <v>APR 2016</v>
          </cell>
          <cell r="B503" t="str">
            <v>KUUM_404</v>
          </cell>
          <cell r="D503" t="str">
            <v>RLS</v>
          </cell>
          <cell r="S503">
            <v>0</v>
          </cell>
          <cell r="T503">
            <v>0</v>
          </cell>
          <cell r="U503">
            <v>0</v>
          </cell>
        </row>
        <row r="504">
          <cell r="A504" t="str">
            <v>APR 2016</v>
          </cell>
          <cell r="B504" t="str">
            <v>KUUM_405</v>
          </cell>
          <cell r="D504" t="str">
            <v>LS</v>
          </cell>
          <cell r="S504">
            <v>0</v>
          </cell>
          <cell r="T504">
            <v>0</v>
          </cell>
          <cell r="U504">
            <v>0</v>
          </cell>
        </row>
        <row r="505">
          <cell r="A505" t="str">
            <v>APR 2016</v>
          </cell>
          <cell r="B505" t="str">
            <v>KUUM_409</v>
          </cell>
          <cell r="D505" t="str">
            <v>RLS</v>
          </cell>
          <cell r="S505">
            <v>0</v>
          </cell>
          <cell r="T505">
            <v>0</v>
          </cell>
          <cell r="U505">
            <v>0</v>
          </cell>
        </row>
        <row r="506">
          <cell r="A506" t="str">
            <v>APR 2016</v>
          </cell>
          <cell r="B506" t="str">
            <v>KUUM_410</v>
          </cell>
          <cell r="D506" t="str">
            <v>RLS</v>
          </cell>
          <cell r="S506">
            <v>0</v>
          </cell>
          <cell r="T506">
            <v>0</v>
          </cell>
          <cell r="U506">
            <v>0</v>
          </cell>
        </row>
        <row r="507">
          <cell r="A507" t="str">
            <v>APR 2016</v>
          </cell>
          <cell r="B507" t="str">
            <v>KUUM_411</v>
          </cell>
          <cell r="D507" t="str">
            <v>LS</v>
          </cell>
          <cell r="S507">
            <v>0</v>
          </cell>
          <cell r="T507">
            <v>0</v>
          </cell>
          <cell r="U507">
            <v>0</v>
          </cell>
        </row>
        <row r="508">
          <cell r="A508" t="str">
            <v>APR 2016</v>
          </cell>
          <cell r="B508" t="str">
            <v>KUUM_412</v>
          </cell>
          <cell r="D508" t="str">
            <v>RLS</v>
          </cell>
          <cell r="S508">
            <v>0</v>
          </cell>
          <cell r="T508">
            <v>0</v>
          </cell>
          <cell r="U508">
            <v>0</v>
          </cell>
        </row>
        <row r="509">
          <cell r="A509" t="str">
            <v>APR 2016</v>
          </cell>
          <cell r="B509" t="str">
            <v>KUUM_413</v>
          </cell>
          <cell r="D509" t="str">
            <v>RLS</v>
          </cell>
          <cell r="S509">
            <v>0</v>
          </cell>
          <cell r="T509">
            <v>0</v>
          </cell>
          <cell r="U509">
            <v>0</v>
          </cell>
        </row>
        <row r="510">
          <cell r="A510" t="str">
            <v>APR 2016</v>
          </cell>
          <cell r="B510" t="str">
            <v>KUUM_414</v>
          </cell>
          <cell r="D510" t="str">
            <v>LS</v>
          </cell>
          <cell r="S510">
            <v>0</v>
          </cell>
          <cell r="T510">
            <v>0</v>
          </cell>
          <cell r="U510">
            <v>0</v>
          </cell>
        </row>
        <row r="511">
          <cell r="A511" t="str">
            <v>APR 2016</v>
          </cell>
          <cell r="B511" t="str">
            <v>KUUM_415</v>
          </cell>
          <cell r="D511" t="str">
            <v>LS</v>
          </cell>
          <cell r="S511">
            <v>0</v>
          </cell>
          <cell r="T511">
            <v>0</v>
          </cell>
          <cell r="U511">
            <v>0</v>
          </cell>
        </row>
        <row r="512">
          <cell r="A512" t="str">
            <v>APR 2016</v>
          </cell>
          <cell r="B512" t="str">
            <v>KUUM_420</v>
          </cell>
          <cell r="D512" t="str">
            <v>LS</v>
          </cell>
          <cell r="S512">
            <v>0</v>
          </cell>
          <cell r="T512">
            <v>0</v>
          </cell>
          <cell r="U512">
            <v>0</v>
          </cell>
        </row>
        <row r="513">
          <cell r="A513" t="str">
            <v>APR 2016</v>
          </cell>
          <cell r="B513" t="str">
            <v>KUUM_421</v>
          </cell>
          <cell r="D513" t="str">
            <v>RLS</v>
          </cell>
          <cell r="S513">
            <v>0</v>
          </cell>
          <cell r="T513">
            <v>0</v>
          </cell>
          <cell r="U513">
            <v>0</v>
          </cell>
        </row>
        <row r="514">
          <cell r="A514" t="str">
            <v>APR 2016</v>
          </cell>
          <cell r="B514" t="str">
            <v>KUUM_422</v>
          </cell>
          <cell r="D514" t="str">
            <v>RLS</v>
          </cell>
          <cell r="S514">
            <v>0</v>
          </cell>
          <cell r="T514">
            <v>0</v>
          </cell>
          <cell r="U514">
            <v>0</v>
          </cell>
        </row>
        <row r="515">
          <cell r="A515" t="str">
            <v>APR 2016</v>
          </cell>
          <cell r="B515" t="str">
            <v>KUUM_424</v>
          </cell>
          <cell r="D515" t="str">
            <v>RLS</v>
          </cell>
          <cell r="S515">
            <v>0</v>
          </cell>
          <cell r="T515">
            <v>0</v>
          </cell>
          <cell r="U515">
            <v>0</v>
          </cell>
        </row>
        <row r="516">
          <cell r="A516" t="str">
            <v>APR 2016</v>
          </cell>
          <cell r="B516" t="str">
            <v>KUUM_425</v>
          </cell>
          <cell r="D516" t="str">
            <v>RLS</v>
          </cell>
          <cell r="S516">
            <v>0</v>
          </cell>
          <cell r="T516">
            <v>0</v>
          </cell>
          <cell r="U516">
            <v>0</v>
          </cell>
        </row>
        <row r="517">
          <cell r="A517" t="str">
            <v>APR 2016</v>
          </cell>
          <cell r="B517" t="str">
            <v>KUUM_426</v>
          </cell>
          <cell r="D517" t="str">
            <v>RLS</v>
          </cell>
          <cell r="S517">
            <v>0</v>
          </cell>
          <cell r="T517">
            <v>0</v>
          </cell>
          <cell r="U517">
            <v>0</v>
          </cell>
        </row>
        <row r="518">
          <cell r="A518" t="str">
            <v>APR 2016</v>
          </cell>
          <cell r="B518" t="str">
            <v>KUUM_428</v>
          </cell>
          <cell r="D518" t="str">
            <v>LS</v>
          </cell>
          <cell r="S518">
            <v>0</v>
          </cell>
          <cell r="T518">
            <v>0</v>
          </cell>
          <cell r="U518">
            <v>0</v>
          </cell>
        </row>
        <row r="519">
          <cell r="A519" t="str">
            <v>APR 2016</v>
          </cell>
          <cell r="B519" t="str">
            <v>KUUM_430</v>
          </cell>
          <cell r="D519" t="str">
            <v>LS</v>
          </cell>
          <cell r="S519">
            <v>0</v>
          </cell>
          <cell r="T519">
            <v>0</v>
          </cell>
          <cell r="U519">
            <v>0</v>
          </cell>
        </row>
        <row r="520">
          <cell r="A520" t="str">
            <v>APR 2016</v>
          </cell>
          <cell r="B520" t="str">
            <v>KUUM_434</v>
          </cell>
          <cell r="D520" t="str">
            <v>RLS</v>
          </cell>
          <cell r="S520">
            <v>0</v>
          </cell>
          <cell r="T520">
            <v>0</v>
          </cell>
          <cell r="U520">
            <v>0</v>
          </cell>
        </row>
        <row r="521">
          <cell r="A521" t="str">
            <v>APR 2016</v>
          </cell>
          <cell r="B521" t="str">
            <v>KUUM_440</v>
          </cell>
          <cell r="D521" t="str">
            <v>RLS</v>
          </cell>
          <cell r="S521">
            <v>0</v>
          </cell>
          <cell r="T521">
            <v>0</v>
          </cell>
          <cell r="U521">
            <v>0</v>
          </cell>
        </row>
        <row r="522">
          <cell r="A522" t="str">
            <v>APR 2016</v>
          </cell>
          <cell r="B522" t="str">
            <v>KUUM_446</v>
          </cell>
          <cell r="D522" t="str">
            <v>RLS</v>
          </cell>
          <cell r="S522">
            <v>0</v>
          </cell>
          <cell r="T522">
            <v>0</v>
          </cell>
          <cell r="U522">
            <v>0</v>
          </cell>
        </row>
        <row r="523">
          <cell r="A523" t="str">
            <v>APR 2016</v>
          </cell>
          <cell r="B523" t="str">
            <v>KUUM_447</v>
          </cell>
          <cell r="D523" t="str">
            <v>RLS</v>
          </cell>
          <cell r="S523">
            <v>0</v>
          </cell>
          <cell r="T523">
            <v>0</v>
          </cell>
          <cell r="U523">
            <v>0</v>
          </cell>
        </row>
        <row r="524">
          <cell r="A524" t="str">
            <v>APR 2016</v>
          </cell>
          <cell r="B524" t="str">
            <v>KUUM_448</v>
          </cell>
          <cell r="D524" t="str">
            <v>RLS</v>
          </cell>
          <cell r="S524">
            <v>0</v>
          </cell>
          <cell r="T524">
            <v>0</v>
          </cell>
          <cell r="U524">
            <v>0</v>
          </cell>
        </row>
        <row r="525">
          <cell r="A525" t="str">
            <v>APR 2016</v>
          </cell>
          <cell r="B525" t="str">
            <v>KUUM_450</v>
          </cell>
          <cell r="D525" t="str">
            <v>LS</v>
          </cell>
          <cell r="S525">
            <v>0</v>
          </cell>
          <cell r="T525">
            <v>0</v>
          </cell>
          <cell r="U525">
            <v>0</v>
          </cell>
        </row>
        <row r="526">
          <cell r="A526" t="str">
            <v>APR 2016</v>
          </cell>
          <cell r="B526" t="str">
            <v>KUUM_451</v>
          </cell>
          <cell r="D526" t="str">
            <v>LS</v>
          </cell>
          <cell r="S526">
            <v>0</v>
          </cell>
          <cell r="T526">
            <v>0</v>
          </cell>
          <cell r="U526">
            <v>0</v>
          </cell>
        </row>
        <row r="527">
          <cell r="A527" t="str">
            <v>APR 2016</v>
          </cell>
          <cell r="B527" t="str">
            <v>KUUM_452</v>
          </cell>
          <cell r="D527" t="str">
            <v>LS</v>
          </cell>
          <cell r="S527">
            <v>0</v>
          </cell>
          <cell r="T527">
            <v>0</v>
          </cell>
          <cell r="U527">
            <v>0</v>
          </cell>
        </row>
        <row r="528">
          <cell r="A528" t="str">
            <v>APR 2016</v>
          </cell>
          <cell r="B528" t="str">
            <v>KUUM_454</v>
          </cell>
          <cell r="D528" t="str">
            <v>RLS</v>
          </cell>
          <cell r="S528">
            <v>0</v>
          </cell>
          <cell r="T528">
            <v>0</v>
          </cell>
          <cell r="U528">
            <v>0</v>
          </cell>
        </row>
        <row r="529">
          <cell r="A529" t="str">
            <v>APR 2016</v>
          </cell>
          <cell r="B529" t="str">
            <v>KUUM_455</v>
          </cell>
          <cell r="D529" t="str">
            <v>RLS</v>
          </cell>
          <cell r="S529">
            <v>0</v>
          </cell>
          <cell r="T529">
            <v>0</v>
          </cell>
          <cell r="U529">
            <v>0</v>
          </cell>
        </row>
        <row r="530">
          <cell r="A530" t="str">
            <v>APR 2016</v>
          </cell>
          <cell r="B530" t="str">
            <v>KUUM_456</v>
          </cell>
          <cell r="D530" t="str">
            <v>RLS</v>
          </cell>
          <cell r="S530">
            <v>0</v>
          </cell>
          <cell r="T530">
            <v>0</v>
          </cell>
          <cell r="U530">
            <v>0</v>
          </cell>
        </row>
        <row r="531">
          <cell r="A531" t="str">
            <v>APR 2016</v>
          </cell>
          <cell r="B531" t="str">
            <v>KUUM_457</v>
          </cell>
          <cell r="D531" t="str">
            <v>RLS</v>
          </cell>
          <cell r="S531">
            <v>0</v>
          </cell>
          <cell r="T531">
            <v>0</v>
          </cell>
          <cell r="U531">
            <v>0</v>
          </cell>
        </row>
        <row r="532">
          <cell r="A532" t="str">
            <v>APR 2016</v>
          </cell>
          <cell r="B532" t="str">
            <v>KUUM_458</v>
          </cell>
          <cell r="D532" t="str">
            <v>RLS</v>
          </cell>
          <cell r="S532">
            <v>0</v>
          </cell>
          <cell r="T532">
            <v>0</v>
          </cell>
          <cell r="U532">
            <v>0</v>
          </cell>
        </row>
        <row r="533">
          <cell r="A533" t="str">
            <v>APR 2016</v>
          </cell>
          <cell r="B533" t="str">
            <v>KUUM_459</v>
          </cell>
          <cell r="D533" t="str">
            <v>RLS</v>
          </cell>
          <cell r="S533">
            <v>0</v>
          </cell>
          <cell r="T533">
            <v>0</v>
          </cell>
          <cell r="U533">
            <v>0</v>
          </cell>
        </row>
        <row r="534">
          <cell r="A534" t="str">
            <v>APR 2016</v>
          </cell>
          <cell r="B534" t="str">
            <v>KUUM_460</v>
          </cell>
          <cell r="D534" t="str">
            <v>RLS</v>
          </cell>
          <cell r="S534">
            <v>0</v>
          </cell>
          <cell r="T534">
            <v>0</v>
          </cell>
          <cell r="U534">
            <v>0</v>
          </cell>
        </row>
        <row r="535">
          <cell r="A535" t="str">
            <v>APR 2016</v>
          </cell>
          <cell r="B535" t="str">
            <v>KUUM_461</v>
          </cell>
          <cell r="D535" t="str">
            <v>RLS</v>
          </cell>
          <cell r="S535">
            <v>0</v>
          </cell>
          <cell r="T535">
            <v>0</v>
          </cell>
          <cell r="U535">
            <v>0</v>
          </cell>
        </row>
        <row r="536">
          <cell r="A536" t="str">
            <v>APR 2016</v>
          </cell>
          <cell r="B536" t="str">
            <v>KUUM_462</v>
          </cell>
          <cell r="D536" t="str">
            <v>LS</v>
          </cell>
          <cell r="S536">
            <v>0</v>
          </cell>
          <cell r="T536">
            <v>0</v>
          </cell>
          <cell r="U536">
            <v>0</v>
          </cell>
        </row>
        <row r="537">
          <cell r="A537" t="str">
            <v>APR 2016</v>
          </cell>
          <cell r="B537" t="str">
            <v>KUUM_463</v>
          </cell>
          <cell r="D537" t="str">
            <v>LS</v>
          </cell>
          <cell r="S537">
            <v>0</v>
          </cell>
          <cell r="T537">
            <v>0</v>
          </cell>
          <cell r="U537">
            <v>0</v>
          </cell>
        </row>
        <row r="538">
          <cell r="A538" t="str">
            <v>APR 2016</v>
          </cell>
          <cell r="B538" t="str">
            <v>KUUM_464</v>
          </cell>
          <cell r="D538" t="str">
            <v>LS</v>
          </cell>
          <cell r="S538">
            <v>0</v>
          </cell>
          <cell r="T538">
            <v>0</v>
          </cell>
          <cell r="U538">
            <v>0</v>
          </cell>
        </row>
        <row r="539">
          <cell r="A539" t="str">
            <v>APR 2016</v>
          </cell>
          <cell r="B539" t="str">
            <v>KUUM_465</v>
          </cell>
          <cell r="D539" t="str">
            <v>LS</v>
          </cell>
          <cell r="S539">
            <v>0</v>
          </cell>
          <cell r="T539">
            <v>0</v>
          </cell>
          <cell r="U539">
            <v>0</v>
          </cell>
        </row>
        <row r="540">
          <cell r="A540" t="str">
            <v>APR 2016</v>
          </cell>
          <cell r="B540" t="str">
            <v>KUUM_465CU</v>
          </cell>
          <cell r="D540" t="str">
            <v>LS</v>
          </cell>
          <cell r="S540">
            <v>0</v>
          </cell>
          <cell r="T540">
            <v>0</v>
          </cell>
          <cell r="U540">
            <v>0</v>
          </cell>
        </row>
        <row r="541">
          <cell r="A541" t="str">
            <v>APR 2016</v>
          </cell>
          <cell r="B541" t="str">
            <v>KUUM_466</v>
          </cell>
          <cell r="D541" t="str">
            <v>RLS</v>
          </cell>
          <cell r="S541">
            <v>0</v>
          </cell>
          <cell r="T541">
            <v>0</v>
          </cell>
          <cell r="U541">
            <v>0</v>
          </cell>
        </row>
        <row r="542">
          <cell r="A542" t="str">
            <v>APR 2016</v>
          </cell>
          <cell r="B542" t="str">
            <v>KUUM_467</v>
          </cell>
          <cell r="D542" t="str">
            <v>LS</v>
          </cell>
          <cell r="S542">
            <v>0</v>
          </cell>
          <cell r="T542">
            <v>0</v>
          </cell>
          <cell r="U542">
            <v>0</v>
          </cell>
        </row>
        <row r="543">
          <cell r="A543" t="str">
            <v>APR 2016</v>
          </cell>
          <cell r="B543" t="str">
            <v>KUUM_468</v>
          </cell>
          <cell r="D543" t="str">
            <v>LS</v>
          </cell>
          <cell r="S543">
            <v>0</v>
          </cell>
          <cell r="T543">
            <v>0</v>
          </cell>
          <cell r="U543">
            <v>0</v>
          </cell>
        </row>
        <row r="544">
          <cell r="A544" t="str">
            <v>APR 2016</v>
          </cell>
          <cell r="B544" t="str">
            <v>KUUM_469</v>
          </cell>
          <cell r="D544" t="str">
            <v>RLS</v>
          </cell>
          <cell r="S544">
            <v>0</v>
          </cell>
          <cell r="T544">
            <v>0</v>
          </cell>
          <cell r="U544">
            <v>0</v>
          </cell>
        </row>
        <row r="545">
          <cell r="A545" t="str">
            <v>APR 2016</v>
          </cell>
          <cell r="B545" t="str">
            <v>KUUM_470</v>
          </cell>
          <cell r="D545" t="str">
            <v>RLS</v>
          </cell>
          <cell r="S545">
            <v>0</v>
          </cell>
          <cell r="T545">
            <v>0</v>
          </cell>
          <cell r="U545">
            <v>0</v>
          </cell>
        </row>
        <row r="546">
          <cell r="A546" t="str">
            <v>APR 2016</v>
          </cell>
          <cell r="B546" t="str">
            <v>KUUM_471</v>
          </cell>
          <cell r="D546" t="str">
            <v>RLS</v>
          </cell>
          <cell r="S546">
            <v>0</v>
          </cell>
          <cell r="T546">
            <v>0</v>
          </cell>
          <cell r="U546">
            <v>0</v>
          </cell>
        </row>
        <row r="547">
          <cell r="A547" t="str">
            <v>APR 2016</v>
          </cell>
          <cell r="B547" t="str">
            <v>KUUM_472</v>
          </cell>
          <cell r="D547" t="str">
            <v>LS</v>
          </cell>
          <cell r="S547">
            <v>0</v>
          </cell>
          <cell r="T547">
            <v>0</v>
          </cell>
          <cell r="U547">
            <v>0</v>
          </cell>
        </row>
        <row r="548">
          <cell r="A548" t="str">
            <v>APR 2016</v>
          </cell>
          <cell r="B548" t="str">
            <v>KUUM_473</v>
          </cell>
          <cell r="D548" t="str">
            <v>LS</v>
          </cell>
          <cell r="S548">
            <v>0</v>
          </cell>
          <cell r="T548">
            <v>0</v>
          </cell>
          <cell r="U548">
            <v>0</v>
          </cell>
        </row>
        <row r="549">
          <cell r="A549" t="str">
            <v>APR 2016</v>
          </cell>
          <cell r="B549" t="str">
            <v>KUUM_474</v>
          </cell>
          <cell r="D549" t="str">
            <v>LS</v>
          </cell>
          <cell r="S549">
            <v>0</v>
          </cell>
          <cell r="T549">
            <v>0</v>
          </cell>
          <cell r="U549">
            <v>0</v>
          </cell>
        </row>
        <row r="550">
          <cell r="A550" t="str">
            <v>APR 2016</v>
          </cell>
          <cell r="B550" t="str">
            <v>KUUM_475</v>
          </cell>
          <cell r="D550" t="str">
            <v>LS</v>
          </cell>
          <cell r="S550">
            <v>0</v>
          </cell>
          <cell r="T550">
            <v>0</v>
          </cell>
          <cell r="U550">
            <v>0</v>
          </cell>
        </row>
        <row r="551">
          <cell r="A551" t="str">
            <v>APR 2016</v>
          </cell>
          <cell r="B551" t="str">
            <v>KUUM_476</v>
          </cell>
          <cell r="D551" t="str">
            <v>LS</v>
          </cell>
          <cell r="S551">
            <v>0</v>
          </cell>
          <cell r="T551">
            <v>0</v>
          </cell>
          <cell r="U551">
            <v>0</v>
          </cell>
        </row>
        <row r="552">
          <cell r="A552" t="str">
            <v>APR 2016</v>
          </cell>
          <cell r="B552" t="str">
            <v>KUUM_477</v>
          </cell>
          <cell r="D552" t="str">
            <v>LS</v>
          </cell>
          <cell r="S552">
            <v>0</v>
          </cell>
          <cell r="T552">
            <v>0</v>
          </cell>
          <cell r="U552">
            <v>0</v>
          </cell>
        </row>
        <row r="553">
          <cell r="A553" t="str">
            <v>APR 2016</v>
          </cell>
          <cell r="B553" t="str">
            <v>KUUM_478</v>
          </cell>
          <cell r="D553" t="str">
            <v>LS</v>
          </cell>
          <cell r="S553">
            <v>0</v>
          </cell>
          <cell r="T553">
            <v>0</v>
          </cell>
          <cell r="U553">
            <v>0</v>
          </cell>
        </row>
        <row r="554">
          <cell r="A554" t="str">
            <v>APR 2016</v>
          </cell>
          <cell r="B554" t="str">
            <v>KUUM_479</v>
          </cell>
          <cell r="D554" t="str">
            <v>LS</v>
          </cell>
          <cell r="S554">
            <v>0</v>
          </cell>
          <cell r="T554">
            <v>0</v>
          </cell>
          <cell r="U554">
            <v>0</v>
          </cell>
        </row>
        <row r="555">
          <cell r="A555" t="str">
            <v>APR 2016</v>
          </cell>
          <cell r="B555" t="str">
            <v>KUUM_487</v>
          </cell>
          <cell r="D555" t="str">
            <v>LS</v>
          </cell>
          <cell r="S555">
            <v>0</v>
          </cell>
          <cell r="T555">
            <v>0</v>
          </cell>
          <cell r="U555">
            <v>0</v>
          </cell>
        </row>
        <row r="556">
          <cell r="A556" t="str">
            <v>APR 2016</v>
          </cell>
          <cell r="B556" t="str">
            <v>KUUM_488</v>
          </cell>
          <cell r="D556" t="str">
            <v>LS</v>
          </cell>
          <cell r="S556">
            <v>0</v>
          </cell>
          <cell r="T556">
            <v>0</v>
          </cell>
          <cell r="U556">
            <v>0</v>
          </cell>
        </row>
        <row r="557">
          <cell r="A557" t="str">
            <v>APR 2016</v>
          </cell>
          <cell r="B557" t="str">
            <v>KUUM_489</v>
          </cell>
          <cell r="D557" t="str">
            <v>LS</v>
          </cell>
          <cell r="S557">
            <v>0</v>
          </cell>
          <cell r="T557">
            <v>0</v>
          </cell>
          <cell r="U557">
            <v>0</v>
          </cell>
        </row>
        <row r="558">
          <cell r="A558" t="str">
            <v>APR 2016</v>
          </cell>
          <cell r="B558" t="str">
            <v>KUUM_490</v>
          </cell>
          <cell r="D558" t="str">
            <v>LS</v>
          </cell>
          <cell r="S558">
            <v>0</v>
          </cell>
          <cell r="T558">
            <v>0</v>
          </cell>
          <cell r="U558">
            <v>0</v>
          </cell>
        </row>
        <row r="559">
          <cell r="A559" t="str">
            <v>APR 2016</v>
          </cell>
          <cell r="B559" t="str">
            <v>KUUM_491</v>
          </cell>
          <cell r="D559" t="str">
            <v>LS</v>
          </cell>
          <cell r="S559">
            <v>0</v>
          </cell>
          <cell r="T559">
            <v>0</v>
          </cell>
          <cell r="U559">
            <v>0</v>
          </cell>
        </row>
        <row r="560">
          <cell r="A560" t="str">
            <v>APR 2016</v>
          </cell>
          <cell r="B560" t="str">
            <v>KUUM_492</v>
          </cell>
          <cell r="D560" t="str">
            <v>LS</v>
          </cell>
          <cell r="S560">
            <v>0</v>
          </cell>
          <cell r="T560">
            <v>0</v>
          </cell>
          <cell r="U560">
            <v>0</v>
          </cell>
        </row>
        <row r="561">
          <cell r="A561" t="str">
            <v>APR 2016</v>
          </cell>
          <cell r="B561" t="str">
            <v>KUUM_493</v>
          </cell>
          <cell r="D561" t="str">
            <v>LS</v>
          </cell>
          <cell r="S561">
            <v>0</v>
          </cell>
          <cell r="T561">
            <v>0</v>
          </cell>
          <cell r="U561">
            <v>0</v>
          </cell>
        </row>
        <row r="562">
          <cell r="A562" t="str">
            <v>APR 2016</v>
          </cell>
          <cell r="B562" t="str">
            <v>KUUM_494</v>
          </cell>
          <cell r="D562" t="str">
            <v>LS</v>
          </cell>
          <cell r="S562">
            <v>0</v>
          </cell>
          <cell r="T562">
            <v>0</v>
          </cell>
          <cell r="U562">
            <v>0</v>
          </cell>
        </row>
        <row r="563">
          <cell r="A563" t="str">
            <v>APR 2016</v>
          </cell>
          <cell r="B563" t="str">
            <v>KUUM_495</v>
          </cell>
          <cell r="D563" t="str">
            <v>LS</v>
          </cell>
          <cell r="S563">
            <v>0</v>
          </cell>
          <cell r="T563">
            <v>0</v>
          </cell>
          <cell r="U563">
            <v>0</v>
          </cell>
        </row>
        <row r="564">
          <cell r="A564" t="str">
            <v>APR 2016</v>
          </cell>
          <cell r="B564" t="str">
            <v>KUUM_496</v>
          </cell>
          <cell r="D564" t="str">
            <v>LS</v>
          </cell>
          <cell r="S564">
            <v>0</v>
          </cell>
          <cell r="T564">
            <v>0</v>
          </cell>
          <cell r="U564">
            <v>0</v>
          </cell>
        </row>
        <row r="565">
          <cell r="A565" t="str">
            <v>APR 2016</v>
          </cell>
          <cell r="B565" t="str">
            <v>KUUM_497</v>
          </cell>
          <cell r="D565" t="str">
            <v>LS</v>
          </cell>
          <cell r="S565">
            <v>0</v>
          </cell>
          <cell r="T565">
            <v>0</v>
          </cell>
          <cell r="U565">
            <v>0</v>
          </cell>
        </row>
        <row r="566">
          <cell r="A566" t="str">
            <v>APR 2016</v>
          </cell>
          <cell r="B566" t="str">
            <v>KUUM_498</v>
          </cell>
          <cell r="D566" t="str">
            <v>LS</v>
          </cell>
          <cell r="S566">
            <v>0</v>
          </cell>
          <cell r="T566">
            <v>0</v>
          </cell>
          <cell r="U566">
            <v>0</v>
          </cell>
        </row>
        <row r="567">
          <cell r="A567" t="str">
            <v>APR 2016</v>
          </cell>
          <cell r="B567" t="str">
            <v>KUUM_499</v>
          </cell>
          <cell r="D567" t="str">
            <v>LS</v>
          </cell>
          <cell r="S567">
            <v>0</v>
          </cell>
          <cell r="T567">
            <v>0</v>
          </cell>
          <cell r="U567">
            <v>0</v>
          </cell>
        </row>
        <row r="568">
          <cell r="A568" t="str">
            <v>APR 2016</v>
          </cell>
          <cell r="B568" t="str">
            <v>KUUM_820</v>
          </cell>
          <cell r="D568" t="str">
            <v>ODL</v>
          </cell>
          <cell r="S568">
            <v>0</v>
          </cell>
          <cell r="T568">
            <v>0</v>
          </cell>
          <cell r="U568">
            <v>0</v>
          </cell>
        </row>
        <row r="569">
          <cell r="A569" t="str">
            <v>APR 2016</v>
          </cell>
          <cell r="B569" t="str">
            <v>KUUM_825</v>
          </cell>
          <cell r="D569" t="str">
            <v>EF</v>
          </cell>
          <cell r="S569">
            <v>0</v>
          </cell>
          <cell r="T569">
            <v>0</v>
          </cell>
          <cell r="U569">
            <v>0</v>
          </cell>
        </row>
        <row r="570">
          <cell r="A570" t="str">
            <v>APR 2016</v>
          </cell>
          <cell r="B570" t="str">
            <v>KUUM_826</v>
          </cell>
          <cell r="D570" t="str">
            <v>EF</v>
          </cell>
          <cell r="S570">
            <v>0</v>
          </cell>
          <cell r="T570">
            <v>0</v>
          </cell>
          <cell r="U570">
            <v>0</v>
          </cell>
        </row>
        <row r="571">
          <cell r="A571" t="str">
            <v>APR 2016</v>
          </cell>
          <cell r="B571" t="str">
            <v>KUUM_827</v>
          </cell>
          <cell r="D571" t="str">
            <v>DA</v>
          </cell>
          <cell r="S571">
            <v>0</v>
          </cell>
          <cell r="T571">
            <v>0</v>
          </cell>
          <cell r="U571">
            <v>0</v>
          </cell>
        </row>
        <row r="572">
          <cell r="A572" t="str">
            <v>APR 2016</v>
          </cell>
          <cell r="B572" t="str">
            <v>KUUM_828</v>
          </cell>
          <cell r="D572" t="str">
            <v>EF</v>
          </cell>
          <cell r="S572">
            <v>0</v>
          </cell>
          <cell r="T572">
            <v>0</v>
          </cell>
          <cell r="U572">
            <v>0</v>
          </cell>
        </row>
        <row r="573">
          <cell r="A573" t="str">
            <v>APR 2016</v>
          </cell>
          <cell r="B573" t="str">
            <v>KUUM_829</v>
          </cell>
          <cell r="D573" t="str">
            <v>EF</v>
          </cell>
          <cell r="S573">
            <v>0</v>
          </cell>
          <cell r="T573">
            <v>0</v>
          </cell>
          <cell r="U573">
            <v>0</v>
          </cell>
        </row>
        <row r="574">
          <cell r="A574" t="str">
            <v>APR 2016</v>
          </cell>
          <cell r="B574" t="str">
            <v>ODRSE020</v>
          </cell>
          <cell r="D574" t="str">
            <v>ODRS</v>
          </cell>
          <cell r="S574">
            <v>0</v>
          </cell>
          <cell r="T574">
            <v>0</v>
          </cell>
          <cell r="U574">
            <v>0</v>
          </cell>
        </row>
        <row r="575">
          <cell r="A575" t="str">
            <v>APR 2016</v>
          </cell>
          <cell r="B575" t="str">
            <v>Result</v>
          </cell>
          <cell r="S575">
            <v>0</v>
          </cell>
          <cell r="T575">
            <v>0</v>
          </cell>
          <cell r="U575">
            <v>0</v>
          </cell>
        </row>
        <row r="576">
          <cell r="A576" t="str">
            <v>MAY 2016</v>
          </cell>
          <cell r="B576" t="str">
            <v>KTRSE020</v>
          </cell>
          <cell r="D576" t="str">
            <v>TNRS</v>
          </cell>
          <cell r="S576">
            <v>0</v>
          </cell>
          <cell r="T576">
            <v>0</v>
          </cell>
          <cell r="U576">
            <v>0</v>
          </cell>
        </row>
        <row r="577">
          <cell r="A577" t="str">
            <v>MAY 2016</v>
          </cell>
          <cell r="B577" t="str">
            <v>KTRSE030</v>
          </cell>
          <cell r="D577" t="str">
            <v>TNRS</v>
          </cell>
          <cell r="S577">
            <v>0</v>
          </cell>
          <cell r="T577">
            <v>0</v>
          </cell>
          <cell r="U577">
            <v>0</v>
          </cell>
        </row>
        <row r="578">
          <cell r="A578" t="str">
            <v>MAY 2016</v>
          </cell>
          <cell r="B578" t="str">
            <v>KTUM_406</v>
          </cell>
          <cell r="D578" t="str">
            <v>TNLS</v>
          </cell>
          <cell r="S578">
            <v>0</v>
          </cell>
          <cell r="T578">
            <v>0</v>
          </cell>
          <cell r="U578">
            <v>0</v>
          </cell>
        </row>
        <row r="579">
          <cell r="A579" t="str">
            <v>MAY 2016</v>
          </cell>
          <cell r="B579" t="str">
            <v>KTUM_428</v>
          </cell>
          <cell r="D579" t="str">
            <v>TNLS</v>
          </cell>
          <cell r="S579">
            <v>0</v>
          </cell>
          <cell r="T579">
            <v>0</v>
          </cell>
          <cell r="U579">
            <v>0</v>
          </cell>
        </row>
        <row r="580">
          <cell r="A580" t="str">
            <v>MAY 2016</v>
          </cell>
          <cell r="B580" t="str">
            <v>KUCIE000</v>
          </cell>
          <cell r="D580" t="str">
            <v>TS</v>
          </cell>
          <cell r="S580">
            <v>0</v>
          </cell>
          <cell r="T580">
            <v>0</v>
          </cell>
          <cell r="U580">
            <v>0</v>
          </cell>
        </row>
        <row r="581">
          <cell r="A581" t="str">
            <v>MAY 2016</v>
          </cell>
          <cell r="B581" t="str">
            <v>KUCIE550</v>
          </cell>
          <cell r="D581" t="str">
            <v>RTS</v>
          </cell>
          <cell r="E581">
            <v>145721919</v>
          </cell>
          <cell r="F581">
            <v>24000</v>
          </cell>
          <cell r="L581">
            <v>0</v>
          </cell>
          <cell r="M581">
            <v>131506</v>
          </cell>
          <cell r="P581">
            <v>0</v>
          </cell>
          <cell r="R581">
            <v>8850234</v>
          </cell>
          <cell r="S581">
            <v>5295535</v>
          </cell>
          <cell r="T581">
            <v>2410876</v>
          </cell>
          <cell r="U581">
            <v>988317</v>
          </cell>
        </row>
        <row r="582">
          <cell r="A582" t="str">
            <v>MAY 2016</v>
          </cell>
          <cell r="B582" t="str">
            <v>KUCIE561</v>
          </cell>
          <cell r="D582" t="str">
            <v>PSP</v>
          </cell>
          <cell r="E582">
            <v>21507849</v>
          </cell>
          <cell r="F582">
            <v>33150</v>
          </cell>
          <cell r="L582">
            <v>39331</v>
          </cell>
          <cell r="M582">
            <v>19410</v>
          </cell>
          <cell r="P582">
            <v>0</v>
          </cell>
          <cell r="R582">
            <v>1857917</v>
          </cell>
          <cell r="S582">
            <v>766110</v>
          </cell>
          <cell r="T582">
            <v>854045</v>
          </cell>
          <cell r="U582">
            <v>145871</v>
          </cell>
        </row>
        <row r="583">
          <cell r="A583" t="str">
            <v>MAY 2016</v>
          </cell>
          <cell r="B583" t="str">
            <v>KUCIE562</v>
          </cell>
          <cell r="D583" t="str">
            <v>PSS</v>
          </cell>
          <cell r="E583">
            <v>175977353</v>
          </cell>
          <cell r="F583">
            <v>415350</v>
          </cell>
          <cell r="L583">
            <v>321804</v>
          </cell>
          <cell r="M583">
            <v>158810</v>
          </cell>
          <cell r="P583">
            <v>0</v>
          </cell>
          <cell r="R583">
            <v>16766393</v>
          </cell>
          <cell r="S583">
            <v>6271833</v>
          </cell>
          <cell r="T583">
            <v>8405081</v>
          </cell>
          <cell r="U583">
            <v>1193515</v>
          </cell>
        </row>
        <row r="584">
          <cell r="A584" t="str">
            <v>MAY 2016</v>
          </cell>
          <cell r="B584" t="str">
            <v>KUCIE563</v>
          </cell>
          <cell r="D584" t="str">
            <v>TODP</v>
          </cell>
          <cell r="E584">
            <v>268486937</v>
          </cell>
          <cell r="F584">
            <v>15600</v>
          </cell>
          <cell r="L584">
            <v>490973</v>
          </cell>
          <cell r="M584">
            <v>242295</v>
          </cell>
          <cell r="P584">
            <v>0</v>
          </cell>
          <cell r="R584">
            <v>16994192</v>
          </cell>
          <cell r="S584">
            <v>10108533</v>
          </cell>
          <cell r="T584">
            <v>4315856</v>
          </cell>
          <cell r="U584">
            <v>1820935</v>
          </cell>
        </row>
        <row r="585">
          <cell r="A585" t="str">
            <v>MAY 2016</v>
          </cell>
          <cell r="B585" t="str">
            <v>KUCIE566</v>
          </cell>
          <cell r="D585" t="str">
            <v>PSP</v>
          </cell>
          <cell r="E585">
            <v>0</v>
          </cell>
          <cell r="F585">
            <v>0</v>
          </cell>
          <cell r="L585">
            <v>0</v>
          </cell>
          <cell r="M585">
            <v>0</v>
          </cell>
          <cell r="P585">
            <v>0</v>
          </cell>
          <cell r="R585">
            <v>0</v>
          </cell>
          <cell r="S585">
            <v>0</v>
          </cell>
          <cell r="T585">
            <v>0</v>
          </cell>
          <cell r="U585">
            <v>0</v>
          </cell>
        </row>
        <row r="586">
          <cell r="A586" t="str">
            <v>MAY 2016</v>
          </cell>
          <cell r="B586" t="str">
            <v>KUCIE568</v>
          </cell>
          <cell r="D586" t="str">
            <v>PSS</v>
          </cell>
          <cell r="E586">
            <v>0</v>
          </cell>
          <cell r="F586">
            <v>0</v>
          </cell>
          <cell r="L586">
            <v>0</v>
          </cell>
          <cell r="M586">
            <v>0</v>
          </cell>
          <cell r="P586">
            <v>0</v>
          </cell>
          <cell r="R586">
            <v>0</v>
          </cell>
          <cell r="S586">
            <v>0</v>
          </cell>
          <cell r="T586">
            <v>0</v>
          </cell>
          <cell r="U586">
            <v>0</v>
          </cell>
        </row>
        <row r="587">
          <cell r="A587" t="str">
            <v>MAY 2016</v>
          </cell>
          <cell r="B587" t="str">
            <v>KUCIE571</v>
          </cell>
          <cell r="D587" t="str">
            <v>TODP</v>
          </cell>
          <cell r="E587">
            <v>111982947</v>
          </cell>
          <cell r="F587">
            <v>62700</v>
          </cell>
          <cell r="L587">
            <v>204779</v>
          </cell>
          <cell r="M587">
            <v>101059</v>
          </cell>
          <cell r="P587">
            <v>0</v>
          </cell>
          <cell r="R587">
            <v>7622594</v>
          </cell>
          <cell r="S587">
            <v>4216158</v>
          </cell>
          <cell r="T587">
            <v>2278406</v>
          </cell>
          <cell r="U587">
            <v>759492</v>
          </cell>
        </row>
        <row r="588">
          <cell r="A588" t="str">
            <v>MAY 2016</v>
          </cell>
          <cell r="B588" t="str">
            <v>KUCIE572</v>
          </cell>
          <cell r="D588" t="str">
            <v>TODS</v>
          </cell>
          <cell r="E588">
            <v>135748326</v>
          </cell>
          <cell r="F588">
            <v>94200</v>
          </cell>
          <cell r="L588">
            <v>248238</v>
          </cell>
          <cell r="M588">
            <v>122506</v>
          </cell>
          <cell r="P588">
            <v>0</v>
          </cell>
          <cell r="R588">
            <v>9840049</v>
          </cell>
          <cell r="S588">
            <v>5121785</v>
          </cell>
          <cell r="T588">
            <v>3332647</v>
          </cell>
          <cell r="U588">
            <v>920674</v>
          </cell>
        </row>
        <row r="589">
          <cell r="A589" t="str">
            <v>MAY 2016</v>
          </cell>
          <cell r="B589" t="str">
            <v>KUCIE717</v>
          </cell>
          <cell r="D589" t="str">
            <v>PSS</v>
          </cell>
          <cell r="E589">
            <v>0</v>
          </cell>
          <cell r="F589">
            <v>0</v>
          </cell>
          <cell r="L589">
            <v>0</v>
          </cell>
          <cell r="M589">
            <v>0</v>
          </cell>
          <cell r="P589">
            <v>0</v>
          </cell>
          <cell r="R589">
            <v>0</v>
          </cell>
          <cell r="S589">
            <v>0</v>
          </cell>
          <cell r="T589">
            <v>0</v>
          </cell>
          <cell r="U589">
            <v>0</v>
          </cell>
        </row>
        <row r="590">
          <cell r="A590" t="str">
            <v>MAY 2016</v>
          </cell>
          <cell r="B590" t="str">
            <v>KUCME000</v>
          </cell>
          <cell r="D590" t="str">
            <v>TS</v>
          </cell>
          <cell r="E590">
            <v>0</v>
          </cell>
          <cell r="F590">
            <v>0</v>
          </cell>
          <cell r="L590">
            <v>0</v>
          </cell>
          <cell r="M590">
            <v>0</v>
          </cell>
          <cell r="P590">
            <v>0</v>
          </cell>
          <cell r="R590">
            <v>0</v>
          </cell>
          <cell r="S590">
            <v>0</v>
          </cell>
          <cell r="T590">
            <v>0</v>
          </cell>
          <cell r="U590">
            <v>0</v>
          </cell>
        </row>
        <row r="591">
          <cell r="A591" t="str">
            <v>MAY 2016</v>
          </cell>
          <cell r="B591" t="str">
            <v>KUCME110</v>
          </cell>
          <cell r="D591" t="str">
            <v>GS</v>
          </cell>
          <cell r="E591">
            <v>59224022</v>
          </cell>
          <cell r="F591">
            <v>1271362</v>
          </cell>
          <cell r="L591">
            <v>108301</v>
          </cell>
          <cell r="M591">
            <v>53447</v>
          </cell>
          <cell r="P591">
            <v>0</v>
          </cell>
          <cell r="R591">
            <v>7298195</v>
          </cell>
          <cell r="S591">
            <v>5463416</v>
          </cell>
          <cell r="T591">
            <v>0</v>
          </cell>
          <cell r="U591">
            <v>401670</v>
          </cell>
        </row>
        <row r="592">
          <cell r="A592" t="str">
            <v>MAY 2016</v>
          </cell>
          <cell r="B592" t="str">
            <v>KUCME112</v>
          </cell>
          <cell r="D592" t="str">
            <v>GS</v>
          </cell>
          <cell r="E592">
            <v>0</v>
          </cell>
          <cell r="F592">
            <v>0</v>
          </cell>
          <cell r="L592">
            <v>0</v>
          </cell>
          <cell r="M592">
            <v>0</v>
          </cell>
          <cell r="P592">
            <v>0</v>
          </cell>
          <cell r="R592">
            <v>0</v>
          </cell>
          <cell r="S592">
            <v>0</v>
          </cell>
          <cell r="T592">
            <v>0</v>
          </cell>
          <cell r="U592">
            <v>0</v>
          </cell>
        </row>
        <row r="593">
          <cell r="A593" t="str">
            <v>MAY 2016</v>
          </cell>
          <cell r="B593" t="str">
            <v>KUCME113</v>
          </cell>
          <cell r="D593" t="str">
            <v>GS3</v>
          </cell>
          <cell r="E593">
            <v>86460113</v>
          </cell>
          <cell r="F593">
            <v>650367</v>
          </cell>
          <cell r="L593">
            <v>158107</v>
          </cell>
          <cell r="M593">
            <v>78026</v>
          </cell>
          <cell r="P593">
            <v>0</v>
          </cell>
          <cell r="R593">
            <v>9448835</v>
          </cell>
          <cell r="S593">
            <v>7975945</v>
          </cell>
          <cell r="T593">
            <v>0</v>
          </cell>
          <cell r="U593">
            <v>586391</v>
          </cell>
        </row>
        <row r="594">
          <cell r="A594" t="str">
            <v>MAY 2016</v>
          </cell>
          <cell r="B594" t="str">
            <v>KUCME220</v>
          </cell>
          <cell r="D594" t="str">
            <v>AES</v>
          </cell>
          <cell r="E594">
            <v>643622</v>
          </cell>
          <cell r="F594">
            <v>7640</v>
          </cell>
          <cell r="L594">
            <v>1177</v>
          </cell>
          <cell r="M594">
            <v>581</v>
          </cell>
          <cell r="P594">
            <v>0</v>
          </cell>
          <cell r="R594">
            <v>61648</v>
          </cell>
          <cell r="S594">
            <v>47886</v>
          </cell>
          <cell r="T594">
            <v>0</v>
          </cell>
          <cell r="U594">
            <v>4365</v>
          </cell>
        </row>
        <row r="595">
          <cell r="A595" t="str">
            <v>MAY 2016</v>
          </cell>
          <cell r="B595" t="str">
            <v>KUCME221</v>
          </cell>
          <cell r="D595" t="str">
            <v>AESP</v>
          </cell>
          <cell r="E595">
            <v>0</v>
          </cell>
          <cell r="F595">
            <v>0</v>
          </cell>
          <cell r="L595">
            <v>0</v>
          </cell>
          <cell r="M595">
            <v>0</v>
          </cell>
          <cell r="P595">
            <v>0</v>
          </cell>
          <cell r="R595">
            <v>0</v>
          </cell>
          <cell r="S595">
            <v>0</v>
          </cell>
          <cell r="T595">
            <v>0</v>
          </cell>
          <cell r="U595">
            <v>0</v>
          </cell>
        </row>
        <row r="596">
          <cell r="A596" t="str">
            <v>MAY 2016</v>
          </cell>
          <cell r="B596" t="str">
            <v>KUCME223</v>
          </cell>
          <cell r="D596" t="str">
            <v>AES3</v>
          </cell>
          <cell r="E596">
            <v>0</v>
          </cell>
          <cell r="F596">
            <v>0</v>
          </cell>
          <cell r="L596">
            <v>0</v>
          </cell>
          <cell r="M596">
            <v>0</v>
          </cell>
          <cell r="P596">
            <v>0</v>
          </cell>
          <cell r="R596">
            <v>0</v>
          </cell>
          <cell r="S596">
            <v>0</v>
          </cell>
          <cell r="T596">
            <v>0</v>
          </cell>
          <cell r="U596">
            <v>0</v>
          </cell>
        </row>
        <row r="597">
          <cell r="A597" t="str">
            <v>MAY 2016</v>
          </cell>
          <cell r="B597" t="str">
            <v>KUCME224</v>
          </cell>
          <cell r="D597" t="str">
            <v>AES3P</v>
          </cell>
          <cell r="E597">
            <v>11929227</v>
          </cell>
          <cell r="F597">
            <v>9310</v>
          </cell>
          <cell r="L597">
            <v>21815</v>
          </cell>
          <cell r="M597">
            <v>10766</v>
          </cell>
          <cell r="P597">
            <v>0</v>
          </cell>
          <cell r="R597">
            <v>1010331</v>
          </cell>
          <cell r="S597">
            <v>887534</v>
          </cell>
          <cell r="T597">
            <v>0</v>
          </cell>
          <cell r="U597">
            <v>80907</v>
          </cell>
        </row>
        <row r="598">
          <cell r="A598" t="str">
            <v>MAY 2016</v>
          </cell>
          <cell r="B598" t="str">
            <v>KUCME225</v>
          </cell>
          <cell r="D598" t="str">
            <v>AES3PSS</v>
          </cell>
          <cell r="E598">
            <v>0</v>
          </cell>
          <cell r="F598">
            <v>0</v>
          </cell>
          <cell r="L598">
            <v>0</v>
          </cell>
          <cell r="M598">
            <v>0</v>
          </cell>
          <cell r="P598">
            <v>0</v>
          </cell>
          <cell r="R598">
            <v>0</v>
          </cell>
          <cell r="S598">
            <v>0</v>
          </cell>
          <cell r="T598">
            <v>0</v>
          </cell>
          <cell r="U598">
            <v>0</v>
          </cell>
        </row>
        <row r="599">
          <cell r="A599" t="str">
            <v>MAY 2016</v>
          </cell>
          <cell r="B599" t="str">
            <v>KUCME226</v>
          </cell>
          <cell r="D599" t="str">
            <v>AESPSS</v>
          </cell>
          <cell r="E599">
            <v>0</v>
          </cell>
          <cell r="F599">
            <v>0</v>
          </cell>
          <cell r="L599">
            <v>0</v>
          </cell>
          <cell r="M599">
            <v>0</v>
          </cell>
          <cell r="P599">
            <v>0</v>
          </cell>
          <cell r="R599">
            <v>0</v>
          </cell>
          <cell r="S599">
            <v>0</v>
          </cell>
          <cell r="T599">
            <v>0</v>
          </cell>
          <cell r="U599">
            <v>0</v>
          </cell>
        </row>
        <row r="600">
          <cell r="A600" t="str">
            <v>MAY 2016</v>
          </cell>
          <cell r="B600" t="str">
            <v>KUCME227</v>
          </cell>
          <cell r="D600" t="str">
            <v>AESTODS</v>
          </cell>
          <cell r="E600">
            <v>0</v>
          </cell>
          <cell r="F600">
            <v>0</v>
          </cell>
          <cell r="L600">
            <v>0</v>
          </cell>
          <cell r="M600">
            <v>0</v>
          </cell>
          <cell r="P600">
            <v>0</v>
          </cell>
          <cell r="R600">
            <v>0</v>
          </cell>
          <cell r="S600">
            <v>0</v>
          </cell>
          <cell r="T600">
            <v>0</v>
          </cell>
          <cell r="U600">
            <v>0</v>
          </cell>
        </row>
        <row r="601">
          <cell r="A601" t="str">
            <v>MAY 2016</v>
          </cell>
          <cell r="B601" t="str">
            <v>KUCME290</v>
          </cell>
          <cell r="D601" t="str">
            <v>LE</v>
          </cell>
          <cell r="E601">
            <v>0</v>
          </cell>
          <cell r="F601">
            <v>0</v>
          </cell>
          <cell r="L601">
            <v>0</v>
          </cell>
          <cell r="M601">
            <v>0</v>
          </cell>
          <cell r="P601">
            <v>0</v>
          </cell>
          <cell r="R601">
            <v>0</v>
          </cell>
          <cell r="S601">
            <v>0</v>
          </cell>
          <cell r="T601">
            <v>0</v>
          </cell>
          <cell r="U601">
            <v>0</v>
          </cell>
        </row>
        <row r="602">
          <cell r="A602" t="str">
            <v>MAY 2016</v>
          </cell>
          <cell r="B602" t="str">
            <v>KUCME291</v>
          </cell>
          <cell r="D602" t="str">
            <v>LE</v>
          </cell>
          <cell r="E602">
            <v>0</v>
          </cell>
          <cell r="F602">
            <v>0</v>
          </cell>
          <cell r="L602">
            <v>0</v>
          </cell>
          <cell r="M602">
            <v>0</v>
          </cell>
          <cell r="P602">
            <v>0</v>
          </cell>
          <cell r="R602">
            <v>0</v>
          </cell>
          <cell r="S602">
            <v>0</v>
          </cell>
          <cell r="T602">
            <v>0</v>
          </cell>
          <cell r="U602">
            <v>0</v>
          </cell>
        </row>
        <row r="603">
          <cell r="A603" t="str">
            <v>MAY 2016</v>
          </cell>
          <cell r="B603" t="str">
            <v>KUCME295</v>
          </cell>
          <cell r="D603" t="str">
            <v>TE</v>
          </cell>
          <cell r="E603">
            <v>0</v>
          </cell>
          <cell r="F603">
            <v>0</v>
          </cell>
          <cell r="L603">
            <v>0</v>
          </cell>
          <cell r="M603">
            <v>0</v>
          </cell>
          <cell r="P603">
            <v>0</v>
          </cell>
          <cell r="R603">
            <v>0</v>
          </cell>
          <cell r="S603">
            <v>0</v>
          </cell>
          <cell r="T603">
            <v>0</v>
          </cell>
          <cell r="U603">
            <v>0</v>
          </cell>
        </row>
        <row r="604">
          <cell r="A604" t="str">
            <v>MAY 2016</v>
          </cell>
          <cell r="B604" t="str">
            <v>KUCME297</v>
          </cell>
          <cell r="D604" t="str">
            <v>TE</v>
          </cell>
          <cell r="E604">
            <v>0</v>
          </cell>
          <cell r="F604">
            <v>0</v>
          </cell>
          <cell r="L604">
            <v>0</v>
          </cell>
          <cell r="M604">
            <v>0</v>
          </cell>
          <cell r="P604">
            <v>0</v>
          </cell>
          <cell r="R604">
            <v>0</v>
          </cell>
          <cell r="S604">
            <v>0</v>
          </cell>
          <cell r="T604">
            <v>0</v>
          </cell>
          <cell r="U604">
            <v>0</v>
          </cell>
        </row>
        <row r="605">
          <cell r="A605" t="str">
            <v>MAY 2016</v>
          </cell>
          <cell r="B605" t="str">
            <v>KUCME705</v>
          </cell>
          <cell r="D605" t="str">
            <v>SQF</v>
          </cell>
          <cell r="E605">
            <v>0</v>
          </cell>
          <cell r="F605">
            <v>0</v>
          </cell>
          <cell r="L605">
            <v>0</v>
          </cell>
          <cell r="M605">
            <v>0</v>
          </cell>
          <cell r="P605">
            <v>0</v>
          </cell>
          <cell r="R605">
            <v>0</v>
          </cell>
          <cell r="S605">
            <v>0</v>
          </cell>
          <cell r="T605">
            <v>0</v>
          </cell>
          <cell r="U605">
            <v>0</v>
          </cell>
        </row>
        <row r="606">
          <cell r="A606" t="str">
            <v>MAY 2016</v>
          </cell>
          <cell r="B606" t="str">
            <v>KUCME707</v>
          </cell>
          <cell r="D606" t="str">
            <v>LQF</v>
          </cell>
          <cell r="E606">
            <v>0</v>
          </cell>
          <cell r="F606">
            <v>0</v>
          </cell>
          <cell r="L606">
            <v>0</v>
          </cell>
          <cell r="M606">
            <v>0</v>
          </cell>
          <cell r="P606">
            <v>0</v>
          </cell>
          <cell r="R606">
            <v>0</v>
          </cell>
          <cell r="S606">
            <v>0</v>
          </cell>
          <cell r="T606">
            <v>0</v>
          </cell>
          <cell r="U606">
            <v>0</v>
          </cell>
        </row>
        <row r="607">
          <cell r="A607" t="str">
            <v>MAY 2016</v>
          </cell>
          <cell r="B607" t="str">
            <v>KUCME710</v>
          </cell>
          <cell r="D607" t="str">
            <v>GS</v>
          </cell>
          <cell r="E607">
            <v>0</v>
          </cell>
          <cell r="F607">
            <v>0</v>
          </cell>
          <cell r="L607">
            <v>0</v>
          </cell>
          <cell r="M607">
            <v>0</v>
          </cell>
          <cell r="P607">
            <v>0</v>
          </cell>
          <cell r="R607">
            <v>0</v>
          </cell>
          <cell r="S607">
            <v>0</v>
          </cell>
          <cell r="T607">
            <v>0</v>
          </cell>
          <cell r="U607">
            <v>0</v>
          </cell>
        </row>
        <row r="608">
          <cell r="A608" t="str">
            <v>MAY 2016</v>
          </cell>
          <cell r="B608" t="str">
            <v>KUCME713</v>
          </cell>
          <cell r="D608" t="str">
            <v>GS3</v>
          </cell>
          <cell r="E608">
            <v>0</v>
          </cell>
          <cell r="F608">
            <v>0</v>
          </cell>
          <cell r="L608">
            <v>0</v>
          </cell>
          <cell r="M608">
            <v>0</v>
          </cell>
          <cell r="P608">
            <v>0</v>
          </cell>
          <cell r="R608">
            <v>0</v>
          </cell>
          <cell r="S608">
            <v>0</v>
          </cell>
          <cell r="T608">
            <v>0</v>
          </cell>
          <cell r="U608">
            <v>0</v>
          </cell>
        </row>
        <row r="609">
          <cell r="A609" t="str">
            <v>MAY 2016</v>
          </cell>
          <cell r="B609" t="str">
            <v>KUCME841</v>
          </cell>
          <cell r="D609" t="str">
            <v>LRI</v>
          </cell>
          <cell r="E609">
            <v>0</v>
          </cell>
          <cell r="F609">
            <v>0</v>
          </cell>
          <cell r="L609">
            <v>0</v>
          </cell>
          <cell r="M609">
            <v>0</v>
          </cell>
          <cell r="P609">
            <v>0</v>
          </cell>
          <cell r="R609">
            <v>0</v>
          </cell>
          <cell r="S609">
            <v>0</v>
          </cell>
          <cell r="T609">
            <v>0</v>
          </cell>
          <cell r="U609">
            <v>0</v>
          </cell>
        </row>
        <row r="610">
          <cell r="A610" t="str">
            <v>MAY 2016</v>
          </cell>
          <cell r="B610" t="str">
            <v>KUCSR760</v>
          </cell>
          <cell r="D610" t="str">
            <v>CSR</v>
          </cell>
          <cell r="E610">
            <v>0</v>
          </cell>
          <cell r="F610">
            <v>0</v>
          </cell>
          <cell r="L610">
            <v>0</v>
          </cell>
          <cell r="M610">
            <v>0</v>
          </cell>
          <cell r="P610">
            <v>-989829</v>
          </cell>
          <cell r="R610">
            <v>-989829</v>
          </cell>
          <cell r="S610">
            <v>0</v>
          </cell>
          <cell r="T610">
            <v>0</v>
          </cell>
          <cell r="U610">
            <v>0</v>
          </cell>
        </row>
        <row r="611">
          <cell r="A611" t="str">
            <v>MAY 2016</v>
          </cell>
          <cell r="B611" t="str">
            <v>KUCSR761</v>
          </cell>
          <cell r="D611" t="str">
            <v>CSR</v>
          </cell>
          <cell r="E611">
            <v>0</v>
          </cell>
          <cell r="F611">
            <v>0</v>
          </cell>
          <cell r="L611">
            <v>0</v>
          </cell>
          <cell r="M611">
            <v>0</v>
          </cell>
          <cell r="P611">
            <v>0</v>
          </cell>
          <cell r="R611">
            <v>0</v>
          </cell>
          <cell r="S611">
            <v>0</v>
          </cell>
          <cell r="T611">
            <v>0</v>
          </cell>
          <cell r="U611">
            <v>0</v>
          </cell>
        </row>
        <row r="612">
          <cell r="A612" t="str">
            <v>MAY 2016</v>
          </cell>
          <cell r="B612" t="str">
            <v>KUCSR781</v>
          </cell>
          <cell r="D612" t="str">
            <v>CSR</v>
          </cell>
          <cell r="E612">
            <v>0</v>
          </cell>
          <cell r="F612">
            <v>0</v>
          </cell>
          <cell r="L612">
            <v>0</v>
          </cell>
          <cell r="M612">
            <v>0</v>
          </cell>
          <cell r="P612">
            <v>0</v>
          </cell>
          <cell r="R612">
            <v>0</v>
          </cell>
          <cell r="S612">
            <v>0</v>
          </cell>
          <cell r="T612">
            <v>0</v>
          </cell>
          <cell r="U612">
            <v>0</v>
          </cell>
        </row>
        <row r="613">
          <cell r="A613" t="str">
            <v>MAY 2016</v>
          </cell>
          <cell r="B613" t="str">
            <v>KUCSR783</v>
          </cell>
          <cell r="D613" t="str">
            <v>CSR</v>
          </cell>
          <cell r="E613">
            <v>0</v>
          </cell>
          <cell r="F613">
            <v>0</v>
          </cell>
          <cell r="L613">
            <v>0</v>
          </cell>
          <cell r="M613">
            <v>0</v>
          </cell>
          <cell r="P613">
            <v>0</v>
          </cell>
          <cell r="R613">
            <v>0</v>
          </cell>
          <cell r="S613">
            <v>0</v>
          </cell>
          <cell r="T613">
            <v>0</v>
          </cell>
          <cell r="U613">
            <v>0</v>
          </cell>
        </row>
        <row r="614">
          <cell r="A614" t="str">
            <v>MAY 2016</v>
          </cell>
          <cell r="B614" t="str">
            <v>KUCUE851</v>
          </cell>
          <cell r="D614" t="str">
            <v>CU</v>
          </cell>
          <cell r="E614">
            <v>0</v>
          </cell>
          <cell r="F614">
            <v>0</v>
          </cell>
          <cell r="L614">
            <v>0</v>
          </cell>
          <cell r="M614">
            <v>0</v>
          </cell>
          <cell r="P614">
            <v>0</v>
          </cell>
          <cell r="R614">
            <v>0</v>
          </cell>
          <cell r="S614">
            <v>0</v>
          </cell>
          <cell r="T614">
            <v>0</v>
          </cell>
          <cell r="U614">
            <v>0</v>
          </cell>
        </row>
        <row r="615">
          <cell r="A615" t="str">
            <v>MAY 2016</v>
          </cell>
          <cell r="B615" t="str">
            <v>KUCUE852</v>
          </cell>
          <cell r="D615" t="str">
            <v>CU</v>
          </cell>
          <cell r="E615">
            <v>0</v>
          </cell>
          <cell r="F615">
            <v>0</v>
          </cell>
          <cell r="L615">
            <v>0</v>
          </cell>
          <cell r="M615">
            <v>0</v>
          </cell>
          <cell r="P615">
            <v>0</v>
          </cell>
          <cell r="R615">
            <v>0</v>
          </cell>
          <cell r="S615">
            <v>0</v>
          </cell>
          <cell r="T615">
            <v>0</v>
          </cell>
          <cell r="U615">
            <v>0</v>
          </cell>
        </row>
        <row r="616">
          <cell r="A616" t="str">
            <v>MAY 2016</v>
          </cell>
          <cell r="B616" t="str">
            <v>KUINE730</v>
          </cell>
          <cell r="D616" t="str">
            <v>FLS</v>
          </cell>
          <cell r="E616">
            <v>48437687</v>
          </cell>
          <cell r="F616">
            <v>750</v>
          </cell>
          <cell r="L616">
            <v>0</v>
          </cell>
          <cell r="M616">
            <v>43712</v>
          </cell>
          <cell r="P616">
            <v>0</v>
          </cell>
          <cell r="R616">
            <v>2672729</v>
          </cell>
          <cell r="S616">
            <v>1579553</v>
          </cell>
          <cell r="T616">
            <v>720199</v>
          </cell>
          <cell r="U616">
            <v>328515</v>
          </cell>
        </row>
        <row r="617">
          <cell r="A617" t="str">
            <v>MAY 2016</v>
          </cell>
          <cell r="B617" t="str">
            <v>KUMNE902</v>
          </cell>
          <cell r="D617" t="str">
            <v>WPS</v>
          </cell>
          <cell r="E617">
            <v>0</v>
          </cell>
          <cell r="F617">
            <v>0</v>
          </cell>
          <cell r="L617">
            <v>0</v>
          </cell>
          <cell r="M617">
            <v>0</v>
          </cell>
          <cell r="P617">
            <v>0</v>
          </cell>
          <cell r="R617">
            <v>0</v>
          </cell>
          <cell r="S617">
            <v>0</v>
          </cell>
          <cell r="T617">
            <v>0</v>
          </cell>
          <cell r="U617">
            <v>0</v>
          </cell>
        </row>
        <row r="618">
          <cell r="A618" t="str">
            <v>MAY 2016</v>
          </cell>
          <cell r="B618" t="str">
            <v>KUMNE903</v>
          </cell>
          <cell r="D618" t="str">
            <v>WPS</v>
          </cell>
          <cell r="E618">
            <v>0</v>
          </cell>
          <cell r="F618">
            <v>0</v>
          </cell>
          <cell r="L618">
            <v>0</v>
          </cell>
          <cell r="M618">
            <v>0</v>
          </cell>
          <cell r="P618">
            <v>0</v>
          </cell>
          <cell r="R618">
            <v>0</v>
          </cell>
          <cell r="S618">
            <v>0</v>
          </cell>
          <cell r="T618">
            <v>0</v>
          </cell>
          <cell r="U618">
            <v>0</v>
          </cell>
        </row>
        <row r="619">
          <cell r="A619" t="str">
            <v>MAY 2016</v>
          </cell>
          <cell r="B619" t="str">
            <v>KUMNE934</v>
          </cell>
          <cell r="D619" t="str">
            <v>WPS</v>
          </cell>
          <cell r="E619">
            <v>0</v>
          </cell>
          <cell r="F619">
            <v>0</v>
          </cell>
          <cell r="L619">
            <v>0</v>
          </cell>
          <cell r="M619">
            <v>0</v>
          </cell>
          <cell r="P619">
            <v>0</v>
          </cell>
          <cell r="R619">
            <v>0</v>
          </cell>
          <cell r="S619">
            <v>0</v>
          </cell>
          <cell r="T619">
            <v>0</v>
          </cell>
          <cell r="U619">
            <v>0</v>
          </cell>
        </row>
        <row r="620">
          <cell r="A620" t="str">
            <v>MAY 2016</v>
          </cell>
          <cell r="B620" t="str">
            <v>KURSE000</v>
          </cell>
          <cell r="D620" t="str">
            <v>TS</v>
          </cell>
          <cell r="E620">
            <v>0</v>
          </cell>
          <cell r="F620">
            <v>0</v>
          </cell>
          <cell r="L620">
            <v>0</v>
          </cell>
          <cell r="M620">
            <v>0</v>
          </cell>
          <cell r="P620">
            <v>0</v>
          </cell>
          <cell r="R620">
            <v>0</v>
          </cell>
          <cell r="S620">
            <v>0</v>
          </cell>
          <cell r="T620">
            <v>0</v>
          </cell>
          <cell r="U620">
            <v>0</v>
          </cell>
        </row>
        <row r="621">
          <cell r="A621" t="str">
            <v>MAY 2016</v>
          </cell>
          <cell r="B621" t="str">
            <v>KURSE010</v>
          </cell>
          <cell r="D621" t="str">
            <v>RS</v>
          </cell>
          <cell r="E621">
            <v>369801141</v>
          </cell>
          <cell r="F621">
            <v>4635251</v>
          </cell>
          <cell r="L621">
            <v>676243</v>
          </cell>
          <cell r="M621">
            <v>333726</v>
          </cell>
          <cell r="P621">
            <v>0</v>
          </cell>
          <cell r="R621">
            <v>36790689</v>
          </cell>
          <cell r="S621">
            <v>28637401</v>
          </cell>
          <cell r="T621">
            <v>0</v>
          </cell>
          <cell r="U621">
            <v>2508069</v>
          </cell>
        </row>
        <row r="622">
          <cell r="A622" t="str">
            <v>MAY 2016</v>
          </cell>
          <cell r="B622" t="str">
            <v>KURSE020</v>
          </cell>
          <cell r="D622" t="str">
            <v>RS</v>
          </cell>
          <cell r="E622">
            <v>0</v>
          </cell>
          <cell r="F622">
            <v>0</v>
          </cell>
          <cell r="L622">
            <v>0</v>
          </cell>
          <cell r="M622">
            <v>0</v>
          </cell>
          <cell r="P622">
            <v>0</v>
          </cell>
          <cell r="R622">
            <v>0</v>
          </cell>
          <cell r="S622">
            <v>0</v>
          </cell>
          <cell r="T622">
            <v>0</v>
          </cell>
          <cell r="U622">
            <v>0</v>
          </cell>
        </row>
        <row r="623">
          <cell r="A623" t="str">
            <v>MAY 2016</v>
          </cell>
          <cell r="B623" t="str">
            <v>KURSE025</v>
          </cell>
          <cell r="D623" t="str">
            <v>RS3</v>
          </cell>
          <cell r="E623">
            <v>0</v>
          </cell>
          <cell r="F623">
            <v>0</v>
          </cell>
          <cell r="L623">
            <v>0</v>
          </cell>
          <cell r="M623">
            <v>0</v>
          </cell>
          <cell r="P623">
            <v>0</v>
          </cell>
          <cell r="R623">
            <v>0</v>
          </cell>
          <cell r="S623">
            <v>0</v>
          </cell>
          <cell r="T623">
            <v>0</v>
          </cell>
          <cell r="U623">
            <v>0</v>
          </cell>
        </row>
        <row r="624">
          <cell r="A624" t="str">
            <v>MAY 2016</v>
          </cell>
          <cell r="B624" t="str">
            <v>KURSE040</v>
          </cell>
          <cell r="D624" t="str">
            <v>RSLEV</v>
          </cell>
          <cell r="E624">
            <v>0</v>
          </cell>
          <cell r="F624">
            <v>0</v>
          </cell>
          <cell r="L624">
            <v>0</v>
          </cell>
          <cell r="M624">
            <v>0</v>
          </cell>
          <cell r="P624">
            <v>0</v>
          </cell>
          <cell r="R624">
            <v>0</v>
          </cell>
          <cell r="S624">
            <v>0</v>
          </cell>
          <cell r="T624">
            <v>0</v>
          </cell>
          <cell r="U624">
            <v>0</v>
          </cell>
        </row>
        <row r="625">
          <cell r="A625" t="str">
            <v>MAY 2016</v>
          </cell>
          <cell r="B625" t="str">
            <v>KURSE080</v>
          </cell>
          <cell r="D625" t="str">
            <v>RSVFD</v>
          </cell>
          <cell r="E625">
            <v>0</v>
          </cell>
          <cell r="F625">
            <v>0</v>
          </cell>
          <cell r="L625">
            <v>0</v>
          </cell>
          <cell r="M625">
            <v>0</v>
          </cell>
          <cell r="P625">
            <v>0</v>
          </cell>
          <cell r="R625">
            <v>0</v>
          </cell>
          <cell r="S625">
            <v>0</v>
          </cell>
          <cell r="T625">
            <v>0</v>
          </cell>
          <cell r="U625">
            <v>0</v>
          </cell>
        </row>
        <row r="626">
          <cell r="A626" t="str">
            <v>MAY 2016</v>
          </cell>
          <cell r="B626" t="str">
            <v>KURSE715</v>
          </cell>
          <cell r="D626" t="str">
            <v>RS</v>
          </cell>
          <cell r="E626">
            <v>0</v>
          </cell>
          <cell r="F626">
            <v>0</v>
          </cell>
          <cell r="L626">
            <v>0</v>
          </cell>
          <cell r="M626">
            <v>0</v>
          </cell>
          <cell r="P626">
            <v>0</v>
          </cell>
          <cell r="R626">
            <v>0</v>
          </cell>
          <cell r="S626">
            <v>0</v>
          </cell>
          <cell r="T626">
            <v>0</v>
          </cell>
          <cell r="U626">
            <v>0</v>
          </cell>
        </row>
        <row r="627">
          <cell r="A627" t="str">
            <v>MAY 2016</v>
          </cell>
          <cell r="B627" t="str">
            <v>ODL</v>
          </cell>
          <cell r="E627">
            <v>9612592</v>
          </cell>
          <cell r="F627">
            <v>0</v>
          </cell>
          <cell r="L627">
            <v>0</v>
          </cell>
          <cell r="M627">
            <v>8675</v>
          </cell>
          <cell r="P627">
            <v>0</v>
          </cell>
          <cell r="R627">
            <v>2203505</v>
          </cell>
          <cell r="S627">
            <v>2129635</v>
          </cell>
          <cell r="T627">
            <v>0</v>
          </cell>
          <cell r="U627">
            <v>65195</v>
          </cell>
        </row>
        <row r="628">
          <cell r="A628" t="str">
            <v>MAY 2016</v>
          </cell>
          <cell r="B628" t="str">
            <v>KUUM_360</v>
          </cell>
          <cell r="D628" t="str">
            <v>LS</v>
          </cell>
          <cell r="S628">
            <v>0</v>
          </cell>
          <cell r="T628">
            <v>0</v>
          </cell>
          <cell r="U628">
            <v>0</v>
          </cell>
        </row>
        <row r="629">
          <cell r="A629" t="str">
            <v>MAY 2016</v>
          </cell>
          <cell r="B629" t="str">
            <v>KUUM_361</v>
          </cell>
          <cell r="D629" t="str">
            <v>LS</v>
          </cell>
          <cell r="S629">
            <v>0</v>
          </cell>
          <cell r="T629">
            <v>0</v>
          </cell>
          <cell r="U629">
            <v>0</v>
          </cell>
        </row>
        <row r="630">
          <cell r="A630" t="str">
            <v>MAY 2016</v>
          </cell>
          <cell r="B630" t="str">
            <v>KUUM_362</v>
          </cell>
          <cell r="D630" t="str">
            <v>LS</v>
          </cell>
          <cell r="S630">
            <v>0</v>
          </cell>
          <cell r="T630">
            <v>0</v>
          </cell>
          <cell r="U630">
            <v>0</v>
          </cell>
        </row>
        <row r="631">
          <cell r="A631" t="str">
            <v>MAY 2016</v>
          </cell>
          <cell r="B631" t="str">
            <v>KUUM_363</v>
          </cell>
          <cell r="D631" t="str">
            <v>LS</v>
          </cell>
          <cell r="S631">
            <v>0</v>
          </cell>
          <cell r="T631">
            <v>0</v>
          </cell>
          <cell r="U631">
            <v>0</v>
          </cell>
        </row>
        <row r="632">
          <cell r="A632" t="str">
            <v>MAY 2016</v>
          </cell>
          <cell r="B632" t="str">
            <v>KUUM_364</v>
          </cell>
          <cell r="D632" t="str">
            <v>LS</v>
          </cell>
          <cell r="S632">
            <v>0</v>
          </cell>
          <cell r="T632">
            <v>0</v>
          </cell>
          <cell r="U632">
            <v>0</v>
          </cell>
        </row>
        <row r="633">
          <cell r="A633" t="str">
            <v>MAY 2016</v>
          </cell>
          <cell r="B633" t="str">
            <v>KUUM_365</v>
          </cell>
          <cell r="D633" t="str">
            <v>LS</v>
          </cell>
          <cell r="S633">
            <v>0</v>
          </cell>
          <cell r="T633">
            <v>0</v>
          </cell>
          <cell r="U633">
            <v>0</v>
          </cell>
        </row>
        <row r="634">
          <cell r="A634" t="str">
            <v>MAY 2016</v>
          </cell>
          <cell r="B634" t="str">
            <v>KUUM_366</v>
          </cell>
          <cell r="D634" t="str">
            <v>LS</v>
          </cell>
          <cell r="S634">
            <v>0</v>
          </cell>
          <cell r="T634">
            <v>0</v>
          </cell>
          <cell r="U634">
            <v>0</v>
          </cell>
        </row>
        <row r="635">
          <cell r="A635" t="str">
            <v>MAY 2016</v>
          </cell>
          <cell r="B635" t="str">
            <v>KUUM_367</v>
          </cell>
          <cell r="D635" t="str">
            <v>LS</v>
          </cell>
          <cell r="S635">
            <v>0</v>
          </cell>
          <cell r="T635">
            <v>0</v>
          </cell>
          <cell r="U635">
            <v>0</v>
          </cell>
        </row>
        <row r="636">
          <cell r="A636" t="str">
            <v>MAY 2016</v>
          </cell>
          <cell r="B636" t="str">
            <v>KUUM_368</v>
          </cell>
          <cell r="D636" t="str">
            <v>LS</v>
          </cell>
          <cell r="S636">
            <v>0</v>
          </cell>
          <cell r="T636">
            <v>0</v>
          </cell>
          <cell r="U636">
            <v>0</v>
          </cell>
        </row>
        <row r="637">
          <cell r="A637" t="str">
            <v>MAY 2016</v>
          </cell>
          <cell r="B637" t="str">
            <v>KUUM_370</v>
          </cell>
          <cell r="D637" t="str">
            <v>LS</v>
          </cell>
          <cell r="S637">
            <v>0</v>
          </cell>
          <cell r="T637">
            <v>0</v>
          </cell>
          <cell r="U637">
            <v>0</v>
          </cell>
        </row>
        <row r="638">
          <cell r="A638" t="str">
            <v>MAY 2016</v>
          </cell>
          <cell r="B638" t="str">
            <v>KUUM_372</v>
          </cell>
          <cell r="D638" t="str">
            <v>LS</v>
          </cell>
          <cell r="S638">
            <v>0</v>
          </cell>
          <cell r="T638">
            <v>0</v>
          </cell>
          <cell r="U638">
            <v>0</v>
          </cell>
        </row>
        <row r="639">
          <cell r="A639" t="str">
            <v>MAY 2016</v>
          </cell>
          <cell r="B639" t="str">
            <v>KUUM_373</v>
          </cell>
          <cell r="D639" t="str">
            <v>LS</v>
          </cell>
          <cell r="S639">
            <v>0</v>
          </cell>
          <cell r="T639">
            <v>0</v>
          </cell>
          <cell r="U639">
            <v>0</v>
          </cell>
        </row>
        <row r="640">
          <cell r="A640" t="str">
            <v>MAY 2016</v>
          </cell>
          <cell r="B640" t="str">
            <v>KUUM_374</v>
          </cell>
          <cell r="D640" t="str">
            <v>LS</v>
          </cell>
          <cell r="S640">
            <v>0</v>
          </cell>
          <cell r="T640">
            <v>0</v>
          </cell>
          <cell r="U640">
            <v>0</v>
          </cell>
        </row>
        <row r="641">
          <cell r="A641" t="str">
            <v>MAY 2016</v>
          </cell>
          <cell r="B641" t="str">
            <v>KUUM_375</v>
          </cell>
          <cell r="D641" t="str">
            <v>LS</v>
          </cell>
          <cell r="S641">
            <v>0</v>
          </cell>
          <cell r="T641">
            <v>0</v>
          </cell>
          <cell r="U641">
            <v>0</v>
          </cell>
        </row>
        <row r="642">
          <cell r="A642" t="str">
            <v>MAY 2016</v>
          </cell>
          <cell r="B642" t="str">
            <v>KUUM_376</v>
          </cell>
          <cell r="D642" t="str">
            <v>LS</v>
          </cell>
          <cell r="S642">
            <v>0</v>
          </cell>
          <cell r="T642">
            <v>0</v>
          </cell>
          <cell r="U642">
            <v>0</v>
          </cell>
        </row>
        <row r="643">
          <cell r="A643" t="str">
            <v>MAY 2016</v>
          </cell>
          <cell r="B643" t="str">
            <v>KUUM_377</v>
          </cell>
          <cell r="D643" t="str">
            <v>LS</v>
          </cell>
          <cell r="S643">
            <v>0</v>
          </cell>
          <cell r="T643">
            <v>0</v>
          </cell>
          <cell r="U643">
            <v>0</v>
          </cell>
        </row>
        <row r="644">
          <cell r="A644" t="str">
            <v>MAY 2016</v>
          </cell>
          <cell r="B644" t="str">
            <v>KUUM_378</v>
          </cell>
          <cell r="D644" t="str">
            <v>LS</v>
          </cell>
          <cell r="S644">
            <v>0</v>
          </cell>
          <cell r="T644">
            <v>0</v>
          </cell>
          <cell r="U644">
            <v>0</v>
          </cell>
        </row>
        <row r="645">
          <cell r="A645" t="str">
            <v>MAY 2016</v>
          </cell>
          <cell r="B645" t="str">
            <v>KUUM_401</v>
          </cell>
          <cell r="D645" t="str">
            <v>LS</v>
          </cell>
          <cell r="S645">
            <v>0</v>
          </cell>
          <cell r="T645">
            <v>0</v>
          </cell>
          <cell r="U645">
            <v>0</v>
          </cell>
        </row>
        <row r="646">
          <cell r="A646" t="str">
            <v>MAY 2016</v>
          </cell>
          <cell r="B646" t="str">
            <v>KUUM_404</v>
          </cell>
          <cell r="D646" t="str">
            <v>RLS</v>
          </cell>
          <cell r="S646">
            <v>0</v>
          </cell>
          <cell r="T646">
            <v>0</v>
          </cell>
          <cell r="U646">
            <v>0</v>
          </cell>
        </row>
        <row r="647">
          <cell r="A647" t="str">
            <v>MAY 2016</v>
          </cell>
          <cell r="B647" t="str">
            <v>KUUM_405</v>
          </cell>
          <cell r="D647" t="str">
            <v>LS</v>
          </cell>
          <cell r="S647">
            <v>0</v>
          </cell>
          <cell r="T647">
            <v>0</v>
          </cell>
          <cell r="U647">
            <v>0</v>
          </cell>
        </row>
        <row r="648">
          <cell r="A648" t="str">
            <v>MAY 2016</v>
          </cell>
          <cell r="B648" t="str">
            <v>KUUM_409</v>
          </cell>
          <cell r="D648" t="str">
            <v>RLS</v>
          </cell>
          <cell r="S648">
            <v>0</v>
          </cell>
          <cell r="T648">
            <v>0</v>
          </cell>
          <cell r="U648">
            <v>0</v>
          </cell>
        </row>
        <row r="649">
          <cell r="A649" t="str">
            <v>MAY 2016</v>
          </cell>
          <cell r="B649" t="str">
            <v>KUUM_410</v>
          </cell>
          <cell r="D649" t="str">
            <v>RLS</v>
          </cell>
          <cell r="S649">
            <v>0</v>
          </cell>
          <cell r="T649">
            <v>0</v>
          </cell>
          <cell r="U649">
            <v>0</v>
          </cell>
        </row>
        <row r="650">
          <cell r="A650" t="str">
            <v>MAY 2016</v>
          </cell>
          <cell r="B650" t="str">
            <v>KUUM_411</v>
          </cell>
          <cell r="D650" t="str">
            <v>LS</v>
          </cell>
          <cell r="S650">
            <v>0</v>
          </cell>
          <cell r="T650">
            <v>0</v>
          </cell>
          <cell r="U650">
            <v>0</v>
          </cell>
        </row>
        <row r="651">
          <cell r="A651" t="str">
            <v>MAY 2016</v>
          </cell>
          <cell r="B651" t="str">
            <v>KUUM_412</v>
          </cell>
          <cell r="D651" t="str">
            <v>RLS</v>
          </cell>
          <cell r="S651">
            <v>0</v>
          </cell>
          <cell r="T651">
            <v>0</v>
          </cell>
          <cell r="U651">
            <v>0</v>
          </cell>
        </row>
        <row r="652">
          <cell r="A652" t="str">
            <v>MAY 2016</v>
          </cell>
          <cell r="B652" t="str">
            <v>KUUM_413</v>
          </cell>
          <cell r="D652" t="str">
            <v>RLS</v>
          </cell>
          <cell r="S652">
            <v>0</v>
          </cell>
          <cell r="T652">
            <v>0</v>
          </cell>
          <cell r="U652">
            <v>0</v>
          </cell>
        </row>
        <row r="653">
          <cell r="A653" t="str">
            <v>MAY 2016</v>
          </cell>
          <cell r="B653" t="str">
            <v>KUUM_414</v>
          </cell>
          <cell r="D653" t="str">
            <v>LS</v>
          </cell>
          <cell r="S653">
            <v>0</v>
          </cell>
          <cell r="T653">
            <v>0</v>
          </cell>
          <cell r="U653">
            <v>0</v>
          </cell>
        </row>
        <row r="654">
          <cell r="A654" t="str">
            <v>MAY 2016</v>
          </cell>
          <cell r="B654" t="str">
            <v>KUUM_415</v>
          </cell>
          <cell r="D654" t="str">
            <v>LS</v>
          </cell>
          <cell r="S654">
            <v>0</v>
          </cell>
          <cell r="T654">
            <v>0</v>
          </cell>
          <cell r="U654">
            <v>0</v>
          </cell>
        </row>
        <row r="655">
          <cell r="A655" t="str">
            <v>MAY 2016</v>
          </cell>
          <cell r="B655" t="str">
            <v>KUUM_420</v>
          </cell>
          <cell r="D655" t="str">
            <v>LS</v>
          </cell>
          <cell r="S655">
            <v>0</v>
          </cell>
          <cell r="T655">
            <v>0</v>
          </cell>
          <cell r="U655">
            <v>0</v>
          </cell>
        </row>
        <row r="656">
          <cell r="A656" t="str">
            <v>MAY 2016</v>
          </cell>
          <cell r="B656" t="str">
            <v>KUUM_421</v>
          </cell>
          <cell r="D656" t="str">
            <v>RLS</v>
          </cell>
          <cell r="S656">
            <v>0</v>
          </cell>
          <cell r="T656">
            <v>0</v>
          </cell>
          <cell r="U656">
            <v>0</v>
          </cell>
        </row>
        <row r="657">
          <cell r="A657" t="str">
            <v>MAY 2016</v>
          </cell>
          <cell r="B657" t="str">
            <v>KUUM_422</v>
          </cell>
          <cell r="D657" t="str">
            <v>RLS</v>
          </cell>
          <cell r="S657">
            <v>0</v>
          </cell>
          <cell r="T657">
            <v>0</v>
          </cell>
          <cell r="U657">
            <v>0</v>
          </cell>
        </row>
        <row r="658">
          <cell r="A658" t="str">
            <v>MAY 2016</v>
          </cell>
          <cell r="B658" t="str">
            <v>KUUM_424</v>
          </cell>
          <cell r="D658" t="str">
            <v>RLS</v>
          </cell>
          <cell r="S658">
            <v>0</v>
          </cell>
          <cell r="T658">
            <v>0</v>
          </cell>
          <cell r="U658">
            <v>0</v>
          </cell>
        </row>
        <row r="659">
          <cell r="A659" t="str">
            <v>MAY 2016</v>
          </cell>
          <cell r="B659" t="str">
            <v>KUUM_425</v>
          </cell>
          <cell r="D659" t="str">
            <v>RLS</v>
          </cell>
          <cell r="S659">
            <v>0</v>
          </cell>
          <cell r="T659">
            <v>0</v>
          </cell>
          <cell r="U659">
            <v>0</v>
          </cell>
        </row>
        <row r="660">
          <cell r="A660" t="str">
            <v>MAY 2016</v>
          </cell>
          <cell r="B660" t="str">
            <v>KUUM_426</v>
          </cell>
          <cell r="D660" t="str">
            <v>RLS</v>
          </cell>
          <cell r="S660">
            <v>0</v>
          </cell>
          <cell r="T660">
            <v>0</v>
          </cell>
          <cell r="U660">
            <v>0</v>
          </cell>
        </row>
        <row r="661">
          <cell r="A661" t="str">
            <v>MAY 2016</v>
          </cell>
          <cell r="B661" t="str">
            <v>KUUM_428</v>
          </cell>
          <cell r="D661" t="str">
            <v>LS</v>
          </cell>
          <cell r="S661">
            <v>0</v>
          </cell>
          <cell r="T661">
            <v>0</v>
          </cell>
          <cell r="U661">
            <v>0</v>
          </cell>
        </row>
        <row r="662">
          <cell r="A662" t="str">
            <v>MAY 2016</v>
          </cell>
          <cell r="B662" t="str">
            <v>KUUM_430</v>
          </cell>
          <cell r="D662" t="str">
            <v>LS</v>
          </cell>
          <cell r="S662">
            <v>0</v>
          </cell>
          <cell r="T662">
            <v>0</v>
          </cell>
          <cell r="U662">
            <v>0</v>
          </cell>
        </row>
        <row r="663">
          <cell r="A663" t="str">
            <v>MAY 2016</v>
          </cell>
          <cell r="B663" t="str">
            <v>KUUM_434</v>
          </cell>
          <cell r="D663" t="str">
            <v>RLS</v>
          </cell>
          <cell r="S663">
            <v>0</v>
          </cell>
          <cell r="T663">
            <v>0</v>
          </cell>
          <cell r="U663">
            <v>0</v>
          </cell>
        </row>
        <row r="664">
          <cell r="A664" t="str">
            <v>MAY 2016</v>
          </cell>
          <cell r="B664" t="str">
            <v>KUUM_440</v>
          </cell>
          <cell r="D664" t="str">
            <v>RLS</v>
          </cell>
          <cell r="S664">
            <v>0</v>
          </cell>
          <cell r="T664">
            <v>0</v>
          </cell>
          <cell r="U664">
            <v>0</v>
          </cell>
        </row>
        <row r="665">
          <cell r="A665" t="str">
            <v>MAY 2016</v>
          </cell>
          <cell r="B665" t="str">
            <v>KUUM_446</v>
          </cell>
          <cell r="D665" t="str">
            <v>RLS</v>
          </cell>
          <cell r="S665">
            <v>0</v>
          </cell>
          <cell r="T665">
            <v>0</v>
          </cell>
          <cell r="U665">
            <v>0</v>
          </cell>
        </row>
        <row r="666">
          <cell r="A666" t="str">
            <v>MAY 2016</v>
          </cell>
          <cell r="B666" t="str">
            <v>KUUM_447</v>
          </cell>
          <cell r="D666" t="str">
            <v>RLS</v>
          </cell>
          <cell r="S666">
            <v>0</v>
          </cell>
          <cell r="T666">
            <v>0</v>
          </cell>
          <cell r="U666">
            <v>0</v>
          </cell>
        </row>
        <row r="667">
          <cell r="A667" t="str">
            <v>MAY 2016</v>
          </cell>
          <cell r="B667" t="str">
            <v>KUUM_448</v>
          </cell>
          <cell r="D667" t="str">
            <v>RLS</v>
          </cell>
          <cell r="S667">
            <v>0</v>
          </cell>
          <cell r="T667">
            <v>0</v>
          </cell>
          <cell r="U667">
            <v>0</v>
          </cell>
        </row>
        <row r="668">
          <cell r="A668" t="str">
            <v>MAY 2016</v>
          </cell>
          <cell r="B668" t="str">
            <v>KUUM_450</v>
          </cell>
          <cell r="D668" t="str">
            <v>LS</v>
          </cell>
          <cell r="S668">
            <v>0</v>
          </cell>
          <cell r="T668">
            <v>0</v>
          </cell>
          <cell r="U668">
            <v>0</v>
          </cell>
        </row>
        <row r="669">
          <cell r="A669" t="str">
            <v>MAY 2016</v>
          </cell>
          <cell r="B669" t="str">
            <v>KUUM_451</v>
          </cell>
          <cell r="D669" t="str">
            <v>LS</v>
          </cell>
          <cell r="S669">
            <v>0</v>
          </cell>
          <cell r="T669">
            <v>0</v>
          </cell>
          <cell r="U669">
            <v>0</v>
          </cell>
        </row>
        <row r="670">
          <cell r="A670" t="str">
            <v>MAY 2016</v>
          </cell>
          <cell r="B670" t="str">
            <v>KUUM_452</v>
          </cell>
          <cell r="D670" t="str">
            <v>LS</v>
          </cell>
          <cell r="S670">
            <v>0</v>
          </cell>
          <cell r="T670">
            <v>0</v>
          </cell>
          <cell r="U670">
            <v>0</v>
          </cell>
        </row>
        <row r="671">
          <cell r="A671" t="str">
            <v>MAY 2016</v>
          </cell>
          <cell r="B671" t="str">
            <v>KUUM_454</v>
          </cell>
          <cell r="D671" t="str">
            <v>RLS</v>
          </cell>
          <cell r="S671">
            <v>0</v>
          </cell>
          <cell r="T671">
            <v>0</v>
          </cell>
          <cell r="U671">
            <v>0</v>
          </cell>
        </row>
        <row r="672">
          <cell r="A672" t="str">
            <v>MAY 2016</v>
          </cell>
          <cell r="B672" t="str">
            <v>KUUM_455</v>
          </cell>
          <cell r="D672" t="str">
            <v>RLS</v>
          </cell>
          <cell r="S672">
            <v>0</v>
          </cell>
          <cell r="T672">
            <v>0</v>
          </cell>
          <cell r="U672">
            <v>0</v>
          </cell>
        </row>
        <row r="673">
          <cell r="A673" t="str">
            <v>MAY 2016</v>
          </cell>
          <cell r="B673" t="str">
            <v>KUUM_456</v>
          </cell>
          <cell r="D673" t="str">
            <v>RLS</v>
          </cell>
          <cell r="S673">
            <v>0</v>
          </cell>
          <cell r="T673">
            <v>0</v>
          </cell>
          <cell r="U673">
            <v>0</v>
          </cell>
        </row>
        <row r="674">
          <cell r="A674" t="str">
            <v>MAY 2016</v>
          </cell>
          <cell r="B674" t="str">
            <v>KUUM_457</v>
          </cell>
          <cell r="D674" t="str">
            <v>RLS</v>
          </cell>
          <cell r="S674">
            <v>0</v>
          </cell>
          <cell r="T674">
            <v>0</v>
          </cell>
          <cell r="U674">
            <v>0</v>
          </cell>
        </row>
        <row r="675">
          <cell r="A675" t="str">
            <v>MAY 2016</v>
          </cell>
          <cell r="B675" t="str">
            <v>KUUM_458</v>
          </cell>
          <cell r="D675" t="str">
            <v>RLS</v>
          </cell>
          <cell r="S675">
            <v>0</v>
          </cell>
          <cell r="T675">
            <v>0</v>
          </cell>
          <cell r="U675">
            <v>0</v>
          </cell>
        </row>
        <row r="676">
          <cell r="A676" t="str">
            <v>MAY 2016</v>
          </cell>
          <cell r="B676" t="str">
            <v>KUUM_459</v>
          </cell>
          <cell r="D676" t="str">
            <v>RLS</v>
          </cell>
          <cell r="S676">
            <v>0</v>
          </cell>
          <cell r="T676">
            <v>0</v>
          </cell>
          <cell r="U676">
            <v>0</v>
          </cell>
        </row>
        <row r="677">
          <cell r="A677" t="str">
            <v>MAY 2016</v>
          </cell>
          <cell r="B677" t="str">
            <v>KUUM_460</v>
          </cell>
          <cell r="D677" t="str">
            <v>RLS</v>
          </cell>
          <cell r="S677">
            <v>0</v>
          </cell>
          <cell r="T677">
            <v>0</v>
          </cell>
          <cell r="U677">
            <v>0</v>
          </cell>
        </row>
        <row r="678">
          <cell r="A678" t="str">
            <v>MAY 2016</v>
          </cell>
          <cell r="B678" t="str">
            <v>KUUM_461</v>
          </cell>
          <cell r="D678" t="str">
            <v>RLS</v>
          </cell>
          <cell r="S678">
            <v>0</v>
          </cell>
          <cell r="T678">
            <v>0</v>
          </cell>
          <cell r="U678">
            <v>0</v>
          </cell>
        </row>
        <row r="679">
          <cell r="A679" t="str">
            <v>MAY 2016</v>
          </cell>
          <cell r="B679" t="str">
            <v>KUUM_462</v>
          </cell>
          <cell r="D679" t="str">
            <v>LS</v>
          </cell>
          <cell r="S679">
            <v>0</v>
          </cell>
          <cell r="T679">
            <v>0</v>
          </cell>
          <cell r="U679">
            <v>0</v>
          </cell>
        </row>
        <row r="680">
          <cell r="A680" t="str">
            <v>MAY 2016</v>
          </cell>
          <cell r="B680" t="str">
            <v>KUUM_463</v>
          </cell>
          <cell r="D680" t="str">
            <v>LS</v>
          </cell>
          <cell r="S680">
            <v>0</v>
          </cell>
          <cell r="T680">
            <v>0</v>
          </cell>
          <cell r="U680">
            <v>0</v>
          </cell>
        </row>
        <row r="681">
          <cell r="A681" t="str">
            <v>MAY 2016</v>
          </cell>
          <cell r="B681" t="str">
            <v>KUUM_464</v>
          </cell>
          <cell r="D681" t="str">
            <v>LS</v>
          </cell>
          <cell r="S681">
            <v>0</v>
          </cell>
          <cell r="T681">
            <v>0</v>
          </cell>
          <cell r="U681">
            <v>0</v>
          </cell>
        </row>
        <row r="682">
          <cell r="A682" t="str">
            <v>MAY 2016</v>
          </cell>
          <cell r="B682" t="str">
            <v>KUUM_465</v>
          </cell>
          <cell r="D682" t="str">
            <v>LS</v>
          </cell>
          <cell r="S682">
            <v>0</v>
          </cell>
          <cell r="T682">
            <v>0</v>
          </cell>
          <cell r="U682">
            <v>0</v>
          </cell>
        </row>
        <row r="683">
          <cell r="A683" t="str">
            <v>MAY 2016</v>
          </cell>
          <cell r="B683" t="str">
            <v>KUUM_465CU</v>
          </cell>
          <cell r="D683" t="str">
            <v>LS</v>
          </cell>
          <cell r="S683">
            <v>0</v>
          </cell>
          <cell r="T683">
            <v>0</v>
          </cell>
          <cell r="U683">
            <v>0</v>
          </cell>
        </row>
        <row r="684">
          <cell r="A684" t="str">
            <v>MAY 2016</v>
          </cell>
          <cell r="B684" t="str">
            <v>KUUM_466</v>
          </cell>
          <cell r="D684" t="str">
            <v>RLS</v>
          </cell>
          <cell r="S684">
            <v>0</v>
          </cell>
          <cell r="T684">
            <v>0</v>
          </cell>
          <cell r="U684">
            <v>0</v>
          </cell>
        </row>
        <row r="685">
          <cell r="A685" t="str">
            <v>MAY 2016</v>
          </cell>
          <cell r="B685" t="str">
            <v>KUUM_467</v>
          </cell>
          <cell r="D685" t="str">
            <v>LS</v>
          </cell>
          <cell r="S685">
            <v>0</v>
          </cell>
          <cell r="T685">
            <v>0</v>
          </cell>
          <cell r="U685">
            <v>0</v>
          </cell>
        </row>
        <row r="686">
          <cell r="A686" t="str">
            <v>MAY 2016</v>
          </cell>
          <cell r="B686" t="str">
            <v>KUUM_468</v>
          </cell>
          <cell r="D686" t="str">
            <v>LS</v>
          </cell>
          <cell r="S686">
            <v>0</v>
          </cell>
          <cell r="T686">
            <v>0</v>
          </cell>
          <cell r="U686">
            <v>0</v>
          </cell>
        </row>
        <row r="687">
          <cell r="A687" t="str">
            <v>MAY 2016</v>
          </cell>
          <cell r="B687" t="str">
            <v>KUUM_469</v>
          </cell>
          <cell r="D687" t="str">
            <v>RLS</v>
          </cell>
          <cell r="S687">
            <v>0</v>
          </cell>
          <cell r="T687">
            <v>0</v>
          </cell>
          <cell r="U687">
            <v>0</v>
          </cell>
        </row>
        <row r="688">
          <cell r="A688" t="str">
            <v>MAY 2016</v>
          </cell>
          <cell r="B688" t="str">
            <v>KUUM_470</v>
          </cell>
          <cell r="D688" t="str">
            <v>RLS</v>
          </cell>
          <cell r="S688">
            <v>0</v>
          </cell>
          <cell r="T688">
            <v>0</v>
          </cell>
          <cell r="U688">
            <v>0</v>
          </cell>
        </row>
        <row r="689">
          <cell r="A689" t="str">
            <v>MAY 2016</v>
          </cell>
          <cell r="B689" t="str">
            <v>KUUM_471</v>
          </cell>
          <cell r="D689" t="str">
            <v>RLS</v>
          </cell>
          <cell r="S689">
            <v>0</v>
          </cell>
          <cell r="T689">
            <v>0</v>
          </cell>
          <cell r="U689">
            <v>0</v>
          </cell>
        </row>
        <row r="690">
          <cell r="A690" t="str">
            <v>MAY 2016</v>
          </cell>
          <cell r="B690" t="str">
            <v>KUUM_472</v>
          </cell>
          <cell r="D690" t="str">
            <v>LS</v>
          </cell>
          <cell r="S690">
            <v>0</v>
          </cell>
          <cell r="T690">
            <v>0</v>
          </cell>
          <cell r="U690">
            <v>0</v>
          </cell>
        </row>
        <row r="691">
          <cell r="A691" t="str">
            <v>MAY 2016</v>
          </cell>
          <cell r="B691" t="str">
            <v>KUUM_473</v>
          </cell>
          <cell r="D691" t="str">
            <v>LS</v>
          </cell>
          <cell r="S691">
            <v>0</v>
          </cell>
          <cell r="T691">
            <v>0</v>
          </cell>
          <cell r="U691">
            <v>0</v>
          </cell>
        </row>
        <row r="692">
          <cell r="A692" t="str">
            <v>MAY 2016</v>
          </cell>
          <cell r="B692" t="str">
            <v>KUUM_474</v>
          </cell>
          <cell r="D692" t="str">
            <v>LS</v>
          </cell>
          <cell r="S692">
            <v>0</v>
          </cell>
          <cell r="T692">
            <v>0</v>
          </cell>
          <cell r="U692">
            <v>0</v>
          </cell>
        </row>
        <row r="693">
          <cell r="A693" t="str">
            <v>MAY 2016</v>
          </cell>
          <cell r="B693" t="str">
            <v>KUUM_475</v>
          </cell>
          <cell r="D693" t="str">
            <v>LS</v>
          </cell>
          <cell r="S693">
            <v>0</v>
          </cell>
          <cell r="T693">
            <v>0</v>
          </cell>
          <cell r="U693">
            <v>0</v>
          </cell>
        </row>
        <row r="694">
          <cell r="A694" t="str">
            <v>MAY 2016</v>
          </cell>
          <cell r="B694" t="str">
            <v>KUUM_476</v>
          </cell>
          <cell r="D694" t="str">
            <v>LS</v>
          </cell>
          <cell r="S694">
            <v>0</v>
          </cell>
          <cell r="T694">
            <v>0</v>
          </cell>
          <cell r="U694">
            <v>0</v>
          </cell>
        </row>
        <row r="695">
          <cell r="A695" t="str">
            <v>MAY 2016</v>
          </cell>
          <cell r="B695" t="str">
            <v>KUUM_477</v>
          </cell>
          <cell r="D695" t="str">
            <v>LS</v>
          </cell>
          <cell r="S695">
            <v>0</v>
          </cell>
          <cell r="T695">
            <v>0</v>
          </cell>
          <cell r="U695">
            <v>0</v>
          </cell>
        </row>
        <row r="696">
          <cell r="A696" t="str">
            <v>MAY 2016</v>
          </cell>
          <cell r="B696" t="str">
            <v>KUUM_478</v>
          </cell>
          <cell r="D696" t="str">
            <v>LS</v>
          </cell>
          <cell r="S696">
            <v>0</v>
          </cell>
          <cell r="T696">
            <v>0</v>
          </cell>
          <cell r="U696">
            <v>0</v>
          </cell>
        </row>
        <row r="697">
          <cell r="A697" t="str">
            <v>MAY 2016</v>
          </cell>
          <cell r="B697" t="str">
            <v>KUUM_479</v>
          </cell>
          <cell r="D697" t="str">
            <v>LS</v>
          </cell>
          <cell r="S697">
            <v>0</v>
          </cell>
          <cell r="T697">
            <v>0</v>
          </cell>
          <cell r="U697">
            <v>0</v>
          </cell>
        </row>
        <row r="698">
          <cell r="A698" t="str">
            <v>MAY 2016</v>
          </cell>
          <cell r="B698" t="str">
            <v>KUUM_487</v>
          </cell>
          <cell r="D698" t="str">
            <v>LS</v>
          </cell>
          <cell r="S698">
            <v>0</v>
          </cell>
          <cell r="T698">
            <v>0</v>
          </cell>
          <cell r="U698">
            <v>0</v>
          </cell>
        </row>
        <row r="699">
          <cell r="A699" t="str">
            <v>MAY 2016</v>
          </cell>
          <cell r="B699" t="str">
            <v>KUUM_488</v>
          </cell>
          <cell r="D699" t="str">
            <v>LS</v>
          </cell>
          <cell r="S699">
            <v>0</v>
          </cell>
          <cell r="T699">
            <v>0</v>
          </cell>
          <cell r="U699">
            <v>0</v>
          </cell>
        </row>
        <row r="700">
          <cell r="A700" t="str">
            <v>MAY 2016</v>
          </cell>
          <cell r="B700" t="str">
            <v>KUUM_489</v>
          </cell>
          <cell r="D700" t="str">
            <v>LS</v>
          </cell>
          <cell r="S700">
            <v>0</v>
          </cell>
          <cell r="T700">
            <v>0</v>
          </cell>
          <cell r="U700">
            <v>0</v>
          </cell>
        </row>
        <row r="701">
          <cell r="A701" t="str">
            <v>MAY 2016</v>
          </cell>
          <cell r="B701" t="str">
            <v>KUUM_490</v>
          </cell>
          <cell r="D701" t="str">
            <v>LS</v>
          </cell>
          <cell r="S701">
            <v>0</v>
          </cell>
          <cell r="T701">
            <v>0</v>
          </cell>
          <cell r="U701">
            <v>0</v>
          </cell>
        </row>
        <row r="702">
          <cell r="A702" t="str">
            <v>MAY 2016</v>
          </cell>
          <cell r="B702" t="str">
            <v>KUUM_491</v>
          </cell>
          <cell r="D702" t="str">
            <v>LS</v>
          </cell>
          <cell r="S702">
            <v>0</v>
          </cell>
          <cell r="T702">
            <v>0</v>
          </cell>
          <cell r="U702">
            <v>0</v>
          </cell>
        </row>
        <row r="703">
          <cell r="A703" t="str">
            <v>MAY 2016</v>
          </cell>
          <cell r="B703" t="str">
            <v>KUUM_492</v>
          </cell>
          <cell r="D703" t="str">
            <v>LS</v>
          </cell>
          <cell r="S703">
            <v>0</v>
          </cell>
          <cell r="T703">
            <v>0</v>
          </cell>
          <cell r="U703">
            <v>0</v>
          </cell>
        </row>
        <row r="704">
          <cell r="A704" t="str">
            <v>MAY 2016</v>
          </cell>
          <cell r="B704" t="str">
            <v>KUUM_493</v>
          </cell>
          <cell r="D704" t="str">
            <v>LS</v>
          </cell>
          <cell r="S704">
            <v>0</v>
          </cell>
          <cell r="T704">
            <v>0</v>
          </cell>
          <cell r="U704">
            <v>0</v>
          </cell>
        </row>
        <row r="705">
          <cell r="A705" t="str">
            <v>MAY 2016</v>
          </cell>
          <cell r="B705" t="str">
            <v>KUUM_494</v>
          </cell>
          <cell r="D705" t="str">
            <v>LS</v>
          </cell>
          <cell r="S705">
            <v>0</v>
          </cell>
          <cell r="T705">
            <v>0</v>
          </cell>
          <cell r="U705">
            <v>0</v>
          </cell>
        </row>
        <row r="706">
          <cell r="A706" t="str">
            <v>MAY 2016</v>
          </cell>
          <cell r="B706" t="str">
            <v>KUUM_495</v>
          </cell>
          <cell r="D706" t="str">
            <v>LS</v>
          </cell>
          <cell r="S706">
            <v>0</v>
          </cell>
          <cell r="T706">
            <v>0</v>
          </cell>
          <cell r="U706">
            <v>0</v>
          </cell>
        </row>
        <row r="707">
          <cell r="A707" t="str">
            <v>MAY 2016</v>
          </cell>
          <cell r="B707" t="str">
            <v>KUUM_496</v>
          </cell>
          <cell r="D707" t="str">
            <v>LS</v>
          </cell>
          <cell r="S707">
            <v>0</v>
          </cell>
          <cell r="T707">
            <v>0</v>
          </cell>
          <cell r="U707">
            <v>0</v>
          </cell>
        </row>
        <row r="708">
          <cell r="A708" t="str">
            <v>MAY 2016</v>
          </cell>
          <cell r="B708" t="str">
            <v>KUUM_497</v>
          </cell>
          <cell r="D708" t="str">
            <v>LS</v>
          </cell>
          <cell r="S708">
            <v>0</v>
          </cell>
          <cell r="T708">
            <v>0</v>
          </cell>
          <cell r="U708">
            <v>0</v>
          </cell>
        </row>
        <row r="709">
          <cell r="A709" t="str">
            <v>MAY 2016</v>
          </cell>
          <cell r="B709" t="str">
            <v>KUUM_498</v>
          </cell>
          <cell r="D709" t="str">
            <v>LS</v>
          </cell>
          <cell r="S709">
            <v>0</v>
          </cell>
          <cell r="T709">
            <v>0</v>
          </cell>
          <cell r="U709">
            <v>0</v>
          </cell>
        </row>
        <row r="710">
          <cell r="A710" t="str">
            <v>MAY 2016</v>
          </cell>
          <cell r="B710" t="str">
            <v>KUUM_499</v>
          </cell>
          <cell r="D710" t="str">
            <v>LS</v>
          </cell>
          <cell r="S710">
            <v>0</v>
          </cell>
          <cell r="T710">
            <v>0</v>
          </cell>
          <cell r="U710">
            <v>0</v>
          </cell>
        </row>
        <row r="711">
          <cell r="A711" t="str">
            <v>MAY 2016</v>
          </cell>
          <cell r="B711" t="str">
            <v>KUUM_820</v>
          </cell>
          <cell r="D711" t="str">
            <v>ODL</v>
          </cell>
          <cell r="S711">
            <v>0</v>
          </cell>
          <cell r="T711">
            <v>0</v>
          </cell>
          <cell r="U711">
            <v>0</v>
          </cell>
        </row>
        <row r="712">
          <cell r="A712" t="str">
            <v>MAY 2016</v>
          </cell>
          <cell r="B712" t="str">
            <v>KUUM_825</v>
          </cell>
          <cell r="D712" t="str">
            <v>EF</v>
          </cell>
          <cell r="S712">
            <v>0</v>
          </cell>
          <cell r="T712">
            <v>0</v>
          </cell>
          <cell r="U712">
            <v>0</v>
          </cell>
        </row>
        <row r="713">
          <cell r="A713" t="str">
            <v>MAY 2016</v>
          </cell>
          <cell r="B713" t="str">
            <v>KUUM_826</v>
          </cell>
          <cell r="D713" t="str">
            <v>EF</v>
          </cell>
          <cell r="S713">
            <v>0</v>
          </cell>
          <cell r="T713">
            <v>0</v>
          </cell>
          <cell r="U713">
            <v>0</v>
          </cell>
        </row>
        <row r="714">
          <cell r="A714" t="str">
            <v>MAY 2016</v>
          </cell>
          <cell r="B714" t="str">
            <v>KUUM_827</v>
          </cell>
          <cell r="D714" t="str">
            <v>DA</v>
          </cell>
          <cell r="S714">
            <v>0</v>
          </cell>
          <cell r="T714">
            <v>0</v>
          </cell>
          <cell r="U714">
            <v>0</v>
          </cell>
        </row>
        <row r="715">
          <cell r="A715" t="str">
            <v>MAY 2016</v>
          </cell>
          <cell r="B715" t="str">
            <v>KUUM_828</v>
          </cell>
          <cell r="D715" t="str">
            <v>EF</v>
          </cell>
          <cell r="S715">
            <v>0</v>
          </cell>
          <cell r="T715">
            <v>0</v>
          </cell>
          <cell r="U715">
            <v>0</v>
          </cell>
        </row>
        <row r="716">
          <cell r="A716" t="str">
            <v>MAY 2016</v>
          </cell>
          <cell r="B716" t="str">
            <v>KUUM_829</v>
          </cell>
          <cell r="D716" t="str">
            <v>EF</v>
          </cell>
          <cell r="S716">
            <v>0</v>
          </cell>
          <cell r="T716">
            <v>0</v>
          </cell>
          <cell r="U716">
            <v>0</v>
          </cell>
        </row>
        <row r="717">
          <cell r="A717" t="str">
            <v>MAY 2016</v>
          </cell>
          <cell r="B717" t="str">
            <v>ODRSE020</v>
          </cell>
          <cell r="D717" t="str">
            <v>ODRS</v>
          </cell>
          <cell r="S717">
            <v>0</v>
          </cell>
          <cell r="T717">
            <v>0</v>
          </cell>
          <cell r="U717">
            <v>0</v>
          </cell>
        </row>
        <row r="718">
          <cell r="A718" t="str">
            <v>MAY 2016</v>
          </cell>
          <cell r="B718" t="str">
            <v>Result</v>
          </cell>
          <cell r="S718">
            <v>0</v>
          </cell>
          <cell r="T718">
            <v>0</v>
          </cell>
          <cell r="U718">
            <v>0</v>
          </cell>
        </row>
        <row r="719">
          <cell r="A719" t="str">
            <v>JUN 2016</v>
          </cell>
          <cell r="B719" t="str">
            <v>KTRSE020</v>
          </cell>
          <cell r="D719" t="str">
            <v>TNRS</v>
          </cell>
          <cell r="S719">
            <v>0</v>
          </cell>
          <cell r="T719">
            <v>0</v>
          </cell>
          <cell r="U719">
            <v>0</v>
          </cell>
        </row>
        <row r="720">
          <cell r="A720" t="str">
            <v>JUN 2016</v>
          </cell>
          <cell r="B720" t="str">
            <v>KTRSE030</v>
          </cell>
          <cell r="D720" t="str">
            <v>TNRS</v>
          </cell>
          <cell r="S720">
            <v>0</v>
          </cell>
          <cell r="T720">
            <v>0</v>
          </cell>
          <cell r="U720">
            <v>0</v>
          </cell>
        </row>
        <row r="721">
          <cell r="A721" t="str">
            <v>JUN 2016</v>
          </cell>
          <cell r="B721" t="str">
            <v>KTUM_406</v>
          </cell>
          <cell r="D721" t="str">
            <v>TNLS</v>
          </cell>
          <cell r="S721">
            <v>0</v>
          </cell>
          <cell r="T721">
            <v>0</v>
          </cell>
          <cell r="U721">
            <v>0</v>
          </cell>
        </row>
        <row r="722">
          <cell r="A722" t="str">
            <v>JUN 2016</v>
          </cell>
          <cell r="B722" t="str">
            <v>KTUM_428</v>
          </cell>
          <cell r="D722" t="str">
            <v>TNLS</v>
          </cell>
          <cell r="S722">
            <v>0</v>
          </cell>
          <cell r="T722">
            <v>0</v>
          </cell>
          <cell r="U722">
            <v>0</v>
          </cell>
        </row>
        <row r="723">
          <cell r="A723" t="str">
            <v>JUN 2016</v>
          </cell>
          <cell r="B723" t="str">
            <v>KUCIE000</v>
          </cell>
          <cell r="D723" t="str">
            <v>TS</v>
          </cell>
          <cell r="S723">
            <v>0</v>
          </cell>
          <cell r="T723">
            <v>0</v>
          </cell>
          <cell r="U723">
            <v>0</v>
          </cell>
        </row>
        <row r="724">
          <cell r="A724" t="str">
            <v>JUN 2016</v>
          </cell>
          <cell r="B724" t="str">
            <v>KUCIE550</v>
          </cell>
          <cell r="D724" t="str">
            <v>RTS</v>
          </cell>
          <cell r="E724">
            <v>142956520</v>
          </cell>
          <cell r="F724">
            <v>24000</v>
          </cell>
          <cell r="L724">
            <v>0</v>
          </cell>
          <cell r="M724">
            <v>295052</v>
          </cell>
          <cell r="P724">
            <v>0</v>
          </cell>
          <cell r="R724">
            <v>8822422</v>
          </cell>
          <cell r="S724">
            <v>5195040</v>
          </cell>
          <cell r="T724">
            <v>2464052</v>
          </cell>
          <cell r="U724">
            <v>844279</v>
          </cell>
        </row>
        <row r="725">
          <cell r="A725" t="str">
            <v>JUN 2016</v>
          </cell>
          <cell r="B725" t="str">
            <v>KUCIE561</v>
          </cell>
          <cell r="D725" t="str">
            <v>PSP</v>
          </cell>
          <cell r="E725">
            <v>22620251</v>
          </cell>
          <cell r="F725">
            <v>33150</v>
          </cell>
          <cell r="L725">
            <v>32493</v>
          </cell>
          <cell r="M725">
            <v>46687</v>
          </cell>
          <cell r="P725">
            <v>0</v>
          </cell>
          <cell r="R725">
            <v>1950582</v>
          </cell>
          <cell r="S725">
            <v>805734</v>
          </cell>
          <cell r="T725">
            <v>898927</v>
          </cell>
          <cell r="U725">
            <v>133592</v>
          </cell>
        </row>
        <row r="726">
          <cell r="A726" t="str">
            <v>JUN 2016</v>
          </cell>
          <cell r="B726" t="str">
            <v>KUCIE562</v>
          </cell>
          <cell r="D726" t="str">
            <v>PSS</v>
          </cell>
          <cell r="E726">
            <v>197280181</v>
          </cell>
          <cell r="F726">
            <v>414900</v>
          </cell>
          <cell r="L726">
            <v>283388</v>
          </cell>
          <cell r="M726">
            <v>407172</v>
          </cell>
          <cell r="P726">
            <v>0</v>
          </cell>
          <cell r="R726">
            <v>18737447</v>
          </cell>
          <cell r="S726">
            <v>7031066</v>
          </cell>
          <cell r="T726">
            <v>9435816</v>
          </cell>
          <cell r="U726">
            <v>1165106</v>
          </cell>
        </row>
        <row r="727">
          <cell r="A727" t="str">
            <v>JUN 2016</v>
          </cell>
          <cell r="B727" t="str">
            <v>KUCIE563</v>
          </cell>
          <cell r="D727" t="str">
            <v>TODP</v>
          </cell>
          <cell r="E727">
            <v>279162975</v>
          </cell>
          <cell r="F727">
            <v>15600</v>
          </cell>
          <cell r="L727">
            <v>401010</v>
          </cell>
          <cell r="M727">
            <v>576172</v>
          </cell>
          <cell r="P727">
            <v>0</v>
          </cell>
          <cell r="R727">
            <v>17806586</v>
          </cell>
          <cell r="S727">
            <v>10510486</v>
          </cell>
          <cell r="T727">
            <v>4654625</v>
          </cell>
          <cell r="U727">
            <v>1648694</v>
          </cell>
        </row>
        <row r="728">
          <cell r="A728" t="str">
            <v>JUN 2016</v>
          </cell>
          <cell r="B728" t="str">
            <v>KUCIE566</v>
          </cell>
          <cell r="D728" t="str">
            <v>PSP</v>
          </cell>
          <cell r="E728">
            <v>0</v>
          </cell>
          <cell r="F728">
            <v>0</v>
          </cell>
          <cell r="L728">
            <v>0</v>
          </cell>
          <cell r="M728">
            <v>0</v>
          </cell>
          <cell r="P728">
            <v>0</v>
          </cell>
          <cell r="R728">
            <v>0</v>
          </cell>
          <cell r="S728">
            <v>0</v>
          </cell>
          <cell r="T728">
            <v>0</v>
          </cell>
          <cell r="U728">
            <v>0</v>
          </cell>
        </row>
        <row r="729">
          <cell r="A729" t="str">
            <v>JUN 2016</v>
          </cell>
          <cell r="B729" t="str">
            <v>KUCIE568</v>
          </cell>
          <cell r="D729" t="str">
            <v>PSS</v>
          </cell>
          <cell r="E729">
            <v>0</v>
          </cell>
          <cell r="F729">
            <v>0</v>
          </cell>
          <cell r="L729">
            <v>0</v>
          </cell>
          <cell r="M729">
            <v>0</v>
          </cell>
          <cell r="P729">
            <v>0</v>
          </cell>
          <cell r="R729">
            <v>0</v>
          </cell>
          <cell r="S729">
            <v>0</v>
          </cell>
          <cell r="T729">
            <v>0</v>
          </cell>
          <cell r="U729">
            <v>0</v>
          </cell>
        </row>
        <row r="730">
          <cell r="A730" t="str">
            <v>JUN 2016</v>
          </cell>
          <cell r="B730" t="str">
            <v>KUCIE571</v>
          </cell>
          <cell r="D730" t="str">
            <v>TODP</v>
          </cell>
          <cell r="E730">
            <v>116178634</v>
          </cell>
          <cell r="F730">
            <v>63300</v>
          </cell>
          <cell r="L730">
            <v>166888</v>
          </cell>
          <cell r="M730">
            <v>239784</v>
          </cell>
          <cell r="P730">
            <v>0</v>
          </cell>
          <cell r="R730">
            <v>7868089</v>
          </cell>
          <cell r="S730">
            <v>4374125</v>
          </cell>
          <cell r="T730">
            <v>2337859</v>
          </cell>
          <cell r="U730">
            <v>686133</v>
          </cell>
        </row>
        <row r="731">
          <cell r="A731" t="str">
            <v>JUN 2016</v>
          </cell>
          <cell r="B731" t="str">
            <v>KUCIE572</v>
          </cell>
          <cell r="D731" t="str">
            <v>TODS</v>
          </cell>
          <cell r="E731">
            <v>150027765</v>
          </cell>
          <cell r="F731">
            <v>94400</v>
          </cell>
          <cell r="L731">
            <v>215511</v>
          </cell>
          <cell r="M731">
            <v>309646</v>
          </cell>
          <cell r="P731">
            <v>0</v>
          </cell>
          <cell r="R731">
            <v>10856624</v>
          </cell>
          <cell r="S731">
            <v>5660548</v>
          </cell>
          <cell r="T731">
            <v>3690479</v>
          </cell>
          <cell r="U731">
            <v>886041</v>
          </cell>
        </row>
        <row r="732">
          <cell r="A732" t="str">
            <v>JUN 2016</v>
          </cell>
          <cell r="B732" t="str">
            <v>KUCIE717</v>
          </cell>
          <cell r="D732" t="str">
            <v>PSS</v>
          </cell>
          <cell r="E732">
            <v>0</v>
          </cell>
          <cell r="F732">
            <v>0</v>
          </cell>
          <cell r="L732">
            <v>0</v>
          </cell>
          <cell r="M732">
            <v>0</v>
          </cell>
          <cell r="P732">
            <v>0</v>
          </cell>
          <cell r="R732">
            <v>0</v>
          </cell>
          <cell r="S732">
            <v>0</v>
          </cell>
          <cell r="T732">
            <v>0</v>
          </cell>
          <cell r="U732">
            <v>0</v>
          </cell>
        </row>
        <row r="733">
          <cell r="A733" t="str">
            <v>JUN 2016</v>
          </cell>
          <cell r="B733" t="str">
            <v>KUCME000</v>
          </cell>
          <cell r="D733" t="str">
            <v>TS</v>
          </cell>
          <cell r="E733">
            <v>0</v>
          </cell>
          <cell r="F733">
            <v>0</v>
          </cell>
          <cell r="L733">
            <v>0</v>
          </cell>
          <cell r="M733">
            <v>0</v>
          </cell>
          <cell r="P733">
            <v>0</v>
          </cell>
          <cell r="R733">
            <v>0</v>
          </cell>
          <cell r="S733">
            <v>0</v>
          </cell>
          <cell r="T733">
            <v>0</v>
          </cell>
          <cell r="U733">
            <v>0</v>
          </cell>
        </row>
        <row r="734">
          <cell r="A734" t="str">
            <v>JUN 2016</v>
          </cell>
          <cell r="B734" t="str">
            <v>KUCME110</v>
          </cell>
          <cell r="D734" t="str">
            <v>GS</v>
          </cell>
          <cell r="E734">
            <v>67544147</v>
          </cell>
          <cell r="F734">
            <v>1271517</v>
          </cell>
          <cell r="L734">
            <v>97025</v>
          </cell>
          <cell r="M734">
            <v>139406</v>
          </cell>
          <cell r="P734">
            <v>0</v>
          </cell>
          <cell r="R734">
            <v>8137801</v>
          </cell>
          <cell r="S734">
            <v>6230948</v>
          </cell>
          <cell r="T734">
            <v>0</v>
          </cell>
          <cell r="U734">
            <v>398905</v>
          </cell>
        </row>
        <row r="735">
          <cell r="A735" t="str">
            <v>JUN 2016</v>
          </cell>
          <cell r="B735" t="str">
            <v>KUCME112</v>
          </cell>
          <cell r="D735" t="str">
            <v>GS</v>
          </cell>
          <cell r="E735">
            <v>0</v>
          </cell>
          <cell r="F735">
            <v>0</v>
          </cell>
          <cell r="L735">
            <v>0</v>
          </cell>
          <cell r="M735">
            <v>0</v>
          </cell>
          <cell r="P735">
            <v>0</v>
          </cell>
          <cell r="R735">
            <v>0</v>
          </cell>
          <cell r="S735">
            <v>0</v>
          </cell>
          <cell r="T735">
            <v>0</v>
          </cell>
          <cell r="U735">
            <v>0</v>
          </cell>
        </row>
        <row r="736">
          <cell r="A736" t="str">
            <v>JUN 2016</v>
          </cell>
          <cell r="B736" t="str">
            <v>KUCME113</v>
          </cell>
          <cell r="D736" t="str">
            <v>GS3</v>
          </cell>
          <cell r="E736">
            <v>98940301</v>
          </cell>
          <cell r="F736">
            <v>650446</v>
          </cell>
          <cell r="L736">
            <v>142125</v>
          </cell>
          <cell r="M736">
            <v>204206</v>
          </cell>
          <cell r="P736">
            <v>0</v>
          </cell>
          <cell r="R736">
            <v>10708345</v>
          </cell>
          <cell r="S736">
            <v>9127242</v>
          </cell>
          <cell r="T736">
            <v>0</v>
          </cell>
          <cell r="U736">
            <v>584326</v>
          </cell>
        </row>
        <row r="737">
          <cell r="A737" t="str">
            <v>JUN 2016</v>
          </cell>
          <cell r="B737" t="str">
            <v>KUCME220</v>
          </cell>
          <cell r="D737" t="str">
            <v>AES</v>
          </cell>
          <cell r="E737">
            <v>632032</v>
          </cell>
          <cell r="F737">
            <v>7640</v>
          </cell>
          <cell r="L737">
            <v>908</v>
          </cell>
          <cell r="M737">
            <v>1304</v>
          </cell>
          <cell r="P737">
            <v>0</v>
          </cell>
          <cell r="R737">
            <v>60608</v>
          </cell>
          <cell r="S737">
            <v>47023</v>
          </cell>
          <cell r="T737">
            <v>0</v>
          </cell>
          <cell r="U737">
            <v>3733</v>
          </cell>
        </row>
        <row r="738">
          <cell r="A738" t="str">
            <v>JUN 2016</v>
          </cell>
          <cell r="B738" t="str">
            <v>KUCME221</v>
          </cell>
          <cell r="D738" t="str">
            <v>AESP</v>
          </cell>
          <cell r="E738">
            <v>0</v>
          </cell>
          <cell r="F738">
            <v>0</v>
          </cell>
          <cell r="L738">
            <v>0</v>
          </cell>
          <cell r="M738">
            <v>0</v>
          </cell>
          <cell r="P738">
            <v>0</v>
          </cell>
          <cell r="R738">
            <v>0</v>
          </cell>
          <cell r="S738">
            <v>0</v>
          </cell>
          <cell r="T738">
            <v>0</v>
          </cell>
          <cell r="U738">
            <v>0</v>
          </cell>
        </row>
        <row r="739">
          <cell r="A739" t="str">
            <v>JUN 2016</v>
          </cell>
          <cell r="B739" t="str">
            <v>KUCME223</v>
          </cell>
          <cell r="D739" t="str">
            <v>AES3</v>
          </cell>
          <cell r="E739">
            <v>0</v>
          </cell>
          <cell r="F739">
            <v>0</v>
          </cell>
          <cell r="L739">
            <v>0</v>
          </cell>
          <cell r="M739">
            <v>0</v>
          </cell>
          <cell r="P739">
            <v>0</v>
          </cell>
          <cell r="R739">
            <v>0</v>
          </cell>
          <cell r="S739">
            <v>0</v>
          </cell>
          <cell r="T739">
            <v>0</v>
          </cell>
          <cell r="U739">
            <v>0</v>
          </cell>
        </row>
        <row r="740">
          <cell r="A740" t="str">
            <v>JUN 2016</v>
          </cell>
          <cell r="B740" t="str">
            <v>KUCME224</v>
          </cell>
          <cell r="D740" t="str">
            <v>AES3P</v>
          </cell>
          <cell r="E740">
            <v>11714400</v>
          </cell>
          <cell r="F740">
            <v>9275</v>
          </cell>
          <cell r="L740">
            <v>16827</v>
          </cell>
          <cell r="M740">
            <v>24178</v>
          </cell>
          <cell r="P740">
            <v>0</v>
          </cell>
          <cell r="R740">
            <v>991015</v>
          </cell>
          <cell r="S740">
            <v>871551</v>
          </cell>
          <cell r="T740">
            <v>0</v>
          </cell>
          <cell r="U740">
            <v>69183</v>
          </cell>
        </row>
        <row r="741">
          <cell r="A741" t="str">
            <v>JUN 2016</v>
          </cell>
          <cell r="B741" t="str">
            <v>KUCME225</v>
          </cell>
          <cell r="D741" t="str">
            <v>AES3PSS</v>
          </cell>
          <cell r="E741">
            <v>0</v>
          </cell>
          <cell r="F741">
            <v>0</v>
          </cell>
          <cell r="L741">
            <v>0</v>
          </cell>
          <cell r="M741">
            <v>0</v>
          </cell>
          <cell r="P741">
            <v>0</v>
          </cell>
          <cell r="R741">
            <v>0</v>
          </cell>
          <cell r="S741">
            <v>0</v>
          </cell>
          <cell r="T741">
            <v>0</v>
          </cell>
          <cell r="U741">
            <v>0</v>
          </cell>
        </row>
        <row r="742">
          <cell r="A742" t="str">
            <v>JUN 2016</v>
          </cell>
          <cell r="B742" t="str">
            <v>KUCME226</v>
          </cell>
          <cell r="D742" t="str">
            <v>AESPSS</v>
          </cell>
          <cell r="E742">
            <v>0</v>
          </cell>
          <cell r="F742">
            <v>0</v>
          </cell>
          <cell r="L742">
            <v>0</v>
          </cell>
          <cell r="M742">
            <v>0</v>
          </cell>
          <cell r="P742">
            <v>0</v>
          </cell>
          <cell r="R742">
            <v>0</v>
          </cell>
          <cell r="S742">
            <v>0</v>
          </cell>
          <cell r="T742">
            <v>0</v>
          </cell>
          <cell r="U742">
            <v>0</v>
          </cell>
        </row>
        <row r="743">
          <cell r="A743" t="str">
            <v>JUN 2016</v>
          </cell>
          <cell r="B743" t="str">
            <v>KUCME227</v>
          </cell>
          <cell r="D743" t="str">
            <v>AESTODS</v>
          </cell>
          <cell r="E743">
            <v>0</v>
          </cell>
          <cell r="F743">
            <v>0</v>
          </cell>
          <cell r="L743">
            <v>0</v>
          </cell>
          <cell r="M743">
            <v>0</v>
          </cell>
          <cell r="P743">
            <v>0</v>
          </cell>
          <cell r="R743">
            <v>0</v>
          </cell>
          <cell r="S743">
            <v>0</v>
          </cell>
          <cell r="T743">
            <v>0</v>
          </cell>
          <cell r="U743">
            <v>0</v>
          </cell>
        </row>
        <row r="744">
          <cell r="A744" t="str">
            <v>JUN 2016</v>
          </cell>
          <cell r="B744" t="str">
            <v>KUCME290</v>
          </cell>
          <cell r="D744" t="str">
            <v>LE</v>
          </cell>
          <cell r="E744">
            <v>0</v>
          </cell>
          <cell r="F744">
            <v>0</v>
          </cell>
          <cell r="L744">
            <v>0</v>
          </cell>
          <cell r="M744">
            <v>0</v>
          </cell>
          <cell r="P744">
            <v>0</v>
          </cell>
          <cell r="R744">
            <v>0</v>
          </cell>
          <cell r="S744">
            <v>0</v>
          </cell>
          <cell r="T744">
            <v>0</v>
          </cell>
          <cell r="U744">
            <v>0</v>
          </cell>
        </row>
        <row r="745">
          <cell r="A745" t="str">
            <v>JUN 2016</v>
          </cell>
          <cell r="B745" t="str">
            <v>KUCME291</v>
          </cell>
          <cell r="D745" t="str">
            <v>LE</v>
          </cell>
          <cell r="E745">
            <v>0</v>
          </cell>
          <cell r="F745">
            <v>0</v>
          </cell>
          <cell r="L745">
            <v>0</v>
          </cell>
          <cell r="M745">
            <v>0</v>
          </cell>
          <cell r="P745">
            <v>0</v>
          </cell>
          <cell r="R745">
            <v>0</v>
          </cell>
          <cell r="S745">
            <v>0</v>
          </cell>
          <cell r="T745">
            <v>0</v>
          </cell>
          <cell r="U745">
            <v>0</v>
          </cell>
        </row>
        <row r="746">
          <cell r="A746" t="str">
            <v>JUN 2016</v>
          </cell>
          <cell r="B746" t="str">
            <v>KUCME295</v>
          </cell>
          <cell r="D746" t="str">
            <v>TE</v>
          </cell>
          <cell r="E746">
            <v>0</v>
          </cell>
          <cell r="F746">
            <v>0</v>
          </cell>
          <cell r="L746">
            <v>0</v>
          </cell>
          <cell r="M746">
            <v>0</v>
          </cell>
          <cell r="P746">
            <v>0</v>
          </cell>
          <cell r="R746">
            <v>0</v>
          </cell>
          <cell r="S746">
            <v>0</v>
          </cell>
          <cell r="T746">
            <v>0</v>
          </cell>
          <cell r="U746">
            <v>0</v>
          </cell>
        </row>
        <row r="747">
          <cell r="A747" t="str">
            <v>JUN 2016</v>
          </cell>
          <cell r="B747" t="str">
            <v>KUCME297</v>
          </cell>
          <cell r="D747" t="str">
            <v>TE</v>
          </cell>
          <cell r="E747">
            <v>0</v>
          </cell>
          <cell r="F747">
            <v>0</v>
          </cell>
          <cell r="L747">
            <v>0</v>
          </cell>
          <cell r="M747">
            <v>0</v>
          </cell>
          <cell r="P747">
            <v>0</v>
          </cell>
          <cell r="R747">
            <v>0</v>
          </cell>
          <cell r="S747">
            <v>0</v>
          </cell>
          <cell r="T747">
            <v>0</v>
          </cell>
          <cell r="U747">
            <v>0</v>
          </cell>
        </row>
        <row r="748">
          <cell r="A748" t="str">
            <v>JUN 2016</v>
          </cell>
          <cell r="B748" t="str">
            <v>KUCME705</v>
          </cell>
          <cell r="D748" t="str">
            <v>SQF</v>
          </cell>
          <cell r="E748">
            <v>0</v>
          </cell>
          <cell r="F748">
            <v>0</v>
          </cell>
          <cell r="L748">
            <v>0</v>
          </cell>
          <cell r="M748">
            <v>0</v>
          </cell>
          <cell r="P748">
            <v>0</v>
          </cell>
          <cell r="R748">
            <v>0</v>
          </cell>
          <cell r="S748">
            <v>0</v>
          </cell>
          <cell r="T748">
            <v>0</v>
          </cell>
          <cell r="U748">
            <v>0</v>
          </cell>
        </row>
        <row r="749">
          <cell r="A749" t="str">
            <v>JUN 2016</v>
          </cell>
          <cell r="B749" t="str">
            <v>KUCME707</v>
          </cell>
          <cell r="D749" t="str">
            <v>LQF</v>
          </cell>
          <cell r="E749">
            <v>0</v>
          </cell>
          <cell r="F749">
            <v>0</v>
          </cell>
          <cell r="L749">
            <v>0</v>
          </cell>
          <cell r="M749">
            <v>0</v>
          </cell>
          <cell r="P749">
            <v>0</v>
          </cell>
          <cell r="R749">
            <v>0</v>
          </cell>
          <cell r="S749">
            <v>0</v>
          </cell>
          <cell r="T749">
            <v>0</v>
          </cell>
          <cell r="U749">
            <v>0</v>
          </cell>
        </row>
        <row r="750">
          <cell r="A750" t="str">
            <v>JUN 2016</v>
          </cell>
          <cell r="B750" t="str">
            <v>KUCME710</v>
          </cell>
          <cell r="D750" t="str">
            <v>GS</v>
          </cell>
          <cell r="E750">
            <v>0</v>
          </cell>
          <cell r="F750">
            <v>0</v>
          </cell>
          <cell r="L750">
            <v>0</v>
          </cell>
          <cell r="M750">
            <v>0</v>
          </cell>
          <cell r="P750">
            <v>0</v>
          </cell>
          <cell r="R750">
            <v>0</v>
          </cell>
          <cell r="S750">
            <v>0</v>
          </cell>
          <cell r="T750">
            <v>0</v>
          </cell>
          <cell r="U750">
            <v>0</v>
          </cell>
        </row>
        <row r="751">
          <cell r="A751" t="str">
            <v>JUN 2016</v>
          </cell>
          <cell r="B751" t="str">
            <v>KUCME713</v>
          </cell>
          <cell r="D751" t="str">
            <v>GS3</v>
          </cell>
          <cell r="E751">
            <v>0</v>
          </cell>
          <cell r="F751">
            <v>0</v>
          </cell>
          <cell r="L751">
            <v>0</v>
          </cell>
          <cell r="M751">
            <v>0</v>
          </cell>
          <cell r="P751">
            <v>0</v>
          </cell>
          <cell r="R751">
            <v>0</v>
          </cell>
          <cell r="S751">
            <v>0</v>
          </cell>
          <cell r="T751">
            <v>0</v>
          </cell>
          <cell r="U751">
            <v>0</v>
          </cell>
        </row>
        <row r="752">
          <cell r="A752" t="str">
            <v>JUN 2016</v>
          </cell>
          <cell r="B752" t="str">
            <v>KUCME841</v>
          </cell>
          <cell r="D752" t="str">
            <v>LRI</v>
          </cell>
          <cell r="E752">
            <v>0</v>
          </cell>
          <cell r="F752">
            <v>0</v>
          </cell>
          <cell r="L752">
            <v>0</v>
          </cell>
          <cell r="M752">
            <v>0</v>
          </cell>
          <cell r="P752">
            <v>0</v>
          </cell>
          <cell r="R752">
            <v>0</v>
          </cell>
          <cell r="S752">
            <v>0</v>
          </cell>
          <cell r="T752">
            <v>0</v>
          </cell>
          <cell r="U752">
            <v>0</v>
          </cell>
        </row>
        <row r="753">
          <cell r="A753" t="str">
            <v>JUN 2016</v>
          </cell>
          <cell r="B753" t="str">
            <v>KUCSR760</v>
          </cell>
          <cell r="D753" t="str">
            <v>CSR</v>
          </cell>
          <cell r="E753">
            <v>0</v>
          </cell>
          <cell r="F753">
            <v>0</v>
          </cell>
          <cell r="L753">
            <v>0</v>
          </cell>
          <cell r="M753">
            <v>0</v>
          </cell>
          <cell r="P753">
            <v>-989829</v>
          </cell>
          <cell r="R753">
            <v>-989829</v>
          </cell>
          <cell r="S753">
            <v>0</v>
          </cell>
          <cell r="T753">
            <v>0</v>
          </cell>
          <cell r="U753">
            <v>0</v>
          </cell>
        </row>
        <row r="754">
          <cell r="A754" t="str">
            <v>JUN 2016</v>
          </cell>
          <cell r="B754" t="str">
            <v>KUCSR761</v>
          </cell>
          <cell r="D754" t="str">
            <v>CSR</v>
          </cell>
          <cell r="E754">
            <v>0</v>
          </cell>
          <cell r="F754">
            <v>0</v>
          </cell>
          <cell r="L754">
            <v>0</v>
          </cell>
          <cell r="M754">
            <v>0</v>
          </cell>
          <cell r="P754">
            <v>0</v>
          </cell>
          <cell r="R754">
            <v>0</v>
          </cell>
          <cell r="S754">
            <v>0</v>
          </cell>
          <cell r="T754">
            <v>0</v>
          </cell>
          <cell r="U754">
            <v>0</v>
          </cell>
        </row>
        <row r="755">
          <cell r="A755" t="str">
            <v>JUN 2016</v>
          </cell>
          <cell r="B755" t="str">
            <v>KUCSR781</v>
          </cell>
          <cell r="D755" t="str">
            <v>CSR</v>
          </cell>
          <cell r="E755">
            <v>0</v>
          </cell>
          <cell r="F755">
            <v>0</v>
          </cell>
          <cell r="L755">
            <v>0</v>
          </cell>
          <cell r="M755">
            <v>0</v>
          </cell>
          <cell r="P755">
            <v>0</v>
          </cell>
          <cell r="R755">
            <v>0</v>
          </cell>
          <cell r="S755">
            <v>0</v>
          </cell>
          <cell r="T755">
            <v>0</v>
          </cell>
          <cell r="U755">
            <v>0</v>
          </cell>
        </row>
        <row r="756">
          <cell r="A756" t="str">
            <v>JUN 2016</v>
          </cell>
          <cell r="B756" t="str">
            <v>KUCSR783</v>
          </cell>
          <cell r="D756" t="str">
            <v>CSR</v>
          </cell>
          <cell r="E756">
            <v>0</v>
          </cell>
          <cell r="F756">
            <v>0</v>
          </cell>
          <cell r="L756">
            <v>0</v>
          </cell>
          <cell r="M756">
            <v>0</v>
          </cell>
          <cell r="P756">
            <v>0</v>
          </cell>
          <cell r="R756">
            <v>0</v>
          </cell>
          <cell r="S756">
            <v>0</v>
          </cell>
          <cell r="T756">
            <v>0</v>
          </cell>
          <cell r="U756">
            <v>0</v>
          </cell>
        </row>
        <row r="757">
          <cell r="A757" t="str">
            <v>JUN 2016</v>
          </cell>
          <cell r="B757" t="str">
            <v>KUCUE851</v>
          </cell>
          <cell r="D757" t="str">
            <v>CU</v>
          </cell>
          <cell r="E757">
            <v>0</v>
          </cell>
          <cell r="F757">
            <v>0</v>
          </cell>
          <cell r="L757">
            <v>0</v>
          </cell>
          <cell r="M757">
            <v>0</v>
          </cell>
          <cell r="P757">
            <v>0</v>
          </cell>
          <cell r="R757">
            <v>0</v>
          </cell>
          <cell r="S757">
            <v>0</v>
          </cell>
          <cell r="T757">
            <v>0</v>
          </cell>
          <cell r="U757">
            <v>0</v>
          </cell>
        </row>
        <row r="758">
          <cell r="A758" t="str">
            <v>JUN 2016</v>
          </cell>
          <cell r="B758" t="str">
            <v>KUCUE852</v>
          </cell>
          <cell r="D758" t="str">
            <v>CU</v>
          </cell>
          <cell r="E758">
            <v>0</v>
          </cell>
          <cell r="F758">
            <v>0</v>
          </cell>
          <cell r="L758">
            <v>0</v>
          </cell>
          <cell r="M758">
            <v>0</v>
          </cell>
          <cell r="P758">
            <v>0</v>
          </cell>
          <cell r="R758">
            <v>0</v>
          </cell>
          <cell r="S758">
            <v>0</v>
          </cell>
          <cell r="T758">
            <v>0</v>
          </cell>
          <cell r="U758">
            <v>0</v>
          </cell>
        </row>
        <row r="759">
          <cell r="A759" t="str">
            <v>JUN 2016</v>
          </cell>
          <cell r="B759" t="str">
            <v>KUINE730</v>
          </cell>
          <cell r="D759" t="str">
            <v>FLS</v>
          </cell>
          <cell r="E759">
            <v>45688667</v>
          </cell>
          <cell r="F759">
            <v>750</v>
          </cell>
          <cell r="L759">
            <v>0</v>
          </cell>
          <cell r="M759">
            <v>94298</v>
          </cell>
          <cell r="P759">
            <v>0</v>
          </cell>
          <cell r="R759">
            <v>2574985</v>
          </cell>
          <cell r="S759">
            <v>1489907</v>
          </cell>
          <cell r="T759">
            <v>720199</v>
          </cell>
          <cell r="U759">
            <v>269830</v>
          </cell>
        </row>
        <row r="760">
          <cell r="A760" t="str">
            <v>JUN 2016</v>
          </cell>
          <cell r="B760" t="str">
            <v>KUMNE902</v>
          </cell>
          <cell r="D760" t="str">
            <v>WPS</v>
          </cell>
          <cell r="E760">
            <v>0</v>
          </cell>
          <cell r="F760">
            <v>0</v>
          </cell>
          <cell r="L760">
            <v>0</v>
          </cell>
          <cell r="M760">
            <v>0</v>
          </cell>
          <cell r="P760">
            <v>0</v>
          </cell>
          <cell r="R760">
            <v>0</v>
          </cell>
          <cell r="S760">
            <v>0</v>
          </cell>
          <cell r="T760">
            <v>0</v>
          </cell>
          <cell r="U760">
            <v>0</v>
          </cell>
        </row>
        <row r="761">
          <cell r="A761" t="str">
            <v>JUN 2016</v>
          </cell>
          <cell r="B761" t="str">
            <v>KUMNE903</v>
          </cell>
          <cell r="D761" t="str">
            <v>WPS</v>
          </cell>
          <cell r="E761">
            <v>0</v>
          </cell>
          <cell r="F761">
            <v>0</v>
          </cell>
          <cell r="L761">
            <v>0</v>
          </cell>
          <cell r="M761">
            <v>0</v>
          </cell>
          <cell r="P761">
            <v>0</v>
          </cell>
          <cell r="R761">
            <v>0</v>
          </cell>
          <cell r="S761">
            <v>0</v>
          </cell>
          <cell r="T761">
            <v>0</v>
          </cell>
          <cell r="U761">
            <v>0</v>
          </cell>
        </row>
        <row r="762">
          <cell r="A762" t="str">
            <v>JUN 2016</v>
          </cell>
          <cell r="B762" t="str">
            <v>KUMNE934</v>
          </cell>
          <cell r="D762" t="str">
            <v>WPS</v>
          </cell>
          <cell r="E762">
            <v>0</v>
          </cell>
          <cell r="F762">
            <v>0</v>
          </cell>
          <cell r="L762">
            <v>0</v>
          </cell>
          <cell r="M762">
            <v>0</v>
          </cell>
          <cell r="P762">
            <v>0</v>
          </cell>
          <cell r="R762">
            <v>0</v>
          </cell>
          <cell r="S762">
            <v>0</v>
          </cell>
          <cell r="T762">
            <v>0</v>
          </cell>
          <cell r="U762">
            <v>0</v>
          </cell>
        </row>
        <row r="763">
          <cell r="A763" t="str">
            <v>JUN 2016</v>
          </cell>
          <cell r="B763" t="str">
            <v>KURSE000</v>
          </cell>
          <cell r="D763" t="str">
            <v>TS</v>
          </cell>
          <cell r="E763">
            <v>0</v>
          </cell>
          <cell r="F763">
            <v>0</v>
          </cell>
          <cell r="L763">
            <v>0</v>
          </cell>
          <cell r="M763">
            <v>0</v>
          </cell>
          <cell r="P763">
            <v>0</v>
          </cell>
          <cell r="R763">
            <v>0</v>
          </cell>
          <cell r="S763">
            <v>0</v>
          </cell>
          <cell r="T763">
            <v>0</v>
          </cell>
          <cell r="U763">
            <v>0</v>
          </cell>
        </row>
        <row r="764">
          <cell r="A764" t="str">
            <v>JUN 2016</v>
          </cell>
          <cell r="B764" t="str">
            <v>KURSE010</v>
          </cell>
          <cell r="D764" t="str">
            <v>RS</v>
          </cell>
          <cell r="E764">
            <v>466274258</v>
          </cell>
          <cell r="F764">
            <v>4637210</v>
          </cell>
          <cell r="L764">
            <v>669791</v>
          </cell>
          <cell r="M764">
            <v>962356</v>
          </cell>
          <cell r="P764">
            <v>0</v>
          </cell>
          <cell r="R764">
            <v>45131380</v>
          </cell>
          <cell r="S764">
            <v>36108279</v>
          </cell>
          <cell r="T764">
            <v>0</v>
          </cell>
          <cell r="U764">
            <v>2753744</v>
          </cell>
        </row>
        <row r="765">
          <cell r="A765" t="str">
            <v>JUN 2016</v>
          </cell>
          <cell r="B765" t="str">
            <v>KURSE020</v>
          </cell>
          <cell r="D765" t="str">
            <v>RS</v>
          </cell>
          <cell r="E765">
            <v>0</v>
          </cell>
          <cell r="F765">
            <v>0</v>
          </cell>
          <cell r="L765">
            <v>0</v>
          </cell>
          <cell r="M765">
            <v>0</v>
          </cell>
          <cell r="P765">
            <v>0</v>
          </cell>
          <cell r="R765">
            <v>0</v>
          </cell>
          <cell r="S765">
            <v>0</v>
          </cell>
          <cell r="T765">
            <v>0</v>
          </cell>
          <cell r="U765">
            <v>0</v>
          </cell>
        </row>
        <row r="766">
          <cell r="A766" t="str">
            <v>JUN 2016</v>
          </cell>
          <cell r="B766" t="str">
            <v>KURSE025</v>
          </cell>
          <cell r="D766" t="str">
            <v>RS3</v>
          </cell>
          <cell r="E766">
            <v>0</v>
          </cell>
          <cell r="F766">
            <v>0</v>
          </cell>
          <cell r="L766">
            <v>0</v>
          </cell>
          <cell r="M766">
            <v>0</v>
          </cell>
          <cell r="P766">
            <v>0</v>
          </cell>
          <cell r="R766">
            <v>0</v>
          </cell>
          <cell r="S766">
            <v>0</v>
          </cell>
          <cell r="T766">
            <v>0</v>
          </cell>
          <cell r="U766">
            <v>0</v>
          </cell>
        </row>
        <row r="767">
          <cell r="A767" t="str">
            <v>JUN 2016</v>
          </cell>
          <cell r="B767" t="str">
            <v>KURSE040</v>
          </cell>
          <cell r="D767" t="str">
            <v>RSLEV</v>
          </cell>
          <cell r="E767">
            <v>0</v>
          </cell>
          <cell r="F767">
            <v>0</v>
          </cell>
          <cell r="L767">
            <v>0</v>
          </cell>
          <cell r="M767">
            <v>0</v>
          </cell>
          <cell r="P767">
            <v>0</v>
          </cell>
          <cell r="R767">
            <v>0</v>
          </cell>
          <cell r="S767">
            <v>0</v>
          </cell>
          <cell r="T767">
            <v>0</v>
          </cell>
          <cell r="U767">
            <v>0</v>
          </cell>
        </row>
        <row r="768">
          <cell r="A768" t="str">
            <v>JUN 2016</v>
          </cell>
          <cell r="B768" t="str">
            <v>KURSE080</v>
          </cell>
          <cell r="D768" t="str">
            <v>RSVFD</v>
          </cell>
          <cell r="E768">
            <v>0</v>
          </cell>
          <cell r="F768">
            <v>0</v>
          </cell>
          <cell r="L768">
            <v>0</v>
          </cell>
          <cell r="M768">
            <v>0</v>
          </cell>
          <cell r="P768">
            <v>0</v>
          </cell>
          <cell r="R768">
            <v>0</v>
          </cell>
          <cell r="S768">
            <v>0</v>
          </cell>
          <cell r="T768">
            <v>0</v>
          </cell>
          <cell r="U768">
            <v>0</v>
          </cell>
        </row>
        <row r="769">
          <cell r="A769" t="str">
            <v>JUN 2016</v>
          </cell>
          <cell r="B769" t="str">
            <v>KURSE715</v>
          </cell>
          <cell r="D769" t="str">
            <v>RS</v>
          </cell>
          <cell r="E769">
            <v>0</v>
          </cell>
          <cell r="F769">
            <v>0</v>
          </cell>
          <cell r="L769">
            <v>0</v>
          </cell>
          <cell r="M769">
            <v>0</v>
          </cell>
          <cell r="P769">
            <v>0</v>
          </cell>
          <cell r="R769">
            <v>0</v>
          </cell>
          <cell r="S769">
            <v>0</v>
          </cell>
          <cell r="T769">
            <v>0</v>
          </cell>
          <cell r="U769">
            <v>0</v>
          </cell>
        </row>
        <row r="770">
          <cell r="A770" t="str">
            <v>JUN 2016</v>
          </cell>
          <cell r="B770" t="str">
            <v>ODL</v>
          </cell>
          <cell r="E770">
            <v>9184135</v>
          </cell>
          <cell r="F770">
            <v>0</v>
          </cell>
          <cell r="L770">
            <v>0</v>
          </cell>
          <cell r="M770">
            <v>18955</v>
          </cell>
          <cell r="P770">
            <v>0</v>
          </cell>
          <cell r="R770">
            <v>2216156</v>
          </cell>
          <cell r="S770">
            <v>2142961</v>
          </cell>
          <cell r="T770">
            <v>0</v>
          </cell>
          <cell r="U770">
            <v>54240</v>
          </cell>
        </row>
        <row r="771">
          <cell r="A771" t="str">
            <v>JUN 2016</v>
          </cell>
          <cell r="B771" t="str">
            <v>KUUM_360</v>
          </cell>
          <cell r="D771" t="str">
            <v>LS</v>
          </cell>
          <cell r="S771">
            <v>0</v>
          </cell>
          <cell r="T771">
            <v>0</v>
          </cell>
          <cell r="U771">
            <v>0</v>
          </cell>
        </row>
        <row r="772">
          <cell r="A772" t="str">
            <v>JUN 2016</v>
          </cell>
          <cell r="B772" t="str">
            <v>KUUM_361</v>
          </cell>
          <cell r="D772" t="str">
            <v>LS</v>
          </cell>
          <cell r="S772">
            <v>0</v>
          </cell>
          <cell r="T772">
            <v>0</v>
          </cell>
          <cell r="U772">
            <v>0</v>
          </cell>
        </row>
        <row r="773">
          <cell r="A773" t="str">
            <v>JUN 2016</v>
          </cell>
          <cell r="B773" t="str">
            <v>KUUM_362</v>
          </cell>
          <cell r="D773" t="str">
            <v>LS</v>
          </cell>
          <cell r="S773">
            <v>0</v>
          </cell>
          <cell r="T773">
            <v>0</v>
          </cell>
          <cell r="U773">
            <v>0</v>
          </cell>
        </row>
        <row r="774">
          <cell r="A774" t="str">
            <v>JUN 2016</v>
          </cell>
          <cell r="B774" t="str">
            <v>KUUM_363</v>
          </cell>
          <cell r="D774" t="str">
            <v>LS</v>
          </cell>
          <cell r="S774">
            <v>0</v>
          </cell>
          <cell r="T774">
            <v>0</v>
          </cell>
          <cell r="U774">
            <v>0</v>
          </cell>
        </row>
        <row r="775">
          <cell r="A775" t="str">
            <v>JUN 2016</v>
          </cell>
          <cell r="B775" t="str">
            <v>KUUM_364</v>
          </cell>
          <cell r="D775" t="str">
            <v>LS</v>
          </cell>
          <cell r="S775">
            <v>0</v>
          </cell>
          <cell r="T775">
            <v>0</v>
          </cell>
          <cell r="U775">
            <v>0</v>
          </cell>
        </row>
        <row r="776">
          <cell r="A776" t="str">
            <v>JUN 2016</v>
          </cell>
          <cell r="B776" t="str">
            <v>KUUM_365</v>
          </cell>
          <cell r="D776" t="str">
            <v>LS</v>
          </cell>
          <cell r="S776">
            <v>0</v>
          </cell>
          <cell r="T776">
            <v>0</v>
          </cell>
          <cell r="U776">
            <v>0</v>
          </cell>
        </row>
        <row r="777">
          <cell r="A777" t="str">
            <v>JUN 2016</v>
          </cell>
          <cell r="B777" t="str">
            <v>KUUM_366</v>
          </cell>
          <cell r="D777" t="str">
            <v>LS</v>
          </cell>
          <cell r="S777">
            <v>0</v>
          </cell>
          <cell r="T777">
            <v>0</v>
          </cell>
          <cell r="U777">
            <v>0</v>
          </cell>
        </row>
        <row r="778">
          <cell r="A778" t="str">
            <v>JUN 2016</v>
          </cell>
          <cell r="B778" t="str">
            <v>KUUM_367</v>
          </cell>
          <cell r="D778" t="str">
            <v>LS</v>
          </cell>
          <cell r="S778">
            <v>0</v>
          </cell>
          <cell r="T778">
            <v>0</v>
          </cell>
          <cell r="U778">
            <v>0</v>
          </cell>
        </row>
        <row r="779">
          <cell r="A779" t="str">
            <v>JUN 2016</v>
          </cell>
          <cell r="B779" t="str">
            <v>KUUM_368</v>
          </cell>
          <cell r="D779" t="str">
            <v>LS</v>
          </cell>
          <cell r="S779">
            <v>0</v>
          </cell>
          <cell r="T779">
            <v>0</v>
          </cell>
          <cell r="U779">
            <v>0</v>
          </cell>
        </row>
        <row r="780">
          <cell r="A780" t="str">
            <v>JUN 2016</v>
          </cell>
          <cell r="B780" t="str">
            <v>KUUM_370</v>
          </cell>
          <cell r="D780" t="str">
            <v>LS</v>
          </cell>
          <cell r="S780">
            <v>0</v>
          </cell>
          <cell r="T780">
            <v>0</v>
          </cell>
          <cell r="U780">
            <v>0</v>
          </cell>
        </row>
        <row r="781">
          <cell r="A781" t="str">
            <v>JUN 2016</v>
          </cell>
          <cell r="B781" t="str">
            <v>KUUM_372</v>
          </cell>
          <cell r="D781" t="str">
            <v>LS</v>
          </cell>
          <cell r="S781">
            <v>0</v>
          </cell>
          <cell r="T781">
            <v>0</v>
          </cell>
          <cell r="U781">
            <v>0</v>
          </cell>
        </row>
        <row r="782">
          <cell r="A782" t="str">
            <v>JUN 2016</v>
          </cell>
          <cell r="B782" t="str">
            <v>KUUM_373</v>
          </cell>
          <cell r="D782" t="str">
            <v>LS</v>
          </cell>
          <cell r="S782">
            <v>0</v>
          </cell>
          <cell r="T782">
            <v>0</v>
          </cell>
          <cell r="U782">
            <v>0</v>
          </cell>
        </row>
        <row r="783">
          <cell r="A783" t="str">
            <v>JUN 2016</v>
          </cell>
          <cell r="B783" t="str">
            <v>KUUM_374</v>
          </cell>
          <cell r="D783" t="str">
            <v>LS</v>
          </cell>
          <cell r="S783">
            <v>0</v>
          </cell>
          <cell r="T783">
            <v>0</v>
          </cell>
          <cell r="U783">
            <v>0</v>
          </cell>
        </row>
        <row r="784">
          <cell r="A784" t="str">
            <v>JUN 2016</v>
          </cell>
          <cell r="B784" t="str">
            <v>KUUM_375</v>
          </cell>
          <cell r="D784" t="str">
            <v>LS</v>
          </cell>
          <cell r="S784">
            <v>0</v>
          </cell>
          <cell r="T784">
            <v>0</v>
          </cell>
          <cell r="U784">
            <v>0</v>
          </cell>
        </row>
        <row r="785">
          <cell r="A785" t="str">
            <v>JUN 2016</v>
          </cell>
          <cell r="B785" t="str">
            <v>KUUM_376</v>
          </cell>
          <cell r="D785" t="str">
            <v>LS</v>
          </cell>
          <cell r="S785">
            <v>0</v>
          </cell>
          <cell r="T785">
            <v>0</v>
          </cell>
          <cell r="U785">
            <v>0</v>
          </cell>
        </row>
        <row r="786">
          <cell r="A786" t="str">
            <v>JUN 2016</v>
          </cell>
          <cell r="B786" t="str">
            <v>KUUM_377</v>
          </cell>
          <cell r="D786" t="str">
            <v>LS</v>
          </cell>
          <cell r="S786">
            <v>0</v>
          </cell>
          <cell r="T786">
            <v>0</v>
          </cell>
          <cell r="U786">
            <v>0</v>
          </cell>
        </row>
        <row r="787">
          <cell r="A787" t="str">
            <v>JUN 2016</v>
          </cell>
          <cell r="B787" t="str">
            <v>KUUM_378</v>
          </cell>
          <cell r="D787" t="str">
            <v>LS</v>
          </cell>
          <cell r="S787">
            <v>0</v>
          </cell>
          <cell r="T787">
            <v>0</v>
          </cell>
          <cell r="U787">
            <v>0</v>
          </cell>
        </row>
        <row r="788">
          <cell r="A788" t="str">
            <v>JUN 2016</v>
          </cell>
          <cell r="B788" t="str">
            <v>KUUM_401</v>
          </cell>
          <cell r="D788" t="str">
            <v>LS</v>
          </cell>
          <cell r="S788">
            <v>0</v>
          </cell>
          <cell r="T788">
            <v>0</v>
          </cell>
          <cell r="U788">
            <v>0</v>
          </cell>
        </row>
        <row r="789">
          <cell r="A789" t="str">
            <v>JUN 2016</v>
          </cell>
          <cell r="B789" t="str">
            <v>KUUM_404</v>
          </cell>
          <cell r="D789" t="str">
            <v>RLS</v>
          </cell>
          <cell r="S789">
            <v>0</v>
          </cell>
          <cell r="T789">
            <v>0</v>
          </cell>
          <cell r="U789">
            <v>0</v>
          </cell>
        </row>
        <row r="790">
          <cell r="A790" t="str">
            <v>JUN 2016</v>
          </cell>
          <cell r="B790" t="str">
            <v>KUUM_405</v>
          </cell>
          <cell r="D790" t="str">
            <v>LS</v>
          </cell>
          <cell r="S790">
            <v>0</v>
          </cell>
          <cell r="T790">
            <v>0</v>
          </cell>
          <cell r="U790">
            <v>0</v>
          </cell>
        </row>
        <row r="791">
          <cell r="A791" t="str">
            <v>JUN 2016</v>
          </cell>
          <cell r="B791" t="str">
            <v>KUUM_409</v>
          </cell>
          <cell r="D791" t="str">
            <v>RLS</v>
          </cell>
          <cell r="S791">
            <v>0</v>
          </cell>
          <cell r="T791">
            <v>0</v>
          </cell>
          <cell r="U791">
            <v>0</v>
          </cell>
        </row>
        <row r="792">
          <cell r="A792" t="str">
            <v>JUN 2016</v>
          </cell>
          <cell r="B792" t="str">
            <v>KUUM_410</v>
          </cell>
          <cell r="D792" t="str">
            <v>RLS</v>
          </cell>
          <cell r="S792">
            <v>0</v>
          </cell>
          <cell r="T792">
            <v>0</v>
          </cell>
          <cell r="U792">
            <v>0</v>
          </cell>
        </row>
        <row r="793">
          <cell r="A793" t="str">
            <v>JUN 2016</v>
          </cell>
          <cell r="B793" t="str">
            <v>KUUM_411</v>
          </cell>
          <cell r="D793" t="str">
            <v>LS</v>
          </cell>
          <cell r="S793">
            <v>0</v>
          </cell>
          <cell r="T793">
            <v>0</v>
          </cell>
          <cell r="U793">
            <v>0</v>
          </cell>
        </row>
        <row r="794">
          <cell r="A794" t="str">
            <v>JUN 2016</v>
          </cell>
          <cell r="B794" t="str">
            <v>KUUM_412</v>
          </cell>
          <cell r="D794" t="str">
            <v>RLS</v>
          </cell>
          <cell r="S794">
            <v>0</v>
          </cell>
          <cell r="T794">
            <v>0</v>
          </cell>
          <cell r="U794">
            <v>0</v>
          </cell>
        </row>
        <row r="795">
          <cell r="A795" t="str">
            <v>JUN 2016</v>
          </cell>
          <cell r="B795" t="str">
            <v>KUUM_413</v>
          </cell>
          <cell r="D795" t="str">
            <v>RLS</v>
          </cell>
          <cell r="S795">
            <v>0</v>
          </cell>
          <cell r="T795">
            <v>0</v>
          </cell>
          <cell r="U795">
            <v>0</v>
          </cell>
        </row>
        <row r="796">
          <cell r="A796" t="str">
            <v>JUN 2016</v>
          </cell>
          <cell r="B796" t="str">
            <v>KUUM_414</v>
          </cell>
          <cell r="D796" t="str">
            <v>LS</v>
          </cell>
          <cell r="S796">
            <v>0</v>
          </cell>
          <cell r="T796">
            <v>0</v>
          </cell>
          <cell r="U796">
            <v>0</v>
          </cell>
        </row>
        <row r="797">
          <cell r="A797" t="str">
            <v>JUN 2016</v>
          </cell>
          <cell r="B797" t="str">
            <v>KUUM_415</v>
          </cell>
          <cell r="D797" t="str">
            <v>LS</v>
          </cell>
          <cell r="S797">
            <v>0</v>
          </cell>
          <cell r="T797">
            <v>0</v>
          </cell>
          <cell r="U797">
            <v>0</v>
          </cell>
        </row>
        <row r="798">
          <cell r="A798" t="str">
            <v>JUN 2016</v>
          </cell>
          <cell r="B798" t="str">
            <v>KUUM_420</v>
          </cell>
          <cell r="D798" t="str">
            <v>LS</v>
          </cell>
          <cell r="S798">
            <v>0</v>
          </cell>
          <cell r="T798">
            <v>0</v>
          </cell>
          <cell r="U798">
            <v>0</v>
          </cell>
        </row>
        <row r="799">
          <cell r="A799" t="str">
            <v>JUN 2016</v>
          </cell>
          <cell r="B799" t="str">
            <v>KUUM_421</v>
          </cell>
          <cell r="D799" t="str">
            <v>RLS</v>
          </cell>
          <cell r="S799">
            <v>0</v>
          </cell>
          <cell r="T799">
            <v>0</v>
          </cell>
          <cell r="U799">
            <v>0</v>
          </cell>
        </row>
        <row r="800">
          <cell r="A800" t="str">
            <v>JUN 2016</v>
          </cell>
          <cell r="B800" t="str">
            <v>KUUM_422</v>
          </cell>
          <cell r="D800" t="str">
            <v>RLS</v>
          </cell>
          <cell r="S800">
            <v>0</v>
          </cell>
          <cell r="T800">
            <v>0</v>
          </cell>
          <cell r="U800">
            <v>0</v>
          </cell>
        </row>
        <row r="801">
          <cell r="A801" t="str">
            <v>JUN 2016</v>
          </cell>
          <cell r="B801" t="str">
            <v>KUUM_424</v>
          </cell>
          <cell r="D801" t="str">
            <v>RLS</v>
          </cell>
          <cell r="S801">
            <v>0</v>
          </cell>
          <cell r="T801">
            <v>0</v>
          </cell>
          <cell r="U801">
            <v>0</v>
          </cell>
        </row>
        <row r="802">
          <cell r="A802" t="str">
            <v>JUN 2016</v>
          </cell>
          <cell r="B802" t="str">
            <v>KUUM_425</v>
          </cell>
          <cell r="D802" t="str">
            <v>RLS</v>
          </cell>
          <cell r="S802">
            <v>0</v>
          </cell>
          <cell r="T802">
            <v>0</v>
          </cell>
          <cell r="U802">
            <v>0</v>
          </cell>
        </row>
        <row r="803">
          <cell r="A803" t="str">
            <v>JUN 2016</v>
          </cell>
          <cell r="B803" t="str">
            <v>KUUM_426</v>
          </cell>
          <cell r="D803" t="str">
            <v>RLS</v>
          </cell>
          <cell r="S803">
            <v>0</v>
          </cell>
          <cell r="T803">
            <v>0</v>
          </cell>
          <cell r="U803">
            <v>0</v>
          </cell>
        </row>
        <row r="804">
          <cell r="A804" t="str">
            <v>JUN 2016</v>
          </cell>
          <cell r="B804" t="str">
            <v>KUUM_428</v>
          </cell>
          <cell r="D804" t="str">
            <v>LS</v>
          </cell>
          <cell r="S804">
            <v>0</v>
          </cell>
          <cell r="T804">
            <v>0</v>
          </cell>
          <cell r="U804">
            <v>0</v>
          </cell>
        </row>
        <row r="805">
          <cell r="A805" t="str">
            <v>JUN 2016</v>
          </cell>
          <cell r="B805" t="str">
            <v>KUUM_430</v>
          </cell>
          <cell r="D805" t="str">
            <v>LS</v>
          </cell>
          <cell r="S805">
            <v>0</v>
          </cell>
          <cell r="T805">
            <v>0</v>
          </cell>
          <cell r="U805">
            <v>0</v>
          </cell>
        </row>
        <row r="806">
          <cell r="A806" t="str">
            <v>JUN 2016</v>
          </cell>
          <cell r="B806" t="str">
            <v>KUUM_434</v>
          </cell>
          <cell r="D806" t="str">
            <v>RLS</v>
          </cell>
          <cell r="S806">
            <v>0</v>
          </cell>
          <cell r="T806">
            <v>0</v>
          </cell>
          <cell r="U806">
            <v>0</v>
          </cell>
        </row>
        <row r="807">
          <cell r="A807" t="str">
            <v>JUN 2016</v>
          </cell>
          <cell r="B807" t="str">
            <v>KUUM_440</v>
          </cell>
          <cell r="D807" t="str">
            <v>RLS</v>
          </cell>
          <cell r="S807">
            <v>0</v>
          </cell>
          <cell r="T807">
            <v>0</v>
          </cell>
          <cell r="U807">
            <v>0</v>
          </cell>
        </row>
        <row r="808">
          <cell r="A808" t="str">
            <v>JUN 2016</v>
          </cell>
          <cell r="B808" t="str">
            <v>KUUM_446</v>
          </cell>
          <cell r="D808" t="str">
            <v>RLS</v>
          </cell>
          <cell r="S808">
            <v>0</v>
          </cell>
          <cell r="T808">
            <v>0</v>
          </cell>
          <cell r="U808">
            <v>0</v>
          </cell>
        </row>
        <row r="809">
          <cell r="A809" t="str">
            <v>JUN 2016</v>
          </cell>
          <cell r="B809" t="str">
            <v>KUUM_447</v>
          </cell>
          <cell r="D809" t="str">
            <v>RLS</v>
          </cell>
          <cell r="S809">
            <v>0</v>
          </cell>
          <cell r="T809">
            <v>0</v>
          </cell>
          <cell r="U809">
            <v>0</v>
          </cell>
        </row>
        <row r="810">
          <cell r="A810" t="str">
            <v>JUN 2016</v>
          </cell>
          <cell r="B810" t="str">
            <v>KUUM_448</v>
          </cell>
          <cell r="D810" t="str">
            <v>RLS</v>
          </cell>
          <cell r="S810">
            <v>0</v>
          </cell>
          <cell r="T810">
            <v>0</v>
          </cell>
          <cell r="U810">
            <v>0</v>
          </cell>
        </row>
        <row r="811">
          <cell r="A811" t="str">
            <v>JUN 2016</v>
          </cell>
          <cell r="B811" t="str">
            <v>KUUM_450</v>
          </cell>
          <cell r="D811" t="str">
            <v>LS</v>
          </cell>
          <cell r="S811">
            <v>0</v>
          </cell>
          <cell r="T811">
            <v>0</v>
          </cell>
          <cell r="U811">
            <v>0</v>
          </cell>
        </row>
        <row r="812">
          <cell r="A812" t="str">
            <v>JUN 2016</v>
          </cell>
          <cell r="B812" t="str">
            <v>KUUM_451</v>
          </cell>
          <cell r="D812" t="str">
            <v>LS</v>
          </cell>
          <cell r="S812">
            <v>0</v>
          </cell>
          <cell r="T812">
            <v>0</v>
          </cell>
          <cell r="U812">
            <v>0</v>
          </cell>
        </row>
        <row r="813">
          <cell r="A813" t="str">
            <v>JUN 2016</v>
          </cell>
          <cell r="B813" t="str">
            <v>KUUM_452</v>
          </cell>
          <cell r="D813" t="str">
            <v>LS</v>
          </cell>
          <cell r="S813">
            <v>0</v>
          </cell>
          <cell r="T813">
            <v>0</v>
          </cell>
          <cell r="U813">
            <v>0</v>
          </cell>
        </row>
        <row r="814">
          <cell r="A814" t="str">
            <v>JUN 2016</v>
          </cell>
          <cell r="B814" t="str">
            <v>KUUM_454</v>
          </cell>
          <cell r="D814" t="str">
            <v>RLS</v>
          </cell>
          <cell r="S814">
            <v>0</v>
          </cell>
          <cell r="T814">
            <v>0</v>
          </cell>
          <cell r="U814">
            <v>0</v>
          </cell>
        </row>
        <row r="815">
          <cell r="A815" t="str">
            <v>JUN 2016</v>
          </cell>
          <cell r="B815" t="str">
            <v>KUUM_455</v>
          </cell>
          <cell r="D815" t="str">
            <v>RLS</v>
          </cell>
          <cell r="S815">
            <v>0</v>
          </cell>
          <cell r="T815">
            <v>0</v>
          </cell>
          <cell r="U815">
            <v>0</v>
          </cell>
        </row>
        <row r="816">
          <cell r="A816" t="str">
            <v>JUN 2016</v>
          </cell>
          <cell r="B816" t="str">
            <v>KUUM_456</v>
          </cell>
          <cell r="D816" t="str">
            <v>RLS</v>
          </cell>
          <cell r="S816">
            <v>0</v>
          </cell>
          <cell r="T816">
            <v>0</v>
          </cell>
          <cell r="U816">
            <v>0</v>
          </cell>
        </row>
        <row r="817">
          <cell r="A817" t="str">
            <v>JUN 2016</v>
          </cell>
          <cell r="B817" t="str">
            <v>KUUM_457</v>
          </cell>
          <cell r="D817" t="str">
            <v>RLS</v>
          </cell>
          <cell r="S817">
            <v>0</v>
          </cell>
          <cell r="T817">
            <v>0</v>
          </cell>
          <cell r="U817">
            <v>0</v>
          </cell>
        </row>
        <row r="818">
          <cell r="A818" t="str">
            <v>JUN 2016</v>
          </cell>
          <cell r="B818" t="str">
            <v>KUUM_458</v>
          </cell>
          <cell r="D818" t="str">
            <v>RLS</v>
          </cell>
          <cell r="S818">
            <v>0</v>
          </cell>
          <cell r="T818">
            <v>0</v>
          </cell>
          <cell r="U818">
            <v>0</v>
          </cell>
        </row>
        <row r="819">
          <cell r="A819" t="str">
            <v>JUN 2016</v>
          </cell>
          <cell r="B819" t="str">
            <v>KUUM_459</v>
          </cell>
          <cell r="D819" t="str">
            <v>RLS</v>
          </cell>
          <cell r="S819">
            <v>0</v>
          </cell>
          <cell r="T819">
            <v>0</v>
          </cell>
          <cell r="U819">
            <v>0</v>
          </cell>
        </row>
        <row r="820">
          <cell r="A820" t="str">
            <v>JUN 2016</v>
          </cell>
          <cell r="B820" t="str">
            <v>KUUM_460</v>
          </cell>
          <cell r="D820" t="str">
            <v>RLS</v>
          </cell>
          <cell r="S820">
            <v>0</v>
          </cell>
          <cell r="T820">
            <v>0</v>
          </cell>
          <cell r="U820">
            <v>0</v>
          </cell>
        </row>
        <row r="821">
          <cell r="A821" t="str">
            <v>JUN 2016</v>
          </cell>
          <cell r="B821" t="str">
            <v>KUUM_461</v>
          </cell>
          <cell r="D821" t="str">
            <v>RLS</v>
          </cell>
          <cell r="S821">
            <v>0</v>
          </cell>
          <cell r="T821">
            <v>0</v>
          </cell>
          <cell r="U821">
            <v>0</v>
          </cell>
        </row>
        <row r="822">
          <cell r="A822" t="str">
            <v>JUN 2016</v>
          </cell>
          <cell r="B822" t="str">
            <v>KUUM_462</v>
          </cell>
          <cell r="D822" t="str">
            <v>LS</v>
          </cell>
          <cell r="S822">
            <v>0</v>
          </cell>
          <cell r="T822">
            <v>0</v>
          </cell>
          <cell r="U822">
            <v>0</v>
          </cell>
        </row>
        <row r="823">
          <cell r="A823" t="str">
            <v>JUN 2016</v>
          </cell>
          <cell r="B823" t="str">
            <v>KUUM_463</v>
          </cell>
          <cell r="D823" t="str">
            <v>LS</v>
          </cell>
          <cell r="S823">
            <v>0</v>
          </cell>
          <cell r="T823">
            <v>0</v>
          </cell>
          <cell r="U823">
            <v>0</v>
          </cell>
        </row>
        <row r="824">
          <cell r="A824" t="str">
            <v>JUN 2016</v>
          </cell>
          <cell r="B824" t="str">
            <v>KUUM_464</v>
          </cell>
          <cell r="D824" t="str">
            <v>LS</v>
          </cell>
          <cell r="S824">
            <v>0</v>
          </cell>
          <cell r="T824">
            <v>0</v>
          </cell>
          <cell r="U824">
            <v>0</v>
          </cell>
        </row>
        <row r="825">
          <cell r="A825" t="str">
            <v>JUN 2016</v>
          </cell>
          <cell r="B825" t="str">
            <v>KUUM_465</v>
          </cell>
          <cell r="D825" t="str">
            <v>LS</v>
          </cell>
          <cell r="S825">
            <v>0</v>
          </cell>
          <cell r="T825">
            <v>0</v>
          </cell>
          <cell r="U825">
            <v>0</v>
          </cell>
        </row>
        <row r="826">
          <cell r="A826" t="str">
            <v>JUN 2016</v>
          </cell>
          <cell r="B826" t="str">
            <v>KUUM_465CU</v>
          </cell>
          <cell r="D826" t="str">
            <v>LS</v>
          </cell>
          <cell r="S826">
            <v>0</v>
          </cell>
          <cell r="T826">
            <v>0</v>
          </cell>
          <cell r="U826">
            <v>0</v>
          </cell>
        </row>
        <row r="827">
          <cell r="A827" t="str">
            <v>JUN 2016</v>
          </cell>
          <cell r="B827" t="str">
            <v>KUUM_466</v>
          </cell>
          <cell r="D827" t="str">
            <v>RLS</v>
          </cell>
          <cell r="S827">
            <v>0</v>
          </cell>
          <cell r="T827">
            <v>0</v>
          </cell>
          <cell r="U827">
            <v>0</v>
          </cell>
        </row>
        <row r="828">
          <cell r="A828" t="str">
            <v>JUN 2016</v>
          </cell>
          <cell r="B828" t="str">
            <v>KUUM_467</v>
          </cell>
          <cell r="D828" t="str">
            <v>LS</v>
          </cell>
          <cell r="S828">
            <v>0</v>
          </cell>
          <cell r="T828">
            <v>0</v>
          </cell>
          <cell r="U828">
            <v>0</v>
          </cell>
        </row>
        <row r="829">
          <cell r="A829" t="str">
            <v>JUN 2016</v>
          </cell>
          <cell r="B829" t="str">
            <v>KUUM_468</v>
          </cell>
          <cell r="D829" t="str">
            <v>LS</v>
          </cell>
          <cell r="S829">
            <v>0</v>
          </cell>
          <cell r="T829">
            <v>0</v>
          </cell>
          <cell r="U829">
            <v>0</v>
          </cell>
        </row>
        <row r="830">
          <cell r="A830" t="str">
            <v>JUN 2016</v>
          </cell>
          <cell r="B830" t="str">
            <v>KUUM_469</v>
          </cell>
          <cell r="D830" t="str">
            <v>RLS</v>
          </cell>
          <cell r="S830">
            <v>0</v>
          </cell>
          <cell r="T830">
            <v>0</v>
          </cell>
          <cell r="U830">
            <v>0</v>
          </cell>
        </row>
        <row r="831">
          <cell r="A831" t="str">
            <v>JUN 2016</v>
          </cell>
          <cell r="B831" t="str">
            <v>KUUM_470</v>
          </cell>
          <cell r="D831" t="str">
            <v>RLS</v>
          </cell>
          <cell r="S831">
            <v>0</v>
          </cell>
          <cell r="T831">
            <v>0</v>
          </cell>
          <cell r="U831">
            <v>0</v>
          </cell>
        </row>
        <row r="832">
          <cell r="A832" t="str">
            <v>JUN 2016</v>
          </cell>
          <cell r="B832" t="str">
            <v>KUUM_471</v>
          </cell>
          <cell r="D832" t="str">
            <v>RLS</v>
          </cell>
          <cell r="S832">
            <v>0</v>
          </cell>
          <cell r="T832">
            <v>0</v>
          </cell>
          <cell r="U832">
            <v>0</v>
          </cell>
        </row>
        <row r="833">
          <cell r="A833" t="str">
            <v>JUN 2016</v>
          </cell>
          <cell r="B833" t="str">
            <v>KUUM_472</v>
          </cell>
          <cell r="D833" t="str">
            <v>LS</v>
          </cell>
          <cell r="S833">
            <v>0</v>
          </cell>
          <cell r="T833">
            <v>0</v>
          </cell>
          <cell r="U833">
            <v>0</v>
          </cell>
        </row>
        <row r="834">
          <cell r="A834" t="str">
            <v>JUN 2016</v>
          </cell>
          <cell r="B834" t="str">
            <v>KUUM_473</v>
          </cell>
          <cell r="D834" t="str">
            <v>LS</v>
          </cell>
          <cell r="S834">
            <v>0</v>
          </cell>
          <cell r="T834">
            <v>0</v>
          </cell>
          <cell r="U834">
            <v>0</v>
          </cell>
        </row>
        <row r="835">
          <cell r="A835" t="str">
            <v>JUN 2016</v>
          </cell>
          <cell r="B835" t="str">
            <v>KUUM_474</v>
          </cell>
          <cell r="D835" t="str">
            <v>LS</v>
          </cell>
          <cell r="S835">
            <v>0</v>
          </cell>
          <cell r="T835">
            <v>0</v>
          </cell>
          <cell r="U835">
            <v>0</v>
          </cell>
        </row>
        <row r="836">
          <cell r="A836" t="str">
            <v>JUN 2016</v>
          </cell>
          <cell r="B836" t="str">
            <v>KUUM_475</v>
          </cell>
          <cell r="D836" t="str">
            <v>LS</v>
          </cell>
          <cell r="S836">
            <v>0</v>
          </cell>
          <cell r="T836">
            <v>0</v>
          </cell>
          <cell r="U836">
            <v>0</v>
          </cell>
        </row>
        <row r="837">
          <cell r="A837" t="str">
            <v>JUN 2016</v>
          </cell>
          <cell r="B837" t="str">
            <v>KUUM_476</v>
          </cell>
          <cell r="D837" t="str">
            <v>LS</v>
          </cell>
          <cell r="S837">
            <v>0</v>
          </cell>
          <cell r="T837">
            <v>0</v>
          </cell>
          <cell r="U837">
            <v>0</v>
          </cell>
        </row>
        <row r="838">
          <cell r="A838" t="str">
            <v>JUN 2016</v>
          </cell>
          <cell r="B838" t="str">
            <v>KUUM_477</v>
          </cell>
          <cell r="D838" t="str">
            <v>LS</v>
          </cell>
          <cell r="S838">
            <v>0</v>
          </cell>
          <cell r="T838">
            <v>0</v>
          </cell>
          <cell r="U838">
            <v>0</v>
          </cell>
        </row>
        <row r="839">
          <cell r="A839" t="str">
            <v>JUN 2016</v>
          </cell>
          <cell r="B839" t="str">
            <v>KUUM_478</v>
          </cell>
          <cell r="D839" t="str">
            <v>LS</v>
          </cell>
          <cell r="S839">
            <v>0</v>
          </cell>
          <cell r="T839">
            <v>0</v>
          </cell>
          <cell r="U839">
            <v>0</v>
          </cell>
        </row>
        <row r="840">
          <cell r="A840" t="str">
            <v>JUN 2016</v>
          </cell>
          <cell r="B840" t="str">
            <v>KUUM_479</v>
          </cell>
          <cell r="D840" t="str">
            <v>LS</v>
          </cell>
          <cell r="S840">
            <v>0</v>
          </cell>
          <cell r="T840">
            <v>0</v>
          </cell>
          <cell r="U840">
            <v>0</v>
          </cell>
        </row>
        <row r="841">
          <cell r="A841" t="str">
            <v>JUN 2016</v>
          </cell>
          <cell r="B841" t="str">
            <v>KUUM_487</v>
          </cell>
          <cell r="D841" t="str">
            <v>LS</v>
          </cell>
          <cell r="S841">
            <v>0</v>
          </cell>
          <cell r="T841">
            <v>0</v>
          </cell>
          <cell r="U841">
            <v>0</v>
          </cell>
        </row>
        <row r="842">
          <cell r="A842" t="str">
            <v>JUN 2016</v>
          </cell>
          <cell r="B842" t="str">
            <v>KUUM_488</v>
          </cell>
          <cell r="D842" t="str">
            <v>LS</v>
          </cell>
          <cell r="S842">
            <v>0</v>
          </cell>
          <cell r="T842">
            <v>0</v>
          </cell>
          <cell r="U842">
            <v>0</v>
          </cell>
        </row>
        <row r="843">
          <cell r="A843" t="str">
            <v>JUN 2016</v>
          </cell>
          <cell r="B843" t="str">
            <v>KUUM_489</v>
          </cell>
          <cell r="D843" t="str">
            <v>LS</v>
          </cell>
          <cell r="S843">
            <v>0</v>
          </cell>
          <cell r="T843">
            <v>0</v>
          </cell>
          <cell r="U843">
            <v>0</v>
          </cell>
        </row>
        <row r="844">
          <cell r="A844" t="str">
            <v>JUN 2016</v>
          </cell>
          <cell r="B844" t="str">
            <v>KUUM_490</v>
          </cell>
          <cell r="D844" t="str">
            <v>LS</v>
          </cell>
          <cell r="S844">
            <v>0</v>
          </cell>
          <cell r="T844">
            <v>0</v>
          </cell>
          <cell r="U844">
            <v>0</v>
          </cell>
        </row>
        <row r="845">
          <cell r="A845" t="str">
            <v>JUN 2016</v>
          </cell>
          <cell r="B845" t="str">
            <v>KUUM_491</v>
          </cell>
          <cell r="D845" t="str">
            <v>LS</v>
          </cell>
          <cell r="S845">
            <v>0</v>
          </cell>
          <cell r="T845">
            <v>0</v>
          </cell>
          <cell r="U845">
            <v>0</v>
          </cell>
        </row>
        <row r="846">
          <cell r="A846" t="str">
            <v>JUN 2016</v>
          </cell>
          <cell r="B846" t="str">
            <v>KUUM_492</v>
          </cell>
          <cell r="D846" t="str">
            <v>LS</v>
          </cell>
          <cell r="S846">
            <v>0</v>
          </cell>
          <cell r="T846">
            <v>0</v>
          </cell>
          <cell r="U846">
            <v>0</v>
          </cell>
        </row>
        <row r="847">
          <cell r="A847" t="str">
            <v>JUN 2016</v>
          </cell>
          <cell r="B847" t="str">
            <v>KUUM_493</v>
          </cell>
          <cell r="D847" t="str">
            <v>LS</v>
          </cell>
          <cell r="S847">
            <v>0</v>
          </cell>
          <cell r="T847">
            <v>0</v>
          </cell>
          <cell r="U847">
            <v>0</v>
          </cell>
        </row>
        <row r="848">
          <cell r="A848" t="str">
            <v>JUN 2016</v>
          </cell>
          <cell r="B848" t="str">
            <v>KUUM_494</v>
          </cell>
          <cell r="D848" t="str">
            <v>LS</v>
          </cell>
          <cell r="S848">
            <v>0</v>
          </cell>
          <cell r="T848">
            <v>0</v>
          </cell>
          <cell r="U848">
            <v>0</v>
          </cell>
        </row>
        <row r="849">
          <cell r="A849" t="str">
            <v>JUN 2016</v>
          </cell>
          <cell r="B849" t="str">
            <v>KUUM_495</v>
          </cell>
          <cell r="D849" t="str">
            <v>LS</v>
          </cell>
          <cell r="S849">
            <v>0</v>
          </cell>
          <cell r="T849">
            <v>0</v>
          </cell>
          <cell r="U849">
            <v>0</v>
          </cell>
        </row>
        <row r="850">
          <cell r="A850" t="str">
            <v>JUN 2016</v>
          </cell>
          <cell r="B850" t="str">
            <v>KUUM_496</v>
          </cell>
          <cell r="D850" t="str">
            <v>LS</v>
          </cell>
          <cell r="S850">
            <v>0</v>
          </cell>
          <cell r="T850">
            <v>0</v>
          </cell>
          <cell r="U850">
            <v>0</v>
          </cell>
        </row>
        <row r="851">
          <cell r="A851" t="str">
            <v>JUN 2016</v>
          </cell>
          <cell r="B851" t="str">
            <v>KUUM_497</v>
          </cell>
          <cell r="D851" t="str">
            <v>LS</v>
          </cell>
          <cell r="S851">
            <v>0</v>
          </cell>
          <cell r="T851">
            <v>0</v>
          </cell>
          <cell r="U851">
            <v>0</v>
          </cell>
        </row>
        <row r="852">
          <cell r="A852" t="str">
            <v>JUN 2016</v>
          </cell>
          <cell r="B852" t="str">
            <v>KUUM_498</v>
          </cell>
          <cell r="D852" t="str">
            <v>LS</v>
          </cell>
          <cell r="S852">
            <v>0</v>
          </cell>
          <cell r="T852">
            <v>0</v>
          </cell>
          <cell r="U852">
            <v>0</v>
          </cell>
        </row>
        <row r="853">
          <cell r="A853" t="str">
            <v>JUN 2016</v>
          </cell>
          <cell r="B853" t="str">
            <v>KUUM_499</v>
          </cell>
          <cell r="D853" t="str">
            <v>LS</v>
          </cell>
          <cell r="S853">
            <v>0</v>
          </cell>
          <cell r="T853">
            <v>0</v>
          </cell>
          <cell r="U853">
            <v>0</v>
          </cell>
        </row>
        <row r="854">
          <cell r="A854" t="str">
            <v>JUN 2016</v>
          </cell>
          <cell r="B854" t="str">
            <v>KUUM_820</v>
          </cell>
          <cell r="D854" t="str">
            <v>ODL</v>
          </cell>
          <cell r="S854">
            <v>0</v>
          </cell>
          <cell r="T854">
            <v>0</v>
          </cell>
          <cell r="U854">
            <v>0</v>
          </cell>
        </row>
        <row r="855">
          <cell r="A855" t="str">
            <v>JUN 2016</v>
          </cell>
          <cell r="B855" t="str">
            <v>KUUM_825</v>
          </cell>
          <cell r="D855" t="str">
            <v>EF</v>
          </cell>
          <cell r="S855">
            <v>0</v>
          </cell>
          <cell r="T855">
            <v>0</v>
          </cell>
          <cell r="U855">
            <v>0</v>
          </cell>
        </row>
        <row r="856">
          <cell r="A856" t="str">
            <v>JUN 2016</v>
          </cell>
          <cell r="B856" t="str">
            <v>KUUM_826</v>
          </cell>
          <cell r="D856" t="str">
            <v>EF</v>
          </cell>
          <cell r="S856">
            <v>0</v>
          </cell>
          <cell r="T856">
            <v>0</v>
          </cell>
          <cell r="U856">
            <v>0</v>
          </cell>
        </row>
        <row r="857">
          <cell r="A857" t="str">
            <v>JUN 2016</v>
          </cell>
          <cell r="B857" t="str">
            <v>KUUM_827</v>
          </cell>
          <cell r="D857" t="str">
            <v>DA</v>
          </cell>
          <cell r="S857">
            <v>0</v>
          </cell>
          <cell r="T857">
            <v>0</v>
          </cell>
          <cell r="U857">
            <v>0</v>
          </cell>
        </row>
        <row r="858">
          <cell r="A858" t="str">
            <v>JUN 2016</v>
          </cell>
          <cell r="B858" t="str">
            <v>KUUM_828</v>
          </cell>
          <cell r="D858" t="str">
            <v>EF</v>
          </cell>
          <cell r="S858">
            <v>0</v>
          </cell>
          <cell r="T858">
            <v>0</v>
          </cell>
          <cell r="U858">
            <v>0</v>
          </cell>
        </row>
        <row r="859">
          <cell r="A859" t="str">
            <v>JUN 2016</v>
          </cell>
          <cell r="B859" t="str">
            <v>KUUM_829</v>
          </cell>
          <cell r="D859" t="str">
            <v>EF</v>
          </cell>
          <cell r="S859">
            <v>0</v>
          </cell>
          <cell r="T859">
            <v>0</v>
          </cell>
          <cell r="U859">
            <v>0</v>
          </cell>
        </row>
        <row r="860">
          <cell r="A860" t="str">
            <v>JUN 2016</v>
          </cell>
          <cell r="B860" t="str">
            <v>ODRSE020</v>
          </cell>
          <cell r="D860" t="str">
            <v>ODRS</v>
          </cell>
          <cell r="S860">
            <v>0</v>
          </cell>
          <cell r="T860">
            <v>0</v>
          </cell>
          <cell r="U860">
            <v>0</v>
          </cell>
        </row>
        <row r="861">
          <cell r="A861" t="str">
            <v>JUN 2016</v>
          </cell>
          <cell r="B861" t="str">
            <v>Result</v>
          </cell>
          <cell r="S861">
            <v>0</v>
          </cell>
          <cell r="T861">
            <v>0</v>
          </cell>
          <cell r="U861">
            <v>0</v>
          </cell>
        </row>
        <row r="862">
          <cell r="A862" t="str">
            <v>JUL 2015</v>
          </cell>
          <cell r="B862" t="str">
            <v>KTRSE020</v>
          </cell>
          <cell r="D862" t="str">
            <v>TNRS</v>
          </cell>
          <cell r="S862">
            <v>0</v>
          </cell>
          <cell r="T862">
            <v>0</v>
          </cell>
          <cell r="U862">
            <v>0</v>
          </cell>
        </row>
        <row r="863">
          <cell r="A863" t="str">
            <v>JUL 2015</v>
          </cell>
          <cell r="B863" t="str">
            <v>KTRSE030</v>
          </cell>
          <cell r="D863" t="str">
            <v>TNRS</v>
          </cell>
          <cell r="S863">
            <v>0</v>
          </cell>
          <cell r="T863">
            <v>0</v>
          </cell>
          <cell r="U863">
            <v>0</v>
          </cell>
        </row>
        <row r="864">
          <cell r="A864" t="str">
            <v>JUL 2015</v>
          </cell>
          <cell r="B864" t="str">
            <v>KTUM_406</v>
          </cell>
          <cell r="D864" t="str">
            <v>TNLS</v>
          </cell>
          <cell r="S864">
            <v>0</v>
          </cell>
          <cell r="T864">
            <v>0</v>
          </cell>
          <cell r="U864">
            <v>0</v>
          </cell>
        </row>
        <row r="865">
          <cell r="A865" t="str">
            <v>JUL 2015</v>
          </cell>
          <cell r="B865" t="str">
            <v>KTUM_428</v>
          </cell>
          <cell r="D865" t="str">
            <v>TNLS</v>
          </cell>
          <cell r="S865">
            <v>0</v>
          </cell>
          <cell r="T865">
            <v>0</v>
          </cell>
          <cell r="U865">
            <v>0</v>
          </cell>
        </row>
        <row r="866">
          <cell r="A866" t="str">
            <v>JUL 2015</v>
          </cell>
          <cell r="B866" t="str">
            <v>KUCIE000</v>
          </cell>
          <cell r="D866" t="str">
            <v>TS</v>
          </cell>
          <cell r="S866">
            <v>0</v>
          </cell>
          <cell r="T866">
            <v>0</v>
          </cell>
          <cell r="U866">
            <v>0</v>
          </cell>
        </row>
        <row r="867">
          <cell r="A867" t="str">
            <v>JUL 2015</v>
          </cell>
          <cell r="B867" t="str">
            <v>KUCIE550</v>
          </cell>
          <cell r="D867" t="str">
            <v>RTS</v>
          </cell>
          <cell r="E867">
            <v>124179788</v>
          </cell>
          <cell r="F867">
            <v>24000</v>
          </cell>
          <cell r="L867">
            <v>0</v>
          </cell>
          <cell r="M867">
            <v>243645</v>
          </cell>
          <cell r="P867">
            <v>0</v>
          </cell>
          <cell r="R867">
            <v>7662572</v>
          </cell>
          <cell r="S867">
            <v>4512693</v>
          </cell>
          <cell r="T867">
            <v>2349483</v>
          </cell>
          <cell r="U867">
            <v>532752</v>
          </cell>
        </row>
        <row r="868">
          <cell r="A868" t="str">
            <v>JUL 2015</v>
          </cell>
          <cell r="B868" t="str">
            <v>KUCIE561</v>
          </cell>
          <cell r="D868" t="str">
            <v>PSP</v>
          </cell>
          <cell r="E868">
            <v>22656623</v>
          </cell>
          <cell r="F868">
            <v>34680</v>
          </cell>
          <cell r="L868">
            <v>33357</v>
          </cell>
          <cell r="M868">
            <v>44453</v>
          </cell>
          <cell r="P868">
            <v>0</v>
          </cell>
          <cell r="R868">
            <v>1957496</v>
          </cell>
          <cell r="S868">
            <v>807029</v>
          </cell>
          <cell r="T868">
            <v>940777</v>
          </cell>
          <cell r="U868">
            <v>97201</v>
          </cell>
        </row>
        <row r="869">
          <cell r="A869" t="str">
            <v>JUL 2015</v>
          </cell>
          <cell r="B869" t="str">
            <v>KUCIE562</v>
          </cell>
          <cell r="D869" t="str">
            <v>PSS</v>
          </cell>
          <cell r="E869">
            <v>209548842</v>
          </cell>
          <cell r="F869">
            <v>423900</v>
          </cell>
          <cell r="L869">
            <v>308515</v>
          </cell>
          <cell r="M869">
            <v>411141</v>
          </cell>
          <cell r="P869">
            <v>0</v>
          </cell>
          <cell r="R869">
            <v>19908091</v>
          </cell>
          <cell r="S869">
            <v>7468321</v>
          </cell>
          <cell r="T869">
            <v>10397214</v>
          </cell>
          <cell r="U869">
            <v>899000</v>
          </cell>
        </row>
        <row r="870">
          <cell r="A870" t="str">
            <v>JUL 2015</v>
          </cell>
          <cell r="B870" t="str">
            <v>KUCIE563</v>
          </cell>
          <cell r="D870" t="str">
            <v>TODP</v>
          </cell>
          <cell r="E870">
            <v>279512046</v>
          </cell>
          <cell r="F870">
            <v>15600</v>
          </cell>
          <cell r="L870">
            <v>411521</v>
          </cell>
          <cell r="M870">
            <v>548411</v>
          </cell>
          <cell r="P870">
            <v>0</v>
          </cell>
          <cell r="R870">
            <v>17466266</v>
          </cell>
          <cell r="S870">
            <v>10523628</v>
          </cell>
          <cell r="T870">
            <v>4767951</v>
          </cell>
          <cell r="U870">
            <v>1199154</v>
          </cell>
        </row>
        <row r="871">
          <cell r="A871" t="str">
            <v>JUL 2015</v>
          </cell>
          <cell r="B871" t="str">
            <v>KUCIE566</v>
          </cell>
          <cell r="D871" t="str">
            <v>PSP</v>
          </cell>
          <cell r="E871">
            <v>0</v>
          </cell>
          <cell r="F871">
            <v>0</v>
          </cell>
          <cell r="L871">
            <v>0</v>
          </cell>
          <cell r="M871">
            <v>0</v>
          </cell>
          <cell r="P871">
            <v>0</v>
          </cell>
          <cell r="R871">
            <v>0</v>
          </cell>
          <cell r="S871">
            <v>0</v>
          </cell>
          <cell r="T871">
            <v>0</v>
          </cell>
          <cell r="U871">
            <v>0</v>
          </cell>
        </row>
        <row r="872">
          <cell r="A872" t="str">
            <v>JUL 2015</v>
          </cell>
          <cell r="B872" t="str">
            <v>KUCIE568</v>
          </cell>
          <cell r="D872" t="str">
            <v>PSS</v>
          </cell>
          <cell r="E872">
            <v>0</v>
          </cell>
          <cell r="F872">
            <v>0</v>
          </cell>
          <cell r="L872">
            <v>0</v>
          </cell>
          <cell r="M872">
            <v>0</v>
          </cell>
          <cell r="P872">
            <v>0</v>
          </cell>
          <cell r="R872">
            <v>0</v>
          </cell>
          <cell r="S872">
            <v>0</v>
          </cell>
          <cell r="T872">
            <v>0</v>
          </cell>
          <cell r="U872">
            <v>0</v>
          </cell>
        </row>
        <row r="873">
          <cell r="A873" t="str">
            <v>JUL 2015</v>
          </cell>
          <cell r="B873" t="str">
            <v>KUCIE571</v>
          </cell>
          <cell r="D873" t="str">
            <v>TODP</v>
          </cell>
          <cell r="E873">
            <v>116315819</v>
          </cell>
          <cell r="F873">
            <v>58200</v>
          </cell>
          <cell r="L873">
            <v>171250</v>
          </cell>
          <cell r="M873">
            <v>228215</v>
          </cell>
          <cell r="P873">
            <v>0</v>
          </cell>
          <cell r="R873">
            <v>7832746</v>
          </cell>
          <cell r="S873">
            <v>4379290</v>
          </cell>
          <cell r="T873">
            <v>2496775</v>
          </cell>
          <cell r="U873">
            <v>499015</v>
          </cell>
        </row>
        <row r="874">
          <cell r="A874" t="str">
            <v>JUL 2015</v>
          </cell>
          <cell r="B874" t="str">
            <v>KUCIE572</v>
          </cell>
          <cell r="D874" t="str">
            <v>TODS</v>
          </cell>
          <cell r="E874">
            <v>149714839</v>
          </cell>
          <cell r="F874">
            <v>92200</v>
          </cell>
          <cell r="L874">
            <v>220423</v>
          </cell>
          <cell r="M874">
            <v>293745</v>
          </cell>
          <cell r="P874">
            <v>0</v>
          </cell>
          <cell r="R874">
            <v>10703327</v>
          </cell>
          <cell r="S874">
            <v>5648741</v>
          </cell>
          <cell r="T874">
            <v>3805917</v>
          </cell>
          <cell r="U874">
            <v>642302</v>
          </cell>
        </row>
        <row r="875">
          <cell r="A875" t="str">
            <v>JUL 2015</v>
          </cell>
          <cell r="B875" t="str">
            <v>KUCIE717</v>
          </cell>
          <cell r="D875" t="str">
            <v>PSS</v>
          </cell>
          <cell r="E875">
            <v>0</v>
          </cell>
          <cell r="F875">
            <v>0</v>
          </cell>
          <cell r="L875">
            <v>0</v>
          </cell>
          <cell r="M875">
            <v>0</v>
          </cell>
          <cell r="P875">
            <v>0</v>
          </cell>
          <cell r="R875">
            <v>0</v>
          </cell>
          <cell r="S875">
            <v>0</v>
          </cell>
          <cell r="T875">
            <v>0</v>
          </cell>
          <cell r="U875">
            <v>0</v>
          </cell>
        </row>
        <row r="876">
          <cell r="A876" t="str">
            <v>JUL 2015</v>
          </cell>
          <cell r="B876" t="str">
            <v>KUCME000</v>
          </cell>
          <cell r="D876" t="str">
            <v>TS</v>
          </cell>
          <cell r="E876">
            <v>0</v>
          </cell>
          <cell r="F876">
            <v>0</v>
          </cell>
          <cell r="L876">
            <v>0</v>
          </cell>
          <cell r="M876">
            <v>0</v>
          </cell>
          <cell r="P876">
            <v>0</v>
          </cell>
          <cell r="R876">
            <v>0</v>
          </cell>
          <cell r="S876">
            <v>0</v>
          </cell>
          <cell r="T876">
            <v>0</v>
          </cell>
          <cell r="U876">
            <v>0</v>
          </cell>
        </row>
        <row r="877">
          <cell r="A877" t="str">
            <v>JUL 2015</v>
          </cell>
          <cell r="B877" t="str">
            <v>KUCME110</v>
          </cell>
          <cell r="D877" t="str">
            <v>GS</v>
          </cell>
          <cell r="E877">
            <v>71183680</v>
          </cell>
          <cell r="F877">
            <v>1269812</v>
          </cell>
          <cell r="L877">
            <v>104803</v>
          </cell>
          <cell r="M877">
            <v>139665</v>
          </cell>
          <cell r="P877">
            <v>0</v>
          </cell>
          <cell r="R877">
            <v>8386364</v>
          </cell>
          <cell r="S877">
            <v>6566694</v>
          </cell>
          <cell r="T877">
            <v>0</v>
          </cell>
          <cell r="U877">
            <v>305390</v>
          </cell>
        </row>
        <row r="878">
          <cell r="A878" t="str">
            <v>JUL 2015</v>
          </cell>
          <cell r="B878" t="str">
            <v>KUCME112</v>
          </cell>
          <cell r="D878" t="str">
            <v>GS</v>
          </cell>
          <cell r="E878">
            <v>0</v>
          </cell>
          <cell r="F878">
            <v>0</v>
          </cell>
          <cell r="L878">
            <v>0</v>
          </cell>
          <cell r="M878">
            <v>0</v>
          </cell>
          <cell r="P878">
            <v>0</v>
          </cell>
          <cell r="R878">
            <v>0</v>
          </cell>
          <cell r="S878">
            <v>0</v>
          </cell>
          <cell r="T878">
            <v>0</v>
          </cell>
          <cell r="U878">
            <v>0</v>
          </cell>
        </row>
        <row r="879">
          <cell r="A879" t="str">
            <v>JUL 2015</v>
          </cell>
          <cell r="B879" t="str">
            <v>KUCME113</v>
          </cell>
          <cell r="D879" t="str">
            <v>GS3</v>
          </cell>
          <cell r="E879">
            <v>104399600</v>
          </cell>
          <cell r="F879">
            <v>649579</v>
          </cell>
          <cell r="L879">
            <v>153706</v>
          </cell>
          <cell r="M879">
            <v>204835</v>
          </cell>
          <cell r="P879">
            <v>0</v>
          </cell>
          <cell r="R879">
            <v>11086875</v>
          </cell>
          <cell r="S879">
            <v>9630863</v>
          </cell>
          <cell r="T879">
            <v>0</v>
          </cell>
          <cell r="U879">
            <v>447892</v>
          </cell>
        </row>
        <row r="880">
          <cell r="A880" t="str">
            <v>JUL 2015</v>
          </cell>
          <cell r="B880" t="str">
            <v>KUCME220</v>
          </cell>
          <cell r="D880" t="str">
            <v>AES</v>
          </cell>
          <cell r="E880">
            <v>629052</v>
          </cell>
          <cell r="F880">
            <v>7540</v>
          </cell>
          <cell r="L880">
            <v>926</v>
          </cell>
          <cell r="M880">
            <v>1234</v>
          </cell>
          <cell r="P880">
            <v>0</v>
          </cell>
          <cell r="R880">
            <v>59201</v>
          </cell>
          <cell r="S880">
            <v>46802</v>
          </cell>
          <cell r="T880">
            <v>0</v>
          </cell>
          <cell r="U880">
            <v>2699</v>
          </cell>
        </row>
        <row r="881">
          <cell r="A881" t="str">
            <v>JUL 2015</v>
          </cell>
          <cell r="B881" t="str">
            <v>KUCME221</v>
          </cell>
          <cell r="D881" t="str">
            <v>AESP</v>
          </cell>
          <cell r="E881">
            <v>0</v>
          </cell>
          <cell r="F881">
            <v>0</v>
          </cell>
          <cell r="L881">
            <v>0</v>
          </cell>
          <cell r="M881">
            <v>0</v>
          </cell>
          <cell r="P881">
            <v>0</v>
          </cell>
          <cell r="R881">
            <v>0</v>
          </cell>
          <cell r="S881">
            <v>0</v>
          </cell>
          <cell r="T881">
            <v>0</v>
          </cell>
          <cell r="U881">
            <v>0</v>
          </cell>
        </row>
        <row r="882">
          <cell r="A882" t="str">
            <v>JUL 2015</v>
          </cell>
          <cell r="B882" t="str">
            <v>KUCME223</v>
          </cell>
          <cell r="D882" t="str">
            <v>AES3</v>
          </cell>
          <cell r="E882">
            <v>0</v>
          </cell>
          <cell r="F882">
            <v>0</v>
          </cell>
          <cell r="L882">
            <v>0</v>
          </cell>
          <cell r="M882">
            <v>0</v>
          </cell>
          <cell r="P882">
            <v>0</v>
          </cell>
          <cell r="R882">
            <v>0</v>
          </cell>
          <cell r="S882">
            <v>0</v>
          </cell>
          <cell r="T882">
            <v>0</v>
          </cell>
          <cell r="U882">
            <v>0</v>
          </cell>
        </row>
        <row r="883">
          <cell r="A883" t="str">
            <v>JUL 2015</v>
          </cell>
          <cell r="B883" t="str">
            <v>KUCME224</v>
          </cell>
          <cell r="D883" t="str">
            <v>AES3P</v>
          </cell>
          <cell r="E883">
            <v>11659181</v>
          </cell>
          <cell r="F883">
            <v>9170</v>
          </cell>
          <cell r="L883">
            <v>17166</v>
          </cell>
          <cell r="M883">
            <v>22876</v>
          </cell>
          <cell r="P883">
            <v>0</v>
          </cell>
          <cell r="R883">
            <v>966674</v>
          </cell>
          <cell r="S883">
            <v>867443</v>
          </cell>
          <cell r="T883">
            <v>0</v>
          </cell>
          <cell r="U883">
            <v>50020</v>
          </cell>
        </row>
        <row r="884">
          <cell r="A884" t="str">
            <v>JUL 2015</v>
          </cell>
          <cell r="B884" t="str">
            <v>KUCME225</v>
          </cell>
          <cell r="D884" t="str">
            <v>AES3PSS</v>
          </cell>
          <cell r="E884">
            <v>0</v>
          </cell>
          <cell r="F884">
            <v>0</v>
          </cell>
          <cell r="L884">
            <v>0</v>
          </cell>
          <cell r="M884">
            <v>0</v>
          </cell>
          <cell r="P884">
            <v>0</v>
          </cell>
          <cell r="R884">
            <v>0</v>
          </cell>
          <cell r="S884">
            <v>0</v>
          </cell>
          <cell r="T884">
            <v>0</v>
          </cell>
          <cell r="U884">
            <v>0</v>
          </cell>
        </row>
        <row r="885">
          <cell r="A885" t="str">
            <v>JUL 2015</v>
          </cell>
          <cell r="B885" t="str">
            <v>KUCME226</v>
          </cell>
          <cell r="D885" t="str">
            <v>AESPSS</v>
          </cell>
          <cell r="E885">
            <v>0</v>
          </cell>
          <cell r="F885">
            <v>0</v>
          </cell>
          <cell r="L885">
            <v>0</v>
          </cell>
          <cell r="M885">
            <v>0</v>
          </cell>
          <cell r="P885">
            <v>0</v>
          </cell>
          <cell r="R885">
            <v>0</v>
          </cell>
          <cell r="S885">
            <v>0</v>
          </cell>
          <cell r="T885">
            <v>0</v>
          </cell>
          <cell r="U885">
            <v>0</v>
          </cell>
        </row>
        <row r="886">
          <cell r="A886" t="str">
            <v>JUL 2015</v>
          </cell>
          <cell r="B886" t="str">
            <v>KUCME227</v>
          </cell>
          <cell r="D886" t="str">
            <v>AESTODS</v>
          </cell>
          <cell r="E886">
            <v>0</v>
          </cell>
          <cell r="F886">
            <v>0</v>
          </cell>
          <cell r="L886">
            <v>0</v>
          </cell>
          <cell r="M886">
            <v>0</v>
          </cell>
          <cell r="P886">
            <v>0</v>
          </cell>
          <cell r="R886">
            <v>0</v>
          </cell>
          <cell r="S886">
            <v>0</v>
          </cell>
          <cell r="T886">
            <v>0</v>
          </cell>
          <cell r="U886">
            <v>0</v>
          </cell>
        </row>
        <row r="887">
          <cell r="A887" t="str">
            <v>JUL 2015</v>
          </cell>
          <cell r="B887" t="str">
            <v>KUCME290</v>
          </cell>
          <cell r="D887" t="str">
            <v>LE</v>
          </cell>
          <cell r="E887">
            <v>0</v>
          </cell>
          <cell r="F887">
            <v>0</v>
          </cell>
          <cell r="L887">
            <v>0</v>
          </cell>
          <cell r="M887">
            <v>0</v>
          </cell>
          <cell r="P887">
            <v>0</v>
          </cell>
          <cell r="R887">
            <v>0</v>
          </cell>
          <cell r="S887">
            <v>0</v>
          </cell>
          <cell r="T887">
            <v>0</v>
          </cell>
          <cell r="U887">
            <v>0</v>
          </cell>
        </row>
        <row r="888">
          <cell r="A888" t="str">
            <v>JUL 2015</v>
          </cell>
          <cell r="B888" t="str">
            <v>KUCME291</v>
          </cell>
          <cell r="D888" t="str">
            <v>LE</v>
          </cell>
          <cell r="E888">
            <v>0</v>
          </cell>
          <cell r="F888">
            <v>0</v>
          </cell>
          <cell r="L888">
            <v>0</v>
          </cell>
          <cell r="M888">
            <v>0</v>
          </cell>
          <cell r="P888">
            <v>0</v>
          </cell>
          <cell r="R888">
            <v>0</v>
          </cell>
          <cell r="S888">
            <v>0</v>
          </cell>
          <cell r="T888">
            <v>0</v>
          </cell>
          <cell r="U888">
            <v>0</v>
          </cell>
        </row>
        <row r="889">
          <cell r="A889" t="str">
            <v>JUL 2015</v>
          </cell>
          <cell r="B889" t="str">
            <v>KUCME295</v>
          </cell>
          <cell r="D889" t="str">
            <v>TE</v>
          </cell>
          <cell r="E889">
            <v>0</v>
          </cell>
          <cell r="F889">
            <v>0</v>
          </cell>
          <cell r="L889">
            <v>0</v>
          </cell>
          <cell r="M889">
            <v>0</v>
          </cell>
          <cell r="P889">
            <v>0</v>
          </cell>
          <cell r="R889">
            <v>0</v>
          </cell>
          <cell r="S889">
            <v>0</v>
          </cell>
          <cell r="T889">
            <v>0</v>
          </cell>
          <cell r="U889">
            <v>0</v>
          </cell>
        </row>
        <row r="890">
          <cell r="A890" t="str">
            <v>JUL 2015</v>
          </cell>
          <cell r="B890" t="str">
            <v>KUCME297</v>
          </cell>
          <cell r="D890" t="str">
            <v>TE</v>
          </cell>
          <cell r="E890">
            <v>0</v>
          </cell>
          <cell r="F890">
            <v>0</v>
          </cell>
          <cell r="L890">
            <v>0</v>
          </cell>
          <cell r="M890">
            <v>0</v>
          </cell>
          <cell r="P890">
            <v>0</v>
          </cell>
          <cell r="R890">
            <v>0</v>
          </cell>
          <cell r="S890">
            <v>0</v>
          </cell>
          <cell r="T890">
            <v>0</v>
          </cell>
          <cell r="U890">
            <v>0</v>
          </cell>
        </row>
        <row r="891">
          <cell r="A891" t="str">
            <v>JUL 2015</v>
          </cell>
          <cell r="B891" t="str">
            <v>KUCME705</v>
          </cell>
          <cell r="D891" t="str">
            <v>SQF</v>
          </cell>
          <cell r="E891">
            <v>0</v>
          </cell>
          <cell r="F891">
            <v>0</v>
          </cell>
          <cell r="L891">
            <v>0</v>
          </cell>
          <cell r="M891">
            <v>0</v>
          </cell>
          <cell r="P891">
            <v>0</v>
          </cell>
          <cell r="R891">
            <v>0</v>
          </cell>
          <cell r="S891">
            <v>0</v>
          </cell>
          <cell r="T891">
            <v>0</v>
          </cell>
          <cell r="U891">
            <v>0</v>
          </cell>
        </row>
        <row r="892">
          <cell r="A892" t="str">
            <v>JUL 2015</v>
          </cell>
          <cell r="B892" t="str">
            <v>KUCME707</v>
          </cell>
          <cell r="D892" t="str">
            <v>LQF</v>
          </cell>
          <cell r="E892">
            <v>0</v>
          </cell>
          <cell r="F892">
            <v>0</v>
          </cell>
          <cell r="L892">
            <v>0</v>
          </cell>
          <cell r="M892">
            <v>0</v>
          </cell>
          <cell r="P892">
            <v>0</v>
          </cell>
          <cell r="R892">
            <v>0</v>
          </cell>
          <cell r="S892">
            <v>0</v>
          </cell>
          <cell r="T892">
            <v>0</v>
          </cell>
          <cell r="U892">
            <v>0</v>
          </cell>
        </row>
        <row r="893">
          <cell r="A893" t="str">
            <v>JUL 2015</v>
          </cell>
          <cell r="B893" t="str">
            <v>KUCME710</v>
          </cell>
          <cell r="D893" t="str">
            <v>GS</v>
          </cell>
          <cell r="E893">
            <v>0</v>
          </cell>
          <cell r="F893">
            <v>0</v>
          </cell>
          <cell r="L893">
            <v>0</v>
          </cell>
          <cell r="M893">
            <v>0</v>
          </cell>
          <cell r="P893">
            <v>0</v>
          </cell>
          <cell r="R893">
            <v>0</v>
          </cell>
          <cell r="S893">
            <v>0</v>
          </cell>
          <cell r="T893">
            <v>0</v>
          </cell>
          <cell r="U893">
            <v>0</v>
          </cell>
        </row>
        <row r="894">
          <cell r="A894" t="str">
            <v>JUL 2015</v>
          </cell>
          <cell r="B894" t="str">
            <v>KUCME713</v>
          </cell>
          <cell r="D894" t="str">
            <v>GS3</v>
          </cell>
          <cell r="E894">
            <v>0</v>
          </cell>
          <cell r="F894">
            <v>0</v>
          </cell>
          <cell r="L894">
            <v>0</v>
          </cell>
          <cell r="M894">
            <v>0</v>
          </cell>
          <cell r="P894">
            <v>0</v>
          </cell>
          <cell r="R894">
            <v>0</v>
          </cell>
          <cell r="S894">
            <v>0</v>
          </cell>
          <cell r="T894">
            <v>0</v>
          </cell>
          <cell r="U894">
            <v>0</v>
          </cell>
        </row>
        <row r="895">
          <cell r="A895" t="str">
            <v>JUL 2015</v>
          </cell>
          <cell r="B895" t="str">
            <v>KUCME841</v>
          </cell>
          <cell r="D895" t="str">
            <v>LRI</v>
          </cell>
          <cell r="E895">
            <v>0</v>
          </cell>
          <cell r="F895">
            <v>0</v>
          </cell>
          <cell r="L895">
            <v>0</v>
          </cell>
          <cell r="M895">
            <v>0</v>
          </cell>
          <cell r="P895">
            <v>0</v>
          </cell>
          <cell r="R895">
            <v>0</v>
          </cell>
          <cell r="S895">
            <v>0</v>
          </cell>
          <cell r="T895">
            <v>0</v>
          </cell>
          <cell r="U895">
            <v>0</v>
          </cell>
        </row>
        <row r="896">
          <cell r="A896" t="str">
            <v>JUL 2015</v>
          </cell>
          <cell r="B896" t="str">
            <v>KUCSR760</v>
          </cell>
          <cell r="D896" t="str">
            <v>CSR</v>
          </cell>
          <cell r="E896">
            <v>0</v>
          </cell>
          <cell r="F896">
            <v>0</v>
          </cell>
          <cell r="L896">
            <v>0</v>
          </cell>
          <cell r="M896">
            <v>0</v>
          </cell>
          <cell r="P896">
            <v>-989829</v>
          </cell>
          <cell r="R896">
            <v>-989829</v>
          </cell>
          <cell r="S896">
            <v>0</v>
          </cell>
          <cell r="T896">
            <v>0</v>
          </cell>
          <cell r="U896">
            <v>0</v>
          </cell>
        </row>
        <row r="897">
          <cell r="A897" t="str">
            <v>JUL 2015</v>
          </cell>
          <cell r="B897" t="str">
            <v>KUCSR761</v>
          </cell>
          <cell r="D897" t="str">
            <v>CSR</v>
          </cell>
          <cell r="E897">
            <v>0</v>
          </cell>
          <cell r="F897">
            <v>0</v>
          </cell>
          <cell r="L897">
            <v>0</v>
          </cell>
          <cell r="M897">
            <v>0</v>
          </cell>
          <cell r="P897">
            <v>0</v>
          </cell>
          <cell r="R897">
            <v>0</v>
          </cell>
          <cell r="S897">
            <v>0</v>
          </cell>
          <cell r="T897">
            <v>0</v>
          </cell>
          <cell r="U897">
            <v>0</v>
          </cell>
        </row>
        <row r="898">
          <cell r="A898" t="str">
            <v>JUL 2015</v>
          </cell>
          <cell r="B898" t="str">
            <v>KUCSR781</v>
          </cell>
          <cell r="D898" t="str">
            <v>CSR</v>
          </cell>
          <cell r="E898">
            <v>0</v>
          </cell>
          <cell r="F898">
            <v>0</v>
          </cell>
          <cell r="L898">
            <v>0</v>
          </cell>
          <cell r="M898">
            <v>0</v>
          </cell>
          <cell r="P898">
            <v>0</v>
          </cell>
          <cell r="R898">
            <v>0</v>
          </cell>
          <cell r="S898">
            <v>0</v>
          </cell>
          <cell r="T898">
            <v>0</v>
          </cell>
          <cell r="U898">
            <v>0</v>
          </cell>
        </row>
        <row r="899">
          <cell r="A899" t="str">
            <v>JUL 2015</v>
          </cell>
          <cell r="B899" t="str">
            <v>KUCSR783</v>
          </cell>
          <cell r="D899" t="str">
            <v>CSR</v>
          </cell>
          <cell r="E899">
            <v>0</v>
          </cell>
          <cell r="F899">
            <v>0</v>
          </cell>
          <cell r="L899">
            <v>0</v>
          </cell>
          <cell r="M899">
            <v>0</v>
          </cell>
          <cell r="P899">
            <v>0</v>
          </cell>
          <cell r="R899">
            <v>0</v>
          </cell>
          <cell r="S899">
            <v>0</v>
          </cell>
          <cell r="T899">
            <v>0</v>
          </cell>
          <cell r="U899">
            <v>0</v>
          </cell>
        </row>
        <row r="900">
          <cell r="A900" t="str">
            <v>JUL 2015</v>
          </cell>
          <cell r="B900" t="str">
            <v>KUCUE851</v>
          </cell>
          <cell r="D900" t="str">
            <v>CU</v>
          </cell>
          <cell r="E900">
            <v>0</v>
          </cell>
          <cell r="F900">
            <v>0</v>
          </cell>
          <cell r="L900">
            <v>0</v>
          </cell>
          <cell r="M900">
            <v>0</v>
          </cell>
          <cell r="P900">
            <v>0</v>
          </cell>
          <cell r="R900">
            <v>0</v>
          </cell>
          <cell r="S900">
            <v>0</v>
          </cell>
          <cell r="T900">
            <v>0</v>
          </cell>
          <cell r="U900">
            <v>0</v>
          </cell>
        </row>
        <row r="901">
          <cell r="A901" t="str">
            <v>JUL 2015</v>
          </cell>
          <cell r="B901" t="str">
            <v>KUCUE852</v>
          </cell>
          <cell r="D901" t="str">
            <v>CU</v>
          </cell>
          <cell r="E901">
            <v>0</v>
          </cell>
          <cell r="F901">
            <v>0</v>
          </cell>
          <cell r="L901">
            <v>0</v>
          </cell>
          <cell r="M901">
            <v>0</v>
          </cell>
          <cell r="P901">
            <v>0</v>
          </cell>
          <cell r="R901">
            <v>0</v>
          </cell>
          <cell r="S901">
            <v>0</v>
          </cell>
          <cell r="T901">
            <v>0</v>
          </cell>
          <cell r="U901">
            <v>0</v>
          </cell>
        </row>
        <row r="902">
          <cell r="A902" t="str">
            <v>JUL 2015</v>
          </cell>
          <cell r="B902" t="str">
            <v>KUINE730</v>
          </cell>
          <cell r="D902" t="str">
            <v>FLS</v>
          </cell>
          <cell r="E902">
            <v>44549469</v>
          </cell>
          <cell r="F902">
            <v>750</v>
          </cell>
          <cell r="L902">
            <v>0</v>
          </cell>
          <cell r="M902">
            <v>87407</v>
          </cell>
          <cell r="P902">
            <v>0</v>
          </cell>
          <cell r="R902">
            <v>2452240</v>
          </cell>
          <cell r="S902">
            <v>1452759</v>
          </cell>
          <cell r="T902">
            <v>720199</v>
          </cell>
          <cell r="U902">
            <v>191125</v>
          </cell>
        </row>
        <row r="903">
          <cell r="A903" t="str">
            <v>JUL 2015</v>
          </cell>
          <cell r="B903" t="str">
            <v>KUMNE902</v>
          </cell>
          <cell r="D903" t="str">
            <v>WPS</v>
          </cell>
          <cell r="E903">
            <v>0</v>
          </cell>
          <cell r="F903">
            <v>0</v>
          </cell>
          <cell r="L903">
            <v>0</v>
          </cell>
          <cell r="M903">
            <v>0</v>
          </cell>
          <cell r="P903">
            <v>0</v>
          </cell>
          <cell r="R903">
            <v>0</v>
          </cell>
          <cell r="S903">
            <v>0</v>
          </cell>
          <cell r="T903">
            <v>0</v>
          </cell>
          <cell r="U903">
            <v>0</v>
          </cell>
        </row>
        <row r="904">
          <cell r="A904" t="str">
            <v>JUL 2015</v>
          </cell>
          <cell r="B904" t="str">
            <v>KUMNE903</v>
          </cell>
          <cell r="D904" t="str">
            <v>WPS</v>
          </cell>
          <cell r="E904">
            <v>0</v>
          </cell>
          <cell r="F904">
            <v>0</v>
          </cell>
          <cell r="L904">
            <v>0</v>
          </cell>
          <cell r="M904">
            <v>0</v>
          </cell>
          <cell r="P904">
            <v>0</v>
          </cell>
          <cell r="R904">
            <v>0</v>
          </cell>
          <cell r="S904">
            <v>0</v>
          </cell>
          <cell r="T904">
            <v>0</v>
          </cell>
          <cell r="U904">
            <v>0</v>
          </cell>
        </row>
        <row r="905">
          <cell r="A905" t="str">
            <v>JUL 2015</v>
          </cell>
          <cell r="B905" t="str">
            <v>KUMNE934</v>
          </cell>
          <cell r="D905" t="str">
            <v>WPS</v>
          </cell>
          <cell r="E905">
            <v>0</v>
          </cell>
          <cell r="F905">
            <v>0</v>
          </cell>
          <cell r="L905">
            <v>0</v>
          </cell>
          <cell r="M905">
            <v>0</v>
          </cell>
          <cell r="P905">
            <v>0</v>
          </cell>
          <cell r="R905">
            <v>0</v>
          </cell>
          <cell r="S905">
            <v>0</v>
          </cell>
          <cell r="T905">
            <v>0</v>
          </cell>
          <cell r="U905">
            <v>0</v>
          </cell>
        </row>
        <row r="906">
          <cell r="A906" t="str">
            <v>JUL 2015</v>
          </cell>
          <cell r="B906" t="str">
            <v>KURSE000</v>
          </cell>
          <cell r="D906" t="str">
            <v>TS</v>
          </cell>
          <cell r="E906">
            <v>0</v>
          </cell>
          <cell r="F906">
            <v>0</v>
          </cell>
          <cell r="L906">
            <v>0</v>
          </cell>
          <cell r="M906">
            <v>0</v>
          </cell>
          <cell r="P906">
            <v>0</v>
          </cell>
          <cell r="R906">
            <v>0</v>
          </cell>
          <cell r="S906">
            <v>0</v>
          </cell>
          <cell r="T906">
            <v>0</v>
          </cell>
          <cell r="U906">
            <v>0</v>
          </cell>
        </row>
        <row r="907">
          <cell r="A907" t="str">
            <v>JUL 2015</v>
          </cell>
          <cell r="B907" t="str">
            <v>KURSE010</v>
          </cell>
          <cell r="D907" t="str">
            <v>RS</v>
          </cell>
          <cell r="E907">
            <v>564336687</v>
          </cell>
          <cell r="F907">
            <v>4615148</v>
          </cell>
          <cell r="L907">
            <v>830864</v>
          </cell>
          <cell r="M907">
            <v>1107246</v>
          </cell>
          <cell r="P907">
            <v>0</v>
          </cell>
          <cell r="R907">
            <v>52676591</v>
          </cell>
          <cell r="S907">
            <v>43702234</v>
          </cell>
          <cell r="T907">
            <v>0</v>
          </cell>
          <cell r="U907">
            <v>2421100</v>
          </cell>
        </row>
        <row r="908">
          <cell r="A908" t="str">
            <v>JUL 2015</v>
          </cell>
          <cell r="B908" t="str">
            <v>KURSE020</v>
          </cell>
          <cell r="D908" t="str">
            <v>RS</v>
          </cell>
          <cell r="E908">
            <v>0</v>
          </cell>
          <cell r="F908">
            <v>0</v>
          </cell>
          <cell r="L908">
            <v>0</v>
          </cell>
          <cell r="M908">
            <v>0</v>
          </cell>
          <cell r="P908">
            <v>0</v>
          </cell>
          <cell r="R908">
            <v>0</v>
          </cell>
          <cell r="S908">
            <v>0</v>
          </cell>
          <cell r="T908">
            <v>0</v>
          </cell>
          <cell r="U908">
            <v>0</v>
          </cell>
        </row>
        <row r="909">
          <cell r="A909" t="str">
            <v>JUL 2015</v>
          </cell>
          <cell r="B909" t="str">
            <v>KURSE025</v>
          </cell>
          <cell r="D909" t="str">
            <v>RS3</v>
          </cell>
          <cell r="E909">
            <v>0</v>
          </cell>
          <cell r="F909">
            <v>0</v>
          </cell>
          <cell r="L909">
            <v>0</v>
          </cell>
          <cell r="M909">
            <v>0</v>
          </cell>
          <cell r="P909">
            <v>0</v>
          </cell>
          <cell r="R909">
            <v>0</v>
          </cell>
          <cell r="S909">
            <v>0</v>
          </cell>
          <cell r="T909">
            <v>0</v>
          </cell>
          <cell r="U909">
            <v>0</v>
          </cell>
        </row>
        <row r="910">
          <cell r="A910" t="str">
            <v>JUL 2015</v>
          </cell>
          <cell r="B910" t="str">
            <v>KURSE040</v>
          </cell>
          <cell r="D910" t="str">
            <v>RSLEV</v>
          </cell>
          <cell r="E910">
            <v>0</v>
          </cell>
          <cell r="F910">
            <v>0</v>
          </cell>
          <cell r="L910">
            <v>0</v>
          </cell>
          <cell r="M910">
            <v>0</v>
          </cell>
          <cell r="P910">
            <v>0</v>
          </cell>
          <cell r="R910">
            <v>0</v>
          </cell>
          <cell r="S910">
            <v>0</v>
          </cell>
          <cell r="T910">
            <v>0</v>
          </cell>
          <cell r="U910">
            <v>0</v>
          </cell>
        </row>
        <row r="911">
          <cell r="A911" t="str">
            <v>JUL 2015</v>
          </cell>
          <cell r="B911" t="str">
            <v>KURSE080</v>
          </cell>
          <cell r="D911" t="str">
            <v>RSVFD</v>
          </cell>
          <cell r="E911">
            <v>0</v>
          </cell>
          <cell r="F911">
            <v>0</v>
          </cell>
          <cell r="L911">
            <v>0</v>
          </cell>
          <cell r="M911">
            <v>0</v>
          </cell>
          <cell r="P911">
            <v>0</v>
          </cell>
          <cell r="R911">
            <v>0</v>
          </cell>
          <cell r="S911">
            <v>0</v>
          </cell>
          <cell r="T911">
            <v>0</v>
          </cell>
          <cell r="U911">
            <v>0</v>
          </cell>
        </row>
        <row r="912">
          <cell r="A912" t="str">
            <v>JUL 2015</v>
          </cell>
          <cell r="B912" t="str">
            <v>KURSE715</v>
          </cell>
          <cell r="D912" t="str">
            <v>RS</v>
          </cell>
          <cell r="E912">
            <v>0</v>
          </cell>
          <cell r="F912">
            <v>0</v>
          </cell>
          <cell r="L912">
            <v>0</v>
          </cell>
          <cell r="M912">
            <v>0</v>
          </cell>
          <cell r="P912">
            <v>0</v>
          </cell>
          <cell r="R912">
            <v>0</v>
          </cell>
          <cell r="S912">
            <v>0</v>
          </cell>
          <cell r="T912">
            <v>0</v>
          </cell>
          <cell r="U912">
            <v>0</v>
          </cell>
        </row>
        <row r="913">
          <cell r="A913" t="str">
            <v>JUL 2015</v>
          </cell>
          <cell r="B913" t="str">
            <v>ODL</v>
          </cell>
          <cell r="E913">
            <v>8653918</v>
          </cell>
          <cell r="F913">
            <v>0</v>
          </cell>
          <cell r="L913">
            <v>0</v>
          </cell>
          <cell r="M913">
            <v>16979</v>
          </cell>
          <cell r="P913">
            <v>0</v>
          </cell>
          <cell r="R913">
            <v>2204631</v>
          </cell>
          <cell r="S913">
            <v>2150524</v>
          </cell>
          <cell r="T913">
            <v>0</v>
          </cell>
          <cell r="U913">
            <v>37127</v>
          </cell>
        </row>
        <row r="914">
          <cell r="A914" t="str">
            <v>JUL 2015</v>
          </cell>
          <cell r="B914" t="str">
            <v>KUUM_360</v>
          </cell>
          <cell r="D914" t="str">
            <v>LS</v>
          </cell>
          <cell r="S914">
            <v>0</v>
          </cell>
          <cell r="T914">
            <v>0</v>
          </cell>
          <cell r="U914">
            <v>0</v>
          </cell>
        </row>
        <row r="915">
          <cell r="A915" t="str">
            <v>JUL 2015</v>
          </cell>
          <cell r="B915" t="str">
            <v>KUUM_361</v>
          </cell>
          <cell r="D915" t="str">
            <v>LS</v>
          </cell>
          <cell r="S915">
            <v>0</v>
          </cell>
          <cell r="T915">
            <v>0</v>
          </cell>
          <cell r="U915">
            <v>0</v>
          </cell>
        </row>
        <row r="916">
          <cell r="A916" t="str">
            <v>JUL 2015</v>
          </cell>
          <cell r="B916" t="str">
            <v>KUUM_362</v>
          </cell>
          <cell r="D916" t="str">
            <v>LS</v>
          </cell>
          <cell r="S916">
            <v>0</v>
          </cell>
          <cell r="T916">
            <v>0</v>
          </cell>
          <cell r="U916">
            <v>0</v>
          </cell>
        </row>
        <row r="917">
          <cell r="A917" t="str">
            <v>JUL 2015</v>
          </cell>
          <cell r="B917" t="str">
            <v>KUUM_363</v>
          </cell>
          <cell r="D917" t="str">
            <v>LS</v>
          </cell>
          <cell r="S917">
            <v>0</v>
          </cell>
          <cell r="T917">
            <v>0</v>
          </cell>
          <cell r="U917">
            <v>0</v>
          </cell>
        </row>
        <row r="918">
          <cell r="A918" t="str">
            <v>JUL 2015</v>
          </cell>
          <cell r="B918" t="str">
            <v>KUUM_364</v>
          </cell>
          <cell r="D918" t="str">
            <v>LS</v>
          </cell>
          <cell r="S918">
            <v>0</v>
          </cell>
          <cell r="T918">
            <v>0</v>
          </cell>
          <cell r="U918">
            <v>0</v>
          </cell>
        </row>
        <row r="919">
          <cell r="A919" t="str">
            <v>JUL 2015</v>
          </cell>
          <cell r="B919" t="str">
            <v>KUUM_365</v>
          </cell>
          <cell r="D919" t="str">
            <v>LS</v>
          </cell>
          <cell r="S919">
            <v>0</v>
          </cell>
          <cell r="T919">
            <v>0</v>
          </cell>
          <cell r="U919">
            <v>0</v>
          </cell>
        </row>
        <row r="920">
          <cell r="A920" t="str">
            <v>JUL 2015</v>
          </cell>
          <cell r="B920" t="str">
            <v>KUUM_366</v>
          </cell>
          <cell r="D920" t="str">
            <v>LS</v>
          </cell>
          <cell r="S920">
            <v>0</v>
          </cell>
          <cell r="T920">
            <v>0</v>
          </cell>
          <cell r="U920">
            <v>0</v>
          </cell>
        </row>
        <row r="921">
          <cell r="A921" t="str">
            <v>JUL 2015</v>
          </cell>
          <cell r="B921" t="str">
            <v>KUUM_367</v>
          </cell>
          <cell r="D921" t="str">
            <v>LS</v>
          </cell>
          <cell r="S921">
            <v>0</v>
          </cell>
          <cell r="T921">
            <v>0</v>
          </cell>
          <cell r="U921">
            <v>0</v>
          </cell>
        </row>
        <row r="922">
          <cell r="A922" t="str">
            <v>JUL 2015</v>
          </cell>
          <cell r="B922" t="str">
            <v>KUUM_368</v>
          </cell>
          <cell r="D922" t="str">
            <v>LS</v>
          </cell>
          <cell r="S922">
            <v>0</v>
          </cell>
          <cell r="T922">
            <v>0</v>
          </cell>
          <cell r="U922">
            <v>0</v>
          </cell>
        </row>
        <row r="923">
          <cell r="A923" t="str">
            <v>JUL 2015</v>
          </cell>
          <cell r="B923" t="str">
            <v>KUUM_370</v>
          </cell>
          <cell r="D923" t="str">
            <v>LS</v>
          </cell>
          <cell r="S923">
            <v>0</v>
          </cell>
          <cell r="T923">
            <v>0</v>
          </cell>
          <cell r="U923">
            <v>0</v>
          </cell>
        </row>
        <row r="924">
          <cell r="A924" t="str">
            <v>JUL 2015</v>
          </cell>
          <cell r="B924" t="str">
            <v>KUUM_372</v>
          </cell>
          <cell r="D924" t="str">
            <v>LS</v>
          </cell>
          <cell r="S924">
            <v>0</v>
          </cell>
          <cell r="T924">
            <v>0</v>
          </cell>
          <cell r="U924">
            <v>0</v>
          </cell>
        </row>
        <row r="925">
          <cell r="A925" t="str">
            <v>JUL 2015</v>
          </cell>
          <cell r="B925" t="str">
            <v>KUUM_373</v>
          </cell>
          <cell r="D925" t="str">
            <v>LS</v>
          </cell>
          <cell r="S925">
            <v>0</v>
          </cell>
          <cell r="T925">
            <v>0</v>
          </cell>
          <cell r="U925">
            <v>0</v>
          </cell>
        </row>
        <row r="926">
          <cell r="A926" t="str">
            <v>JUL 2015</v>
          </cell>
          <cell r="B926" t="str">
            <v>KUUM_374</v>
          </cell>
          <cell r="D926" t="str">
            <v>LS</v>
          </cell>
          <cell r="S926">
            <v>0</v>
          </cell>
          <cell r="T926">
            <v>0</v>
          </cell>
          <cell r="U926">
            <v>0</v>
          </cell>
        </row>
        <row r="927">
          <cell r="A927" t="str">
            <v>JUL 2015</v>
          </cell>
          <cell r="B927" t="str">
            <v>KUUM_375</v>
          </cell>
          <cell r="D927" t="str">
            <v>LS</v>
          </cell>
          <cell r="S927">
            <v>0</v>
          </cell>
          <cell r="T927">
            <v>0</v>
          </cell>
          <cell r="U927">
            <v>0</v>
          </cell>
        </row>
        <row r="928">
          <cell r="A928" t="str">
            <v>JUL 2015</v>
          </cell>
          <cell r="B928" t="str">
            <v>KUUM_376</v>
          </cell>
          <cell r="D928" t="str">
            <v>LS</v>
          </cell>
          <cell r="S928">
            <v>0</v>
          </cell>
          <cell r="T928">
            <v>0</v>
          </cell>
          <cell r="U928">
            <v>0</v>
          </cell>
        </row>
        <row r="929">
          <cell r="A929" t="str">
            <v>JUL 2015</v>
          </cell>
          <cell r="B929" t="str">
            <v>KUUM_377</v>
          </cell>
          <cell r="D929" t="str">
            <v>LS</v>
          </cell>
          <cell r="S929">
            <v>0</v>
          </cell>
          <cell r="T929">
            <v>0</v>
          </cell>
          <cell r="U929">
            <v>0</v>
          </cell>
        </row>
        <row r="930">
          <cell r="A930" t="str">
            <v>JUL 2015</v>
          </cell>
          <cell r="B930" t="str">
            <v>KUUM_378</v>
          </cell>
          <cell r="D930" t="str">
            <v>LS</v>
          </cell>
          <cell r="S930">
            <v>0</v>
          </cell>
          <cell r="T930">
            <v>0</v>
          </cell>
          <cell r="U930">
            <v>0</v>
          </cell>
        </row>
        <row r="931">
          <cell r="A931" t="str">
            <v>JUL 2015</v>
          </cell>
          <cell r="B931" t="str">
            <v>KUUM_401</v>
          </cell>
          <cell r="D931" t="str">
            <v>LS</v>
          </cell>
          <cell r="S931">
            <v>0</v>
          </cell>
          <cell r="T931">
            <v>0</v>
          </cell>
          <cell r="U931">
            <v>0</v>
          </cell>
        </row>
        <row r="932">
          <cell r="A932" t="str">
            <v>JUL 2015</v>
          </cell>
          <cell r="B932" t="str">
            <v>KUUM_404</v>
          </cell>
          <cell r="D932" t="str">
            <v>RLS</v>
          </cell>
          <cell r="S932">
            <v>0</v>
          </cell>
          <cell r="T932">
            <v>0</v>
          </cell>
          <cell r="U932">
            <v>0</v>
          </cell>
        </row>
        <row r="933">
          <cell r="A933" t="str">
            <v>JUL 2015</v>
          </cell>
          <cell r="B933" t="str">
            <v>KUUM_405</v>
          </cell>
          <cell r="D933" t="str">
            <v>LS</v>
          </cell>
          <cell r="S933">
            <v>0</v>
          </cell>
          <cell r="T933">
            <v>0</v>
          </cell>
          <cell r="U933">
            <v>0</v>
          </cell>
        </row>
        <row r="934">
          <cell r="A934" t="str">
            <v>JUL 2015</v>
          </cell>
          <cell r="B934" t="str">
            <v>KUUM_409</v>
          </cell>
          <cell r="D934" t="str">
            <v>RLS</v>
          </cell>
          <cell r="S934">
            <v>0</v>
          </cell>
          <cell r="T934">
            <v>0</v>
          </cell>
          <cell r="U934">
            <v>0</v>
          </cell>
        </row>
        <row r="935">
          <cell r="A935" t="str">
            <v>JUL 2015</v>
          </cell>
          <cell r="B935" t="str">
            <v>KUUM_410</v>
          </cell>
          <cell r="D935" t="str">
            <v>RLS</v>
          </cell>
          <cell r="S935">
            <v>0</v>
          </cell>
          <cell r="T935">
            <v>0</v>
          </cell>
          <cell r="U935">
            <v>0</v>
          </cell>
        </row>
        <row r="936">
          <cell r="A936" t="str">
            <v>JUL 2015</v>
          </cell>
          <cell r="B936" t="str">
            <v>KUUM_411</v>
          </cell>
          <cell r="D936" t="str">
            <v>LS</v>
          </cell>
          <cell r="S936">
            <v>0</v>
          </cell>
          <cell r="T936">
            <v>0</v>
          </cell>
          <cell r="U936">
            <v>0</v>
          </cell>
        </row>
        <row r="937">
          <cell r="A937" t="str">
            <v>JUL 2015</v>
          </cell>
          <cell r="B937" t="str">
            <v>KUUM_412</v>
          </cell>
          <cell r="D937" t="str">
            <v>RLS</v>
          </cell>
          <cell r="S937">
            <v>0</v>
          </cell>
          <cell r="T937">
            <v>0</v>
          </cell>
          <cell r="U937">
            <v>0</v>
          </cell>
        </row>
        <row r="938">
          <cell r="A938" t="str">
            <v>JUL 2015</v>
          </cell>
          <cell r="B938" t="str">
            <v>KUUM_413</v>
          </cell>
          <cell r="D938" t="str">
            <v>RLS</v>
          </cell>
          <cell r="S938">
            <v>0</v>
          </cell>
          <cell r="T938">
            <v>0</v>
          </cell>
          <cell r="U938">
            <v>0</v>
          </cell>
        </row>
        <row r="939">
          <cell r="A939" t="str">
            <v>JUL 2015</v>
          </cell>
          <cell r="B939" t="str">
            <v>KUUM_414</v>
          </cell>
          <cell r="D939" t="str">
            <v>LS</v>
          </cell>
          <cell r="S939">
            <v>0</v>
          </cell>
          <cell r="T939">
            <v>0</v>
          </cell>
          <cell r="U939">
            <v>0</v>
          </cell>
        </row>
        <row r="940">
          <cell r="A940" t="str">
            <v>JUL 2015</v>
          </cell>
          <cell r="B940" t="str">
            <v>KUUM_415</v>
          </cell>
          <cell r="D940" t="str">
            <v>LS</v>
          </cell>
          <cell r="S940">
            <v>0</v>
          </cell>
          <cell r="T940">
            <v>0</v>
          </cell>
          <cell r="U940">
            <v>0</v>
          </cell>
        </row>
        <row r="941">
          <cell r="A941" t="str">
            <v>JUL 2015</v>
          </cell>
          <cell r="B941" t="str">
            <v>KUUM_420</v>
          </cell>
          <cell r="D941" t="str">
            <v>LS</v>
          </cell>
          <cell r="S941">
            <v>0</v>
          </cell>
          <cell r="T941">
            <v>0</v>
          </cell>
          <cell r="U941">
            <v>0</v>
          </cell>
        </row>
        <row r="942">
          <cell r="A942" t="str">
            <v>JUL 2015</v>
          </cell>
          <cell r="B942" t="str">
            <v>KUUM_421</v>
          </cell>
          <cell r="D942" t="str">
            <v>RLS</v>
          </cell>
          <cell r="S942">
            <v>0</v>
          </cell>
          <cell r="T942">
            <v>0</v>
          </cell>
          <cell r="U942">
            <v>0</v>
          </cell>
        </row>
        <row r="943">
          <cell r="A943" t="str">
            <v>JUL 2015</v>
          </cell>
          <cell r="B943" t="str">
            <v>KUUM_422</v>
          </cell>
          <cell r="D943" t="str">
            <v>RLS</v>
          </cell>
          <cell r="S943">
            <v>0</v>
          </cell>
          <cell r="T943">
            <v>0</v>
          </cell>
          <cell r="U943">
            <v>0</v>
          </cell>
        </row>
        <row r="944">
          <cell r="A944" t="str">
            <v>JUL 2015</v>
          </cell>
          <cell r="B944" t="str">
            <v>KUUM_424</v>
          </cell>
          <cell r="D944" t="str">
            <v>RLS</v>
          </cell>
          <cell r="S944">
            <v>0</v>
          </cell>
          <cell r="T944">
            <v>0</v>
          </cell>
          <cell r="U944">
            <v>0</v>
          </cell>
        </row>
        <row r="945">
          <cell r="A945" t="str">
            <v>JUL 2015</v>
          </cell>
          <cell r="B945" t="str">
            <v>KUUM_425</v>
          </cell>
          <cell r="D945" t="str">
            <v>RLS</v>
          </cell>
          <cell r="S945">
            <v>0</v>
          </cell>
          <cell r="T945">
            <v>0</v>
          </cell>
          <cell r="U945">
            <v>0</v>
          </cell>
        </row>
        <row r="946">
          <cell r="A946" t="str">
            <v>JUL 2015</v>
          </cell>
          <cell r="B946" t="str">
            <v>KUUM_426</v>
          </cell>
          <cell r="D946" t="str">
            <v>RLS</v>
          </cell>
          <cell r="S946">
            <v>0</v>
          </cell>
          <cell r="T946">
            <v>0</v>
          </cell>
          <cell r="U946">
            <v>0</v>
          </cell>
        </row>
        <row r="947">
          <cell r="A947" t="str">
            <v>JUL 2015</v>
          </cell>
          <cell r="B947" t="str">
            <v>KUUM_428</v>
          </cell>
          <cell r="D947" t="str">
            <v>LS</v>
          </cell>
          <cell r="S947">
            <v>0</v>
          </cell>
          <cell r="T947">
            <v>0</v>
          </cell>
          <cell r="U947">
            <v>0</v>
          </cell>
        </row>
        <row r="948">
          <cell r="A948" t="str">
            <v>JUL 2015</v>
          </cell>
          <cell r="B948" t="str">
            <v>KUUM_430</v>
          </cell>
          <cell r="D948" t="str">
            <v>LS</v>
          </cell>
          <cell r="S948">
            <v>0</v>
          </cell>
          <cell r="T948">
            <v>0</v>
          </cell>
          <cell r="U948">
            <v>0</v>
          </cell>
        </row>
        <row r="949">
          <cell r="A949" t="str">
            <v>JUL 2015</v>
          </cell>
          <cell r="B949" t="str">
            <v>KUUM_434</v>
          </cell>
          <cell r="D949" t="str">
            <v>RLS</v>
          </cell>
          <cell r="S949">
            <v>0</v>
          </cell>
          <cell r="T949">
            <v>0</v>
          </cell>
          <cell r="U949">
            <v>0</v>
          </cell>
        </row>
        <row r="950">
          <cell r="A950" t="str">
            <v>JUL 2015</v>
          </cell>
          <cell r="B950" t="str">
            <v>KUUM_440</v>
          </cell>
          <cell r="D950" t="str">
            <v>RLS</v>
          </cell>
          <cell r="S950">
            <v>0</v>
          </cell>
          <cell r="T950">
            <v>0</v>
          </cell>
          <cell r="U950">
            <v>0</v>
          </cell>
        </row>
        <row r="951">
          <cell r="A951" t="str">
            <v>JUL 2015</v>
          </cell>
          <cell r="B951" t="str">
            <v>KUUM_446</v>
          </cell>
          <cell r="D951" t="str">
            <v>RLS</v>
          </cell>
          <cell r="S951">
            <v>0</v>
          </cell>
          <cell r="T951">
            <v>0</v>
          </cell>
          <cell r="U951">
            <v>0</v>
          </cell>
        </row>
        <row r="952">
          <cell r="A952" t="str">
            <v>JUL 2015</v>
          </cell>
          <cell r="B952" t="str">
            <v>KUUM_447</v>
          </cell>
          <cell r="D952" t="str">
            <v>RLS</v>
          </cell>
          <cell r="S952">
            <v>0</v>
          </cell>
          <cell r="T952">
            <v>0</v>
          </cell>
          <cell r="U952">
            <v>0</v>
          </cell>
        </row>
        <row r="953">
          <cell r="A953" t="str">
            <v>JUL 2015</v>
          </cell>
          <cell r="B953" t="str">
            <v>KUUM_448</v>
          </cell>
          <cell r="D953" t="str">
            <v>RLS</v>
          </cell>
          <cell r="S953">
            <v>0</v>
          </cell>
          <cell r="T953">
            <v>0</v>
          </cell>
          <cell r="U953">
            <v>0</v>
          </cell>
        </row>
        <row r="954">
          <cell r="A954" t="str">
            <v>JUL 2015</v>
          </cell>
          <cell r="B954" t="str">
            <v>KUUM_450</v>
          </cell>
          <cell r="D954" t="str">
            <v>LS</v>
          </cell>
          <cell r="S954">
            <v>0</v>
          </cell>
          <cell r="T954">
            <v>0</v>
          </cell>
          <cell r="U954">
            <v>0</v>
          </cell>
        </row>
        <row r="955">
          <cell r="A955" t="str">
            <v>JUL 2015</v>
          </cell>
          <cell r="B955" t="str">
            <v>KUUM_451</v>
          </cell>
          <cell r="D955" t="str">
            <v>LS</v>
          </cell>
          <cell r="S955">
            <v>0</v>
          </cell>
          <cell r="T955">
            <v>0</v>
          </cell>
          <cell r="U955">
            <v>0</v>
          </cell>
        </row>
        <row r="956">
          <cell r="A956" t="str">
            <v>JUL 2015</v>
          </cell>
          <cell r="B956" t="str">
            <v>KUUM_452</v>
          </cell>
          <cell r="D956" t="str">
            <v>LS</v>
          </cell>
          <cell r="S956">
            <v>0</v>
          </cell>
          <cell r="T956">
            <v>0</v>
          </cell>
          <cell r="U956">
            <v>0</v>
          </cell>
        </row>
        <row r="957">
          <cell r="A957" t="str">
            <v>JUL 2015</v>
          </cell>
          <cell r="B957" t="str">
            <v>KUUM_454</v>
          </cell>
          <cell r="D957" t="str">
            <v>RLS</v>
          </cell>
          <cell r="S957">
            <v>0</v>
          </cell>
          <cell r="T957">
            <v>0</v>
          </cell>
          <cell r="U957">
            <v>0</v>
          </cell>
        </row>
        <row r="958">
          <cell r="A958" t="str">
            <v>JUL 2015</v>
          </cell>
          <cell r="B958" t="str">
            <v>KUUM_455</v>
          </cell>
          <cell r="D958" t="str">
            <v>RLS</v>
          </cell>
          <cell r="S958">
            <v>0</v>
          </cell>
          <cell r="T958">
            <v>0</v>
          </cell>
          <cell r="U958">
            <v>0</v>
          </cell>
        </row>
        <row r="959">
          <cell r="A959" t="str">
            <v>JUL 2015</v>
          </cell>
          <cell r="B959" t="str">
            <v>KUUM_456</v>
          </cell>
          <cell r="D959" t="str">
            <v>RLS</v>
          </cell>
          <cell r="S959">
            <v>0</v>
          </cell>
          <cell r="T959">
            <v>0</v>
          </cell>
          <cell r="U959">
            <v>0</v>
          </cell>
        </row>
        <row r="960">
          <cell r="A960" t="str">
            <v>JUL 2015</v>
          </cell>
          <cell r="B960" t="str">
            <v>KUUM_457</v>
          </cell>
          <cell r="D960" t="str">
            <v>RLS</v>
          </cell>
          <cell r="S960">
            <v>0</v>
          </cell>
          <cell r="T960">
            <v>0</v>
          </cell>
          <cell r="U960">
            <v>0</v>
          </cell>
        </row>
        <row r="961">
          <cell r="A961" t="str">
            <v>JUL 2015</v>
          </cell>
          <cell r="B961" t="str">
            <v>KUUM_458</v>
          </cell>
          <cell r="D961" t="str">
            <v>RLS</v>
          </cell>
          <cell r="S961">
            <v>0</v>
          </cell>
          <cell r="T961">
            <v>0</v>
          </cell>
          <cell r="U961">
            <v>0</v>
          </cell>
        </row>
        <row r="962">
          <cell r="A962" t="str">
            <v>JUL 2015</v>
          </cell>
          <cell r="B962" t="str">
            <v>KUUM_459</v>
          </cell>
          <cell r="D962" t="str">
            <v>RLS</v>
          </cell>
          <cell r="S962">
            <v>0</v>
          </cell>
          <cell r="T962">
            <v>0</v>
          </cell>
          <cell r="U962">
            <v>0</v>
          </cell>
        </row>
        <row r="963">
          <cell r="A963" t="str">
            <v>JUL 2015</v>
          </cell>
          <cell r="B963" t="str">
            <v>KUUM_460</v>
          </cell>
          <cell r="D963" t="str">
            <v>RLS</v>
          </cell>
          <cell r="S963">
            <v>0</v>
          </cell>
          <cell r="T963">
            <v>0</v>
          </cell>
          <cell r="U963">
            <v>0</v>
          </cell>
        </row>
        <row r="964">
          <cell r="A964" t="str">
            <v>JUL 2015</v>
          </cell>
          <cell r="B964" t="str">
            <v>KUUM_461</v>
          </cell>
          <cell r="D964" t="str">
            <v>RLS</v>
          </cell>
          <cell r="S964">
            <v>0</v>
          </cell>
          <cell r="T964">
            <v>0</v>
          </cell>
          <cell r="U964">
            <v>0</v>
          </cell>
        </row>
        <row r="965">
          <cell r="A965" t="str">
            <v>JUL 2015</v>
          </cell>
          <cell r="B965" t="str">
            <v>KUUM_462</v>
          </cell>
          <cell r="D965" t="str">
            <v>LS</v>
          </cell>
          <cell r="S965">
            <v>0</v>
          </cell>
          <cell r="T965">
            <v>0</v>
          </cell>
          <cell r="U965">
            <v>0</v>
          </cell>
        </row>
        <row r="966">
          <cell r="A966" t="str">
            <v>JUL 2015</v>
          </cell>
          <cell r="B966" t="str">
            <v>KUUM_463</v>
          </cell>
          <cell r="D966" t="str">
            <v>LS</v>
          </cell>
          <cell r="S966">
            <v>0</v>
          </cell>
          <cell r="T966">
            <v>0</v>
          </cell>
          <cell r="U966">
            <v>0</v>
          </cell>
        </row>
        <row r="967">
          <cell r="A967" t="str">
            <v>JUL 2015</v>
          </cell>
          <cell r="B967" t="str">
            <v>KUUM_464</v>
          </cell>
          <cell r="D967" t="str">
            <v>LS</v>
          </cell>
          <cell r="S967">
            <v>0</v>
          </cell>
          <cell r="T967">
            <v>0</v>
          </cell>
          <cell r="U967">
            <v>0</v>
          </cell>
        </row>
        <row r="968">
          <cell r="A968" t="str">
            <v>JUL 2015</v>
          </cell>
          <cell r="B968" t="str">
            <v>KUUM_465</v>
          </cell>
          <cell r="D968" t="str">
            <v>LS</v>
          </cell>
          <cell r="S968">
            <v>0</v>
          </cell>
          <cell r="T968">
            <v>0</v>
          </cell>
          <cell r="U968">
            <v>0</v>
          </cell>
        </row>
        <row r="969">
          <cell r="A969" t="str">
            <v>JUL 2015</v>
          </cell>
          <cell r="B969" t="str">
            <v>KUUM_465CU</v>
          </cell>
          <cell r="D969" t="str">
            <v>LS</v>
          </cell>
          <cell r="S969">
            <v>0</v>
          </cell>
          <cell r="T969">
            <v>0</v>
          </cell>
          <cell r="U969">
            <v>0</v>
          </cell>
        </row>
        <row r="970">
          <cell r="A970" t="str">
            <v>JUL 2015</v>
          </cell>
          <cell r="B970" t="str">
            <v>KUUM_466</v>
          </cell>
          <cell r="D970" t="str">
            <v>RLS</v>
          </cell>
          <cell r="S970">
            <v>0</v>
          </cell>
          <cell r="T970">
            <v>0</v>
          </cell>
          <cell r="U970">
            <v>0</v>
          </cell>
        </row>
        <row r="971">
          <cell r="A971" t="str">
            <v>JUL 2015</v>
          </cell>
          <cell r="B971" t="str">
            <v>KUUM_467</v>
          </cell>
          <cell r="D971" t="str">
            <v>LS</v>
          </cell>
          <cell r="S971">
            <v>0</v>
          </cell>
          <cell r="T971">
            <v>0</v>
          </cell>
          <cell r="U971">
            <v>0</v>
          </cell>
        </row>
        <row r="972">
          <cell r="A972" t="str">
            <v>JUL 2015</v>
          </cell>
          <cell r="B972" t="str">
            <v>KUUM_468</v>
          </cell>
          <cell r="D972" t="str">
            <v>LS</v>
          </cell>
          <cell r="S972">
            <v>0</v>
          </cell>
          <cell r="T972">
            <v>0</v>
          </cell>
          <cell r="U972">
            <v>0</v>
          </cell>
        </row>
        <row r="973">
          <cell r="A973" t="str">
            <v>JUL 2015</v>
          </cell>
          <cell r="B973" t="str">
            <v>KUUM_469</v>
          </cell>
          <cell r="D973" t="str">
            <v>RLS</v>
          </cell>
          <cell r="S973">
            <v>0</v>
          </cell>
          <cell r="T973">
            <v>0</v>
          </cell>
          <cell r="U973">
            <v>0</v>
          </cell>
        </row>
        <row r="974">
          <cell r="A974" t="str">
            <v>JUL 2015</v>
          </cell>
          <cell r="B974" t="str">
            <v>KUUM_470</v>
          </cell>
          <cell r="D974" t="str">
            <v>RLS</v>
          </cell>
          <cell r="S974">
            <v>0</v>
          </cell>
          <cell r="T974">
            <v>0</v>
          </cell>
          <cell r="U974">
            <v>0</v>
          </cell>
        </row>
        <row r="975">
          <cell r="A975" t="str">
            <v>JUL 2015</v>
          </cell>
          <cell r="B975" t="str">
            <v>KUUM_471</v>
          </cell>
          <cell r="D975" t="str">
            <v>RLS</v>
          </cell>
          <cell r="S975">
            <v>0</v>
          </cell>
          <cell r="T975">
            <v>0</v>
          </cell>
          <cell r="U975">
            <v>0</v>
          </cell>
        </row>
        <row r="976">
          <cell r="A976" t="str">
            <v>JUL 2015</v>
          </cell>
          <cell r="B976" t="str">
            <v>KUUM_472</v>
          </cell>
          <cell r="D976" t="str">
            <v>LS</v>
          </cell>
          <cell r="S976">
            <v>0</v>
          </cell>
          <cell r="T976">
            <v>0</v>
          </cell>
          <cell r="U976">
            <v>0</v>
          </cell>
        </row>
        <row r="977">
          <cell r="A977" t="str">
            <v>JUL 2015</v>
          </cell>
          <cell r="B977" t="str">
            <v>KUUM_473</v>
          </cell>
          <cell r="D977" t="str">
            <v>LS</v>
          </cell>
          <cell r="S977">
            <v>0</v>
          </cell>
          <cell r="T977">
            <v>0</v>
          </cell>
          <cell r="U977">
            <v>0</v>
          </cell>
        </row>
        <row r="978">
          <cell r="A978" t="str">
            <v>JUL 2015</v>
          </cell>
          <cell r="B978" t="str">
            <v>KUUM_474</v>
          </cell>
          <cell r="D978" t="str">
            <v>LS</v>
          </cell>
          <cell r="S978">
            <v>0</v>
          </cell>
          <cell r="T978">
            <v>0</v>
          </cell>
          <cell r="U978">
            <v>0</v>
          </cell>
        </row>
        <row r="979">
          <cell r="A979" t="str">
            <v>JUL 2015</v>
          </cell>
          <cell r="B979" t="str">
            <v>KUUM_475</v>
          </cell>
          <cell r="D979" t="str">
            <v>LS</v>
          </cell>
          <cell r="S979">
            <v>0</v>
          </cell>
          <cell r="T979">
            <v>0</v>
          </cell>
          <cell r="U979">
            <v>0</v>
          </cell>
        </row>
        <row r="980">
          <cell r="A980" t="str">
            <v>JUL 2015</v>
          </cell>
          <cell r="B980" t="str">
            <v>KUUM_476</v>
          </cell>
          <cell r="D980" t="str">
            <v>LS</v>
          </cell>
          <cell r="S980">
            <v>0</v>
          </cell>
          <cell r="T980">
            <v>0</v>
          </cell>
          <cell r="U980">
            <v>0</v>
          </cell>
        </row>
        <row r="981">
          <cell r="A981" t="str">
            <v>JUL 2015</v>
          </cell>
          <cell r="B981" t="str">
            <v>KUUM_477</v>
          </cell>
          <cell r="D981" t="str">
            <v>LS</v>
          </cell>
          <cell r="S981">
            <v>0</v>
          </cell>
          <cell r="T981">
            <v>0</v>
          </cell>
          <cell r="U981">
            <v>0</v>
          </cell>
        </row>
        <row r="982">
          <cell r="A982" t="str">
            <v>JUL 2015</v>
          </cell>
          <cell r="B982" t="str">
            <v>KUUM_478</v>
          </cell>
          <cell r="D982" t="str">
            <v>LS</v>
          </cell>
          <cell r="S982">
            <v>0</v>
          </cell>
          <cell r="T982">
            <v>0</v>
          </cell>
          <cell r="U982">
            <v>0</v>
          </cell>
        </row>
        <row r="983">
          <cell r="A983" t="str">
            <v>JUL 2015</v>
          </cell>
          <cell r="B983" t="str">
            <v>KUUM_479</v>
          </cell>
          <cell r="D983" t="str">
            <v>LS</v>
          </cell>
          <cell r="S983">
            <v>0</v>
          </cell>
          <cell r="T983">
            <v>0</v>
          </cell>
          <cell r="U983">
            <v>0</v>
          </cell>
        </row>
        <row r="984">
          <cell r="A984" t="str">
            <v>JUL 2015</v>
          </cell>
          <cell r="B984" t="str">
            <v>KUUM_487</v>
          </cell>
          <cell r="D984" t="str">
            <v>LS</v>
          </cell>
          <cell r="S984">
            <v>0</v>
          </cell>
          <cell r="T984">
            <v>0</v>
          </cell>
          <cell r="U984">
            <v>0</v>
          </cell>
        </row>
        <row r="985">
          <cell r="A985" t="str">
            <v>JUL 2015</v>
          </cell>
          <cell r="B985" t="str">
            <v>KUUM_488</v>
          </cell>
          <cell r="D985" t="str">
            <v>LS</v>
          </cell>
          <cell r="S985">
            <v>0</v>
          </cell>
          <cell r="T985">
            <v>0</v>
          </cell>
          <cell r="U985">
            <v>0</v>
          </cell>
        </row>
        <row r="986">
          <cell r="A986" t="str">
            <v>JUL 2015</v>
          </cell>
          <cell r="B986" t="str">
            <v>KUUM_489</v>
          </cell>
          <cell r="D986" t="str">
            <v>LS</v>
          </cell>
          <cell r="S986">
            <v>0</v>
          </cell>
          <cell r="T986">
            <v>0</v>
          </cell>
          <cell r="U986">
            <v>0</v>
          </cell>
        </row>
        <row r="987">
          <cell r="A987" t="str">
            <v>JUL 2015</v>
          </cell>
          <cell r="B987" t="str">
            <v>KUUM_490</v>
          </cell>
          <cell r="D987" t="str">
            <v>LS</v>
          </cell>
          <cell r="S987">
            <v>0</v>
          </cell>
          <cell r="T987">
            <v>0</v>
          </cell>
          <cell r="U987">
            <v>0</v>
          </cell>
        </row>
        <row r="988">
          <cell r="A988" t="str">
            <v>JUL 2015</v>
          </cell>
          <cell r="B988" t="str">
            <v>KUUM_491</v>
          </cell>
          <cell r="D988" t="str">
            <v>LS</v>
          </cell>
          <cell r="S988">
            <v>0</v>
          </cell>
          <cell r="T988">
            <v>0</v>
          </cell>
          <cell r="U988">
            <v>0</v>
          </cell>
        </row>
        <row r="989">
          <cell r="A989" t="str">
            <v>JUL 2015</v>
          </cell>
          <cell r="B989" t="str">
            <v>KUUM_492</v>
          </cell>
          <cell r="D989" t="str">
            <v>LS</v>
          </cell>
          <cell r="S989">
            <v>0</v>
          </cell>
          <cell r="T989">
            <v>0</v>
          </cell>
          <cell r="U989">
            <v>0</v>
          </cell>
        </row>
        <row r="990">
          <cell r="A990" t="str">
            <v>JUL 2015</v>
          </cell>
          <cell r="B990" t="str">
            <v>KUUM_493</v>
          </cell>
          <cell r="D990" t="str">
            <v>LS</v>
          </cell>
          <cell r="S990">
            <v>0</v>
          </cell>
          <cell r="T990">
            <v>0</v>
          </cell>
          <cell r="U990">
            <v>0</v>
          </cell>
        </row>
        <row r="991">
          <cell r="A991" t="str">
            <v>JUL 2015</v>
          </cell>
          <cell r="B991" t="str">
            <v>KUUM_494</v>
          </cell>
          <cell r="D991" t="str">
            <v>LS</v>
          </cell>
          <cell r="S991">
            <v>0</v>
          </cell>
          <cell r="T991">
            <v>0</v>
          </cell>
          <cell r="U991">
            <v>0</v>
          </cell>
        </row>
        <row r="992">
          <cell r="A992" t="str">
            <v>JUL 2015</v>
          </cell>
          <cell r="B992" t="str">
            <v>KUUM_495</v>
          </cell>
          <cell r="D992" t="str">
            <v>LS</v>
          </cell>
          <cell r="S992">
            <v>0</v>
          </cell>
          <cell r="T992">
            <v>0</v>
          </cell>
          <cell r="U992">
            <v>0</v>
          </cell>
        </row>
        <row r="993">
          <cell r="A993" t="str">
            <v>JUL 2015</v>
          </cell>
          <cell r="B993" t="str">
            <v>KUUM_496</v>
          </cell>
          <cell r="D993" t="str">
            <v>LS</v>
          </cell>
          <cell r="S993">
            <v>0</v>
          </cell>
          <cell r="T993">
            <v>0</v>
          </cell>
          <cell r="U993">
            <v>0</v>
          </cell>
        </row>
        <row r="994">
          <cell r="A994" t="str">
            <v>JUL 2015</v>
          </cell>
          <cell r="B994" t="str">
            <v>KUUM_497</v>
          </cell>
          <cell r="D994" t="str">
            <v>LS</v>
          </cell>
          <cell r="S994">
            <v>0</v>
          </cell>
          <cell r="T994">
            <v>0</v>
          </cell>
          <cell r="U994">
            <v>0</v>
          </cell>
        </row>
        <row r="995">
          <cell r="A995" t="str">
            <v>JUL 2015</v>
          </cell>
          <cell r="B995" t="str">
            <v>KUUM_498</v>
          </cell>
          <cell r="D995" t="str">
            <v>LS</v>
          </cell>
          <cell r="S995">
            <v>0</v>
          </cell>
          <cell r="T995">
            <v>0</v>
          </cell>
          <cell r="U995">
            <v>0</v>
          </cell>
        </row>
        <row r="996">
          <cell r="A996" t="str">
            <v>JUL 2015</v>
          </cell>
          <cell r="B996" t="str">
            <v>KUUM_499</v>
          </cell>
          <cell r="D996" t="str">
            <v>LS</v>
          </cell>
          <cell r="S996">
            <v>0</v>
          </cell>
          <cell r="T996">
            <v>0</v>
          </cell>
          <cell r="U996">
            <v>0</v>
          </cell>
        </row>
        <row r="997">
          <cell r="A997" t="str">
            <v>JUL 2015</v>
          </cell>
          <cell r="B997" t="str">
            <v>KUUM_820</v>
          </cell>
          <cell r="D997" t="str">
            <v>ODL</v>
          </cell>
          <cell r="S997">
            <v>0</v>
          </cell>
          <cell r="T997">
            <v>0</v>
          </cell>
          <cell r="U997">
            <v>0</v>
          </cell>
        </row>
        <row r="998">
          <cell r="A998" t="str">
            <v>JUL 2015</v>
          </cell>
          <cell r="B998" t="str">
            <v>KUUM_825</v>
          </cell>
          <cell r="D998" t="str">
            <v>EF</v>
          </cell>
          <cell r="S998">
            <v>0</v>
          </cell>
          <cell r="T998">
            <v>0</v>
          </cell>
          <cell r="U998">
            <v>0</v>
          </cell>
        </row>
        <row r="999">
          <cell r="A999" t="str">
            <v>JUL 2015</v>
          </cell>
          <cell r="B999" t="str">
            <v>KUUM_826</v>
          </cell>
          <cell r="D999" t="str">
            <v>EF</v>
          </cell>
          <cell r="S999">
            <v>0</v>
          </cell>
          <cell r="T999">
            <v>0</v>
          </cell>
          <cell r="U999">
            <v>0</v>
          </cell>
        </row>
        <row r="1000">
          <cell r="A1000" t="str">
            <v>JUL 2015</v>
          </cell>
          <cell r="B1000" t="str">
            <v>KUUM_827</v>
          </cell>
          <cell r="D1000" t="str">
            <v>DA</v>
          </cell>
        </row>
        <row r="1001">
          <cell r="A1001" t="str">
            <v>JUL 2015</v>
          </cell>
          <cell r="B1001" t="str">
            <v>KUUM_828</v>
          </cell>
          <cell r="D1001" t="str">
            <v>EF</v>
          </cell>
        </row>
        <row r="1002">
          <cell r="A1002" t="str">
            <v>JUL 2015</v>
          </cell>
          <cell r="B1002" t="str">
            <v>KUUM_829</v>
          </cell>
          <cell r="D1002" t="str">
            <v>EF</v>
          </cell>
          <cell r="S1002">
            <v>0</v>
          </cell>
          <cell r="T1002">
            <v>0</v>
          </cell>
          <cell r="U1002">
            <v>0</v>
          </cell>
        </row>
        <row r="1003">
          <cell r="A1003" t="str">
            <v>JUL 2015</v>
          </cell>
          <cell r="B1003" t="str">
            <v>ODRSE020</v>
          </cell>
          <cell r="D1003" t="str">
            <v>ODRS</v>
          </cell>
          <cell r="S1003">
            <v>0</v>
          </cell>
          <cell r="T1003">
            <v>0</v>
          </cell>
          <cell r="U1003">
            <v>0</v>
          </cell>
        </row>
        <row r="1004">
          <cell r="A1004" t="str">
            <v>JUL 2015</v>
          </cell>
          <cell r="B1004" t="str">
            <v>Result</v>
          </cell>
          <cell r="S1004">
            <v>0</v>
          </cell>
          <cell r="T1004">
            <v>0</v>
          </cell>
          <cell r="U1004">
            <v>0</v>
          </cell>
        </row>
        <row r="1005">
          <cell r="A1005" t="str">
            <v>AUG 2015</v>
          </cell>
          <cell r="B1005" t="str">
            <v>KTRSE020</v>
          </cell>
          <cell r="D1005" t="str">
            <v>TNRS</v>
          </cell>
          <cell r="S1005">
            <v>0</v>
          </cell>
          <cell r="T1005">
            <v>0</v>
          </cell>
          <cell r="U1005">
            <v>0</v>
          </cell>
        </row>
        <row r="1006">
          <cell r="A1006" t="str">
            <v>AUG 2015</v>
          </cell>
          <cell r="B1006" t="str">
            <v>KTRSE030</v>
          </cell>
          <cell r="D1006" t="str">
            <v>TNRS</v>
          </cell>
          <cell r="S1006">
            <v>0</v>
          </cell>
          <cell r="T1006">
            <v>0</v>
          </cell>
          <cell r="U1006">
            <v>0</v>
          </cell>
        </row>
        <row r="1007">
          <cell r="A1007" t="str">
            <v>AUG 2015</v>
          </cell>
          <cell r="B1007" t="str">
            <v>KTUM_406</v>
          </cell>
          <cell r="D1007" t="str">
            <v>TNLS</v>
          </cell>
          <cell r="S1007">
            <v>0</v>
          </cell>
          <cell r="T1007">
            <v>0</v>
          </cell>
          <cell r="U1007">
            <v>0</v>
          </cell>
        </row>
        <row r="1008">
          <cell r="A1008" t="str">
            <v>AUG 2015</v>
          </cell>
          <cell r="B1008" t="str">
            <v>KTUM_428</v>
          </cell>
          <cell r="D1008" t="str">
            <v>TNLS</v>
          </cell>
          <cell r="S1008">
            <v>0</v>
          </cell>
          <cell r="T1008">
            <v>0</v>
          </cell>
          <cell r="U1008">
            <v>0</v>
          </cell>
        </row>
        <row r="1009">
          <cell r="A1009" t="str">
            <v>AUG 2015</v>
          </cell>
          <cell r="B1009" t="str">
            <v>KUCIE000</v>
          </cell>
          <cell r="D1009" t="str">
            <v>TS</v>
          </cell>
          <cell r="S1009">
            <v>0</v>
          </cell>
          <cell r="T1009">
            <v>0</v>
          </cell>
          <cell r="U1009">
            <v>0</v>
          </cell>
        </row>
        <row r="1010">
          <cell r="A1010" t="str">
            <v>AUG 2015</v>
          </cell>
          <cell r="B1010" t="str">
            <v>KUCIE550</v>
          </cell>
          <cell r="D1010" t="str">
            <v>RTS</v>
          </cell>
          <cell r="E1010">
            <v>138340919</v>
          </cell>
          <cell r="F1010">
            <v>24000</v>
          </cell>
          <cell r="L1010">
            <v>0</v>
          </cell>
          <cell r="M1010">
            <v>296729</v>
          </cell>
          <cell r="P1010">
            <v>0</v>
          </cell>
          <cell r="R1010">
            <v>8223663</v>
          </cell>
          <cell r="S1010">
            <v>5027309</v>
          </cell>
          <cell r="T1010">
            <v>2289699</v>
          </cell>
          <cell r="U1010">
            <v>585927</v>
          </cell>
        </row>
        <row r="1011">
          <cell r="A1011" t="str">
            <v>AUG 2015</v>
          </cell>
          <cell r="B1011" t="str">
            <v>KUCIE561</v>
          </cell>
          <cell r="D1011" t="str">
            <v>PSP</v>
          </cell>
          <cell r="E1011">
            <v>22727624</v>
          </cell>
          <cell r="F1011">
            <v>34340</v>
          </cell>
          <cell r="L1011">
            <v>41836</v>
          </cell>
          <cell r="M1011">
            <v>48749</v>
          </cell>
          <cell r="P1011">
            <v>0</v>
          </cell>
          <cell r="R1011">
            <v>1980950</v>
          </cell>
          <cell r="S1011">
            <v>809558</v>
          </cell>
          <cell r="T1011">
            <v>950207</v>
          </cell>
          <cell r="U1011">
            <v>96260</v>
          </cell>
        </row>
        <row r="1012">
          <cell r="A1012" t="str">
            <v>AUG 2015</v>
          </cell>
          <cell r="B1012" t="str">
            <v>KUCIE562</v>
          </cell>
          <cell r="D1012" t="str">
            <v>PSS</v>
          </cell>
          <cell r="E1012">
            <v>209413425</v>
          </cell>
          <cell r="F1012">
            <v>423000</v>
          </cell>
          <cell r="L1012">
            <v>385480</v>
          </cell>
          <cell r="M1012">
            <v>449173</v>
          </cell>
          <cell r="P1012">
            <v>0</v>
          </cell>
          <cell r="R1012">
            <v>20061134</v>
          </cell>
          <cell r="S1012">
            <v>7463494</v>
          </cell>
          <cell r="T1012">
            <v>10453041</v>
          </cell>
          <cell r="U1012">
            <v>886946</v>
          </cell>
        </row>
        <row r="1013">
          <cell r="A1013" t="str">
            <v>AUG 2015</v>
          </cell>
          <cell r="B1013" t="str">
            <v>KUCIE563</v>
          </cell>
          <cell r="D1013" t="str">
            <v>TODP</v>
          </cell>
          <cell r="E1013">
            <v>280193456</v>
          </cell>
          <cell r="F1013">
            <v>15600</v>
          </cell>
          <cell r="L1013">
            <v>515769</v>
          </cell>
          <cell r="M1013">
            <v>600989</v>
          </cell>
          <cell r="P1013">
            <v>0</v>
          </cell>
          <cell r="R1013">
            <v>17668684</v>
          </cell>
          <cell r="S1013">
            <v>10549284</v>
          </cell>
          <cell r="T1013">
            <v>4800315</v>
          </cell>
          <cell r="U1013">
            <v>1186726</v>
          </cell>
        </row>
        <row r="1014">
          <cell r="A1014" t="str">
            <v>AUG 2015</v>
          </cell>
          <cell r="B1014" t="str">
            <v>KUCIE566</v>
          </cell>
          <cell r="D1014" t="str">
            <v>PSP</v>
          </cell>
          <cell r="E1014">
            <v>0</v>
          </cell>
          <cell r="F1014">
            <v>0</v>
          </cell>
          <cell r="L1014">
            <v>0</v>
          </cell>
          <cell r="M1014">
            <v>0</v>
          </cell>
          <cell r="P1014">
            <v>0</v>
          </cell>
          <cell r="R1014">
            <v>0</v>
          </cell>
          <cell r="S1014">
            <v>0</v>
          </cell>
          <cell r="T1014">
            <v>0</v>
          </cell>
          <cell r="U1014">
            <v>0</v>
          </cell>
        </row>
        <row r="1015">
          <cell r="A1015" t="str">
            <v>AUG 2015</v>
          </cell>
          <cell r="B1015" t="str">
            <v>KUCIE568</v>
          </cell>
          <cell r="D1015" t="str">
            <v>PSS</v>
          </cell>
          <cell r="E1015">
            <v>0</v>
          </cell>
          <cell r="F1015">
            <v>0</v>
          </cell>
          <cell r="L1015">
            <v>0</v>
          </cell>
          <cell r="M1015">
            <v>0</v>
          </cell>
          <cell r="P1015">
            <v>0</v>
          </cell>
          <cell r="R1015">
            <v>0</v>
          </cell>
          <cell r="S1015">
            <v>0</v>
          </cell>
          <cell r="T1015">
            <v>0</v>
          </cell>
          <cell r="U1015">
            <v>0</v>
          </cell>
        </row>
        <row r="1016">
          <cell r="A1016" t="str">
            <v>AUG 2015</v>
          </cell>
          <cell r="B1016" t="str">
            <v>KUCIE571</v>
          </cell>
          <cell r="D1016" t="str">
            <v>TODP</v>
          </cell>
          <cell r="E1016">
            <v>116583613</v>
          </cell>
          <cell r="F1016">
            <v>58800</v>
          </cell>
          <cell r="L1016">
            <v>214603</v>
          </cell>
          <cell r="M1016">
            <v>250061</v>
          </cell>
          <cell r="P1016">
            <v>0</v>
          </cell>
          <cell r="R1016">
            <v>7868789</v>
          </cell>
          <cell r="S1016">
            <v>4389373</v>
          </cell>
          <cell r="T1016">
            <v>2462175</v>
          </cell>
          <cell r="U1016">
            <v>493776</v>
          </cell>
        </row>
        <row r="1017">
          <cell r="A1017" t="str">
            <v>AUG 2015</v>
          </cell>
          <cell r="B1017" t="str">
            <v>KUCIE572</v>
          </cell>
          <cell r="D1017" t="str">
            <v>TODS</v>
          </cell>
          <cell r="E1017">
            <v>151711802</v>
          </cell>
          <cell r="F1017">
            <v>92400</v>
          </cell>
          <cell r="L1017">
            <v>279265</v>
          </cell>
          <cell r="M1017">
            <v>325408</v>
          </cell>
          <cell r="P1017">
            <v>0</v>
          </cell>
          <cell r="R1017">
            <v>10940756</v>
          </cell>
          <cell r="S1017">
            <v>5724086</v>
          </cell>
          <cell r="T1017">
            <v>3877039</v>
          </cell>
          <cell r="U1017">
            <v>642557</v>
          </cell>
        </row>
        <row r="1018">
          <cell r="A1018" t="str">
            <v>AUG 2015</v>
          </cell>
          <cell r="B1018" t="str">
            <v>KUCIE717</v>
          </cell>
          <cell r="D1018" t="str">
            <v>PSS</v>
          </cell>
          <cell r="E1018">
            <v>0</v>
          </cell>
          <cell r="F1018">
            <v>0</v>
          </cell>
          <cell r="L1018">
            <v>0</v>
          </cell>
          <cell r="M1018">
            <v>0</v>
          </cell>
          <cell r="P1018">
            <v>0</v>
          </cell>
          <cell r="R1018">
            <v>0</v>
          </cell>
          <cell r="S1018">
            <v>0</v>
          </cell>
          <cell r="T1018">
            <v>0</v>
          </cell>
          <cell r="U1018">
            <v>0</v>
          </cell>
        </row>
        <row r="1019">
          <cell r="A1019" t="str">
            <v>AUG 2015</v>
          </cell>
          <cell r="B1019" t="str">
            <v>KUCME000</v>
          </cell>
          <cell r="D1019" t="str">
            <v>TS</v>
          </cell>
          <cell r="E1019">
            <v>0</v>
          </cell>
          <cell r="F1019">
            <v>0</v>
          </cell>
          <cell r="L1019">
            <v>0</v>
          </cell>
          <cell r="M1019">
            <v>0</v>
          </cell>
          <cell r="P1019">
            <v>0</v>
          </cell>
          <cell r="R1019">
            <v>0</v>
          </cell>
          <cell r="S1019">
            <v>0</v>
          </cell>
          <cell r="T1019">
            <v>0</v>
          </cell>
          <cell r="U1019">
            <v>0</v>
          </cell>
        </row>
        <row r="1020">
          <cell r="A1020" t="str">
            <v>AUG 2015</v>
          </cell>
          <cell r="B1020" t="str">
            <v>KUCME110</v>
          </cell>
          <cell r="D1020" t="str">
            <v>GS</v>
          </cell>
          <cell r="E1020">
            <v>73848581</v>
          </cell>
          <cell r="F1020">
            <v>1269967</v>
          </cell>
          <cell r="L1020">
            <v>135938</v>
          </cell>
          <cell r="M1020">
            <v>158398</v>
          </cell>
          <cell r="P1020">
            <v>0</v>
          </cell>
          <cell r="R1020">
            <v>8689612</v>
          </cell>
          <cell r="S1020">
            <v>6812532</v>
          </cell>
          <cell r="T1020">
            <v>0</v>
          </cell>
          <cell r="U1020">
            <v>312777</v>
          </cell>
        </row>
        <row r="1021">
          <cell r="A1021" t="str">
            <v>AUG 2015</v>
          </cell>
          <cell r="B1021" t="str">
            <v>KUCME112</v>
          </cell>
          <cell r="D1021" t="str">
            <v>GS</v>
          </cell>
          <cell r="E1021">
            <v>0</v>
          </cell>
          <cell r="F1021">
            <v>0</v>
          </cell>
          <cell r="L1021">
            <v>0</v>
          </cell>
          <cell r="M1021">
            <v>0</v>
          </cell>
          <cell r="P1021">
            <v>0</v>
          </cell>
          <cell r="R1021">
            <v>0</v>
          </cell>
          <cell r="S1021">
            <v>0</v>
          </cell>
          <cell r="T1021">
            <v>0</v>
          </cell>
          <cell r="U1021">
            <v>0</v>
          </cell>
        </row>
        <row r="1022">
          <cell r="A1022" t="str">
            <v>AUG 2015</v>
          </cell>
          <cell r="B1022" t="str">
            <v>KUCME113</v>
          </cell>
          <cell r="D1022" t="str">
            <v>GS3</v>
          </cell>
          <cell r="E1022">
            <v>108396952</v>
          </cell>
          <cell r="F1022">
            <v>649658</v>
          </cell>
          <cell r="L1022">
            <v>199533</v>
          </cell>
          <cell r="M1022">
            <v>232502</v>
          </cell>
          <cell r="P1022">
            <v>0</v>
          </cell>
          <cell r="R1022">
            <v>11540413</v>
          </cell>
          <cell r="S1022">
            <v>9999619</v>
          </cell>
          <cell r="T1022">
            <v>0</v>
          </cell>
          <cell r="U1022">
            <v>459103</v>
          </cell>
        </row>
        <row r="1023">
          <cell r="A1023" t="str">
            <v>AUG 2015</v>
          </cell>
          <cell r="B1023" t="str">
            <v>KUCME220</v>
          </cell>
          <cell r="D1023" t="str">
            <v>AES</v>
          </cell>
          <cell r="E1023">
            <v>629511</v>
          </cell>
          <cell r="F1023">
            <v>7520</v>
          </cell>
          <cell r="L1023">
            <v>1159</v>
          </cell>
          <cell r="M1023">
            <v>1350</v>
          </cell>
          <cell r="P1023">
            <v>0</v>
          </cell>
          <cell r="R1023">
            <v>59531</v>
          </cell>
          <cell r="S1023">
            <v>46835</v>
          </cell>
          <cell r="T1023">
            <v>0</v>
          </cell>
          <cell r="U1023">
            <v>2666</v>
          </cell>
        </row>
        <row r="1024">
          <cell r="A1024" t="str">
            <v>AUG 2015</v>
          </cell>
          <cell r="B1024" t="str">
            <v>KUCME221</v>
          </cell>
          <cell r="D1024" t="str">
            <v>AESP</v>
          </cell>
          <cell r="E1024">
            <v>0</v>
          </cell>
          <cell r="F1024">
            <v>0</v>
          </cell>
          <cell r="L1024">
            <v>0</v>
          </cell>
          <cell r="M1024">
            <v>0</v>
          </cell>
          <cell r="P1024">
            <v>0</v>
          </cell>
          <cell r="R1024">
            <v>0</v>
          </cell>
          <cell r="S1024">
            <v>0</v>
          </cell>
          <cell r="T1024">
            <v>0</v>
          </cell>
          <cell r="U1024">
            <v>0</v>
          </cell>
        </row>
        <row r="1025">
          <cell r="A1025" t="str">
            <v>AUG 2015</v>
          </cell>
          <cell r="B1025" t="str">
            <v>KUCME223</v>
          </cell>
          <cell r="D1025" t="str">
            <v>AES3</v>
          </cell>
          <cell r="E1025">
            <v>0</v>
          </cell>
          <cell r="F1025">
            <v>0</v>
          </cell>
          <cell r="L1025">
            <v>0</v>
          </cell>
          <cell r="M1025">
            <v>0</v>
          </cell>
          <cell r="P1025">
            <v>0</v>
          </cell>
          <cell r="R1025">
            <v>0</v>
          </cell>
          <cell r="S1025">
            <v>0</v>
          </cell>
          <cell r="T1025">
            <v>0</v>
          </cell>
          <cell r="U1025">
            <v>0</v>
          </cell>
        </row>
        <row r="1026">
          <cell r="A1026" t="str">
            <v>AUG 2015</v>
          </cell>
          <cell r="B1026" t="str">
            <v>KUCME224</v>
          </cell>
          <cell r="D1026" t="str">
            <v>AES3P</v>
          </cell>
          <cell r="E1026">
            <v>11667674</v>
          </cell>
          <cell r="F1026">
            <v>9135</v>
          </cell>
          <cell r="L1026">
            <v>21477</v>
          </cell>
          <cell r="M1026">
            <v>25026</v>
          </cell>
          <cell r="P1026">
            <v>0</v>
          </cell>
          <cell r="R1026">
            <v>973131</v>
          </cell>
          <cell r="S1026">
            <v>868075</v>
          </cell>
          <cell r="T1026">
            <v>0</v>
          </cell>
          <cell r="U1026">
            <v>49417</v>
          </cell>
        </row>
        <row r="1027">
          <cell r="A1027" t="str">
            <v>AUG 2015</v>
          </cell>
          <cell r="B1027" t="str">
            <v>KUCME225</v>
          </cell>
          <cell r="D1027" t="str">
            <v>AES3PSS</v>
          </cell>
          <cell r="E1027">
            <v>0</v>
          </cell>
          <cell r="F1027">
            <v>0</v>
          </cell>
          <cell r="L1027">
            <v>0</v>
          </cell>
          <cell r="M1027">
            <v>0</v>
          </cell>
          <cell r="P1027">
            <v>0</v>
          </cell>
          <cell r="R1027">
            <v>0</v>
          </cell>
          <cell r="S1027">
            <v>0</v>
          </cell>
          <cell r="T1027">
            <v>0</v>
          </cell>
          <cell r="U1027">
            <v>0</v>
          </cell>
        </row>
        <row r="1028">
          <cell r="A1028" t="str">
            <v>AUG 2015</v>
          </cell>
          <cell r="B1028" t="str">
            <v>KUCME226</v>
          </cell>
          <cell r="D1028" t="str">
            <v>AESPSS</v>
          </cell>
          <cell r="E1028">
            <v>0</v>
          </cell>
          <cell r="F1028">
            <v>0</v>
          </cell>
          <cell r="L1028">
            <v>0</v>
          </cell>
          <cell r="M1028">
            <v>0</v>
          </cell>
          <cell r="P1028">
            <v>0</v>
          </cell>
          <cell r="R1028">
            <v>0</v>
          </cell>
          <cell r="S1028">
            <v>0</v>
          </cell>
          <cell r="T1028">
            <v>0</v>
          </cell>
          <cell r="U1028">
            <v>0</v>
          </cell>
        </row>
        <row r="1029">
          <cell r="A1029" t="str">
            <v>AUG 2015</v>
          </cell>
          <cell r="B1029" t="str">
            <v>KUCME227</v>
          </cell>
          <cell r="D1029" t="str">
            <v>AESTODS</v>
          </cell>
          <cell r="E1029">
            <v>0</v>
          </cell>
          <cell r="F1029">
            <v>0</v>
          </cell>
          <cell r="L1029">
            <v>0</v>
          </cell>
          <cell r="M1029">
            <v>0</v>
          </cell>
          <cell r="P1029">
            <v>0</v>
          </cell>
          <cell r="R1029">
            <v>0</v>
          </cell>
          <cell r="S1029">
            <v>0</v>
          </cell>
          <cell r="T1029">
            <v>0</v>
          </cell>
          <cell r="U1029">
            <v>0</v>
          </cell>
        </row>
        <row r="1030">
          <cell r="A1030" t="str">
            <v>AUG 2015</v>
          </cell>
          <cell r="B1030" t="str">
            <v>KUCME290</v>
          </cell>
          <cell r="D1030" t="str">
            <v>LE</v>
          </cell>
          <cell r="E1030">
            <v>0</v>
          </cell>
          <cell r="F1030">
            <v>0</v>
          </cell>
          <cell r="L1030">
            <v>0</v>
          </cell>
          <cell r="M1030">
            <v>0</v>
          </cell>
          <cell r="P1030">
            <v>0</v>
          </cell>
          <cell r="R1030">
            <v>0</v>
          </cell>
          <cell r="S1030">
            <v>0</v>
          </cell>
          <cell r="T1030">
            <v>0</v>
          </cell>
          <cell r="U1030">
            <v>0</v>
          </cell>
        </row>
        <row r="1031">
          <cell r="A1031" t="str">
            <v>AUG 2015</v>
          </cell>
          <cell r="B1031" t="str">
            <v>KUCME291</v>
          </cell>
          <cell r="D1031" t="str">
            <v>LE</v>
          </cell>
          <cell r="E1031">
            <v>0</v>
          </cell>
          <cell r="F1031">
            <v>0</v>
          </cell>
          <cell r="L1031">
            <v>0</v>
          </cell>
          <cell r="M1031">
            <v>0</v>
          </cell>
          <cell r="P1031">
            <v>0</v>
          </cell>
          <cell r="R1031">
            <v>0</v>
          </cell>
          <cell r="S1031">
            <v>0</v>
          </cell>
          <cell r="T1031">
            <v>0</v>
          </cell>
          <cell r="U1031">
            <v>0</v>
          </cell>
        </row>
        <row r="1032">
          <cell r="A1032" t="str">
            <v>AUG 2015</v>
          </cell>
          <cell r="B1032" t="str">
            <v>KUCME295</v>
          </cell>
          <cell r="D1032" t="str">
            <v>TE</v>
          </cell>
          <cell r="E1032">
            <v>0</v>
          </cell>
          <cell r="F1032">
            <v>0</v>
          </cell>
          <cell r="L1032">
            <v>0</v>
          </cell>
          <cell r="M1032">
            <v>0</v>
          </cell>
          <cell r="P1032">
            <v>0</v>
          </cell>
          <cell r="R1032">
            <v>0</v>
          </cell>
          <cell r="S1032">
            <v>0</v>
          </cell>
          <cell r="T1032">
            <v>0</v>
          </cell>
          <cell r="U1032">
            <v>0</v>
          </cell>
        </row>
        <row r="1033">
          <cell r="A1033" t="str">
            <v>AUG 2015</v>
          </cell>
          <cell r="B1033" t="str">
            <v>KUCME297</v>
          </cell>
          <cell r="D1033" t="str">
            <v>TE</v>
          </cell>
          <cell r="E1033">
            <v>0</v>
          </cell>
          <cell r="F1033">
            <v>0</v>
          </cell>
          <cell r="L1033">
            <v>0</v>
          </cell>
          <cell r="M1033">
            <v>0</v>
          </cell>
          <cell r="P1033">
            <v>0</v>
          </cell>
          <cell r="R1033">
            <v>0</v>
          </cell>
          <cell r="S1033">
            <v>0</v>
          </cell>
          <cell r="T1033">
            <v>0</v>
          </cell>
          <cell r="U1033">
            <v>0</v>
          </cell>
        </row>
        <row r="1034">
          <cell r="A1034" t="str">
            <v>AUG 2015</v>
          </cell>
          <cell r="B1034" t="str">
            <v>KUCME705</v>
          </cell>
          <cell r="D1034" t="str">
            <v>SQF</v>
          </cell>
          <cell r="E1034">
            <v>0</v>
          </cell>
          <cell r="F1034">
            <v>0</v>
          </cell>
          <cell r="L1034">
            <v>0</v>
          </cell>
          <cell r="M1034">
            <v>0</v>
          </cell>
          <cell r="P1034">
            <v>0</v>
          </cell>
          <cell r="R1034">
            <v>0</v>
          </cell>
          <cell r="S1034">
            <v>0</v>
          </cell>
          <cell r="T1034">
            <v>0</v>
          </cell>
          <cell r="U1034">
            <v>0</v>
          </cell>
        </row>
        <row r="1035">
          <cell r="A1035" t="str">
            <v>AUG 2015</v>
          </cell>
          <cell r="B1035" t="str">
            <v>KUCME707</v>
          </cell>
          <cell r="D1035" t="str">
            <v>LQF</v>
          </cell>
          <cell r="E1035">
            <v>0</v>
          </cell>
          <cell r="F1035">
            <v>0</v>
          </cell>
          <cell r="L1035">
            <v>0</v>
          </cell>
          <cell r="M1035">
            <v>0</v>
          </cell>
          <cell r="P1035">
            <v>0</v>
          </cell>
          <cell r="R1035">
            <v>0</v>
          </cell>
          <cell r="S1035">
            <v>0</v>
          </cell>
          <cell r="T1035">
            <v>0</v>
          </cell>
          <cell r="U1035">
            <v>0</v>
          </cell>
        </row>
        <row r="1036">
          <cell r="A1036" t="str">
            <v>AUG 2015</v>
          </cell>
          <cell r="B1036" t="str">
            <v>KUCME710</v>
          </cell>
          <cell r="D1036" t="str">
            <v>GS</v>
          </cell>
          <cell r="E1036">
            <v>0</v>
          </cell>
          <cell r="F1036">
            <v>0</v>
          </cell>
          <cell r="L1036">
            <v>0</v>
          </cell>
          <cell r="M1036">
            <v>0</v>
          </cell>
          <cell r="P1036">
            <v>0</v>
          </cell>
          <cell r="R1036">
            <v>0</v>
          </cell>
          <cell r="S1036">
            <v>0</v>
          </cell>
          <cell r="T1036">
            <v>0</v>
          </cell>
          <cell r="U1036">
            <v>0</v>
          </cell>
        </row>
        <row r="1037">
          <cell r="A1037" t="str">
            <v>AUG 2015</v>
          </cell>
          <cell r="B1037" t="str">
            <v>KUCME713</v>
          </cell>
          <cell r="D1037" t="str">
            <v>GS3</v>
          </cell>
          <cell r="E1037">
            <v>0</v>
          </cell>
          <cell r="F1037">
            <v>0</v>
          </cell>
          <cell r="L1037">
            <v>0</v>
          </cell>
          <cell r="M1037">
            <v>0</v>
          </cell>
          <cell r="P1037">
            <v>0</v>
          </cell>
          <cell r="R1037">
            <v>0</v>
          </cell>
          <cell r="S1037">
            <v>0</v>
          </cell>
          <cell r="T1037">
            <v>0</v>
          </cell>
          <cell r="U1037">
            <v>0</v>
          </cell>
        </row>
        <row r="1038">
          <cell r="A1038" t="str">
            <v>AUG 2015</v>
          </cell>
          <cell r="B1038" t="str">
            <v>KUCME841</v>
          </cell>
          <cell r="D1038" t="str">
            <v>LRI</v>
          </cell>
          <cell r="E1038">
            <v>0</v>
          </cell>
          <cell r="F1038">
            <v>0</v>
          </cell>
          <cell r="L1038">
            <v>0</v>
          </cell>
          <cell r="M1038">
            <v>0</v>
          </cell>
          <cell r="P1038">
            <v>0</v>
          </cell>
          <cell r="R1038">
            <v>0</v>
          </cell>
          <cell r="S1038">
            <v>0</v>
          </cell>
          <cell r="T1038">
            <v>0</v>
          </cell>
          <cell r="U1038">
            <v>0</v>
          </cell>
        </row>
        <row r="1039">
          <cell r="A1039" t="str">
            <v>AUG 2015</v>
          </cell>
          <cell r="B1039" t="str">
            <v>KUCSR760</v>
          </cell>
          <cell r="D1039" t="str">
            <v>CSR</v>
          </cell>
          <cell r="E1039">
            <v>0</v>
          </cell>
          <cell r="F1039">
            <v>0</v>
          </cell>
          <cell r="L1039">
            <v>0</v>
          </cell>
          <cell r="M1039">
            <v>0</v>
          </cell>
          <cell r="P1039">
            <v>-989829</v>
          </cell>
          <cell r="R1039">
            <v>-989829</v>
          </cell>
          <cell r="S1039">
            <v>0</v>
          </cell>
          <cell r="T1039">
            <v>0</v>
          </cell>
          <cell r="U1039">
            <v>0</v>
          </cell>
        </row>
        <row r="1040">
          <cell r="A1040" t="str">
            <v>AUG 2015</v>
          </cell>
          <cell r="B1040" t="str">
            <v>KUCSR761</v>
          </cell>
          <cell r="D1040" t="str">
            <v>CSR</v>
          </cell>
          <cell r="E1040">
            <v>0</v>
          </cell>
          <cell r="F1040">
            <v>0</v>
          </cell>
          <cell r="L1040">
            <v>0</v>
          </cell>
          <cell r="M1040">
            <v>0</v>
          </cell>
          <cell r="P1040">
            <v>0</v>
          </cell>
          <cell r="R1040">
            <v>0</v>
          </cell>
          <cell r="S1040">
            <v>0</v>
          </cell>
          <cell r="T1040">
            <v>0</v>
          </cell>
          <cell r="U1040">
            <v>0</v>
          </cell>
        </row>
        <row r="1041">
          <cell r="A1041" t="str">
            <v>AUG 2015</v>
          </cell>
          <cell r="B1041" t="str">
            <v>KUCSR781</v>
          </cell>
          <cell r="D1041" t="str">
            <v>CSR</v>
          </cell>
          <cell r="E1041">
            <v>0</v>
          </cell>
          <cell r="F1041">
            <v>0</v>
          </cell>
          <cell r="L1041">
            <v>0</v>
          </cell>
          <cell r="M1041">
            <v>0</v>
          </cell>
          <cell r="P1041">
            <v>0</v>
          </cell>
          <cell r="R1041">
            <v>0</v>
          </cell>
          <cell r="S1041">
            <v>0</v>
          </cell>
          <cell r="T1041">
            <v>0</v>
          </cell>
          <cell r="U1041">
            <v>0</v>
          </cell>
        </row>
        <row r="1042">
          <cell r="A1042" t="str">
            <v>AUG 2015</v>
          </cell>
          <cell r="B1042" t="str">
            <v>KUCSR783</v>
          </cell>
          <cell r="D1042" t="str">
            <v>CSR</v>
          </cell>
          <cell r="E1042">
            <v>0</v>
          </cell>
          <cell r="F1042">
            <v>0</v>
          </cell>
          <cell r="L1042">
            <v>0</v>
          </cell>
          <cell r="M1042">
            <v>0</v>
          </cell>
          <cell r="P1042">
            <v>0</v>
          </cell>
          <cell r="R1042">
            <v>0</v>
          </cell>
          <cell r="S1042">
            <v>0</v>
          </cell>
          <cell r="T1042">
            <v>0</v>
          </cell>
          <cell r="U1042">
            <v>0</v>
          </cell>
        </row>
        <row r="1043">
          <cell r="A1043" t="str">
            <v>AUG 2015</v>
          </cell>
          <cell r="B1043" t="str">
            <v>KUCUE851</v>
          </cell>
          <cell r="D1043" t="str">
            <v>CU</v>
          </cell>
          <cell r="E1043">
            <v>0</v>
          </cell>
          <cell r="F1043">
            <v>0</v>
          </cell>
          <cell r="L1043">
            <v>0</v>
          </cell>
          <cell r="M1043">
            <v>0</v>
          </cell>
          <cell r="P1043">
            <v>0</v>
          </cell>
          <cell r="R1043">
            <v>0</v>
          </cell>
          <cell r="S1043">
            <v>0</v>
          </cell>
          <cell r="T1043">
            <v>0</v>
          </cell>
          <cell r="U1043">
            <v>0</v>
          </cell>
        </row>
        <row r="1044">
          <cell r="A1044" t="str">
            <v>AUG 2015</v>
          </cell>
          <cell r="B1044" t="str">
            <v>KUCUE852</v>
          </cell>
          <cell r="D1044" t="str">
            <v>CU</v>
          </cell>
          <cell r="E1044">
            <v>0</v>
          </cell>
          <cell r="F1044">
            <v>0</v>
          </cell>
          <cell r="L1044">
            <v>0</v>
          </cell>
          <cell r="M1044">
            <v>0</v>
          </cell>
          <cell r="P1044">
            <v>0</v>
          </cell>
          <cell r="R1044">
            <v>0</v>
          </cell>
          <cell r="S1044">
            <v>0</v>
          </cell>
          <cell r="T1044">
            <v>0</v>
          </cell>
          <cell r="U1044">
            <v>0</v>
          </cell>
        </row>
        <row r="1045">
          <cell r="A1045" t="str">
            <v>AUG 2015</v>
          </cell>
          <cell r="B1045" t="str">
            <v>KUINE730</v>
          </cell>
          <cell r="D1045" t="str">
            <v>FLS</v>
          </cell>
          <cell r="E1045">
            <v>46590427</v>
          </cell>
          <cell r="F1045">
            <v>750</v>
          </cell>
          <cell r="L1045">
            <v>0</v>
          </cell>
          <cell r="M1045">
            <v>99932</v>
          </cell>
          <cell r="P1045">
            <v>0</v>
          </cell>
          <cell r="R1045">
            <v>2537523</v>
          </cell>
          <cell r="S1045">
            <v>1519314</v>
          </cell>
          <cell r="T1045">
            <v>720199</v>
          </cell>
          <cell r="U1045">
            <v>197328</v>
          </cell>
        </row>
        <row r="1046">
          <cell r="A1046" t="str">
            <v>AUG 2015</v>
          </cell>
          <cell r="B1046" t="str">
            <v>KUMNE902</v>
          </cell>
          <cell r="D1046" t="str">
            <v>WPS</v>
          </cell>
          <cell r="E1046">
            <v>0</v>
          </cell>
          <cell r="F1046">
            <v>0</v>
          </cell>
          <cell r="L1046">
            <v>0</v>
          </cell>
          <cell r="M1046">
            <v>0</v>
          </cell>
          <cell r="P1046">
            <v>0</v>
          </cell>
          <cell r="R1046">
            <v>0</v>
          </cell>
          <cell r="S1046">
            <v>0</v>
          </cell>
          <cell r="T1046">
            <v>0</v>
          </cell>
          <cell r="U1046">
            <v>0</v>
          </cell>
        </row>
        <row r="1047">
          <cell r="A1047" t="str">
            <v>AUG 2015</v>
          </cell>
          <cell r="B1047" t="str">
            <v>KUMNE903</v>
          </cell>
          <cell r="D1047" t="str">
            <v>WPS</v>
          </cell>
          <cell r="E1047">
            <v>0</v>
          </cell>
          <cell r="F1047">
            <v>0</v>
          </cell>
          <cell r="L1047">
            <v>0</v>
          </cell>
          <cell r="M1047">
            <v>0</v>
          </cell>
          <cell r="P1047">
            <v>0</v>
          </cell>
          <cell r="R1047">
            <v>0</v>
          </cell>
          <cell r="S1047">
            <v>0</v>
          </cell>
          <cell r="T1047">
            <v>0</v>
          </cell>
          <cell r="U1047">
            <v>0</v>
          </cell>
        </row>
        <row r="1048">
          <cell r="A1048" t="str">
            <v>AUG 2015</v>
          </cell>
          <cell r="B1048" t="str">
            <v>KUMNE934</v>
          </cell>
          <cell r="D1048" t="str">
            <v>WPS</v>
          </cell>
          <cell r="E1048">
            <v>0</v>
          </cell>
          <cell r="F1048">
            <v>0</v>
          </cell>
          <cell r="L1048">
            <v>0</v>
          </cell>
          <cell r="M1048">
            <v>0</v>
          </cell>
          <cell r="P1048">
            <v>0</v>
          </cell>
          <cell r="R1048">
            <v>0</v>
          </cell>
          <cell r="S1048">
            <v>0</v>
          </cell>
          <cell r="T1048">
            <v>0</v>
          </cell>
          <cell r="U1048">
            <v>0</v>
          </cell>
        </row>
        <row r="1049">
          <cell r="A1049" t="str">
            <v>AUG 2015</v>
          </cell>
          <cell r="B1049" t="str">
            <v>KURSE000</v>
          </cell>
          <cell r="D1049" t="str">
            <v>TS</v>
          </cell>
          <cell r="E1049">
            <v>0</v>
          </cell>
          <cell r="F1049">
            <v>0</v>
          </cell>
          <cell r="L1049">
            <v>0</v>
          </cell>
          <cell r="M1049">
            <v>0</v>
          </cell>
          <cell r="P1049">
            <v>0</v>
          </cell>
          <cell r="R1049">
            <v>0</v>
          </cell>
          <cell r="S1049">
            <v>0</v>
          </cell>
          <cell r="T1049">
            <v>0</v>
          </cell>
          <cell r="U1049">
            <v>0</v>
          </cell>
        </row>
        <row r="1050">
          <cell r="A1050" t="str">
            <v>AUG 2015</v>
          </cell>
          <cell r="B1050" t="str">
            <v>KURSE010</v>
          </cell>
          <cell r="D1050" t="str">
            <v>RS</v>
          </cell>
          <cell r="E1050">
            <v>576729203</v>
          </cell>
          <cell r="F1050">
            <v>4617210</v>
          </cell>
          <cell r="L1050">
            <v>1061621</v>
          </cell>
          <cell r="M1050">
            <v>1237032</v>
          </cell>
          <cell r="P1050">
            <v>0</v>
          </cell>
          <cell r="R1050">
            <v>54020441</v>
          </cell>
          <cell r="S1050">
            <v>44661910</v>
          </cell>
          <cell r="T1050">
            <v>0</v>
          </cell>
          <cell r="U1050">
            <v>2442669</v>
          </cell>
        </row>
        <row r="1051">
          <cell r="A1051" t="str">
            <v>AUG 2015</v>
          </cell>
          <cell r="B1051" t="str">
            <v>KURSE020</v>
          </cell>
          <cell r="D1051" t="str">
            <v>RS</v>
          </cell>
          <cell r="E1051">
            <v>0</v>
          </cell>
          <cell r="F1051">
            <v>0</v>
          </cell>
          <cell r="L1051">
            <v>0</v>
          </cell>
          <cell r="M1051">
            <v>0</v>
          </cell>
          <cell r="P1051">
            <v>0</v>
          </cell>
          <cell r="R1051">
            <v>0</v>
          </cell>
          <cell r="S1051">
            <v>0</v>
          </cell>
          <cell r="T1051">
            <v>0</v>
          </cell>
          <cell r="U1051">
            <v>0</v>
          </cell>
        </row>
        <row r="1052">
          <cell r="A1052" t="str">
            <v>AUG 2015</v>
          </cell>
          <cell r="B1052" t="str">
            <v>KURSE025</v>
          </cell>
          <cell r="D1052" t="str">
            <v>RS3</v>
          </cell>
          <cell r="E1052">
            <v>0</v>
          </cell>
          <cell r="F1052">
            <v>0</v>
          </cell>
          <cell r="L1052">
            <v>0</v>
          </cell>
          <cell r="M1052">
            <v>0</v>
          </cell>
          <cell r="P1052">
            <v>0</v>
          </cell>
          <cell r="R1052">
            <v>0</v>
          </cell>
          <cell r="S1052">
            <v>0</v>
          </cell>
          <cell r="T1052">
            <v>0</v>
          </cell>
          <cell r="U1052">
            <v>0</v>
          </cell>
        </row>
        <row r="1053">
          <cell r="A1053" t="str">
            <v>AUG 2015</v>
          </cell>
          <cell r="B1053" t="str">
            <v>KURSE040</v>
          </cell>
          <cell r="D1053" t="str">
            <v>RSLEV</v>
          </cell>
          <cell r="E1053">
            <v>0</v>
          </cell>
          <cell r="F1053">
            <v>0</v>
          </cell>
          <cell r="L1053">
            <v>0</v>
          </cell>
          <cell r="M1053">
            <v>0</v>
          </cell>
          <cell r="P1053">
            <v>0</v>
          </cell>
          <cell r="R1053">
            <v>0</v>
          </cell>
          <cell r="S1053">
            <v>0</v>
          </cell>
          <cell r="T1053">
            <v>0</v>
          </cell>
          <cell r="U1053">
            <v>0</v>
          </cell>
        </row>
        <row r="1054">
          <cell r="A1054" t="str">
            <v>AUG 2015</v>
          </cell>
          <cell r="B1054" t="str">
            <v>KURSE080</v>
          </cell>
          <cell r="D1054" t="str">
            <v>RSVFD</v>
          </cell>
          <cell r="E1054">
            <v>0</v>
          </cell>
          <cell r="F1054">
            <v>0</v>
          </cell>
          <cell r="L1054">
            <v>0</v>
          </cell>
          <cell r="M1054">
            <v>0</v>
          </cell>
          <cell r="P1054">
            <v>0</v>
          </cell>
          <cell r="R1054">
            <v>0</v>
          </cell>
          <cell r="S1054">
            <v>0</v>
          </cell>
          <cell r="T1054">
            <v>0</v>
          </cell>
          <cell r="U1054">
            <v>0</v>
          </cell>
        </row>
        <row r="1055">
          <cell r="A1055" t="str">
            <v>AUG 2015</v>
          </cell>
          <cell r="B1055" t="str">
            <v>KURSE715</v>
          </cell>
          <cell r="D1055" t="str">
            <v>RS</v>
          </cell>
          <cell r="E1055">
            <v>0</v>
          </cell>
          <cell r="F1055">
            <v>0</v>
          </cell>
          <cell r="L1055">
            <v>0</v>
          </cell>
          <cell r="M1055">
            <v>0</v>
          </cell>
          <cell r="P1055">
            <v>0</v>
          </cell>
          <cell r="R1055">
            <v>0</v>
          </cell>
          <cell r="S1055">
            <v>0</v>
          </cell>
          <cell r="T1055">
            <v>0</v>
          </cell>
          <cell r="U1055">
            <v>0</v>
          </cell>
        </row>
        <row r="1056">
          <cell r="A1056" t="str">
            <v>AUG 2015</v>
          </cell>
          <cell r="B1056" t="str">
            <v>ODL</v>
          </cell>
          <cell r="E1056">
            <v>9030466</v>
          </cell>
          <cell r="F1056">
            <v>0</v>
          </cell>
          <cell r="L1056">
            <v>0</v>
          </cell>
          <cell r="M1056">
            <v>19370</v>
          </cell>
          <cell r="P1056">
            <v>0</v>
          </cell>
          <cell r="R1056">
            <v>2196113</v>
          </cell>
          <cell r="S1056">
            <v>2138496</v>
          </cell>
          <cell r="T1056">
            <v>0</v>
          </cell>
          <cell r="U1056">
            <v>38247</v>
          </cell>
        </row>
        <row r="1057">
          <cell r="A1057" t="str">
            <v>AUG 2015</v>
          </cell>
          <cell r="B1057" t="str">
            <v>KUUM_360</v>
          </cell>
          <cell r="D1057" t="str">
            <v>LS</v>
          </cell>
          <cell r="S1057">
            <v>0</v>
          </cell>
          <cell r="T1057">
            <v>0</v>
          </cell>
          <cell r="U1057">
            <v>0</v>
          </cell>
        </row>
        <row r="1058">
          <cell r="A1058" t="str">
            <v>AUG 2015</v>
          </cell>
          <cell r="B1058" t="str">
            <v>KUUM_361</v>
          </cell>
          <cell r="D1058" t="str">
            <v>LS</v>
          </cell>
          <cell r="S1058">
            <v>0</v>
          </cell>
          <cell r="T1058">
            <v>0</v>
          </cell>
          <cell r="U1058">
            <v>0</v>
          </cell>
        </row>
        <row r="1059">
          <cell r="A1059" t="str">
            <v>AUG 2015</v>
          </cell>
          <cell r="B1059" t="str">
            <v>KUUM_362</v>
          </cell>
          <cell r="D1059" t="str">
            <v>LS</v>
          </cell>
          <cell r="S1059">
            <v>0</v>
          </cell>
          <cell r="T1059">
            <v>0</v>
          </cell>
          <cell r="U1059">
            <v>0</v>
          </cell>
        </row>
        <row r="1060">
          <cell r="A1060" t="str">
            <v>AUG 2015</v>
          </cell>
          <cell r="B1060" t="str">
            <v>KUUM_363</v>
          </cell>
          <cell r="D1060" t="str">
            <v>LS</v>
          </cell>
          <cell r="S1060">
            <v>0</v>
          </cell>
          <cell r="T1060">
            <v>0</v>
          </cell>
          <cell r="U1060">
            <v>0</v>
          </cell>
        </row>
        <row r="1061">
          <cell r="A1061" t="str">
            <v>AUG 2015</v>
          </cell>
          <cell r="B1061" t="str">
            <v>KUUM_364</v>
          </cell>
          <cell r="D1061" t="str">
            <v>LS</v>
          </cell>
          <cell r="S1061">
            <v>0</v>
          </cell>
          <cell r="T1061">
            <v>0</v>
          </cell>
          <cell r="U1061">
            <v>0</v>
          </cell>
        </row>
        <row r="1062">
          <cell r="A1062" t="str">
            <v>AUG 2015</v>
          </cell>
          <cell r="B1062" t="str">
            <v>KUUM_365</v>
          </cell>
          <cell r="D1062" t="str">
            <v>LS</v>
          </cell>
          <cell r="S1062">
            <v>0</v>
          </cell>
          <cell r="T1062">
            <v>0</v>
          </cell>
          <cell r="U1062">
            <v>0</v>
          </cell>
        </row>
        <row r="1063">
          <cell r="A1063" t="str">
            <v>AUG 2015</v>
          </cell>
          <cell r="B1063" t="str">
            <v>KUUM_366</v>
          </cell>
          <cell r="D1063" t="str">
            <v>LS</v>
          </cell>
          <cell r="S1063">
            <v>0</v>
          </cell>
          <cell r="T1063">
            <v>0</v>
          </cell>
          <cell r="U1063">
            <v>0</v>
          </cell>
        </row>
        <row r="1064">
          <cell r="A1064" t="str">
            <v>AUG 2015</v>
          </cell>
          <cell r="B1064" t="str">
            <v>KUUM_367</v>
          </cell>
          <cell r="D1064" t="str">
            <v>LS</v>
          </cell>
          <cell r="S1064">
            <v>0</v>
          </cell>
          <cell r="T1064">
            <v>0</v>
          </cell>
          <cell r="U1064">
            <v>0</v>
          </cell>
        </row>
        <row r="1065">
          <cell r="A1065" t="str">
            <v>AUG 2015</v>
          </cell>
          <cell r="B1065" t="str">
            <v>KUUM_368</v>
          </cell>
          <cell r="D1065" t="str">
            <v>LS</v>
          </cell>
          <cell r="S1065">
            <v>0</v>
          </cell>
          <cell r="T1065">
            <v>0</v>
          </cell>
          <cell r="U1065">
            <v>0</v>
          </cell>
        </row>
        <row r="1066">
          <cell r="A1066" t="str">
            <v>AUG 2015</v>
          </cell>
          <cell r="B1066" t="str">
            <v>KUUM_370</v>
          </cell>
          <cell r="D1066" t="str">
            <v>LS</v>
          </cell>
          <cell r="S1066">
            <v>0</v>
          </cell>
          <cell r="T1066">
            <v>0</v>
          </cell>
          <cell r="U1066">
            <v>0</v>
          </cell>
        </row>
        <row r="1067">
          <cell r="A1067" t="str">
            <v>AUG 2015</v>
          </cell>
          <cell r="B1067" t="str">
            <v>KUUM_372</v>
          </cell>
          <cell r="D1067" t="str">
            <v>LS</v>
          </cell>
          <cell r="S1067">
            <v>0</v>
          </cell>
          <cell r="T1067">
            <v>0</v>
          </cell>
          <cell r="U1067">
            <v>0</v>
          </cell>
        </row>
        <row r="1068">
          <cell r="A1068" t="str">
            <v>AUG 2015</v>
          </cell>
          <cell r="B1068" t="str">
            <v>KUUM_373</v>
          </cell>
          <cell r="D1068" t="str">
            <v>LS</v>
          </cell>
          <cell r="S1068">
            <v>0</v>
          </cell>
          <cell r="T1068">
            <v>0</v>
          </cell>
          <cell r="U1068">
            <v>0</v>
          </cell>
        </row>
        <row r="1069">
          <cell r="A1069" t="str">
            <v>AUG 2015</v>
          </cell>
          <cell r="B1069" t="str">
            <v>KUUM_374</v>
          </cell>
          <cell r="D1069" t="str">
            <v>LS</v>
          </cell>
          <cell r="S1069">
            <v>0</v>
          </cell>
          <cell r="T1069">
            <v>0</v>
          </cell>
          <cell r="U1069">
            <v>0</v>
          </cell>
        </row>
        <row r="1070">
          <cell r="A1070" t="str">
            <v>AUG 2015</v>
          </cell>
          <cell r="B1070" t="str">
            <v>KUUM_375</v>
          </cell>
          <cell r="D1070" t="str">
            <v>LS</v>
          </cell>
          <cell r="S1070">
            <v>0</v>
          </cell>
          <cell r="T1070">
            <v>0</v>
          </cell>
          <cell r="U1070">
            <v>0</v>
          </cell>
        </row>
        <row r="1071">
          <cell r="A1071" t="str">
            <v>AUG 2015</v>
          </cell>
          <cell r="B1071" t="str">
            <v>KUUM_376</v>
          </cell>
          <cell r="D1071" t="str">
            <v>LS</v>
          </cell>
          <cell r="S1071">
            <v>0</v>
          </cell>
          <cell r="T1071">
            <v>0</v>
          </cell>
          <cell r="U1071">
            <v>0</v>
          </cell>
        </row>
        <row r="1072">
          <cell r="A1072" t="str">
            <v>AUG 2015</v>
          </cell>
          <cell r="B1072" t="str">
            <v>KUUM_377</v>
          </cell>
          <cell r="D1072" t="str">
            <v>LS</v>
          </cell>
          <cell r="S1072">
            <v>0</v>
          </cell>
          <cell r="T1072">
            <v>0</v>
          </cell>
          <cell r="U1072">
            <v>0</v>
          </cell>
        </row>
        <row r="1073">
          <cell r="A1073" t="str">
            <v>AUG 2015</v>
          </cell>
          <cell r="B1073" t="str">
            <v>KUUM_378</v>
          </cell>
          <cell r="D1073" t="str">
            <v>LS</v>
          </cell>
          <cell r="S1073">
            <v>0</v>
          </cell>
          <cell r="T1073">
            <v>0</v>
          </cell>
          <cell r="U1073">
            <v>0</v>
          </cell>
        </row>
        <row r="1074">
          <cell r="A1074" t="str">
            <v>AUG 2015</v>
          </cell>
          <cell r="B1074" t="str">
            <v>KUUM_401</v>
          </cell>
          <cell r="D1074" t="str">
            <v>LS</v>
          </cell>
          <cell r="S1074">
            <v>0</v>
          </cell>
          <cell r="T1074">
            <v>0</v>
          </cell>
          <cell r="U1074">
            <v>0</v>
          </cell>
        </row>
        <row r="1075">
          <cell r="A1075" t="str">
            <v>AUG 2015</v>
          </cell>
          <cell r="B1075" t="str">
            <v>KUUM_404</v>
          </cell>
          <cell r="D1075" t="str">
            <v>RLS</v>
          </cell>
          <cell r="S1075">
            <v>0</v>
          </cell>
          <cell r="T1075">
            <v>0</v>
          </cell>
          <cell r="U1075">
            <v>0</v>
          </cell>
        </row>
        <row r="1076">
          <cell r="A1076" t="str">
            <v>AUG 2015</v>
          </cell>
          <cell r="B1076" t="str">
            <v>KUUM_405</v>
          </cell>
          <cell r="D1076" t="str">
            <v>LS</v>
          </cell>
          <cell r="S1076">
            <v>0</v>
          </cell>
          <cell r="T1076">
            <v>0</v>
          </cell>
          <cell r="U1076">
            <v>0</v>
          </cell>
        </row>
        <row r="1077">
          <cell r="A1077" t="str">
            <v>AUG 2015</v>
          </cell>
          <cell r="B1077" t="str">
            <v>KUUM_409</v>
          </cell>
          <cell r="D1077" t="str">
            <v>RLS</v>
          </cell>
          <cell r="S1077">
            <v>0</v>
          </cell>
          <cell r="T1077">
            <v>0</v>
          </cell>
          <cell r="U1077">
            <v>0</v>
          </cell>
        </row>
        <row r="1078">
          <cell r="A1078" t="str">
            <v>AUG 2015</v>
          </cell>
          <cell r="B1078" t="str">
            <v>KUUM_410</v>
          </cell>
          <cell r="D1078" t="str">
            <v>RLS</v>
          </cell>
          <cell r="S1078">
            <v>0</v>
          </cell>
          <cell r="T1078">
            <v>0</v>
          </cell>
          <cell r="U1078">
            <v>0</v>
          </cell>
        </row>
        <row r="1079">
          <cell r="A1079" t="str">
            <v>AUG 2015</v>
          </cell>
          <cell r="B1079" t="str">
            <v>KUUM_411</v>
          </cell>
          <cell r="D1079" t="str">
            <v>LS</v>
          </cell>
          <cell r="S1079">
            <v>0</v>
          </cell>
          <cell r="T1079">
            <v>0</v>
          </cell>
          <cell r="U1079">
            <v>0</v>
          </cell>
        </row>
        <row r="1080">
          <cell r="A1080" t="str">
            <v>AUG 2015</v>
          </cell>
          <cell r="B1080" t="str">
            <v>KUUM_412</v>
          </cell>
          <cell r="D1080" t="str">
            <v>RLS</v>
          </cell>
          <cell r="S1080">
            <v>0</v>
          </cell>
          <cell r="T1080">
            <v>0</v>
          </cell>
          <cell r="U1080">
            <v>0</v>
          </cell>
        </row>
        <row r="1081">
          <cell r="A1081" t="str">
            <v>AUG 2015</v>
          </cell>
          <cell r="B1081" t="str">
            <v>KUUM_413</v>
          </cell>
          <cell r="D1081" t="str">
            <v>RLS</v>
          </cell>
          <cell r="S1081">
            <v>0</v>
          </cell>
          <cell r="T1081">
            <v>0</v>
          </cell>
          <cell r="U1081">
            <v>0</v>
          </cell>
        </row>
        <row r="1082">
          <cell r="A1082" t="str">
            <v>AUG 2015</v>
          </cell>
          <cell r="B1082" t="str">
            <v>KUUM_414</v>
          </cell>
          <cell r="D1082" t="str">
            <v>LS</v>
          </cell>
          <cell r="S1082">
            <v>0</v>
          </cell>
          <cell r="T1082">
            <v>0</v>
          </cell>
          <cell r="U1082">
            <v>0</v>
          </cell>
        </row>
        <row r="1083">
          <cell r="A1083" t="str">
            <v>AUG 2015</v>
          </cell>
          <cell r="B1083" t="str">
            <v>KUUM_415</v>
          </cell>
          <cell r="D1083" t="str">
            <v>LS</v>
          </cell>
          <cell r="S1083">
            <v>0</v>
          </cell>
          <cell r="T1083">
            <v>0</v>
          </cell>
          <cell r="U1083">
            <v>0</v>
          </cell>
        </row>
        <row r="1084">
          <cell r="A1084" t="str">
            <v>AUG 2015</v>
          </cell>
          <cell r="B1084" t="str">
            <v>KUUM_420</v>
          </cell>
          <cell r="D1084" t="str">
            <v>LS</v>
          </cell>
          <cell r="S1084">
            <v>0</v>
          </cell>
          <cell r="T1084">
            <v>0</v>
          </cell>
          <cell r="U1084">
            <v>0</v>
          </cell>
        </row>
        <row r="1085">
          <cell r="A1085" t="str">
            <v>AUG 2015</v>
          </cell>
          <cell r="B1085" t="str">
            <v>KUUM_421</v>
          </cell>
          <cell r="D1085" t="str">
            <v>RLS</v>
          </cell>
          <cell r="S1085">
            <v>0</v>
          </cell>
          <cell r="T1085">
            <v>0</v>
          </cell>
          <cell r="U1085">
            <v>0</v>
          </cell>
        </row>
        <row r="1086">
          <cell r="A1086" t="str">
            <v>AUG 2015</v>
          </cell>
          <cell r="B1086" t="str">
            <v>KUUM_422</v>
          </cell>
          <cell r="D1086" t="str">
            <v>RLS</v>
          </cell>
          <cell r="S1086">
            <v>0</v>
          </cell>
          <cell r="T1086">
            <v>0</v>
          </cell>
          <cell r="U1086">
            <v>0</v>
          </cell>
        </row>
        <row r="1087">
          <cell r="A1087" t="str">
            <v>AUG 2015</v>
          </cell>
          <cell r="B1087" t="str">
            <v>KUUM_424</v>
          </cell>
          <cell r="D1087" t="str">
            <v>RLS</v>
          </cell>
          <cell r="S1087">
            <v>0</v>
          </cell>
          <cell r="T1087">
            <v>0</v>
          </cell>
          <cell r="U1087">
            <v>0</v>
          </cell>
        </row>
        <row r="1088">
          <cell r="A1088" t="str">
            <v>AUG 2015</v>
          </cell>
          <cell r="B1088" t="str">
            <v>KUUM_425</v>
          </cell>
          <cell r="D1088" t="str">
            <v>RLS</v>
          </cell>
          <cell r="S1088">
            <v>0</v>
          </cell>
          <cell r="T1088">
            <v>0</v>
          </cell>
          <cell r="U1088">
            <v>0</v>
          </cell>
        </row>
        <row r="1089">
          <cell r="A1089" t="str">
            <v>AUG 2015</v>
          </cell>
          <cell r="B1089" t="str">
            <v>KUUM_426</v>
          </cell>
          <cell r="D1089" t="str">
            <v>RLS</v>
          </cell>
          <cell r="S1089">
            <v>0</v>
          </cell>
          <cell r="T1089">
            <v>0</v>
          </cell>
          <cell r="U1089">
            <v>0</v>
          </cell>
        </row>
        <row r="1090">
          <cell r="A1090" t="str">
            <v>AUG 2015</v>
          </cell>
          <cell r="B1090" t="str">
            <v>KUUM_428</v>
          </cell>
          <cell r="D1090" t="str">
            <v>LS</v>
          </cell>
          <cell r="S1090">
            <v>0</v>
          </cell>
          <cell r="T1090">
            <v>0</v>
          </cell>
          <cell r="U1090">
            <v>0</v>
          </cell>
        </row>
        <row r="1091">
          <cell r="A1091" t="str">
            <v>AUG 2015</v>
          </cell>
          <cell r="B1091" t="str">
            <v>KUUM_430</v>
          </cell>
          <cell r="D1091" t="str">
            <v>LS</v>
          </cell>
          <cell r="S1091">
            <v>0</v>
          </cell>
          <cell r="T1091">
            <v>0</v>
          </cell>
          <cell r="U1091">
            <v>0</v>
          </cell>
        </row>
        <row r="1092">
          <cell r="A1092" t="str">
            <v>AUG 2015</v>
          </cell>
          <cell r="B1092" t="str">
            <v>KUUM_434</v>
          </cell>
          <cell r="D1092" t="str">
            <v>RLS</v>
          </cell>
          <cell r="S1092">
            <v>0</v>
          </cell>
          <cell r="T1092">
            <v>0</v>
          </cell>
          <cell r="U1092">
            <v>0</v>
          </cell>
        </row>
        <row r="1093">
          <cell r="A1093" t="str">
            <v>AUG 2015</v>
          </cell>
          <cell r="B1093" t="str">
            <v>KUUM_440</v>
          </cell>
          <cell r="D1093" t="str">
            <v>RLS</v>
          </cell>
          <cell r="S1093">
            <v>0</v>
          </cell>
          <cell r="T1093">
            <v>0</v>
          </cell>
          <cell r="U1093">
            <v>0</v>
          </cell>
        </row>
        <row r="1094">
          <cell r="A1094" t="str">
            <v>AUG 2015</v>
          </cell>
          <cell r="B1094" t="str">
            <v>KUUM_446</v>
          </cell>
          <cell r="D1094" t="str">
            <v>RLS</v>
          </cell>
          <cell r="S1094">
            <v>0</v>
          </cell>
          <cell r="T1094">
            <v>0</v>
          </cell>
          <cell r="U1094">
            <v>0</v>
          </cell>
        </row>
        <row r="1095">
          <cell r="A1095" t="str">
            <v>AUG 2015</v>
          </cell>
          <cell r="B1095" t="str">
            <v>KUUM_447</v>
          </cell>
          <cell r="D1095" t="str">
            <v>RLS</v>
          </cell>
          <cell r="S1095">
            <v>0</v>
          </cell>
          <cell r="T1095">
            <v>0</v>
          </cell>
          <cell r="U1095">
            <v>0</v>
          </cell>
        </row>
        <row r="1096">
          <cell r="A1096" t="str">
            <v>AUG 2015</v>
          </cell>
          <cell r="B1096" t="str">
            <v>KUUM_448</v>
          </cell>
          <cell r="D1096" t="str">
            <v>RLS</v>
          </cell>
          <cell r="S1096">
            <v>0</v>
          </cell>
          <cell r="T1096">
            <v>0</v>
          </cell>
          <cell r="U1096">
            <v>0</v>
          </cell>
        </row>
        <row r="1097">
          <cell r="A1097" t="str">
            <v>AUG 2015</v>
          </cell>
          <cell r="B1097" t="str">
            <v>KUUM_450</v>
          </cell>
          <cell r="D1097" t="str">
            <v>LS</v>
          </cell>
          <cell r="S1097">
            <v>0</v>
          </cell>
          <cell r="T1097">
            <v>0</v>
          </cell>
          <cell r="U1097">
            <v>0</v>
          </cell>
        </row>
        <row r="1098">
          <cell r="A1098" t="str">
            <v>AUG 2015</v>
          </cell>
          <cell r="B1098" t="str">
            <v>KUUM_451</v>
          </cell>
          <cell r="D1098" t="str">
            <v>LS</v>
          </cell>
          <cell r="S1098">
            <v>0</v>
          </cell>
          <cell r="T1098">
            <v>0</v>
          </cell>
          <cell r="U1098">
            <v>0</v>
          </cell>
        </row>
        <row r="1099">
          <cell r="A1099" t="str">
            <v>AUG 2015</v>
          </cell>
          <cell r="B1099" t="str">
            <v>KUUM_452</v>
          </cell>
          <cell r="D1099" t="str">
            <v>LS</v>
          </cell>
          <cell r="S1099">
            <v>0</v>
          </cell>
          <cell r="T1099">
            <v>0</v>
          </cell>
          <cell r="U1099">
            <v>0</v>
          </cell>
        </row>
        <row r="1100">
          <cell r="A1100" t="str">
            <v>AUG 2015</v>
          </cell>
          <cell r="B1100" t="str">
            <v>KUUM_454</v>
          </cell>
          <cell r="D1100" t="str">
            <v>RLS</v>
          </cell>
          <cell r="S1100">
            <v>0</v>
          </cell>
          <cell r="T1100">
            <v>0</v>
          </cell>
          <cell r="U1100">
            <v>0</v>
          </cell>
        </row>
        <row r="1101">
          <cell r="A1101" t="str">
            <v>AUG 2015</v>
          </cell>
          <cell r="B1101" t="str">
            <v>KUUM_455</v>
          </cell>
          <cell r="D1101" t="str">
            <v>RLS</v>
          </cell>
          <cell r="S1101">
            <v>0</v>
          </cell>
          <cell r="T1101">
            <v>0</v>
          </cell>
          <cell r="U1101">
            <v>0</v>
          </cell>
        </row>
        <row r="1102">
          <cell r="A1102" t="str">
            <v>AUG 2015</v>
          </cell>
          <cell r="B1102" t="str">
            <v>KUUM_456</v>
          </cell>
          <cell r="D1102" t="str">
            <v>RLS</v>
          </cell>
          <cell r="S1102">
            <v>0</v>
          </cell>
          <cell r="T1102">
            <v>0</v>
          </cell>
          <cell r="U1102">
            <v>0</v>
          </cell>
        </row>
        <row r="1103">
          <cell r="A1103" t="str">
            <v>AUG 2015</v>
          </cell>
          <cell r="B1103" t="str">
            <v>KUUM_457</v>
          </cell>
          <cell r="D1103" t="str">
            <v>RLS</v>
          </cell>
          <cell r="S1103">
            <v>0</v>
          </cell>
          <cell r="T1103">
            <v>0</v>
          </cell>
          <cell r="U1103">
            <v>0</v>
          </cell>
        </row>
        <row r="1104">
          <cell r="A1104" t="str">
            <v>AUG 2015</v>
          </cell>
          <cell r="B1104" t="str">
            <v>KUUM_458</v>
          </cell>
          <cell r="D1104" t="str">
            <v>RLS</v>
          </cell>
          <cell r="S1104">
            <v>0</v>
          </cell>
          <cell r="T1104">
            <v>0</v>
          </cell>
          <cell r="U1104">
            <v>0</v>
          </cell>
        </row>
        <row r="1105">
          <cell r="A1105" t="str">
            <v>AUG 2015</v>
          </cell>
          <cell r="B1105" t="str">
            <v>KUUM_459</v>
          </cell>
          <cell r="D1105" t="str">
            <v>RLS</v>
          </cell>
          <cell r="S1105">
            <v>0</v>
          </cell>
          <cell r="T1105">
            <v>0</v>
          </cell>
          <cell r="U1105">
            <v>0</v>
          </cell>
        </row>
        <row r="1106">
          <cell r="A1106" t="str">
            <v>AUG 2015</v>
          </cell>
          <cell r="B1106" t="str">
            <v>KUUM_460</v>
          </cell>
          <cell r="D1106" t="str">
            <v>RLS</v>
          </cell>
          <cell r="S1106">
            <v>0</v>
          </cell>
          <cell r="T1106">
            <v>0</v>
          </cell>
          <cell r="U1106">
            <v>0</v>
          </cell>
        </row>
        <row r="1107">
          <cell r="A1107" t="str">
            <v>AUG 2015</v>
          </cell>
          <cell r="B1107" t="str">
            <v>KUUM_461</v>
          </cell>
          <cell r="D1107" t="str">
            <v>RLS</v>
          </cell>
          <cell r="S1107">
            <v>0</v>
          </cell>
          <cell r="T1107">
            <v>0</v>
          </cell>
          <cell r="U1107">
            <v>0</v>
          </cell>
        </row>
        <row r="1108">
          <cell r="A1108" t="str">
            <v>AUG 2015</v>
          </cell>
          <cell r="B1108" t="str">
            <v>KUUM_462</v>
          </cell>
          <cell r="D1108" t="str">
            <v>LS</v>
          </cell>
          <cell r="S1108">
            <v>0</v>
          </cell>
          <cell r="T1108">
            <v>0</v>
          </cell>
          <cell r="U1108">
            <v>0</v>
          </cell>
        </row>
        <row r="1109">
          <cell r="A1109" t="str">
            <v>AUG 2015</v>
          </cell>
          <cell r="B1109" t="str">
            <v>KUUM_463</v>
          </cell>
          <cell r="D1109" t="str">
            <v>LS</v>
          </cell>
          <cell r="S1109">
            <v>0</v>
          </cell>
          <cell r="T1109">
            <v>0</v>
          </cell>
          <cell r="U1109">
            <v>0</v>
          </cell>
        </row>
        <row r="1110">
          <cell r="A1110" t="str">
            <v>AUG 2015</v>
          </cell>
          <cell r="B1110" t="str">
            <v>KUUM_464</v>
          </cell>
          <cell r="D1110" t="str">
            <v>LS</v>
          </cell>
          <cell r="S1110">
            <v>0</v>
          </cell>
          <cell r="T1110">
            <v>0</v>
          </cell>
          <cell r="U1110">
            <v>0</v>
          </cell>
        </row>
        <row r="1111">
          <cell r="A1111" t="str">
            <v>AUG 2015</v>
          </cell>
          <cell r="B1111" t="str">
            <v>KUUM_465</v>
          </cell>
          <cell r="D1111" t="str">
            <v>LS</v>
          </cell>
          <cell r="S1111">
            <v>0</v>
          </cell>
          <cell r="T1111">
            <v>0</v>
          </cell>
          <cell r="U1111">
            <v>0</v>
          </cell>
        </row>
        <row r="1112">
          <cell r="A1112" t="str">
            <v>AUG 2015</v>
          </cell>
          <cell r="B1112" t="str">
            <v>KUUM_465CU</v>
          </cell>
          <cell r="D1112" t="str">
            <v>LS</v>
          </cell>
          <cell r="S1112">
            <v>0</v>
          </cell>
          <cell r="T1112">
            <v>0</v>
          </cell>
          <cell r="U1112">
            <v>0</v>
          </cell>
        </row>
        <row r="1113">
          <cell r="A1113" t="str">
            <v>AUG 2015</v>
          </cell>
          <cell r="B1113" t="str">
            <v>KUUM_466</v>
          </cell>
          <cell r="D1113" t="str">
            <v>RLS</v>
          </cell>
          <cell r="S1113">
            <v>0</v>
          </cell>
          <cell r="T1113">
            <v>0</v>
          </cell>
          <cell r="U1113">
            <v>0</v>
          </cell>
        </row>
        <row r="1114">
          <cell r="A1114" t="str">
            <v>AUG 2015</v>
          </cell>
          <cell r="B1114" t="str">
            <v>KUUM_467</v>
          </cell>
          <cell r="D1114" t="str">
            <v>LS</v>
          </cell>
          <cell r="S1114">
            <v>0</v>
          </cell>
          <cell r="T1114">
            <v>0</v>
          </cell>
          <cell r="U1114">
            <v>0</v>
          </cell>
        </row>
        <row r="1115">
          <cell r="A1115" t="str">
            <v>AUG 2015</v>
          </cell>
          <cell r="B1115" t="str">
            <v>KUUM_468</v>
          </cell>
          <cell r="D1115" t="str">
            <v>LS</v>
          </cell>
          <cell r="S1115">
            <v>0</v>
          </cell>
          <cell r="T1115">
            <v>0</v>
          </cell>
          <cell r="U1115">
            <v>0</v>
          </cell>
        </row>
        <row r="1116">
          <cell r="A1116" t="str">
            <v>AUG 2015</v>
          </cell>
          <cell r="B1116" t="str">
            <v>KUUM_469</v>
          </cell>
          <cell r="D1116" t="str">
            <v>RLS</v>
          </cell>
          <cell r="S1116">
            <v>0</v>
          </cell>
          <cell r="T1116">
            <v>0</v>
          </cell>
          <cell r="U1116">
            <v>0</v>
          </cell>
        </row>
        <row r="1117">
          <cell r="A1117" t="str">
            <v>AUG 2015</v>
          </cell>
          <cell r="B1117" t="str">
            <v>KUUM_470</v>
          </cell>
          <cell r="D1117" t="str">
            <v>RLS</v>
          </cell>
          <cell r="S1117">
            <v>0</v>
          </cell>
          <cell r="T1117">
            <v>0</v>
          </cell>
          <cell r="U1117">
            <v>0</v>
          </cell>
        </row>
        <row r="1118">
          <cell r="A1118" t="str">
            <v>AUG 2015</v>
          </cell>
          <cell r="B1118" t="str">
            <v>KUUM_471</v>
          </cell>
          <cell r="D1118" t="str">
            <v>RLS</v>
          </cell>
          <cell r="S1118">
            <v>0</v>
          </cell>
          <cell r="T1118">
            <v>0</v>
          </cell>
          <cell r="U1118">
            <v>0</v>
          </cell>
        </row>
        <row r="1119">
          <cell r="A1119" t="str">
            <v>AUG 2015</v>
          </cell>
          <cell r="B1119" t="str">
            <v>KUUM_472</v>
          </cell>
          <cell r="D1119" t="str">
            <v>LS</v>
          </cell>
          <cell r="S1119">
            <v>0</v>
          </cell>
          <cell r="T1119">
            <v>0</v>
          </cell>
          <cell r="U1119">
            <v>0</v>
          </cell>
        </row>
        <row r="1120">
          <cell r="A1120" t="str">
            <v>AUG 2015</v>
          </cell>
          <cell r="B1120" t="str">
            <v>KUUM_473</v>
          </cell>
          <cell r="D1120" t="str">
            <v>LS</v>
          </cell>
          <cell r="S1120">
            <v>0</v>
          </cell>
          <cell r="T1120">
            <v>0</v>
          </cell>
          <cell r="U1120">
            <v>0</v>
          </cell>
        </row>
        <row r="1121">
          <cell r="A1121" t="str">
            <v>AUG 2015</v>
          </cell>
          <cell r="B1121" t="str">
            <v>KUUM_474</v>
          </cell>
          <cell r="D1121" t="str">
            <v>LS</v>
          </cell>
          <cell r="S1121">
            <v>0</v>
          </cell>
          <cell r="T1121">
            <v>0</v>
          </cell>
          <cell r="U1121">
            <v>0</v>
          </cell>
        </row>
        <row r="1122">
          <cell r="A1122" t="str">
            <v>AUG 2015</v>
          </cell>
          <cell r="B1122" t="str">
            <v>KUUM_475</v>
          </cell>
          <cell r="D1122" t="str">
            <v>LS</v>
          </cell>
          <cell r="S1122">
            <v>0</v>
          </cell>
          <cell r="T1122">
            <v>0</v>
          </cell>
          <cell r="U1122">
            <v>0</v>
          </cell>
        </row>
        <row r="1123">
          <cell r="A1123" t="str">
            <v>AUG 2015</v>
          </cell>
          <cell r="B1123" t="str">
            <v>KUUM_476</v>
          </cell>
          <cell r="D1123" t="str">
            <v>LS</v>
          </cell>
          <cell r="S1123">
            <v>0</v>
          </cell>
          <cell r="T1123">
            <v>0</v>
          </cell>
          <cell r="U1123">
            <v>0</v>
          </cell>
        </row>
        <row r="1124">
          <cell r="A1124" t="str">
            <v>AUG 2015</v>
          </cell>
          <cell r="B1124" t="str">
            <v>KUUM_477</v>
          </cell>
          <cell r="D1124" t="str">
            <v>LS</v>
          </cell>
          <cell r="S1124">
            <v>0</v>
          </cell>
          <cell r="T1124">
            <v>0</v>
          </cell>
          <cell r="U1124">
            <v>0</v>
          </cell>
        </row>
        <row r="1125">
          <cell r="A1125" t="str">
            <v>AUG 2015</v>
          </cell>
          <cell r="B1125" t="str">
            <v>KUUM_478</v>
          </cell>
          <cell r="D1125" t="str">
            <v>LS</v>
          </cell>
          <cell r="S1125">
            <v>0</v>
          </cell>
          <cell r="T1125">
            <v>0</v>
          </cell>
          <cell r="U1125">
            <v>0</v>
          </cell>
        </row>
        <row r="1126">
          <cell r="A1126" t="str">
            <v>AUG 2015</v>
          </cell>
          <cell r="B1126" t="str">
            <v>KUUM_479</v>
          </cell>
          <cell r="D1126" t="str">
            <v>LS</v>
          </cell>
          <cell r="S1126">
            <v>0</v>
          </cell>
          <cell r="T1126">
            <v>0</v>
          </cell>
          <cell r="U1126">
            <v>0</v>
          </cell>
        </row>
        <row r="1127">
          <cell r="A1127" t="str">
            <v>AUG 2015</v>
          </cell>
          <cell r="B1127" t="str">
            <v>KUUM_487</v>
          </cell>
          <cell r="D1127" t="str">
            <v>LS</v>
          </cell>
          <cell r="S1127">
            <v>0</v>
          </cell>
          <cell r="T1127">
            <v>0</v>
          </cell>
          <cell r="U1127">
            <v>0</v>
          </cell>
        </row>
        <row r="1128">
          <cell r="A1128" t="str">
            <v>AUG 2015</v>
          </cell>
          <cell r="B1128" t="str">
            <v>KUUM_488</v>
          </cell>
          <cell r="D1128" t="str">
            <v>LS</v>
          </cell>
          <cell r="S1128">
            <v>0</v>
          </cell>
          <cell r="T1128">
            <v>0</v>
          </cell>
          <cell r="U1128">
            <v>0</v>
          </cell>
        </row>
        <row r="1129">
          <cell r="A1129" t="str">
            <v>AUG 2015</v>
          </cell>
          <cell r="B1129" t="str">
            <v>KUUM_489</v>
          </cell>
          <cell r="D1129" t="str">
            <v>LS</v>
          </cell>
          <cell r="S1129">
            <v>0</v>
          </cell>
          <cell r="T1129">
            <v>0</v>
          </cell>
          <cell r="U1129">
            <v>0</v>
          </cell>
        </row>
        <row r="1130">
          <cell r="A1130" t="str">
            <v>AUG 2015</v>
          </cell>
          <cell r="B1130" t="str">
            <v>KUUM_490</v>
          </cell>
          <cell r="D1130" t="str">
            <v>LS</v>
          </cell>
          <cell r="S1130">
            <v>0</v>
          </cell>
          <cell r="T1130">
            <v>0</v>
          </cell>
          <cell r="U1130">
            <v>0</v>
          </cell>
        </row>
        <row r="1131">
          <cell r="A1131" t="str">
            <v>AUG 2015</v>
          </cell>
          <cell r="B1131" t="str">
            <v>KUUM_491</v>
          </cell>
          <cell r="D1131" t="str">
            <v>LS</v>
          </cell>
          <cell r="S1131">
            <v>0</v>
          </cell>
          <cell r="T1131">
            <v>0</v>
          </cell>
          <cell r="U1131">
            <v>0</v>
          </cell>
        </row>
        <row r="1132">
          <cell r="A1132" t="str">
            <v>AUG 2015</v>
          </cell>
          <cell r="B1132" t="str">
            <v>KUUM_492</v>
          </cell>
          <cell r="D1132" t="str">
            <v>LS</v>
          </cell>
          <cell r="S1132">
            <v>0</v>
          </cell>
          <cell r="T1132">
            <v>0</v>
          </cell>
          <cell r="U1132">
            <v>0</v>
          </cell>
        </row>
        <row r="1133">
          <cell r="A1133" t="str">
            <v>AUG 2015</v>
          </cell>
          <cell r="B1133" t="str">
            <v>KUUM_493</v>
          </cell>
          <cell r="D1133" t="str">
            <v>LS</v>
          </cell>
          <cell r="S1133">
            <v>0</v>
          </cell>
          <cell r="T1133">
            <v>0</v>
          </cell>
          <cell r="U1133">
            <v>0</v>
          </cell>
        </row>
        <row r="1134">
          <cell r="A1134" t="str">
            <v>AUG 2015</v>
          </cell>
          <cell r="B1134" t="str">
            <v>KUUM_494</v>
          </cell>
          <cell r="D1134" t="str">
            <v>LS</v>
          </cell>
          <cell r="S1134">
            <v>0</v>
          </cell>
          <cell r="T1134">
            <v>0</v>
          </cell>
          <cell r="U1134">
            <v>0</v>
          </cell>
        </row>
        <row r="1135">
          <cell r="A1135" t="str">
            <v>AUG 2015</v>
          </cell>
          <cell r="B1135" t="str">
            <v>KUUM_495</v>
          </cell>
          <cell r="D1135" t="str">
            <v>LS</v>
          </cell>
          <cell r="S1135">
            <v>0</v>
          </cell>
          <cell r="T1135">
            <v>0</v>
          </cell>
          <cell r="U1135">
            <v>0</v>
          </cell>
        </row>
        <row r="1136">
          <cell r="A1136" t="str">
            <v>AUG 2015</v>
          </cell>
          <cell r="B1136" t="str">
            <v>KUUM_496</v>
          </cell>
          <cell r="D1136" t="str">
            <v>LS</v>
          </cell>
          <cell r="S1136">
            <v>0</v>
          </cell>
          <cell r="T1136">
            <v>0</v>
          </cell>
          <cell r="U1136">
            <v>0</v>
          </cell>
        </row>
        <row r="1137">
          <cell r="A1137" t="str">
            <v>AUG 2015</v>
          </cell>
          <cell r="B1137" t="str">
            <v>KUUM_497</v>
          </cell>
          <cell r="D1137" t="str">
            <v>LS</v>
          </cell>
          <cell r="S1137">
            <v>0</v>
          </cell>
          <cell r="T1137">
            <v>0</v>
          </cell>
          <cell r="U1137">
            <v>0</v>
          </cell>
        </row>
        <row r="1138">
          <cell r="A1138" t="str">
            <v>AUG 2015</v>
          </cell>
          <cell r="B1138" t="str">
            <v>KUUM_498</v>
          </cell>
          <cell r="D1138" t="str">
            <v>LS</v>
          </cell>
          <cell r="S1138">
            <v>0</v>
          </cell>
          <cell r="T1138">
            <v>0</v>
          </cell>
          <cell r="U1138">
            <v>0</v>
          </cell>
        </row>
        <row r="1139">
          <cell r="A1139" t="str">
            <v>AUG 2015</v>
          </cell>
          <cell r="B1139" t="str">
            <v>KUUM_499</v>
          </cell>
          <cell r="D1139" t="str">
            <v>LS</v>
          </cell>
          <cell r="S1139">
            <v>0</v>
          </cell>
          <cell r="T1139">
            <v>0</v>
          </cell>
          <cell r="U1139">
            <v>0</v>
          </cell>
        </row>
        <row r="1140">
          <cell r="A1140" t="str">
            <v>AUG 2015</v>
          </cell>
          <cell r="B1140" t="str">
            <v>KUUM_820</v>
          </cell>
          <cell r="D1140" t="str">
            <v>ODL</v>
          </cell>
          <cell r="S1140">
            <v>0</v>
          </cell>
          <cell r="T1140">
            <v>0</v>
          </cell>
          <cell r="U1140">
            <v>0</v>
          </cell>
        </row>
        <row r="1141">
          <cell r="A1141" t="str">
            <v>AUG 2015</v>
          </cell>
          <cell r="B1141" t="str">
            <v>KUUM_825</v>
          </cell>
          <cell r="D1141" t="str">
            <v>EF</v>
          </cell>
          <cell r="S1141">
            <v>0</v>
          </cell>
          <cell r="T1141">
            <v>0</v>
          </cell>
          <cell r="U1141">
            <v>0</v>
          </cell>
        </row>
        <row r="1142">
          <cell r="A1142" t="str">
            <v>AUG 2015</v>
          </cell>
          <cell r="B1142" t="str">
            <v>KUUM_826</v>
          </cell>
          <cell r="D1142" t="str">
            <v>EF</v>
          </cell>
          <cell r="S1142">
            <v>0</v>
          </cell>
          <cell r="T1142">
            <v>0</v>
          </cell>
          <cell r="U1142">
            <v>0</v>
          </cell>
        </row>
        <row r="1143">
          <cell r="A1143" t="str">
            <v>AUG 2015</v>
          </cell>
          <cell r="B1143" t="str">
            <v>KUUM_827</v>
          </cell>
          <cell r="D1143" t="str">
            <v>DA</v>
          </cell>
          <cell r="S1143">
            <v>0</v>
          </cell>
          <cell r="T1143">
            <v>0</v>
          </cell>
          <cell r="U1143">
            <v>0</v>
          </cell>
        </row>
        <row r="1144">
          <cell r="A1144" t="str">
            <v>AUG 2015</v>
          </cell>
          <cell r="B1144" t="str">
            <v>KUUM_828</v>
          </cell>
          <cell r="D1144" t="str">
            <v>EF</v>
          </cell>
          <cell r="S1144">
            <v>0</v>
          </cell>
          <cell r="T1144">
            <v>0</v>
          </cell>
          <cell r="U1144">
            <v>0</v>
          </cell>
        </row>
        <row r="1145">
          <cell r="A1145" t="str">
            <v>AUG 2015</v>
          </cell>
          <cell r="B1145" t="str">
            <v>KUUM_829</v>
          </cell>
          <cell r="D1145" t="str">
            <v>EF</v>
          </cell>
          <cell r="S1145">
            <v>0</v>
          </cell>
          <cell r="T1145">
            <v>0</v>
          </cell>
          <cell r="U1145">
            <v>0</v>
          </cell>
        </row>
        <row r="1146">
          <cell r="A1146" t="str">
            <v>AUG 2015</v>
          </cell>
          <cell r="B1146" t="str">
            <v>ODRSE020</v>
          </cell>
          <cell r="D1146" t="str">
            <v>ODRS</v>
          </cell>
          <cell r="S1146">
            <v>0</v>
          </cell>
          <cell r="T1146">
            <v>0</v>
          </cell>
          <cell r="U1146">
            <v>0</v>
          </cell>
        </row>
        <row r="1147">
          <cell r="A1147" t="str">
            <v>AUG 2015</v>
          </cell>
          <cell r="B1147" t="str">
            <v>Result</v>
          </cell>
          <cell r="S1147">
            <v>0</v>
          </cell>
          <cell r="T1147">
            <v>0</v>
          </cell>
          <cell r="U1147">
            <v>0</v>
          </cell>
        </row>
        <row r="1148">
          <cell r="A1148" t="str">
            <v>SEP 2015</v>
          </cell>
          <cell r="B1148" t="str">
            <v>KTRSE020</v>
          </cell>
          <cell r="D1148" t="str">
            <v>TNRS</v>
          </cell>
          <cell r="S1148">
            <v>0</v>
          </cell>
          <cell r="T1148">
            <v>0</v>
          </cell>
          <cell r="U1148">
            <v>0</v>
          </cell>
        </row>
        <row r="1149">
          <cell r="A1149" t="str">
            <v>SEP 2015</v>
          </cell>
          <cell r="B1149" t="str">
            <v>KTRSE030</v>
          </cell>
          <cell r="D1149" t="str">
            <v>TNRS</v>
          </cell>
          <cell r="S1149">
            <v>0</v>
          </cell>
          <cell r="T1149">
            <v>0</v>
          </cell>
          <cell r="U1149">
            <v>0</v>
          </cell>
        </row>
        <row r="1150">
          <cell r="A1150" t="str">
            <v>SEP 2015</v>
          </cell>
          <cell r="B1150" t="str">
            <v>KTUM_406</v>
          </cell>
          <cell r="D1150" t="str">
            <v>TNLS</v>
          </cell>
          <cell r="S1150">
            <v>0</v>
          </cell>
          <cell r="T1150">
            <v>0</v>
          </cell>
          <cell r="U1150">
            <v>0</v>
          </cell>
        </row>
        <row r="1151">
          <cell r="A1151" t="str">
            <v>SEP 2015</v>
          </cell>
          <cell r="B1151" t="str">
            <v>KTUM_428</v>
          </cell>
          <cell r="D1151" t="str">
            <v>TNLS</v>
          </cell>
          <cell r="S1151">
            <v>0</v>
          </cell>
          <cell r="T1151">
            <v>0</v>
          </cell>
          <cell r="U1151">
            <v>0</v>
          </cell>
        </row>
        <row r="1152">
          <cell r="A1152" t="str">
            <v>SEP 2015</v>
          </cell>
          <cell r="B1152" t="str">
            <v>KUCIE000</v>
          </cell>
          <cell r="D1152" t="str">
            <v>TS</v>
          </cell>
        </row>
        <row r="1153">
          <cell r="A1153" t="str">
            <v>SEP 2015</v>
          </cell>
          <cell r="B1153" t="str">
            <v>KUCIE550</v>
          </cell>
          <cell r="D1153" t="str">
            <v>RTS</v>
          </cell>
          <cell r="E1153">
            <v>118627727</v>
          </cell>
          <cell r="F1153">
            <v>24000</v>
          </cell>
          <cell r="L1153">
            <v>0</v>
          </cell>
          <cell r="M1153">
            <v>49766</v>
          </cell>
          <cell r="P1153">
            <v>0</v>
          </cell>
          <cell r="R1153">
            <v>7413600</v>
          </cell>
          <cell r="S1153">
            <v>4310932</v>
          </cell>
          <cell r="T1153">
            <v>2353221</v>
          </cell>
          <cell r="U1153">
            <v>675681</v>
          </cell>
        </row>
        <row r="1154">
          <cell r="A1154" t="str">
            <v>SEP 2015</v>
          </cell>
          <cell r="B1154" t="str">
            <v>KUCIE561</v>
          </cell>
          <cell r="D1154" t="str">
            <v>PSP</v>
          </cell>
          <cell r="E1154">
            <v>17906267</v>
          </cell>
          <cell r="F1154">
            <v>34170</v>
          </cell>
          <cell r="L1154">
            <v>33816</v>
          </cell>
          <cell r="M1154">
            <v>7512</v>
          </cell>
          <cell r="P1154">
            <v>0</v>
          </cell>
          <cell r="R1154">
            <v>1736187</v>
          </cell>
          <cell r="S1154">
            <v>637821</v>
          </cell>
          <cell r="T1154">
            <v>920876</v>
          </cell>
          <cell r="U1154">
            <v>101991</v>
          </cell>
        </row>
        <row r="1155">
          <cell r="A1155" t="str">
            <v>SEP 2015</v>
          </cell>
          <cell r="B1155" t="str">
            <v>KUCIE562</v>
          </cell>
          <cell r="D1155" t="str">
            <v>PSS</v>
          </cell>
          <cell r="E1155">
            <v>178051436</v>
          </cell>
          <cell r="F1155">
            <v>422100</v>
          </cell>
          <cell r="L1155">
            <v>336255</v>
          </cell>
          <cell r="M1155">
            <v>74695</v>
          </cell>
          <cell r="P1155">
            <v>0</v>
          </cell>
          <cell r="R1155">
            <v>18660399</v>
          </cell>
          <cell r="S1155">
            <v>6345754</v>
          </cell>
          <cell r="T1155">
            <v>10467448</v>
          </cell>
          <cell r="U1155">
            <v>1014147</v>
          </cell>
        </row>
        <row r="1156">
          <cell r="A1156" t="str">
            <v>SEP 2015</v>
          </cell>
          <cell r="B1156" t="str">
            <v>KUCIE563</v>
          </cell>
          <cell r="D1156" t="str">
            <v>TODP</v>
          </cell>
          <cell r="E1156">
            <v>233921558</v>
          </cell>
          <cell r="F1156">
            <v>15600</v>
          </cell>
          <cell r="L1156">
            <v>441767</v>
          </cell>
          <cell r="M1156">
            <v>98134</v>
          </cell>
          <cell r="P1156">
            <v>0</v>
          </cell>
          <cell r="R1156">
            <v>15265101</v>
          </cell>
          <cell r="S1156">
            <v>8807146</v>
          </cell>
          <cell r="T1156">
            <v>4570080</v>
          </cell>
          <cell r="U1156">
            <v>1332372</v>
          </cell>
        </row>
        <row r="1157">
          <cell r="A1157" t="str">
            <v>SEP 2015</v>
          </cell>
          <cell r="B1157" t="str">
            <v>KUCIE566</v>
          </cell>
          <cell r="D1157" t="str">
            <v>PSP</v>
          </cell>
          <cell r="E1157">
            <v>0</v>
          </cell>
          <cell r="F1157">
            <v>0</v>
          </cell>
          <cell r="L1157">
            <v>0</v>
          </cell>
          <cell r="M1157">
            <v>0</v>
          </cell>
          <cell r="P1157">
            <v>0</v>
          </cell>
          <cell r="R1157">
            <v>0</v>
          </cell>
          <cell r="S1157">
            <v>0</v>
          </cell>
          <cell r="T1157">
            <v>0</v>
          </cell>
          <cell r="U1157">
            <v>0</v>
          </cell>
        </row>
        <row r="1158">
          <cell r="A1158" t="str">
            <v>SEP 2015</v>
          </cell>
          <cell r="B1158" t="str">
            <v>KUCIE568</v>
          </cell>
          <cell r="D1158" t="str">
            <v>PSS</v>
          </cell>
          <cell r="E1158">
            <v>0</v>
          </cell>
          <cell r="F1158">
            <v>0</v>
          </cell>
          <cell r="L1158">
            <v>0</v>
          </cell>
          <cell r="M1158">
            <v>0</v>
          </cell>
          <cell r="P1158">
            <v>0</v>
          </cell>
          <cell r="R1158">
            <v>0</v>
          </cell>
          <cell r="S1158">
            <v>0</v>
          </cell>
          <cell r="T1158">
            <v>0</v>
          </cell>
          <cell r="U1158">
            <v>0</v>
          </cell>
        </row>
        <row r="1159">
          <cell r="A1159" t="str">
            <v>SEP 2015</v>
          </cell>
          <cell r="B1159" t="str">
            <v>KUCIE571</v>
          </cell>
          <cell r="D1159" t="str">
            <v>TODP</v>
          </cell>
          <cell r="E1159">
            <v>98398740</v>
          </cell>
          <cell r="F1159">
            <v>59100</v>
          </cell>
          <cell r="L1159">
            <v>185829</v>
          </cell>
          <cell r="M1159">
            <v>41280</v>
          </cell>
          <cell r="P1159">
            <v>0</v>
          </cell>
          <cell r="R1159">
            <v>6817632</v>
          </cell>
          <cell r="S1159">
            <v>3704713</v>
          </cell>
          <cell r="T1159">
            <v>2266250</v>
          </cell>
          <cell r="U1159">
            <v>560460</v>
          </cell>
        </row>
        <row r="1160">
          <cell r="A1160" t="str">
            <v>SEP 2015</v>
          </cell>
          <cell r="B1160" t="str">
            <v>KUCIE572</v>
          </cell>
          <cell r="D1160" t="str">
            <v>TODS</v>
          </cell>
          <cell r="E1160">
            <v>133838239</v>
          </cell>
          <cell r="F1160">
            <v>92600</v>
          </cell>
          <cell r="L1160">
            <v>252757</v>
          </cell>
          <cell r="M1160">
            <v>56147</v>
          </cell>
          <cell r="P1160">
            <v>0</v>
          </cell>
          <cell r="R1160">
            <v>10149197</v>
          </cell>
          <cell r="S1160">
            <v>5049717</v>
          </cell>
          <cell r="T1160">
            <v>3935659</v>
          </cell>
          <cell r="U1160">
            <v>762317</v>
          </cell>
        </row>
        <row r="1161">
          <cell r="A1161" t="str">
            <v>SEP 2015</v>
          </cell>
          <cell r="B1161" t="str">
            <v>KUCIE717</v>
          </cell>
          <cell r="D1161" t="str">
            <v>PSS</v>
          </cell>
          <cell r="E1161">
            <v>0</v>
          </cell>
          <cell r="F1161">
            <v>0</v>
          </cell>
          <cell r="L1161">
            <v>0</v>
          </cell>
          <cell r="M1161">
            <v>0</v>
          </cell>
          <cell r="P1161">
            <v>0</v>
          </cell>
          <cell r="R1161">
            <v>0</v>
          </cell>
          <cell r="S1161">
            <v>0</v>
          </cell>
          <cell r="T1161">
            <v>0</v>
          </cell>
          <cell r="U1161">
            <v>0</v>
          </cell>
        </row>
        <row r="1162">
          <cell r="A1162" t="str">
            <v>SEP 2015</v>
          </cell>
          <cell r="B1162" t="str">
            <v>KUCME000</v>
          </cell>
          <cell r="D1162" t="str">
            <v>TS</v>
          </cell>
          <cell r="E1162">
            <v>0</v>
          </cell>
          <cell r="F1162">
            <v>0</v>
          </cell>
          <cell r="L1162">
            <v>0</v>
          </cell>
          <cell r="M1162">
            <v>0</v>
          </cell>
          <cell r="P1162">
            <v>0</v>
          </cell>
          <cell r="R1162">
            <v>0</v>
          </cell>
          <cell r="S1162">
            <v>0</v>
          </cell>
          <cell r="T1162">
            <v>0</v>
          </cell>
          <cell r="U1162">
            <v>0</v>
          </cell>
        </row>
        <row r="1163">
          <cell r="A1163" t="str">
            <v>SEP 2015</v>
          </cell>
          <cell r="B1163" t="str">
            <v>KUCME110</v>
          </cell>
          <cell r="D1163" t="str">
            <v>GS</v>
          </cell>
          <cell r="E1163">
            <v>60603647</v>
          </cell>
          <cell r="F1163">
            <v>1270122</v>
          </cell>
          <cell r="L1163">
            <v>114452</v>
          </cell>
          <cell r="M1163">
            <v>25424</v>
          </cell>
          <cell r="P1163">
            <v>0</v>
          </cell>
          <cell r="R1163">
            <v>7345871</v>
          </cell>
          <cell r="S1163">
            <v>5590686</v>
          </cell>
          <cell r="T1163">
            <v>0</v>
          </cell>
          <cell r="U1163">
            <v>345187</v>
          </cell>
        </row>
        <row r="1164">
          <cell r="A1164" t="str">
            <v>SEP 2015</v>
          </cell>
          <cell r="B1164" t="str">
            <v>KUCME112</v>
          </cell>
          <cell r="D1164" t="str">
            <v>GS</v>
          </cell>
          <cell r="E1164">
            <v>0</v>
          </cell>
          <cell r="F1164">
            <v>0</v>
          </cell>
          <cell r="L1164">
            <v>0</v>
          </cell>
          <cell r="M1164">
            <v>0</v>
          </cell>
          <cell r="P1164">
            <v>0</v>
          </cell>
          <cell r="R1164">
            <v>0</v>
          </cell>
          <cell r="S1164">
            <v>0</v>
          </cell>
          <cell r="T1164">
            <v>0</v>
          </cell>
          <cell r="U1164">
            <v>0</v>
          </cell>
        </row>
        <row r="1165">
          <cell r="A1165" t="str">
            <v>SEP 2015</v>
          </cell>
          <cell r="B1165" t="str">
            <v>KUCME113</v>
          </cell>
          <cell r="D1165" t="str">
            <v>GS3</v>
          </cell>
          <cell r="E1165">
            <v>88529551</v>
          </cell>
          <cell r="F1165">
            <v>649736</v>
          </cell>
          <cell r="L1165">
            <v>167191</v>
          </cell>
          <cell r="M1165">
            <v>37140</v>
          </cell>
          <cell r="P1165">
            <v>0</v>
          </cell>
          <cell r="R1165">
            <v>9525165</v>
          </cell>
          <cell r="S1165">
            <v>8166851</v>
          </cell>
          <cell r="T1165">
            <v>0</v>
          </cell>
          <cell r="U1165">
            <v>504247</v>
          </cell>
        </row>
        <row r="1166">
          <cell r="A1166" t="str">
            <v>SEP 2015</v>
          </cell>
          <cell r="B1166" t="str">
            <v>KUCME220</v>
          </cell>
          <cell r="D1166" t="str">
            <v>AES</v>
          </cell>
          <cell r="E1166">
            <v>520806</v>
          </cell>
          <cell r="F1166">
            <v>7500</v>
          </cell>
          <cell r="L1166">
            <v>984</v>
          </cell>
          <cell r="M1166">
            <v>218</v>
          </cell>
          <cell r="P1166">
            <v>0</v>
          </cell>
          <cell r="R1166">
            <v>50416</v>
          </cell>
          <cell r="S1166">
            <v>38749</v>
          </cell>
          <cell r="T1166">
            <v>0</v>
          </cell>
          <cell r="U1166">
            <v>2966</v>
          </cell>
        </row>
        <row r="1167">
          <cell r="A1167" t="str">
            <v>SEP 2015</v>
          </cell>
          <cell r="B1167" t="str">
            <v>KUCME221</v>
          </cell>
          <cell r="D1167" t="str">
            <v>AESP</v>
          </cell>
          <cell r="E1167">
            <v>0</v>
          </cell>
          <cell r="F1167">
            <v>0</v>
          </cell>
          <cell r="L1167">
            <v>0</v>
          </cell>
          <cell r="M1167">
            <v>0</v>
          </cell>
          <cell r="P1167">
            <v>0</v>
          </cell>
          <cell r="R1167">
            <v>0</v>
          </cell>
          <cell r="S1167">
            <v>0</v>
          </cell>
          <cell r="T1167">
            <v>0</v>
          </cell>
          <cell r="U1167">
            <v>0</v>
          </cell>
        </row>
        <row r="1168">
          <cell r="A1168" t="str">
            <v>SEP 2015</v>
          </cell>
          <cell r="B1168" t="str">
            <v>KUCME223</v>
          </cell>
          <cell r="D1168" t="str">
            <v>AES3</v>
          </cell>
          <cell r="E1168">
            <v>0</v>
          </cell>
          <cell r="F1168">
            <v>0</v>
          </cell>
          <cell r="L1168">
            <v>0</v>
          </cell>
          <cell r="M1168">
            <v>0</v>
          </cell>
          <cell r="P1168">
            <v>0</v>
          </cell>
          <cell r="R1168">
            <v>0</v>
          </cell>
          <cell r="S1168">
            <v>0</v>
          </cell>
          <cell r="T1168">
            <v>0</v>
          </cell>
          <cell r="U1168">
            <v>0</v>
          </cell>
        </row>
        <row r="1169">
          <cell r="A1169" t="str">
            <v>SEP 2015</v>
          </cell>
          <cell r="B1169" t="str">
            <v>KUCME224</v>
          </cell>
          <cell r="D1169" t="str">
            <v>AES3P</v>
          </cell>
          <cell r="E1169">
            <v>9652888</v>
          </cell>
          <cell r="F1169">
            <v>9100</v>
          </cell>
          <cell r="L1169">
            <v>18230</v>
          </cell>
          <cell r="M1169">
            <v>4050</v>
          </cell>
          <cell r="P1169">
            <v>0</v>
          </cell>
          <cell r="R1169">
            <v>804535</v>
          </cell>
          <cell r="S1169">
            <v>718176</v>
          </cell>
          <cell r="T1169">
            <v>0</v>
          </cell>
          <cell r="U1169">
            <v>54981</v>
          </cell>
        </row>
        <row r="1170">
          <cell r="A1170" t="str">
            <v>SEP 2015</v>
          </cell>
          <cell r="B1170" t="str">
            <v>KUCME225</v>
          </cell>
          <cell r="D1170" t="str">
            <v>AES3PSS</v>
          </cell>
          <cell r="E1170">
            <v>0</v>
          </cell>
          <cell r="F1170">
            <v>0</v>
          </cell>
          <cell r="L1170">
            <v>0</v>
          </cell>
          <cell r="M1170">
            <v>0</v>
          </cell>
          <cell r="P1170">
            <v>0</v>
          </cell>
          <cell r="R1170">
            <v>0</v>
          </cell>
          <cell r="S1170">
            <v>0</v>
          </cell>
          <cell r="T1170">
            <v>0</v>
          </cell>
          <cell r="U1170">
            <v>0</v>
          </cell>
        </row>
        <row r="1171">
          <cell r="A1171" t="str">
            <v>SEP 2015</v>
          </cell>
          <cell r="B1171" t="str">
            <v>KUCME226</v>
          </cell>
          <cell r="D1171" t="str">
            <v>AESPSS</v>
          </cell>
          <cell r="E1171">
            <v>0</v>
          </cell>
          <cell r="F1171">
            <v>0</v>
          </cell>
          <cell r="L1171">
            <v>0</v>
          </cell>
          <cell r="M1171">
            <v>0</v>
          </cell>
          <cell r="P1171">
            <v>0</v>
          </cell>
          <cell r="R1171">
            <v>0</v>
          </cell>
          <cell r="S1171">
            <v>0</v>
          </cell>
          <cell r="T1171">
            <v>0</v>
          </cell>
          <cell r="U1171">
            <v>0</v>
          </cell>
        </row>
        <row r="1172">
          <cell r="A1172" t="str">
            <v>SEP 2015</v>
          </cell>
          <cell r="B1172" t="str">
            <v>KUCME227</v>
          </cell>
          <cell r="D1172" t="str">
            <v>AESTODS</v>
          </cell>
          <cell r="E1172">
            <v>0</v>
          </cell>
          <cell r="F1172">
            <v>0</v>
          </cell>
          <cell r="L1172">
            <v>0</v>
          </cell>
          <cell r="M1172">
            <v>0</v>
          </cell>
          <cell r="P1172">
            <v>0</v>
          </cell>
          <cell r="R1172">
            <v>0</v>
          </cell>
          <cell r="S1172">
            <v>0</v>
          </cell>
          <cell r="T1172">
            <v>0</v>
          </cell>
          <cell r="U1172">
            <v>0</v>
          </cell>
        </row>
        <row r="1173">
          <cell r="A1173" t="str">
            <v>SEP 2015</v>
          </cell>
          <cell r="B1173" t="str">
            <v>KUCME290</v>
          </cell>
          <cell r="D1173" t="str">
            <v>LE</v>
          </cell>
          <cell r="E1173">
            <v>0</v>
          </cell>
          <cell r="F1173">
            <v>0</v>
          </cell>
          <cell r="L1173">
            <v>0</v>
          </cell>
          <cell r="M1173">
            <v>0</v>
          </cell>
          <cell r="P1173">
            <v>0</v>
          </cell>
          <cell r="R1173">
            <v>0</v>
          </cell>
          <cell r="S1173">
            <v>0</v>
          </cell>
          <cell r="T1173">
            <v>0</v>
          </cell>
          <cell r="U1173">
            <v>0</v>
          </cell>
        </row>
        <row r="1174">
          <cell r="A1174" t="str">
            <v>SEP 2015</v>
          </cell>
          <cell r="B1174" t="str">
            <v>KUCME291</v>
          </cell>
          <cell r="D1174" t="str">
            <v>LE</v>
          </cell>
          <cell r="E1174">
            <v>0</v>
          </cell>
          <cell r="F1174">
            <v>0</v>
          </cell>
          <cell r="L1174">
            <v>0</v>
          </cell>
          <cell r="M1174">
            <v>0</v>
          </cell>
          <cell r="P1174">
            <v>0</v>
          </cell>
          <cell r="R1174">
            <v>0</v>
          </cell>
          <cell r="S1174">
            <v>0</v>
          </cell>
          <cell r="T1174">
            <v>0</v>
          </cell>
          <cell r="U1174">
            <v>0</v>
          </cell>
        </row>
        <row r="1175">
          <cell r="A1175" t="str">
            <v>SEP 2015</v>
          </cell>
          <cell r="B1175" t="str">
            <v>KUCME295</v>
          </cell>
          <cell r="D1175" t="str">
            <v>TE</v>
          </cell>
          <cell r="E1175">
            <v>0</v>
          </cell>
          <cell r="F1175">
            <v>0</v>
          </cell>
          <cell r="L1175">
            <v>0</v>
          </cell>
          <cell r="M1175">
            <v>0</v>
          </cell>
          <cell r="P1175">
            <v>0</v>
          </cell>
          <cell r="R1175">
            <v>0</v>
          </cell>
          <cell r="S1175">
            <v>0</v>
          </cell>
          <cell r="T1175">
            <v>0</v>
          </cell>
          <cell r="U1175">
            <v>0</v>
          </cell>
        </row>
        <row r="1176">
          <cell r="A1176" t="str">
            <v>SEP 2015</v>
          </cell>
          <cell r="B1176" t="str">
            <v>KUCME297</v>
          </cell>
          <cell r="D1176" t="str">
            <v>TE</v>
          </cell>
          <cell r="E1176">
            <v>0</v>
          </cell>
          <cell r="F1176">
            <v>0</v>
          </cell>
          <cell r="L1176">
            <v>0</v>
          </cell>
          <cell r="M1176">
            <v>0</v>
          </cell>
          <cell r="P1176">
            <v>0</v>
          </cell>
          <cell r="R1176">
            <v>0</v>
          </cell>
          <cell r="S1176">
            <v>0</v>
          </cell>
          <cell r="T1176">
            <v>0</v>
          </cell>
          <cell r="U1176">
            <v>0</v>
          </cell>
        </row>
        <row r="1177">
          <cell r="A1177" t="str">
            <v>SEP 2015</v>
          </cell>
          <cell r="B1177" t="str">
            <v>KUCME705</v>
          </cell>
          <cell r="D1177" t="str">
            <v>SQF</v>
          </cell>
          <cell r="E1177">
            <v>0</v>
          </cell>
          <cell r="F1177">
            <v>0</v>
          </cell>
          <cell r="L1177">
            <v>0</v>
          </cell>
          <cell r="M1177">
            <v>0</v>
          </cell>
          <cell r="P1177">
            <v>0</v>
          </cell>
          <cell r="R1177">
            <v>0</v>
          </cell>
          <cell r="S1177">
            <v>0</v>
          </cell>
          <cell r="T1177">
            <v>0</v>
          </cell>
          <cell r="U1177">
            <v>0</v>
          </cell>
        </row>
        <row r="1178">
          <cell r="A1178" t="str">
            <v>SEP 2015</v>
          </cell>
          <cell r="B1178" t="str">
            <v>KUCME707</v>
          </cell>
          <cell r="D1178" t="str">
            <v>LQF</v>
          </cell>
          <cell r="E1178">
            <v>0</v>
          </cell>
          <cell r="F1178">
            <v>0</v>
          </cell>
          <cell r="L1178">
            <v>0</v>
          </cell>
          <cell r="M1178">
            <v>0</v>
          </cell>
          <cell r="P1178">
            <v>0</v>
          </cell>
          <cell r="R1178">
            <v>0</v>
          </cell>
          <cell r="S1178">
            <v>0</v>
          </cell>
          <cell r="T1178">
            <v>0</v>
          </cell>
          <cell r="U1178">
            <v>0</v>
          </cell>
        </row>
        <row r="1179">
          <cell r="A1179" t="str">
            <v>SEP 2015</v>
          </cell>
          <cell r="B1179" t="str">
            <v>KUCME710</v>
          </cell>
          <cell r="D1179" t="str">
            <v>GS</v>
          </cell>
          <cell r="E1179">
            <v>0</v>
          </cell>
          <cell r="F1179">
            <v>0</v>
          </cell>
          <cell r="L1179">
            <v>0</v>
          </cell>
          <cell r="M1179">
            <v>0</v>
          </cell>
          <cell r="P1179">
            <v>0</v>
          </cell>
          <cell r="R1179">
            <v>0</v>
          </cell>
          <cell r="S1179">
            <v>0</v>
          </cell>
          <cell r="T1179">
            <v>0</v>
          </cell>
          <cell r="U1179">
            <v>0</v>
          </cell>
        </row>
        <row r="1180">
          <cell r="A1180" t="str">
            <v>SEP 2015</v>
          </cell>
          <cell r="B1180" t="str">
            <v>KUCME713</v>
          </cell>
          <cell r="D1180" t="str">
            <v>GS3</v>
          </cell>
          <cell r="E1180">
            <v>0</v>
          </cell>
          <cell r="F1180">
            <v>0</v>
          </cell>
          <cell r="L1180">
            <v>0</v>
          </cell>
          <cell r="M1180">
            <v>0</v>
          </cell>
          <cell r="P1180">
            <v>0</v>
          </cell>
          <cell r="R1180">
            <v>0</v>
          </cell>
          <cell r="S1180">
            <v>0</v>
          </cell>
          <cell r="T1180">
            <v>0</v>
          </cell>
          <cell r="U1180">
            <v>0</v>
          </cell>
        </row>
        <row r="1181">
          <cell r="A1181" t="str">
            <v>SEP 2015</v>
          </cell>
          <cell r="B1181" t="str">
            <v>KUCME841</v>
          </cell>
          <cell r="D1181" t="str">
            <v>LRI</v>
          </cell>
          <cell r="E1181">
            <v>0</v>
          </cell>
          <cell r="F1181">
            <v>0</v>
          </cell>
          <cell r="L1181">
            <v>0</v>
          </cell>
          <cell r="M1181">
            <v>0</v>
          </cell>
          <cell r="P1181">
            <v>0</v>
          </cell>
          <cell r="R1181">
            <v>0</v>
          </cell>
          <cell r="S1181">
            <v>0</v>
          </cell>
          <cell r="T1181">
            <v>0</v>
          </cell>
          <cell r="U1181">
            <v>0</v>
          </cell>
        </row>
        <row r="1182">
          <cell r="A1182" t="str">
            <v>SEP 2015</v>
          </cell>
          <cell r="B1182" t="str">
            <v>KUCSR760</v>
          </cell>
          <cell r="D1182" t="str">
            <v>CSR</v>
          </cell>
          <cell r="E1182">
            <v>0</v>
          </cell>
          <cell r="F1182">
            <v>0</v>
          </cell>
          <cell r="L1182">
            <v>0</v>
          </cell>
          <cell r="M1182">
            <v>0</v>
          </cell>
          <cell r="P1182">
            <v>-989829</v>
          </cell>
          <cell r="R1182">
            <v>-989829</v>
          </cell>
          <cell r="S1182">
            <v>0</v>
          </cell>
          <cell r="T1182">
            <v>0</v>
          </cell>
          <cell r="U1182">
            <v>0</v>
          </cell>
        </row>
        <row r="1183">
          <cell r="A1183" t="str">
            <v>SEP 2015</v>
          </cell>
          <cell r="B1183" t="str">
            <v>KUCSR761</v>
          </cell>
          <cell r="D1183" t="str">
            <v>CSR</v>
          </cell>
          <cell r="E1183">
            <v>0</v>
          </cell>
          <cell r="F1183">
            <v>0</v>
          </cell>
          <cell r="L1183">
            <v>0</v>
          </cell>
          <cell r="M1183">
            <v>0</v>
          </cell>
          <cell r="P1183">
            <v>0</v>
          </cell>
          <cell r="R1183">
            <v>0</v>
          </cell>
          <cell r="S1183">
            <v>0</v>
          </cell>
          <cell r="T1183">
            <v>0</v>
          </cell>
          <cell r="U1183">
            <v>0</v>
          </cell>
        </row>
        <row r="1184">
          <cell r="A1184" t="str">
            <v>SEP 2015</v>
          </cell>
          <cell r="B1184" t="str">
            <v>KUCSR781</v>
          </cell>
          <cell r="D1184" t="str">
            <v>CSR</v>
          </cell>
          <cell r="E1184">
            <v>0</v>
          </cell>
          <cell r="F1184">
            <v>0</v>
          </cell>
          <cell r="L1184">
            <v>0</v>
          </cell>
          <cell r="M1184">
            <v>0</v>
          </cell>
          <cell r="P1184">
            <v>0</v>
          </cell>
          <cell r="R1184">
            <v>0</v>
          </cell>
          <cell r="S1184">
            <v>0</v>
          </cell>
          <cell r="T1184">
            <v>0</v>
          </cell>
          <cell r="U1184">
            <v>0</v>
          </cell>
        </row>
        <row r="1185">
          <cell r="A1185" t="str">
            <v>SEP 2015</v>
          </cell>
          <cell r="B1185" t="str">
            <v>KUCSR783</v>
          </cell>
          <cell r="D1185" t="str">
            <v>CSR</v>
          </cell>
          <cell r="E1185">
            <v>0</v>
          </cell>
          <cell r="F1185">
            <v>0</v>
          </cell>
          <cell r="L1185">
            <v>0</v>
          </cell>
          <cell r="M1185">
            <v>0</v>
          </cell>
          <cell r="P1185">
            <v>0</v>
          </cell>
          <cell r="R1185">
            <v>0</v>
          </cell>
          <cell r="S1185">
            <v>0</v>
          </cell>
          <cell r="T1185">
            <v>0</v>
          </cell>
          <cell r="U1185">
            <v>0</v>
          </cell>
        </row>
        <row r="1186">
          <cell r="A1186" t="str">
            <v>SEP 2015</v>
          </cell>
          <cell r="B1186" t="str">
            <v>KUCUE851</v>
          </cell>
          <cell r="D1186" t="str">
            <v>CU</v>
          </cell>
          <cell r="E1186">
            <v>0</v>
          </cell>
          <cell r="F1186">
            <v>0</v>
          </cell>
          <cell r="L1186">
            <v>0</v>
          </cell>
          <cell r="M1186">
            <v>0</v>
          </cell>
          <cell r="P1186">
            <v>0</v>
          </cell>
          <cell r="R1186">
            <v>0</v>
          </cell>
          <cell r="S1186">
            <v>0</v>
          </cell>
          <cell r="T1186">
            <v>0</v>
          </cell>
          <cell r="U1186">
            <v>0</v>
          </cell>
        </row>
        <row r="1187">
          <cell r="A1187" t="str">
            <v>SEP 2015</v>
          </cell>
          <cell r="B1187" t="str">
            <v>KUCUE852</v>
          </cell>
          <cell r="D1187" t="str">
            <v>CU</v>
          </cell>
          <cell r="E1187">
            <v>0</v>
          </cell>
          <cell r="F1187">
            <v>0</v>
          </cell>
          <cell r="L1187">
            <v>0</v>
          </cell>
          <cell r="M1187">
            <v>0</v>
          </cell>
          <cell r="P1187">
            <v>0</v>
          </cell>
          <cell r="R1187">
            <v>0</v>
          </cell>
          <cell r="S1187">
            <v>0</v>
          </cell>
          <cell r="T1187">
            <v>0</v>
          </cell>
          <cell r="U1187">
            <v>0</v>
          </cell>
        </row>
        <row r="1188">
          <cell r="A1188" t="str">
            <v>SEP 2015</v>
          </cell>
          <cell r="B1188" t="str">
            <v>KUINE730</v>
          </cell>
          <cell r="D1188" t="str">
            <v>FLS</v>
          </cell>
          <cell r="E1188">
            <v>45641536</v>
          </cell>
          <cell r="F1188">
            <v>750</v>
          </cell>
          <cell r="L1188">
            <v>0</v>
          </cell>
          <cell r="M1188">
            <v>19147</v>
          </cell>
          <cell r="P1188">
            <v>0</v>
          </cell>
          <cell r="R1188">
            <v>2488432</v>
          </cell>
          <cell r="S1188">
            <v>1488370</v>
          </cell>
          <cell r="T1188">
            <v>720199</v>
          </cell>
          <cell r="U1188">
            <v>259965</v>
          </cell>
        </row>
        <row r="1189">
          <cell r="A1189" t="str">
            <v>SEP 2015</v>
          </cell>
          <cell r="B1189" t="str">
            <v>KUMNE902</v>
          </cell>
          <cell r="D1189" t="str">
            <v>WPS</v>
          </cell>
          <cell r="E1189">
            <v>0</v>
          </cell>
          <cell r="F1189">
            <v>0</v>
          </cell>
          <cell r="L1189">
            <v>0</v>
          </cell>
          <cell r="M1189">
            <v>0</v>
          </cell>
          <cell r="P1189">
            <v>0</v>
          </cell>
          <cell r="R1189">
            <v>0</v>
          </cell>
          <cell r="S1189">
            <v>0</v>
          </cell>
          <cell r="T1189">
            <v>0</v>
          </cell>
          <cell r="U1189">
            <v>0</v>
          </cell>
        </row>
        <row r="1190">
          <cell r="A1190" t="str">
            <v>SEP 2015</v>
          </cell>
          <cell r="B1190" t="str">
            <v>KUMNE903</v>
          </cell>
          <cell r="D1190" t="str">
            <v>WPS</v>
          </cell>
          <cell r="E1190">
            <v>0</v>
          </cell>
          <cell r="F1190">
            <v>0</v>
          </cell>
          <cell r="L1190">
            <v>0</v>
          </cell>
          <cell r="M1190">
            <v>0</v>
          </cell>
          <cell r="P1190">
            <v>0</v>
          </cell>
          <cell r="R1190">
            <v>0</v>
          </cell>
          <cell r="S1190">
            <v>0</v>
          </cell>
          <cell r="T1190">
            <v>0</v>
          </cell>
          <cell r="U1190">
            <v>0</v>
          </cell>
        </row>
        <row r="1191">
          <cell r="A1191" t="str">
            <v>SEP 2015</v>
          </cell>
          <cell r="B1191" t="str">
            <v>KUMNE934</v>
          </cell>
          <cell r="D1191" t="str">
            <v>WPS</v>
          </cell>
          <cell r="E1191">
            <v>0</v>
          </cell>
          <cell r="F1191">
            <v>0</v>
          </cell>
          <cell r="L1191">
            <v>0</v>
          </cell>
          <cell r="M1191">
            <v>0</v>
          </cell>
          <cell r="P1191">
            <v>0</v>
          </cell>
          <cell r="R1191">
            <v>0</v>
          </cell>
          <cell r="S1191">
            <v>0</v>
          </cell>
          <cell r="T1191">
            <v>0</v>
          </cell>
          <cell r="U1191">
            <v>0</v>
          </cell>
        </row>
        <row r="1192">
          <cell r="A1192" t="str">
            <v>SEP 2015</v>
          </cell>
          <cell r="B1192" t="str">
            <v>KURSE000</v>
          </cell>
          <cell r="D1192" t="str">
            <v>TS</v>
          </cell>
          <cell r="E1192">
            <v>0</v>
          </cell>
          <cell r="F1192">
            <v>0</v>
          </cell>
          <cell r="L1192">
            <v>0</v>
          </cell>
          <cell r="M1192">
            <v>0</v>
          </cell>
          <cell r="P1192">
            <v>0</v>
          </cell>
          <cell r="R1192">
            <v>0</v>
          </cell>
          <cell r="S1192">
            <v>0</v>
          </cell>
          <cell r="T1192">
            <v>0</v>
          </cell>
          <cell r="U1192">
            <v>0</v>
          </cell>
        </row>
        <row r="1193">
          <cell r="A1193" t="str">
            <v>SEP 2015</v>
          </cell>
          <cell r="B1193" t="str">
            <v>KURSE010</v>
          </cell>
          <cell r="D1193" t="str">
            <v>RS</v>
          </cell>
          <cell r="E1193">
            <v>450435840</v>
          </cell>
          <cell r="F1193">
            <v>4619271</v>
          </cell>
          <cell r="L1193">
            <v>850661</v>
          </cell>
          <cell r="M1193">
            <v>188965</v>
          </cell>
          <cell r="P1193">
            <v>0</v>
          </cell>
          <cell r="R1193">
            <v>43106244</v>
          </cell>
          <cell r="S1193">
            <v>34881751</v>
          </cell>
          <cell r="T1193">
            <v>0</v>
          </cell>
          <cell r="U1193">
            <v>2565596</v>
          </cell>
        </row>
        <row r="1194">
          <cell r="A1194" t="str">
            <v>SEP 2015</v>
          </cell>
          <cell r="B1194" t="str">
            <v>KURSE020</v>
          </cell>
          <cell r="D1194" t="str">
            <v>RS</v>
          </cell>
          <cell r="E1194">
            <v>0</v>
          </cell>
          <cell r="F1194">
            <v>0</v>
          </cell>
          <cell r="L1194">
            <v>0</v>
          </cell>
          <cell r="M1194">
            <v>0</v>
          </cell>
          <cell r="P1194">
            <v>0</v>
          </cell>
          <cell r="R1194">
            <v>0</v>
          </cell>
          <cell r="S1194">
            <v>0</v>
          </cell>
          <cell r="T1194">
            <v>0</v>
          </cell>
          <cell r="U1194">
            <v>0</v>
          </cell>
        </row>
        <row r="1195">
          <cell r="A1195" t="str">
            <v>SEP 2015</v>
          </cell>
          <cell r="B1195" t="str">
            <v>KURSE025</v>
          </cell>
          <cell r="D1195" t="str">
            <v>RS3</v>
          </cell>
          <cell r="E1195">
            <v>0</v>
          </cell>
          <cell r="F1195">
            <v>0</v>
          </cell>
          <cell r="L1195">
            <v>0</v>
          </cell>
          <cell r="M1195">
            <v>0</v>
          </cell>
          <cell r="P1195">
            <v>0</v>
          </cell>
          <cell r="R1195">
            <v>0</v>
          </cell>
          <cell r="S1195">
            <v>0</v>
          </cell>
          <cell r="T1195">
            <v>0</v>
          </cell>
          <cell r="U1195">
            <v>0</v>
          </cell>
        </row>
        <row r="1196">
          <cell r="A1196" t="str">
            <v>SEP 2015</v>
          </cell>
          <cell r="B1196" t="str">
            <v>KURSE040</v>
          </cell>
          <cell r="D1196" t="str">
            <v>RSLEV</v>
          </cell>
          <cell r="E1196">
            <v>0</v>
          </cell>
          <cell r="F1196">
            <v>0</v>
          </cell>
          <cell r="L1196">
            <v>0</v>
          </cell>
          <cell r="M1196">
            <v>0</v>
          </cell>
          <cell r="P1196">
            <v>0</v>
          </cell>
          <cell r="R1196">
            <v>0</v>
          </cell>
          <cell r="S1196">
            <v>0</v>
          </cell>
          <cell r="T1196">
            <v>0</v>
          </cell>
          <cell r="U1196">
            <v>0</v>
          </cell>
        </row>
        <row r="1197">
          <cell r="A1197" t="str">
            <v>SEP 2015</v>
          </cell>
          <cell r="B1197" t="str">
            <v>KURSE080</v>
          </cell>
          <cell r="D1197" t="str">
            <v>RSVFD</v>
          </cell>
          <cell r="E1197">
            <v>0</v>
          </cell>
          <cell r="F1197">
            <v>0</v>
          </cell>
          <cell r="L1197">
            <v>0</v>
          </cell>
          <cell r="M1197">
            <v>0</v>
          </cell>
          <cell r="P1197">
            <v>0</v>
          </cell>
          <cell r="R1197">
            <v>0</v>
          </cell>
          <cell r="S1197">
            <v>0</v>
          </cell>
          <cell r="T1197">
            <v>0</v>
          </cell>
          <cell r="U1197">
            <v>0</v>
          </cell>
        </row>
        <row r="1198">
          <cell r="A1198" t="str">
            <v>SEP 2015</v>
          </cell>
          <cell r="B1198" t="str">
            <v>KURSE715</v>
          </cell>
          <cell r="D1198" t="str">
            <v>RS</v>
          </cell>
          <cell r="E1198">
            <v>0</v>
          </cell>
          <cell r="F1198">
            <v>0</v>
          </cell>
          <cell r="L1198">
            <v>0</v>
          </cell>
          <cell r="M1198">
            <v>0</v>
          </cell>
          <cell r="P1198">
            <v>0</v>
          </cell>
          <cell r="R1198">
            <v>0</v>
          </cell>
          <cell r="S1198">
            <v>0</v>
          </cell>
          <cell r="T1198">
            <v>0</v>
          </cell>
          <cell r="U1198">
            <v>0</v>
          </cell>
        </row>
        <row r="1199">
          <cell r="A1199" t="str">
            <v>SEP 2015</v>
          </cell>
          <cell r="B1199" t="str">
            <v>ODL</v>
          </cell>
          <cell r="E1199">
            <v>8710078</v>
          </cell>
          <cell r="F1199">
            <v>0</v>
          </cell>
          <cell r="L1199">
            <v>0</v>
          </cell>
          <cell r="M1199">
            <v>3654</v>
          </cell>
          <cell r="P1199">
            <v>0</v>
          </cell>
          <cell r="R1199">
            <v>2091599</v>
          </cell>
          <cell r="S1199">
            <v>2038334</v>
          </cell>
          <cell r="T1199">
            <v>0</v>
          </cell>
          <cell r="U1199">
            <v>49611</v>
          </cell>
        </row>
        <row r="1200">
          <cell r="A1200" t="str">
            <v>SEP 2015</v>
          </cell>
          <cell r="B1200" t="str">
            <v>KUUM_360</v>
          </cell>
          <cell r="D1200" t="str">
            <v>LS</v>
          </cell>
          <cell r="S1200">
            <v>0</v>
          </cell>
          <cell r="T1200">
            <v>0</v>
          </cell>
          <cell r="U1200">
            <v>0</v>
          </cell>
        </row>
        <row r="1201">
          <cell r="A1201" t="str">
            <v>SEP 2015</v>
          </cell>
          <cell r="B1201" t="str">
            <v>KUUM_361</v>
          </cell>
          <cell r="D1201" t="str">
            <v>LS</v>
          </cell>
          <cell r="S1201">
            <v>0</v>
          </cell>
          <cell r="T1201">
            <v>0</v>
          </cell>
          <cell r="U1201">
            <v>0</v>
          </cell>
        </row>
        <row r="1202">
          <cell r="A1202" t="str">
            <v>SEP 2015</v>
          </cell>
          <cell r="B1202" t="str">
            <v>KUUM_362</v>
          </cell>
          <cell r="D1202" t="str">
            <v>LS</v>
          </cell>
          <cell r="S1202">
            <v>0</v>
          </cell>
          <cell r="T1202">
            <v>0</v>
          </cell>
          <cell r="U1202">
            <v>0</v>
          </cell>
        </row>
        <row r="1203">
          <cell r="A1203" t="str">
            <v>SEP 2015</v>
          </cell>
          <cell r="B1203" t="str">
            <v>KUUM_363</v>
          </cell>
          <cell r="D1203" t="str">
            <v>LS</v>
          </cell>
          <cell r="S1203">
            <v>0</v>
          </cell>
          <cell r="T1203">
            <v>0</v>
          </cell>
          <cell r="U1203">
            <v>0</v>
          </cell>
        </row>
        <row r="1204">
          <cell r="A1204" t="str">
            <v>SEP 2015</v>
          </cell>
          <cell r="B1204" t="str">
            <v>KUUM_364</v>
          </cell>
          <cell r="D1204" t="str">
            <v>LS</v>
          </cell>
          <cell r="S1204">
            <v>0</v>
          </cell>
          <cell r="T1204">
            <v>0</v>
          </cell>
          <cell r="U1204">
            <v>0</v>
          </cell>
        </row>
        <row r="1205">
          <cell r="A1205" t="str">
            <v>SEP 2015</v>
          </cell>
          <cell r="B1205" t="str">
            <v>KUUM_365</v>
          </cell>
          <cell r="D1205" t="str">
            <v>LS</v>
          </cell>
          <cell r="S1205">
            <v>0</v>
          </cell>
          <cell r="T1205">
            <v>0</v>
          </cell>
          <cell r="U1205">
            <v>0</v>
          </cell>
        </row>
        <row r="1206">
          <cell r="A1206" t="str">
            <v>SEP 2015</v>
          </cell>
          <cell r="B1206" t="str">
            <v>KUUM_366</v>
          </cell>
          <cell r="D1206" t="str">
            <v>LS</v>
          </cell>
          <cell r="S1206">
            <v>0</v>
          </cell>
          <cell r="T1206">
            <v>0</v>
          </cell>
          <cell r="U1206">
            <v>0</v>
          </cell>
        </row>
        <row r="1207">
          <cell r="A1207" t="str">
            <v>SEP 2015</v>
          </cell>
          <cell r="B1207" t="str">
            <v>KUUM_367</v>
          </cell>
          <cell r="D1207" t="str">
            <v>LS</v>
          </cell>
          <cell r="S1207">
            <v>0</v>
          </cell>
          <cell r="T1207">
            <v>0</v>
          </cell>
          <cell r="U1207">
            <v>0</v>
          </cell>
        </row>
        <row r="1208">
          <cell r="A1208" t="str">
            <v>SEP 2015</v>
          </cell>
          <cell r="B1208" t="str">
            <v>KUUM_368</v>
          </cell>
          <cell r="D1208" t="str">
            <v>LS</v>
          </cell>
          <cell r="S1208">
            <v>0</v>
          </cell>
          <cell r="T1208">
            <v>0</v>
          </cell>
          <cell r="U1208">
            <v>0</v>
          </cell>
        </row>
        <row r="1209">
          <cell r="A1209" t="str">
            <v>SEP 2015</v>
          </cell>
          <cell r="B1209" t="str">
            <v>KUUM_370</v>
          </cell>
          <cell r="D1209" t="str">
            <v>LS</v>
          </cell>
          <cell r="S1209">
            <v>0</v>
          </cell>
          <cell r="T1209">
            <v>0</v>
          </cell>
          <cell r="U1209">
            <v>0</v>
          </cell>
        </row>
        <row r="1210">
          <cell r="A1210" t="str">
            <v>SEP 2015</v>
          </cell>
          <cell r="B1210" t="str">
            <v>KUUM_372</v>
          </cell>
          <cell r="D1210" t="str">
            <v>LS</v>
          </cell>
          <cell r="S1210">
            <v>0</v>
          </cell>
          <cell r="T1210">
            <v>0</v>
          </cell>
          <cell r="U1210">
            <v>0</v>
          </cell>
        </row>
        <row r="1211">
          <cell r="A1211" t="str">
            <v>SEP 2015</v>
          </cell>
          <cell r="B1211" t="str">
            <v>KUUM_373</v>
          </cell>
          <cell r="D1211" t="str">
            <v>LS</v>
          </cell>
          <cell r="S1211">
            <v>0</v>
          </cell>
          <cell r="T1211">
            <v>0</v>
          </cell>
          <cell r="U1211">
            <v>0</v>
          </cell>
        </row>
        <row r="1212">
          <cell r="A1212" t="str">
            <v>SEP 2015</v>
          </cell>
          <cell r="B1212" t="str">
            <v>KUUM_374</v>
          </cell>
          <cell r="D1212" t="str">
            <v>LS</v>
          </cell>
          <cell r="S1212">
            <v>0</v>
          </cell>
          <cell r="T1212">
            <v>0</v>
          </cell>
          <cell r="U1212">
            <v>0</v>
          </cell>
        </row>
        <row r="1213">
          <cell r="A1213" t="str">
            <v>SEP 2015</v>
          </cell>
          <cell r="B1213" t="str">
            <v>KUUM_375</v>
          </cell>
          <cell r="D1213" t="str">
            <v>LS</v>
          </cell>
          <cell r="S1213">
            <v>0</v>
          </cell>
          <cell r="T1213">
            <v>0</v>
          </cell>
          <cell r="U1213">
            <v>0</v>
          </cell>
        </row>
        <row r="1214">
          <cell r="A1214" t="str">
            <v>SEP 2015</v>
          </cell>
          <cell r="B1214" t="str">
            <v>KUUM_376</v>
          </cell>
          <cell r="D1214" t="str">
            <v>LS</v>
          </cell>
          <cell r="S1214">
            <v>0</v>
          </cell>
          <cell r="T1214">
            <v>0</v>
          </cell>
          <cell r="U1214">
            <v>0</v>
          </cell>
        </row>
        <row r="1215">
          <cell r="A1215" t="str">
            <v>SEP 2015</v>
          </cell>
          <cell r="B1215" t="str">
            <v>KUUM_377</v>
          </cell>
          <cell r="D1215" t="str">
            <v>LS</v>
          </cell>
          <cell r="S1215">
            <v>0</v>
          </cell>
          <cell r="T1215">
            <v>0</v>
          </cell>
          <cell r="U1215">
            <v>0</v>
          </cell>
        </row>
        <row r="1216">
          <cell r="A1216" t="str">
            <v>SEP 2015</v>
          </cell>
          <cell r="B1216" t="str">
            <v>KUUM_378</v>
          </cell>
          <cell r="D1216" t="str">
            <v>LS</v>
          </cell>
          <cell r="S1216">
            <v>0</v>
          </cell>
          <cell r="T1216">
            <v>0</v>
          </cell>
          <cell r="U1216">
            <v>0</v>
          </cell>
        </row>
        <row r="1217">
          <cell r="A1217" t="str">
            <v>SEP 2015</v>
          </cell>
          <cell r="B1217" t="str">
            <v>KUUM_401</v>
          </cell>
          <cell r="D1217" t="str">
            <v>LS</v>
          </cell>
          <cell r="S1217">
            <v>0</v>
          </cell>
          <cell r="T1217">
            <v>0</v>
          </cell>
          <cell r="U1217">
            <v>0</v>
          </cell>
        </row>
        <row r="1218">
          <cell r="A1218" t="str">
            <v>SEP 2015</v>
          </cell>
          <cell r="B1218" t="str">
            <v>KUUM_404</v>
          </cell>
          <cell r="D1218" t="str">
            <v>RLS</v>
          </cell>
          <cell r="S1218">
            <v>0</v>
          </cell>
          <cell r="T1218">
            <v>0</v>
          </cell>
          <cell r="U1218">
            <v>0</v>
          </cell>
        </row>
        <row r="1219">
          <cell r="A1219" t="str">
            <v>SEP 2015</v>
          </cell>
          <cell r="B1219" t="str">
            <v>KUUM_405</v>
          </cell>
          <cell r="D1219" t="str">
            <v>LS</v>
          </cell>
          <cell r="S1219">
            <v>0</v>
          </cell>
          <cell r="T1219">
            <v>0</v>
          </cell>
          <cell r="U1219">
            <v>0</v>
          </cell>
        </row>
        <row r="1220">
          <cell r="A1220" t="str">
            <v>SEP 2015</v>
          </cell>
          <cell r="B1220" t="str">
            <v>KUUM_409</v>
          </cell>
          <cell r="D1220" t="str">
            <v>RLS</v>
          </cell>
          <cell r="S1220">
            <v>0</v>
          </cell>
          <cell r="T1220">
            <v>0</v>
          </cell>
          <cell r="U1220">
            <v>0</v>
          </cell>
        </row>
        <row r="1221">
          <cell r="A1221" t="str">
            <v>SEP 2015</v>
          </cell>
          <cell r="B1221" t="str">
            <v>KUUM_410</v>
          </cell>
          <cell r="D1221" t="str">
            <v>RLS</v>
          </cell>
          <cell r="S1221">
            <v>0</v>
          </cell>
          <cell r="T1221">
            <v>0</v>
          </cell>
          <cell r="U1221">
            <v>0</v>
          </cell>
        </row>
        <row r="1222">
          <cell r="A1222" t="str">
            <v>SEP 2015</v>
          </cell>
          <cell r="B1222" t="str">
            <v>KUUM_411</v>
          </cell>
          <cell r="D1222" t="str">
            <v>LS</v>
          </cell>
          <cell r="S1222">
            <v>0</v>
          </cell>
          <cell r="T1222">
            <v>0</v>
          </cell>
          <cell r="U1222">
            <v>0</v>
          </cell>
        </row>
        <row r="1223">
          <cell r="A1223" t="str">
            <v>SEP 2015</v>
          </cell>
          <cell r="B1223" t="str">
            <v>KUUM_412</v>
          </cell>
          <cell r="D1223" t="str">
            <v>RLS</v>
          </cell>
          <cell r="S1223">
            <v>0</v>
          </cell>
          <cell r="T1223">
            <v>0</v>
          </cell>
          <cell r="U1223">
            <v>0</v>
          </cell>
        </row>
        <row r="1224">
          <cell r="A1224" t="str">
            <v>SEP 2015</v>
          </cell>
          <cell r="B1224" t="str">
            <v>KUUM_413</v>
          </cell>
          <cell r="D1224" t="str">
            <v>RLS</v>
          </cell>
          <cell r="S1224">
            <v>0</v>
          </cell>
          <cell r="T1224">
            <v>0</v>
          </cell>
          <cell r="U1224">
            <v>0</v>
          </cell>
        </row>
        <row r="1225">
          <cell r="A1225" t="str">
            <v>SEP 2015</v>
          </cell>
          <cell r="B1225" t="str">
            <v>KUUM_414</v>
          </cell>
          <cell r="D1225" t="str">
            <v>LS</v>
          </cell>
          <cell r="S1225">
            <v>0</v>
          </cell>
          <cell r="T1225">
            <v>0</v>
          </cell>
          <cell r="U1225">
            <v>0</v>
          </cell>
        </row>
        <row r="1226">
          <cell r="A1226" t="str">
            <v>SEP 2015</v>
          </cell>
          <cell r="B1226" t="str">
            <v>KUUM_415</v>
          </cell>
          <cell r="D1226" t="str">
            <v>LS</v>
          </cell>
          <cell r="S1226">
            <v>0</v>
          </cell>
          <cell r="T1226">
            <v>0</v>
          </cell>
          <cell r="U1226">
            <v>0</v>
          </cell>
        </row>
        <row r="1227">
          <cell r="A1227" t="str">
            <v>SEP 2015</v>
          </cell>
          <cell r="B1227" t="str">
            <v>KUUM_420</v>
          </cell>
          <cell r="D1227" t="str">
            <v>LS</v>
          </cell>
          <cell r="S1227">
            <v>0</v>
          </cell>
          <cell r="T1227">
            <v>0</v>
          </cell>
          <cell r="U1227">
            <v>0</v>
          </cell>
        </row>
        <row r="1228">
          <cell r="A1228" t="str">
            <v>SEP 2015</v>
          </cell>
          <cell r="B1228" t="str">
            <v>KUUM_421</v>
          </cell>
          <cell r="D1228" t="str">
            <v>RLS</v>
          </cell>
          <cell r="S1228">
            <v>0</v>
          </cell>
          <cell r="T1228">
            <v>0</v>
          </cell>
          <cell r="U1228">
            <v>0</v>
          </cell>
        </row>
        <row r="1229">
          <cell r="A1229" t="str">
            <v>SEP 2015</v>
          </cell>
          <cell r="B1229" t="str">
            <v>KUUM_422</v>
          </cell>
          <cell r="D1229" t="str">
            <v>RLS</v>
          </cell>
          <cell r="S1229">
            <v>0</v>
          </cell>
          <cell r="T1229">
            <v>0</v>
          </cell>
          <cell r="U1229">
            <v>0</v>
          </cell>
        </row>
        <row r="1230">
          <cell r="A1230" t="str">
            <v>SEP 2015</v>
          </cell>
          <cell r="B1230" t="str">
            <v>KUUM_424</v>
          </cell>
          <cell r="D1230" t="str">
            <v>RLS</v>
          </cell>
          <cell r="S1230">
            <v>0</v>
          </cell>
          <cell r="T1230">
            <v>0</v>
          </cell>
          <cell r="U1230">
            <v>0</v>
          </cell>
        </row>
        <row r="1231">
          <cell r="A1231" t="str">
            <v>SEP 2015</v>
          </cell>
          <cell r="B1231" t="str">
            <v>KUUM_425</v>
          </cell>
          <cell r="D1231" t="str">
            <v>RLS</v>
          </cell>
          <cell r="S1231">
            <v>0</v>
          </cell>
          <cell r="T1231">
            <v>0</v>
          </cell>
          <cell r="U1231">
            <v>0</v>
          </cell>
        </row>
        <row r="1232">
          <cell r="A1232" t="str">
            <v>SEP 2015</v>
          </cell>
          <cell r="B1232" t="str">
            <v>KUUM_426</v>
          </cell>
          <cell r="D1232" t="str">
            <v>RLS</v>
          </cell>
          <cell r="S1232">
            <v>0</v>
          </cell>
          <cell r="T1232">
            <v>0</v>
          </cell>
          <cell r="U1232">
            <v>0</v>
          </cell>
        </row>
        <row r="1233">
          <cell r="A1233" t="str">
            <v>SEP 2015</v>
          </cell>
          <cell r="B1233" t="str">
            <v>KUUM_428</v>
          </cell>
          <cell r="D1233" t="str">
            <v>LS</v>
          </cell>
          <cell r="S1233">
            <v>0</v>
          </cell>
          <cell r="T1233">
            <v>0</v>
          </cell>
          <cell r="U1233">
            <v>0</v>
          </cell>
        </row>
        <row r="1234">
          <cell r="A1234" t="str">
            <v>SEP 2015</v>
          </cell>
          <cell r="B1234" t="str">
            <v>KUUM_430</v>
          </cell>
          <cell r="D1234" t="str">
            <v>LS</v>
          </cell>
          <cell r="S1234">
            <v>0</v>
          </cell>
          <cell r="T1234">
            <v>0</v>
          </cell>
          <cell r="U1234">
            <v>0</v>
          </cell>
        </row>
        <row r="1235">
          <cell r="A1235" t="str">
            <v>SEP 2015</v>
          </cell>
          <cell r="B1235" t="str">
            <v>KUUM_434</v>
          </cell>
          <cell r="D1235" t="str">
            <v>RLS</v>
          </cell>
          <cell r="S1235">
            <v>0</v>
          </cell>
          <cell r="T1235">
            <v>0</v>
          </cell>
          <cell r="U1235">
            <v>0</v>
          </cell>
        </row>
        <row r="1236">
          <cell r="A1236" t="str">
            <v>SEP 2015</v>
          </cell>
          <cell r="B1236" t="str">
            <v>KUUM_440</v>
          </cell>
          <cell r="D1236" t="str">
            <v>RLS</v>
          </cell>
          <cell r="S1236">
            <v>0</v>
          </cell>
          <cell r="T1236">
            <v>0</v>
          </cell>
          <cell r="U1236">
            <v>0</v>
          </cell>
        </row>
        <row r="1237">
          <cell r="A1237" t="str">
            <v>SEP 2015</v>
          </cell>
          <cell r="B1237" t="str">
            <v>KUUM_446</v>
          </cell>
          <cell r="D1237" t="str">
            <v>RLS</v>
          </cell>
          <cell r="S1237">
            <v>0</v>
          </cell>
          <cell r="T1237">
            <v>0</v>
          </cell>
          <cell r="U1237">
            <v>0</v>
          </cell>
        </row>
        <row r="1238">
          <cell r="A1238" t="str">
            <v>SEP 2015</v>
          </cell>
          <cell r="B1238" t="str">
            <v>KUUM_447</v>
          </cell>
          <cell r="D1238" t="str">
            <v>RLS</v>
          </cell>
          <cell r="S1238">
            <v>0</v>
          </cell>
          <cell r="T1238">
            <v>0</v>
          </cell>
          <cell r="U1238">
            <v>0</v>
          </cell>
        </row>
        <row r="1239">
          <cell r="A1239" t="str">
            <v>SEP 2015</v>
          </cell>
          <cell r="B1239" t="str">
            <v>KUUM_448</v>
          </cell>
          <cell r="D1239" t="str">
            <v>RLS</v>
          </cell>
          <cell r="S1239">
            <v>0</v>
          </cell>
          <cell r="T1239">
            <v>0</v>
          </cell>
          <cell r="U1239">
            <v>0</v>
          </cell>
        </row>
        <row r="1240">
          <cell r="A1240" t="str">
            <v>SEP 2015</v>
          </cell>
          <cell r="B1240" t="str">
            <v>KUUM_450</v>
          </cell>
          <cell r="D1240" t="str">
            <v>LS</v>
          </cell>
          <cell r="S1240">
            <v>0</v>
          </cell>
          <cell r="T1240">
            <v>0</v>
          </cell>
          <cell r="U1240">
            <v>0</v>
          </cell>
        </row>
        <row r="1241">
          <cell r="A1241" t="str">
            <v>SEP 2015</v>
          </cell>
          <cell r="B1241" t="str">
            <v>KUUM_451</v>
          </cell>
          <cell r="D1241" t="str">
            <v>LS</v>
          </cell>
          <cell r="S1241">
            <v>0</v>
          </cell>
          <cell r="T1241">
            <v>0</v>
          </cell>
          <cell r="U1241">
            <v>0</v>
          </cell>
        </row>
        <row r="1242">
          <cell r="A1242" t="str">
            <v>SEP 2015</v>
          </cell>
          <cell r="B1242" t="str">
            <v>KUUM_452</v>
          </cell>
          <cell r="D1242" t="str">
            <v>LS</v>
          </cell>
          <cell r="S1242">
            <v>0</v>
          </cell>
          <cell r="T1242">
            <v>0</v>
          </cell>
          <cell r="U1242">
            <v>0</v>
          </cell>
        </row>
        <row r="1243">
          <cell r="A1243" t="str">
            <v>SEP 2015</v>
          </cell>
          <cell r="B1243" t="str">
            <v>KUUM_454</v>
          </cell>
          <cell r="D1243" t="str">
            <v>RLS</v>
          </cell>
          <cell r="S1243">
            <v>0</v>
          </cell>
          <cell r="T1243">
            <v>0</v>
          </cell>
          <cell r="U1243">
            <v>0</v>
          </cell>
        </row>
        <row r="1244">
          <cell r="A1244" t="str">
            <v>SEP 2015</v>
          </cell>
          <cell r="B1244" t="str">
            <v>KUUM_455</v>
          </cell>
          <cell r="D1244" t="str">
            <v>RLS</v>
          </cell>
          <cell r="S1244">
            <v>0</v>
          </cell>
          <cell r="T1244">
            <v>0</v>
          </cell>
          <cell r="U1244">
            <v>0</v>
          </cell>
        </row>
        <row r="1245">
          <cell r="A1245" t="str">
            <v>SEP 2015</v>
          </cell>
          <cell r="B1245" t="str">
            <v>KUUM_456</v>
          </cell>
          <cell r="D1245" t="str">
            <v>RLS</v>
          </cell>
          <cell r="S1245">
            <v>0</v>
          </cell>
          <cell r="T1245">
            <v>0</v>
          </cell>
          <cell r="U1245">
            <v>0</v>
          </cell>
        </row>
        <row r="1246">
          <cell r="A1246" t="str">
            <v>SEP 2015</v>
          </cell>
          <cell r="B1246" t="str">
            <v>KUUM_457</v>
          </cell>
          <cell r="D1246" t="str">
            <v>RLS</v>
          </cell>
          <cell r="S1246">
            <v>0</v>
          </cell>
          <cell r="T1246">
            <v>0</v>
          </cell>
          <cell r="U1246">
            <v>0</v>
          </cell>
        </row>
        <row r="1247">
          <cell r="A1247" t="str">
            <v>SEP 2015</v>
          </cell>
          <cell r="B1247" t="str">
            <v>KUUM_458</v>
          </cell>
          <cell r="D1247" t="str">
            <v>RLS</v>
          </cell>
          <cell r="S1247">
            <v>0</v>
          </cell>
          <cell r="T1247">
            <v>0</v>
          </cell>
          <cell r="U1247">
            <v>0</v>
          </cell>
        </row>
        <row r="1248">
          <cell r="A1248" t="str">
            <v>SEP 2015</v>
          </cell>
          <cell r="B1248" t="str">
            <v>KUUM_459</v>
          </cell>
          <cell r="D1248" t="str">
            <v>RLS</v>
          </cell>
          <cell r="S1248">
            <v>0</v>
          </cell>
          <cell r="T1248">
            <v>0</v>
          </cell>
          <cell r="U1248">
            <v>0</v>
          </cell>
        </row>
        <row r="1249">
          <cell r="A1249" t="str">
            <v>SEP 2015</v>
          </cell>
          <cell r="B1249" t="str">
            <v>KUUM_460</v>
          </cell>
          <cell r="D1249" t="str">
            <v>RLS</v>
          </cell>
          <cell r="S1249">
            <v>0</v>
          </cell>
          <cell r="T1249">
            <v>0</v>
          </cell>
          <cell r="U1249">
            <v>0</v>
          </cell>
        </row>
        <row r="1250">
          <cell r="A1250" t="str">
            <v>SEP 2015</v>
          </cell>
          <cell r="B1250" t="str">
            <v>KUUM_461</v>
          </cell>
          <cell r="D1250" t="str">
            <v>RLS</v>
          </cell>
          <cell r="S1250">
            <v>0</v>
          </cell>
          <cell r="T1250">
            <v>0</v>
          </cell>
          <cell r="U1250">
            <v>0</v>
          </cell>
        </row>
        <row r="1251">
          <cell r="A1251" t="str">
            <v>SEP 2015</v>
          </cell>
          <cell r="B1251" t="str">
            <v>KUUM_462</v>
          </cell>
          <cell r="D1251" t="str">
            <v>LS</v>
          </cell>
          <cell r="S1251">
            <v>0</v>
          </cell>
          <cell r="T1251">
            <v>0</v>
          </cell>
          <cell r="U1251">
            <v>0</v>
          </cell>
        </row>
        <row r="1252">
          <cell r="A1252" t="str">
            <v>SEP 2015</v>
          </cell>
          <cell r="B1252" t="str">
            <v>KUUM_463</v>
          </cell>
          <cell r="D1252" t="str">
            <v>LS</v>
          </cell>
          <cell r="S1252">
            <v>0</v>
          </cell>
          <cell r="T1252">
            <v>0</v>
          </cell>
          <cell r="U1252">
            <v>0</v>
          </cell>
        </row>
        <row r="1253">
          <cell r="A1253" t="str">
            <v>SEP 2015</v>
          </cell>
          <cell r="B1253" t="str">
            <v>KUUM_464</v>
          </cell>
          <cell r="D1253" t="str">
            <v>LS</v>
          </cell>
          <cell r="S1253">
            <v>0</v>
          </cell>
          <cell r="T1253">
            <v>0</v>
          </cell>
          <cell r="U1253">
            <v>0</v>
          </cell>
        </row>
        <row r="1254">
          <cell r="A1254" t="str">
            <v>SEP 2015</v>
          </cell>
          <cell r="B1254" t="str">
            <v>KUUM_465</v>
          </cell>
          <cell r="D1254" t="str">
            <v>LS</v>
          </cell>
          <cell r="S1254">
            <v>0</v>
          </cell>
          <cell r="T1254">
            <v>0</v>
          </cell>
          <cell r="U1254">
            <v>0</v>
          </cell>
        </row>
        <row r="1255">
          <cell r="A1255" t="str">
            <v>SEP 2015</v>
          </cell>
          <cell r="B1255" t="str">
            <v>KUUM_465CU</v>
          </cell>
          <cell r="D1255" t="str">
            <v>LS</v>
          </cell>
          <cell r="S1255">
            <v>0</v>
          </cell>
          <cell r="T1255">
            <v>0</v>
          </cell>
          <cell r="U1255">
            <v>0</v>
          </cell>
        </row>
        <row r="1256">
          <cell r="A1256" t="str">
            <v>SEP 2015</v>
          </cell>
          <cell r="B1256" t="str">
            <v>KUUM_466</v>
          </cell>
          <cell r="D1256" t="str">
            <v>RLS</v>
          </cell>
          <cell r="S1256">
            <v>0</v>
          </cell>
          <cell r="T1256">
            <v>0</v>
          </cell>
          <cell r="U1256">
            <v>0</v>
          </cell>
        </row>
        <row r="1257">
          <cell r="A1257" t="str">
            <v>SEP 2015</v>
          </cell>
          <cell r="B1257" t="str">
            <v>KUUM_467</v>
          </cell>
          <cell r="D1257" t="str">
            <v>LS</v>
          </cell>
          <cell r="S1257">
            <v>0</v>
          </cell>
          <cell r="T1257">
            <v>0</v>
          </cell>
          <cell r="U1257">
            <v>0</v>
          </cell>
        </row>
        <row r="1258">
          <cell r="A1258" t="str">
            <v>SEP 2015</v>
          </cell>
          <cell r="B1258" t="str">
            <v>KUUM_468</v>
          </cell>
          <cell r="D1258" t="str">
            <v>LS</v>
          </cell>
          <cell r="S1258">
            <v>0</v>
          </cell>
          <cell r="T1258">
            <v>0</v>
          </cell>
          <cell r="U1258">
            <v>0</v>
          </cell>
        </row>
        <row r="1259">
          <cell r="A1259" t="str">
            <v>SEP 2015</v>
          </cell>
          <cell r="B1259" t="str">
            <v>KUUM_469</v>
          </cell>
          <cell r="D1259" t="str">
            <v>RLS</v>
          </cell>
          <cell r="S1259">
            <v>0</v>
          </cell>
          <cell r="T1259">
            <v>0</v>
          </cell>
          <cell r="U1259">
            <v>0</v>
          </cell>
        </row>
        <row r="1260">
          <cell r="A1260" t="str">
            <v>SEP 2015</v>
          </cell>
          <cell r="B1260" t="str">
            <v>KUUM_470</v>
          </cell>
          <cell r="D1260" t="str">
            <v>RLS</v>
          </cell>
          <cell r="S1260">
            <v>0</v>
          </cell>
          <cell r="T1260">
            <v>0</v>
          </cell>
          <cell r="U1260">
            <v>0</v>
          </cell>
        </row>
        <row r="1261">
          <cell r="A1261" t="str">
            <v>SEP 2015</v>
          </cell>
          <cell r="B1261" t="str">
            <v>KUUM_471</v>
          </cell>
          <cell r="D1261" t="str">
            <v>RLS</v>
          </cell>
          <cell r="S1261">
            <v>0</v>
          </cell>
          <cell r="T1261">
            <v>0</v>
          </cell>
          <cell r="U1261">
            <v>0</v>
          </cell>
        </row>
        <row r="1262">
          <cell r="A1262" t="str">
            <v>SEP 2015</v>
          </cell>
          <cell r="B1262" t="str">
            <v>KUUM_472</v>
          </cell>
          <cell r="D1262" t="str">
            <v>LS</v>
          </cell>
          <cell r="S1262">
            <v>0</v>
          </cell>
          <cell r="T1262">
            <v>0</v>
          </cell>
          <cell r="U1262">
            <v>0</v>
          </cell>
        </row>
        <row r="1263">
          <cell r="A1263" t="str">
            <v>SEP 2015</v>
          </cell>
          <cell r="B1263" t="str">
            <v>KUUM_473</v>
          </cell>
          <cell r="D1263" t="str">
            <v>LS</v>
          </cell>
          <cell r="S1263">
            <v>0</v>
          </cell>
          <cell r="T1263">
            <v>0</v>
          </cell>
          <cell r="U1263">
            <v>0</v>
          </cell>
        </row>
        <row r="1264">
          <cell r="A1264" t="str">
            <v>SEP 2015</v>
          </cell>
          <cell r="B1264" t="str">
            <v>KUUM_474</v>
          </cell>
          <cell r="D1264" t="str">
            <v>LS</v>
          </cell>
          <cell r="S1264">
            <v>0</v>
          </cell>
          <cell r="T1264">
            <v>0</v>
          </cell>
          <cell r="U1264">
            <v>0</v>
          </cell>
        </row>
        <row r="1265">
          <cell r="A1265" t="str">
            <v>SEP 2015</v>
          </cell>
          <cell r="B1265" t="str">
            <v>KUUM_475</v>
          </cell>
          <cell r="D1265" t="str">
            <v>LS</v>
          </cell>
          <cell r="S1265">
            <v>0</v>
          </cell>
          <cell r="T1265">
            <v>0</v>
          </cell>
          <cell r="U1265">
            <v>0</v>
          </cell>
        </row>
        <row r="1266">
          <cell r="A1266" t="str">
            <v>SEP 2015</v>
          </cell>
          <cell r="B1266" t="str">
            <v>KUUM_476</v>
          </cell>
          <cell r="D1266" t="str">
            <v>LS</v>
          </cell>
          <cell r="S1266">
            <v>0</v>
          </cell>
          <cell r="T1266">
            <v>0</v>
          </cell>
          <cell r="U1266">
            <v>0</v>
          </cell>
        </row>
        <row r="1267">
          <cell r="A1267" t="str">
            <v>SEP 2015</v>
          </cell>
          <cell r="B1267" t="str">
            <v>KUUM_477</v>
          </cell>
          <cell r="D1267" t="str">
            <v>LS</v>
          </cell>
          <cell r="S1267">
            <v>0</v>
          </cell>
          <cell r="T1267">
            <v>0</v>
          </cell>
          <cell r="U1267">
            <v>0</v>
          </cell>
        </row>
        <row r="1268">
          <cell r="A1268" t="str">
            <v>SEP 2015</v>
          </cell>
          <cell r="B1268" t="str">
            <v>KUUM_478</v>
          </cell>
          <cell r="D1268" t="str">
            <v>LS</v>
          </cell>
          <cell r="S1268">
            <v>0</v>
          </cell>
          <cell r="T1268">
            <v>0</v>
          </cell>
          <cell r="U1268">
            <v>0</v>
          </cell>
        </row>
        <row r="1269">
          <cell r="A1269" t="str">
            <v>SEP 2015</v>
          </cell>
          <cell r="B1269" t="str">
            <v>KUUM_479</v>
          </cell>
          <cell r="D1269" t="str">
            <v>LS</v>
          </cell>
          <cell r="S1269">
            <v>0</v>
          </cell>
          <cell r="T1269">
            <v>0</v>
          </cell>
          <cell r="U1269">
            <v>0</v>
          </cell>
        </row>
        <row r="1270">
          <cell r="A1270" t="str">
            <v>SEP 2015</v>
          </cell>
          <cell r="B1270" t="str">
            <v>KUUM_487</v>
          </cell>
          <cell r="D1270" t="str">
            <v>LS</v>
          </cell>
          <cell r="S1270">
            <v>0</v>
          </cell>
          <cell r="T1270">
            <v>0</v>
          </cell>
          <cell r="U1270">
            <v>0</v>
          </cell>
        </row>
        <row r="1271">
          <cell r="A1271" t="str">
            <v>SEP 2015</v>
          </cell>
          <cell r="B1271" t="str">
            <v>KUUM_488</v>
          </cell>
          <cell r="D1271" t="str">
            <v>LS</v>
          </cell>
          <cell r="S1271">
            <v>0</v>
          </cell>
          <cell r="T1271">
            <v>0</v>
          </cell>
          <cell r="U1271">
            <v>0</v>
          </cell>
        </row>
        <row r="1272">
          <cell r="A1272" t="str">
            <v>SEP 2015</v>
          </cell>
          <cell r="B1272" t="str">
            <v>KUUM_489</v>
          </cell>
          <cell r="D1272" t="str">
            <v>LS</v>
          </cell>
          <cell r="S1272">
            <v>0</v>
          </cell>
          <cell r="T1272">
            <v>0</v>
          </cell>
          <cell r="U1272">
            <v>0</v>
          </cell>
        </row>
        <row r="1273">
          <cell r="A1273" t="str">
            <v>SEP 2015</v>
          </cell>
          <cell r="B1273" t="str">
            <v>KUUM_490</v>
          </cell>
          <cell r="D1273" t="str">
            <v>LS</v>
          </cell>
          <cell r="S1273">
            <v>0</v>
          </cell>
          <cell r="T1273">
            <v>0</v>
          </cell>
          <cell r="U1273">
            <v>0</v>
          </cell>
        </row>
        <row r="1274">
          <cell r="A1274" t="str">
            <v>SEP 2015</v>
          </cell>
          <cell r="B1274" t="str">
            <v>KUUM_491</v>
          </cell>
          <cell r="D1274" t="str">
            <v>LS</v>
          </cell>
          <cell r="S1274">
            <v>0</v>
          </cell>
          <cell r="T1274">
            <v>0</v>
          </cell>
          <cell r="U1274">
            <v>0</v>
          </cell>
        </row>
        <row r="1275">
          <cell r="A1275" t="str">
            <v>SEP 2015</v>
          </cell>
          <cell r="B1275" t="str">
            <v>KUUM_492</v>
          </cell>
          <cell r="D1275" t="str">
            <v>LS</v>
          </cell>
          <cell r="S1275">
            <v>0</v>
          </cell>
          <cell r="T1275">
            <v>0</v>
          </cell>
          <cell r="U1275">
            <v>0</v>
          </cell>
        </row>
        <row r="1276">
          <cell r="A1276" t="str">
            <v>SEP 2015</v>
          </cell>
          <cell r="B1276" t="str">
            <v>KUUM_493</v>
          </cell>
          <cell r="D1276" t="str">
            <v>LS</v>
          </cell>
          <cell r="S1276">
            <v>0</v>
          </cell>
          <cell r="T1276">
            <v>0</v>
          </cell>
          <cell r="U1276">
            <v>0</v>
          </cell>
        </row>
        <row r="1277">
          <cell r="A1277" t="str">
            <v>SEP 2015</v>
          </cell>
          <cell r="B1277" t="str">
            <v>KUUM_494</v>
          </cell>
          <cell r="D1277" t="str">
            <v>LS</v>
          </cell>
          <cell r="S1277">
            <v>0</v>
          </cell>
          <cell r="T1277">
            <v>0</v>
          </cell>
          <cell r="U1277">
            <v>0</v>
          </cell>
        </row>
        <row r="1278">
          <cell r="A1278" t="str">
            <v>SEP 2015</v>
          </cell>
          <cell r="B1278" t="str">
            <v>KUUM_495</v>
          </cell>
          <cell r="D1278" t="str">
            <v>LS</v>
          </cell>
          <cell r="S1278">
            <v>0</v>
          </cell>
          <cell r="T1278">
            <v>0</v>
          </cell>
          <cell r="U1278">
            <v>0</v>
          </cell>
        </row>
        <row r="1279">
          <cell r="A1279" t="str">
            <v>SEP 2015</v>
          </cell>
          <cell r="B1279" t="str">
            <v>KUUM_496</v>
          </cell>
          <cell r="D1279" t="str">
            <v>LS</v>
          </cell>
          <cell r="S1279">
            <v>0</v>
          </cell>
          <cell r="T1279">
            <v>0</v>
          </cell>
          <cell r="U1279">
            <v>0</v>
          </cell>
        </row>
        <row r="1280">
          <cell r="A1280" t="str">
            <v>SEP 2015</v>
          </cell>
          <cell r="B1280" t="str">
            <v>KUUM_497</v>
          </cell>
          <cell r="D1280" t="str">
            <v>LS</v>
          </cell>
          <cell r="S1280">
            <v>0</v>
          </cell>
          <cell r="T1280">
            <v>0</v>
          </cell>
          <cell r="U1280">
            <v>0</v>
          </cell>
        </row>
        <row r="1281">
          <cell r="A1281" t="str">
            <v>SEP 2015</v>
          </cell>
          <cell r="B1281" t="str">
            <v>KUUM_498</v>
          </cell>
          <cell r="D1281" t="str">
            <v>LS</v>
          </cell>
          <cell r="S1281">
            <v>0</v>
          </cell>
          <cell r="T1281">
            <v>0</v>
          </cell>
          <cell r="U1281">
            <v>0</v>
          </cell>
        </row>
        <row r="1282">
          <cell r="A1282" t="str">
            <v>SEP 2015</v>
          </cell>
          <cell r="B1282" t="str">
            <v>KUUM_499</v>
          </cell>
          <cell r="D1282" t="str">
            <v>LS</v>
          </cell>
          <cell r="S1282">
            <v>0</v>
          </cell>
          <cell r="T1282">
            <v>0</v>
          </cell>
          <cell r="U1282">
            <v>0</v>
          </cell>
        </row>
        <row r="1283">
          <cell r="A1283" t="str">
            <v>SEP 2015</v>
          </cell>
          <cell r="B1283" t="str">
            <v>KUUM_820</v>
          </cell>
          <cell r="D1283" t="str">
            <v>ODL</v>
          </cell>
          <cell r="S1283">
            <v>0</v>
          </cell>
          <cell r="T1283">
            <v>0</v>
          </cell>
          <cell r="U1283">
            <v>0</v>
          </cell>
        </row>
        <row r="1284">
          <cell r="A1284" t="str">
            <v>SEP 2015</v>
          </cell>
          <cell r="B1284" t="str">
            <v>KUUM_825</v>
          </cell>
          <cell r="D1284" t="str">
            <v>EF</v>
          </cell>
          <cell r="S1284">
            <v>0</v>
          </cell>
          <cell r="T1284">
            <v>0</v>
          </cell>
          <cell r="U1284">
            <v>0</v>
          </cell>
        </row>
        <row r="1285">
          <cell r="A1285" t="str">
            <v>SEP 2015</v>
          </cell>
          <cell r="B1285" t="str">
            <v>KUUM_826</v>
          </cell>
          <cell r="D1285" t="str">
            <v>EF</v>
          </cell>
          <cell r="S1285">
            <v>0</v>
          </cell>
          <cell r="T1285">
            <v>0</v>
          </cell>
          <cell r="U1285">
            <v>0</v>
          </cell>
        </row>
        <row r="1286">
          <cell r="A1286" t="str">
            <v>SEP 2015</v>
          </cell>
          <cell r="B1286" t="str">
            <v>KUUM_827</v>
          </cell>
          <cell r="D1286" t="str">
            <v>DA</v>
          </cell>
          <cell r="S1286">
            <v>0</v>
          </cell>
          <cell r="T1286">
            <v>0</v>
          </cell>
          <cell r="U1286">
            <v>0</v>
          </cell>
        </row>
        <row r="1287">
          <cell r="A1287" t="str">
            <v>SEP 2015</v>
          </cell>
          <cell r="B1287" t="str">
            <v>KUUM_828</v>
          </cell>
          <cell r="D1287" t="str">
            <v>EF</v>
          </cell>
          <cell r="S1287">
            <v>0</v>
          </cell>
          <cell r="T1287">
            <v>0</v>
          </cell>
          <cell r="U1287">
            <v>0</v>
          </cell>
        </row>
        <row r="1288">
          <cell r="A1288" t="str">
            <v>SEP 2015</v>
          </cell>
          <cell r="B1288" t="str">
            <v>KUUM_829</v>
          </cell>
          <cell r="D1288" t="str">
            <v>EF</v>
          </cell>
          <cell r="S1288">
            <v>0</v>
          </cell>
          <cell r="T1288">
            <v>0</v>
          </cell>
          <cell r="U1288">
            <v>0</v>
          </cell>
        </row>
        <row r="1289">
          <cell r="A1289" t="str">
            <v>SEP 2015</v>
          </cell>
          <cell r="B1289" t="str">
            <v>ODRSE020</v>
          </cell>
          <cell r="D1289" t="str">
            <v>ODRS</v>
          </cell>
          <cell r="S1289">
            <v>0</v>
          </cell>
          <cell r="T1289">
            <v>0</v>
          </cell>
          <cell r="U1289">
            <v>0</v>
          </cell>
        </row>
        <row r="1290">
          <cell r="A1290" t="str">
            <v>SEP 2015</v>
          </cell>
          <cell r="B1290" t="str">
            <v>Result</v>
          </cell>
          <cell r="S1290">
            <v>0</v>
          </cell>
          <cell r="T1290">
            <v>0</v>
          </cell>
          <cell r="U1290">
            <v>0</v>
          </cell>
        </row>
        <row r="1291">
          <cell r="A1291" t="str">
            <v>OCT 2015</v>
          </cell>
          <cell r="B1291" t="str">
            <v>KTRSE020</v>
          </cell>
          <cell r="D1291" t="str">
            <v>TNRS</v>
          </cell>
          <cell r="S1291">
            <v>0</v>
          </cell>
          <cell r="T1291">
            <v>0</v>
          </cell>
          <cell r="U1291">
            <v>0</v>
          </cell>
        </row>
        <row r="1292">
          <cell r="A1292" t="str">
            <v>OCT 2015</v>
          </cell>
          <cell r="B1292" t="str">
            <v>KTRSE030</v>
          </cell>
          <cell r="D1292" t="str">
            <v>TNRS</v>
          </cell>
          <cell r="S1292">
            <v>0</v>
          </cell>
          <cell r="T1292">
            <v>0</v>
          </cell>
          <cell r="U1292">
            <v>0</v>
          </cell>
        </row>
        <row r="1293">
          <cell r="A1293" t="str">
            <v>OCT 2015</v>
          </cell>
          <cell r="B1293" t="str">
            <v>KTUM_406</v>
          </cell>
          <cell r="D1293" t="str">
            <v>TNLS</v>
          </cell>
          <cell r="S1293">
            <v>0</v>
          </cell>
          <cell r="T1293">
            <v>0</v>
          </cell>
          <cell r="U1293">
            <v>0</v>
          </cell>
        </row>
        <row r="1294">
          <cell r="A1294" t="str">
            <v>OCT 2015</v>
          </cell>
          <cell r="B1294" t="str">
            <v>KTUM_428</v>
          </cell>
          <cell r="D1294" t="str">
            <v>TNLS</v>
          </cell>
          <cell r="S1294">
            <v>0</v>
          </cell>
          <cell r="T1294">
            <v>0</v>
          </cell>
          <cell r="U1294">
            <v>0</v>
          </cell>
        </row>
        <row r="1295">
          <cell r="A1295" t="str">
            <v>OCT 2015</v>
          </cell>
          <cell r="B1295" t="str">
            <v>KUCIE000</v>
          </cell>
          <cell r="D1295" t="str">
            <v>TS</v>
          </cell>
          <cell r="S1295">
            <v>0</v>
          </cell>
          <cell r="T1295">
            <v>0</v>
          </cell>
          <cell r="U1295">
            <v>0</v>
          </cell>
        </row>
        <row r="1296">
          <cell r="A1296" t="str">
            <v>OCT 2015</v>
          </cell>
          <cell r="B1296" t="str">
            <v>KUCIE550</v>
          </cell>
          <cell r="D1296" t="str">
            <v>RTS</v>
          </cell>
          <cell r="E1296">
            <v>127037667</v>
          </cell>
          <cell r="F1296">
            <v>24000</v>
          </cell>
          <cell r="L1296">
            <v>0</v>
          </cell>
          <cell r="M1296">
            <v>301122</v>
          </cell>
          <cell r="P1296">
            <v>0</v>
          </cell>
          <cell r="R1296">
            <v>8064365</v>
          </cell>
          <cell r="S1296">
            <v>4616548</v>
          </cell>
          <cell r="T1296">
            <v>2329058</v>
          </cell>
          <cell r="U1296">
            <v>793636</v>
          </cell>
        </row>
        <row r="1297">
          <cell r="A1297" t="str">
            <v>OCT 2015</v>
          </cell>
          <cell r="B1297" t="str">
            <v>KUCIE561</v>
          </cell>
          <cell r="D1297" t="str">
            <v>PSP</v>
          </cell>
          <cell r="E1297">
            <v>18810649</v>
          </cell>
          <cell r="F1297">
            <v>33830</v>
          </cell>
          <cell r="L1297">
            <v>35817</v>
          </cell>
          <cell r="M1297">
            <v>44588</v>
          </cell>
          <cell r="P1297">
            <v>0</v>
          </cell>
          <cell r="R1297">
            <v>1639721</v>
          </cell>
          <cell r="S1297">
            <v>670035</v>
          </cell>
          <cell r="T1297">
            <v>737936</v>
          </cell>
          <cell r="U1297">
            <v>117515</v>
          </cell>
        </row>
        <row r="1298">
          <cell r="A1298" t="str">
            <v>OCT 2015</v>
          </cell>
          <cell r="B1298" t="str">
            <v>KUCIE562</v>
          </cell>
          <cell r="D1298" t="str">
            <v>PSS</v>
          </cell>
          <cell r="E1298">
            <v>169242347</v>
          </cell>
          <cell r="F1298">
            <v>421200</v>
          </cell>
          <cell r="L1298">
            <v>322255</v>
          </cell>
          <cell r="M1298">
            <v>401161</v>
          </cell>
          <cell r="P1298">
            <v>0</v>
          </cell>
          <cell r="R1298">
            <v>15692937</v>
          </cell>
          <cell r="S1298">
            <v>6031798</v>
          </cell>
          <cell r="T1298">
            <v>7459224</v>
          </cell>
          <cell r="U1298">
            <v>1057300</v>
          </cell>
        </row>
        <row r="1299">
          <cell r="A1299" t="str">
            <v>OCT 2015</v>
          </cell>
          <cell r="B1299" t="str">
            <v>KUCIE563</v>
          </cell>
          <cell r="D1299" t="str">
            <v>TODP</v>
          </cell>
          <cell r="E1299">
            <v>242601164</v>
          </cell>
          <cell r="F1299">
            <v>15600</v>
          </cell>
          <cell r="L1299">
            <v>461938</v>
          </cell>
          <cell r="M1299">
            <v>575046</v>
          </cell>
          <cell r="P1299">
            <v>0</v>
          </cell>
          <cell r="R1299">
            <v>16219484</v>
          </cell>
          <cell r="S1299">
            <v>9133934</v>
          </cell>
          <cell r="T1299">
            <v>4517376</v>
          </cell>
          <cell r="U1299">
            <v>1515591</v>
          </cell>
        </row>
        <row r="1300">
          <cell r="A1300" t="str">
            <v>OCT 2015</v>
          </cell>
          <cell r="B1300" t="str">
            <v>KUCIE566</v>
          </cell>
          <cell r="D1300" t="str">
            <v>PSP</v>
          </cell>
          <cell r="E1300">
            <v>0</v>
          </cell>
          <cell r="F1300">
            <v>0</v>
          </cell>
          <cell r="L1300">
            <v>0</v>
          </cell>
          <cell r="M1300">
            <v>0</v>
          </cell>
          <cell r="P1300">
            <v>0</v>
          </cell>
          <cell r="R1300">
            <v>0</v>
          </cell>
          <cell r="S1300">
            <v>0</v>
          </cell>
          <cell r="T1300">
            <v>0</v>
          </cell>
          <cell r="U1300">
            <v>0</v>
          </cell>
        </row>
        <row r="1301">
          <cell r="A1301" t="str">
            <v>OCT 2015</v>
          </cell>
          <cell r="B1301" t="str">
            <v>KUCIE568</v>
          </cell>
          <cell r="D1301" t="str">
            <v>PSS</v>
          </cell>
          <cell r="E1301">
            <v>0</v>
          </cell>
          <cell r="F1301">
            <v>0</v>
          </cell>
          <cell r="L1301">
            <v>0</v>
          </cell>
          <cell r="M1301">
            <v>0</v>
          </cell>
          <cell r="P1301">
            <v>0</v>
          </cell>
          <cell r="R1301">
            <v>0</v>
          </cell>
          <cell r="S1301">
            <v>0</v>
          </cell>
          <cell r="T1301">
            <v>0</v>
          </cell>
          <cell r="U1301">
            <v>0</v>
          </cell>
        </row>
        <row r="1302">
          <cell r="A1302" t="str">
            <v>OCT 2015</v>
          </cell>
          <cell r="B1302" t="str">
            <v>KUCIE571</v>
          </cell>
          <cell r="D1302" t="str">
            <v>TODP</v>
          </cell>
          <cell r="E1302">
            <v>101809828</v>
          </cell>
          <cell r="F1302">
            <v>59700</v>
          </cell>
          <cell r="L1302">
            <v>193856</v>
          </cell>
          <cell r="M1302">
            <v>241323</v>
          </cell>
          <cell r="P1302">
            <v>0</v>
          </cell>
          <cell r="R1302">
            <v>7236804</v>
          </cell>
          <cell r="S1302">
            <v>3833140</v>
          </cell>
          <cell r="T1302">
            <v>2272752</v>
          </cell>
          <cell r="U1302">
            <v>636032</v>
          </cell>
        </row>
        <row r="1303">
          <cell r="A1303" t="str">
            <v>OCT 2015</v>
          </cell>
          <cell r="B1303" t="str">
            <v>KUCIE572</v>
          </cell>
          <cell r="D1303" t="str">
            <v>TODS</v>
          </cell>
          <cell r="E1303">
            <v>129968346</v>
          </cell>
          <cell r="F1303">
            <v>92800</v>
          </cell>
          <cell r="L1303">
            <v>247473</v>
          </cell>
          <cell r="M1303">
            <v>308069</v>
          </cell>
          <cell r="P1303">
            <v>0</v>
          </cell>
          <cell r="R1303">
            <v>9729753</v>
          </cell>
          <cell r="S1303">
            <v>4903706</v>
          </cell>
          <cell r="T1303">
            <v>3365760</v>
          </cell>
          <cell r="U1303">
            <v>811945</v>
          </cell>
        </row>
        <row r="1304">
          <cell r="A1304" t="str">
            <v>OCT 2015</v>
          </cell>
          <cell r="B1304" t="str">
            <v>KUCIE717</v>
          </cell>
          <cell r="D1304" t="str">
            <v>PSS</v>
          </cell>
          <cell r="E1304">
            <v>0</v>
          </cell>
          <cell r="F1304">
            <v>0</v>
          </cell>
          <cell r="L1304">
            <v>0</v>
          </cell>
          <cell r="M1304">
            <v>0</v>
          </cell>
          <cell r="P1304">
            <v>0</v>
          </cell>
          <cell r="R1304">
            <v>0</v>
          </cell>
          <cell r="S1304">
            <v>0</v>
          </cell>
          <cell r="T1304">
            <v>0</v>
          </cell>
          <cell r="U1304">
            <v>0</v>
          </cell>
        </row>
        <row r="1305">
          <cell r="A1305" t="str">
            <v>OCT 2015</v>
          </cell>
          <cell r="B1305" t="str">
            <v>KUCME000</v>
          </cell>
          <cell r="D1305" t="str">
            <v>TS</v>
          </cell>
          <cell r="E1305">
            <v>0</v>
          </cell>
          <cell r="F1305">
            <v>0</v>
          </cell>
          <cell r="L1305">
            <v>0</v>
          </cell>
          <cell r="M1305">
            <v>0</v>
          </cell>
          <cell r="P1305">
            <v>0</v>
          </cell>
          <cell r="R1305">
            <v>0</v>
          </cell>
          <cell r="S1305">
            <v>0</v>
          </cell>
          <cell r="T1305">
            <v>0</v>
          </cell>
          <cell r="U1305">
            <v>0</v>
          </cell>
        </row>
        <row r="1306">
          <cell r="A1306" t="str">
            <v>OCT 2015</v>
          </cell>
          <cell r="B1306" t="str">
            <v>KUCME110</v>
          </cell>
          <cell r="D1306" t="str">
            <v>GS</v>
          </cell>
          <cell r="E1306">
            <v>56367337</v>
          </cell>
          <cell r="F1306">
            <v>1270277</v>
          </cell>
          <cell r="L1306">
            <v>107329</v>
          </cell>
          <cell r="M1306">
            <v>133609</v>
          </cell>
          <cell r="P1306">
            <v>0</v>
          </cell>
          <cell r="R1306">
            <v>7063244</v>
          </cell>
          <cell r="S1306">
            <v>5199886</v>
          </cell>
          <cell r="T1306">
            <v>0</v>
          </cell>
          <cell r="U1306">
            <v>352141</v>
          </cell>
        </row>
        <row r="1307">
          <cell r="A1307" t="str">
            <v>OCT 2015</v>
          </cell>
          <cell r="B1307" t="str">
            <v>KUCME112</v>
          </cell>
          <cell r="D1307" t="str">
            <v>GS</v>
          </cell>
          <cell r="E1307">
            <v>0</v>
          </cell>
          <cell r="F1307">
            <v>0</v>
          </cell>
          <cell r="L1307">
            <v>0</v>
          </cell>
          <cell r="M1307">
            <v>0</v>
          </cell>
          <cell r="P1307">
            <v>0</v>
          </cell>
          <cell r="R1307">
            <v>0</v>
          </cell>
          <cell r="S1307">
            <v>0</v>
          </cell>
          <cell r="T1307">
            <v>0</v>
          </cell>
          <cell r="U1307">
            <v>0</v>
          </cell>
        </row>
        <row r="1308">
          <cell r="A1308" t="str">
            <v>OCT 2015</v>
          </cell>
          <cell r="B1308" t="str">
            <v>KUCME113</v>
          </cell>
          <cell r="D1308" t="str">
            <v>GS3</v>
          </cell>
          <cell r="E1308">
            <v>82175085</v>
          </cell>
          <cell r="F1308">
            <v>649815</v>
          </cell>
          <cell r="L1308">
            <v>156470</v>
          </cell>
          <cell r="M1308">
            <v>194782</v>
          </cell>
          <cell r="P1308">
            <v>0</v>
          </cell>
          <cell r="R1308">
            <v>9095088</v>
          </cell>
          <cell r="S1308">
            <v>7580652</v>
          </cell>
          <cell r="T1308">
            <v>0</v>
          </cell>
          <cell r="U1308">
            <v>513368</v>
          </cell>
        </row>
        <row r="1309">
          <cell r="A1309" t="str">
            <v>OCT 2015</v>
          </cell>
          <cell r="B1309" t="str">
            <v>KUCME220</v>
          </cell>
          <cell r="D1309" t="str">
            <v>AES</v>
          </cell>
          <cell r="E1309">
            <v>560790</v>
          </cell>
          <cell r="F1309">
            <v>7500</v>
          </cell>
          <cell r="L1309">
            <v>1068</v>
          </cell>
          <cell r="M1309">
            <v>1329</v>
          </cell>
          <cell r="P1309">
            <v>0</v>
          </cell>
          <cell r="R1309">
            <v>55123</v>
          </cell>
          <cell r="S1309">
            <v>41722</v>
          </cell>
          <cell r="T1309">
            <v>0</v>
          </cell>
          <cell r="U1309">
            <v>3503</v>
          </cell>
        </row>
        <row r="1310">
          <cell r="A1310" t="str">
            <v>OCT 2015</v>
          </cell>
          <cell r="B1310" t="str">
            <v>KUCME221</v>
          </cell>
          <cell r="D1310" t="str">
            <v>AESP</v>
          </cell>
          <cell r="E1310">
            <v>0</v>
          </cell>
          <cell r="F1310">
            <v>0</v>
          </cell>
          <cell r="L1310">
            <v>0</v>
          </cell>
          <cell r="M1310">
            <v>0</v>
          </cell>
          <cell r="P1310">
            <v>0</v>
          </cell>
          <cell r="R1310">
            <v>0</v>
          </cell>
          <cell r="S1310">
            <v>0</v>
          </cell>
          <cell r="T1310">
            <v>0</v>
          </cell>
          <cell r="U1310">
            <v>0</v>
          </cell>
        </row>
        <row r="1311">
          <cell r="A1311" t="str">
            <v>OCT 2015</v>
          </cell>
          <cell r="B1311" t="str">
            <v>KUCME223</v>
          </cell>
          <cell r="D1311" t="str">
            <v>AES3</v>
          </cell>
          <cell r="E1311">
            <v>0</v>
          </cell>
          <cell r="F1311">
            <v>0</v>
          </cell>
          <cell r="L1311">
            <v>0</v>
          </cell>
          <cell r="M1311">
            <v>0</v>
          </cell>
          <cell r="P1311">
            <v>0</v>
          </cell>
          <cell r="R1311">
            <v>0</v>
          </cell>
          <cell r="S1311">
            <v>0</v>
          </cell>
          <cell r="T1311">
            <v>0</v>
          </cell>
          <cell r="U1311">
            <v>0</v>
          </cell>
        </row>
        <row r="1312">
          <cell r="A1312" t="str">
            <v>OCT 2015</v>
          </cell>
          <cell r="B1312" t="str">
            <v>KUCME224</v>
          </cell>
          <cell r="D1312" t="str">
            <v>AES3P</v>
          </cell>
          <cell r="E1312">
            <v>10393976</v>
          </cell>
          <cell r="F1312">
            <v>9100</v>
          </cell>
          <cell r="L1312">
            <v>19791</v>
          </cell>
          <cell r="M1312">
            <v>24637</v>
          </cell>
          <cell r="P1312">
            <v>0</v>
          </cell>
          <cell r="R1312">
            <v>891774</v>
          </cell>
          <cell r="S1312">
            <v>773312</v>
          </cell>
          <cell r="T1312">
            <v>0</v>
          </cell>
          <cell r="U1312">
            <v>64934</v>
          </cell>
        </row>
        <row r="1313">
          <cell r="A1313" t="str">
            <v>OCT 2015</v>
          </cell>
          <cell r="B1313" t="str">
            <v>KUCME225</v>
          </cell>
          <cell r="D1313" t="str">
            <v>AES3PSS</v>
          </cell>
          <cell r="E1313">
            <v>0</v>
          </cell>
          <cell r="F1313">
            <v>0</v>
          </cell>
          <cell r="L1313">
            <v>0</v>
          </cell>
          <cell r="M1313">
            <v>0</v>
          </cell>
          <cell r="P1313">
            <v>0</v>
          </cell>
          <cell r="R1313">
            <v>0</v>
          </cell>
          <cell r="S1313">
            <v>0</v>
          </cell>
          <cell r="T1313">
            <v>0</v>
          </cell>
          <cell r="U1313">
            <v>0</v>
          </cell>
        </row>
        <row r="1314">
          <cell r="A1314" t="str">
            <v>OCT 2015</v>
          </cell>
          <cell r="B1314" t="str">
            <v>KUCME226</v>
          </cell>
          <cell r="D1314" t="str">
            <v>AESPSS</v>
          </cell>
          <cell r="E1314">
            <v>0</v>
          </cell>
          <cell r="F1314">
            <v>0</v>
          </cell>
          <cell r="L1314">
            <v>0</v>
          </cell>
          <cell r="M1314">
            <v>0</v>
          </cell>
          <cell r="P1314">
            <v>0</v>
          </cell>
          <cell r="R1314">
            <v>0</v>
          </cell>
          <cell r="S1314">
            <v>0</v>
          </cell>
          <cell r="T1314">
            <v>0</v>
          </cell>
          <cell r="U1314">
            <v>0</v>
          </cell>
        </row>
        <row r="1315">
          <cell r="A1315" t="str">
            <v>OCT 2015</v>
          </cell>
          <cell r="B1315" t="str">
            <v>KUCME227</v>
          </cell>
          <cell r="D1315" t="str">
            <v>AESTODS</v>
          </cell>
          <cell r="E1315">
            <v>0</v>
          </cell>
          <cell r="F1315">
            <v>0</v>
          </cell>
          <cell r="L1315">
            <v>0</v>
          </cell>
          <cell r="M1315">
            <v>0</v>
          </cell>
          <cell r="P1315">
            <v>0</v>
          </cell>
          <cell r="R1315">
            <v>0</v>
          </cell>
          <cell r="S1315">
            <v>0</v>
          </cell>
          <cell r="T1315">
            <v>0</v>
          </cell>
          <cell r="U1315">
            <v>0</v>
          </cell>
        </row>
        <row r="1316">
          <cell r="A1316" t="str">
            <v>OCT 2015</v>
          </cell>
          <cell r="B1316" t="str">
            <v>KUCME290</v>
          </cell>
          <cell r="D1316" t="str">
            <v>LE</v>
          </cell>
          <cell r="E1316">
            <v>0</v>
          </cell>
          <cell r="F1316">
            <v>0</v>
          </cell>
          <cell r="L1316">
            <v>0</v>
          </cell>
          <cell r="M1316">
            <v>0</v>
          </cell>
          <cell r="P1316">
            <v>0</v>
          </cell>
          <cell r="R1316">
            <v>0</v>
          </cell>
          <cell r="S1316">
            <v>0</v>
          </cell>
          <cell r="T1316">
            <v>0</v>
          </cell>
          <cell r="U1316">
            <v>0</v>
          </cell>
        </row>
        <row r="1317">
          <cell r="A1317" t="str">
            <v>OCT 2015</v>
          </cell>
          <cell r="B1317" t="str">
            <v>KUCME291</v>
          </cell>
          <cell r="D1317" t="str">
            <v>LE</v>
          </cell>
          <cell r="E1317">
            <v>0</v>
          </cell>
          <cell r="F1317">
            <v>0</v>
          </cell>
          <cell r="L1317">
            <v>0</v>
          </cell>
          <cell r="M1317">
            <v>0</v>
          </cell>
          <cell r="P1317">
            <v>0</v>
          </cell>
          <cell r="R1317">
            <v>0</v>
          </cell>
          <cell r="S1317">
            <v>0</v>
          </cell>
          <cell r="T1317">
            <v>0</v>
          </cell>
          <cell r="U1317">
            <v>0</v>
          </cell>
        </row>
        <row r="1318">
          <cell r="A1318" t="str">
            <v>OCT 2015</v>
          </cell>
          <cell r="B1318" t="str">
            <v>KUCME295</v>
          </cell>
          <cell r="D1318" t="str">
            <v>TE</v>
          </cell>
          <cell r="E1318">
            <v>0</v>
          </cell>
          <cell r="F1318">
            <v>0</v>
          </cell>
          <cell r="L1318">
            <v>0</v>
          </cell>
          <cell r="M1318">
            <v>0</v>
          </cell>
          <cell r="P1318">
            <v>0</v>
          </cell>
          <cell r="R1318">
            <v>0</v>
          </cell>
          <cell r="S1318">
            <v>0</v>
          </cell>
          <cell r="T1318">
            <v>0</v>
          </cell>
          <cell r="U1318">
            <v>0</v>
          </cell>
        </row>
        <row r="1319">
          <cell r="A1319" t="str">
            <v>OCT 2015</v>
          </cell>
          <cell r="B1319" t="str">
            <v>KUCME297</v>
          </cell>
          <cell r="D1319" t="str">
            <v>TE</v>
          </cell>
          <cell r="E1319">
            <v>0</v>
          </cell>
          <cell r="F1319">
            <v>0</v>
          </cell>
          <cell r="L1319">
            <v>0</v>
          </cell>
          <cell r="M1319">
            <v>0</v>
          </cell>
          <cell r="P1319">
            <v>0</v>
          </cell>
          <cell r="R1319">
            <v>0</v>
          </cell>
          <cell r="S1319">
            <v>0</v>
          </cell>
          <cell r="T1319">
            <v>0</v>
          </cell>
          <cell r="U1319">
            <v>0</v>
          </cell>
        </row>
        <row r="1320">
          <cell r="A1320" t="str">
            <v>OCT 2015</v>
          </cell>
          <cell r="B1320" t="str">
            <v>KUCME705</v>
          </cell>
          <cell r="D1320" t="str">
            <v>SQF</v>
          </cell>
          <cell r="E1320">
            <v>0</v>
          </cell>
          <cell r="F1320">
            <v>0</v>
          </cell>
          <cell r="L1320">
            <v>0</v>
          </cell>
          <cell r="M1320">
            <v>0</v>
          </cell>
          <cell r="P1320">
            <v>0</v>
          </cell>
          <cell r="R1320">
            <v>0</v>
          </cell>
          <cell r="S1320">
            <v>0</v>
          </cell>
          <cell r="T1320">
            <v>0</v>
          </cell>
          <cell r="U1320">
            <v>0</v>
          </cell>
        </row>
        <row r="1321">
          <cell r="A1321" t="str">
            <v>OCT 2015</v>
          </cell>
          <cell r="B1321" t="str">
            <v>KUCME707</v>
          </cell>
          <cell r="D1321" t="str">
            <v>LQF</v>
          </cell>
          <cell r="E1321">
            <v>0</v>
          </cell>
          <cell r="F1321">
            <v>0</v>
          </cell>
          <cell r="L1321">
            <v>0</v>
          </cell>
          <cell r="M1321">
            <v>0</v>
          </cell>
          <cell r="P1321">
            <v>0</v>
          </cell>
          <cell r="R1321">
            <v>0</v>
          </cell>
          <cell r="S1321">
            <v>0</v>
          </cell>
          <cell r="T1321">
            <v>0</v>
          </cell>
          <cell r="U1321">
            <v>0</v>
          </cell>
        </row>
        <row r="1322">
          <cell r="A1322" t="str">
            <v>OCT 2015</v>
          </cell>
          <cell r="B1322" t="str">
            <v>KUCME710</v>
          </cell>
          <cell r="D1322" t="str">
            <v>GS</v>
          </cell>
          <cell r="E1322">
            <v>0</v>
          </cell>
          <cell r="F1322">
            <v>0</v>
          </cell>
          <cell r="L1322">
            <v>0</v>
          </cell>
          <cell r="M1322">
            <v>0</v>
          </cell>
          <cell r="P1322">
            <v>0</v>
          </cell>
          <cell r="R1322">
            <v>0</v>
          </cell>
          <cell r="S1322">
            <v>0</v>
          </cell>
          <cell r="T1322">
            <v>0</v>
          </cell>
          <cell r="U1322">
            <v>0</v>
          </cell>
        </row>
        <row r="1323">
          <cell r="A1323" t="str">
            <v>OCT 2015</v>
          </cell>
          <cell r="B1323" t="str">
            <v>KUCME713</v>
          </cell>
          <cell r="D1323" t="str">
            <v>GS3</v>
          </cell>
          <cell r="E1323">
            <v>0</v>
          </cell>
          <cell r="F1323">
            <v>0</v>
          </cell>
          <cell r="L1323">
            <v>0</v>
          </cell>
          <cell r="M1323">
            <v>0</v>
          </cell>
          <cell r="P1323">
            <v>0</v>
          </cell>
          <cell r="R1323">
            <v>0</v>
          </cell>
          <cell r="S1323">
            <v>0</v>
          </cell>
          <cell r="T1323">
            <v>0</v>
          </cell>
          <cell r="U1323">
            <v>0</v>
          </cell>
        </row>
        <row r="1324">
          <cell r="A1324" t="str">
            <v>OCT 2015</v>
          </cell>
          <cell r="B1324" t="str">
            <v>KUCME841</v>
          </cell>
          <cell r="D1324" t="str">
            <v>LRI</v>
          </cell>
          <cell r="E1324">
            <v>0</v>
          </cell>
          <cell r="F1324">
            <v>0</v>
          </cell>
          <cell r="L1324">
            <v>0</v>
          </cell>
          <cell r="M1324">
            <v>0</v>
          </cell>
          <cell r="P1324">
            <v>0</v>
          </cell>
          <cell r="R1324">
            <v>0</v>
          </cell>
          <cell r="S1324">
            <v>0</v>
          </cell>
          <cell r="T1324">
            <v>0</v>
          </cell>
          <cell r="U1324">
            <v>0</v>
          </cell>
        </row>
        <row r="1325">
          <cell r="A1325" t="str">
            <v>OCT 2015</v>
          </cell>
          <cell r="B1325" t="str">
            <v>KUCSR760</v>
          </cell>
          <cell r="D1325" t="str">
            <v>CSR</v>
          </cell>
          <cell r="E1325">
            <v>0</v>
          </cell>
          <cell r="F1325">
            <v>0</v>
          </cell>
          <cell r="L1325">
            <v>0</v>
          </cell>
          <cell r="M1325">
            <v>0</v>
          </cell>
          <cell r="P1325">
            <v>-989829</v>
          </cell>
          <cell r="R1325">
            <v>-989829</v>
          </cell>
          <cell r="S1325">
            <v>0</v>
          </cell>
          <cell r="T1325">
            <v>0</v>
          </cell>
          <cell r="U1325">
            <v>0</v>
          </cell>
        </row>
        <row r="1326">
          <cell r="A1326" t="str">
            <v>OCT 2015</v>
          </cell>
          <cell r="B1326" t="str">
            <v>KUCSR761</v>
          </cell>
          <cell r="D1326" t="str">
            <v>CSR</v>
          </cell>
          <cell r="E1326">
            <v>0</v>
          </cell>
          <cell r="F1326">
            <v>0</v>
          </cell>
          <cell r="L1326">
            <v>0</v>
          </cell>
          <cell r="M1326">
            <v>0</v>
          </cell>
          <cell r="P1326">
            <v>0</v>
          </cell>
          <cell r="R1326">
            <v>0</v>
          </cell>
          <cell r="S1326">
            <v>0</v>
          </cell>
          <cell r="T1326">
            <v>0</v>
          </cell>
          <cell r="U1326">
            <v>0</v>
          </cell>
        </row>
        <row r="1327">
          <cell r="A1327" t="str">
            <v>OCT 2015</v>
          </cell>
          <cell r="B1327" t="str">
            <v>KUCSR781</v>
          </cell>
          <cell r="D1327" t="str">
            <v>CSR</v>
          </cell>
          <cell r="E1327">
            <v>0</v>
          </cell>
          <cell r="F1327">
            <v>0</v>
          </cell>
          <cell r="L1327">
            <v>0</v>
          </cell>
          <cell r="M1327">
            <v>0</v>
          </cell>
          <cell r="P1327">
            <v>0</v>
          </cell>
          <cell r="R1327">
            <v>0</v>
          </cell>
          <cell r="S1327">
            <v>0</v>
          </cell>
          <cell r="T1327">
            <v>0</v>
          </cell>
          <cell r="U1327">
            <v>0</v>
          </cell>
        </row>
        <row r="1328">
          <cell r="A1328" t="str">
            <v>OCT 2015</v>
          </cell>
          <cell r="B1328" t="str">
            <v>KUCSR783</v>
          </cell>
          <cell r="D1328" t="str">
            <v>CSR</v>
          </cell>
          <cell r="E1328">
            <v>0</v>
          </cell>
          <cell r="F1328">
            <v>0</v>
          </cell>
          <cell r="L1328">
            <v>0</v>
          </cell>
          <cell r="M1328">
            <v>0</v>
          </cell>
          <cell r="P1328">
            <v>0</v>
          </cell>
          <cell r="R1328">
            <v>0</v>
          </cell>
          <cell r="S1328">
            <v>0</v>
          </cell>
          <cell r="T1328">
            <v>0</v>
          </cell>
          <cell r="U1328">
            <v>0</v>
          </cell>
        </row>
        <row r="1329">
          <cell r="A1329" t="str">
            <v>OCT 2015</v>
          </cell>
          <cell r="B1329" t="str">
            <v>KUCUE851</v>
          </cell>
          <cell r="D1329" t="str">
            <v>CU</v>
          </cell>
          <cell r="E1329">
            <v>0</v>
          </cell>
          <cell r="F1329">
            <v>0</v>
          </cell>
          <cell r="L1329">
            <v>0</v>
          </cell>
          <cell r="M1329">
            <v>0</v>
          </cell>
          <cell r="P1329">
            <v>0</v>
          </cell>
          <cell r="R1329">
            <v>0</v>
          </cell>
          <cell r="S1329">
            <v>0</v>
          </cell>
          <cell r="T1329">
            <v>0</v>
          </cell>
          <cell r="U1329">
            <v>0</v>
          </cell>
        </row>
        <row r="1330">
          <cell r="A1330" t="str">
            <v>OCT 2015</v>
          </cell>
          <cell r="B1330" t="str">
            <v>KUCUE852</v>
          </cell>
          <cell r="D1330" t="str">
            <v>CU</v>
          </cell>
          <cell r="E1330">
            <v>0</v>
          </cell>
          <cell r="F1330">
            <v>0</v>
          </cell>
          <cell r="L1330">
            <v>0</v>
          </cell>
          <cell r="M1330">
            <v>0</v>
          </cell>
          <cell r="P1330">
            <v>0</v>
          </cell>
          <cell r="R1330">
            <v>0</v>
          </cell>
          <cell r="S1330">
            <v>0</v>
          </cell>
          <cell r="T1330">
            <v>0</v>
          </cell>
          <cell r="U1330">
            <v>0</v>
          </cell>
        </row>
        <row r="1331">
          <cell r="A1331" t="str">
            <v>OCT 2015</v>
          </cell>
          <cell r="B1331" t="str">
            <v>KUINE730</v>
          </cell>
          <cell r="D1331" t="str">
            <v>FLS</v>
          </cell>
          <cell r="E1331">
            <v>45507524</v>
          </cell>
          <cell r="F1331">
            <v>750</v>
          </cell>
          <cell r="L1331">
            <v>0</v>
          </cell>
          <cell r="M1331">
            <v>107868</v>
          </cell>
          <cell r="P1331">
            <v>0</v>
          </cell>
          <cell r="R1331">
            <v>2597115</v>
          </cell>
          <cell r="S1331">
            <v>1484001</v>
          </cell>
          <cell r="T1331">
            <v>720199</v>
          </cell>
          <cell r="U1331">
            <v>284297</v>
          </cell>
        </row>
        <row r="1332">
          <cell r="A1332" t="str">
            <v>OCT 2015</v>
          </cell>
          <cell r="B1332" t="str">
            <v>KUMNE902</v>
          </cell>
          <cell r="D1332" t="str">
            <v>WPS</v>
          </cell>
          <cell r="E1332">
            <v>0</v>
          </cell>
          <cell r="F1332">
            <v>0</v>
          </cell>
          <cell r="L1332">
            <v>0</v>
          </cell>
          <cell r="M1332">
            <v>0</v>
          </cell>
          <cell r="P1332">
            <v>0</v>
          </cell>
          <cell r="R1332">
            <v>0</v>
          </cell>
          <cell r="S1332">
            <v>0</v>
          </cell>
          <cell r="T1332">
            <v>0</v>
          </cell>
          <cell r="U1332">
            <v>0</v>
          </cell>
        </row>
        <row r="1333">
          <cell r="A1333" t="str">
            <v>OCT 2015</v>
          </cell>
          <cell r="B1333" t="str">
            <v>KUMNE903</v>
          </cell>
          <cell r="D1333" t="str">
            <v>WPS</v>
          </cell>
          <cell r="E1333">
            <v>0</v>
          </cell>
          <cell r="F1333">
            <v>0</v>
          </cell>
          <cell r="L1333">
            <v>0</v>
          </cell>
          <cell r="M1333">
            <v>0</v>
          </cell>
          <cell r="P1333">
            <v>0</v>
          </cell>
          <cell r="R1333">
            <v>0</v>
          </cell>
          <cell r="S1333">
            <v>0</v>
          </cell>
          <cell r="T1333">
            <v>0</v>
          </cell>
          <cell r="U1333">
            <v>0</v>
          </cell>
        </row>
        <row r="1334">
          <cell r="A1334" t="str">
            <v>OCT 2015</v>
          </cell>
          <cell r="B1334" t="str">
            <v>KUMNE934</v>
          </cell>
          <cell r="D1334" t="str">
            <v>WPS</v>
          </cell>
          <cell r="E1334">
            <v>0</v>
          </cell>
          <cell r="F1334">
            <v>0</v>
          </cell>
          <cell r="L1334">
            <v>0</v>
          </cell>
          <cell r="M1334">
            <v>0</v>
          </cell>
          <cell r="P1334">
            <v>0</v>
          </cell>
          <cell r="R1334">
            <v>0</v>
          </cell>
          <cell r="S1334">
            <v>0</v>
          </cell>
          <cell r="T1334">
            <v>0</v>
          </cell>
          <cell r="U1334">
            <v>0</v>
          </cell>
        </row>
        <row r="1335">
          <cell r="A1335" t="str">
            <v>OCT 2015</v>
          </cell>
          <cell r="B1335" t="str">
            <v>KURSE000</v>
          </cell>
          <cell r="D1335" t="str">
            <v>TS</v>
          </cell>
          <cell r="E1335">
            <v>0</v>
          </cell>
          <cell r="F1335">
            <v>0</v>
          </cell>
          <cell r="L1335">
            <v>0</v>
          </cell>
          <cell r="M1335">
            <v>0</v>
          </cell>
          <cell r="P1335">
            <v>0</v>
          </cell>
          <cell r="R1335">
            <v>0</v>
          </cell>
          <cell r="S1335">
            <v>0</v>
          </cell>
          <cell r="T1335">
            <v>0</v>
          </cell>
          <cell r="U1335">
            <v>0</v>
          </cell>
        </row>
        <row r="1336">
          <cell r="A1336" t="str">
            <v>OCT 2015</v>
          </cell>
          <cell r="B1336" t="str">
            <v>KURSE010</v>
          </cell>
          <cell r="D1336" t="str">
            <v>RS</v>
          </cell>
          <cell r="E1336">
            <v>372875403</v>
          </cell>
          <cell r="F1336">
            <v>4621332</v>
          </cell>
          <cell r="L1336">
            <v>709994</v>
          </cell>
          <cell r="M1336">
            <v>883840</v>
          </cell>
          <cell r="P1336">
            <v>0</v>
          </cell>
          <cell r="R1336">
            <v>37420083</v>
          </cell>
          <cell r="S1336">
            <v>28875472</v>
          </cell>
          <cell r="T1336">
            <v>0</v>
          </cell>
          <cell r="U1336">
            <v>2329447</v>
          </cell>
        </row>
        <row r="1337">
          <cell r="A1337" t="str">
            <v>OCT 2015</v>
          </cell>
          <cell r="B1337" t="str">
            <v>KURSE020</v>
          </cell>
          <cell r="D1337" t="str">
            <v>RS</v>
          </cell>
          <cell r="E1337">
            <v>0</v>
          </cell>
          <cell r="F1337">
            <v>0</v>
          </cell>
          <cell r="L1337">
            <v>0</v>
          </cell>
          <cell r="M1337">
            <v>0</v>
          </cell>
          <cell r="P1337">
            <v>0</v>
          </cell>
          <cell r="R1337">
            <v>0</v>
          </cell>
          <cell r="S1337">
            <v>0</v>
          </cell>
          <cell r="T1337">
            <v>0</v>
          </cell>
          <cell r="U1337">
            <v>0</v>
          </cell>
        </row>
        <row r="1338">
          <cell r="A1338" t="str">
            <v>OCT 2015</v>
          </cell>
          <cell r="B1338" t="str">
            <v>KURSE025</v>
          </cell>
          <cell r="D1338" t="str">
            <v>RS3</v>
          </cell>
          <cell r="E1338">
            <v>0</v>
          </cell>
          <cell r="F1338">
            <v>0</v>
          </cell>
          <cell r="L1338">
            <v>0</v>
          </cell>
          <cell r="M1338">
            <v>0</v>
          </cell>
          <cell r="P1338">
            <v>0</v>
          </cell>
          <cell r="R1338">
            <v>0</v>
          </cell>
          <cell r="S1338">
            <v>0</v>
          </cell>
          <cell r="T1338">
            <v>0</v>
          </cell>
          <cell r="U1338">
            <v>0</v>
          </cell>
        </row>
        <row r="1339">
          <cell r="A1339" t="str">
            <v>OCT 2015</v>
          </cell>
          <cell r="B1339" t="str">
            <v>KURSE040</v>
          </cell>
          <cell r="D1339" t="str">
            <v>RSLEV</v>
          </cell>
          <cell r="E1339">
            <v>0</v>
          </cell>
          <cell r="F1339">
            <v>0</v>
          </cell>
          <cell r="L1339">
            <v>0</v>
          </cell>
          <cell r="M1339">
            <v>0</v>
          </cell>
          <cell r="P1339">
            <v>0</v>
          </cell>
          <cell r="R1339">
            <v>0</v>
          </cell>
          <cell r="S1339">
            <v>0</v>
          </cell>
          <cell r="T1339">
            <v>0</v>
          </cell>
          <cell r="U1339">
            <v>0</v>
          </cell>
        </row>
        <row r="1340">
          <cell r="A1340" t="str">
            <v>OCT 2015</v>
          </cell>
          <cell r="B1340" t="str">
            <v>KURSE080</v>
          </cell>
          <cell r="D1340" t="str">
            <v>RSVFD</v>
          </cell>
          <cell r="E1340">
            <v>0</v>
          </cell>
          <cell r="F1340">
            <v>0</v>
          </cell>
          <cell r="L1340">
            <v>0</v>
          </cell>
          <cell r="M1340">
            <v>0</v>
          </cell>
          <cell r="P1340">
            <v>0</v>
          </cell>
          <cell r="R1340">
            <v>0</v>
          </cell>
          <cell r="S1340">
            <v>0</v>
          </cell>
          <cell r="T1340">
            <v>0</v>
          </cell>
          <cell r="U1340">
            <v>0</v>
          </cell>
        </row>
        <row r="1341">
          <cell r="A1341" t="str">
            <v>OCT 2015</v>
          </cell>
          <cell r="B1341" t="str">
            <v>KURSE715</v>
          </cell>
          <cell r="D1341" t="str">
            <v>RS</v>
          </cell>
          <cell r="E1341">
            <v>0</v>
          </cell>
          <cell r="F1341">
            <v>0</v>
          </cell>
          <cell r="L1341">
            <v>0</v>
          </cell>
          <cell r="M1341">
            <v>0</v>
          </cell>
          <cell r="P1341">
            <v>0</v>
          </cell>
          <cell r="R1341">
            <v>0</v>
          </cell>
          <cell r="S1341">
            <v>0</v>
          </cell>
          <cell r="T1341">
            <v>0</v>
          </cell>
          <cell r="U1341">
            <v>0</v>
          </cell>
        </row>
        <row r="1342">
          <cell r="A1342" t="str">
            <v>OCT 2015</v>
          </cell>
          <cell r="B1342" t="str">
            <v>ODL</v>
          </cell>
          <cell r="E1342">
            <v>10338471</v>
          </cell>
          <cell r="F1342">
            <v>0</v>
          </cell>
          <cell r="L1342">
            <v>0</v>
          </cell>
          <cell r="M1342">
            <v>24506</v>
          </cell>
          <cell r="P1342">
            <v>0</v>
          </cell>
          <cell r="R1342">
            <v>2183179</v>
          </cell>
          <cell r="S1342">
            <v>2094087</v>
          </cell>
          <cell r="T1342">
            <v>0</v>
          </cell>
          <cell r="U1342">
            <v>64587</v>
          </cell>
        </row>
        <row r="1343">
          <cell r="A1343" t="str">
            <v>OCT 2015</v>
          </cell>
          <cell r="B1343" t="str">
            <v>KUUM_360</v>
          </cell>
          <cell r="D1343" t="str">
            <v>LS</v>
          </cell>
          <cell r="S1343">
            <v>0</v>
          </cell>
          <cell r="T1343">
            <v>0</v>
          </cell>
          <cell r="U1343">
            <v>0</v>
          </cell>
        </row>
        <row r="1344">
          <cell r="A1344" t="str">
            <v>OCT 2015</v>
          </cell>
          <cell r="B1344" t="str">
            <v>KUUM_361</v>
          </cell>
          <cell r="D1344" t="str">
            <v>LS</v>
          </cell>
          <cell r="S1344">
            <v>0</v>
          </cell>
          <cell r="T1344">
            <v>0</v>
          </cell>
          <cell r="U1344">
            <v>0</v>
          </cell>
        </row>
        <row r="1345">
          <cell r="A1345" t="str">
            <v>OCT 2015</v>
          </cell>
          <cell r="B1345" t="str">
            <v>KUUM_362</v>
          </cell>
          <cell r="D1345" t="str">
            <v>LS</v>
          </cell>
          <cell r="S1345">
            <v>0</v>
          </cell>
          <cell r="T1345">
            <v>0</v>
          </cell>
          <cell r="U1345">
            <v>0</v>
          </cell>
        </row>
        <row r="1346">
          <cell r="A1346" t="str">
            <v>OCT 2015</v>
          </cell>
          <cell r="B1346" t="str">
            <v>KUUM_363</v>
          </cell>
          <cell r="D1346" t="str">
            <v>LS</v>
          </cell>
          <cell r="S1346">
            <v>0</v>
          </cell>
          <cell r="T1346">
            <v>0</v>
          </cell>
          <cell r="U1346">
            <v>0</v>
          </cell>
        </row>
        <row r="1347">
          <cell r="A1347" t="str">
            <v>OCT 2015</v>
          </cell>
          <cell r="B1347" t="str">
            <v>KUUM_364</v>
          </cell>
          <cell r="D1347" t="str">
            <v>LS</v>
          </cell>
          <cell r="S1347">
            <v>0</v>
          </cell>
          <cell r="T1347">
            <v>0</v>
          </cell>
          <cell r="U1347">
            <v>0</v>
          </cell>
        </row>
        <row r="1348">
          <cell r="A1348" t="str">
            <v>OCT 2015</v>
          </cell>
          <cell r="B1348" t="str">
            <v>KUUM_365</v>
          </cell>
          <cell r="D1348" t="str">
            <v>LS</v>
          </cell>
          <cell r="S1348">
            <v>0</v>
          </cell>
          <cell r="T1348">
            <v>0</v>
          </cell>
          <cell r="U1348">
            <v>0</v>
          </cell>
        </row>
        <row r="1349">
          <cell r="A1349" t="str">
            <v>OCT 2015</v>
          </cell>
          <cell r="B1349" t="str">
            <v>KUUM_366</v>
          </cell>
          <cell r="D1349" t="str">
            <v>LS</v>
          </cell>
          <cell r="S1349">
            <v>0</v>
          </cell>
          <cell r="T1349">
            <v>0</v>
          </cell>
          <cell r="U1349">
            <v>0</v>
          </cell>
        </row>
        <row r="1350">
          <cell r="A1350" t="str">
            <v>OCT 2015</v>
          </cell>
          <cell r="B1350" t="str">
            <v>KUUM_367</v>
          </cell>
          <cell r="D1350" t="str">
            <v>LS</v>
          </cell>
          <cell r="S1350">
            <v>0</v>
          </cell>
          <cell r="T1350">
            <v>0</v>
          </cell>
          <cell r="U1350">
            <v>0</v>
          </cell>
        </row>
        <row r="1351">
          <cell r="A1351" t="str">
            <v>OCT 2015</v>
          </cell>
          <cell r="B1351" t="str">
            <v>KUUM_368</v>
          </cell>
          <cell r="D1351" t="str">
            <v>LS</v>
          </cell>
          <cell r="S1351">
            <v>0</v>
          </cell>
          <cell r="T1351">
            <v>0</v>
          </cell>
          <cell r="U1351">
            <v>0</v>
          </cell>
        </row>
        <row r="1352">
          <cell r="A1352" t="str">
            <v>OCT 2015</v>
          </cell>
          <cell r="B1352" t="str">
            <v>KUUM_370</v>
          </cell>
          <cell r="D1352" t="str">
            <v>LS</v>
          </cell>
          <cell r="S1352">
            <v>0</v>
          </cell>
          <cell r="T1352">
            <v>0</v>
          </cell>
          <cell r="U1352">
            <v>0</v>
          </cell>
        </row>
        <row r="1353">
          <cell r="A1353" t="str">
            <v>OCT 2015</v>
          </cell>
          <cell r="B1353" t="str">
            <v>KUUM_372</v>
          </cell>
          <cell r="D1353" t="str">
            <v>LS</v>
          </cell>
          <cell r="S1353">
            <v>0</v>
          </cell>
          <cell r="T1353">
            <v>0</v>
          </cell>
          <cell r="U1353">
            <v>0</v>
          </cell>
        </row>
        <row r="1354">
          <cell r="A1354" t="str">
            <v>OCT 2015</v>
          </cell>
          <cell r="B1354" t="str">
            <v>KUUM_373</v>
          </cell>
          <cell r="D1354" t="str">
            <v>LS</v>
          </cell>
          <cell r="S1354">
            <v>0</v>
          </cell>
          <cell r="T1354">
            <v>0</v>
          </cell>
          <cell r="U1354">
            <v>0</v>
          </cell>
        </row>
        <row r="1355">
          <cell r="A1355" t="str">
            <v>OCT 2015</v>
          </cell>
          <cell r="B1355" t="str">
            <v>KUUM_374</v>
          </cell>
          <cell r="D1355" t="str">
            <v>LS</v>
          </cell>
          <cell r="S1355">
            <v>0</v>
          </cell>
          <cell r="T1355">
            <v>0</v>
          </cell>
          <cell r="U1355">
            <v>0</v>
          </cell>
        </row>
        <row r="1356">
          <cell r="A1356" t="str">
            <v>OCT 2015</v>
          </cell>
          <cell r="B1356" t="str">
            <v>KUUM_375</v>
          </cell>
          <cell r="D1356" t="str">
            <v>LS</v>
          </cell>
          <cell r="S1356">
            <v>0</v>
          </cell>
          <cell r="T1356">
            <v>0</v>
          </cell>
          <cell r="U1356">
            <v>0</v>
          </cell>
        </row>
        <row r="1357">
          <cell r="A1357" t="str">
            <v>OCT 2015</v>
          </cell>
          <cell r="B1357" t="str">
            <v>KUUM_376</v>
          </cell>
          <cell r="D1357" t="str">
            <v>LS</v>
          </cell>
          <cell r="S1357">
            <v>0</v>
          </cell>
          <cell r="T1357">
            <v>0</v>
          </cell>
          <cell r="U1357">
            <v>0</v>
          </cell>
        </row>
        <row r="1358">
          <cell r="A1358" t="str">
            <v>OCT 2015</v>
          </cell>
          <cell r="B1358" t="str">
            <v>KUUM_377</v>
          </cell>
          <cell r="D1358" t="str">
            <v>LS</v>
          </cell>
          <cell r="S1358">
            <v>0</v>
          </cell>
          <cell r="T1358">
            <v>0</v>
          </cell>
          <cell r="U1358">
            <v>0</v>
          </cell>
        </row>
        <row r="1359">
          <cell r="A1359" t="str">
            <v>OCT 2015</v>
          </cell>
          <cell r="B1359" t="str">
            <v>KUUM_378</v>
          </cell>
          <cell r="D1359" t="str">
            <v>LS</v>
          </cell>
          <cell r="S1359">
            <v>0</v>
          </cell>
          <cell r="T1359">
            <v>0</v>
          </cell>
          <cell r="U1359">
            <v>0</v>
          </cell>
        </row>
        <row r="1360">
          <cell r="A1360" t="str">
            <v>OCT 2015</v>
          </cell>
          <cell r="B1360" t="str">
            <v>KUUM_401</v>
          </cell>
          <cell r="D1360" t="str">
            <v>LS</v>
          </cell>
          <cell r="S1360">
            <v>0</v>
          </cell>
          <cell r="T1360">
            <v>0</v>
          </cell>
          <cell r="U1360">
            <v>0</v>
          </cell>
        </row>
        <row r="1361">
          <cell r="A1361" t="str">
            <v>OCT 2015</v>
          </cell>
          <cell r="B1361" t="str">
            <v>KUUM_404</v>
          </cell>
          <cell r="D1361" t="str">
            <v>RLS</v>
          </cell>
          <cell r="S1361">
            <v>0</v>
          </cell>
          <cell r="T1361">
            <v>0</v>
          </cell>
          <cell r="U1361">
            <v>0</v>
          </cell>
        </row>
        <row r="1362">
          <cell r="A1362" t="str">
            <v>OCT 2015</v>
          </cell>
          <cell r="B1362" t="str">
            <v>KUUM_405</v>
          </cell>
          <cell r="D1362" t="str">
            <v>LS</v>
          </cell>
          <cell r="S1362">
            <v>0</v>
          </cell>
          <cell r="T1362">
            <v>0</v>
          </cell>
          <cell r="U1362">
            <v>0</v>
          </cell>
        </row>
        <row r="1363">
          <cell r="A1363" t="str">
            <v>OCT 2015</v>
          </cell>
          <cell r="B1363" t="str">
            <v>KUUM_409</v>
          </cell>
          <cell r="D1363" t="str">
            <v>RLS</v>
          </cell>
          <cell r="S1363">
            <v>0</v>
          </cell>
          <cell r="T1363">
            <v>0</v>
          </cell>
          <cell r="U1363">
            <v>0</v>
          </cell>
        </row>
        <row r="1364">
          <cell r="A1364" t="str">
            <v>OCT 2015</v>
          </cell>
          <cell r="B1364" t="str">
            <v>KUUM_410</v>
          </cell>
          <cell r="D1364" t="str">
            <v>RLS</v>
          </cell>
          <cell r="S1364">
            <v>0</v>
          </cell>
          <cell r="T1364">
            <v>0</v>
          </cell>
          <cell r="U1364">
            <v>0</v>
          </cell>
        </row>
        <row r="1365">
          <cell r="A1365" t="str">
            <v>OCT 2015</v>
          </cell>
          <cell r="B1365" t="str">
            <v>KUUM_411</v>
          </cell>
          <cell r="D1365" t="str">
            <v>LS</v>
          </cell>
          <cell r="S1365">
            <v>0</v>
          </cell>
          <cell r="T1365">
            <v>0</v>
          </cell>
          <cell r="U1365">
            <v>0</v>
          </cell>
        </row>
        <row r="1366">
          <cell r="A1366" t="str">
            <v>OCT 2015</v>
          </cell>
          <cell r="B1366" t="str">
            <v>KUUM_412</v>
          </cell>
          <cell r="D1366" t="str">
            <v>RLS</v>
          </cell>
          <cell r="S1366">
            <v>0</v>
          </cell>
          <cell r="T1366">
            <v>0</v>
          </cell>
          <cell r="U1366">
            <v>0</v>
          </cell>
        </row>
        <row r="1367">
          <cell r="A1367" t="str">
            <v>OCT 2015</v>
          </cell>
          <cell r="B1367" t="str">
            <v>KUUM_413</v>
          </cell>
          <cell r="D1367" t="str">
            <v>RLS</v>
          </cell>
          <cell r="S1367">
            <v>0</v>
          </cell>
          <cell r="T1367">
            <v>0</v>
          </cell>
          <cell r="U1367">
            <v>0</v>
          </cell>
        </row>
        <row r="1368">
          <cell r="A1368" t="str">
            <v>OCT 2015</v>
          </cell>
          <cell r="B1368" t="str">
            <v>KUUM_414</v>
          </cell>
          <cell r="D1368" t="str">
            <v>LS</v>
          </cell>
          <cell r="S1368">
            <v>0</v>
          </cell>
          <cell r="T1368">
            <v>0</v>
          </cell>
          <cell r="U1368">
            <v>0</v>
          </cell>
        </row>
        <row r="1369">
          <cell r="A1369" t="str">
            <v>OCT 2015</v>
          </cell>
          <cell r="B1369" t="str">
            <v>KUUM_415</v>
          </cell>
          <cell r="D1369" t="str">
            <v>LS</v>
          </cell>
          <cell r="S1369">
            <v>0</v>
          </cell>
          <cell r="T1369">
            <v>0</v>
          </cell>
          <cell r="U1369">
            <v>0</v>
          </cell>
        </row>
        <row r="1370">
          <cell r="A1370" t="str">
            <v>OCT 2015</v>
          </cell>
          <cell r="B1370" t="str">
            <v>KUUM_420</v>
          </cell>
          <cell r="D1370" t="str">
            <v>LS</v>
          </cell>
          <cell r="S1370">
            <v>0</v>
          </cell>
          <cell r="T1370">
            <v>0</v>
          </cell>
          <cell r="U1370">
            <v>0</v>
          </cell>
        </row>
        <row r="1371">
          <cell r="A1371" t="str">
            <v>OCT 2015</v>
          </cell>
          <cell r="B1371" t="str">
            <v>KUUM_421</v>
          </cell>
          <cell r="D1371" t="str">
            <v>RLS</v>
          </cell>
          <cell r="S1371">
            <v>0</v>
          </cell>
          <cell r="T1371">
            <v>0</v>
          </cell>
          <cell r="U1371">
            <v>0</v>
          </cell>
        </row>
        <row r="1372">
          <cell r="A1372" t="str">
            <v>OCT 2015</v>
          </cell>
          <cell r="B1372" t="str">
            <v>KUUM_422</v>
          </cell>
          <cell r="D1372" t="str">
            <v>RLS</v>
          </cell>
          <cell r="S1372">
            <v>0</v>
          </cell>
          <cell r="T1372">
            <v>0</v>
          </cell>
          <cell r="U1372">
            <v>0</v>
          </cell>
        </row>
        <row r="1373">
          <cell r="A1373" t="str">
            <v>OCT 2015</v>
          </cell>
          <cell r="B1373" t="str">
            <v>KUUM_424</v>
          </cell>
          <cell r="D1373" t="str">
            <v>RLS</v>
          </cell>
          <cell r="S1373">
            <v>0</v>
          </cell>
          <cell r="T1373">
            <v>0</v>
          </cell>
          <cell r="U1373">
            <v>0</v>
          </cell>
        </row>
        <row r="1374">
          <cell r="A1374" t="str">
            <v>OCT 2015</v>
          </cell>
          <cell r="B1374" t="str">
            <v>KUUM_425</v>
          </cell>
          <cell r="D1374" t="str">
            <v>RLS</v>
          </cell>
          <cell r="S1374">
            <v>0</v>
          </cell>
          <cell r="T1374">
            <v>0</v>
          </cell>
          <cell r="U1374">
            <v>0</v>
          </cell>
        </row>
        <row r="1375">
          <cell r="A1375" t="str">
            <v>OCT 2015</v>
          </cell>
          <cell r="B1375" t="str">
            <v>KUUM_426</v>
          </cell>
          <cell r="D1375" t="str">
            <v>RLS</v>
          </cell>
          <cell r="S1375">
            <v>0</v>
          </cell>
          <cell r="T1375">
            <v>0</v>
          </cell>
          <cell r="U1375">
            <v>0</v>
          </cell>
        </row>
        <row r="1376">
          <cell r="A1376" t="str">
            <v>OCT 2015</v>
          </cell>
          <cell r="B1376" t="str">
            <v>KUUM_428</v>
          </cell>
          <cell r="D1376" t="str">
            <v>LS</v>
          </cell>
          <cell r="S1376">
            <v>0</v>
          </cell>
          <cell r="T1376">
            <v>0</v>
          </cell>
          <cell r="U1376">
            <v>0</v>
          </cell>
        </row>
        <row r="1377">
          <cell r="A1377" t="str">
            <v>OCT 2015</v>
          </cell>
          <cell r="B1377" t="str">
            <v>KUUM_430</v>
          </cell>
          <cell r="D1377" t="str">
            <v>LS</v>
          </cell>
          <cell r="S1377">
            <v>0</v>
          </cell>
          <cell r="T1377">
            <v>0</v>
          </cell>
          <cell r="U1377">
            <v>0</v>
          </cell>
        </row>
        <row r="1378">
          <cell r="A1378" t="str">
            <v>OCT 2015</v>
          </cell>
          <cell r="B1378" t="str">
            <v>KUUM_434</v>
          </cell>
          <cell r="D1378" t="str">
            <v>RLS</v>
          </cell>
          <cell r="S1378">
            <v>0</v>
          </cell>
          <cell r="T1378">
            <v>0</v>
          </cell>
          <cell r="U1378">
            <v>0</v>
          </cell>
        </row>
        <row r="1379">
          <cell r="A1379" t="str">
            <v>OCT 2015</v>
          </cell>
          <cell r="B1379" t="str">
            <v>KUUM_440</v>
          </cell>
          <cell r="D1379" t="str">
            <v>RLS</v>
          </cell>
          <cell r="S1379">
            <v>0</v>
          </cell>
          <cell r="T1379">
            <v>0</v>
          </cell>
          <cell r="U1379">
            <v>0</v>
          </cell>
        </row>
        <row r="1380">
          <cell r="A1380" t="str">
            <v>OCT 2015</v>
          </cell>
          <cell r="B1380" t="str">
            <v>KUUM_446</v>
          </cell>
          <cell r="D1380" t="str">
            <v>RLS</v>
          </cell>
          <cell r="S1380">
            <v>0</v>
          </cell>
          <cell r="T1380">
            <v>0</v>
          </cell>
          <cell r="U1380">
            <v>0</v>
          </cell>
        </row>
        <row r="1381">
          <cell r="A1381" t="str">
            <v>OCT 2015</v>
          </cell>
          <cell r="B1381" t="str">
            <v>KUUM_447</v>
          </cell>
          <cell r="D1381" t="str">
            <v>RLS</v>
          </cell>
          <cell r="S1381">
            <v>0</v>
          </cell>
          <cell r="T1381">
            <v>0</v>
          </cell>
          <cell r="U1381">
            <v>0</v>
          </cell>
        </row>
        <row r="1382">
          <cell r="A1382" t="str">
            <v>OCT 2015</v>
          </cell>
          <cell r="B1382" t="str">
            <v>KUUM_448</v>
          </cell>
          <cell r="D1382" t="str">
            <v>RLS</v>
          </cell>
          <cell r="S1382">
            <v>0</v>
          </cell>
          <cell r="T1382">
            <v>0</v>
          </cell>
          <cell r="U1382">
            <v>0</v>
          </cell>
        </row>
        <row r="1383">
          <cell r="A1383" t="str">
            <v>OCT 2015</v>
          </cell>
          <cell r="B1383" t="str">
            <v>KUUM_450</v>
          </cell>
          <cell r="D1383" t="str">
            <v>LS</v>
          </cell>
          <cell r="S1383">
            <v>0</v>
          </cell>
          <cell r="T1383">
            <v>0</v>
          </cell>
          <cell r="U1383">
            <v>0</v>
          </cell>
        </row>
        <row r="1384">
          <cell r="A1384" t="str">
            <v>OCT 2015</v>
          </cell>
          <cell r="B1384" t="str">
            <v>KUUM_451</v>
          </cell>
          <cell r="D1384" t="str">
            <v>LS</v>
          </cell>
          <cell r="S1384">
            <v>0</v>
          </cell>
          <cell r="T1384">
            <v>0</v>
          </cell>
          <cell r="U1384">
            <v>0</v>
          </cell>
        </row>
        <row r="1385">
          <cell r="A1385" t="str">
            <v>OCT 2015</v>
          </cell>
          <cell r="B1385" t="str">
            <v>KUUM_452</v>
          </cell>
          <cell r="D1385" t="str">
            <v>LS</v>
          </cell>
          <cell r="S1385">
            <v>0</v>
          </cell>
          <cell r="T1385">
            <v>0</v>
          </cell>
          <cell r="U1385">
            <v>0</v>
          </cell>
        </row>
        <row r="1386">
          <cell r="A1386" t="str">
            <v>OCT 2015</v>
          </cell>
          <cell r="B1386" t="str">
            <v>KUUM_454</v>
          </cell>
          <cell r="D1386" t="str">
            <v>RLS</v>
          </cell>
          <cell r="S1386">
            <v>0</v>
          </cell>
          <cell r="T1386">
            <v>0</v>
          </cell>
          <cell r="U1386">
            <v>0</v>
          </cell>
        </row>
        <row r="1387">
          <cell r="A1387" t="str">
            <v>OCT 2015</v>
          </cell>
          <cell r="B1387" t="str">
            <v>KUUM_455</v>
          </cell>
          <cell r="D1387" t="str">
            <v>RLS</v>
          </cell>
          <cell r="S1387">
            <v>0</v>
          </cell>
          <cell r="T1387">
            <v>0</v>
          </cell>
          <cell r="U1387">
            <v>0</v>
          </cell>
        </row>
        <row r="1388">
          <cell r="A1388" t="str">
            <v>OCT 2015</v>
          </cell>
          <cell r="B1388" t="str">
            <v>KUUM_456</v>
          </cell>
          <cell r="D1388" t="str">
            <v>RLS</v>
          </cell>
          <cell r="S1388">
            <v>0</v>
          </cell>
          <cell r="T1388">
            <v>0</v>
          </cell>
          <cell r="U1388">
            <v>0</v>
          </cell>
        </row>
        <row r="1389">
          <cell r="A1389" t="str">
            <v>OCT 2015</v>
          </cell>
          <cell r="B1389" t="str">
            <v>KUUM_457</v>
          </cell>
          <cell r="D1389" t="str">
            <v>RLS</v>
          </cell>
          <cell r="S1389">
            <v>0</v>
          </cell>
          <cell r="T1389">
            <v>0</v>
          </cell>
          <cell r="U1389">
            <v>0</v>
          </cell>
        </row>
        <row r="1390">
          <cell r="A1390" t="str">
            <v>OCT 2015</v>
          </cell>
          <cell r="B1390" t="str">
            <v>KUUM_458</v>
          </cell>
          <cell r="D1390" t="str">
            <v>RLS</v>
          </cell>
          <cell r="S1390">
            <v>0</v>
          </cell>
          <cell r="T1390">
            <v>0</v>
          </cell>
          <cell r="U1390">
            <v>0</v>
          </cell>
        </row>
        <row r="1391">
          <cell r="A1391" t="str">
            <v>OCT 2015</v>
          </cell>
          <cell r="B1391" t="str">
            <v>KUUM_459</v>
          </cell>
          <cell r="D1391" t="str">
            <v>RLS</v>
          </cell>
          <cell r="S1391">
            <v>0</v>
          </cell>
          <cell r="T1391">
            <v>0</v>
          </cell>
          <cell r="U1391">
            <v>0</v>
          </cell>
        </row>
        <row r="1392">
          <cell r="A1392" t="str">
            <v>OCT 2015</v>
          </cell>
          <cell r="B1392" t="str">
            <v>KUUM_460</v>
          </cell>
          <cell r="D1392" t="str">
            <v>RLS</v>
          </cell>
          <cell r="S1392">
            <v>0</v>
          </cell>
          <cell r="T1392">
            <v>0</v>
          </cell>
          <cell r="U1392">
            <v>0</v>
          </cell>
        </row>
        <row r="1393">
          <cell r="A1393" t="str">
            <v>OCT 2015</v>
          </cell>
          <cell r="B1393" t="str">
            <v>KUUM_461</v>
          </cell>
          <cell r="D1393" t="str">
            <v>RLS</v>
          </cell>
          <cell r="S1393">
            <v>0</v>
          </cell>
          <cell r="T1393">
            <v>0</v>
          </cell>
          <cell r="U1393">
            <v>0</v>
          </cell>
        </row>
        <row r="1394">
          <cell r="A1394" t="str">
            <v>OCT 2015</v>
          </cell>
          <cell r="B1394" t="str">
            <v>KUUM_462</v>
          </cell>
          <cell r="D1394" t="str">
            <v>LS</v>
          </cell>
          <cell r="S1394">
            <v>0</v>
          </cell>
          <cell r="T1394">
            <v>0</v>
          </cell>
          <cell r="U1394">
            <v>0</v>
          </cell>
        </row>
        <row r="1395">
          <cell r="A1395" t="str">
            <v>OCT 2015</v>
          </cell>
          <cell r="B1395" t="str">
            <v>KUUM_463</v>
          </cell>
          <cell r="D1395" t="str">
            <v>LS</v>
          </cell>
          <cell r="S1395">
            <v>0</v>
          </cell>
          <cell r="T1395">
            <v>0</v>
          </cell>
          <cell r="U1395">
            <v>0</v>
          </cell>
        </row>
        <row r="1396">
          <cell r="A1396" t="str">
            <v>OCT 2015</v>
          </cell>
          <cell r="B1396" t="str">
            <v>KUUM_464</v>
          </cell>
          <cell r="D1396" t="str">
            <v>LS</v>
          </cell>
          <cell r="S1396">
            <v>0</v>
          </cell>
          <cell r="T1396">
            <v>0</v>
          </cell>
          <cell r="U1396">
            <v>0</v>
          </cell>
        </row>
        <row r="1397">
          <cell r="A1397" t="str">
            <v>OCT 2015</v>
          </cell>
          <cell r="B1397" t="str">
            <v>KUUM_465</v>
          </cell>
          <cell r="D1397" t="str">
            <v>LS</v>
          </cell>
          <cell r="S1397">
            <v>0</v>
          </cell>
          <cell r="T1397">
            <v>0</v>
          </cell>
          <cell r="U1397">
            <v>0</v>
          </cell>
        </row>
        <row r="1398">
          <cell r="A1398" t="str">
            <v>OCT 2015</v>
          </cell>
          <cell r="B1398" t="str">
            <v>KUUM_465CU</v>
          </cell>
          <cell r="D1398" t="str">
            <v>LS</v>
          </cell>
          <cell r="S1398">
            <v>0</v>
          </cell>
          <cell r="T1398">
            <v>0</v>
          </cell>
          <cell r="U1398">
            <v>0</v>
          </cell>
        </row>
        <row r="1399">
          <cell r="A1399" t="str">
            <v>OCT 2015</v>
          </cell>
          <cell r="B1399" t="str">
            <v>KUUM_466</v>
          </cell>
          <cell r="D1399" t="str">
            <v>RLS</v>
          </cell>
          <cell r="S1399">
            <v>0</v>
          </cell>
          <cell r="T1399">
            <v>0</v>
          </cell>
          <cell r="U1399">
            <v>0</v>
          </cell>
        </row>
        <row r="1400">
          <cell r="A1400" t="str">
            <v>OCT 2015</v>
          </cell>
          <cell r="B1400" t="str">
            <v>KUUM_467</v>
          </cell>
          <cell r="D1400" t="str">
            <v>LS</v>
          </cell>
          <cell r="S1400">
            <v>0</v>
          </cell>
          <cell r="T1400">
            <v>0</v>
          </cell>
          <cell r="U1400">
            <v>0</v>
          </cell>
        </row>
        <row r="1401">
          <cell r="A1401" t="str">
            <v>OCT 2015</v>
          </cell>
          <cell r="B1401" t="str">
            <v>KUUM_468</v>
          </cell>
          <cell r="D1401" t="str">
            <v>LS</v>
          </cell>
          <cell r="S1401">
            <v>0</v>
          </cell>
          <cell r="T1401">
            <v>0</v>
          </cell>
          <cell r="U1401">
            <v>0</v>
          </cell>
        </row>
        <row r="1402">
          <cell r="A1402" t="str">
            <v>OCT 2015</v>
          </cell>
          <cell r="B1402" t="str">
            <v>KUUM_469</v>
          </cell>
          <cell r="D1402" t="str">
            <v>RLS</v>
          </cell>
          <cell r="S1402">
            <v>0</v>
          </cell>
          <cell r="T1402">
            <v>0</v>
          </cell>
          <cell r="U1402">
            <v>0</v>
          </cell>
        </row>
        <row r="1403">
          <cell r="A1403" t="str">
            <v>OCT 2015</v>
          </cell>
          <cell r="B1403" t="str">
            <v>KUUM_470</v>
          </cell>
          <cell r="D1403" t="str">
            <v>RLS</v>
          </cell>
          <cell r="S1403">
            <v>0</v>
          </cell>
          <cell r="T1403">
            <v>0</v>
          </cell>
          <cell r="U1403">
            <v>0</v>
          </cell>
        </row>
        <row r="1404">
          <cell r="A1404" t="str">
            <v>OCT 2015</v>
          </cell>
          <cell r="B1404" t="str">
            <v>KUUM_471</v>
          </cell>
          <cell r="D1404" t="str">
            <v>RLS</v>
          </cell>
          <cell r="S1404">
            <v>0</v>
          </cell>
          <cell r="T1404">
            <v>0</v>
          </cell>
          <cell r="U1404">
            <v>0</v>
          </cell>
        </row>
        <row r="1405">
          <cell r="A1405" t="str">
            <v>OCT 2015</v>
          </cell>
          <cell r="B1405" t="str">
            <v>KUUM_472</v>
          </cell>
          <cell r="D1405" t="str">
            <v>LS</v>
          </cell>
          <cell r="S1405">
            <v>0</v>
          </cell>
          <cell r="T1405">
            <v>0</v>
          </cell>
          <cell r="U1405">
            <v>0</v>
          </cell>
        </row>
        <row r="1406">
          <cell r="A1406" t="str">
            <v>OCT 2015</v>
          </cell>
          <cell r="B1406" t="str">
            <v>KUUM_473</v>
          </cell>
          <cell r="D1406" t="str">
            <v>LS</v>
          </cell>
          <cell r="S1406">
            <v>0</v>
          </cell>
          <cell r="T1406">
            <v>0</v>
          </cell>
          <cell r="U1406">
            <v>0</v>
          </cell>
        </row>
        <row r="1407">
          <cell r="A1407" t="str">
            <v>OCT 2015</v>
          </cell>
          <cell r="B1407" t="str">
            <v>KUUM_474</v>
          </cell>
          <cell r="D1407" t="str">
            <v>LS</v>
          </cell>
          <cell r="S1407">
            <v>0</v>
          </cell>
          <cell r="T1407">
            <v>0</v>
          </cell>
          <cell r="U1407">
            <v>0</v>
          </cell>
        </row>
        <row r="1408">
          <cell r="A1408" t="str">
            <v>OCT 2015</v>
          </cell>
          <cell r="B1408" t="str">
            <v>KUUM_475</v>
          </cell>
          <cell r="D1408" t="str">
            <v>LS</v>
          </cell>
          <cell r="S1408">
            <v>0</v>
          </cell>
          <cell r="T1408">
            <v>0</v>
          </cell>
          <cell r="U1408">
            <v>0</v>
          </cell>
        </row>
        <row r="1409">
          <cell r="A1409" t="str">
            <v>OCT 2015</v>
          </cell>
          <cell r="B1409" t="str">
            <v>KUUM_476</v>
          </cell>
          <cell r="D1409" t="str">
            <v>LS</v>
          </cell>
          <cell r="S1409">
            <v>0</v>
          </cell>
          <cell r="T1409">
            <v>0</v>
          </cell>
          <cell r="U1409">
            <v>0</v>
          </cell>
        </row>
        <row r="1410">
          <cell r="A1410" t="str">
            <v>OCT 2015</v>
          </cell>
          <cell r="B1410" t="str">
            <v>KUUM_477</v>
          </cell>
          <cell r="D1410" t="str">
            <v>LS</v>
          </cell>
          <cell r="S1410">
            <v>0</v>
          </cell>
          <cell r="T1410">
            <v>0</v>
          </cell>
          <cell r="U1410">
            <v>0</v>
          </cell>
        </row>
        <row r="1411">
          <cell r="A1411" t="str">
            <v>OCT 2015</v>
          </cell>
          <cell r="B1411" t="str">
            <v>KUUM_478</v>
          </cell>
          <cell r="D1411" t="str">
            <v>LS</v>
          </cell>
          <cell r="S1411">
            <v>0</v>
          </cell>
          <cell r="T1411">
            <v>0</v>
          </cell>
          <cell r="U1411">
            <v>0</v>
          </cell>
        </row>
        <row r="1412">
          <cell r="A1412" t="str">
            <v>OCT 2015</v>
          </cell>
          <cell r="B1412" t="str">
            <v>KUUM_479</v>
          </cell>
          <cell r="D1412" t="str">
            <v>LS</v>
          </cell>
          <cell r="S1412">
            <v>0</v>
          </cell>
          <cell r="T1412">
            <v>0</v>
          </cell>
          <cell r="U1412">
            <v>0</v>
          </cell>
        </row>
        <row r="1413">
          <cell r="A1413" t="str">
            <v>OCT 2015</v>
          </cell>
          <cell r="B1413" t="str">
            <v>KUUM_487</v>
          </cell>
          <cell r="D1413" t="str">
            <v>LS</v>
          </cell>
          <cell r="S1413">
            <v>0</v>
          </cell>
          <cell r="T1413">
            <v>0</v>
          </cell>
          <cell r="U1413">
            <v>0</v>
          </cell>
        </row>
        <row r="1414">
          <cell r="A1414" t="str">
            <v>OCT 2015</v>
          </cell>
          <cell r="B1414" t="str">
            <v>KUUM_488</v>
          </cell>
          <cell r="D1414" t="str">
            <v>LS</v>
          </cell>
          <cell r="S1414">
            <v>0</v>
          </cell>
          <cell r="T1414">
            <v>0</v>
          </cell>
          <cell r="U1414">
            <v>0</v>
          </cell>
        </row>
        <row r="1415">
          <cell r="A1415" t="str">
            <v>OCT 2015</v>
          </cell>
          <cell r="B1415" t="str">
            <v>KUUM_489</v>
          </cell>
          <cell r="D1415" t="str">
            <v>LS</v>
          </cell>
          <cell r="S1415">
            <v>0</v>
          </cell>
          <cell r="T1415">
            <v>0</v>
          </cell>
          <cell r="U1415">
            <v>0</v>
          </cell>
        </row>
        <row r="1416">
          <cell r="A1416" t="str">
            <v>OCT 2015</v>
          </cell>
          <cell r="B1416" t="str">
            <v>KUUM_490</v>
          </cell>
          <cell r="D1416" t="str">
            <v>LS</v>
          </cell>
          <cell r="S1416">
            <v>0</v>
          </cell>
          <cell r="T1416">
            <v>0</v>
          </cell>
          <cell r="U1416">
            <v>0</v>
          </cell>
        </row>
        <row r="1417">
          <cell r="A1417" t="str">
            <v>OCT 2015</v>
          </cell>
          <cell r="B1417" t="str">
            <v>KUUM_491</v>
          </cell>
          <cell r="D1417" t="str">
            <v>LS</v>
          </cell>
          <cell r="S1417">
            <v>0</v>
          </cell>
          <cell r="T1417">
            <v>0</v>
          </cell>
          <cell r="U1417">
            <v>0</v>
          </cell>
        </row>
        <row r="1418">
          <cell r="A1418" t="str">
            <v>OCT 2015</v>
          </cell>
          <cell r="B1418" t="str">
            <v>KUUM_492</v>
          </cell>
          <cell r="D1418" t="str">
            <v>LS</v>
          </cell>
          <cell r="S1418">
            <v>0</v>
          </cell>
          <cell r="T1418">
            <v>0</v>
          </cell>
          <cell r="U1418">
            <v>0</v>
          </cell>
        </row>
        <row r="1419">
          <cell r="A1419" t="str">
            <v>OCT 2015</v>
          </cell>
          <cell r="B1419" t="str">
            <v>KUUM_493</v>
          </cell>
          <cell r="D1419" t="str">
            <v>LS</v>
          </cell>
          <cell r="S1419">
            <v>0</v>
          </cell>
          <cell r="T1419">
            <v>0</v>
          </cell>
          <cell r="U1419">
            <v>0</v>
          </cell>
        </row>
        <row r="1420">
          <cell r="A1420" t="str">
            <v>OCT 2015</v>
          </cell>
          <cell r="B1420" t="str">
            <v>KUUM_494</v>
          </cell>
          <cell r="D1420" t="str">
            <v>LS</v>
          </cell>
          <cell r="S1420">
            <v>0</v>
          </cell>
          <cell r="T1420">
            <v>0</v>
          </cell>
          <cell r="U1420">
            <v>0</v>
          </cell>
        </row>
        <row r="1421">
          <cell r="A1421" t="str">
            <v>OCT 2015</v>
          </cell>
          <cell r="B1421" t="str">
            <v>KUUM_495</v>
          </cell>
          <cell r="D1421" t="str">
            <v>LS</v>
          </cell>
          <cell r="S1421">
            <v>0</v>
          </cell>
          <cell r="T1421">
            <v>0</v>
          </cell>
          <cell r="U1421">
            <v>0</v>
          </cell>
        </row>
        <row r="1422">
          <cell r="A1422" t="str">
            <v>OCT 2015</v>
          </cell>
          <cell r="B1422" t="str">
            <v>KUUM_496</v>
          </cell>
          <cell r="D1422" t="str">
            <v>LS</v>
          </cell>
          <cell r="S1422">
            <v>0</v>
          </cell>
          <cell r="T1422">
            <v>0</v>
          </cell>
          <cell r="U1422">
            <v>0</v>
          </cell>
        </row>
        <row r="1423">
          <cell r="A1423" t="str">
            <v>OCT 2015</v>
          </cell>
          <cell r="B1423" t="str">
            <v>KUUM_497</v>
          </cell>
          <cell r="D1423" t="str">
            <v>LS</v>
          </cell>
          <cell r="S1423">
            <v>0</v>
          </cell>
          <cell r="T1423">
            <v>0</v>
          </cell>
          <cell r="U1423">
            <v>0</v>
          </cell>
        </row>
        <row r="1424">
          <cell r="A1424" t="str">
            <v>OCT 2015</v>
          </cell>
          <cell r="B1424" t="str">
            <v>KUUM_498</v>
          </cell>
          <cell r="D1424" t="str">
            <v>LS</v>
          </cell>
          <cell r="S1424">
            <v>0</v>
          </cell>
          <cell r="T1424">
            <v>0</v>
          </cell>
          <cell r="U1424">
            <v>0</v>
          </cell>
        </row>
        <row r="1425">
          <cell r="A1425" t="str">
            <v>OCT 2015</v>
          </cell>
          <cell r="B1425" t="str">
            <v>KUUM_499</v>
          </cell>
          <cell r="D1425" t="str">
            <v>LS</v>
          </cell>
          <cell r="S1425">
            <v>0</v>
          </cell>
          <cell r="T1425">
            <v>0</v>
          </cell>
          <cell r="U1425">
            <v>0</v>
          </cell>
        </row>
        <row r="1426">
          <cell r="A1426" t="str">
            <v>OCT 2015</v>
          </cell>
          <cell r="B1426" t="str">
            <v>KUUM_820</v>
          </cell>
          <cell r="D1426" t="str">
            <v>ODL</v>
          </cell>
          <cell r="S1426">
            <v>0</v>
          </cell>
          <cell r="T1426">
            <v>0</v>
          </cell>
          <cell r="U1426">
            <v>0</v>
          </cell>
        </row>
        <row r="1427">
          <cell r="A1427" t="str">
            <v>OCT 2015</v>
          </cell>
          <cell r="B1427" t="str">
            <v>KUUM_825</v>
          </cell>
          <cell r="D1427" t="str">
            <v>EF</v>
          </cell>
          <cell r="S1427">
            <v>0</v>
          </cell>
          <cell r="T1427">
            <v>0</v>
          </cell>
          <cell r="U1427">
            <v>0</v>
          </cell>
        </row>
        <row r="1428">
          <cell r="A1428" t="str">
            <v>OCT 2015</v>
          </cell>
          <cell r="B1428" t="str">
            <v>KUUM_826</v>
          </cell>
          <cell r="D1428" t="str">
            <v>EF</v>
          </cell>
          <cell r="S1428">
            <v>0</v>
          </cell>
          <cell r="T1428">
            <v>0</v>
          </cell>
          <cell r="U1428">
            <v>0</v>
          </cell>
        </row>
        <row r="1429">
          <cell r="A1429" t="str">
            <v>OCT 2015</v>
          </cell>
          <cell r="B1429" t="str">
            <v>KUUM_827</v>
          </cell>
          <cell r="D1429" t="str">
            <v>DA</v>
          </cell>
          <cell r="S1429">
            <v>0</v>
          </cell>
          <cell r="T1429">
            <v>0</v>
          </cell>
          <cell r="U1429">
            <v>0</v>
          </cell>
        </row>
        <row r="1430">
          <cell r="A1430" t="str">
            <v>OCT 2015</v>
          </cell>
          <cell r="B1430" t="str">
            <v>KUUM_828</v>
          </cell>
          <cell r="D1430" t="str">
            <v>EF</v>
          </cell>
          <cell r="S1430">
            <v>0</v>
          </cell>
          <cell r="T1430">
            <v>0</v>
          </cell>
          <cell r="U1430">
            <v>0</v>
          </cell>
        </row>
        <row r="1431">
          <cell r="A1431" t="str">
            <v>OCT 2015</v>
          </cell>
          <cell r="B1431" t="str">
            <v>KUUM_829</v>
          </cell>
          <cell r="D1431" t="str">
            <v>EF</v>
          </cell>
          <cell r="S1431">
            <v>0</v>
          </cell>
          <cell r="T1431">
            <v>0</v>
          </cell>
          <cell r="U1431">
            <v>0</v>
          </cell>
        </row>
        <row r="1432">
          <cell r="A1432" t="str">
            <v>OCT 2015</v>
          </cell>
          <cell r="B1432" t="str">
            <v>ODRSE020</v>
          </cell>
          <cell r="D1432" t="str">
            <v>ODRS</v>
          </cell>
          <cell r="S1432">
            <v>0</v>
          </cell>
          <cell r="T1432">
            <v>0</v>
          </cell>
          <cell r="U1432">
            <v>0</v>
          </cell>
        </row>
        <row r="1433">
          <cell r="A1433" t="str">
            <v>OCT 2015</v>
          </cell>
          <cell r="B1433" t="str">
            <v>Result</v>
          </cell>
          <cell r="S1433">
            <v>0</v>
          </cell>
          <cell r="T1433">
            <v>0</v>
          </cell>
          <cell r="U1433">
            <v>0</v>
          </cell>
        </row>
        <row r="1434">
          <cell r="A1434" t="str">
            <v>NOV 2015</v>
          </cell>
          <cell r="B1434" t="str">
            <v>KTRSE020</v>
          </cell>
          <cell r="D1434" t="str">
            <v>TNRS</v>
          </cell>
          <cell r="S1434">
            <v>0</v>
          </cell>
          <cell r="T1434">
            <v>0</v>
          </cell>
          <cell r="U1434">
            <v>0</v>
          </cell>
        </row>
        <row r="1435">
          <cell r="A1435" t="str">
            <v>NOV 2015</v>
          </cell>
          <cell r="B1435" t="str">
            <v>KTRSE030</v>
          </cell>
          <cell r="D1435" t="str">
            <v>TNRS</v>
          </cell>
          <cell r="S1435">
            <v>0</v>
          </cell>
          <cell r="T1435">
            <v>0</v>
          </cell>
          <cell r="U1435">
            <v>0</v>
          </cell>
        </row>
        <row r="1436">
          <cell r="A1436" t="str">
            <v>NOV 2015</v>
          </cell>
          <cell r="B1436" t="str">
            <v>KTUM_406</v>
          </cell>
          <cell r="D1436" t="str">
            <v>TNLS</v>
          </cell>
          <cell r="S1436">
            <v>0</v>
          </cell>
          <cell r="T1436">
            <v>0</v>
          </cell>
          <cell r="U1436">
            <v>0</v>
          </cell>
        </row>
        <row r="1437">
          <cell r="A1437" t="str">
            <v>NOV 2015</v>
          </cell>
          <cell r="B1437" t="str">
            <v>KTUM_428</v>
          </cell>
          <cell r="D1437" t="str">
            <v>TNLS</v>
          </cell>
          <cell r="S1437">
            <v>0</v>
          </cell>
          <cell r="T1437">
            <v>0</v>
          </cell>
          <cell r="U1437">
            <v>0</v>
          </cell>
        </row>
        <row r="1438">
          <cell r="A1438" t="str">
            <v>NOV 2015</v>
          </cell>
          <cell r="B1438" t="str">
            <v>KUCIE000</v>
          </cell>
          <cell r="D1438" t="str">
            <v>TS</v>
          </cell>
          <cell r="S1438">
            <v>0</v>
          </cell>
          <cell r="T1438">
            <v>0</v>
          </cell>
          <cell r="U1438">
            <v>0</v>
          </cell>
        </row>
        <row r="1439">
          <cell r="A1439" t="str">
            <v>NOV 2015</v>
          </cell>
          <cell r="B1439" t="str">
            <v>KUCIE550</v>
          </cell>
          <cell r="D1439" t="str">
            <v>RTS</v>
          </cell>
          <cell r="E1439">
            <v>136559534</v>
          </cell>
          <cell r="F1439">
            <v>24000</v>
          </cell>
          <cell r="L1439">
            <v>0</v>
          </cell>
          <cell r="M1439">
            <v>442865</v>
          </cell>
          <cell r="P1439">
            <v>0</v>
          </cell>
          <cell r="R1439">
            <v>8626034</v>
          </cell>
          <cell r="S1439">
            <v>4962574</v>
          </cell>
          <cell r="T1439">
            <v>2370973</v>
          </cell>
          <cell r="U1439">
            <v>825623</v>
          </cell>
        </row>
        <row r="1440">
          <cell r="A1440" t="str">
            <v>NOV 2015</v>
          </cell>
          <cell r="B1440" t="str">
            <v>KUCIE561</v>
          </cell>
          <cell r="D1440" t="str">
            <v>PSP</v>
          </cell>
          <cell r="E1440">
            <v>19617060</v>
          </cell>
          <cell r="F1440">
            <v>33660</v>
          </cell>
          <cell r="L1440">
            <v>36931</v>
          </cell>
          <cell r="M1440">
            <v>63618</v>
          </cell>
          <cell r="P1440">
            <v>0</v>
          </cell>
          <cell r="R1440">
            <v>1670206</v>
          </cell>
          <cell r="S1440">
            <v>698759</v>
          </cell>
          <cell r="T1440">
            <v>718634</v>
          </cell>
          <cell r="U1440">
            <v>118602</v>
          </cell>
        </row>
        <row r="1441">
          <cell r="A1441" t="str">
            <v>NOV 2015</v>
          </cell>
          <cell r="B1441" t="str">
            <v>KUCIE562</v>
          </cell>
          <cell r="D1441" t="str">
            <v>PSS</v>
          </cell>
          <cell r="E1441">
            <v>160821920</v>
          </cell>
          <cell r="F1441">
            <v>420300</v>
          </cell>
          <cell r="L1441">
            <v>302767</v>
          </cell>
          <cell r="M1441">
            <v>521548</v>
          </cell>
          <cell r="P1441">
            <v>0</v>
          </cell>
          <cell r="R1441">
            <v>14658957</v>
          </cell>
          <cell r="S1441">
            <v>5731693</v>
          </cell>
          <cell r="T1441">
            <v>6710338</v>
          </cell>
          <cell r="U1441">
            <v>972311</v>
          </cell>
        </row>
        <row r="1442">
          <cell r="A1442" t="str">
            <v>NOV 2015</v>
          </cell>
          <cell r="B1442" t="str">
            <v>KUCIE563</v>
          </cell>
          <cell r="D1442" t="str">
            <v>TODP</v>
          </cell>
          <cell r="E1442">
            <v>250340516</v>
          </cell>
          <cell r="F1442">
            <v>15600</v>
          </cell>
          <cell r="L1442">
            <v>471296</v>
          </cell>
          <cell r="M1442">
            <v>811858</v>
          </cell>
          <cell r="P1442">
            <v>0</v>
          </cell>
          <cell r="R1442">
            <v>16533415</v>
          </cell>
          <cell r="S1442">
            <v>9425321</v>
          </cell>
          <cell r="T1442">
            <v>4295810</v>
          </cell>
          <cell r="U1442">
            <v>1513530</v>
          </cell>
        </row>
        <row r="1443">
          <cell r="A1443" t="str">
            <v>NOV 2015</v>
          </cell>
          <cell r="B1443" t="str">
            <v>KUCIE566</v>
          </cell>
          <cell r="D1443" t="str">
            <v>PSP</v>
          </cell>
          <cell r="E1443">
            <v>0</v>
          </cell>
          <cell r="F1443">
            <v>0</v>
          </cell>
          <cell r="L1443">
            <v>0</v>
          </cell>
          <cell r="M1443">
            <v>0</v>
          </cell>
          <cell r="P1443">
            <v>0</v>
          </cell>
          <cell r="R1443">
            <v>0</v>
          </cell>
          <cell r="S1443">
            <v>0</v>
          </cell>
          <cell r="T1443">
            <v>0</v>
          </cell>
          <cell r="U1443">
            <v>0</v>
          </cell>
        </row>
        <row r="1444">
          <cell r="A1444" t="str">
            <v>NOV 2015</v>
          </cell>
          <cell r="B1444" t="str">
            <v>KUCIE568</v>
          </cell>
          <cell r="D1444" t="str">
            <v>PSS</v>
          </cell>
          <cell r="E1444">
            <v>0</v>
          </cell>
          <cell r="F1444">
            <v>0</v>
          </cell>
          <cell r="L1444">
            <v>0</v>
          </cell>
          <cell r="M1444">
            <v>0</v>
          </cell>
          <cell r="P1444">
            <v>0</v>
          </cell>
          <cell r="R1444">
            <v>0</v>
          </cell>
          <cell r="S1444">
            <v>0</v>
          </cell>
          <cell r="T1444">
            <v>0</v>
          </cell>
          <cell r="U1444">
            <v>0</v>
          </cell>
        </row>
        <row r="1445">
          <cell r="A1445" t="str">
            <v>NOV 2015</v>
          </cell>
          <cell r="B1445" t="str">
            <v>KUCIE571</v>
          </cell>
          <cell r="D1445" t="str">
            <v>TODP</v>
          </cell>
          <cell r="E1445">
            <v>104851396</v>
          </cell>
          <cell r="F1445">
            <v>60000</v>
          </cell>
          <cell r="L1445">
            <v>197395</v>
          </cell>
          <cell r="M1445">
            <v>340035</v>
          </cell>
          <cell r="P1445">
            <v>0</v>
          </cell>
          <cell r="R1445">
            <v>7431412</v>
          </cell>
          <cell r="S1445">
            <v>3947655</v>
          </cell>
          <cell r="T1445">
            <v>2252407</v>
          </cell>
          <cell r="U1445">
            <v>633919</v>
          </cell>
        </row>
        <row r="1446">
          <cell r="A1446" t="str">
            <v>NOV 2015</v>
          </cell>
          <cell r="B1446" t="str">
            <v>KUCIE572</v>
          </cell>
          <cell r="D1446" t="str">
            <v>TODS</v>
          </cell>
          <cell r="E1446">
            <v>126203044</v>
          </cell>
          <cell r="F1446">
            <v>93000</v>
          </cell>
          <cell r="L1446">
            <v>237593</v>
          </cell>
          <cell r="M1446">
            <v>409278</v>
          </cell>
          <cell r="P1446">
            <v>0</v>
          </cell>
          <cell r="R1446">
            <v>9381541</v>
          </cell>
          <cell r="S1446">
            <v>4761641</v>
          </cell>
          <cell r="T1446">
            <v>3117021</v>
          </cell>
          <cell r="U1446">
            <v>763009</v>
          </cell>
        </row>
        <row r="1447">
          <cell r="A1447" t="str">
            <v>NOV 2015</v>
          </cell>
          <cell r="B1447" t="str">
            <v>KUCIE717</v>
          </cell>
          <cell r="D1447" t="str">
            <v>PSS</v>
          </cell>
          <cell r="E1447">
            <v>0</v>
          </cell>
          <cell r="F1447">
            <v>0</v>
          </cell>
          <cell r="L1447">
            <v>0</v>
          </cell>
          <cell r="M1447">
            <v>0</v>
          </cell>
          <cell r="P1447">
            <v>0</v>
          </cell>
          <cell r="R1447">
            <v>0</v>
          </cell>
          <cell r="S1447">
            <v>0</v>
          </cell>
          <cell r="T1447">
            <v>0</v>
          </cell>
          <cell r="U1447">
            <v>0</v>
          </cell>
        </row>
        <row r="1448">
          <cell r="A1448" t="str">
            <v>NOV 2015</v>
          </cell>
          <cell r="B1448" t="str">
            <v>KUCME000</v>
          </cell>
          <cell r="D1448" t="str">
            <v>TS</v>
          </cell>
          <cell r="E1448">
            <v>0</v>
          </cell>
          <cell r="F1448">
            <v>0</v>
          </cell>
          <cell r="L1448">
            <v>0</v>
          </cell>
          <cell r="M1448">
            <v>0</v>
          </cell>
          <cell r="P1448">
            <v>0</v>
          </cell>
          <cell r="R1448">
            <v>0</v>
          </cell>
          <cell r="S1448">
            <v>0</v>
          </cell>
          <cell r="T1448">
            <v>0</v>
          </cell>
          <cell r="U1448">
            <v>0</v>
          </cell>
        </row>
        <row r="1449">
          <cell r="A1449" t="str">
            <v>NOV 2015</v>
          </cell>
          <cell r="B1449" t="str">
            <v>KUCME110</v>
          </cell>
          <cell r="D1449" t="str">
            <v>GS</v>
          </cell>
          <cell r="E1449">
            <v>55344548</v>
          </cell>
          <cell r="F1449">
            <v>1270432</v>
          </cell>
          <cell r="L1449">
            <v>104193</v>
          </cell>
          <cell r="M1449">
            <v>179483</v>
          </cell>
          <cell r="P1449">
            <v>0</v>
          </cell>
          <cell r="R1449">
            <v>6994249</v>
          </cell>
          <cell r="S1449">
            <v>5105534</v>
          </cell>
          <cell r="T1449">
            <v>0</v>
          </cell>
          <cell r="U1449">
            <v>334607</v>
          </cell>
        </row>
        <row r="1450">
          <cell r="A1450" t="str">
            <v>NOV 2015</v>
          </cell>
          <cell r="B1450" t="str">
            <v>KUCME112</v>
          </cell>
          <cell r="D1450" t="str">
            <v>GS</v>
          </cell>
          <cell r="E1450">
            <v>0</v>
          </cell>
          <cell r="F1450">
            <v>0</v>
          </cell>
          <cell r="L1450">
            <v>0</v>
          </cell>
          <cell r="M1450">
            <v>0</v>
          </cell>
          <cell r="P1450">
            <v>0</v>
          </cell>
          <cell r="R1450">
            <v>0</v>
          </cell>
          <cell r="S1450">
            <v>0</v>
          </cell>
          <cell r="T1450">
            <v>0</v>
          </cell>
          <cell r="U1450">
            <v>0</v>
          </cell>
        </row>
        <row r="1451">
          <cell r="A1451" t="str">
            <v>NOV 2015</v>
          </cell>
          <cell r="B1451" t="str">
            <v>KUCME113</v>
          </cell>
          <cell r="D1451" t="str">
            <v>GS3</v>
          </cell>
          <cell r="E1451">
            <v>80640903</v>
          </cell>
          <cell r="F1451">
            <v>649894</v>
          </cell>
          <cell r="L1451">
            <v>151816</v>
          </cell>
          <cell r="M1451">
            <v>261520</v>
          </cell>
          <cell r="P1451">
            <v>0</v>
          </cell>
          <cell r="R1451">
            <v>8989899</v>
          </cell>
          <cell r="S1451">
            <v>7439124</v>
          </cell>
          <cell r="T1451">
            <v>0</v>
          </cell>
          <cell r="U1451">
            <v>487546</v>
          </cell>
        </row>
        <row r="1452">
          <cell r="A1452" t="str">
            <v>NOV 2015</v>
          </cell>
          <cell r="B1452" t="str">
            <v>KUCME220</v>
          </cell>
          <cell r="D1452" t="str">
            <v>AES</v>
          </cell>
          <cell r="E1452">
            <v>645706</v>
          </cell>
          <cell r="F1452">
            <v>7480</v>
          </cell>
          <cell r="L1452">
            <v>1216</v>
          </cell>
          <cell r="M1452">
            <v>2094</v>
          </cell>
          <cell r="P1452">
            <v>0</v>
          </cell>
          <cell r="R1452">
            <v>62734</v>
          </cell>
          <cell r="S1452">
            <v>48041</v>
          </cell>
          <cell r="T1452">
            <v>0</v>
          </cell>
          <cell r="U1452">
            <v>3904</v>
          </cell>
        </row>
        <row r="1453">
          <cell r="A1453" t="str">
            <v>NOV 2015</v>
          </cell>
          <cell r="B1453" t="str">
            <v>KUCME221</v>
          </cell>
          <cell r="D1453" t="str">
            <v>AESP</v>
          </cell>
          <cell r="E1453">
            <v>0</v>
          </cell>
          <cell r="F1453">
            <v>0</v>
          </cell>
          <cell r="L1453">
            <v>0</v>
          </cell>
          <cell r="M1453">
            <v>0</v>
          </cell>
          <cell r="P1453">
            <v>0</v>
          </cell>
          <cell r="R1453">
            <v>0</v>
          </cell>
          <cell r="S1453">
            <v>0</v>
          </cell>
          <cell r="T1453">
            <v>0</v>
          </cell>
          <cell r="U1453">
            <v>0</v>
          </cell>
        </row>
        <row r="1454">
          <cell r="A1454" t="str">
            <v>NOV 2015</v>
          </cell>
          <cell r="B1454" t="str">
            <v>KUCME223</v>
          </cell>
          <cell r="D1454" t="str">
            <v>AES3</v>
          </cell>
          <cell r="E1454">
            <v>0</v>
          </cell>
          <cell r="F1454">
            <v>0</v>
          </cell>
          <cell r="L1454">
            <v>0</v>
          </cell>
          <cell r="M1454">
            <v>0</v>
          </cell>
          <cell r="P1454">
            <v>0</v>
          </cell>
          <cell r="R1454">
            <v>0</v>
          </cell>
          <cell r="S1454">
            <v>0</v>
          </cell>
          <cell r="T1454">
            <v>0</v>
          </cell>
          <cell r="U1454">
            <v>0</v>
          </cell>
        </row>
        <row r="1455">
          <cell r="A1455" t="str">
            <v>NOV 2015</v>
          </cell>
          <cell r="B1455" t="str">
            <v>KUCME224</v>
          </cell>
          <cell r="D1455" t="str">
            <v>AES3P</v>
          </cell>
          <cell r="E1455">
            <v>11967848</v>
          </cell>
          <cell r="F1455">
            <v>9100</v>
          </cell>
          <cell r="L1455">
            <v>22531</v>
          </cell>
          <cell r="M1455">
            <v>38812</v>
          </cell>
          <cell r="P1455">
            <v>0</v>
          </cell>
          <cell r="R1455">
            <v>1033207</v>
          </cell>
          <cell r="S1455">
            <v>890408</v>
          </cell>
          <cell r="T1455">
            <v>0</v>
          </cell>
          <cell r="U1455">
            <v>72356</v>
          </cell>
        </row>
        <row r="1456">
          <cell r="A1456" t="str">
            <v>NOV 2015</v>
          </cell>
          <cell r="B1456" t="str">
            <v>KUCME225</v>
          </cell>
          <cell r="D1456" t="str">
            <v>AES3PSS</v>
          </cell>
          <cell r="E1456">
            <v>0</v>
          </cell>
          <cell r="F1456">
            <v>0</v>
          </cell>
          <cell r="L1456">
            <v>0</v>
          </cell>
          <cell r="M1456">
            <v>0</v>
          </cell>
          <cell r="P1456">
            <v>0</v>
          </cell>
          <cell r="R1456">
            <v>0</v>
          </cell>
          <cell r="S1456">
            <v>0</v>
          </cell>
          <cell r="T1456">
            <v>0</v>
          </cell>
          <cell r="U1456">
            <v>0</v>
          </cell>
        </row>
        <row r="1457">
          <cell r="A1457" t="str">
            <v>NOV 2015</v>
          </cell>
          <cell r="B1457" t="str">
            <v>KUCME226</v>
          </cell>
          <cell r="D1457" t="str">
            <v>AESPSS</v>
          </cell>
          <cell r="E1457">
            <v>0</v>
          </cell>
          <cell r="F1457">
            <v>0</v>
          </cell>
          <cell r="L1457">
            <v>0</v>
          </cell>
          <cell r="M1457">
            <v>0</v>
          </cell>
          <cell r="P1457">
            <v>0</v>
          </cell>
          <cell r="R1457">
            <v>0</v>
          </cell>
          <cell r="S1457">
            <v>0</v>
          </cell>
          <cell r="T1457">
            <v>0</v>
          </cell>
          <cell r="U1457">
            <v>0</v>
          </cell>
        </row>
        <row r="1458">
          <cell r="A1458" t="str">
            <v>NOV 2015</v>
          </cell>
          <cell r="B1458" t="str">
            <v>KUCME227</v>
          </cell>
          <cell r="D1458" t="str">
            <v>AESTODS</v>
          </cell>
          <cell r="E1458">
            <v>0</v>
          </cell>
          <cell r="F1458">
            <v>0</v>
          </cell>
          <cell r="L1458">
            <v>0</v>
          </cell>
          <cell r="M1458">
            <v>0</v>
          </cell>
          <cell r="P1458">
            <v>0</v>
          </cell>
          <cell r="R1458">
            <v>0</v>
          </cell>
          <cell r="S1458">
            <v>0</v>
          </cell>
          <cell r="T1458">
            <v>0</v>
          </cell>
          <cell r="U1458">
            <v>0</v>
          </cell>
        </row>
        <row r="1459">
          <cell r="A1459" t="str">
            <v>NOV 2015</v>
          </cell>
          <cell r="B1459" t="str">
            <v>KUCME290</v>
          </cell>
          <cell r="D1459" t="str">
            <v>LE</v>
          </cell>
          <cell r="E1459">
            <v>0</v>
          </cell>
          <cell r="F1459">
            <v>0</v>
          </cell>
          <cell r="L1459">
            <v>0</v>
          </cell>
          <cell r="M1459">
            <v>0</v>
          </cell>
          <cell r="P1459">
            <v>0</v>
          </cell>
          <cell r="R1459">
            <v>0</v>
          </cell>
          <cell r="S1459">
            <v>0</v>
          </cell>
          <cell r="T1459">
            <v>0</v>
          </cell>
          <cell r="U1459">
            <v>0</v>
          </cell>
        </row>
        <row r="1460">
          <cell r="A1460" t="str">
            <v>NOV 2015</v>
          </cell>
          <cell r="B1460" t="str">
            <v>KUCME291</v>
          </cell>
          <cell r="D1460" t="str">
            <v>LE</v>
          </cell>
          <cell r="E1460">
            <v>0</v>
          </cell>
          <cell r="F1460">
            <v>0</v>
          </cell>
          <cell r="L1460">
            <v>0</v>
          </cell>
          <cell r="M1460">
            <v>0</v>
          </cell>
          <cell r="P1460">
            <v>0</v>
          </cell>
          <cell r="R1460">
            <v>0</v>
          </cell>
        </row>
        <row r="1461">
          <cell r="A1461" t="str">
            <v>NOV 2015</v>
          </cell>
          <cell r="B1461" t="str">
            <v>KUCME295</v>
          </cell>
          <cell r="D1461" t="str">
            <v>TE</v>
          </cell>
          <cell r="E1461">
            <v>0</v>
          </cell>
          <cell r="F1461">
            <v>0</v>
          </cell>
          <cell r="L1461">
            <v>0</v>
          </cell>
          <cell r="M1461">
            <v>0</v>
          </cell>
          <cell r="P1461">
            <v>0</v>
          </cell>
          <cell r="R1461">
            <v>0</v>
          </cell>
          <cell r="S1461">
            <v>0</v>
          </cell>
          <cell r="T1461">
            <v>0</v>
          </cell>
          <cell r="U1461">
            <v>0</v>
          </cell>
        </row>
        <row r="1462">
          <cell r="A1462" t="str">
            <v>NOV 2015</v>
          </cell>
          <cell r="B1462" t="str">
            <v>KUCME297</v>
          </cell>
          <cell r="D1462" t="str">
            <v>TE</v>
          </cell>
          <cell r="E1462">
            <v>0</v>
          </cell>
          <cell r="F1462">
            <v>0</v>
          </cell>
          <cell r="L1462">
            <v>0</v>
          </cell>
          <cell r="M1462">
            <v>0</v>
          </cell>
          <cell r="P1462">
            <v>0</v>
          </cell>
          <cell r="R1462">
            <v>0</v>
          </cell>
          <cell r="S1462">
            <v>0</v>
          </cell>
          <cell r="T1462">
            <v>0</v>
          </cell>
          <cell r="U1462">
            <v>0</v>
          </cell>
        </row>
        <row r="1463">
          <cell r="A1463" t="str">
            <v>NOV 2015</v>
          </cell>
          <cell r="B1463" t="str">
            <v>KUCME705</v>
          </cell>
          <cell r="D1463" t="str">
            <v>SQF</v>
          </cell>
          <cell r="E1463">
            <v>0</v>
          </cell>
          <cell r="F1463">
            <v>0</v>
          </cell>
          <cell r="L1463">
            <v>0</v>
          </cell>
          <cell r="M1463">
            <v>0</v>
          </cell>
          <cell r="P1463">
            <v>0</v>
          </cell>
          <cell r="R1463">
            <v>0</v>
          </cell>
          <cell r="S1463">
            <v>0</v>
          </cell>
          <cell r="T1463">
            <v>0</v>
          </cell>
          <cell r="U1463">
            <v>0</v>
          </cell>
        </row>
        <row r="1464">
          <cell r="A1464" t="str">
            <v>NOV 2015</v>
          </cell>
          <cell r="B1464" t="str">
            <v>KUCME707</v>
          </cell>
          <cell r="D1464" t="str">
            <v>LQF</v>
          </cell>
          <cell r="E1464">
            <v>0</v>
          </cell>
          <cell r="F1464">
            <v>0</v>
          </cell>
          <cell r="L1464">
            <v>0</v>
          </cell>
          <cell r="M1464">
            <v>0</v>
          </cell>
          <cell r="P1464">
            <v>0</v>
          </cell>
          <cell r="R1464">
            <v>0</v>
          </cell>
          <cell r="S1464">
            <v>0</v>
          </cell>
          <cell r="T1464">
            <v>0</v>
          </cell>
          <cell r="U1464">
            <v>0</v>
          </cell>
        </row>
        <row r="1465">
          <cell r="A1465" t="str">
            <v>NOV 2015</v>
          </cell>
          <cell r="B1465" t="str">
            <v>KUCME710</v>
          </cell>
          <cell r="D1465" t="str">
            <v>GS</v>
          </cell>
          <cell r="E1465">
            <v>0</v>
          </cell>
          <cell r="F1465">
            <v>0</v>
          </cell>
          <cell r="L1465">
            <v>0</v>
          </cell>
          <cell r="M1465">
            <v>0</v>
          </cell>
          <cell r="P1465">
            <v>0</v>
          </cell>
          <cell r="R1465">
            <v>0</v>
          </cell>
          <cell r="S1465">
            <v>0</v>
          </cell>
          <cell r="T1465">
            <v>0</v>
          </cell>
          <cell r="U1465">
            <v>0</v>
          </cell>
        </row>
        <row r="1466">
          <cell r="A1466" t="str">
            <v>NOV 2015</v>
          </cell>
          <cell r="B1466" t="str">
            <v>KUCME713</v>
          </cell>
          <cell r="D1466" t="str">
            <v>GS3</v>
          </cell>
          <cell r="E1466">
            <v>0</v>
          </cell>
          <cell r="F1466">
            <v>0</v>
          </cell>
          <cell r="L1466">
            <v>0</v>
          </cell>
          <cell r="M1466">
            <v>0</v>
          </cell>
          <cell r="P1466">
            <v>0</v>
          </cell>
          <cell r="R1466">
            <v>0</v>
          </cell>
          <cell r="S1466">
            <v>0</v>
          </cell>
          <cell r="T1466">
            <v>0</v>
          </cell>
          <cell r="U1466">
            <v>0</v>
          </cell>
        </row>
        <row r="1467">
          <cell r="A1467" t="str">
            <v>NOV 2015</v>
          </cell>
          <cell r="B1467" t="str">
            <v>KUCME841</v>
          </cell>
          <cell r="D1467" t="str">
            <v>LRI</v>
          </cell>
          <cell r="E1467">
            <v>0</v>
          </cell>
          <cell r="F1467">
            <v>0</v>
          </cell>
          <cell r="L1467">
            <v>0</v>
          </cell>
          <cell r="M1467">
            <v>0</v>
          </cell>
          <cell r="P1467">
            <v>0</v>
          </cell>
          <cell r="R1467">
            <v>0</v>
          </cell>
          <cell r="S1467">
            <v>0</v>
          </cell>
          <cell r="T1467">
            <v>0</v>
          </cell>
          <cell r="U1467">
            <v>0</v>
          </cell>
        </row>
        <row r="1468">
          <cell r="A1468" t="str">
            <v>NOV 2015</v>
          </cell>
          <cell r="B1468" t="str">
            <v>KUCSR760</v>
          </cell>
          <cell r="D1468" t="str">
            <v>CSR</v>
          </cell>
          <cell r="E1468">
            <v>0</v>
          </cell>
          <cell r="F1468">
            <v>0</v>
          </cell>
          <cell r="L1468">
            <v>0</v>
          </cell>
          <cell r="M1468">
            <v>0</v>
          </cell>
          <cell r="P1468">
            <v>-989829</v>
          </cell>
          <cell r="R1468">
            <v>-989829</v>
          </cell>
          <cell r="S1468">
            <v>0</v>
          </cell>
          <cell r="T1468">
            <v>0</v>
          </cell>
          <cell r="U1468">
            <v>0</v>
          </cell>
        </row>
        <row r="1469">
          <cell r="A1469" t="str">
            <v>NOV 2015</v>
          </cell>
          <cell r="B1469" t="str">
            <v>KUCSR761</v>
          </cell>
          <cell r="D1469" t="str">
            <v>CSR</v>
          </cell>
          <cell r="E1469">
            <v>0</v>
          </cell>
          <cell r="F1469">
            <v>0</v>
          </cell>
          <cell r="L1469">
            <v>0</v>
          </cell>
          <cell r="M1469">
            <v>0</v>
          </cell>
          <cell r="P1469">
            <v>0</v>
          </cell>
          <cell r="R1469">
            <v>0</v>
          </cell>
          <cell r="S1469">
            <v>0</v>
          </cell>
          <cell r="T1469">
            <v>0</v>
          </cell>
          <cell r="U1469">
            <v>0</v>
          </cell>
        </row>
        <row r="1470">
          <cell r="A1470" t="str">
            <v>NOV 2015</v>
          </cell>
          <cell r="B1470" t="str">
            <v>KUCSR781</v>
          </cell>
          <cell r="D1470" t="str">
            <v>CSR</v>
          </cell>
          <cell r="E1470">
            <v>0</v>
          </cell>
          <cell r="F1470">
            <v>0</v>
          </cell>
          <cell r="L1470">
            <v>0</v>
          </cell>
          <cell r="M1470">
            <v>0</v>
          </cell>
          <cell r="P1470">
            <v>0</v>
          </cell>
          <cell r="R1470">
            <v>0</v>
          </cell>
          <cell r="S1470">
            <v>0</v>
          </cell>
          <cell r="T1470">
            <v>0</v>
          </cell>
          <cell r="U1470">
            <v>0</v>
          </cell>
        </row>
        <row r="1471">
          <cell r="A1471" t="str">
            <v>NOV 2015</v>
          </cell>
          <cell r="B1471" t="str">
            <v>KUCSR783</v>
          </cell>
          <cell r="D1471" t="str">
            <v>CSR</v>
          </cell>
          <cell r="E1471">
            <v>0</v>
          </cell>
          <cell r="F1471">
            <v>0</v>
          </cell>
          <cell r="L1471">
            <v>0</v>
          </cell>
          <cell r="M1471">
            <v>0</v>
          </cell>
          <cell r="P1471">
            <v>0</v>
          </cell>
          <cell r="R1471">
            <v>0</v>
          </cell>
          <cell r="S1471">
            <v>0</v>
          </cell>
          <cell r="T1471">
            <v>0</v>
          </cell>
          <cell r="U1471">
            <v>0</v>
          </cell>
        </row>
        <row r="1472">
          <cell r="A1472" t="str">
            <v>NOV 2015</v>
          </cell>
          <cell r="B1472" t="str">
            <v>KUCUE851</v>
          </cell>
          <cell r="D1472" t="str">
            <v>CU</v>
          </cell>
          <cell r="E1472">
            <v>0</v>
          </cell>
          <cell r="F1472">
            <v>0</v>
          </cell>
          <cell r="L1472">
            <v>0</v>
          </cell>
          <cell r="M1472">
            <v>0</v>
          </cell>
          <cell r="P1472">
            <v>0</v>
          </cell>
          <cell r="R1472">
            <v>0</v>
          </cell>
          <cell r="S1472">
            <v>0</v>
          </cell>
          <cell r="T1472">
            <v>0</v>
          </cell>
          <cell r="U1472">
            <v>0</v>
          </cell>
        </row>
        <row r="1473">
          <cell r="A1473" t="str">
            <v>NOV 2015</v>
          </cell>
          <cell r="B1473" t="str">
            <v>KUCUE852</v>
          </cell>
          <cell r="D1473" t="str">
            <v>CU</v>
          </cell>
          <cell r="E1473">
            <v>0</v>
          </cell>
          <cell r="F1473">
            <v>0</v>
          </cell>
          <cell r="L1473">
            <v>0</v>
          </cell>
          <cell r="M1473">
            <v>0</v>
          </cell>
          <cell r="P1473">
            <v>0</v>
          </cell>
          <cell r="R1473">
            <v>0</v>
          </cell>
          <cell r="S1473">
            <v>0</v>
          </cell>
          <cell r="T1473">
            <v>0</v>
          </cell>
          <cell r="U1473">
            <v>0</v>
          </cell>
        </row>
        <row r="1474">
          <cell r="A1474" t="str">
            <v>NOV 2015</v>
          </cell>
          <cell r="B1474" t="str">
            <v>KUINE730</v>
          </cell>
          <cell r="D1474" t="str">
            <v>FLS</v>
          </cell>
          <cell r="E1474">
            <v>44497248</v>
          </cell>
          <cell r="F1474">
            <v>750</v>
          </cell>
          <cell r="L1474">
            <v>0</v>
          </cell>
          <cell r="M1474">
            <v>144305</v>
          </cell>
          <cell r="P1474">
            <v>0</v>
          </cell>
          <cell r="R1474">
            <v>2585335</v>
          </cell>
          <cell r="S1474">
            <v>1451055</v>
          </cell>
          <cell r="T1474">
            <v>720199</v>
          </cell>
          <cell r="U1474">
            <v>269025</v>
          </cell>
        </row>
        <row r="1475">
          <cell r="A1475" t="str">
            <v>NOV 2015</v>
          </cell>
          <cell r="B1475" t="str">
            <v>KUMNE902</v>
          </cell>
          <cell r="D1475" t="str">
            <v>WPS</v>
          </cell>
          <cell r="E1475">
            <v>0</v>
          </cell>
          <cell r="F1475">
            <v>0</v>
          </cell>
          <cell r="L1475">
            <v>0</v>
          </cell>
          <cell r="M1475">
            <v>0</v>
          </cell>
          <cell r="P1475">
            <v>0</v>
          </cell>
          <cell r="R1475">
            <v>0</v>
          </cell>
          <cell r="S1475">
            <v>0</v>
          </cell>
          <cell r="T1475">
            <v>0</v>
          </cell>
          <cell r="U1475">
            <v>0</v>
          </cell>
        </row>
        <row r="1476">
          <cell r="A1476" t="str">
            <v>NOV 2015</v>
          </cell>
          <cell r="B1476" t="str">
            <v>KUMNE903</v>
          </cell>
          <cell r="D1476" t="str">
            <v>WPS</v>
          </cell>
          <cell r="E1476">
            <v>0</v>
          </cell>
          <cell r="F1476">
            <v>0</v>
          </cell>
          <cell r="L1476">
            <v>0</v>
          </cell>
          <cell r="M1476">
            <v>0</v>
          </cell>
          <cell r="P1476">
            <v>0</v>
          </cell>
          <cell r="R1476">
            <v>0</v>
          </cell>
          <cell r="S1476">
            <v>0</v>
          </cell>
          <cell r="T1476">
            <v>0</v>
          </cell>
          <cell r="U1476">
            <v>0</v>
          </cell>
        </row>
        <row r="1477">
          <cell r="A1477" t="str">
            <v>NOV 2015</v>
          </cell>
          <cell r="B1477" t="str">
            <v>KUMNE934</v>
          </cell>
          <cell r="D1477" t="str">
            <v>WPS</v>
          </cell>
          <cell r="E1477">
            <v>0</v>
          </cell>
          <cell r="F1477">
            <v>0</v>
          </cell>
          <cell r="L1477">
            <v>0</v>
          </cell>
          <cell r="M1477">
            <v>0</v>
          </cell>
          <cell r="P1477">
            <v>0</v>
          </cell>
          <cell r="R1477">
            <v>0</v>
          </cell>
          <cell r="S1477">
            <v>0</v>
          </cell>
          <cell r="T1477">
            <v>0</v>
          </cell>
          <cell r="U1477">
            <v>0</v>
          </cell>
        </row>
        <row r="1478">
          <cell r="A1478" t="str">
            <v>NOV 2015</v>
          </cell>
          <cell r="B1478" t="str">
            <v>KURSE000</v>
          </cell>
          <cell r="D1478" t="str">
            <v>TS</v>
          </cell>
          <cell r="E1478">
            <v>0</v>
          </cell>
          <cell r="F1478">
            <v>0</v>
          </cell>
          <cell r="L1478">
            <v>0</v>
          </cell>
          <cell r="M1478">
            <v>0</v>
          </cell>
          <cell r="P1478">
            <v>0</v>
          </cell>
          <cell r="R1478">
            <v>0</v>
          </cell>
          <cell r="S1478">
            <v>0</v>
          </cell>
          <cell r="T1478">
            <v>0</v>
          </cell>
          <cell r="U1478">
            <v>0</v>
          </cell>
        </row>
        <row r="1479">
          <cell r="A1479" t="str">
            <v>NOV 2015</v>
          </cell>
          <cell r="B1479" t="str">
            <v>KURSE010</v>
          </cell>
          <cell r="D1479" t="str">
            <v>RS</v>
          </cell>
          <cell r="E1479">
            <v>425779172</v>
          </cell>
          <cell r="F1479">
            <v>4623394</v>
          </cell>
          <cell r="L1479">
            <v>801581</v>
          </cell>
          <cell r="M1479">
            <v>1380809</v>
          </cell>
          <cell r="P1479">
            <v>0</v>
          </cell>
          <cell r="R1479">
            <v>42352334</v>
          </cell>
          <cell r="S1479">
            <v>32972339</v>
          </cell>
          <cell r="T1479">
            <v>0</v>
          </cell>
          <cell r="U1479">
            <v>2574212</v>
          </cell>
        </row>
        <row r="1480">
          <cell r="A1480" t="str">
            <v>NOV 2015</v>
          </cell>
          <cell r="B1480" t="str">
            <v>KURSE020</v>
          </cell>
          <cell r="D1480" t="str">
            <v>RS</v>
          </cell>
          <cell r="E1480">
            <v>0</v>
          </cell>
          <cell r="F1480">
            <v>0</v>
          </cell>
          <cell r="L1480">
            <v>0</v>
          </cell>
          <cell r="M1480">
            <v>0</v>
          </cell>
          <cell r="P1480">
            <v>0</v>
          </cell>
          <cell r="R1480">
            <v>0</v>
          </cell>
          <cell r="S1480">
            <v>0</v>
          </cell>
          <cell r="T1480">
            <v>0</v>
          </cell>
          <cell r="U1480">
            <v>0</v>
          </cell>
        </row>
        <row r="1481">
          <cell r="A1481" t="str">
            <v>NOV 2015</v>
          </cell>
          <cell r="B1481" t="str">
            <v>KURSE025</v>
          </cell>
          <cell r="D1481" t="str">
            <v>RS3</v>
          </cell>
          <cell r="E1481">
            <v>0</v>
          </cell>
          <cell r="F1481">
            <v>0</v>
          </cell>
          <cell r="L1481">
            <v>0</v>
          </cell>
          <cell r="M1481">
            <v>0</v>
          </cell>
          <cell r="P1481">
            <v>0</v>
          </cell>
          <cell r="R1481">
            <v>0</v>
          </cell>
          <cell r="S1481">
            <v>0</v>
          </cell>
          <cell r="T1481">
            <v>0</v>
          </cell>
          <cell r="U1481">
            <v>0</v>
          </cell>
        </row>
        <row r="1482">
          <cell r="A1482" t="str">
            <v>NOV 2015</v>
          </cell>
          <cell r="B1482" t="str">
            <v>KURSE040</v>
          </cell>
          <cell r="D1482" t="str">
            <v>RSLEV</v>
          </cell>
          <cell r="E1482">
            <v>0</v>
          </cell>
          <cell r="F1482">
            <v>0</v>
          </cell>
          <cell r="L1482">
            <v>0</v>
          </cell>
          <cell r="M1482">
            <v>0</v>
          </cell>
          <cell r="P1482">
            <v>0</v>
          </cell>
          <cell r="R1482">
            <v>0</v>
          </cell>
          <cell r="S1482">
            <v>0</v>
          </cell>
          <cell r="T1482">
            <v>0</v>
          </cell>
          <cell r="U1482">
            <v>0</v>
          </cell>
        </row>
        <row r="1483">
          <cell r="A1483" t="str">
            <v>NOV 2015</v>
          </cell>
          <cell r="B1483" t="str">
            <v>KURSE080</v>
          </cell>
          <cell r="D1483" t="str">
            <v>RSVFD</v>
          </cell>
          <cell r="E1483">
            <v>0</v>
          </cell>
          <cell r="F1483">
            <v>0</v>
          </cell>
          <cell r="L1483">
            <v>0</v>
          </cell>
          <cell r="M1483">
            <v>0</v>
          </cell>
          <cell r="P1483">
            <v>0</v>
          </cell>
          <cell r="R1483">
            <v>0</v>
          </cell>
          <cell r="S1483">
            <v>0</v>
          </cell>
          <cell r="T1483">
            <v>0</v>
          </cell>
          <cell r="U1483">
            <v>0</v>
          </cell>
        </row>
        <row r="1484">
          <cell r="A1484" t="str">
            <v>NOV 2015</v>
          </cell>
          <cell r="B1484" t="str">
            <v>KURSE715</v>
          </cell>
          <cell r="D1484" t="str">
            <v>RS</v>
          </cell>
          <cell r="E1484">
            <v>0</v>
          </cell>
          <cell r="F1484">
            <v>0</v>
          </cell>
          <cell r="L1484">
            <v>0</v>
          </cell>
          <cell r="M1484">
            <v>0</v>
          </cell>
          <cell r="P1484">
            <v>0</v>
          </cell>
          <cell r="R1484">
            <v>0</v>
          </cell>
          <cell r="S1484">
            <v>0</v>
          </cell>
          <cell r="T1484">
            <v>0</v>
          </cell>
          <cell r="U1484">
            <v>0</v>
          </cell>
        </row>
        <row r="1485">
          <cell r="A1485" t="str">
            <v>NOV 2015</v>
          </cell>
          <cell r="B1485" t="str">
            <v>ODL</v>
          </cell>
          <cell r="E1485">
            <v>10615610</v>
          </cell>
          <cell r="F1485">
            <v>0</v>
          </cell>
          <cell r="L1485">
            <v>0</v>
          </cell>
          <cell r="M1485">
            <v>34427</v>
          </cell>
          <cell r="P1485">
            <v>0</v>
          </cell>
          <cell r="R1485">
            <v>2125938</v>
          </cell>
          <cell r="S1485">
            <v>2027330</v>
          </cell>
          <cell r="T1485">
            <v>0</v>
          </cell>
          <cell r="U1485">
            <v>64181</v>
          </cell>
        </row>
        <row r="1486">
          <cell r="A1486" t="str">
            <v>NOV 2015</v>
          </cell>
          <cell r="B1486" t="str">
            <v>KUUM_360</v>
          </cell>
          <cell r="D1486" t="str">
            <v>LS</v>
          </cell>
          <cell r="S1486">
            <v>0</v>
          </cell>
          <cell r="T1486">
            <v>0</v>
          </cell>
          <cell r="U1486">
            <v>0</v>
          </cell>
        </row>
        <row r="1487">
          <cell r="A1487" t="str">
            <v>NOV 2015</v>
          </cell>
          <cell r="B1487" t="str">
            <v>KUUM_361</v>
          </cell>
          <cell r="D1487" t="str">
            <v>LS</v>
          </cell>
          <cell r="S1487">
            <v>0</v>
          </cell>
          <cell r="T1487">
            <v>0</v>
          </cell>
          <cell r="U1487">
            <v>0</v>
          </cell>
        </row>
        <row r="1488">
          <cell r="A1488" t="str">
            <v>NOV 2015</v>
          </cell>
          <cell r="B1488" t="str">
            <v>KUUM_362</v>
          </cell>
          <cell r="D1488" t="str">
            <v>LS</v>
          </cell>
          <cell r="S1488">
            <v>0</v>
          </cell>
          <cell r="T1488">
            <v>0</v>
          </cell>
          <cell r="U1488">
            <v>0</v>
          </cell>
        </row>
        <row r="1489">
          <cell r="A1489" t="str">
            <v>NOV 2015</v>
          </cell>
          <cell r="B1489" t="str">
            <v>KUUM_363</v>
          </cell>
          <cell r="D1489" t="str">
            <v>LS</v>
          </cell>
          <cell r="S1489">
            <v>0</v>
          </cell>
          <cell r="T1489">
            <v>0</v>
          </cell>
          <cell r="U1489">
            <v>0</v>
          </cell>
        </row>
        <row r="1490">
          <cell r="A1490" t="str">
            <v>NOV 2015</v>
          </cell>
          <cell r="B1490" t="str">
            <v>KUUM_364</v>
          </cell>
          <cell r="D1490" t="str">
            <v>LS</v>
          </cell>
          <cell r="S1490">
            <v>0</v>
          </cell>
          <cell r="T1490">
            <v>0</v>
          </cell>
          <cell r="U1490">
            <v>0</v>
          </cell>
        </row>
        <row r="1491">
          <cell r="A1491" t="str">
            <v>NOV 2015</v>
          </cell>
          <cell r="B1491" t="str">
            <v>KUUM_365</v>
          </cell>
          <cell r="D1491" t="str">
            <v>LS</v>
          </cell>
          <cell r="S1491">
            <v>0</v>
          </cell>
          <cell r="T1491">
            <v>0</v>
          </cell>
          <cell r="U1491">
            <v>0</v>
          </cell>
        </row>
        <row r="1492">
          <cell r="A1492" t="str">
            <v>NOV 2015</v>
          </cell>
          <cell r="B1492" t="str">
            <v>KUUM_366</v>
          </cell>
          <cell r="D1492" t="str">
            <v>LS</v>
          </cell>
          <cell r="S1492">
            <v>0</v>
          </cell>
          <cell r="T1492">
            <v>0</v>
          </cell>
          <cell r="U1492">
            <v>0</v>
          </cell>
        </row>
        <row r="1493">
          <cell r="A1493" t="str">
            <v>NOV 2015</v>
          </cell>
          <cell r="B1493" t="str">
            <v>KUUM_367</v>
          </cell>
          <cell r="D1493" t="str">
            <v>LS</v>
          </cell>
          <cell r="S1493">
            <v>0</v>
          </cell>
          <cell r="T1493">
            <v>0</v>
          </cell>
          <cell r="U1493">
            <v>0</v>
          </cell>
        </row>
        <row r="1494">
          <cell r="A1494" t="str">
            <v>NOV 2015</v>
          </cell>
          <cell r="B1494" t="str">
            <v>KUUM_368</v>
          </cell>
          <cell r="D1494" t="str">
            <v>LS</v>
          </cell>
          <cell r="S1494">
            <v>0</v>
          </cell>
          <cell r="T1494">
            <v>0</v>
          </cell>
          <cell r="U1494">
            <v>0</v>
          </cell>
        </row>
        <row r="1495">
          <cell r="A1495" t="str">
            <v>NOV 2015</v>
          </cell>
          <cell r="B1495" t="str">
            <v>KUUM_370</v>
          </cell>
          <cell r="D1495" t="str">
            <v>LS</v>
          </cell>
          <cell r="S1495">
            <v>0</v>
          </cell>
          <cell r="T1495">
            <v>0</v>
          </cell>
          <cell r="U1495">
            <v>0</v>
          </cell>
        </row>
        <row r="1496">
          <cell r="A1496" t="str">
            <v>NOV 2015</v>
          </cell>
          <cell r="B1496" t="str">
            <v>KUUM_372</v>
          </cell>
          <cell r="D1496" t="str">
            <v>LS</v>
          </cell>
          <cell r="S1496">
            <v>0</v>
          </cell>
          <cell r="T1496">
            <v>0</v>
          </cell>
          <cell r="U1496">
            <v>0</v>
          </cell>
        </row>
        <row r="1497">
          <cell r="A1497" t="str">
            <v>NOV 2015</v>
          </cell>
          <cell r="B1497" t="str">
            <v>KUUM_373</v>
          </cell>
          <cell r="D1497" t="str">
            <v>LS</v>
          </cell>
          <cell r="S1497">
            <v>0</v>
          </cell>
          <cell r="T1497">
            <v>0</v>
          </cell>
          <cell r="U1497">
            <v>0</v>
          </cell>
        </row>
        <row r="1498">
          <cell r="A1498" t="str">
            <v>NOV 2015</v>
          </cell>
          <cell r="B1498" t="str">
            <v>KUUM_374</v>
          </cell>
          <cell r="D1498" t="str">
            <v>LS</v>
          </cell>
          <cell r="S1498">
            <v>0</v>
          </cell>
          <cell r="T1498">
            <v>0</v>
          </cell>
          <cell r="U1498">
            <v>0</v>
          </cell>
        </row>
        <row r="1499">
          <cell r="A1499" t="str">
            <v>NOV 2015</v>
          </cell>
          <cell r="B1499" t="str">
            <v>KUUM_375</v>
          </cell>
          <cell r="D1499" t="str">
            <v>LS</v>
          </cell>
          <cell r="S1499">
            <v>0</v>
          </cell>
          <cell r="T1499">
            <v>0</v>
          </cell>
          <cell r="U1499">
            <v>0</v>
          </cell>
        </row>
        <row r="1500">
          <cell r="A1500" t="str">
            <v>NOV 2015</v>
          </cell>
          <cell r="B1500" t="str">
            <v>KUUM_376</v>
          </cell>
          <cell r="D1500" t="str">
            <v>LS</v>
          </cell>
          <cell r="S1500">
            <v>0</v>
          </cell>
          <cell r="T1500">
            <v>0</v>
          </cell>
          <cell r="U1500">
            <v>0</v>
          </cell>
        </row>
        <row r="1501">
          <cell r="A1501" t="str">
            <v>NOV 2015</v>
          </cell>
          <cell r="B1501" t="str">
            <v>KUUM_377</v>
          </cell>
          <cell r="D1501" t="str">
            <v>LS</v>
          </cell>
          <cell r="S1501">
            <v>0</v>
          </cell>
          <cell r="T1501">
            <v>0</v>
          </cell>
          <cell r="U1501">
            <v>0</v>
          </cell>
        </row>
        <row r="1502">
          <cell r="A1502" t="str">
            <v>NOV 2015</v>
          </cell>
          <cell r="B1502" t="str">
            <v>KUUM_378</v>
          </cell>
          <cell r="D1502" t="str">
            <v>LS</v>
          </cell>
          <cell r="S1502">
            <v>0</v>
          </cell>
          <cell r="T1502">
            <v>0</v>
          </cell>
          <cell r="U1502">
            <v>0</v>
          </cell>
        </row>
        <row r="1503">
          <cell r="A1503" t="str">
            <v>NOV 2015</v>
          </cell>
          <cell r="B1503" t="str">
            <v>KUUM_401</v>
          </cell>
          <cell r="D1503" t="str">
            <v>LS</v>
          </cell>
          <cell r="S1503">
            <v>0</v>
          </cell>
          <cell r="T1503">
            <v>0</v>
          </cell>
          <cell r="U1503">
            <v>0</v>
          </cell>
        </row>
        <row r="1504">
          <cell r="A1504" t="str">
            <v>NOV 2015</v>
          </cell>
          <cell r="B1504" t="str">
            <v>KUUM_404</v>
          </cell>
          <cell r="D1504" t="str">
            <v>RLS</v>
          </cell>
          <cell r="S1504">
            <v>0</v>
          </cell>
          <cell r="T1504">
            <v>0</v>
          </cell>
          <cell r="U1504">
            <v>0</v>
          </cell>
        </row>
        <row r="1505">
          <cell r="A1505" t="str">
            <v>NOV 2015</v>
          </cell>
          <cell r="B1505" t="str">
            <v>KUUM_405</v>
          </cell>
          <cell r="D1505" t="str">
            <v>LS</v>
          </cell>
          <cell r="S1505">
            <v>0</v>
          </cell>
          <cell r="T1505">
            <v>0</v>
          </cell>
          <cell r="U1505">
            <v>0</v>
          </cell>
        </row>
        <row r="1506">
          <cell r="A1506" t="str">
            <v>NOV 2015</v>
          </cell>
          <cell r="B1506" t="str">
            <v>KUUM_409</v>
          </cell>
          <cell r="D1506" t="str">
            <v>RLS</v>
          </cell>
          <cell r="S1506">
            <v>0</v>
          </cell>
          <cell r="T1506">
            <v>0</v>
          </cell>
          <cell r="U1506">
            <v>0</v>
          </cell>
        </row>
        <row r="1507">
          <cell r="A1507" t="str">
            <v>NOV 2015</v>
          </cell>
          <cell r="B1507" t="str">
            <v>KUUM_410</v>
          </cell>
          <cell r="D1507" t="str">
            <v>RLS</v>
          </cell>
          <cell r="S1507">
            <v>0</v>
          </cell>
          <cell r="T1507">
            <v>0</v>
          </cell>
          <cell r="U1507">
            <v>0</v>
          </cell>
        </row>
        <row r="1508">
          <cell r="A1508" t="str">
            <v>NOV 2015</v>
          </cell>
          <cell r="B1508" t="str">
            <v>KUUM_411</v>
          </cell>
          <cell r="D1508" t="str">
            <v>LS</v>
          </cell>
          <cell r="S1508">
            <v>0</v>
          </cell>
          <cell r="T1508">
            <v>0</v>
          </cell>
          <cell r="U1508">
            <v>0</v>
          </cell>
        </row>
        <row r="1509">
          <cell r="A1509" t="str">
            <v>NOV 2015</v>
          </cell>
          <cell r="B1509" t="str">
            <v>KUUM_412</v>
          </cell>
          <cell r="D1509" t="str">
            <v>RLS</v>
          </cell>
          <cell r="S1509">
            <v>0</v>
          </cell>
          <cell r="T1509">
            <v>0</v>
          </cell>
          <cell r="U1509">
            <v>0</v>
          </cell>
        </row>
        <row r="1510">
          <cell r="A1510" t="str">
            <v>NOV 2015</v>
          </cell>
          <cell r="B1510" t="str">
            <v>KUUM_413</v>
          </cell>
          <cell r="D1510" t="str">
            <v>RLS</v>
          </cell>
          <cell r="S1510">
            <v>0</v>
          </cell>
          <cell r="T1510">
            <v>0</v>
          </cell>
          <cell r="U1510">
            <v>0</v>
          </cell>
        </row>
        <row r="1511">
          <cell r="A1511" t="str">
            <v>NOV 2015</v>
          </cell>
          <cell r="B1511" t="str">
            <v>KUUM_414</v>
          </cell>
          <cell r="D1511" t="str">
            <v>LS</v>
          </cell>
          <cell r="S1511">
            <v>0</v>
          </cell>
          <cell r="T1511">
            <v>0</v>
          </cell>
          <cell r="U1511">
            <v>0</v>
          </cell>
        </row>
        <row r="1512">
          <cell r="A1512" t="str">
            <v>NOV 2015</v>
          </cell>
          <cell r="B1512" t="str">
            <v>KUUM_415</v>
          </cell>
          <cell r="D1512" t="str">
            <v>LS</v>
          </cell>
          <cell r="S1512">
            <v>0</v>
          </cell>
          <cell r="T1512">
            <v>0</v>
          </cell>
          <cell r="U1512">
            <v>0</v>
          </cell>
        </row>
        <row r="1513">
          <cell r="A1513" t="str">
            <v>NOV 2015</v>
          </cell>
          <cell r="B1513" t="str">
            <v>KUUM_420</v>
          </cell>
          <cell r="D1513" t="str">
            <v>LS</v>
          </cell>
          <cell r="S1513">
            <v>0</v>
          </cell>
          <cell r="T1513">
            <v>0</v>
          </cell>
          <cell r="U1513">
            <v>0</v>
          </cell>
        </row>
        <row r="1514">
          <cell r="A1514" t="str">
            <v>NOV 2015</v>
          </cell>
          <cell r="B1514" t="str">
            <v>KUUM_421</v>
          </cell>
          <cell r="D1514" t="str">
            <v>RLS</v>
          </cell>
          <cell r="S1514">
            <v>0</v>
          </cell>
          <cell r="T1514">
            <v>0</v>
          </cell>
          <cell r="U1514">
            <v>0</v>
          </cell>
        </row>
        <row r="1515">
          <cell r="A1515" t="str">
            <v>NOV 2015</v>
          </cell>
          <cell r="B1515" t="str">
            <v>KUUM_422</v>
          </cell>
          <cell r="D1515" t="str">
            <v>RLS</v>
          </cell>
          <cell r="S1515">
            <v>0</v>
          </cell>
          <cell r="T1515">
            <v>0</v>
          </cell>
          <cell r="U1515">
            <v>0</v>
          </cell>
        </row>
        <row r="1516">
          <cell r="A1516" t="str">
            <v>NOV 2015</v>
          </cell>
          <cell r="B1516" t="str">
            <v>KUUM_424</v>
          </cell>
          <cell r="D1516" t="str">
            <v>RLS</v>
          </cell>
          <cell r="S1516">
            <v>0</v>
          </cell>
          <cell r="T1516">
            <v>0</v>
          </cell>
          <cell r="U1516">
            <v>0</v>
          </cell>
        </row>
        <row r="1517">
          <cell r="A1517" t="str">
            <v>NOV 2015</v>
          </cell>
          <cell r="B1517" t="str">
            <v>KUUM_425</v>
          </cell>
          <cell r="D1517" t="str">
            <v>RLS</v>
          </cell>
          <cell r="S1517">
            <v>0</v>
          </cell>
          <cell r="T1517">
            <v>0</v>
          </cell>
          <cell r="U1517">
            <v>0</v>
          </cell>
        </row>
        <row r="1518">
          <cell r="A1518" t="str">
            <v>NOV 2015</v>
          </cell>
          <cell r="B1518" t="str">
            <v>KUUM_426</v>
          </cell>
          <cell r="D1518" t="str">
            <v>RLS</v>
          </cell>
          <cell r="S1518">
            <v>0</v>
          </cell>
          <cell r="T1518">
            <v>0</v>
          </cell>
          <cell r="U1518">
            <v>0</v>
          </cell>
        </row>
        <row r="1519">
          <cell r="A1519" t="str">
            <v>NOV 2015</v>
          </cell>
          <cell r="B1519" t="str">
            <v>KUUM_428</v>
          </cell>
          <cell r="D1519" t="str">
            <v>LS</v>
          </cell>
          <cell r="S1519">
            <v>0</v>
          </cell>
          <cell r="T1519">
            <v>0</v>
          </cell>
          <cell r="U1519">
            <v>0</v>
          </cell>
        </row>
        <row r="1520">
          <cell r="A1520" t="str">
            <v>NOV 2015</v>
          </cell>
          <cell r="B1520" t="str">
            <v>KUUM_430</v>
          </cell>
          <cell r="D1520" t="str">
            <v>LS</v>
          </cell>
          <cell r="S1520">
            <v>0</v>
          </cell>
          <cell r="T1520">
            <v>0</v>
          </cell>
          <cell r="U1520">
            <v>0</v>
          </cell>
        </row>
        <row r="1521">
          <cell r="A1521" t="str">
            <v>NOV 2015</v>
          </cell>
          <cell r="B1521" t="str">
            <v>KUUM_434</v>
          </cell>
          <cell r="D1521" t="str">
            <v>RLS</v>
          </cell>
          <cell r="S1521">
            <v>0</v>
          </cell>
          <cell r="T1521">
            <v>0</v>
          </cell>
          <cell r="U1521">
            <v>0</v>
          </cell>
        </row>
        <row r="1522">
          <cell r="A1522" t="str">
            <v>NOV 2015</v>
          </cell>
          <cell r="B1522" t="str">
            <v>KUUM_440</v>
          </cell>
          <cell r="D1522" t="str">
            <v>RLS</v>
          </cell>
          <cell r="S1522">
            <v>0</v>
          </cell>
          <cell r="T1522">
            <v>0</v>
          </cell>
          <cell r="U1522">
            <v>0</v>
          </cell>
        </row>
        <row r="1523">
          <cell r="A1523" t="str">
            <v>NOV 2015</v>
          </cell>
          <cell r="B1523" t="str">
            <v>KUUM_446</v>
          </cell>
          <cell r="D1523" t="str">
            <v>RLS</v>
          </cell>
          <cell r="S1523">
            <v>0</v>
          </cell>
          <cell r="T1523">
            <v>0</v>
          </cell>
          <cell r="U1523">
            <v>0</v>
          </cell>
        </row>
        <row r="1524">
          <cell r="A1524" t="str">
            <v>NOV 2015</v>
          </cell>
          <cell r="B1524" t="str">
            <v>KUUM_447</v>
          </cell>
          <cell r="D1524" t="str">
            <v>RLS</v>
          </cell>
          <cell r="S1524">
            <v>0</v>
          </cell>
          <cell r="T1524">
            <v>0</v>
          </cell>
          <cell r="U1524">
            <v>0</v>
          </cell>
        </row>
        <row r="1525">
          <cell r="A1525" t="str">
            <v>NOV 2015</v>
          </cell>
          <cell r="B1525" t="str">
            <v>KUUM_448</v>
          </cell>
          <cell r="D1525" t="str">
            <v>RLS</v>
          </cell>
          <cell r="S1525">
            <v>0</v>
          </cell>
          <cell r="T1525">
            <v>0</v>
          </cell>
          <cell r="U1525">
            <v>0</v>
          </cell>
        </row>
        <row r="1526">
          <cell r="A1526" t="str">
            <v>NOV 2015</v>
          </cell>
          <cell r="B1526" t="str">
            <v>KUUM_450</v>
          </cell>
          <cell r="D1526" t="str">
            <v>LS</v>
          </cell>
          <cell r="S1526">
            <v>0</v>
          </cell>
          <cell r="T1526">
            <v>0</v>
          </cell>
          <cell r="U1526">
            <v>0</v>
          </cell>
        </row>
        <row r="1527">
          <cell r="A1527" t="str">
            <v>NOV 2015</v>
          </cell>
          <cell r="B1527" t="str">
            <v>KUUM_451</v>
          </cell>
          <cell r="D1527" t="str">
            <v>LS</v>
          </cell>
          <cell r="S1527">
            <v>0</v>
          </cell>
          <cell r="T1527">
            <v>0</v>
          </cell>
          <cell r="U1527">
            <v>0</v>
          </cell>
        </row>
        <row r="1528">
          <cell r="A1528" t="str">
            <v>NOV 2015</v>
          </cell>
          <cell r="B1528" t="str">
            <v>KUUM_452</v>
          </cell>
          <cell r="D1528" t="str">
            <v>LS</v>
          </cell>
          <cell r="S1528">
            <v>0</v>
          </cell>
          <cell r="T1528">
            <v>0</v>
          </cell>
          <cell r="U1528">
            <v>0</v>
          </cell>
        </row>
        <row r="1529">
          <cell r="A1529" t="str">
            <v>NOV 2015</v>
          </cell>
          <cell r="B1529" t="str">
            <v>KUUM_454</v>
          </cell>
          <cell r="D1529" t="str">
            <v>RLS</v>
          </cell>
          <cell r="S1529">
            <v>0</v>
          </cell>
          <cell r="T1529">
            <v>0</v>
          </cell>
          <cell r="U1529">
            <v>0</v>
          </cell>
        </row>
        <row r="1530">
          <cell r="A1530" t="str">
            <v>NOV 2015</v>
          </cell>
          <cell r="B1530" t="str">
            <v>KUUM_455</v>
          </cell>
          <cell r="D1530" t="str">
            <v>RLS</v>
          </cell>
          <cell r="S1530">
            <v>0</v>
          </cell>
          <cell r="T1530">
            <v>0</v>
          </cell>
          <cell r="U1530">
            <v>0</v>
          </cell>
        </row>
        <row r="1531">
          <cell r="A1531" t="str">
            <v>NOV 2015</v>
          </cell>
          <cell r="B1531" t="str">
            <v>KUUM_456</v>
          </cell>
          <cell r="D1531" t="str">
            <v>RLS</v>
          </cell>
          <cell r="S1531">
            <v>0</v>
          </cell>
          <cell r="T1531">
            <v>0</v>
          </cell>
          <cell r="U1531">
            <v>0</v>
          </cell>
        </row>
        <row r="1532">
          <cell r="A1532" t="str">
            <v>NOV 2015</v>
          </cell>
          <cell r="B1532" t="str">
            <v>KUUM_457</v>
          </cell>
          <cell r="D1532" t="str">
            <v>RLS</v>
          </cell>
          <cell r="S1532">
            <v>0</v>
          </cell>
          <cell r="T1532">
            <v>0</v>
          </cell>
          <cell r="U1532">
            <v>0</v>
          </cell>
        </row>
        <row r="1533">
          <cell r="A1533" t="str">
            <v>NOV 2015</v>
          </cell>
          <cell r="B1533" t="str">
            <v>KUUM_458</v>
          </cell>
          <cell r="D1533" t="str">
            <v>RLS</v>
          </cell>
          <cell r="S1533">
            <v>0</v>
          </cell>
          <cell r="T1533">
            <v>0</v>
          </cell>
          <cell r="U1533">
            <v>0</v>
          </cell>
        </row>
        <row r="1534">
          <cell r="A1534" t="str">
            <v>NOV 2015</v>
          </cell>
          <cell r="B1534" t="str">
            <v>KUUM_459</v>
          </cell>
          <cell r="D1534" t="str">
            <v>RLS</v>
          </cell>
          <cell r="S1534">
            <v>0</v>
          </cell>
          <cell r="T1534">
            <v>0</v>
          </cell>
          <cell r="U1534">
            <v>0</v>
          </cell>
        </row>
        <row r="1535">
          <cell r="A1535" t="str">
            <v>NOV 2015</v>
          </cell>
          <cell r="B1535" t="str">
            <v>KUUM_460</v>
          </cell>
          <cell r="D1535" t="str">
            <v>RLS</v>
          </cell>
          <cell r="S1535">
            <v>0</v>
          </cell>
          <cell r="T1535">
            <v>0</v>
          </cell>
          <cell r="U1535">
            <v>0</v>
          </cell>
        </row>
        <row r="1536">
          <cell r="A1536" t="str">
            <v>NOV 2015</v>
          </cell>
          <cell r="B1536" t="str">
            <v>KUUM_461</v>
          </cell>
          <cell r="D1536" t="str">
            <v>RLS</v>
          </cell>
          <cell r="S1536">
            <v>0</v>
          </cell>
          <cell r="T1536">
            <v>0</v>
          </cell>
          <cell r="U1536">
            <v>0</v>
          </cell>
        </row>
        <row r="1537">
          <cell r="A1537" t="str">
            <v>NOV 2015</v>
          </cell>
          <cell r="B1537" t="str">
            <v>KUUM_462</v>
          </cell>
          <cell r="D1537" t="str">
            <v>LS</v>
          </cell>
          <cell r="S1537">
            <v>0</v>
          </cell>
          <cell r="T1537">
            <v>0</v>
          </cell>
          <cell r="U1537">
            <v>0</v>
          </cell>
        </row>
        <row r="1538">
          <cell r="A1538" t="str">
            <v>NOV 2015</v>
          </cell>
          <cell r="B1538" t="str">
            <v>KUUM_463</v>
          </cell>
          <cell r="D1538" t="str">
            <v>LS</v>
          </cell>
          <cell r="S1538">
            <v>0</v>
          </cell>
          <cell r="T1538">
            <v>0</v>
          </cell>
          <cell r="U1538">
            <v>0</v>
          </cell>
        </row>
        <row r="1539">
          <cell r="A1539" t="str">
            <v>NOV 2015</v>
          </cell>
          <cell r="B1539" t="str">
            <v>KUUM_464</v>
          </cell>
          <cell r="D1539" t="str">
            <v>LS</v>
          </cell>
          <cell r="S1539">
            <v>0</v>
          </cell>
          <cell r="T1539">
            <v>0</v>
          </cell>
          <cell r="U1539">
            <v>0</v>
          </cell>
        </row>
        <row r="1540">
          <cell r="A1540" t="str">
            <v>NOV 2015</v>
          </cell>
          <cell r="B1540" t="str">
            <v>KUUM_465</v>
          </cell>
          <cell r="D1540" t="str">
            <v>LS</v>
          </cell>
          <cell r="S1540">
            <v>0</v>
          </cell>
          <cell r="T1540">
            <v>0</v>
          </cell>
          <cell r="U1540">
            <v>0</v>
          </cell>
        </row>
        <row r="1541">
          <cell r="A1541" t="str">
            <v>NOV 2015</v>
          </cell>
          <cell r="B1541" t="str">
            <v>KUUM_465CU</v>
          </cell>
          <cell r="D1541" t="str">
            <v>LS</v>
          </cell>
          <cell r="S1541">
            <v>0</v>
          </cell>
          <cell r="T1541">
            <v>0</v>
          </cell>
          <cell r="U1541">
            <v>0</v>
          </cell>
        </row>
        <row r="1542">
          <cell r="A1542" t="str">
            <v>NOV 2015</v>
          </cell>
          <cell r="B1542" t="str">
            <v>KUUM_466</v>
          </cell>
          <cell r="D1542" t="str">
            <v>RLS</v>
          </cell>
          <cell r="S1542">
            <v>0</v>
          </cell>
          <cell r="T1542">
            <v>0</v>
          </cell>
          <cell r="U1542">
            <v>0</v>
          </cell>
        </row>
        <row r="1543">
          <cell r="A1543" t="str">
            <v>NOV 2015</v>
          </cell>
          <cell r="B1543" t="str">
            <v>KUUM_467</v>
          </cell>
          <cell r="D1543" t="str">
            <v>LS</v>
          </cell>
          <cell r="S1543">
            <v>0</v>
          </cell>
          <cell r="T1543">
            <v>0</v>
          </cell>
          <cell r="U1543">
            <v>0</v>
          </cell>
        </row>
        <row r="1544">
          <cell r="A1544" t="str">
            <v>NOV 2015</v>
          </cell>
          <cell r="B1544" t="str">
            <v>KUUM_468</v>
          </cell>
          <cell r="D1544" t="str">
            <v>LS</v>
          </cell>
          <cell r="S1544">
            <v>0</v>
          </cell>
          <cell r="T1544">
            <v>0</v>
          </cell>
          <cell r="U1544">
            <v>0</v>
          </cell>
        </row>
        <row r="1545">
          <cell r="A1545" t="str">
            <v>NOV 2015</v>
          </cell>
          <cell r="B1545" t="str">
            <v>KUUM_469</v>
          </cell>
          <cell r="D1545" t="str">
            <v>RLS</v>
          </cell>
          <cell r="S1545">
            <v>0</v>
          </cell>
          <cell r="T1545">
            <v>0</v>
          </cell>
          <cell r="U1545">
            <v>0</v>
          </cell>
        </row>
        <row r="1546">
          <cell r="A1546" t="str">
            <v>NOV 2015</v>
          </cell>
          <cell r="B1546" t="str">
            <v>KUUM_470</v>
          </cell>
          <cell r="D1546" t="str">
            <v>RLS</v>
          </cell>
          <cell r="S1546">
            <v>0</v>
          </cell>
          <cell r="T1546">
            <v>0</v>
          </cell>
          <cell r="U1546">
            <v>0</v>
          </cell>
        </row>
        <row r="1547">
          <cell r="A1547" t="str">
            <v>NOV 2015</v>
          </cell>
          <cell r="B1547" t="str">
            <v>KUUM_471</v>
          </cell>
          <cell r="D1547" t="str">
            <v>RLS</v>
          </cell>
          <cell r="S1547">
            <v>0</v>
          </cell>
          <cell r="T1547">
            <v>0</v>
          </cell>
          <cell r="U1547">
            <v>0</v>
          </cell>
        </row>
        <row r="1548">
          <cell r="A1548" t="str">
            <v>NOV 2015</v>
          </cell>
          <cell r="B1548" t="str">
            <v>KUUM_472</v>
          </cell>
          <cell r="D1548" t="str">
            <v>LS</v>
          </cell>
          <cell r="S1548">
            <v>0</v>
          </cell>
          <cell r="T1548">
            <v>0</v>
          </cell>
          <cell r="U1548">
            <v>0</v>
          </cell>
        </row>
        <row r="1549">
          <cell r="A1549" t="str">
            <v>NOV 2015</v>
          </cell>
          <cell r="B1549" t="str">
            <v>KUUM_473</v>
          </cell>
          <cell r="D1549" t="str">
            <v>LS</v>
          </cell>
          <cell r="S1549">
            <v>0</v>
          </cell>
          <cell r="T1549">
            <v>0</v>
          </cell>
          <cell r="U1549">
            <v>0</v>
          </cell>
        </row>
        <row r="1550">
          <cell r="A1550" t="str">
            <v>NOV 2015</v>
          </cell>
          <cell r="B1550" t="str">
            <v>KUUM_474</v>
          </cell>
          <cell r="D1550" t="str">
            <v>LS</v>
          </cell>
          <cell r="S1550">
            <v>0</v>
          </cell>
          <cell r="T1550">
            <v>0</v>
          </cell>
          <cell r="U1550">
            <v>0</v>
          </cell>
        </row>
        <row r="1551">
          <cell r="A1551" t="str">
            <v>NOV 2015</v>
          </cell>
          <cell r="B1551" t="str">
            <v>KUUM_475</v>
          </cell>
          <cell r="D1551" t="str">
            <v>LS</v>
          </cell>
          <cell r="S1551">
            <v>0</v>
          </cell>
          <cell r="T1551">
            <v>0</v>
          </cell>
          <cell r="U1551">
            <v>0</v>
          </cell>
        </row>
        <row r="1552">
          <cell r="A1552" t="str">
            <v>NOV 2015</v>
          </cell>
          <cell r="B1552" t="str">
            <v>KUUM_476</v>
          </cell>
          <cell r="D1552" t="str">
            <v>LS</v>
          </cell>
          <cell r="S1552">
            <v>0</v>
          </cell>
          <cell r="T1552">
            <v>0</v>
          </cell>
          <cell r="U1552">
            <v>0</v>
          </cell>
        </row>
        <row r="1553">
          <cell r="A1553" t="str">
            <v>NOV 2015</v>
          </cell>
          <cell r="B1553" t="str">
            <v>KUUM_477</v>
          </cell>
          <cell r="D1553" t="str">
            <v>LS</v>
          </cell>
          <cell r="S1553">
            <v>0</v>
          </cell>
          <cell r="T1553">
            <v>0</v>
          </cell>
          <cell r="U1553">
            <v>0</v>
          </cell>
        </row>
        <row r="1554">
          <cell r="A1554" t="str">
            <v>NOV 2015</v>
          </cell>
          <cell r="B1554" t="str">
            <v>KUUM_478</v>
          </cell>
          <cell r="D1554" t="str">
            <v>LS</v>
          </cell>
          <cell r="S1554">
            <v>0</v>
          </cell>
          <cell r="T1554">
            <v>0</v>
          </cell>
          <cell r="U1554">
            <v>0</v>
          </cell>
        </row>
        <row r="1555">
          <cell r="A1555" t="str">
            <v>NOV 2015</v>
          </cell>
          <cell r="B1555" t="str">
            <v>KUUM_479</v>
          </cell>
          <cell r="D1555" t="str">
            <v>LS</v>
          </cell>
          <cell r="S1555">
            <v>0</v>
          </cell>
          <cell r="T1555">
            <v>0</v>
          </cell>
          <cell r="U1555">
            <v>0</v>
          </cell>
        </row>
        <row r="1556">
          <cell r="A1556" t="str">
            <v>NOV 2015</v>
          </cell>
          <cell r="B1556" t="str">
            <v>KUUM_487</v>
          </cell>
          <cell r="D1556" t="str">
            <v>LS</v>
          </cell>
          <cell r="S1556">
            <v>0</v>
          </cell>
          <cell r="T1556">
            <v>0</v>
          </cell>
          <cell r="U1556">
            <v>0</v>
          </cell>
        </row>
        <row r="1557">
          <cell r="A1557" t="str">
            <v>NOV 2015</v>
          </cell>
          <cell r="B1557" t="str">
            <v>KUUM_488</v>
          </cell>
          <cell r="D1557" t="str">
            <v>LS</v>
          </cell>
          <cell r="S1557">
            <v>0</v>
          </cell>
          <cell r="T1557">
            <v>0</v>
          </cell>
          <cell r="U1557">
            <v>0</v>
          </cell>
        </row>
        <row r="1558">
          <cell r="A1558" t="str">
            <v>NOV 2015</v>
          </cell>
          <cell r="B1558" t="str">
            <v>KUUM_489</v>
          </cell>
          <cell r="D1558" t="str">
            <v>LS</v>
          </cell>
          <cell r="S1558">
            <v>0</v>
          </cell>
          <cell r="T1558">
            <v>0</v>
          </cell>
          <cell r="U1558">
            <v>0</v>
          </cell>
        </row>
        <row r="1559">
          <cell r="A1559" t="str">
            <v>NOV 2015</v>
          </cell>
          <cell r="B1559" t="str">
            <v>KUUM_490</v>
          </cell>
          <cell r="D1559" t="str">
            <v>LS</v>
          </cell>
          <cell r="S1559">
            <v>0</v>
          </cell>
          <cell r="T1559">
            <v>0</v>
          </cell>
          <cell r="U1559">
            <v>0</v>
          </cell>
        </row>
        <row r="1560">
          <cell r="A1560" t="str">
            <v>NOV 2015</v>
          </cell>
          <cell r="B1560" t="str">
            <v>KUUM_491</v>
          </cell>
          <cell r="D1560" t="str">
            <v>LS</v>
          </cell>
          <cell r="S1560">
            <v>0</v>
          </cell>
          <cell r="T1560">
            <v>0</v>
          </cell>
          <cell r="U1560">
            <v>0</v>
          </cell>
        </row>
        <row r="1561">
          <cell r="A1561" t="str">
            <v>NOV 2015</v>
          </cell>
          <cell r="B1561" t="str">
            <v>KUUM_492</v>
          </cell>
          <cell r="D1561" t="str">
            <v>LS</v>
          </cell>
          <cell r="S1561">
            <v>0</v>
          </cell>
          <cell r="T1561">
            <v>0</v>
          </cell>
          <cell r="U1561">
            <v>0</v>
          </cell>
        </row>
        <row r="1562">
          <cell r="A1562" t="str">
            <v>NOV 2015</v>
          </cell>
          <cell r="B1562" t="str">
            <v>KUUM_493</v>
          </cell>
          <cell r="D1562" t="str">
            <v>LS</v>
          </cell>
          <cell r="S1562">
            <v>0</v>
          </cell>
          <cell r="T1562">
            <v>0</v>
          </cell>
          <cell r="U1562">
            <v>0</v>
          </cell>
        </row>
        <row r="1563">
          <cell r="A1563" t="str">
            <v>NOV 2015</v>
          </cell>
          <cell r="B1563" t="str">
            <v>KUUM_494</v>
          </cell>
          <cell r="D1563" t="str">
            <v>LS</v>
          </cell>
          <cell r="S1563">
            <v>0</v>
          </cell>
          <cell r="T1563">
            <v>0</v>
          </cell>
          <cell r="U1563">
            <v>0</v>
          </cell>
        </row>
        <row r="1564">
          <cell r="A1564" t="str">
            <v>NOV 2015</v>
          </cell>
          <cell r="B1564" t="str">
            <v>KUUM_495</v>
          </cell>
          <cell r="D1564" t="str">
            <v>LS</v>
          </cell>
          <cell r="S1564">
            <v>0</v>
          </cell>
          <cell r="T1564">
            <v>0</v>
          </cell>
          <cell r="U1564">
            <v>0</v>
          </cell>
        </row>
        <row r="1565">
          <cell r="A1565" t="str">
            <v>NOV 2015</v>
          </cell>
          <cell r="B1565" t="str">
            <v>KUUM_496</v>
          </cell>
          <cell r="D1565" t="str">
            <v>LS</v>
          </cell>
          <cell r="S1565">
            <v>0</v>
          </cell>
          <cell r="T1565">
            <v>0</v>
          </cell>
          <cell r="U1565">
            <v>0</v>
          </cell>
        </row>
        <row r="1566">
          <cell r="A1566" t="str">
            <v>NOV 2015</v>
          </cell>
          <cell r="B1566" t="str">
            <v>KUUM_497</v>
          </cell>
          <cell r="D1566" t="str">
            <v>LS</v>
          </cell>
          <cell r="S1566">
            <v>0</v>
          </cell>
          <cell r="T1566">
            <v>0</v>
          </cell>
          <cell r="U1566">
            <v>0</v>
          </cell>
        </row>
        <row r="1567">
          <cell r="A1567" t="str">
            <v>NOV 2015</v>
          </cell>
          <cell r="B1567" t="str">
            <v>KUUM_498</v>
          </cell>
          <cell r="D1567" t="str">
            <v>LS</v>
          </cell>
          <cell r="S1567">
            <v>0</v>
          </cell>
          <cell r="T1567">
            <v>0</v>
          </cell>
          <cell r="U1567">
            <v>0</v>
          </cell>
        </row>
        <row r="1568">
          <cell r="A1568" t="str">
            <v>NOV 2015</v>
          </cell>
          <cell r="B1568" t="str">
            <v>KUUM_499</v>
          </cell>
          <cell r="D1568" t="str">
            <v>LS</v>
          </cell>
          <cell r="S1568">
            <v>0</v>
          </cell>
          <cell r="T1568">
            <v>0</v>
          </cell>
          <cell r="U1568">
            <v>0</v>
          </cell>
        </row>
        <row r="1569">
          <cell r="A1569" t="str">
            <v>NOV 2015</v>
          </cell>
          <cell r="B1569" t="str">
            <v>KUUM_820</v>
          </cell>
          <cell r="D1569" t="str">
            <v>ODL</v>
          </cell>
          <cell r="S1569">
            <v>0</v>
          </cell>
          <cell r="T1569">
            <v>0</v>
          </cell>
          <cell r="U1569">
            <v>0</v>
          </cell>
        </row>
        <row r="1570">
          <cell r="A1570" t="str">
            <v>NOV 2015</v>
          </cell>
          <cell r="B1570" t="str">
            <v>KUUM_825</v>
          </cell>
          <cell r="D1570" t="str">
            <v>EF</v>
          </cell>
          <cell r="S1570">
            <v>0</v>
          </cell>
          <cell r="T1570">
            <v>0</v>
          </cell>
          <cell r="U1570">
            <v>0</v>
          </cell>
        </row>
        <row r="1571">
          <cell r="A1571" t="str">
            <v>NOV 2015</v>
          </cell>
          <cell r="B1571" t="str">
            <v>KUUM_826</v>
          </cell>
          <cell r="D1571" t="str">
            <v>EF</v>
          </cell>
          <cell r="S1571">
            <v>0</v>
          </cell>
          <cell r="T1571">
            <v>0</v>
          </cell>
          <cell r="U1571">
            <v>0</v>
          </cell>
        </row>
        <row r="1572">
          <cell r="A1572" t="str">
            <v>NOV 2015</v>
          </cell>
          <cell r="B1572" t="str">
            <v>KUUM_827</v>
          </cell>
          <cell r="D1572" t="str">
            <v>DA</v>
          </cell>
          <cell r="S1572">
            <v>0</v>
          </cell>
          <cell r="T1572">
            <v>0</v>
          </cell>
          <cell r="U1572">
            <v>0</v>
          </cell>
        </row>
        <row r="1573">
          <cell r="A1573" t="str">
            <v>NOV 2015</v>
          </cell>
          <cell r="B1573" t="str">
            <v>KUUM_828</v>
          </cell>
          <cell r="D1573" t="str">
            <v>EF</v>
          </cell>
          <cell r="S1573">
            <v>0</v>
          </cell>
          <cell r="T1573">
            <v>0</v>
          </cell>
          <cell r="U1573">
            <v>0</v>
          </cell>
        </row>
        <row r="1574">
          <cell r="A1574" t="str">
            <v>NOV 2015</v>
          </cell>
          <cell r="B1574" t="str">
            <v>KUUM_829</v>
          </cell>
          <cell r="D1574" t="str">
            <v>EF</v>
          </cell>
          <cell r="S1574">
            <v>0</v>
          </cell>
          <cell r="T1574">
            <v>0</v>
          </cell>
          <cell r="U1574">
            <v>0</v>
          </cell>
        </row>
        <row r="1575">
          <cell r="A1575" t="str">
            <v>NOV 2015</v>
          </cell>
          <cell r="B1575" t="str">
            <v>ODRSE020</v>
          </cell>
          <cell r="D1575" t="str">
            <v>ODRS</v>
          </cell>
          <cell r="S1575">
            <v>0</v>
          </cell>
          <cell r="T1575">
            <v>0</v>
          </cell>
          <cell r="U1575">
            <v>0</v>
          </cell>
        </row>
        <row r="1576">
          <cell r="A1576" t="str">
            <v>NOV 2015</v>
          </cell>
          <cell r="B1576" t="str">
            <v>Result</v>
          </cell>
          <cell r="S1576">
            <v>0</v>
          </cell>
          <cell r="T1576">
            <v>0</v>
          </cell>
          <cell r="U1576">
            <v>0</v>
          </cell>
        </row>
        <row r="1577">
          <cell r="A1577" t="str">
            <v>DEC 2015</v>
          </cell>
          <cell r="B1577" t="str">
            <v>KTRSE020</v>
          </cell>
          <cell r="D1577" t="str">
            <v>TNRS</v>
          </cell>
          <cell r="E1577">
            <v>0</v>
          </cell>
          <cell r="F1577">
            <v>0</v>
          </cell>
          <cell r="L1577">
            <v>0</v>
          </cell>
          <cell r="M1577">
            <v>0</v>
          </cell>
          <cell r="P1577">
            <v>0</v>
          </cell>
          <cell r="R1577">
            <v>0</v>
          </cell>
          <cell r="S1577">
            <v>0</v>
          </cell>
          <cell r="T1577">
            <v>0</v>
          </cell>
          <cell r="U1577">
            <v>0</v>
          </cell>
        </row>
        <row r="1578">
          <cell r="A1578" t="str">
            <v>DEC 2015</v>
          </cell>
          <cell r="B1578" t="str">
            <v>KTRSE030</v>
          </cell>
          <cell r="D1578" t="str">
            <v>TNRS</v>
          </cell>
          <cell r="E1578">
            <v>0</v>
          </cell>
          <cell r="F1578">
            <v>0</v>
          </cell>
          <cell r="L1578">
            <v>0</v>
          </cell>
          <cell r="M1578">
            <v>0</v>
          </cell>
          <cell r="P1578">
            <v>0</v>
          </cell>
          <cell r="R1578">
            <v>0</v>
          </cell>
          <cell r="S1578">
            <v>0</v>
          </cell>
          <cell r="T1578">
            <v>0</v>
          </cell>
          <cell r="U1578">
            <v>0</v>
          </cell>
        </row>
        <row r="1579">
          <cell r="A1579" t="str">
            <v>DEC 2015</v>
          </cell>
          <cell r="B1579" t="str">
            <v>KTUM_406</v>
          </cell>
          <cell r="D1579" t="str">
            <v>TNLS</v>
          </cell>
          <cell r="E1579">
            <v>0</v>
          </cell>
          <cell r="F1579">
            <v>0</v>
          </cell>
          <cell r="L1579">
            <v>0</v>
          </cell>
          <cell r="M1579">
            <v>0</v>
          </cell>
          <cell r="P1579">
            <v>0</v>
          </cell>
          <cell r="R1579">
            <v>0</v>
          </cell>
          <cell r="S1579">
            <v>0</v>
          </cell>
          <cell r="T1579">
            <v>0</v>
          </cell>
          <cell r="U1579">
            <v>0</v>
          </cell>
        </row>
        <row r="1580">
          <cell r="A1580" t="str">
            <v>DEC 2015</v>
          </cell>
          <cell r="B1580" t="str">
            <v>KTUM_428</v>
          </cell>
          <cell r="D1580" t="str">
            <v>TNLS</v>
          </cell>
          <cell r="E1580">
            <v>0</v>
          </cell>
          <cell r="F1580">
            <v>0</v>
          </cell>
          <cell r="L1580">
            <v>0</v>
          </cell>
          <cell r="M1580">
            <v>0</v>
          </cell>
          <cell r="P1580">
            <v>0</v>
          </cell>
          <cell r="R1580">
            <v>0</v>
          </cell>
          <cell r="S1580">
            <v>0</v>
          </cell>
          <cell r="T1580">
            <v>0</v>
          </cell>
          <cell r="U1580">
            <v>0</v>
          </cell>
        </row>
        <row r="1581">
          <cell r="A1581" t="str">
            <v>DEC 2015</v>
          </cell>
          <cell r="B1581" t="str">
            <v>KUCIE000</v>
          </cell>
          <cell r="D1581" t="str">
            <v>TS</v>
          </cell>
          <cell r="E1581">
            <v>0</v>
          </cell>
          <cell r="F1581">
            <v>0</v>
          </cell>
          <cell r="L1581">
            <v>0</v>
          </cell>
          <cell r="M1581">
            <v>0</v>
          </cell>
          <cell r="P1581">
            <v>0</v>
          </cell>
          <cell r="R1581">
            <v>0</v>
          </cell>
          <cell r="S1581">
            <v>0</v>
          </cell>
          <cell r="T1581">
            <v>0</v>
          </cell>
          <cell r="U1581">
            <v>0</v>
          </cell>
        </row>
        <row r="1582">
          <cell r="A1582" t="str">
            <v>DEC 2015</v>
          </cell>
          <cell r="B1582" t="str">
            <v>KUCIE550</v>
          </cell>
          <cell r="D1582" t="str">
            <v>RTS</v>
          </cell>
          <cell r="E1582">
            <v>143877223</v>
          </cell>
          <cell r="F1582">
            <v>24000</v>
          </cell>
          <cell r="L1582">
            <v>0</v>
          </cell>
          <cell r="M1582">
            <v>338882</v>
          </cell>
          <cell r="P1582">
            <v>0</v>
          </cell>
          <cell r="R1582">
            <v>8745489</v>
          </cell>
          <cell r="S1582">
            <v>5228498</v>
          </cell>
          <cell r="T1582">
            <v>2427093</v>
          </cell>
          <cell r="U1582">
            <v>727015</v>
          </cell>
        </row>
        <row r="1583">
          <cell r="A1583" t="str">
            <v>DEC 2015</v>
          </cell>
          <cell r="B1583" t="str">
            <v>KUCIE561</v>
          </cell>
          <cell r="D1583" t="str">
            <v>PSP</v>
          </cell>
          <cell r="E1583">
            <v>20132212</v>
          </cell>
          <cell r="F1583">
            <v>33320</v>
          </cell>
          <cell r="L1583">
            <v>31785</v>
          </cell>
          <cell r="M1583">
            <v>47419</v>
          </cell>
          <cell r="P1583">
            <v>0</v>
          </cell>
          <cell r="R1583">
            <v>1649126</v>
          </cell>
          <cell r="S1583">
            <v>717110</v>
          </cell>
          <cell r="T1583">
            <v>717764</v>
          </cell>
          <cell r="U1583">
            <v>101729</v>
          </cell>
        </row>
        <row r="1584">
          <cell r="A1584" t="str">
            <v>DEC 2015</v>
          </cell>
          <cell r="B1584" t="str">
            <v>KUCIE562</v>
          </cell>
          <cell r="D1584" t="str">
            <v>PSS</v>
          </cell>
          <cell r="E1584">
            <v>177385987</v>
          </cell>
          <cell r="F1584">
            <v>419400</v>
          </cell>
          <cell r="L1584">
            <v>280059</v>
          </cell>
          <cell r="M1584">
            <v>417807</v>
          </cell>
          <cell r="P1584">
            <v>0</v>
          </cell>
          <cell r="R1584">
            <v>15570642</v>
          </cell>
          <cell r="S1584">
            <v>6322037</v>
          </cell>
          <cell r="T1584">
            <v>7235004</v>
          </cell>
          <cell r="U1584">
            <v>896336</v>
          </cell>
        </row>
        <row r="1585">
          <cell r="A1585" t="str">
            <v>DEC 2015</v>
          </cell>
          <cell r="B1585" t="str">
            <v>KUCIE563</v>
          </cell>
          <cell r="D1585" t="str">
            <v>TODP</v>
          </cell>
          <cell r="E1585">
            <v>255284575</v>
          </cell>
          <cell r="F1585">
            <v>15600</v>
          </cell>
          <cell r="L1585">
            <v>403046</v>
          </cell>
          <cell r="M1585">
            <v>601286</v>
          </cell>
          <cell r="P1585">
            <v>0</v>
          </cell>
          <cell r="R1585">
            <v>16178604</v>
          </cell>
          <cell r="S1585">
            <v>9611464</v>
          </cell>
          <cell r="T1585">
            <v>4257249</v>
          </cell>
          <cell r="U1585">
            <v>1289959</v>
          </cell>
        </row>
        <row r="1586">
          <cell r="A1586" t="str">
            <v>DEC 2015</v>
          </cell>
          <cell r="B1586" t="str">
            <v>KUCIE566</v>
          </cell>
          <cell r="D1586" t="str">
            <v>PSP</v>
          </cell>
          <cell r="E1586">
            <v>0</v>
          </cell>
          <cell r="F1586">
            <v>0</v>
          </cell>
          <cell r="L1586">
            <v>0</v>
          </cell>
          <cell r="M1586">
            <v>0</v>
          </cell>
          <cell r="P1586">
            <v>0</v>
          </cell>
          <cell r="R1586">
            <v>0</v>
          </cell>
          <cell r="S1586">
            <v>0</v>
          </cell>
          <cell r="T1586">
            <v>0</v>
          </cell>
          <cell r="U1586">
            <v>0</v>
          </cell>
        </row>
        <row r="1587">
          <cell r="A1587" t="str">
            <v>DEC 2015</v>
          </cell>
          <cell r="B1587" t="str">
            <v>KUCIE568</v>
          </cell>
          <cell r="D1587" t="str">
            <v>PSS</v>
          </cell>
          <cell r="E1587">
            <v>0</v>
          </cell>
          <cell r="F1587">
            <v>0</v>
          </cell>
          <cell r="L1587">
            <v>0</v>
          </cell>
          <cell r="M1587">
            <v>0</v>
          </cell>
          <cell r="P1587">
            <v>0</v>
          </cell>
          <cell r="R1587">
            <v>0</v>
          </cell>
          <cell r="S1587">
            <v>0</v>
          </cell>
          <cell r="T1587">
            <v>0</v>
          </cell>
          <cell r="U1587">
            <v>0</v>
          </cell>
        </row>
        <row r="1588">
          <cell r="A1588" t="str">
            <v>DEC 2015</v>
          </cell>
          <cell r="B1588" t="str">
            <v>KUCIE571</v>
          </cell>
          <cell r="D1588" t="str">
            <v>TODP</v>
          </cell>
          <cell r="E1588">
            <v>106794413</v>
          </cell>
          <cell r="F1588">
            <v>60600</v>
          </cell>
          <cell r="L1588">
            <v>168608</v>
          </cell>
          <cell r="M1588">
            <v>251539</v>
          </cell>
          <cell r="P1588">
            <v>0</v>
          </cell>
          <cell r="R1588">
            <v>7179394</v>
          </cell>
          <cell r="S1588">
            <v>4020809</v>
          </cell>
          <cell r="T1588">
            <v>2138202</v>
          </cell>
          <cell r="U1588">
            <v>539635</v>
          </cell>
        </row>
        <row r="1589">
          <cell r="A1589" t="str">
            <v>DEC 2015</v>
          </cell>
          <cell r="B1589" t="str">
            <v>KUCIE572</v>
          </cell>
          <cell r="D1589" t="str">
            <v>TODS</v>
          </cell>
          <cell r="E1589">
            <v>138941021</v>
          </cell>
          <cell r="F1589">
            <v>93200</v>
          </cell>
          <cell r="L1589">
            <v>219361</v>
          </cell>
          <cell r="M1589">
            <v>327256</v>
          </cell>
          <cell r="P1589">
            <v>0</v>
          </cell>
          <cell r="R1589">
            <v>9952638</v>
          </cell>
          <cell r="S1589">
            <v>5242244</v>
          </cell>
          <cell r="T1589">
            <v>3368504</v>
          </cell>
          <cell r="U1589">
            <v>702073</v>
          </cell>
        </row>
        <row r="1590">
          <cell r="A1590" t="str">
            <v>DEC 2015</v>
          </cell>
          <cell r="B1590" t="str">
            <v>KUCIE717</v>
          </cell>
          <cell r="D1590" t="str">
            <v>PSS</v>
          </cell>
          <cell r="E1590">
            <v>0</v>
          </cell>
          <cell r="F1590">
            <v>0</v>
          </cell>
          <cell r="L1590">
            <v>0</v>
          </cell>
          <cell r="M1590">
            <v>0</v>
          </cell>
          <cell r="P1590">
            <v>0</v>
          </cell>
          <cell r="R1590">
            <v>0</v>
          </cell>
          <cell r="S1590">
            <v>0</v>
          </cell>
          <cell r="T1590">
            <v>0</v>
          </cell>
          <cell r="U1590">
            <v>0</v>
          </cell>
        </row>
        <row r="1591">
          <cell r="A1591" t="str">
            <v>DEC 2015</v>
          </cell>
          <cell r="B1591" t="str">
            <v>KUCME000</v>
          </cell>
          <cell r="D1591" t="str">
            <v>TS</v>
          </cell>
          <cell r="E1591">
            <v>0</v>
          </cell>
          <cell r="F1591">
            <v>0</v>
          </cell>
          <cell r="L1591">
            <v>0</v>
          </cell>
          <cell r="M1591">
            <v>0</v>
          </cell>
          <cell r="P1591">
            <v>0</v>
          </cell>
          <cell r="R1591">
            <v>0</v>
          </cell>
          <cell r="S1591">
            <v>0</v>
          </cell>
          <cell r="T1591">
            <v>0</v>
          </cell>
          <cell r="U1591">
            <v>0</v>
          </cell>
        </row>
        <row r="1592">
          <cell r="A1592" t="str">
            <v>DEC 2015</v>
          </cell>
          <cell r="B1592" t="str">
            <v>KUCME110</v>
          </cell>
          <cell r="D1592" t="str">
            <v>GS</v>
          </cell>
          <cell r="E1592">
            <v>68970770</v>
          </cell>
          <cell r="F1592">
            <v>1270587</v>
          </cell>
          <cell r="L1592">
            <v>108892</v>
          </cell>
          <cell r="M1592">
            <v>162451</v>
          </cell>
          <cell r="P1592">
            <v>0</v>
          </cell>
          <cell r="R1592">
            <v>8252994</v>
          </cell>
          <cell r="S1592">
            <v>6362554</v>
          </cell>
          <cell r="T1592">
            <v>0</v>
          </cell>
          <cell r="U1592">
            <v>348511</v>
          </cell>
        </row>
        <row r="1593">
          <cell r="A1593" t="str">
            <v>DEC 2015</v>
          </cell>
          <cell r="B1593" t="str">
            <v>KUCME112</v>
          </cell>
          <cell r="D1593" t="str">
            <v>GS</v>
          </cell>
          <cell r="E1593">
            <v>0</v>
          </cell>
          <cell r="F1593">
            <v>0</v>
          </cell>
          <cell r="L1593">
            <v>0</v>
          </cell>
          <cell r="M1593">
            <v>0</v>
          </cell>
          <cell r="P1593">
            <v>0</v>
          </cell>
          <cell r="R1593">
            <v>0</v>
          </cell>
          <cell r="S1593">
            <v>0</v>
          </cell>
          <cell r="T1593">
            <v>0</v>
          </cell>
          <cell r="U1593">
            <v>0</v>
          </cell>
        </row>
        <row r="1594">
          <cell r="A1594" t="str">
            <v>DEC 2015</v>
          </cell>
          <cell r="B1594" t="str">
            <v>KUCME113</v>
          </cell>
          <cell r="D1594" t="str">
            <v>GS3</v>
          </cell>
          <cell r="E1594">
            <v>101080235</v>
          </cell>
          <cell r="F1594">
            <v>649973</v>
          </cell>
          <cell r="L1594">
            <v>159586</v>
          </cell>
          <cell r="M1594">
            <v>238080</v>
          </cell>
          <cell r="P1594">
            <v>0</v>
          </cell>
          <cell r="R1594">
            <v>10883052</v>
          </cell>
          <cell r="S1594">
            <v>9324651</v>
          </cell>
          <cell r="T1594">
            <v>0</v>
          </cell>
          <cell r="U1594">
            <v>510761</v>
          </cell>
        </row>
        <row r="1595">
          <cell r="A1595" t="str">
            <v>DEC 2015</v>
          </cell>
          <cell r="B1595" t="str">
            <v>KUCME220</v>
          </cell>
          <cell r="D1595" t="str">
            <v>AES</v>
          </cell>
          <cell r="E1595">
            <v>744788</v>
          </cell>
          <cell r="F1595">
            <v>7460</v>
          </cell>
          <cell r="L1595">
            <v>1176</v>
          </cell>
          <cell r="M1595">
            <v>1754</v>
          </cell>
          <cell r="P1595">
            <v>0</v>
          </cell>
          <cell r="R1595">
            <v>69566</v>
          </cell>
          <cell r="S1595">
            <v>55412</v>
          </cell>
          <cell r="T1595">
            <v>0</v>
          </cell>
          <cell r="U1595">
            <v>3763</v>
          </cell>
        </row>
        <row r="1596">
          <cell r="A1596" t="str">
            <v>DEC 2015</v>
          </cell>
          <cell r="B1596" t="str">
            <v>KUCME221</v>
          </cell>
          <cell r="D1596" t="str">
            <v>AESP</v>
          </cell>
          <cell r="E1596">
            <v>0</v>
          </cell>
          <cell r="F1596">
            <v>0</v>
          </cell>
          <cell r="L1596">
            <v>0</v>
          </cell>
          <cell r="M1596">
            <v>0</v>
          </cell>
          <cell r="P1596">
            <v>0</v>
          </cell>
          <cell r="R1596">
            <v>0</v>
          </cell>
          <cell r="S1596">
            <v>0</v>
          </cell>
          <cell r="T1596">
            <v>0</v>
          </cell>
          <cell r="U1596">
            <v>0</v>
          </cell>
        </row>
        <row r="1597">
          <cell r="A1597" t="str">
            <v>DEC 2015</v>
          </cell>
          <cell r="B1597" t="str">
            <v>KUCME223</v>
          </cell>
          <cell r="D1597" t="str">
            <v>AES3</v>
          </cell>
          <cell r="E1597">
            <v>0</v>
          </cell>
          <cell r="F1597">
            <v>0</v>
          </cell>
          <cell r="L1597">
            <v>0</v>
          </cell>
          <cell r="M1597">
            <v>0</v>
          </cell>
          <cell r="P1597">
            <v>0</v>
          </cell>
          <cell r="R1597">
            <v>0</v>
          </cell>
          <cell r="S1597">
            <v>0</v>
          </cell>
          <cell r="T1597">
            <v>0</v>
          </cell>
          <cell r="U1597">
            <v>0</v>
          </cell>
        </row>
        <row r="1598">
          <cell r="A1598" t="str">
            <v>DEC 2015</v>
          </cell>
          <cell r="B1598" t="str">
            <v>KUCME224</v>
          </cell>
          <cell r="D1598" t="str">
            <v>AES3P</v>
          </cell>
          <cell r="E1598">
            <v>13804282</v>
          </cell>
          <cell r="F1598">
            <v>9100</v>
          </cell>
          <cell r="L1598">
            <v>21794</v>
          </cell>
          <cell r="M1598">
            <v>32514</v>
          </cell>
          <cell r="P1598">
            <v>0</v>
          </cell>
          <cell r="R1598">
            <v>1160200</v>
          </cell>
          <cell r="S1598">
            <v>1027038</v>
          </cell>
          <cell r="T1598">
            <v>0</v>
          </cell>
          <cell r="U1598">
            <v>69753</v>
          </cell>
        </row>
        <row r="1599">
          <cell r="A1599" t="str">
            <v>DEC 2015</v>
          </cell>
          <cell r="B1599" t="str">
            <v>KUCME225</v>
          </cell>
          <cell r="D1599" t="str">
            <v>AES3PSS</v>
          </cell>
          <cell r="E1599">
            <v>0</v>
          </cell>
          <cell r="F1599">
            <v>0</v>
          </cell>
          <cell r="L1599">
            <v>0</v>
          </cell>
          <cell r="M1599">
            <v>0</v>
          </cell>
          <cell r="P1599">
            <v>0</v>
          </cell>
          <cell r="R1599">
            <v>0</v>
          </cell>
          <cell r="S1599">
            <v>0</v>
          </cell>
          <cell r="T1599">
            <v>0</v>
          </cell>
          <cell r="U1599">
            <v>0</v>
          </cell>
        </row>
        <row r="1600">
          <cell r="A1600" t="str">
            <v>DEC 2015</v>
          </cell>
          <cell r="B1600" t="str">
            <v>KUCME226</v>
          </cell>
          <cell r="D1600" t="str">
            <v>AESPSS</v>
          </cell>
          <cell r="E1600">
            <v>0</v>
          </cell>
          <cell r="F1600">
            <v>0</v>
          </cell>
          <cell r="L1600">
            <v>0</v>
          </cell>
          <cell r="M1600">
            <v>0</v>
          </cell>
          <cell r="P1600">
            <v>0</v>
          </cell>
          <cell r="R1600">
            <v>0</v>
          </cell>
          <cell r="S1600">
            <v>0</v>
          </cell>
          <cell r="T1600">
            <v>0</v>
          </cell>
          <cell r="U1600">
            <v>0</v>
          </cell>
        </row>
        <row r="1601">
          <cell r="A1601" t="str">
            <v>DEC 2015</v>
          </cell>
          <cell r="B1601" t="str">
            <v>KUCME227</v>
          </cell>
          <cell r="D1601" t="str">
            <v>AESTODS</v>
          </cell>
          <cell r="E1601">
            <v>0</v>
          </cell>
          <cell r="F1601">
            <v>0</v>
          </cell>
          <cell r="L1601">
            <v>0</v>
          </cell>
          <cell r="M1601">
            <v>0</v>
          </cell>
          <cell r="P1601">
            <v>0</v>
          </cell>
          <cell r="R1601">
            <v>0</v>
          </cell>
          <cell r="S1601">
            <v>0</v>
          </cell>
          <cell r="T1601">
            <v>0</v>
          </cell>
          <cell r="U1601">
            <v>0</v>
          </cell>
        </row>
        <row r="1602">
          <cell r="A1602" t="str">
            <v>DEC 2015</v>
          </cell>
          <cell r="B1602" t="str">
            <v>KUCME290</v>
          </cell>
          <cell r="D1602" t="str">
            <v>LE</v>
          </cell>
          <cell r="E1602">
            <v>0</v>
          </cell>
          <cell r="F1602">
            <v>0</v>
          </cell>
          <cell r="L1602">
            <v>0</v>
          </cell>
          <cell r="M1602">
            <v>0</v>
          </cell>
          <cell r="P1602">
            <v>0</v>
          </cell>
          <cell r="R1602">
            <v>0</v>
          </cell>
          <cell r="S1602">
            <v>0</v>
          </cell>
          <cell r="T1602">
            <v>0</v>
          </cell>
          <cell r="U1602">
            <v>0</v>
          </cell>
        </row>
        <row r="1603">
          <cell r="A1603" t="str">
            <v>DEC 2015</v>
          </cell>
          <cell r="B1603" t="str">
            <v>KUCME291</v>
          </cell>
          <cell r="D1603" t="str">
            <v>LE</v>
          </cell>
          <cell r="E1603">
            <v>0</v>
          </cell>
          <cell r="F1603">
            <v>0</v>
          </cell>
          <cell r="L1603">
            <v>0</v>
          </cell>
          <cell r="M1603">
            <v>0</v>
          </cell>
          <cell r="P1603">
            <v>0</v>
          </cell>
          <cell r="R1603">
            <v>0</v>
          </cell>
          <cell r="S1603">
            <v>0</v>
          </cell>
          <cell r="T1603">
            <v>0</v>
          </cell>
          <cell r="U1603">
            <v>0</v>
          </cell>
        </row>
        <row r="1604">
          <cell r="A1604" t="str">
            <v>DEC 2015</v>
          </cell>
          <cell r="B1604" t="str">
            <v>KUCME295</v>
          </cell>
          <cell r="D1604" t="str">
            <v>TE</v>
          </cell>
          <cell r="E1604">
            <v>0</v>
          </cell>
          <cell r="F1604">
            <v>0</v>
          </cell>
          <cell r="L1604">
            <v>0</v>
          </cell>
          <cell r="M1604">
            <v>0</v>
          </cell>
          <cell r="P1604">
            <v>0</v>
          </cell>
          <cell r="R1604">
            <v>0</v>
          </cell>
          <cell r="S1604">
            <v>0</v>
          </cell>
          <cell r="T1604">
            <v>0</v>
          </cell>
          <cell r="U1604">
            <v>0</v>
          </cell>
        </row>
        <row r="1605">
          <cell r="A1605" t="str">
            <v>DEC 2015</v>
          </cell>
          <cell r="B1605" t="str">
            <v>KUCME297</v>
          </cell>
          <cell r="D1605" t="str">
            <v>TE</v>
          </cell>
          <cell r="E1605">
            <v>0</v>
          </cell>
          <cell r="F1605">
            <v>0</v>
          </cell>
          <cell r="L1605">
            <v>0</v>
          </cell>
          <cell r="M1605">
            <v>0</v>
          </cell>
          <cell r="P1605">
            <v>0</v>
          </cell>
          <cell r="R1605">
            <v>0</v>
          </cell>
          <cell r="S1605">
            <v>0</v>
          </cell>
          <cell r="T1605">
            <v>0</v>
          </cell>
          <cell r="U1605">
            <v>0</v>
          </cell>
        </row>
        <row r="1606">
          <cell r="A1606" t="str">
            <v>DEC 2015</v>
          </cell>
          <cell r="B1606" t="str">
            <v>KUCME705</v>
          </cell>
          <cell r="D1606" t="str">
            <v>SQF</v>
          </cell>
          <cell r="E1606">
            <v>0</v>
          </cell>
          <cell r="F1606">
            <v>0</v>
          </cell>
          <cell r="L1606">
            <v>0</v>
          </cell>
          <cell r="M1606">
            <v>0</v>
          </cell>
          <cell r="P1606">
            <v>0</v>
          </cell>
          <cell r="R1606">
            <v>0</v>
          </cell>
          <cell r="S1606">
            <v>0</v>
          </cell>
          <cell r="T1606">
            <v>0</v>
          </cell>
          <cell r="U1606">
            <v>0</v>
          </cell>
        </row>
        <row r="1607">
          <cell r="A1607" t="str">
            <v>DEC 2015</v>
          </cell>
          <cell r="B1607" t="str">
            <v>KUCME707</v>
          </cell>
          <cell r="D1607" t="str">
            <v>LQF</v>
          </cell>
          <cell r="E1607">
            <v>0</v>
          </cell>
          <cell r="F1607">
            <v>0</v>
          </cell>
          <cell r="L1607">
            <v>0</v>
          </cell>
          <cell r="M1607">
            <v>0</v>
          </cell>
          <cell r="P1607">
            <v>0</v>
          </cell>
          <cell r="R1607">
            <v>0</v>
          </cell>
          <cell r="S1607">
            <v>0</v>
          </cell>
          <cell r="T1607">
            <v>0</v>
          </cell>
          <cell r="U1607">
            <v>0</v>
          </cell>
        </row>
        <row r="1608">
          <cell r="A1608" t="str">
            <v>DEC 2015</v>
          </cell>
          <cell r="B1608" t="str">
            <v>KUCME710</v>
          </cell>
          <cell r="D1608" t="str">
            <v>GS</v>
          </cell>
          <cell r="E1608">
            <v>0</v>
          </cell>
          <cell r="F1608">
            <v>0</v>
          </cell>
          <cell r="L1608">
            <v>0</v>
          </cell>
          <cell r="M1608">
            <v>0</v>
          </cell>
          <cell r="P1608">
            <v>0</v>
          </cell>
          <cell r="R1608">
            <v>0</v>
          </cell>
          <cell r="S1608">
            <v>0</v>
          </cell>
          <cell r="T1608">
            <v>0</v>
          </cell>
          <cell r="U1608">
            <v>0</v>
          </cell>
        </row>
        <row r="1609">
          <cell r="A1609" t="str">
            <v>DEC 2015</v>
          </cell>
          <cell r="B1609" t="str">
            <v>KUCME713</v>
          </cell>
          <cell r="D1609" t="str">
            <v>GS3</v>
          </cell>
          <cell r="E1609">
            <v>0</v>
          </cell>
          <cell r="F1609">
            <v>0</v>
          </cell>
          <cell r="L1609">
            <v>0</v>
          </cell>
          <cell r="M1609">
            <v>0</v>
          </cell>
          <cell r="P1609">
            <v>0</v>
          </cell>
          <cell r="R1609">
            <v>0</v>
          </cell>
          <cell r="S1609">
            <v>0</v>
          </cell>
          <cell r="T1609">
            <v>0</v>
          </cell>
          <cell r="U1609">
            <v>0</v>
          </cell>
        </row>
        <row r="1610">
          <cell r="A1610" t="str">
            <v>DEC 2015</v>
          </cell>
          <cell r="B1610" t="str">
            <v>KUCME841</v>
          </cell>
          <cell r="D1610" t="str">
            <v>LRI</v>
          </cell>
          <cell r="E1610">
            <v>0</v>
          </cell>
          <cell r="F1610">
            <v>0</v>
          </cell>
          <cell r="L1610">
            <v>0</v>
          </cell>
          <cell r="M1610">
            <v>0</v>
          </cell>
          <cell r="P1610">
            <v>0</v>
          </cell>
          <cell r="R1610">
            <v>0</v>
          </cell>
          <cell r="S1610">
            <v>0</v>
          </cell>
          <cell r="T1610">
            <v>0</v>
          </cell>
          <cell r="U1610">
            <v>0</v>
          </cell>
        </row>
        <row r="1611">
          <cell r="A1611" t="str">
            <v>DEC 2015</v>
          </cell>
          <cell r="B1611" t="str">
            <v>KUCSR760</v>
          </cell>
          <cell r="D1611" t="str">
            <v>CSR</v>
          </cell>
          <cell r="E1611">
            <v>0</v>
          </cell>
          <cell r="F1611">
            <v>0</v>
          </cell>
          <cell r="L1611">
            <v>0</v>
          </cell>
          <cell r="M1611">
            <v>0</v>
          </cell>
          <cell r="P1611">
            <v>-989829</v>
          </cell>
          <cell r="R1611">
            <v>-989829</v>
          </cell>
          <cell r="S1611">
            <v>0</v>
          </cell>
          <cell r="T1611">
            <v>0</v>
          </cell>
          <cell r="U1611">
            <v>0</v>
          </cell>
        </row>
        <row r="1612">
          <cell r="A1612" t="str">
            <v>DEC 2015</v>
          </cell>
          <cell r="B1612" t="str">
            <v>KUCSR761</v>
          </cell>
          <cell r="D1612" t="str">
            <v>CSR</v>
          </cell>
          <cell r="E1612">
            <v>0</v>
          </cell>
          <cell r="F1612">
            <v>0</v>
          </cell>
          <cell r="L1612">
            <v>0</v>
          </cell>
          <cell r="M1612">
            <v>0</v>
          </cell>
          <cell r="P1612">
            <v>0</v>
          </cell>
          <cell r="R1612">
            <v>0</v>
          </cell>
          <cell r="S1612">
            <v>0</v>
          </cell>
          <cell r="T1612">
            <v>0</v>
          </cell>
          <cell r="U1612">
            <v>0</v>
          </cell>
        </row>
        <row r="1613">
          <cell r="A1613" t="str">
            <v>DEC 2015</v>
          </cell>
          <cell r="B1613" t="str">
            <v>KUCSR781</v>
          </cell>
          <cell r="D1613" t="str">
            <v>CSR</v>
          </cell>
          <cell r="E1613">
            <v>0</v>
          </cell>
          <cell r="F1613">
            <v>0</v>
          </cell>
          <cell r="L1613">
            <v>0</v>
          </cell>
          <cell r="M1613">
            <v>0</v>
          </cell>
          <cell r="P1613">
            <v>0</v>
          </cell>
          <cell r="R1613">
            <v>0</v>
          </cell>
          <cell r="S1613">
            <v>0</v>
          </cell>
          <cell r="T1613">
            <v>0</v>
          </cell>
          <cell r="U1613">
            <v>0</v>
          </cell>
        </row>
        <row r="1614">
          <cell r="A1614" t="str">
            <v>DEC 2015</v>
          </cell>
          <cell r="B1614" t="str">
            <v>KUCSR783</v>
          </cell>
          <cell r="D1614" t="str">
            <v>CSR</v>
          </cell>
          <cell r="E1614">
            <v>0</v>
          </cell>
          <cell r="F1614">
            <v>0</v>
          </cell>
          <cell r="L1614">
            <v>0</v>
          </cell>
          <cell r="M1614">
            <v>0</v>
          </cell>
          <cell r="P1614">
            <v>0</v>
          </cell>
          <cell r="R1614">
            <v>0</v>
          </cell>
          <cell r="S1614">
            <v>0</v>
          </cell>
          <cell r="T1614">
            <v>0</v>
          </cell>
          <cell r="U1614">
            <v>0</v>
          </cell>
        </row>
        <row r="1615">
          <cell r="A1615" t="str">
            <v>DEC 2015</v>
          </cell>
          <cell r="B1615" t="str">
            <v>KUCUE851</v>
          </cell>
          <cell r="D1615" t="str">
            <v>CU</v>
          </cell>
          <cell r="E1615">
            <v>0</v>
          </cell>
          <cell r="F1615">
            <v>0</v>
          </cell>
          <cell r="L1615">
            <v>0</v>
          </cell>
          <cell r="M1615">
            <v>0</v>
          </cell>
          <cell r="P1615">
            <v>0</v>
          </cell>
          <cell r="R1615">
            <v>0</v>
          </cell>
          <cell r="S1615">
            <v>0</v>
          </cell>
          <cell r="T1615">
            <v>0</v>
          </cell>
          <cell r="U1615">
            <v>0</v>
          </cell>
        </row>
        <row r="1616">
          <cell r="A1616" t="str">
            <v>DEC 2015</v>
          </cell>
          <cell r="B1616" t="str">
            <v>KUCUE852</v>
          </cell>
          <cell r="D1616" t="str">
            <v>CU</v>
          </cell>
          <cell r="E1616">
            <v>0</v>
          </cell>
          <cell r="F1616">
            <v>0</v>
          </cell>
          <cell r="L1616">
            <v>0</v>
          </cell>
          <cell r="M1616">
            <v>0</v>
          </cell>
          <cell r="P1616">
            <v>0</v>
          </cell>
          <cell r="R1616">
            <v>0</v>
          </cell>
          <cell r="S1616">
            <v>0</v>
          </cell>
          <cell r="T1616">
            <v>0</v>
          </cell>
          <cell r="U1616">
            <v>0</v>
          </cell>
        </row>
        <row r="1617">
          <cell r="A1617" t="str">
            <v>DEC 2015</v>
          </cell>
          <cell r="B1617" t="str">
            <v>KUINE730</v>
          </cell>
          <cell r="D1617" t="str">
            <v>FLS</v>
          </cell>
          <cell r="E1617">
            <v>48145895</v>
          </cell>
          <cell r="F1617">
            <v>750</v>
          </cell>
          <cell r="L1617">
            <v>0</v>
          </cell>
          <cell r="M1617">
            <v>113401</v>
          </cell>
          <cell r="P1617">
            <v>0</v>
          </cell>
          <cell r="R1617">
            <v>2647670</v>
          </cell>
          <cell r="S1617">
            <v>1570037</v>
          </cell>
          <cell r="T1617">
            <v>720199</v>
          </cell>
          <cell r="U1617">
            <v>243282</v>
          </cell>
        </row>
        <row r="1618">
          <cell r="A1618" t="str">
            <v>DEC 2015</v>
          </cell>
          <cell r="B1618" t="str">
            <v>KUMNE902</v>
          </cell>
          <cell r="D1618" t="str">
            <v>WPS</v>
          </cell>
          <cell r="E1618">
            <v>0</v>
          </cell>
          <cell r="F1618">
            <v>0</v>
          </cell>
          <cell r="L1618">
            <v>0</v>
          </cell>
          <cell r="M1618">
            <v>0</v>
          </cell>
          <cell r="P1618">
            <v>0</v>
          </cell>
          <cell r="R1618">
            <v>0</v>
          </cell>
          <cell r="S1618">
            <v>0</v>
          </cell>
          <cell r="T1618">
            <v>0</v>
          </cell>
          <cell r="U1618">
            <v>0</v>
          </cell>
        </row>
        <row r="1619">
          <cell r="A1619" t="str">
            <v>DEC 2015</v>
          </cell>
          <cell r="B1619" t="str">
            <v>KUMNE903</v>
          </cell>
          <cell r="D1619" t="str">
            <v>WPS</v>
          </cell>
          <cell r="E1619">
            <v>0</v>
          </cell>
          <cell r="F1619">
            <v>0</v>
          </cell>
          <cell r="L1619">
            <v>0</v>
          </cell>
          <cell r="M1619">
            <v>0</v>
          </cell>
          <cell r="P1619">
            <v>0</v>
          </cell>
          <cell r="R1619">
            <v>0</v>
          </cell>
          <cell r="S1619">
            <v>0</v>
          </cell>
          <cell r="T1619">
            <v>0</v>
          </cell>
          <cell r="U1619">
            <v>0</v>
          </cell>
        </row>
        <row r="1620">
          <cell r="A1620" t="str">
            <v>DEC 2015</v>
          </cell>
          <cell r="B1620" t="str">
            <v>KUMNE934</v>
          </cell>
          <cell r="D1620" t="str">
            <v>WPS</v>
          </cell>
          <cell r="E1620">
            <v>0</v>
          </cell>
          <cell r="F1620">
            <v>0</v>
          </cell>
          <cell r="L1620">
            <v>0</v>
          </cell>
          <cell r="M1620">
            <v>0</v>
          </cell>
          <cell r="P1620">
            <v>0</v>
          </cell>
          <cell r="R1620">
            <v>0</v>
          </cell>
          <cell r="S1620">
            <v>0</v>
          </cell>
          <cell r="T1620">
            <v>0</v>
          </cell>
          <cell r="U1620">
            <v>0</v>
          </cell>
        </row>
        <row r="1621">
          <cell r="A1621" t="str">
            <v>DEC 2015</v>
          </cell>
          <cell r="B1621" t="str">
            <v>KURSE000</v>
          </cell>
          <cell r="D1621" t="str">
            <v>TS</v>
          </cell>
          <cell r="E1621">
            <v>0</v>
          </cell>
          <cell r="F1621">
            <v>0</v>
          </cell>
          <cell r="L1621">
            <v>0</v>
          </cell>
          <cell r="M1621">
            <v>0</v>
          </cell>
          <cell r="P1621">
            <v>0</v>
          </cell>
          <cell r="R1621">
            <v>0</v>
          </cell>
          <cell r="S1621">
            <v>0</v>
          </cell>
          <cell r="T1621">
            <v>0</v>
          </cell>
          <cell r="U1621">
            <v>0</v>
          </cell>
        </row>
        <row r="1622">
          <cell r="A1622" t="str">
            <v>DEC 2015</v>
          </cell>
          <cell r="B1622" t="str">
            <v>KURSE010</v>
          </cell>
          <cell r="D1622" t="str">
            <v>RS</v>
          </cell>
          <cell r="E1622">
            <v>619549834</v>
          </cell>
          <cell r="F1622">
            <v>4625455</v>
          </cell>
          <cell r="L1622">
            <v>978151</v>
          </cell>
          <cell r="M1622">
            <v>1459261</v>
          </cell>
          <cell r="P1622">
            <v>0</v>
          </cell>
          <cell r="R1622">
            <v>58171407</v>
          </cell>
          <cell r="S1622">
            <v>47977939</v>
          </cell>
          <cell r="T1622">
            <v>0</v>
          </cell>
          <cell r="U1622">
            <v>3130601</v>
          </cell>
        </row>
        <row r="1623">
          <cell r="A1623" t="str">
            <v>DEC 2015</v>
          </cell>
          <cell r="B1623" t="str">
            <v>KURSE020</v>
          </cell>
          <cell r="D1623" t="str">
            <v>RS</v>
          </cell>
          <cell r="E1623">
            <v>0</v>
          </cell>
          <cell r="F1623">
            <v>0</v>
          </cell>
          <cell r="L1623">
            <v>0</v>
          </cell>
          <cell r="M1623">
            <v>0</v>
          </cell>
          <cell r="P1623">
            <v>0</v>
          </cell>
          <cell r="R1623">
            <v>0</v>
          </cell>
          <cell r="S1623">
            <v>0</v>
          </cell>
          <cell r="T1623">
            <v>0</v>
          </cell>
          <cell r="U1623">
            <v>0</v>
          </cell>
        </row>
        <row r="1624">
          <cell r="A1624" t="str">
            <v>DEC 2015</v>
          </cell>
          <cell r="B1624" t="str">
            <v>KURSE025</v>
          </cell>
          <cell r="D1624" t="str">
            <v>RS3</v>
          </cell>
          <cell r="E1624">
            <v>0</v>
          </cell>
          <cell r="F1624">
            <v>0</v>
          </cell>
          <cell r="L1624">
            <v>0</v>
          </cell>
          <cell r="M1624">
            <v>0</v>
          </cell>
          <cell r="P1624">
            <v>0</v>
          </cell>
          <cell r="R1624">
            <v>0</v>
          </cell>
          <cell r="S1624">
            <v>0</v>
          </cell>
          <cell r="T1624">
            <v>0</v>
          </cell>
          <cell r="U1624">
            <v>0</v>
          </cell>
        </row>
        <row r="1625">
          <cell r="A1625" t="str">
            <v>DEC 2015</v>
          </cell>
          <cell r="B1625" t="str">
            <v>KURSE040</v>
          </cell>
          <cell r="D1625" t="str">
            <v>RSLEV</v>
          </cell>
          <cell r="E1625">
            <v>0</v>
          </cell>
          <cell r="F1625">
            <v>0</v>
          </cell>
          <cell r="L1625">
            <v>0</v>
          </cell>
          <cell r="M1625">
            <v>0</v>
          </cell>
          <cell r="P1625">
            <v>0</v>
          </cell>
          <cell r="R1625">
            <v>0</v>
          </cell>
          <cell r="S1625">
            <v>0</v>
          </cell>
          <cell r="T1625">
            <v>0</v>
          </cell>
          <cell r="U1625">
            <v>0</v>
          </cell>
        </row>
        <row r="1626">
          <cell r="A1626" t="str">
            <v>DEC 2015</v>
          </cell>
          <cell r="B1626" t="str">
            <v>KURSE080</v>
          </cell>
          <cell r="D1626" t="str">
            <v>RSVFD</v>
          </cell>
          <cell r="E1626">
            <v>0</v>
          </cell>
          <cell r="F1626">
            <v>0</v>
          </cell>
          <cell r="L1626">
            <v>0</v>
          </cell>
          <cell r="M1626">
            <v>0</v>
          </cell>
          <cell r="P1626">
            <v>0</v>
          </cell>
          <cell r="R1626">
            <v>0</v>
          </cell>
          <cell r="S1626">
            <v>0</v>
          </cell>
          <cell r="T1626">
            <v>0</v>
          </cell>
          <cell r="U1626">
            <v>0</v>
          </cell>
        </row>
        <row r="1627">
          <cell r="A1627" t="str">
            <v>DEC 2015</v>
          </cell>
          <cell r="B1627" t="str">
            <v>KURSE715</v>
          </cell>
          <cell r="D1627" t="str">
            <v>RS</v>
          </cell>
          <cell r="E1627">
            <v>0</v>
          </cell>
          <cell r="F1627">
            <v>0</v>
          </cell>
          <cell r="L1627">
            <v>0</v>
          </cell>
          <cell r="M1627">
            <v>0</v>
          </cell>
          <cell r="P1627">
            <v>0</v>
          </cell>
          <cell r="R1627">
            <v>0</v>
          </cell>
          <cell r="S1627">
            <v>0</v>
          </cell>
          <cell r="T1627">
            <v>0</v>
          </cell>
          <cell r="U1627">
            <v>0</v>
          </cell>
        </row>
        <row r="1628">
          <cell r="A1628" t="str">
            <v>DEC 2015</v>
          </cell>
          <cell r="B1628" t="str">
            <v>ODL</v>
          </cell>
          <cell r="E1628">
            <v>12296879</v>
          </cell>
          <cell r="F1628">
            <v>0</v>
          </cell>
          <cell r="L1628">
            <v>0</v>
          </cell>
          <cell r="M1628">
            <v>28964</v>
          </cell>
          <cell r="P1628">
            <v>0</v>
          </cell>
          <cell r="R1628">
            <v>2141806</v>
          </cell>
          <cell r="S1628">
            <v>2050706</v>
          </cell>
          <cell r="T1628">
            <v>0</v>
          </cell>
          <cell r="U1628">
            <v>62136</v>
          </cell>
        </row>
        <row r="1629">
          <cell r="A1629" t="str">
            <v>DEC 2015</v>
          </cell>
          <cell r="B1629" t="str">
            <v>KUUM_360</v>
          </cell>
          <cell r="D1629" t="str">
            <v>LS</v>
          </cell>
          <cell r="S1629">
            <v>0</v>
          </cell>
          <cell r="T1629">
            <v>0</v>
          </cell>
          <cell r="U1629">
            <v>0</v>
          </cell>
        </row>
        <row r="1630">
          <cell r="A1630" t="str">
            <v>DEC 2015</v>
          </cell>
          <cell r="B1630" t="str">
            <v>KUUM_361</v>
          </cell>
          <cell r="D1630" t="str">
            <v>LS</v>
          </cell>
          <cell r="S1630">
            <v>0</v>
          </cell>
          <cell r="T1630">
            <v>0</v>
          </cell>
          <cell r="U1630">
            <v>0</v>
          </cell>
        </row>
        <row r="1631">
          <cell r="A1631" t="str">
            <v>DEC 2015</v>
          </cell>
          <cell r="B1631" t="str">
            <v>KUUM_362</v>
          </cell>
          <cell r="D1631" t="str">
            <v>LS</v>
          </cell>
          <cell r="S1631">
            <v>0</v>
          </cell>
          <cell r="T1631">
            <v>0</v>
          </cell>
          <cell r="U1631">
            <v>0</v>
          </cell>
        </row>
        <row r="1632">
          <cell r="A1632" t="str">
            <v>DEC 2015</v>
          </cell>
          <cell r="B1632" t="str">
            <v>KUUM_363</v>
          </cell>
          <cell r="D1632" t="str">
            <v>LS</v>
          </cell>
          <cell r="S1632">
            <v>0</v>
          </cell>
          <cell r="T1632">
            <v>0</v>
          </cell>
          <cell r="U1632">
            <v>0</v>
          </cell>
        </row>
        <row r="1633">
          <cell r="A1633" t="str">
            <v>DEC 2015</v>
          </cell>
          <cell r="B1633" t="str">
            <v>KUUM_364</v>
          </cell>
          <cell r="D1633" t="str">
            <v>LS</v>
          </cell>
          <cell r="S1633">
            <v>0</v>
          </cell>
          <cell r="T1633">
            <v>0</v>
          </cell>
          <cell r="U1633">
            <v>0</v>
          </cell>
        </row>
        <row r="1634">
          <cell r="A1634" t="str">
            <v>DEC 2015</v>
          </cell>
          <cell r="B1634" t="str">
            <v>KUUM_365</v>
          </cell>
          <cell r="D1634" t="str">
            <v>LS</v>
          </cell>
          <cell r="S1634">
            <v>0</v>
          </cell>
          <cell r="T1634">
            <v>0</v>
          </cell>
          <cell r="U1634">
            <v>0</v>
          </cell>
        </row>
        <row r="1635">
          <cell r="A1635" t="str">
            <v>DEC 2015</v>
          </cell>
          <cell r="B1635" t="str">
            <v>KUUM_366</v>
          </cell>
          <cell r="D1635" t="str">
            <v>LS</v>
          </cell>
          <cell r="S1635">
            <v>0</v>
          </cell>
          <cell r="T1635">
            <v>0</v>
          </cell>
          <cell r="U1635">
            <v>0</v>
          </cell>
        </row>
        <row r="1636">
          <cell r="A1636" t="str">
            <v>DEC 2015</v>
          </cell>
          <cell r="B1636" t="str">
            <v>KUUM_367</v>
          </cell>
          <cell r="D1636" t="str">
            <v>LS</v>
          </cell>
          <cell r="S1636">
            <v>0</v>
          </cell>
          <cell r="T1636">
            <v>0</v>
          </cell>
          <cell r="U1636">
            <v>0</v>
          </cell>
        </row>
        <row r="1637">
          <cell r="A1637" t="str">
            <v>DEC 2015</v>
          </cell>
          <cell r="B1637" t="str">
            <v>KUUM_368</v>
          </cell>
          <cell r="D1637" t="str">
            <v>LS</v>
          </cell>
          <cell r="S1637">
            <v>0</v>
          </cell>
          <cell r="T1637">
            <v>0</v>
          </cell>
          <cell r="U1637">
            <v>0</v>
          </cell>
        </row>
        <row r="1638">
          <cell r="A1638" t="str">
            <v>DEC 2015</v>
          </cell>
          <cell r="B1638" t="str">
            <v>KUUM_370</v>
          </cell>
          <cell r="D1638" t="str">
            <v>LS</v>
          </cell>
          <cell r="S1638">
            <v>0</v>
          </cell>
          <cell r="T1638">
            <v>0</v>
          </cell>
          <cell r="U1638">
            <v>0</v>
          </cell>
        </row>
        <row r="1639">
          <cell r="A1639" t="str">
            <v>DEC 2015</v>
          </cell>
          <cell r="B1639" t="str">
            <v>KUUM_372</v>
          </cell>
          <cell r="D1639" t="str">
            <v>LS</v>
          </cell>
          <cell r="S1639">
            <v>0</v>
          </cell>
          <cell r="T1639">
            <v>0</v>
          </cell>
          <cell r="U1639">
            <v>0</v>
          </cell>
        </row>
        <row r="1640">
          <cell r="A1640" t="str">
            <v>DEC 2015</v>
          </cell>
          <cell r="B1640" t="str">
            <v>KUUM_373</v>
          </cell>
          <cell r="D1640" t="str">
            <v>LS</v>
          </cell>
          <cell r="S1640">
            <v>0</v>
          </cell>
          <cell r="T1640">
            <v>0</v>
          </cell>
          <cell r="U1640">
            <v>0</v>
          </cell>
        </row>
        <row r="1641">
          <cell r="A1641" t="str">
            <v>DEC 2015</v>
          </cell>
          <cell r="B1641" t="str">
            <v>KUUM_374</v>
          </cell>
          <cell r="D1641" t="str">
            <v>LS</v>
          </cell>
          <cell r="S1641">
            <v>0</v>
          </cell>
          <cell r="T1641">
            <v>0</v>
          </cell>
          <cell r="U1641">
            <v>0</v>
          </cell>
        </row>
        <row r="1642">
          <cell r="A1642" t="str">
            <v>DEC 2015</v>
          </cell>
          <cell r="B1642" t="str">
            <v>KUUM_375</v>
          </cell>
          <cell r="D1642" t="str">
            <v>LS</v>
          </cell>
          <cell r="S1642">
            <v>0</v>
          </cell>
          <cell r="T1642">
            <v>0</v>
          </cell>
          <cell r="U1642">
            <v>0</v>
          </cell>
        </row>
        <row r="1643">
          <cell r="A1643" t="str">
            <v>DEC 2015</v>
          </cell>
          <cell r="B1643" t="str">
            <v>KUUM_376</v>
          </cell>
          <cell r="D1643" t="str">
            <v>LS</v>
          </cell>
          <cell r="S1643">
            <v>0</v>
          </cell>
          <cell r="T1643">
            <v>0</v>
          </cell>
          <cell r="U1643">
            <v>0</v>
          </cell>
        </row>
        <row r="1644">
          <cell r="A1644" t="str">
            <v>DEC 2015</v>
          </cell>
          <cell r="B1644" t="str">
            <v>KUUM_377</v>
          </cell>
          <cell r="D1644" t="str">
            <v>LS</v>
          </cell>
          <cell r="S1644">
            <v>0</v>
          </cell>
          <cell r="T1644">
            <v>0</v>
          </cell>
          <cell r="U1644">
            <v>0</v>
          </cell>
        </row>
        <row r="1645">
          <cell r="A1645" t="str">
            <v>DEC 2015</v>
          </cell>
          <cell r="B1645" t="str">
            <v>KUUM_378</v>
          </cell>
          <cell r="D1645" t="str">
            <v>LS</v>
          </cell>
          <cell r="S1645">
            <v>0</v>
          </cell>
          <cell r="T1645">
            <v>0</v>
          </cell>
          <cell r="U1645">
            <v>0</v>
          </cell>
        </row>
        <row r="1646">
          <cell r="A1646" t="str">
            <v>DEC 2015</v>
          </cell>
          <cell r="B1646" t="str">
            <v>KUUM_401</v>
          </cell>
          <cell r="D1646" t="str">
            <v>LS</v>
          </cell>
          <cell r="S1646">
            <v>0</v>
          </cell>
          <cell r="T1646">
            <v>0</v>
          </cell>
          <cell r="U1646">
            <v>0</v>
          </cell>
        </row>
        <row r="1647">
          <cell r="A1647" t="str">
            <v>DEC 2015</v>
          </cell>
          <cell r="B1647" t="str">
            <v>KUUM_404</v>
          </cell>
          <cell r="D1647" t="str">
            <v>RLS</v>
          </cell>
          <cell r="S1647">
            <v>0</v>
          </cell>
          <cell r="T1647">
            <v>0</v>
          </cell>
          <cell r="U1647">
            <v>0</v>
          </cell>
        </row>
        <row r="1648">
          <cell r="A1648" t="str">
            <v>DEC 2015</v>
          </cell>
          <cell r="B1648" t="str">
            <v>KUUM_405</v>
          </cell>
          <cell r="D1648" t="str">
            <v>LS</v>
          </cell>
          <cell r="S1648">
            <v>0</v>
          </cell>
          <cell r="T1648">
            <v>0</v>
          </cell>
          <cell r="U1648">
            <v>0</v>
          </cell>
        </row>
        <row r="1649">
          <cell r="A1649" t="str">
            <v>DEC 2015</v>
          </cell>
          <cell r="B1649" t="str">
            <v>KUUM_409</v>
          </cell>
          <cell r="D1649" t="str">
            <v>RLS</v>
          </cell>
          <cell r="S1649">
            <v>0</v>
          </cell>
          <cell r="T1649">
            <v>0</v>
          </cell>
          <cell r="U1649">
            <v>0</v>
          </cell>
        </row>
        <row r="1650">
          <cell r="A1650" t="str">
            <v>DEC 2015</v>
          </cell>
          <cell r="B1650" t="str">
            <v>KUUM_410</v>
          </cell>
          <cell r="D1650" t="str">
            <v>RLS</v>
          </cell>
          <cell r="S1650">
            <v>0</v>
          </cell>
          <cell r="T1650">
            <v>0</v>
          </cell>
          <cell r="U1650">
            <v>0</v>
          </cell>
        </row>
        <row r="1651">
          <cell r="A1651" t="str">
            <v>DEC 2015</v>
          </cell>
          <cell r="B1651" t="str">
            <v>KUUM_411</v>
          </cell>
          <cell r="D1651" t="str">
            <v>LS</v>
          </cell>
          <cell r="S1651">
            <v>0</v>
          </cell>
          <cell r="T1651">
            <v>0</v>
          </cell>
          <cell r="U1651">
            <v>0</v>
          </cell>
        </row>
        <row r="1652">
          <cell r="A1652" t="str">
            <v>DEC 2015</v>
          </cell>
          <cell r="B1652" t="str">
            <v>KUUM_412</v>
          </cell>
          <cell r="D1652" t="str">
            <v>RLS</v>
          </cell>
          <cell r="S1652">
            <v>0</v>
          </cell>
          <cell r="T1652">
            <v>0</v>
          </cell>
          <cell r="U1652">
            <v>0</v>
          </cell>
        </row>
        <row r="1653">
          <cell r="A1653" t="str">
            <v>DEC 2015</v>
          </cell>
          <cell r="B1653" t="str">
            <v>KUUM_413</v>
          </cell>
          <cell r="D1653" t="str">
            <v>RLS</v>
          </cell>
          <cell r="S1653">
            <v>0</v>
          </cell>
          <cell r="T1653">
            <v>0</v>
          </cell>
          <cell r="U1653">
            <v>0</v>
          </cell>
        </row>
        <row r="1654">
          <cell r="A1654" t="str">
            <v>DEC 2015</v>
          </cell>
          <cell r="B1654" t="str">
            <v>KUUM_414</v>
          </cell>
          <cell r="D1654" t="str">
            <v>LS</v>
          </cell>
          <cell r="S1654">
            <v>0</v>
          </cell>
          <cell r="T1654">
            <v>0</v>
          </cell>
          <cell r="U1654">
            <v>0</v>
          </cell>
        </row>
        <row r="1655">
          <cell r="A1655" t="str">
            <v>DEC 2015</v>
          </cell>
          <cell r="B1655" t="str">
            <v>KUUM_415</v>
          </cell>
          <cell r="D1655" t="str">
            <v>LS</v>
          </cell>
          <cell r="S1655">
            <v>0</v>
          </cell>
          <cell r="T1655">
            <v>0</v>
          </cell>
          <cell r="U1655">
            <v>0</v>
          </cell>
        </row>
        <row r="1656">
          <cell r="A1656" t="str">
            <v>DEC 2015</v>
          </cell>
          <cell r="B1656" t="str">
            <v>KUUM_420</v>
          </cell>
          <cell r="D1656" t="str">
            <v>LS</v>
          </cell>
          <cell r="S1656">
            <v>0</v>
          </cell>
          <cell r="T1656">
            <v>0</v>
          </cell>
          <cell r="U1656">
            <v>0</v>
          </cell>
        </row>
        <row r="1657">
          <cell r="A1657" t="str">
            <v>DEC 2015</v>
          </cell>
          <cell r="B1657" t="str">
            <v>KUUM_421</v>
          </cell>
          <cell r="D1657" t="str">
            <v>RLS</v>
          </cell>
          <cell r="S1657">
            <v>0</v>
          </cell>
          <cell r="T1657">
            <v>0</v>
          </cell>
          <cell r="U1657">
            <v>0</v>
          </cell>
        </row>
        <row r="1658">
          <cell r="A1658" t="str">
            <v>DEC 2015</v>
          </cell>
          <cell r="B1658" t="str">
            <v>KUUM_422</v>
          </cell>
          <cell r="D1658" t="str">
            <v>RLS</v>
          </cell>
          <cell r="S1658">
            <v>0</v>
          </cell>
          <cell r="T1658">
            <v>0</v>
          </cell>
          <cell r="U1658">
            <v>0</v>
          </cell>
        </row>
        <row r="1659">
          <cell r="A1659" t="str">
            <v>DEC 2015</v>
          </cell>
          <cell r="B1659" t="str">
            <v>KUUM_424</v>
          </cell>
          <cell r="D1659" t="str">
            <v>RLS</v>
          </cell>
          <cell r="S1659">
            <v>0</v>
          </cell>
          <cell r="T1659">
            <v>0</v>
          </cell>
          <cell r="U1659">
            <v>0</v>
          </cell>
        </row>
        <row r="1660">
          <cell r="A1660" t="str">
            <v>DEC 2015</v>
          </cell>
          <cell r="B1660" t="str">
            <v>KUUM_425</v>
          </cell>
          <cell r="D1660" t="str">
            <v>RLS</v>
          </cell>
          <cell r="S1660">
            <v>0</v>
          </cell>
          <cell r="T1660">
            <v>0</v>
          </cell>
          <cell r="U1660">
            <v>0</v>
          </cell>
        </row>
        <row r="1661">
          <cell r="A1661" t="str">
            <v>DEC 2015</v>
          </cell>
          <cell r="B1661" t="str">
            <v>KUUM_426</v>
          </cell>
          <cell r="D1661" t="str">
            <v>RLS</v>
          </cell>
          <cell r="S1661">
            <v>0</v>
          </cell>
          <cell r="T1661">
            <v>0</v>
          </cell>
          <cell r="U1661">
            <v>0</v>
          </cell>
        </row>
        <row r="1662">
          <cell r="A1662" t="str">
            <v>DEC 2015</v>
          </cell>
          <cell r="B1662" t="str">
            <v>KUUM_428</v>
          </cell>
          <cell r="D1662" t="str">
            <v>LS</v>
          </cell>
          <cell r="S1662">
            <v>0</v>
          </cell>
          <cell r="T1662">
            <v>0</v>
          </cell>
          <cell r="U1662">
            <v>0</v>
          </cell>
        </row>
        <row r="1663">
          <cell r="A1663" t="str">
            <v>DEC 2015</v>
          </cell>
          <cell r="B1663" t="str">
            <v>KUUM_430</v>
          </cell>
          <cell r="D1663" t="str">
            <v>LS</v>
          </cell>
          <cell r="S1663">
            <v>0</v>
          </cell>
          <cell r="T1663">
            <v>0</v>
          </cell>
          <cell r="U1663">
            <v>0</v>
          </cell>
        </row>
        <row r="1664">
          <cell r="A1664" t="str">
            <v>DEC 2015</v>
          </cell>
          <cell r="B1664" t="str">
            <v>KUUM_434</v>
          </cell>
          <cell r="D1664" t="str">
            <v>RLS</v>
          </cell>
          <cell r="S1664">
            <v>0</v>
          </cell>
          <cell r="T1664">
            <v>0</v>
          </cell>
          <cell r="U1664">
            <v>0</v>
          </cell>
        </row>
        <row r="1665">
          <cell r="A1665" t="str">
            <v>DEC 2015</v>
          </cell>
          <cell r="B1665" t="str">
            <v>KUUM_440</v>
          </cell>
          <cell r="D1665" t="str">
            <v>RLS</v>
          </cell>
          <cell r="S1665">
            <v>0</v>
          </cell>
          <cell r="T1665">
            <v>0</v>
          </cell>
          <cell r="U1665">
            <v>0</v>
          </cell>
        </row>
        <row r="1666">
          <cell r="A1666" t="str">
            <v>DEC 2015</v>
          </cell>
          <cell r="B1666" t="str">
            <v>KUUM_446</v>
          </cell>
          <cell r="D1666" t="str">
            <v>RLS</v>
          </cell>
          <cell r="S1666">
            <v>0</v>
          </cell>
          <cell r="T1666">
            <v>0</v>
          </cell>
          <cell r="U1666">
            <v>0</v>
          </cell>
        </row>
        <row r="1667">
          <cell r="A1667" t="str">
            <v>DEC 2015</v>
          </cell>
          <cell r="B1667" t="str">
            <v>KUUM_447</v>
          </cell>
          <cell r="D1667" t="str">
            <v>RLS</v>
          </cell>
          <cell r="S1667">
            <v>0</v>
          </cell>
          <cell r="T1667">
            <v>0</v>
          </cell>
          <cell r="U1667">
            <v>0</v>
          </cell>
        </row>
        <row r="1668">
          <cell r="A1668" t="str">
            <v>DEC 2015</v>
          </cell>
          <cell r="B1668" t="str">
            <v>KUUM_448</v>
          </cell>
          <cell r="D1668" t="str">
            <v>RLS</v>
          </cell>
          <cell r="S1668">
            <v>0</v>
          </cell>
          <cell r="T1668">
            <v>0</v>
          </cell>
          <cell r="U1668">
            <v>0</v>
          </cell>
        </row>
        <row r="1669">
          <cell r="A1669" t="str">
            <v>DEC 2015</v>
          </cell>
          <cell r="B1669" t="str">
            <v>KUUM_450</v>
          </cell>
          <cell r="D1669" t="str">
            <v>LS</v>
          </cell>
          <cell r="S1669">
            <v>0</v>
          </cell>
          <cell r="T1669">
            <v>0</v>
          </cell>
          <cell r="U1669">
            <v>0</v>
          </cell>
        </row>
        <row r="1670">
          <cell r="A1670" t="str">
            <v>DEC 2015</v>
          </cell>
          <cell r="B1670" t="str">
            <v>KUUM_451</v>
          </cell>
          <cell r="D1670" t="str">
            <v>LS</v>
          </cell>
          <cell r="S1670">
            <v>0</v>
          </cell>
          <cell r="T1670">
            <v>0</v>
          </cell>
          <cell r="U1670">
            <v>0</v>
          </cell>
        </row>
        <row r="1671">
          <cell r="A1671" t="str">
            <v>DEC 2015</v>
          </cell>
          <cell r="B1671" t="str">
            <v>KUUM_452</v>
          </cell>
          <cell r="D1671" t="str">
            <v>LS</v>
          </cell>
          <cell r="S1671">
            <v>0</v>
          </cell>
          <cell r="T1671">
            <v>0</v>
          </cell>
          <cell r="U1671">
            <v>0</v>
          </cell>
        </row>
        <row r="1672">
          <cell r="A1672" t="str">
            <v>DEC 2015</v>
          </cell>
          <cell r="B1672" t="str">
            <v>KUUM_454</v>
          </cell>
          <cell r="D1672" t="str">
            <v>RLS</v>
          </cell>
          <cell r="S1672">
            <v>0</v>
          </cell>
          <cell r="T1672">
            <v>0</v>
          </cell>
          <cell r="U1672">
            <v>0</v>
          </cell>
        </row>
        <row r="1673">
          <cell r="A1673" t="str">
            <v>DEC 2015</v>
          </cell>
          <cell r="B1673" t="str">
            <v>KUUM_455</v>
          </cell>
          <cell r="D1673" t="str">
            <v>RLS</v>
          </cell>
          <cell r="S1673">
            <v>0</v>
          </cell>
          <cell r="T1673">
            <v>0</v>
          </cell>
          <cell r="U1673">
            <v>0</v>
          </cell>
        </row>
        <row r="1674">
          <cell r="A1674" t="str">
            <v>DEC 2015</v>
          </cell>
          <cell r="B1674" t="str">
            <v>KUUM_456</v>
          </cell>
          <cell r="D1674" t="str">
            <v>RLS</v>
          </cell>
          <cell r="S1674">
            <v>0</v>
          </cell>
          <cell r="T1674">
            <v>0</v>
          </cell>
          <cell r="U1674">
            <v>0</v>
          </cell>
        </row>
        <row r="1675">
          <cell r="A1675" t="str">
            <v>DEC 2015</v>
          </cell>
          <cell r="B1675" t="str">
            <v>KUUM_457</v>
          </cell>
          <cell r="D1675" t="str">
            <v>RLS</v>
          </cell>
          <cell r="S1675">
            <v>0</v>
          </cell>
          <cell r="T1675">
            <v>0</v>
          </cell>
          <cell r="U1675">
            <v>0</v>
          </cell>
        </row>
        <row r="1676">
          <cell r="A1676" t="str">
            <v>DEC 2015</v>
          </cell>
          <cell r="B1676" t="str">
            <v>KUUM_458</v>
          </cell>
          <cell r="D1676" t="str">
            <v>RLS</v>
          </cell>
          <cell r="S1676">
            <v>0</v>
          </cell>
          <cell r="T1676">
            <v>0</v>
          </cell>
          <cell r="U1676">
            <v>0</v>
          </cell>
        </row>
        <row r="1677">
          <cell r="A1677" t="str">
            <v>DEC 2015</v>
          </cell>
          <cell r="B1677" t="str">
            <v>KUUM_459</v>
          </cell>
          <cell r="D1677" t="str">
            <v>RLS</v>
          </cell>
          <cell r="S1677">
            <v>0</v>
          </cell>
          <cell r="T1677">
            <v>0</v>
          </cell>
          <cell r="U1677">
            <v>0</v>
          </cell>
        </row>
        <row r="1678">
          <cell r="A1678" t="str">
            <v>DEC 2015</v>
          </cell>
          <cell r="B1678" t="str">
            <v>KUUM_460</v>
          </cell>
          <cell r="D1678" t="str">
            <v>RLS</v>
          </cell>
          <cell r="S1678">
            <v>0</v>
          </cell>
          <cell r="T1678">
            <v>0</v>
          </cell>
          <cell r="U1678">
            <v>0</v>
          </cell>
        </row>
        <row r="1679">
          <cell r="A1679" t="str">
            <v>DEC 2015</v>
          </cell>
          <cell r="B1679" t="str">
            <v>KUUM_461</v>
          </cell>
          <cell r="D1679" t="str">
            <v>RLS</v>
          </cell>
          <cell r="S1679">
            <v>0</v>
          </cell>
          <cell r="T1679">
            <v>0</v>
          </cell>
          <cell r="U1679">
            <v>0</v>
          </cell>
        </row>
        <row r="1680">
          <cell r="A1680" t="str">
            <v>DEC 2015</v>
          </cell>
          <cell r="B1680" t="str">
            <v>KUUM_462</v>
          </cell>
          <cell r="D1680" t="str">
            <v>LS</v>
          </cell>
          <cell r="S1680">
            <v>0</v>
          </cell>
          <cell r="T1680">
            <v>0</v>
          </cell>
          <cell r="U1680">
            <v>0</v>
          </cell>
        </row>
        <row r="1681">
          <cell r="A1681" t="str">
            <v>DEC 2015</v>
          </cell>
          <cell r="B1681" t="str">
            <v>KUUM_463</v>
          </cell>
          <cell r="D1681" t="str">
            <v>LS</v>
          </cell>
          <cell r="S1681">
            <v>0</v>
          </cell>
          <cell r="T1681">
            <v>0</v>
          </cell>
          <cell r="U1681">
            <v>0</v>
          </cell>
        </row>
        <row r="1682">
          <cell r="A1682" t="str">
            <v>DEC 2015</v>
          </cell>
          <cell r="B1682" t="str">
            <v>KUUM_464</v>
          </cell>
          <cell r="D1682" t="str">
            <v>LS</v>
          </cell>
          <cell r="S1682">
            <v>0</v>
          </cell>
          <cell r="T1682">
            <v>0</v>
          </cell>
          <cell r="U1682">
            <v>0</v>
          </cell>
        </row>
        <row r="1683">
          <cell r="A1683" t="str">
            <v>DEC 2015</v>
          </cell>
          <cell r="B1683" t="str">
            <v>KUUM_465</v>
          </cell>
          <cell r="D1683" t="str">
            <v>LS</v>
          </cell>
          <cell r="S1683">
            <v>0</v>
          </cell>
          <cell r="T1683">
            <v>0</v>
          </cell>
          <cell r="U1683">
            <v>0</v>
          </cell>
        </row>
        <row r="1684">
          <cell r="A1684" t="str">
            <v>DEC 2015</v>
          </cell>
          <cell r="B1684" t="str">
            <v>KUUM_465CU</v>
          </cell>
          <cell r="D1684" t="str">
            <v>LS</v>
          </cell>
          <cell r="S1684">
            <v>0</v>
          </cell>
          <cell r="T1684">
            <v>0</v>
          </cell>
          <cell r="U1684">
            <v>0</v>
          </cell>
        </row>
        <row r="1685">
          <cell r="A1685" t="str">
            <v>DEC 2015</v>
          </cell>
          <cell r="B1685" t="str">
            <v>KUUM_466</v>
          </cell>
          <cell r="D1685" t="str">
            <v>RLS</v>
          </cell>
          <cell r="S1685">
            <v>0</v>
          </cell>
          <cell r="T1685">
            <v>0</v>
          </cell>
          <cell r="U1685">
            <v>0</v>
          </cell>
        </row>
        <row r="1686">
          <cell r="A1686" t="str">
            <v>DEC 2015</v>
          </cell>
          <cell r="B1686" t="str">
            <v>KUUM_467</v>
          </cell>
          <cell r="D1686" t="str">
            <v>LS</v>
          </cell>
          <cell r="S1686">
            <v>0</v>
          </cell>
          <cell r="T1686">
            <v>0</v>
          </cell>
          <cell r="U1686">
            <v>0</v>
          </cell>
        </row>
        <row r="1687">
          <cell r="A1687" t="str">
            <v>DEC 2015</v>
          </cell>
          <cell r="B1687" t="str">
            <v>KUUM_468</v>
          </cell>
          <cell r="D1687" t="str">
            <v>LS</v>
          </cell>
          <cell r="S1687">
            <v>0</v>
          </cell>
          <cell r="T1687">
            <v>0</v>
          </cell>
          <cell r="U1687">
            <v>0</v>
          </cell>
        </row>
        <row r="1688">
          <cell r="A1688" t="str">
            <v>DEC 2015</v>
          </cell>
          <cell r="B1688" t="str">
            <v>KUUM_469</v>
          </cell>
          <cell r="D1688" t="str">
            <v>RLS</v>
          </cell>
          <cell r="S1688">
            <v>0</v>
          </cell>
          <cell r="T1688">
            <v>0</v>
          </cell>
          <cell r="U1688">
            <v>0</v>
          </cell>
        </row>
        <row r="1689">
          <cell r="A1689" t="str">
            <v>DEC 2015</v>
          </cell>
          <cell r="B1689" t="str">
            <v>KUUM_470</v>
          </cell>
          <cell r="D1689" t="str">
            <v>RLS</v>
          </cell>
          <cell r="S1689">
            <v>0</v>
          </cell>
          <cell r="T1689">
            <v>0</v>
          </cell>
          <cell r="U1689">
            <v>0</v>
          </cell>
        </row>
        <row r="1690">
          <cell r="A1690" t="str">
            <v>DEC 2015</v>
          </cell>
          <cell r="B1690" t="str">
            <v>KUUM_471</v>
          </cell>
          <cell r="D1690" t="str">
            <v>RLS</v>
          </cell>
          <cell r="S1690">
            <v>0</v>
          </cell>
          <cell r="T1690">
            <v>0</v>
          </cell>
          <cell r="U1690">
            <v>0</v>
          </cell>
        </row>
        <row r="1691">
          <cell r="A1691" t="str">
            <v>DEC 2015</v>
          </cell>
          <cell r="B1691" t="str">
            <v>KUUM_472</v>
          </cell>
          <cell r="D1691" t="str">
            <v>LS</v>
          </cell>
          <cell r="S1691">
            <v>0</v>
          </cell>
          <cell r="T1691">
            <v>0</v>
          </cell>
          <cell r="U1691">
            <v>0</v>
          </cell>
        </row>
        <row r="1692">
          <cell r="A1692" t="str">
            <v>DEC 2015</v>
          </cell>
          <cell r="B1692" t="str">
            <v>KUUM_473</v>
          </cell>
          <cell r="D1692" t="str">
            <v>LS</v>
          </cell>
          <cell r="S1692">
            <v>0</v>
          </cell>
          <cell r="T1692">
            <v>0</v>
          </cell>
          <cell r="U1692">
            <v>0</v>
          </cell>
        </row>
        <row r="1693">
          <cell r="A1693" t="str">
            <v>DEC 2015</v>
          </cell>
          <cell r="B1693" t="str">
            <v>KUUM_474</v>
          </cell>
          <cell r="D1693" t="str">
            <v>LS</v>
          </cell>
          <cell r="S1693">
            <v>0</v>
          </cell>
          <cell r="T1693">
            <v>0</v>
          </cell>
          <cell r="U1693">
            <v>0</v>
          </cell>
        </row>
        <row r="1694">
          <cell r="A1694" t="str">
            <v>DEC 2015</v>
          </cell>
          <cell r="B1694" t="str">
            <v>KUUM_475</v>
          </cell>
          <cell r="D1694" t="str">
            <v>LS</v>
          </cell>
          <cell r="S1694">
            <v>0</v>
          </cell>
          <cell r="T1694">
            <v>0</v>
          </cell>
          <cell r="U1694">
            <v>0</v>
          </cell>
        </row>
        <row r="1695">
          <cell r="A1695" t="str">
            <v>DEC 2015</v>
          </cell>
          <cell r="B1695" t="str">
            <v>KUUM_476</v>
          </cell>
          <cell r="D1695" t="str">
            <v>LS</v>
          </cell>
          <cell r="S1695">
            <v>0</v>
          </cell>
          <cell r="T1695">
            <v>0</v>
          </cell>
          <cell r="U1695">
            <v>0</v>
          </cell>
        </row>
        <row r="1696">
          <cell r="A1696" t="str">
            <v>DEC 2015</v>
          </cell>
          <cell r="B1696" t="str">
            <v>KUUM_477</v>
          </cell>
          <cell r="D1696" t="str">
            <v>LS</v>
          </cell>
          <cell r="S1696">
            <v>0</v>
          </cell>
          <cell r="T1696">
            <v>0</v>
          </cell>
          <cell r="U1696">
            <v>0</v>
          </cell>
        </row>
        <row r="1697">
          <cell r="A1697" t="str">
            <v>DEC 2015</v>
          </cell>
          <cell r="B1697" t="str">
            <v>KUUM_478</v>
          </cell>
          <cell r="D1697" t="str">
            <v>LS</v>
          </cell>
          <cell r="S1697">
            <v>0</v>
          </cell>
          <cell r="T1697">
            <v>0</v>
          </cell>
          <cell r="U1697">
            <v>0</v>
          </cell>
        </row>
        <row r="1698">
          <cell r="A1698" t="str">
            <v>DEC 2015</v>
          </cell>
          <cell r="B1698" t="str">
            <v>KUUM_479</v>
          </cell>
          <cell r="D1698" t="str">
            <v>LS</v>
          </cell>
          <cell r="S1698">
            <v>0</v>
          </cell>
          <cell r="T1698">
            <v>0</v>
          </cell>
          <cell r="U1698">
            <v>0</v>
          </cell>
        </row>
        <row r="1699">
          <cell r="A1699" t="str">
            <v>DEC 2015</v>
          </cell>
          <cell r="B1699" t="str">
            <v>KUUM_487</v>
          </cell>
          <cell r="D1699" t="str">
            <v>LS</v>
          </cell>
          <cell r="S1699">
            <v>0</v>
          </cell>
          <cell r="T1699">
            <v>0</v>
          </cell>
          <cell r="U1699">
            <v>0</v>
          </cell>
        </row>
        <row r="1700">
          <cell r="A1700" t="str">
            <v>DEC 2015</v>
          </cell>
          <cell r="B1700" t="str">
            <v>KUUM_488</v>
          </cell>
          <cell r="D1700" t="str">
            <v>LS</v>
          </cell>
          <cell r="S1700">
            <v>0</v>
          </cell>
          <cell r="T1700">
            <v>0</v>
          </cell>
          <cell r="U1700">
            <v>0</v>
          </cell>
        </row>
        <row r="1701">
          <cell r="A1701" t="str">
            <v>DEC 2015</v>
          </cell>
          <cell r="B1701" t="str">
            <v>KUUM_489</v>
          </cell>
          <cell r="D1701" t="str">
            <v>LS</v>
          </cell>
          <cell r="S1701">
            <v>0</v>
          </cell>
          <cell r="T1701">
            <v>0</v>
          </cell>
          <cell r="U1701">
            <v>0</v>
          </cell>
        </row>
        <row r="1702">
          <cell r="A1702" t="str">
            <v>DEC 2015</v>
          </cell>
          <cell r="B1702" t="str">
            <v>KUUM_490</v>
          </cell>
          <cell r="D1702" t="str">
            <v>LS</v>
          </cell>
          <cell r="S1702">
            <v>0</v>
          </cell>
          <cell r="T1702">
            <v>0</v>
          </cell>
          <cell r="U1702">
            <v>0</v>
          </cell>
        </row>
        <row r="1703">
          <cell r="A1703" t="str">
            <v>DEC 2015</v>
          </cell>
          <cell r="B1703" t="str">
            <v>KUUM_491</v>
          </cell>
          <cell r="D1703" t="str">
            <v>LS</v>
          </cell>
          <cell r="S1703">
            <v>0</v>
          </cell>
          <cell r="T1703">
            <v>0</v>
          </cell>
          <cell r="U1703">
            <v>0</v>
          </cell>
        </row>
        <row r="1704">
          <cell r="A1704" t="str">
            <v>DEC 2015</v>
          </cell>
          <cell r="B1704" t="str">
            <v>KUUM_492</v>
          </cell>
          <cell r="D1704" t="str">
            <v>LS</v>
          </cell>
          <cell r="S1704">
            <v>0</v>
          </cell>
          <cell r="T1704">
            <v>0</v>
          </cell>
          <cell r="U1704">
            <v>0</v>
          </cell>
        </row>
        <row r="1705">
          <cell r="A1705" t="str">
            <v>DEC 2015</v>
          </cell>
          <cell r="B1705" t="str">
            <v>KUUM_493</v>
          </cell>
          <cell r="D1705" t="str">
            <v>LS</v>
          </cell>
          <cell r="S1705">
            <v>0</v>
          </cell>
          <cell r="T1705">
            <v>0</v>
          </cell>
          <cell r="U1705">
            <v>0</v>
          </cell>
        </row>
        <row r="1706">
          <cell r="A1706" t="str">
            <v>DEC 2015</v>
          </cell>
          <cell r="B1706" t="str">
            <v>KUUM_494</v>
          </cell>
          <cell r="D1706" t="str">
            <v>LS</v>
          </cell>
          <cell r="S1706">
            <v>0</v>
          </cell>
          <cell r="T1706">
            <v>0</v>
          </cell>
          <cell r="U1706">
            <v>0</v>
          </cell>
        </row>
        <row r="1707">
          <cell r="A1707" t="str">
            <v>DEC 2015</v>
          </cell>
          <cell r="B1707" t="str">
            <v>KUUM_495</v>
          </cell>
          <cell r="D1707" t="str">
            <v>LS</v>
          </cell>
          <cell r="S1707">
            <v>0</v>
          </cell>
          <cell r="T1707">
            <v>0</v>
          </cell>
          <cell r="U1707">
            <v>0</v>
          </cell>
        </row>
        <row r="1708">
          <cell r="A1708" t="str">
            <v>DEC 2015</v>
          </cell>
          <cell r="B1708" t="str">
            <v>KUUM_496</v>
          </cell>
          <cell r="D1708" t="str">
            <v>LS</v>
          </cell>
          <cell r="S1708">
            <v>0</v>
          </cell>
          <cell r="T1708">
            <v>0</v>
          </cell>
          <cell r="U1708">
            <v>0</v>
          </cell>
        </row>
        <row r="1709">
          <cell r="A1709" t="str">
            <v>DEC 2015</v>
          </cell>
          <cell r="B1709" t="str">
            <v>KUUM_497</v>
          </cell>
          <cell r="D1709" t="str">
            <v>LS</v>
          </cell>
          <cell r="S1709">
            <v>0</v>
          </cell>
          <cell r="T1709">
            <v>0</v>
          </cell>
          <cell r="U1709">
            <v>0</v>
          </cell>
        </row>
        <row r="1710">
          <cell r="A1710" t="str">
            <v>DEC 2015</v>
          </cell>
          <cell r="B1710" t="str">
            <v>KUUM_498</v>
          </cell>
          <cell r="D1710" t="str">
            <v>LS</v>
          </cell>
          <cell r="S1710">
            <v>0</v>
          </cell>
          <cell r="T1710">
            <v>0</v>
          </cell>
          <cell r="U1710">
            <v>0</v>
          </cell>
        </row>
        <row r="1711">
          <cell r="A1711" t="str">
            <v>DEC 2015</v>
          </cell>
          <cell r="B1711" t="str">
            <v>KUUM_499</v>
          </cell>
          <cell r="D1711" t="str">
            <v>LS</v>
          </cell>
          <cell r="S1711">
            <v>0</v>
          </cell>
          <cell r="T1711">
            <v>0</v>
          </cell>
          <cell r="U1711">
            <v>0</v>
          </cell>
        </row>
        <row r="1712">
          <cell r="A1712" t="str">
            <v>DEC 2015</v>
          </cell>
          <cell r="B1712" t="str">
            <v>KUUM_820</v>
          </cell>
          <cell r="D1712" t="str">
            <v>ODL</v>
          </cell>
          <cell r="S1712">
            <v>0</v>
          </cell>
          <cell r="T1712">
            <v>0</v>
          </cell>
          <cell r="U1712">
            <v>0</v>
          </cell>
        </row>
        <row r="1713">
          <cell r="A1713" t="str">
            <v>DEC 2015</v>
          </cell>
          <cell r="B1713" t="str">
            <v>KUUM_825</v>
          </cell>
          <cell r="D1713" t="str">
            <v>EF</v>
          </cell>
          <cell r="S1713">
            <v>0</v>
          </cell>
          <cell r="T1713">
            <v>0</v>
          </cell>
          <cell r="U1713">
            <v>0</v>
          </cell>
        </row>
        <row r="1714">
          <cell r="A1714" t="str">
            <v>DEC 2015</v>
          </cell>
          <cell r="B1714" t="str">
            <v>KUUM_826</v>
          </cell>
          <cell r="D1714" t="str">
            <v>EF</v>
          </cell>
          <cell r="S1714">
            <v>0</v>
          </cell>
          <cell r="T1714">
            <v>0</v>
          </cell>
          <cell r="U1714">
            <v>0</v>
          </cell>
        </row>
        <row r="1715">
          <cell r="A1715" t="str">
            <v>DEC 2015</v>
          </cell>
          <cell r="B1715" t="str">
            <v>KUUM_827</v>
          </cell>
          <cell r="D1715" t="str">
            <v>DA</v>
          </cell>
          <cell r="S1715">
            <v>0</v>
          </cell>
          <cell r="T1715">
            <v>0</v>
          </cell>
          <cell r="U1715">
            <v>0</v>
          </cell>
        </row>
        <row r="1716">
          <cell r="A1716" t="str">
            <v>DEC 2015</v>
          </cell>
          <cell r="B1716" t="str">
            <v>KUUM_828</v>
          </cell>
          <cell r="D1716" t="str">
            <v>EF</v>
          </cell>
          <cell r="S1716">
            <v>0</v>
          </cell>
          <cell r="T1716">
            <v>0</v>
          </cell>
          <cell r="U1716">
            <v>0</v>
          </cell>
        </row>
        <row r="1717">
          <cell r="A1717" t="str">
            <v>DEC 2015</v>
          </cell>
          <cell r="B1717" t="str">
            <v>KUUM_829</v>
          </cell>
          <cell r="D1717" t="str">
            <v>EF</v>
          </cell>
          <cell r="S1717">
            <v>0</v>
          </cell>
          <cell r="T1717">
            <v>0</v>
          </cell>
          <cell r="U1717">
            <v>0</v>
          </cell>
        </row>
        <row r="1718">
          <cell r="A1718" t="str">
            <v>DEC 2015</v>
          </cell>
          <cell r="B1718" t="str">
            <v>ODRSE020</v>
          </cell>
          <cell r="D1718" t="str">
            <v>ODRS</v>
          </cell>
          <cell r="S1718">
            <v>0</v>
          </cell>
          <cell r="T1718">
            <v>0</v>
          </cell>
          <cell r="U1718">
            <v>0</v>
          </cell>
        </row>
        <row r="1719">
          <cell r="A1719" t="str">
            <v>DEC 2015</v>
          </cell>
          <cell r="B1719" t="str">
            <v>Result</v>
          </cell>
          <cell r="S1719">
            <v>0</v>
          </cell>
          <cell r="T1719">
            <v>0</v>
          </cell>
          <cell r="U1719">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921"/>
  <sheetViews>
    <sheetView workbookViewId="0"/>
  </sheetViews>
  <sheetFormatPr defaultColWidth="9.33203125" defaultRowHeight="12"/>
  <cols>
    <col min="1" max="1" width="6.83203125" style="98" customWidth="1"/>
    <col min="2" max="2" width="12.33203125" style="95" bestFit="1" customWidth="1"/>
    <col min="3" max="3" width="9.5" style="95" bestFit="1" customWidth="1"/>
    <col min="4" max="4" width="15" style="95" bestFit="1" customWidth="1"/>
    <col min="5" max="5" width="12.1640625" style="127" customWidth="1"/>
    <col min="6" max="9" width="12.1640625" style="95" customWidth="1"/>
    <col min="10" max="10" width="16.5" style="95" customWidth="1"/>
    <col min="11" max="11" width="20.83203125" style="96" bestFit="1" customWidth="1"/>
    <col min="12" max="12" width="19" style="96" bestFit="1" customWidth="1"/>
    <col min="13" max="13" width="19.5" style="96" bestFit="1" customWidth="1"/>
    <col min="14" max="15" width="11.33203125" style="95" customWidth="1"/>
    <col min="16" max="16" width="10.1640625" style="95" bestFit="1" customWidth="1"/>
    <col min="17" max="17" width="12.1640625" style="95" customWidth="1"/>
    <col min="18" max="18" width="12.6640625" style="95" customWidth="1"/>
    <col min="19" max="19" width="14.33203125" style="95" bestFit="1" customWidth="1"/>
    <col min="20" max="20" width="14.6640625" style="127" customWidth="1"/>
    <col min="21" max="21" width="16.6640625" style="95" bestFit="1" customWidth="1"/>
    <col min="22" max="22" width="16" style="95" customWidth="1"/>
    <col min="23" max="23" width="17.83203125" style="98" bestFit="1" customWidth="1"/>
    <col min="24" max="24" width="18.5" style="98" customWidth="1"/>
    <col min="25" max="25" width="16" style="98" customWidth="1"/>
    <col min="26" max="26" width="16.5" style="98" bestFit="1" customWidth="1"/>
    <col min="27" max="28" width="16.5" style="98" customWidth="1"/>
    <col min="29" max="29" width="18.83203125" style="98" bestFit="1" customWidth="1"/>
    <col min="30" max="31" width="16.1640625" style="98" bestFit="1" customWidth="1"/>
    <col min="32" max="34" width="14.33203125" style="98" bestFit="1" customWidth="1"/>
    <col min="35" max="35" width="14.6640625" style="98" customWidth="1"/>
    <col min="36" max="36" width="17.6640625" style="98" customWidth="1"/>
    <col min="37" max="38" width="17" style="98" customWidth="1"/>
    <col min="39" max="39" width="16" style="98" bestFit="1" customWidth="1"/>
    <col min="40" max="41" width="15.33203125" style="98" bestFit="1" customWidth="1"/>
    <col min="42" max="42" width="15.5" style="98" bestFit="1" customWidth="1"/>
    <col min="43" max="46" width="9.33203125" style="98"/>
    <col min="47" max="47" width="10.83203125" style="95" bestFit="1" customWidth="1"/>
    <col min="48" max="48" width="21.6640625" style="95" bestFit="1" customWidth="1"/>
    <col min="49" max="49" width="18.6640625" style="98" bestFit="1" customWidth="1"/>
    <col min="50" max="50" width="9.5" style="98" bestFit="1" customWidth="1"/>
    <col min="51" max="52" width="9.33203125" style="98"/>
    <col min="53" max="53" width="9.5" style="98" bestFit="1" customWidth="1"/>
    <col min="54" max="54" width="15" style="98" bestFit="1" customWidth="1"/>
    <col min="55" max="16384" width="9.33203125" style="98"/>
  </cols>
  <sheetData>
    <row r="1" spans="1:55" ht="22.5" customHeight="1">
      <c r="A1" s="94"/>
      <c r="B1" s="94"/>
      <c r="E1" s="95"/>
      <c r="T1" s="95"/>
      <c r="W1" s="95"/>
      <c r="X1" s="95"/>
      <c r="Y1" s="95"/>
      <c r="Z1" s="95"/>
      <c r="AA1" s="95"/>
      <c r="AB1" s="95"/>
      <c r="AC1" s="95"/>
      <c r="AD1" s="95"/>
      <c r="AE1" s="95"/>
      <c r="AF1" s="97"/>
      <c r="AG1" s="95"/>
      <c r="AH1" s="95"/>
      <c r="AI1" s="95"/>
      <c r="AJ1" s="95"/>
      <c r="AK1" s="95"/>
      <c r="AL1" s="95"/>
      <c r="AM1" s="95"/>
      <c r="AU1" s="864" t="s">
        <v>680</v>
      </c>
      <c r="AV1" s="864"/>
      <c r="AW1" s="864"/>
    </row>
    <row r="2" spans="1:55">
      <c r="A2" s="94"/>
      <c r="B2" s="94"/>
      <c r="E2" s="95"/>
      <c r="T2" s="95"/>
      <c r="W2" s="95"/>
      <c r="X2" s="95"/>
      <c r="Y2" s="95"/>
      <c r="Z2" s="95"/>
      <c r="AA2" s="95"/>
      <c r="AB2" s="95"/>
      <c r="AC2" s="95"/>
      <c r="AD2" s="95"/>
      <c r="AE2" s="95"/>
      <c r="AF2" s="97"/>
      <c r="AG2" s="99"/>
      <c r="AH2" s="99"/>
      <c r="AI2" s="99"/>
      <c r="AJ2" s="94"/>
      <c r="AK2" s="99"/>
      <c r="AL2" s="95"/>
      <c r="AM2" s="95"/>
      <c r="AU2" s="864"/>
      <c r="AV2" s="864"/>
      <c r="AW2" s="864"/>
    </row>
    <row r="3" spans="1:55" s="107" customFormat="1" ht="48" customHeight="1">
      <c r="A3" s="100" t="s">
        <v>32</v>
      </c>
      <c r="B3" s="100" t="s">
        <v>62</v>
      </c>
      <c r="C3" s="100" t="s">
        <v>33</v>
      </c>
      <c r="D3" s="100" t="s">
        <v>52</v>
      </c>
      <c r="E3" s="101" t="s">
        <v>53</v>
      </c>
      <c r="F3" s="102" t="s">
        <v>114</v>
      </c>
      <c r="G3" s="102" t="s">
        <v>667</v>
      </c>
      <c r="H3" s="102" t="s">
        <v>668</v>
      </c>
      <c r="I3" s="102" t="s">
        <v>669</v>
      </c>
      <c r="J3" s="102" t="s">
        <v>34</v>
      </c>
      <c r="K3" s="104" t="s">
        <v>1108</v>
      </c>
      <c r="L3" s="104" t="s">
        <v>1109</v>
      </c>
      <c r="M3" s="104" t="s">
        <v>1110</v>
      </c>
      <c r="N3" s="102" t="s">
        <v>35</v>
      </c>
      <c r="O3" s="103" t="s">
        <v>670</v>
      </c>
      <c r="P3" s="102" t="s">
        <v>671</v>
      </c>
      <c r="Q3" s="102" t="s">
        <v>672</v>
      </c>
      <c r="R3" s="102" t="s">
        <v>799</v>
      </c>
      <c r="S3" s="102" t="s">
        <v>36</v>
      </c>
      <c r="T3" s="102" t="s">
        <v>37</v>
      </c>
      <c r="U3" s="102" t="s">
        <v>38</v>
      </c>
      <c r="V3" s="102" t="s">
        <v>39</v>
      </c>
      <c r="W3" s="103" t="s">
        <v>112</v>
      </c>
      <c r="X3" s="102" t="s">
        <v>40</v>
      </c>
      <c r="Y3" s="102" t="s">
        <v>41</v>
      </c>
      <c r="Z3" s="102" t="s">
        <v>42</v>
      </c>
      <c r="AA3" s="102" t="s">
        <v>827</v>
      </c>
      <c r="AB3" s="103" t="s">
        <v>64</v>
      </c>
      <c r="AC3" s="102" t="s">
        <v>43</v>
      </c>
      <c r="AD3" s="102" t="s">
        <v>44</v>
      </c>
      <c r="AE3" s="102" t="s">
        <v>45</v>
      </c>
      <c r="AF3" s="105" t="s">
        <v>46</v>
      </c>
      <c r="AG3" s="100" t="s">
        <v>47</v>
      </c>
      <c r="AH3" s="100" t="s">
        <v>48</v>
      </c>
      <c r="AI3" s="100" t="s">
        <v>49</v>
      </c>
      <c r="AJ3" s="100" t="s">
        <v>50</v>
      </c>
      <c r="AK3" s="100" t="s">
        <v>51</v>
      </c>
      <c r="AL3" s="106" t="s">
        <v>673</v>
      </c>
      <c r="AM3" s="100" t="s">
        <v>674</v>
      </c>
      <c r="AN3" s="100" t="s">
        <v>675</v>
      </c>
      <c r="AO3" s="107" t="s">
        <v>799</v>
      </c>
      <c r="AP3" s="107" t="s">
        <v>1106</v>
      </c>
      <c r="AU3" s="98" t="s">
        <v>681</v>
      </c>
      <c r="AV3" s="98" t="s">
        <v>682</v>
      </c>
      <c r="AW3" s="98" t="s">
        <v>683</v>
      </c>
      <c r="AX3" s="107" t="s">
        <v>698</v>
      </c>
    </row>
    <row r="4" spans="1:55">
      <c r="A4" s="108">
        <v>1</v>
      </c>
      <c r="B4" s="109" t="str">
        <f>TEXT(AU4,"mmm yyyy")</f>
        <v>Jan 2016</v>
      </c>
      <c r="C4" s="110" t="str">
        <f>BC4</f>
        <v>FLSP</v>
      </c>
      <c r="D4" s="110" t="str">
        <f>BB4</f>
        <v>LGINE682</v>
      </c>
      <c r="E4" s="111">
        <f t="shared" ref="E4:E67" si="0">SUMIFS(L_1022_Count,L_1022_Revenue_Month,$B4,L_1022_Rate_Category,$D4)</f>
        <v>0</v>
      </c>
      <c r="F4" s="112">
        <v>0</v>
      </c>
      <c r="G4" s="111">
        <f t="shared" ref="G4:G67" si="1">SUMIFS(L_1022_KWH_P1,L_1022_Revenue_Month,$B4,L_1022_Rate_Category,$D4)</f>
        <v>0</v>
      </c>
      <c r="H4" s="111">
        <f t="shared" ref="H4:H67" si="2">SUMIFS(L_1022_KWH_P2,L_1022_Revenue_Month,$B4,L_1022_Rate_Category,$D4)</f>
        <v>0</v>
      </c>
      <c r="I4" s="111">
        <f t="shared" ref="I4:I67" si="3">SUMIFS(L_1022_KWH_P3,L_1022_Revenue_Month,$B4,L_1022_Rate_Category,$D4)</f>
        <v>0</v>
      </c>
      <c r="J4" s="111">
        <f t="shared" ref="J4:J67" si="4">SUMIFS(L_1022_KWH_Total,L_1022_Revenue_Month,$B4,L_1022_Rate_Category,$D4)</f>
        <v>0</v>
      </c>
      <c r="K4" s="113">
        <f t="shared" ref="K4:K67" si="5">SUMIFS(L_1022_Demand_Base_Measured,L_1022_Revenue_Month,$B4,L_1022_Rate_Category,$D4)</f>
        <v>0</v>
      </c>
      <c r="L4" s="113">
        <f t="shared" ref="L4:L67" si="6">SUMIFS(L_1022_Demand_Inter_Measured,L_1022_Revenue_Month,$B4,L_1022_Rate_Category,$D4)</f>
        <v>0</v>
      </c>
      <c r="M4" s="113">
        <f t="shared" ref="M4:M67" si="7">SUMIFS(L_1022_Demand_Peak_Measured,L_1022_Revenue_Month,$B4,L_1022_Rate_Category,$D4)</f>
        <v>0</v>
      </c>
      <c r="N4" s="116">
        <f t="shared" ref="N4:N67" si="8">SUMIF(L_Rates_Tariff_Rate_Category,AV4,L_Rates_BSC)</f>
        <v>750</v>
      </c>
      <c r="O4" s="117">
        <f t="shared" ref="O4:O39" si="9">SUMIF(L_Rates_Tariff_Rate_Category,$AV4,L_Rates_Energy)</f>
        <v>3.61E-2</v>
      </c>
      <c r="P4" s="117">
        <f t="shared" ref="P4:P67" si="10">SUMIF(L_Rates_Tariff_Rate_Category,$AV4,L_Rates_Energy_P2)</f>
        <v>0</v>
      </c>
      <c r="Q4" s="117">
        <f t="shared" ref="Q4:Q67" si="11">SUMIF(L_Rates_Tariff_Rate_Category,$AV4,L_Rates_Energy_P3)</f>
        <v>0</v>
      </c>
      <c r="R4" s="117">
        <f t="shared" ref="R4:R67" si="12">SUMIF(L_Rates_Tariff_Rate_Category,$AV4,L_Rates_Energy_Base_Fuel)</f>
        <v>2.725E-2</v>
      </c>
      <c r="S4" s="116">
        <f t="shared" ref="S4:S67" si="13">SUMIF(L_Rates_Tariff_Rate_Category,$AV4,L_Rates_Demand_Base)</f>
        <v>1.8900000000000001</v>
      </c>
      <c r="T4" s="116">
        <f t="shared" ref="T4:T67" si="14">SUMIF(L_Rates_Tariff_Rate_Category,$AV4,L_Rates_Demand_Intermediate)</f>
        <v>1.8900000000000001</v>
      </c>
      <c r="U4" s="116">
        <f t="shared" ref="U4:U67" si="15">SUMIF(L_Rates_Tariff_Rate_Category,$AV4,L_Rates_Demand_Peak)</f>
        <v>2.94</v>
      </c>
      <c r="V4" s="118">
        <f t="shared" ref="V4:V67" si="16">ROUND(($E4+$F4)*$N4,2)</f>
        <v>0</v>
      </c>
      <c r="W4" s="118">
        <f>ROUND(IF(G4=0,J4*O4,SUMPRODUCT(G4:I4,O4:Q4)),2)</f>
        <v>0</v>
      </c>
      <c r="X4" s="118">
        <f>ROUND(K4*S4,2)</f>
        <v>0</v>
      </c>
      <c r="Y4" s="118">
        <f>ROUND(L4*T4,2)</f>
        <v>0</v>
      </c>
      <c r="Z4" s="118">
        <f>ROUND(M4*U4,2)</f>
        <v>0</v>
      </c>
      <c r="AA4" s="119">
        <v>0</v>
      </c>
      <c r="AB4" s="120">
        <f t="shared" ref="AB4:AB67" si="17">SUMIFS(L_1022_Revenue_Power_Factor,L_1022_Revenue_Month,$B4,L_1022_Rate_Category,$D4)</f>
        <v>0</v>
      </c>
      <c r="AC4" s="118">
        <f t="shared" ref="AC4:AC67" si="18">SUM(X4:AB4)</f>
        <v>0</v>
      </c>
      <c r="AD4" s="118">
        <f>SUM(V4:AB4)</f>
        <v>0</v>
      </c>
      <c r="AE4" s="118">
        <f t="shared" ref="AE4:AE67" si="19">AL4-SUM(AG4:AK4)</f>
        <v>0</v>
      </c>
      <c r="AF4" s="121">
        <f>IF(AND(AD4=0,AE4=0),1,IF(AD4=0,0,ROUND(AE4/AD4,6)))</f>
        <v>1</v>
      </c>
      <c r="AG4" s="122">
        <f t="shared" ref="AG4:AG67" si="20">SUMIFS(L_SBR_FAC,L_SBR_Revenue_Month,$B4,L_SBR_Rate_Category,$D4)</f>
        <v>0</v>
      </c>
      <c r="AH4" s="122">
        <f t="shared" ref="AH4:AH67" si="21">SUMIFS(L_SBR_DSM,L_SBR_Revenue_Month,$B4,L_SBR_Rate_Category,$D4)</f>
        <v>0</v>
      </c>
      <c r="AI4" s="122">
        <f t="shared" ref="AI4:AI67" si="22">SUMIFS(L_SBR_ECR,L_SBR_Revenue_Month,$B4,L_SBR_Rate_Category,$D4)</f>
        <v>0</v>
      </c>
      <c r="AJ4" s="122">
        <f t="shared" ref="AJ4:AJ67" si="23">SUMIFS(L_SBR_MSR,L_SBR_Revenue_Month,$B4,L_SBR_Rate_Category,$D4)</f>
        <v>0</v>
      </c>
      <c r="AK4" s="122">
        <f t="shared" ref="AK4:AK67" si="24">SUMIFS(L_SBR_CSR,L_SBR_Revenue_Month,$B4,L_SBR_Rate_Category,$D4)</f>
        <v>0</v>
      </c>
      <c r="AL4" s="122">
        <f t="shared" ref="AL4:AL67" si="25">SUMIFS(L_SBR_Revenue_Total,L_SBR_Revenue_Month,$B4,L_SBR_Rate_Category,$D4)</f>
        <v>0</v>
      </c>
      <c r="AM4" s="123">
        <f t="shared" ref="AM4:AM67" si="26">SUM(AD4,AG4:AK4)</f>
        <v>0</v>
      </c>
      <c r="AN4" s="123">
        <f>AL4-AM4</f>
        <v>0</v>
      </c>
      <c r="AO4" s="124">
        <f t="shared" ref="AO4:AO67" si="27">ROUND(J4*R4,2)</f>
        <v>0</v>
      </c>
      <c r="AP4" s="125">
        <f>W4-AO4</f>
        <v>0</v>
      </c>
      <c r="AT4" s="98" t="str">
        <f>TEXT(AU4,"mmm yyyy")</f>
        <v>Jan 2016</v>
      </c>
      <c r="AU4" s="136">
        <f>MiscData!$A$5</f>
        <v>42400</v>
      </c>
      <c r="AV4" s="108" t="str">
        <f>CONCATENATE(AX4&amp;BB4)</f>
        <v>20140101LGINE682</v>
      </c>
      <c r="AW4" s="126" t="str">
        <f>CONCATENATE(AX4&amp;BC4)</f>
        <v>20140101FLSP</v>
      </c>
      <c r="AX4">
        <f>MiscData!$X$5</f>
        <v>20140101</v>
      </c>
      <c r="BA4" s="98">
        <v>1</v>
      </c>
      <c r="BB4" s="98" t="str">
        <f>VLOOKUP(BA4,MiscData!$Z$5:$AB$46,2,FALSE)</f>
        <v>LGINE682</v>
      </c>
      <c r="BC4" s="98" t="str">
        <f>VLOOKUP(BA4,MiscData!$Z$5:$AB$46,3,FALSE)</f>
        <v>FLSP</v>
      </c>
    </row>
    <row r="5" spans="1:55">
      <c r="A5" s="108">
        <v>2</v>
      </c>
      <c r="B5" s="109" t="str">
        <f t="shared" ref="B5:B68" si="28">TEXT(AU5,"mmm yyyy")</f>
        <v>Jan 2016</v>
      </c>
      <c r="C5" s="110" t="str">
        <f t="shared" ref="C5:C68" si="29">BC5</f>
        <v>FLST</v>
      </c>
      <c r="D5" s="110" t="str">
        <f t="shared" ref="D5:D68" si="30">BB5</f>
        <v>LGINE683</v>
      </c>
      <c r="E5" s="111">
        <f t="shared" si="0"/>
        <v>0</v>
      </c>
      <c r="F5" s="112">
        <v>0</v>
      </c>
      <c r="G5" s="111">
        <f t="shared" si="1"/>
        <v>0</v>
      </c>
      <c r="H5" s="111">
        <f t="shared" si="2"/>
        <v>0</v>
      </c>
      <c r="I5" s="111">
        <f t="shared" si="3"/>
        <v>0</v>
      </c>
      <c r="J5" s="111">
        <f t="shared" si="4"/>
        <v>0</v>
      </c>
      <c r="K5" s="113">
        <f t="shared" si="5"/>
        <v>0</v>
      </c>
      <c r="L5" s="113">
        <f t="shared" si="6"/>
        <v>0</v>
      </c>
      <c r="M5" s="113">
        <f t="shared" si="7"/>
        <v>0</v>
      </c>
      <c r="N5" s="116">
        <f t="shared" si="8"/>
        <v>750</v>
      </c>
      <c r="O5" s="117">
        <f t="shared" si="9"/>
        <v>3.61E-2</v>
      </c>
      <c r="P5" s="117">
        <f t="shared" si="10"/>
        <v>0</v>
      </c>
      <c r="Q5" s="117">
        <f t="shared" si="11"/>
        <v>0</v>
      </c>
      <c r="R5" s="117">
        <f t="shared" si="12"/>
        <v>2.725E-2</v>
      </c>
      <c r="S5" s="116">
        <f t="shared" si="13"/>
        <v>1.1400000000000001</v>
      </c>
      <c r="T5" s="116">
        <f t="shared" si="14"/>
        <v>1.8900000000000001</v>
      </c>
      <c r="U5" s="116">
        <f t="shared" si="15"/>
        <v>2.94</v>
      </c>
      <c r="V5" s="118">
        <f t="shared" si="16"/>
        <v>0</v>
      </c>
      <c r="W5" s="118">
        <f t="shared" ref="W5:W68" si="31">ROUND(IF(G5=0,J5*O5,SUMPRODUCT(G5:I5,O5:Q5)),2)</f>
        <v>0</v>
      </c>
      <c r="X5" s="118">
        <f t="shared" ref="X5:X68" si="32">ROUND(K5*S5,2)</f>
        <v>0</v>
      </c>
      <c r="Y5" s="118">
        <f t="shared" ref="Y5:Y68" si="33">ROUND(L5*T5,2)</f>
        <v>0</v>
      </c>
      <c r="Z5" s="118">
        <f t="shared" ref="Z5:Z68" si="34">ROUND(M5*U5,2)</f>
        <v>0</v>
      </c>
      <c r="AA5" s="119">
        <v>0</v>
      </c>
      <c r="AB5" s="120">
        <f t="shared" si="17"/>
        <v>0</v>
      </c>
      <c r="AC5" s="118">
        <f t="shared" si="18"/>
        <v>0</v>
      </c>
      <c r="AD5" s="118">
        <f t="shared" ref="AD5:AD68" si="35">SUM(V5:AB5)</f>
        <v>0</v>
      </c>
      <c r="AE5" s="118">
        <f t="shared" si="19"/>
        <v>0</v>
      </c>
      <c r="AF5" s="121">
        <f t="shared" ref="AF5:AF68" si="36">IF(AND(AD5=0,AE5=0),1,IF(AD5=0,0,ROUND(AE5/AD5,6)))</f>
        <v>1</v>
      </c>
      <c r="AG5" s="122">
        <f t="shared" si="20"/>
        <v>0</v>
      </c>
      <c r="AH5" s="122">
        <f t="shared" si="21"/>
        <v>0</v>
      </c>
      <c r="AI5" s="122">
        <f t="shared" si="22"/>
        <v>0</v>
      </c>
      <c r="AJ5" s="122">
        <f t="shared" si="23"/>
        <v>0</v>
      </c>
      <c r="AK5" s="122">
        <f t="shared" si="24"/>
        <v>0</v>
      </c>
      <c r="AL5" s="122">
        <f t="shared" si="25"/>
        <v>0</v>
      </c>
      <c r="AM5" s="123">
        <f t="shared" si="26"/>
        <v>0</v>
      </c>
      <c r="AN5" s="123">
        <f t="shared" ref="AN5:AN43" si="37">AL5-AM5</f>
        <v>0</v>
      </c>
      <c r="AO5" s="124">
        <f t="shared" si="27"/>
        <v>0</v>
      </c>
      <c r="AP5" s="125">
        <f t="shared" ref="AP5:AP68" si="38">W5-AO5</f>
        <v>0</v>
      </c>
      <c r="AU5" s="109">
        <f>IF(BA5=1,IF(AU4=MiscData!$F$1,EOMONTH(AU4,-11),EOMONTH(AU4,1)),AU4)</f>
        <v>42400</v>
      </c>
      <c r="AV5" s="108" t="str">
        <f t="shared" ref="AV5:AV68" si="39">CONCATENATE(AX5&amp;BB5)</f>
        <v>20140101LGINE683</v>
      </c>
      <c r="AW5" s="126" t="str">
        <f t="shared" ref="AW5:AW68" si="40">CONCATENATE(AX5&amp;BC5)</f>
        <v>20140101FLST</v>
      </c>
      <c r="AX5">
        <f>MiscData!$X$5</f>
        <v>20140101</v>
      </c>
      <c r="BA5" s="98">
        <f>IF(BA4+1&gt;MiscData!$Z$42,1,BA4+1)</f>
        <v>2</v>
      </c>
      <c r="BB5" s="98" t="str">
        <f>VLOOKUP(BA5,MiscData!$Z$5:$AB$46,2,FALSE)</f>
        <v>LGINE683</v>
      </c>
      <c r="BC5" s="98" t="str">
        <f>VLOOKUP(BA5,MiscData!$Z$5:$AB$46,3,FALSE)</f>
        <v>FLST</v>
      </c>
    </row>
    <row r="6" spans="1:55">
      <c r="A6" s="108">
        <v>3</v>
      </c>
      <c r="B6" s="109" t="str">
        <f t="shared" si="28"/>
        <v>Jan 2016</v>
      </c>
      <c r="C6" s="110" t="s">
        <v>902</v>
      </c>
      <c r="D6" s="110" t="str">
        <f t="shared" si="30"/>
        <v>LGCME451</v>
      </c>
      <c r="E6" s="111">
        <f t="shared" si="0"/>
        <v>0</v>
      </c>
      <c r="F6" s="112">
        <v>0</v>
      </c>
      <c r="G6" s="111">
        <f t="shared" si="1"/>
        <v>0</v>
      </c>
      <c r="H6" s="111">
        <f t="shared" si="2"/>
        <v>0</v>
      </c>
      <c r="I6" s="111">
        <f t="shared" si="3"/>
        <v>0</v>
      </c>
      <c r="J6" s="111">
        <f t="shared" si="4"/>
        <v>0</v>
      </c>
      <c r="K6" s="113">
        <f t="shared" si="5"/>
        <v>0</v>
      </c>
      <c r="L6" s="113">
        <f t="shared" si="6"/>
        <v>0</v>
      </c>
      <c r="M6" s="113">
        <f t="shared" si="7"/>
        <v>0</v>
      </c>
      <c r="N6" s="116">
        <f t="shared" si="8"/>
        <v>0</v>
      </c>
      <c r="O6" s="117">
        <f t="shared" si="9"/>
        <v>9.1340000000000005E-2</v>
      </c>
      <c r="P6" s="117">
        <f t="shared" si="10"/>
        <v>0</v>
      </c>
      <c r="Q6" s="117">
        <f t="shared" si="11"/>
        <v>0</v>
      </c>
      <c r="R6" s="117">
        <f t="shared" si="12"/>
        <v>2.725E-2</v>
      </c>
      <c r="S6" s="116">
        <f t="shared" si="13"/>
        <v>0</v>
      </c>
      <c r="T6" s="116">
        <f t="shared" si="14"/>
        <v>0</v>
      </c>
      <c r="U6" s="116">
        <f t="shared" si="15"/>
        <v>0</v>
      </c>
      <c r="V6" s="118">
        <f t="shared" si="16"/>
        <v>0</v>
      </c>
      <c r="W6" s="118">
        <f t="shared" si="31"/>
        <v>0</v>
      </c>
      <c r="X6" s="118">
        <f t="shared" si="32"/>
        <v>0</v>
      </c>
      <c r="Y6" s="118">
        <f t="shared" si="33"/>
        <v>0</v>
      </c>
      <c r="Z6" s="118">
        <f t="shared" si="34"/>
        <v>0</v>
      </c>
      <c r="AA6" s="119">
        <v>0</v>
      </c>
      <c r="AB6" s="120">
        <f t="shared" si="17"/>
        <v>0</v>
      </c>
      <c r="AC6" s="118">
        <f t="shared" si="18"/>
        <v>0</v>
      </c>
      <c r="AD6" s="118">
        <f t="shared" si="35"/>
        <v>0</v>
      </c>
      <c r="AE6" s="118">
        <f t="shared" si="19"/>
        <v>0</v>
      </c>
      <c r="AF6" s="121">
        <f t="shared" si="36"/>
        <v>1</v>
      </c>
      <c r="AG6" s="122">
        <f t="shared" si="20"/>
        <v>0</v>
      </c>
      <c r="AH6" s="122">
        <f t="shared" si="21"/>
        <v>0</v>
      </c>
      <c r="AI6" s="122">
        <f t="shared" si="22"/>
        <v>0</v>
      </c>
      <c r="AJ6" s="122">
        <f t="shared" si="23"/>
        <v>0</v>
      </c>
      <c r="AK6" s="122">
        <f t="shared" si="24"/>
        <v>0</v>
      </c>
      <c r="AL6" s="122">
        <f t="shared" si="25"/>
        <v>0</v>
      </c>
      <c r="AM6" s="123">
        <f t="shared" si="26"/>
        <v>0</v>
      </c>
      <c r="AN6" s="123">
        <f t="shared" si="37"/>
        <v>0</v>
      </c>
      <c r="AO6" s="124">
        <f t="shared" si="27"/>
        <v>0</v>
      </c>
      <c r="AP6" s="125">
        <f t="shared" si="38"/>
        <v>0</v>
      </c>
      <c r="AU6" s="109">
        <f>IF(BA6=1,IF(AU5=MiscData!$F$1,EOMONTH(AU5,-11),EOMONTH(AU5,1)),AU5)</f>
        <v>42400</v>
      </c>
      <c r="AV6" s="108" t="str">
        <f t="shared" si="39"/>
        <v>20140101LGCME451</v>
      </c>
      <c r="AW6" s="126" t="str">
        <f t="shared" si="40"/>
        <v>20140101GSS</v>
      </c>
      <c r="AX6">
        <f>MiscData!$X$5</f>
        <v>20140101</v>
      </c>
      <c r="BA6" s="98">
        <f>IF(BA5+1&gt;MiscData!$Z$42,1,BA5+1)</f>
        <v>3</v>
      </c>
      <c r="BB6" s="98" t="str">
        <f>VLOOKUP(BA6,MiscData!$Z$5:$AB$46,2,FALSE)</f>
        <v>LGCME451</v>
      </c>
      <c r="BC6" s="98" t="str">
        <f>VLOOKUP(BA6,MiscData!$Z$5:$AB$46,3,FALSE)</f>
        <v>GSS</v>
      </c>
    </row>
    <row r="7" spans="1:55">
      <c r="A7" s="108">
        <v>4</v>
      </c>
      <c r="B7" s="109" t="str">
        <f t="shared" si="28"/>
        <v>Jan 2016</v>
      </c>
      <c r="C7" s="110" t="s">
        <v>902</v>
      </c>
      <c r="D7" s="110" t="str">
        <f t="shared" si="30"/>
        <v>LGCME550</v>
      </c>
      <c r="E7" s="111">
        <f t="shared" si="0"/>
        <v>0</v>
      </c>
      <c r="F7" s="112">
        <v>0</v>
      </c>
      <c r="G7" s="111">
        <f t="shared" si="1"/>
        <v>0</v>
      </c>
      <c r="H7" s="111">
        <f t="shared" si="2"/>
        <v>0</v>
      </c>
      <c r="I7" s="111">
        <f t="shared" si="3"/>
        <v>0</v>
      </c>
      <c r="J7" s="111">
        <f t="shared" si="4"/>
        <v>0</v>
      </c>
      <c r="K7" s="113">
        <f t="shared" si="5"/>
        <v>0</v>
      </c>
      <c r="L7" s="113">
        <f t="shared" si="6"/>
        <v>0</v>
      </c>
      <c r="M7" s="113">
        <f t="shared" si="7"/>
        <v>0</v>
      </c>
      <c r="N7" s="116">
        <f t="shared" si="8"/>
        <v>20</v>
      </c>
      <c r="O7" s="117">
        <f t="shared" si="9"/>
        <v>9.1340000000000005E-2</v>
      </c>
      <c r="P7" s="117">
        <f t="shared" si="10"/>
        <v>0</v>
      </c>
      <c r="Q7" s="117">
        <f t="shared" si="11"/>
        <v>0</v>
      </c>
      <c r="R7" s="117">
        <f t="shared" si="12"/>
        <v>2.725E-2</v>
      </c>
      <c r="S7" s="116">
        <f t="shared" si="13"/>
        <v>0</v>
      </c>
      <c r="T7" s="116">
        <f t="shared" si="14"/>
        <v>0</v>
      </c>
      <c r="U7" s="116">
        <f t="shared" si="15"/>
        <v>0</v>
      </c>
      <c r="V7" s="118">
        <f t="shared" si="16"/>
        <v>0</v>
      </c>
      <c r="W7" s="118">
        <f t="shared" si="31"/>
        <v>0</v>
      </c>
      <c r="X7" s="118">
        <f t="shared" si="32"/>
        <v>0</v>
      </c>
      <c r="Y7" s="118">
        <f t="shared" si="33"/>
        <v>0</v>
      </c>
      <c r="Z7" s="118">
        <f t="shared" si="34"/>
        <v>0</v>
      </c>
      <c r="AA7" s="119">
        <v>0</v>
      </c>
      <c r="AB7" s="120">
        <f t="shared" si="17"/>
        <v>0</v>
      </c>
      <c r="AC7" s="118">
        <f t="shared" si="18"/>
        <v>0</v>
      </c>
      <c r="AD7" s="118">
        <f t="shared" si="35"/>
        <v>0</v>
      </c>
      <c r="AE7" s="118">
        <f t="shared" si="19"/>
        <v>0</v>
      </c>
      <c r="AF7" s="121">
        <f t="shared" si="36"/>
        <v>1</v>
      </c>
      <c r="AG7" s="122">
        <f t="shared" si="20"/>
        <v>0</v>
      </c>
      <c r="AH7" s="122">
        <f t="shared" si="21"/>
        <v>0</v>
      </c>
      <c r="AI7" s="122">
        <f t="shared" si="22"/>
        <v>0</v>
      </c>
      <c r="AJ7" s="122">
        <f t="shared" si="23"/>
        <v>0</v>
      </c>
      <c r="AK7" s="122">
        <f t="shared" si="24"/>
        <v>0</v>
      </c>
      <c r="AL7" s="122">
        <f t="shared" si="25"/>
        <v>0</v>
      </c>
      <c r="AM7" s="123">
        <f t="shared" si="26"/>
        <v>0</v>
      </c>
      <c r="AN7" s="123">
        <f t="shared" si="37"/>
        <v>0</v>
      </c>
      <c r="AO7" s="124">
        <f t="shared" si="27"/>
        <v>0</v>
      </c>
      <c r="AP7" s="125">
        <f t="shared" si="38"/>
        <v>0</v>
      </c>
      <c r="AU7" s="109">
        <f>IF(BA7=1,IF(AU6=MiscData!$F$1,EOMONTH(AU6,-11),EOMONTH(AU6,1)),AU6)</f>
        <v>42400</v>
      </c>
      <c r="AV7" s="108" t="str">
        <f t="shared" si="39"/>
        <v>20140101LGCME550</v>
      </c>
      <c r="AW7" s="126" t="str">
        <f t="shared" si="40"/>
        <v>20140101GSS</v>
      </c>
      <c r="AX7">
        <f>MiscData!$X$5</f>
        <v>20140101</v>
      </c>
      <c r="BA7" s="98">
        <f>IF(BA6+1&gt;MiscData!$Z$42,1,BA6+1)</f>
        <v>4</v>
      </c>
      <c r="BB7" s="98" t="str">
        <f>VLOOKUP(BA7,MiscData!$Z$5:$AB$46,2,FALSE)</f>
        <v>LGCME550</v>
      </c>
      <c r="BC7" s="98" t="str">
        <f>VLOOKUP(BA7,MiscData!$Z$5:$AB$46,3,FALSE)</f>
        <v>GSS</v>
      </c>
    </row>
    <row r="8" spans="1:55">
      <c r="A8" s="108">
        <v>5</v>
      </c>
      <c r="B8" s="109" t="str">
        <f t="shared" si="28"/>
        <v>Jan 2016</v>
      </c>
      <c r="C8" s="110" t="s">
        <v>902</v>
      </c>
      <c r="D8" s="110" t="str">
        <f t="shared" si="30"/>
        <v>LGCME551</v>
      </c>
      <c r="E8" s="111">
        <f t="shared" si="0"/>
        <v>28220</v>
      </c>
      <c r="F8" s="112">
        <v>0</v>
      </c>
      <c r="G8" s="111">
        <f t="shared" si="1"/>
        <v>0</v>
      </c>
      <c r="H8" s="111">
        <f t="shared" si="2"/>
        <v>0</v>
      </c>
      <c r="I8" s="111">
        <f t="shared" si="3"/>
        <v>0</v>
      </c>
      <c r="J8" s="111">
        <f t="shared" si="4"/>
        <v>31971164</v>
      </c>
      <c r="K8" s="113">
        <f t="shared" si="5"/>
        <v>0</v>
      </c>
      <c r="L8" s="113">
        <f t="shared" si="6"/>
        <v>0</v>
      </c>
      <c r="M8" s="113">
        <f t="shared" si="7"/>
        <v>0</v>
      </c>
      <c r="N8" s="116">
        <f t="shared" si="8"/>
        <v>20</v>
      </c>
      <c r="O8" s="117">
        <f t="shared" si="9"/>
        <v>9.1340000000000005E-2</v>
      </c>
      <c r="P8" s="117">
        <f t="shared" si="10"/>
        <v>0</v>
      </c>
      <c r="Q8" s="117">
        <f t="shared" si="11"/>
        <v>0</v>
      </c>
      <c r="R8" s="117">
        <f t="shared" si="12"/>
        <v>2.725E-2</v>
      </c>
      <c r="S8" s="116">
        <f t="shared" si="13"/>
        <v>0</v>
      </c>
      <c r="T8" s="116">
        <f t="shared" si="14"/>
        <v>0</v>
      </c>
      <c r="U8" s="116">
        <f t="shared" si="15"/>
        <v>0</v>
      </c>
      <c r="V8" s="118">
        <f t="shared" si="16"/>
        <v>564400</v>
      </c>
      <c r="W8" s="118">
        <f t="shared" si="31"/>
        <v>2920246.12</v>
      </c>
      <c r="X8" s="118">
        <f t="shared" si="32"/>
        <v>0</v>
      </c>
      <c r="Y8" s="118">
        <f t="shared" si="33"/>
        <v>0</v>
      </c>
      <c r="Z8" s="118">
        <f t="shared" si="34"/>
        <v>0</v>
      </c>
      <c r="AA8" s="119">
        <v>0</v>
      </c>
      <c r="AB8" s="120">
        <f t="shared" si="17"/>
        <v>0</v>
      </c>
      <c r="AC8" s="118">
        <f t="shared" si="18"/>
        <v>0</v>
      </c>
      <c r="AD8" s="118">
        <f t="shared" si="35"/>
        <v>3484646.12</v>
      </c>
      <c r="AE8" s="118">
        <f t="shared" si="19"/>
        <v>3484650</v>
      </c>
      <c r="AF8" s="121">
        <f t="shared" si="36"/>
        <v>1.0000009999999999</v>
      </c>
      <c r="AG8" s="122">
        <f t="shared" si="20"/>
        <v>-81436</v>
      </c>
      <c r="AH8" s="122">
        <f t="shared" si="21"/>
        <v>41726</v>
      </c>
      <c r="AI8" s="122">
        <f t="shared" si="22"/>
        <v>286967</v>
      </c>
      <c r="AJ8" s="122">
        <f t="shared" si="23"/>
        <v>0</v>
      </c>
      <c r="AK8" s="122">
        <f t="shared" si="24"/>
        <v>0</v>
      </c>
      <c r="AL8" s="122">
        <f t="shared" si="25"/>
        <v>3731907</v>
      </c>
      <c r="AM8" s="123">
        <f t="shared" si="26"/>
        <v>3731903.12</v>
      </c>
      <c r="AN8" s="123">
        <f t="shared" si="37"/>
        <v>3.8799999998882413</v>
      </c>
      <c r="AO8" s="124">
        <f t="shared" si="27"/>
        <v>871214.22</v>
      </c>
      <c r="AP8" s="125">
        <f t="shared" si="38"/>
        <v>2049031.9000000001</v>
      </c>
      <c r="AU8" s="109">
        <f>IF(BA8=1,IF(AU7=MiscData!$F$1,EOMONTH(AU7,-11),EOMONTH(AU7,1)),AU7)</f>
        <v>42400</v>
      </c>
      <c r="AV8" s="108" t="str">
        <f t="shared" si="39"/>
        <v>20140101LGCME551</v>
      </c>
      <c r="AW8" s="126" t="str">
        <f t="shared" si="40"/>
        <v>20140101GSS</v>
      </c>
      <c r="AX8">
        <f>MiscData!$X$5</f>
        <v>20140101</v>
      </c>
      <c r="BA8" s="98">
        <f>IF(BA7+1&gt;MiscData!$Z$42,1,BA7+1)</f>
        <v>5</v>
      </c>
      <c r="BB8" s="98" t="str">
        <f>VLOOKUP(BA8,MiscData!$Z$5:$AB$46,2,FALSE)</f>
        <v>LGCME551</v>
      </c>
      <c r="BC8" s="98" t="str">
        <f>VLOOKUP(BA8,MiscData!$Z$5:$AB$46,3,FALSE)</f>
        <v>GSS</v>
      </c>
    </row>
    <row r="9" spans="1:55">
      <c r="A9" s="108">
        <v>6</v>
      </c>
      <c r="B9" s="109" t="str">
        <f t="shared" si="28"/>
        <v>Jan 2016</v>
      </c>
      <c r="C9" s="110" t="s">
        <v>902</v>
      </c>
      <c r="D9" s="110" t="str">
        <f t="shared" si="30"/>
        <v>LGCME551UM</v>
      </c>
      <c r="E9" s="111">
        <f t="shared" si="0"/>
        <v>0</v>
      </c>
      <c r="F9" s="112">
        <v>0</v>
      </c>
      <c r="G9" s="111">
        <f t="shared" si="1"/>
        <v>0</v>
      </c>
      <c r="H9" s="111">
        <f t="shared" si="2"/>
        <v>0</v>
      </c>
      <c r="I9" s="111">
        <f t="shared" si="3"/>
        <v>0</v>
      </c>
      <c r="J9" s="111">
        <f t="shared" si="4"/>
        <v>0</v>
      </c>
      <c r="K9" s="113">
        <f t="shared" si="5"/>
        <v>0</v>
      </c>
      <c r="L9" s="113">
        <f t="shared" si="6"/>
        <v>0</v>
      </c>
      <c r="M9" s="113">
        <f t="shared" si="7"/>
        <v>0</v>
      </c>
      <c r="N9" s="116">
        <f t="shared" si="8"/>
        <v>20</v>
      </c>
      <c r="O9" s="117">
        <f t="shared" si="9"/>
        <v>9.1340000000000005E-2</v>
      </c>
      <c r="P9" s="117">
        <f t="shared" si="10"/>
        <v>0</v>
      </c>
      <c r="Q9" s="117">
        <f t="shared" si="11"/>
        <v>0</v>
      </c>
      <c r="R9" s="117">
        <f t="shared" si="12"/>
        <v>2.725E-2</v>
      </c>
      <c r="S9" s="116">
        <f t="shared" si="13"/>
        <v>0</v>
      </c>
      <c r="T9" s="116">
        <f t="shared" si="14"/>
        <v>0</v>
      </c>
      <c r="U9" s="116">
        <f t="shared" si="15"/>
        <v>0</v>
      </c>
      <c r="V9" s="118">
        <f t="shared" si="16"/>
        <v>0</v>
      </c>
      <c r="W9" s="118">
        <f t="shared" si="31"/>
        <v>0</v>
      </c>
      <c r="X9" s="118">
        <f t="shared" si="32"/>
        <v>0</v>
      </c>
      <c r="Y9" s="118">
        <f t="shared" si="33"/>
        <v>0</v>
      </c>
      <c r="Z9" s="118">
        <f t="shared" si="34"/>
        <v>0</v>
      </c>
      <c r="AA9" s="119">
        <v>0</v>
      </c>
      <c r="AB9" s="120">
        <f t="shared" si="17"/>
        <v>0</v>
      </c>
      <c r="AC9" s="118">
        <f t="shared" si="18"/>
        <v>0</v>
      </c>
      <c r="AD9" s="118">
        <f t="shared" si="35"/>
        <v>0</v>
      </c>
      <c r="AE9" s="118">
        <f t="shared" si="19"/>
        <v>0</v>
      </c>
      <c r="AF9" s="121">
        <f t="shared" si="36"/>
        <v>1</v>
      </c>
      <c r="AG9" s="122">
        <f t="shared" si="20"/>
        <v>0</v>
      </c>
      <c r="AH9" s="122">
        <f t="shared" si="21"/>
        <v>0</v>
      </c>
      <c r="AI9" s="122">
        <f t="shared" si="22"/>
        <v>0</v>
      </c>
      <c r="AJ9" s="122">
        <f t="shared" si="23"/>
        <v>0</v>
      </c>
      <c r="AK9" s="122">
        <f t="shared" si="24"/>
        <v>0</v>
      </c>
      <c r="AL9" s="122">
        <f t="shared" si="25"/>
        <v>0</v>
      </c>
      <c r="AM9" s="123">
        <f t="shared" si="26"/>
        <v>0</v>
      </c>
      <c r="AN9" s="123">
        <f t="shared" si="37"/>
        <v>0</v>
      </c>
      <c r="AO9" s="124">
        <f t="shared" si="27"/>
        <v>0</v>
      </c>
      <c r="AP9" s="125">
        <f t="shared" si="38"/>
        <v>0</v>
      </c>
      <c r="AU9" s="109">
        <f>IF(BA9=1,IF(AU8=MiscData!$F$1,EOMONTH(AU8,-11),EOMONTH(AU8,1)),AU8)</f>
        <v>42400</v>
      </c>
      <c r="AV9" s="108" t="str">
        <f t="shared" si="39"/>
        <v>20140101LGCME551UM</v>
      </c>
      <c r="AW9" s="126" t="str">
        <f t="shared" si="40"/>
        <v>20140101GSS</v>
      </c>
      <c r="AX9">
        <f>MiscData!$X$5</f>
        <v>20140101</v>
      </c>
      <c r="BA9" s="98">
        <f>IF(BA8+1&gt;MiscData!$Z$42,1,BA8+1)</f>
        <v>6</v>
      </c>
      <c r="BB9" s="98" t="str">
        <f>VLOOKUP(BA9,MiscData!$Z$5:$AB$46,2,FALSE)</f>
        <v>LGCME551UM</v>
      </c>
      <c r="BC9" s="98" t="str">
        <f>VLOOKUP(BA9,MiscData!$Z$5:$AB$46,3,FALSE)</f>
        <v>GSS</v>
      </c>
    </row>
    <row r="10" spans="1:55">
      <c r="A10" s="108">
        <v>7</v>
      </c>
      <c r="B10" s="109" t="str">
        <f t="shared" si="28"/>
        <v>Jan 2016</v>
      </c>
      <c r="C10" s="110" t="s">
        <v>902</v>
      </c>
      <c r="D10" s="110" t="str">
        <f t="shared" si="30"/>
        <v>LGCME552</v>
      </c>
      <c r="E10" s="111">
        <f t="shared" si="0"/>
        <v>0</v>
      </c>
      <c r="F10" s="112">
        <v>0</v>
      </c>
      <c r="G10" s="111">
        <f t="shared" si="1"/>
        <v>0</v>
      </c>
      <c r="H10" s="111">
        <f t="shared" si="2"/>
        <v>0</v>
      </c>
      <c r="I10" s="111">
        <f t="shared" si="3"/>
        <v>0</v>
      </c>
      <c r="J10" s="111">
        <f t="shared" si="4"/>
        <v>0</v>
      </c>
      <c r="K10" s="113">
        <f t="shared" si="5"/>
        <v>0</v>
      </c>
      <c r="L10" s="113">
        <f t="shared" si="6"/>
        <v>0</v>
      </c>
      <c r="M10" s="113">
        <f t="shared" si="7"/>
        <v>0</v>
      </c>
      <c r="N10" s="116">
        <f t="shared" si="8"/>
        <v>0</v>
      </c>
      <c r="O10" s="117">
        <f t="shared" si="9"/>
        <v>9.1340000000000005E-2</v>
      </c>
      <c r="P10" s="117">
        <f t="shared" si="10"/>
        <v>0</v>
      </c>
      <c r="Q10" s="117">
        <f t="shared" si="11"/>
        <v>0</v>
      </c>
      <c r="R10" s="117">
        <f t="shared" si="12"/>
        <v>2.725E-2</v>
      </c>
      <c r="S10" s="116">
        <f t="shared" si="13"/>
        <v>0</v>
      </c>
      <c r="T10" s="116">
        <f t="shared" si="14"/>
        <v>0</v>
      </c>
      <c r="U10" s="116">
        <f t="shared" si="15"/>
        <v>0</v>
      </c>
      <c r="V10" s="118">
        <f t="shared" si="16"/>
        <v>0</v>
      </c>
      <c r="W10" s="118">
        <f t="shared" si="31"/>
        <v>0</v>
      </c>
      <c r="X10" s="118">
        <f t="shared" si="32"/>
        <v>0</v>
      </c>
      <c r="Y10" s="118">
        <f t="shared" si="33"/>
        <v>0</v>
      </c>
      <c r="Z10" s="118">
        <f t="shared" si="34"/>
        <v>0</v>
      </c>
      <c r="AA10" s="119">
        <v>0</v>
      </c>
      <c r="AB10" s="120">
        <f t="shared" si="17"/>
        <v>0</v>
      </c>
      <c r="AC10" s="118">
        <f t="shared" si="18"/>
        <v>0</v>
      </c>
      <c r="AD10" s="118">
        <f t="shared" si="35"/>
        <v>0</v>
      </c>
      <c r="AE10" s="118">
        <f t="shared" si="19"/>
        <v>0</v>
      </c>
      <c r="AF10" s="121">
        <f t="shared" si="36"/>
        <v>1</v>
      </c>
      <c r="AG10" s="122">
        <f t="shared" si="20"/>
        <v>0</v>
      </c>
      <c r="AH10" s="122">
        <f t="shared" si="21"/>
        <v>0</v>
      </c>
      <c r="AI10" s="122">
        <f t="shared" si="22"/>
        <v>0</v>
      </c>
      <c r="AJ10" s="122">
        <f t="shared" si="23"/>
        <v>0</v>
      </c>
      <c r="AK10" s="122">
        <f t="shared" si="24"/>
        <v>0</v>
      </c>
      <c r="AL10" s="122">
        <f t="shared" si="25"/>
        <v>0</v>
      </c>
      <c r="AM10" s="123">
        <f t="shared" si="26"/>
        <v>0</v>
      </c>
      <c r="AN10" s="123">
        <f t="shared" si="37"/>
        <v>0</v>
      </c>
      <c r="AO10" s="124">
        <f t="shared" si="27"/>
        <v>0</v>
      </c>
      <c r="AP10" s="125">
        <f t="shared" si="38"/>
        <v>0</v>
      </c>
      <c r="AU10" s="109">
        <f>IF(BA10=1,IF(AU9=MiscData!$F$1,EOMONTH(AU9,-11),EOMONTH(AU9,1)),AU9)</f>
        <v>42400</v>
      </c>
      <c r="AV10" s="108" t="str">
        <f t="shared" si="39"/>
        <v>20140101LGCME552</v>
      </c>
      <c r="AW10" s="126" t="str">
        <f t="shared" si="40"/>
        <v>20140101GSS</v>
      </c>
      <c r="AX10">
        <f>MiscData!$X$5</f>
        <v>20140101</v>
      </c>
      <c r="BA10" s="98">
        <f>IF(BA9+1&gt;MiscData!$Z$42,1,BA9+1)</f>
        <v>7</v>
      </c>
      <c r="BB10" s="98" t="str">
        <f>VLOOKUP(BA10,MiscData!$Z$5:$AB$46,2,FALSE)</f>
        <v>LGCME552</v>
      </c>
      <c r="BC10" s="98" t="str">
        <f>VLOOKUP(BA10,MiscData!$Z$5:$AB$46,3,FALSE)</f>
        <v>GSS</v>
      </c>
    </row>
    <row r="11" spans="1:55">
      <c r="A11" s="108">
        <v>8</v>
      </c>
      <c r="B11" s="109" t="str">
        <f t="shared" si="28"/>
        <v>Jan 2016</v>
      </c>
      <c r="C11" s="110" t="s">
        <v>902</v>
      </c>
      <c r="D11" s="110" t="str">
        <f t="shared" si="30"/>
        <v>LGCME557</v>
      </c>
      <c r="E11" s="111">
        <f t="shared" si="0"/>
        <v>0</v>
      </c>
      <c r="F11" s="112">
        <v>0</v>
      </c>
      <c r="G11" s="111">
        <f t="shared" si="1"/>
        <v>0</v>
      </c>
      <c r="H11" s="111">
        <f t="shared" si="2"/>
        <v>0</v>
      </c>
      <c r="I11" s="111">
        <f t="shared" si="3"/>
        <v>0</v>
      </c>
      <c r="J11" s="111">
        <f t="shared" si="4"/>
        <v>0</v>
      </c>
      <c r="K11" s="113">
        <f t="shared" si="5"/>
        <v>0</v>
      </c>
      <c r="L11" s="113">
        <f t="shared" si="6"/>
        <v>0</v>
      </c>
      <c r="M11" s="113">
        <f t="shared" si="7"/>
        <v>0</v>
      </c>
      <c r="N11" s="116">
        <f t="shared" si="8"/>
        <v>20</v>
      </c>
      <c r="O11" s="117">
        <f t="shared" si="9"/>
        <v>9.1340000000000005E-2</v>
      </c>
      <c r="P11" s="117">
        <f t="shared" si="10"/>
        <v>0</v>
      </c>
      <c r="Q11" s="117">
        <f t="shared" si="11"/>
        <v>0</v>
      </c>
      <c r="R11" s="117">
        <f t="shared" si="12"/>
        <v>2.725E-2</v>
      </c>
      <c r="S11" s="116">
        <f t="shared" si="13"/>
        <v>0</v>
      </c>
      <c r="T11" s="116">
        <f t="shared" si="14"/>
        <v>0</v>
      </c>
      <c r="U11" s="116">
        <f t="shared" si="15"/>
        <v>0</v>
      </c>
      <c r="V11" s="118">
        <f t="shared" si="16"/>
        <v>0</v>
      </c>
      <c r="W11" s="118">
        <f t="shared" si="31"/>
        <v>0</v>
      </c>
      <c r="X11" s="118">
        <f t="shared" si="32"/>
        <v>0</v>
      </c>
      <c r="Y11" s="118">
        <f t="shared" si="33"/>
        <v>0</v>
      </c>
      <c r="Z11" s="118">
        <f t="shared" si="34"/>
        <v>0</v>
      </c>
      <c r="AA11" s="119">
        <v>0</v>
      </c>
      <c r="AB11" s="120">
        <f t="shared" si="17"/>
        <v>0</v>
      </c>
      <c r="AC11" s="118">
        <f t="shared" si="18"/>
        <v>0</v>
      </c>
      <c r="AD11" s="118">
        <f t="shared" si="35"/>
        <v>0</v>
      </c>
      <c r="AE11" s="118">
        <f t="shared" si="19"/>
        <v>0</v>
      </c>
      <c r="AF11" s="121">
        <f t="shared" si="36"/>
        <v>1</v>
      </c>
      <c r="AG11" s="122">
        <f t="shared" si="20"/>
        <v>0</v>
      </c>
      <c r="AH11" s="122">
        <f t="shared" si="21"/>
        <v>0</v>
      </c>
      <c r="AI11" s="122">
        <f t="shared" si="22"/>
        <v>0</v>
      </c>
      <c r="AJ11" s="122">
        <f t="shared" si="23"/>
        <v>0</v>
      </c>
      <c r="AK11" s="122">
        <f t="shared" si="24"/>
        <v>0</v>
      </c>
      <c r="AL11" s="122">
        <f t="shared" si="25"/>
        <v>0</v>
      </c>
      <c r="AM11" s="123">
        <f t="shared" si="26"/>
        <v>0</v>
      </c>
      <c r="AN11" s="123">
        <f t="shared" si="37"/>
        <v>0</v>
      </c>
      <c r="AO11" s="124">
        <f t="shared" si="27"/>
        <v>0</v>
      </c>
      <c r="AP11" s="125">
        <f t="shared" si="38"/>
        <v>0</v>
      </c>
      <c r="AU11" s="109">
        <f>IF(BA11=1,IF(AU10=MiscData!$F$1,EOMONTH(AU10,-11),EOMONTH(AU10,1)),AU10)</f>
        <v>42400</v>
      </c>
      <c r="AV11" s="108" t="str">
        <f t="shared" si="39"/>
        <v>20140101LGCME557</v>
      </c>
      <c r="AW11" s="126" t="str">
        <f t="shared" si="40"/>
        <v>20140101GSS</v>
      </c>
      <c r="AX11">
        <f>MiscData!$X$5</f>
        <v>20140101</v>
      </c>
      <c r="BA11" s="98">
        <f>IF(BA10+1&gt;MiscData!$Z$42,1,BA10+1)</f>
        <v>8</v>
      </c>
      <c r="BB11" s="98" t="str">
        <f>VLOOKUP(BA11,MiscData!$Z$5:$AB$46,2,FALSE)</f>
        <v>LGCME557</v>
      </c>
      <c r="BC11" s="98" t="str">
        <f>VLOOKUP(BA11,MiscData!$Z$5:$AB$46,3,FALSE)</f>
        <v>GSS</v>
      </c>
    </row>
    <row r="12" spans="1:55">
      <c r="A12" s="108">
        <v>9</v>
      </c>
      <c r="B12" s="109" t="str">
        <f t="shared" si="28"/>
        <v>Jan 2016</v>
      </c>
      <c r="C12" s="110" t="str">
        <f t="shared" si="29"/>
        <v>PSS</v>
      </c>
      <c r="D12" s="110" t="str">
        <f t="shared" si="30"/>
        <v>LGCME561</v>
      </c>
      <c r="E12" s="111">
        <f t="shared" si="0"/>
        <v>2585</v>
      </c>
      <c r="F12" s="112">
        <v>0</v>
      </c>
      <c r="G12" s="111">
        <f t="shared" si="1"/>
        <v>0</v>
      </c>
      <c r="H12" s="111">
        <f t="shared" si="2"/>
        <v>0</v>
      </c>
      <c r="I12" s="111">
        <f t="shared" si="3"/>
        <v>0</v>
      </c>
      <c r="J12" s="111">
        <f t="shared" si="4"/>
        <v>134413194</v>
      </c>
      <c r="K12" s="113">
        <f t="shared" si="5"/>
        <v>0</v>
      </c>
      <c r="L12" s="113">
        <f t="shared" si="6"/>
        <v>342390</v>
      </c>
      <c r="M12" s="113">
        <f t="shared" si="7"/>
        <v>0</v>
      </c>
      <c r="N12" s="116">
        <f t="shared" si="8"/>
        <v>90</v>
      </c>
      <c r="O12" s="117">
        <f t="shared" si="9"/>
        <v>4.0599999999999997E-2</v>
      </c>
      <c r="P12" s="117">
        <f t="shared" si="10"/>
        <v>0</v>
      </c>
      <c r="Q12" s="117">
        <f t="shared" si="11"/>
        <v>0</v>
      </c>
      <c r="R12" s="117">
        <f t="shared" si="12"/>
        <v>2.725E-2</v>
      </c>
      <c r="S12" s="116">
        <f t="shared" si="13"/>
        <v>0</v>
      </c>
      <c r="T12" s="116">
        <f t="shared" si="14"/>
        <v>14.010000000000002</v>
      </c>
      <c r="U12" s="116">
        <f t="shared" si="15"/>
        <v>16.399999999999999</v>
      </c>
      <c r="V12" s="118">
        <f t="shared" si="16"/>
        <v>232650</v>
      </c>
      <c r="W12" s="118">
        <f t="shared" si="31"/>
        <v>5457175.6799999997</v>
      </c>
      <c r="X12" s="118">
        <f t="shared" si="32"/>
        <v>0</v>
      </c>
      <c r="Y12" s="118">
        <f t="shared" si="33"/>
        <v>4796883.9000000004</v>
      </c>
      <c r="Z12" s="118">
        <f t="shared" si="34"/>
        <v>0</v>
      </c>
      <c r="AA12" s="119">
        <v>0</v>
      </c>
      <c r="AB12" s="120">
        <f t="shared" si="17"/>
        <v>0</v>
      </c>
      <c r="AC12" s="118">
        <f t="shared" si="18"/>
        <v>4796883.9000000004</v>
      </c>
      <c r="AD12" s="118">
        <f t="shared" si="35"/>
        <v>10486709.58</v>
      </c>
      <c r="AE12" s="118">
        <f t="shared" si="19"/>
        <v>10486712</v>
      </c>
      <c r="AF12" s="121">
        <f t="shared" si="36"/>
        <v>1</v>
      </c>
      <c r="AG12" s="122">
        <f t="shared" si="20"/>
        <v>-342375</v>
      </c>
      <c r="AH12" s="122">
        <f t="shared" si="21"/>
        <v>175424</v>
      </c>
      <c r="AI12" s="122">
        <f t="shared" si="22"/>
        <v>1206466</v>
      </c>
      <c r="AJ12" s="122">
        <f t="shared" si="23"/>
        <v>0</v>
      </c>
      <c r="AK12" s="122">
        <f t="shared" si="24"/>
        <v>0</v>
      </c>
      <c r="AL12" s="122">
        <f t="shared" si="25"/>
        <v>11526227</v>
      </c>
      <c r="AM12" s="123">
        <f t="shared" si="26"/>
        <v>11526224.58</v>
      </c>
      <c r="AN12" s="123">
        <f t="shared" si="37"/>
        <v>2.4199999999254942</v>
      </c>
      <c r="AO12" s="124">
        <f t="shared" si="27"/>
        <v>3662759.54</v>
      </c>
      <c r="AP12" s="125">
        <f t="shared" si="38"/>
        <v>1794416.1399999997</v>
      </c>
      <c r="AU12" s="109">
        <f>IF(BA12=1,IF(AU11=MiscData!$F$1,EOMONTH(AU11,-11),EOMONTH(AU11,1)),AU11)</f>
        <v>42400</v>
      </c>
      <c r="AV12" s="108" t="str">
        <f t="shared" si="39"/>
        <v>20140101LGCME561</v>
      </c>
      <c r="AW12" s="126" t="str">
        <f t="shared" si="40"/>
        <v>20140101PSS</v>
      </c>
      <c r="AX12">
        <f>MiscData!$X$5</f>
        <v>20140101</v>
      </c>
      <c r="BA12" s="98">
        <f>IF(BA11+1&gt;MiscData!$Z$42,1,BA11+1)</f>
        <v>9</v>
      </c>
      <c r="BB12" s="98" t="str">
        <f>VLOOKUP(BA12,MiscData!$Z$5:$AB$46,2,FALSE)</f>
        <v>LGCME561</v>
      </c>
      <c r="BC12" s="98" t="str">
        <f>VLOOKUP(BA12,MiscData!$Z$5:$AB$46,3,FALSE)</f>
        <v>PSS</v>
      </c>
    </row>
    <row r="13" spans="1:55">
      <c r="A13" s="108">
        <v>10</v>
      </c>
      <c r="B13" s="109" t="str">
        <f t="shared" si="28"/>
        <v>Jan 2016</v>
      </c>
      <c r="C13" s="110" t="str">
        <f t="shared" si="29"/>
        <v>PSP</v>
      </c>
      <c r="D13" s="110" t="str">
        <f t="shared" si="30"/>
        <v>LGCME563</v>
      </c>
      <c r="E13" s="111">
        <f t="shared" si="0"/>
        <v>52</v>
      </c>
      <c r="F13" s="112">
        <v>0</v>
      </c>
      <c r="G13" s="111">
        <f t="shared" si="1"/>
        <v>0</v>
      </c>
      <c r="H13" s="111">
        <f t="shared" si="2"/>
        <v>0</v>
      </c>
      <c r="I13" s="111">
        <f t="shared" si="3"/>
        <v>0</v>
      </c>
      <c r="J13" s="111">
        <f t="shared" si="4"/>
        <v>11527513</v>
      </c>
      <c r="K13" s="113">
        <f t="shared" si="5"/>
        <v>0</v>
      </c>
      <c r="L13" s="113">
        <f t="shared" si="6"/>
        <v>28709</v>
      </c>
      <c r="M13" s="113">
        <f t="shared" si="7"/>
        <v>0</v>
      </c>
      <c r="N13" s="116">
        <f t="shared" si="8"/>
        <v>170</v>
      </c>
      <c r="O13" s="117">
        <f t="shared" si="9"/>
        <v>3.9260000000000003E-2</v>
      </c>
      <c r="P13" s="117">
        <f t="shared" si="10"/>
        <v>0</v>
      </c>
      <c r="Q13" s="117">
        <f t="shared" si="11"/>
        <v>0</v>
      </c>
      <c r="R13" s="117">
        <f t="shared" si="12"/>
        <v>2.725E-2</v>
      </c>
      <c r="S13" s="116">
        <f t="shared" si="13"/>
        <v>0</v>
      </c>
      <c r="T13" s="116">
        <f t="shared" si="14"/>
        <v>11.660000000000002</v>
      </c>
      <c r="U13" s="116">
        <f t="shared" si="15"/>
        <v>13.950000000000001</v>
      </c>
      <c r="V13" s="118">
        <f t="shared" si="16"/>
        <v>8840</v>
      </c>
      <c r="W13" s="118">
        <f t="shared" si="31"/>
        <v>452570.16</v>
      </c>
      <c r="X13" s="118">
        <f t="shared" si="32"/>
        <v>0</v>
      </c>
      <c r="Y13" s="118">
        <f t="shared" si="33"/>
        <v>334746.94</v>
      </c>
      <c r="Z13" s="118">
        <f t="shared" si="34"/>
        <v>0</v>
      </c>
      <c r="AA13" s="119">
        <v>0</v>
      </c>
      <c r="AB13" s="120">
        <f t="shared" si="17"/>
        <v>0</v>
      </c>
      <c r="AC13" s="118">
        <f t="shared" si="18"/>
        <v>334746.94</v>
      </c>
      <c r="AD13" s="118">
        <f t="shared" si="35"/>
        <v>796157.1</v>
      </c>
      <c r="AE13" s="118">
        <f t="shared" si="19"/>
        <v>796155</v>
      </c>
      <c r="AF13" s="121">
        <f t="shared" si="36"/>
        <v>0.99999700000000002</v>
      </c>
      <c r="AG13" s="122">
        <f t="shared" si="20"/>
        <v>-29363</v>
      </c>
      <c r="AH13" s="122">
        <f t="shared" si="21"/>
        <v>15045</v>
      </c>
      <c r="AI13" s="122">
        <f t="shared" si="22"/>
        <v>103469</v>
      </c>
      <c r="AJ13" s="122">
        <f t="shared" si="23"/>
        <v>0</v>
      </c>
      <c r="AK13" s="122">
        <f t="shared" si="24"/>
        <v>0</v>
      </c>
      <c r="AL13" s="122">
        <f t="shared" si="25"/>
        <v>885306</v>
      </c>
      <c r="AM13" s="123">
        <f t="shared" si="26"/>
        <v>885308.1</v>
      </c>
      <c r="AN13" s="123">
        <f t="shared" si="37"/>
        <v>-2.0999999999767169</v>
      </c>
      <c r="AO13" s="124">
        <f t="shared" si="27"/>
        <v>314124.73</v>
      </c>
      <c r="AP13" s="125">
        <f t="shared" si="38"/>
        <v>138445.43</v>
      </c>
      <c r="AU13" s="109">
        <f>IF(BA13=1,IF(AU12=MiscData!$F$1,EOMONTH(AU12,-11),EOMONTH(AU12,1)),AU12)</f>
        <v>42400</v>
      </c>
      <c r="AV13" s="108" t="str">
        <f t="shared" si="39"/>
        <v>20140101LGCME563</v>
      </c>
      <c r="AW13" s="126" t="str">
        <f t="shared" si="40"/>
        <v>20140101PSP</v>
      </c>
      <c r="AX13">
        <f>MiscData!$X$5</f>
        <v>20140101</v>
      </c>
      <c r="BA13" s="98">
        <f>IF(BA12+1&gt;MiscData!$Z$42,1,BA12+1)</f>
        <v>10</v>
      </c>
      <c r="BB13" s="98" t="str">
        <f>VLOOKUP(BA13,MiscData!$Z$5:$AB$46,2,FALSE)</f>
        <v>LGCME563</v>
      </c>
      <c r="BC13" s="98" t="str">
        <f>VLOOKUP(BA13,MiscData!$Z$5:$AB$46,3,FALSE)</f>
        <v>PSP</v>
      </c>
    </row>
    <row r="14" spans="1:55">
      <c r="A14" s="108">
        <v>11</v>
      </c>
      <c r="B14" s="109" t="str">
        <f t="shared" si="28"/>
        <v>Jan 2016</v>
      </c>
      <c r="C14" s="110" t="str">
        <f t="shared" si="29"/>
        <v>PSS</v>
      </c>
      <c r="D14" s="110" t="str">
        <f t="shared" si="30"/>
        <v>LGCME567</v>
      </c>
      <c r="E14" s="111">
        <f t="shared" si="0"/>
        <v>0</v>
      </c>
      <c r="F14" s="112">
        <v>0</v>
      </c>
      <c r="G14" s="111">
        <f t="shared" si="1"/>
        <v>0</v>
      </c>
      <c r="H14" s="111">
        <f t="shared" si="2"/>
        <v>0</v>
      </c>
      <c r="I14" s="111">
        <f t="shared" si="3"/>
        <v>0</v>
      </c>
      <c r="J14" s="111">
        <f t="shared" si="4"/>
        <v>0</v>
      </c>
      <c r="K14" s="113">
        <f t="shared" si="5"/>
        <v>0</v>
      </c>
      <c r="L14" s="113">
        <f t="shared" si="6"/>
        <v>0</v>
      </c>
      <c r="M14" s="113">
        <f t="shared" si="7"/>
        <v>0</v>
      </c>
      <c r="N14" s="116">
        <f t="shared" si="8"/>
        <v>90</v>
      </c>
      <c r="O14" s="117">
        <f t="shared" si="9"/>
        <v>4.0599999999999997E-2</v>
      </c>
      <c r="P14" s="117">
        <f t="shared" si="10"/>
        <v>0</v>
      </c>
      <c r="Q14" s="117">
        <f t="shared" si="11"/>
        <v>0</v>
      </c>
      <c r="R14" s="117">
        <f t="shared" si="12"/>
        <v>2.725E-2</v>
      </c>
      <c r="S14" s="116">
        <f t="shared" si="13"/>
        <v>0</v>
      </c>
      <c r="T14" s="116">
        <f t="shared" si="14"/>
        <v>14.010000000000002</v>
      </c>
      <c r="U14" s="116">
        <f t="shared" si="15"/>
        <v>16.399999999999999</v>
      </c>
      <c r="V14" s="118">
        <f t="shared" si="16"/>
        <v>0</v>
      </c>
      <c r="W14" s="118">
        <f t="shared" si="31"/>
        <v>0</v>
      </c>
      <c r="X14" s="118">
        <f t="shared" si="32"/>
        <v>0</v>
      </c>
      <c r="Y14" s="118">
        <f t="shared" si="33"/>
        <v>0</v>
      </c>
      <c r="Z14" s="118">
        <f t="shared" si="34"/>
        <v>0</v>
      </c>
      <c r="AA14" s="119">
        <v>0</v>
      </c>
      <c r="AB14" s="120">
        <f t="shared" si="17"/>
        <v>0</v>
      </c>
      <c r="AC14" s="118">
        <f t="shared" si="18"/>
        <v>0</v>
      </c>
      <c r="AD14" s="118">
        <f t="shared" si="35"/>
        <v>0</v>
      </c>
      <c r="AE14" s="118">
        <f t="shared" si="19"/>
        <v>0</v>
      </c>
      <c r="AF14" s="121">
        <f t="shared" si="36"/>
        <v>1</v>
      </c>
      <c r="AG14" s="122">
        <f t="shared" si="20"/>
        <v>0</v>
      </c>
      <c r="AH14" s="122">
        <f t="shared" si="21"/>
        <v>0</v>
      </c>
      <c r="AI14" s="122">
        <f t="shared" si="22"/>
        <v>0</v>
      </c>
      <c r="AJ14" s="122">
        <f t="shared" si="23"/>
        <v>0</v>
      </c>
      <c r="AK14" s="122">
        <f t="shared" si="24"/>
        <v>0</v>
      </c>
      <c r="AL14" s="122">
        <f t="shared" si="25"/>
        <v>0</v>
      </c>
      <c r="AM14" s="123">
        <f t="shared" si="26"/>
        <v>0</v>
      </c>
      <c r="AN14" s="123">
        <f>ROUND(AL14-AM14,2)</f>
        <v>0</v>
      </c>
      <c r="AO14" s="124">
        <f t="shared" si="27"/>
        <v>0</v>
      </c>
      <c r="AP14" s="125">
        <f t="shared" si="38"/>
        <v>0</v>
      </c>
      <c r="AU14" s="109">
        <f>IF(BA14=1,IF(AU13=MiscData!$F$1,EOMONTH(AU13,-11),EOMONTH(AU13,1)),AU13)</f>
        <v>42400</v>
      </c>
      <c r="AV14" s="108" t="str">
        <f t="shared" si="39"/>
        <v>20140101LGCME567</v>
      </c>
      <c r="AW14" s="126" t="str">
        <f t="shared" si="40"/>
        <v>20140101PSS</v>
      </c>
      <c r="AX14">
        <f>MiscData!$X$5</f>
        <v>20140101</v>
      </c>
      <c r="BA14" s="98">
        <f>IF(BA13+1&gt;MiscData!$Z$42,1,BA13+1)</f>
        <v>11</v>
      </c>
      <c r="BB14" s="98" t="str">
        <f>VLOOKUP(BA14,MiscData!$Z$5:$AB$46,2,FALSE)</f>
        <v>LGCME567</v>
      </c>
      <c r="BC14" s="98" t="str">
        <f>VLOOKUP(BA14,MiscData!$Z$5:$AB$46,3,FALSE)</f>
        <v>PSS</v>
      </c>
    </row>
    <row r="15" spans="1:55">
      <c r="A15" s="108">
        <v>12</v>
      </c>
      <c r="B15" s="109" t="str">
        <f t="shared" si="28"/>
        <v>Jan 2016</v>
      </c>
      <c r="C15" s="110" t="str">
        <f t="shared" si="29"/>
        <v>TODS</v>
      </c>
      <c r="D15" s="110" t="str">
        <f t="shared" si="30"/>
        <v>LGCME591</v>
      </c>
      <c r="E15" s="111">
        <f t="shared" si="0"/>
        <v>222</v>
      </c>
      <c r="F15" s="112">
        <v>0</v>
      </c>
      <c r="G15" s="111">
        <f t="shared" si="1"/>
        <v>0</v>
      </c>
      <c r="H15" s="111">
        <f t="shared" si="2"/>
        <v>0</v>
      </c>
      <c r="I15" s="111">
        <f t="shared" si="3"/>
        <v>0</v>
      </c>
      <c r="J15" s="111">
        <f t="shared" si="4"/>
        <v>58180401</v>
      </c>
      <c r="K15" s="113">
        <f t="shared" si="5"/>
        <v>118759</v>
      </c>
      <c r="L15" s="113">
        <f t="shared" si="6"/>
        <v>109001</v>
      </c>
      <c r="M15" s="113">
        <f t="shared" si="7"/>
        <v>106595</v>
      </c>
      <c r="N15" s="116">
        <f t="shared" si="8"/>
        <v>200</v>
      </c>
      <c r="O15" s="117">
        <f t="shared" si="9"/>
        <v>3.9899999999999998E-2</v>
      </c>
      <c r="P15" s="117">
        <f t="shared" si="10"/>
        <v>0</v>
      </c>
      <c r="Q15" s="117">
        <f t="shared" si="11"/>
        <v>0</v>
      </c>
      <c r="R15" s="117">
        <f t="shared" si="12"/>
        <v>2.725E-2</v>
      </c>
      <c r="S15" s="116">
        <f t="shared" si="13"/>
        <v>4</v>
      </c>
      <c r="T15" s="116">
        <f t="shared" si="14"/>
        <v>4.5100000000000007</v>
      </c>
      <c r="U15" s="116">
        <f t="shared" si="15"/>
        <v>6.11</v>
      </c>
      <c r="V15" s="118">
        <f t="shared" si="16"/>
        <v>44400</v>
      </c>
      <c r="W15" s="118">
        <f t="shared" si="31"/>
        <v>2321398</v>
      </c>
      <c r="X15" s="118">
        <f t="shared" si="32"/>
        <v>475036</v>
      </c>
      <c r="Y15" s="118">
        <f t="shared" si="33"/>
        <v>491594.51</v>
      </c>
      <c r="Z15" s="118">
        <f t="shared" si="34"/>
        <v>651295.44999999995</v>
      </c>
      <c r="AA15" s="119">
        <v>0</v>
      </c>
      <c r="AB15" s="120">
        <f t="shared" si="17"/>
        <v>0</v>
      </c>
      <c r="AC15" s="118">
        <f t="shared" si="18"/>
        <v>1617925.96</v>
      </c>
      <c r="AD15" s="118">
        <f t="shared" si="35"/>
        <v>3983723.96</v>
      </c>
      <c r="AE15" s="118">
        <f t="shared" si="19"/>
        <v>3983728</v>
      </c>
      <c r="AF15" s="121">
        <f t="shared" si="36"/>
        <v>1.0000009999999999</v>
      </c>
      <c r="AG15" s="122">
        <f t="shared" si="20"/>
        <v>-148196</v>
      </c>
      <c r="AH15" s="122">
        <f t="shared" si="21"/>
        <v>75932</v>
      </c>
      <c r="AI15" s="122">
        <f t="shared" si="22"/>
        <v>522216</v>
      </c>
      <c r="AJ15" s="122">
        <f t="shared" si="23"/>
        <v>0</v>
      </c>
      <c r="AK15" s="122">
        <f t="shared" si="24"/>
        <v>0</v>
      </c>
      <c r="AL15" s="122">
        <f t="shared" si="25"/>
        <v>4433680</v>
      </c>
      <c r="AM15" s="123">
        <f t="shared" si="26"/>
        <v>4433675.96</v>
      </c>
      <c r="AN15" s="123">
        <f t="shared" ref="AN15:AN18" si="41">ROUND(AL15-AM15,2)</f>
        <v>4.04</v>
      </c>
      <c r="AO15" s="124">
        <f t="shared" si="27"/>
        <v>1585415.93</v>
      </c>
      <c r="AP15" s="125">
        <f t="shared" si="38"/>
        <v>735982.07000000007</v>
      </c>
      <c r="AU15" s="109">
        <f>IF(BA15=1,IF(AU14=MiscData!$F$1,EOMONTH(AU14,-11),EOMONTH(AU14,1)),AU14)</f>
        <v>42400</v>
      </c>
      <c r="AV15" s="108" t="str">
        <f t="shared" si="39"/>
        <v>20140101LGCME591</v>
      </c>
      <c r="AW15" s="126" t="str">
        <f t="shared" si="40"/>
        <v>20140101TODS</v>
      </c>
      <c r="AX15">
        <f>MiscData!$X$5</f>
        <v>20140101</v>
      </c>
      <c r="BA15" s="98">
        <f>IF(BA14+1&gt;MiscData!$Z$42,1,BA14+1)</f>
        <v>12</v>
      </c>
      <c r="BB15" s="98" t="str">
        <f>VLOOKUP(BA15,MiscData!$Z$5:$AB$46,2,FALSE)</f>
        <v>LGCME591</v>
      </c>
      <c r="BC15" s="98" t="str">
        <f>VLOOKUP(BA15,MiscData!$Z$5:$AB$46,3,FALSE)</f>
        <v>TODS</v>
      </c>
    </row>
    <row r="16" spans="1:55">
      <c r="A16" s="108">
        <v>13</v>
      </c>
      <c r="B16" s="109" t="str">
        <f t="shared" si="28"/>
        <v>Jan 2016</v>
      </c>
      <c r="C16" s="110" t="str">
        <f t="shared" si="29"/>
        <v>CTODP</v>
      </c>
      <c r="D16" s="110" t="str">
        <f t="shared" si="30"/>
        <v>LGCME593</v>
      </c>
      <c r="E16" s="111">
        <f t="shared" si="0"/>
        <v>40</v>
      </c>
      <c r="F16" s="112">
        <v>0</v>
      </c>
      <c r="G16" s="111">
        <f t="shared" si="1"/>
        <v>0</v>
      </c>
      <c r="H16" s="111">
        <f t="shared" si="2"/>
        <v>0</v>
      </c>
      <c r="I16" s="111">
        <f t="shared" si="3"/>
        <v>0</v>
      </c>
      <c r="J16" s="111">
        <f t="shared" si="4"/>
        <v>28843197</v>
      </c>
      <c r="K16" s="113">
        <f t="shared" si="5"/>
        <v>67143</v>
      </c>
      <c r="L16" s="113">
        <f t="shared" si="6"/>
        <v>59358</v>
      </c>
      <c r="M16" s="113">
        <f t="shared" si="7"/>
        <v>57314</v>
      </c>
      <c r="N16" s="116">
        <f t="shared" si="8"/>
        <v>300</v>
      </c>
      <c r="O16" s="117">
        <f t="shared" si="9"/>
        <v>3.8100000000000002E-2</v>
      </c>
      <c r="P16" s="117">
        <f t="shared" si="10"/>
        <v>0</v>
      </c>
      <c r="Q16" s="117">
        <f t="shared" si="11"/>
        <v>0</v>
      </c>
      <c r="R16" s="117">
        <f t="shared" si="12"/>
        <v>2.725E-2</v>
      </c>
      <c r="S16" s="116">
        <f t="shared" si="13"/>
        <v>3.9800000000000004</v>
      </c>
      <c r="T16" s="116">
        <f t="shared" si="14"/>
        <v>4.13</v>
      </c>
      <c r="U16" s="116">
        <f t="shared" si="15"/>
        <v>5.83</v>
      </c>
      <c r="V16" s="118">
        <f t="shared" si="16"/>
        <v>12000</v>
      </c>
      <c r="W16" s="118">
        <f t="shared" si="31"/>
        <v>1098925.81</v>
      </c>
      <c r="X16" s="118">
        <f t="shared" si="32"/>
        <v>267229.14</v>
      </c>
      <c r="Y16" s="118">
        <f t="shared" si="33"/>
        <v>245148.54</v>
      </c>
      <c r="Z16" s="118">
        <f t="shared" si="34"/>
        <v>334140.62</v>
      </c>
      <c r="AA16" s="119">
        <v>0</v>
      </c>
      <c r="AB16" s="120">
        <f t="shared" si="17"/>
        <v>0</v>
      </c>
      <c r="AC16" s="118">
        <f t="shared" si="18"/>
        <v>846518.3</v>
      </c>
      <c r="AD16" s="118">
        <f t="shared" si="35"/>
        <v>1957444.1100000003</v>
      </c>
      <c r="AE16" s="118">
        <f t="shared" si="19"/>
        <v>1957446</v>
      </c>
      <c r="AF16" s="121">
        <f t="shared" si="36"/>
        <v>1.0000009999999999</v>
      </c>
      <c r="AG16" s="122">
        <f t="shared" si="20"/>
        <v>-73469</v>
      </c>
      <c r="AH16" s="122">
        <f t="shared" si="21"/>
        <v>37643</v>
      </c>
      <c r="AI16" s="122">
        <f t="shared" si="22"/>
        <v>258891</v>
      </c>
      <c r="AJ16" s="122">
        <f t="shared" si="23"/>
        <v>0</v>
      </c>
      <c r="AK16" s="122">
        <f t="shared" si="24"/>
        <v>0</v>
      </c>
      <c r="AL16" s="122">
        <f t="shared" si="25"/>
        <v>2180511</v>
      </c>
      <c r="AM16" s="123">
        <f t="shared" si="26"/>
        <v>2180509.1100000003</v>
      </c>
      <c r="AN16" s="123">
        <f t="shared" si="41"/>
        <v>1.89</v>
      </c>
      <c r="AO16" s="124">
        <f t="shared" si="27"/>
        <v>785977.12</v>
      </c>
      <c r="AP16" s="125">
        <f t="shared" si="38"/>
        <v>312948.69000000006</v>
      </c>
      <c r="AU16" s="109">
        <f>IF(BA16=1,IF(AU15=MiscData!$F$1,EOMONTH(AU15,-11),EOMONTH(AU15,1)),AU15)</f>
        <v>42400</v>
      </c>
      <c r="AV16" s="108" t="str">
        <f t="shared" si="39"/>
        <v>20140101LGCME593</v>
      </c>
      <c r="AW16" s="126" t="str">
        <f t="shared" si="40"/>
        <v>20140101CTODP</v>
      </c>
      <c r="AX16">
        <f>MiscData!$X$5</f>
        <v>20140101</v>
      </c>
      <c r="BA16" s="98">
        <f>IF(BA15+1&gt;MiscData!$Z$42,1,BA15+1)</f>
        <v>13</v>
      </c>
      <c r="BB16" s="98" t="str">
        <f>VLOOKUP(BA16,MiscData!$Z$5:$AB$46,2,FALSE)</f>
        <v>LGCME593</v>
      </c>
      <c r="BC16" s="98" t="str">
        <f>VLOOKUP(BA16,MiscData!$Z$5:$AB$46,3,FALSE)</f>
        <v>CTODP</v>
      </c>
    </row>
    <row r="17" spans="1:55">
      <c r="A17" s="108">
        <v>14</v>
      </c>
      <c r="B17" s="109" t="str">
        <f t="shared" si="28"/>
        <v>Jan 2016</v>
      </c>
      <c r="C17" s="110" t="str">
        <f t="shared" si="29"/>
        <v>GS3</v>
      </c>
      <c r="D17" s="110" t="str">
        <f t="shared" si="30"/>
        <v>LGCME650</v>
      </c>
      <c r="E17" s="111">
        <f t="shared" si="0"/>
        <v>0</v>
      </c>
      <c r="F17" s="112">
        <v>0</v>
      </c>
      <c r="G17" s="111">
        <f t="shared" si="1"/>
        <v>0</v>
      </c>
      <c r="H17" s="111">
        <f t="shared" si="2"/>
        <v>0</v>
      </c>
      <c r="I17" s="111">
        <f t="shared" si="3"/>
        <v>0</v>
      </c>
      <c r="J17" s="111">
        <f t="shared" si="4"/>
        <v>0</v>
      </c>
      <c r="K17" s="113">
        <f t="shared" si="5"/>
        <v>0</v>
      </c>
      <c r="L17" s="113">
        <f t="shared" si="6"/>
        <v>0</v>
      </c>
      <c r="M17" s="113">
        <f t="shared" si="7"/>
        <v>0</v>
      </c>
      <c r="N17" s="116">
        <f t="shared" si="8"/>
        <v>35</v>
      </c>
      <c r="O17" s="117">
        <f t="shared" si="9"/>
        <v>9.1340000000000005E-2</v>
      </c>
      <c r="P17" s="117">
        <f t="shared" si="10"/>
        <v>0</v>
      </c>
      <c r="Q17" s="117">
        <f t="shared" si="11"/>
        <v>0</v>
      </c>
      <c r="R17" s="117">
        <f t="shared" si="12"/>
        <v>2.725E-2</v>
      </c>
      <c r="S17" s="116">
        <f t="shared" si="13"/>
        <v>0</v>
      </c>
      <c r="T17" s="116">
        <f t="shared" si="14"/>
        <v>0</v>
      </c>
      <c r="U17" s="116">
        <f t="shared" si="15"/>
        <v>0</v>
      </c>
      <c r="V17" s="118">
        <f t="shared" si="16"/>
        <v>0</v>
      </c>
      <c r="W17" s="118">
        <f t="shared" si="31"/>
        <v>0</v>
      </c>
      <c r="X17" s="118">
        <f t="shared" si="32"/>
        <v>0</v>
      </c>
      <c r="Y17" s="118">
        <f t="shared" si="33"/>
        <v>0</v>
      </c>
      <c r="Z17" s="118">
        <f t="shared" si="34"/>
        <v>0</v>
      </c>
      <c r="AA17" s="119">
        <v>0</v>
      </c>
      <c r="AB17" s="120">
        <f t="shared" si="17"/>
        <v>0</v>
      </c>
      <c r="AC17" s="118">
        <f t="shared" si="18"/>
        <v>0</v>
      </c>
      <c r="AD17" s="118">
        <f t="shared" si="35"/>
        <v>0</v>
      </c>
      <c r="AE17" s="118">
        <f t="shared" si="19"/>
        <v>0</v>
      </c>
      <c r="AF17" s="121">
        <f t="shared" si="36"/>
        <v>1</v>
      </c>
      <c r="AG17" s="122">
        <f t="shared" si="20"/>
        <v>0</v>
      </c>
      <c r="AH17" s="122">
        <f t="shared" si="21"/>
        <v>0</v>
      </c>
      <c r="AI17" s="122">
        <f t="shared" si="22"/>
        <v>0</v>
      </c>
      <c r="AJ17" s="122">
        <f t="shared" si="23"/>
        <v>0</v>
      </c>
      <c r="AK17" s="122">
        <f t="shared" si="24"/>
        <v>0</v>
      </c>
      <c r="AL17" s="122">
        <f t="shared" si="25"/>
        <v>0</v>
      </c>
      <c r="AM17" s="123">
        <f t="shared" si="26"/>
        <v>0</v>
      </c>
      <c r="AN17" s="123">
        <f t="shared" si="41"/>
        <v>0</v>
      </c>
      <c r="AO17" s="124">
        <f t="shared" si="27"/>
        <v>0</v>
      </c>
      <c r="AP17" s="125">
        <f t="shared" si="38"/>
        <v>0</v>
      </c>
      <c r="AU17" s="109">
        <f>IF(BA17=1,IF(AU16=MiscData!$F$1,EOMONTH(AU16,-11),EOMONTH(AU16,1)),AU16)</f>
        <v>42400</v>
      </c>
      <c r="AV17" s="108" t="str">
        <f t="shared" si="39"/>
        <v>20140101LGCME650</v>
      </c>
      <c r="AW17" s="126" t="str">
        <f t="shared" si="40"/>
        <v>20140101GS3</v>
      </c>
      <c r="AX17">
        <f>MiscData!$X$5</f>
        <v>20140101</v>
      </c>
      <c r="BA17" s="98">
        <f>IF(BA16+1&gt;MiscData!$Z$42,1,BA16+1)</f>
        <v>14</v>
      </c>
      <c r="BB17" s="98" t="str">
        <f>VLOOKUP(BA17,MiscData!$Z$5:$AB$46,2,FALSE)</f>
        <v>LGCME650</v>
      </c>
      <c r="BC17" s="98" t="str">
        <f>VLOOKUP(BA17,MiscData!$Z$5:$AB$46,3,FALSE)</f>
        <v>GS3</v>
      </c>
    </row>
    <row r="18" spans="1:55">
      <c r="A18" s="108">
        <v>15</v>
      </c>
      <c r="B18" s="109" t="str">
        <f t="shared" si="28"/>
        <v>Jan 2016</v>
      </c>
      <c r="C18" s="110" t="str">
        <f t="shared" si="29"/>
        <v>GS3</v>
      </c>
      <c r="D18" s="110" t="str">
        <f t="shared" si="30"/>
        <v>LGCME651</v>
      </c>
      <c r="E18" s="111">
        <f t="shared" si="0"/>
        <v>16386</v>
      </c>
      <c r="F18" s="112">
        <v>0</v>
      </c>
      <c r="G18" s="111">
        <f t="shared" si="1"/>
        <v>0</v>
      </c>
      <c r="H18" s="111">
        <f t="shared" si="2"/>
        <v>0</v>
      </c>
      <c r="I18" s="111">
        <f t="shared" si="3"/>
        <v>0</v>
      </c>
      <c r="J18" s="111">
        <f t="shared" si="4"/>
        <v>81564370</v>
      </c>
      <c r="K18" s="113">
        <f t="shared" si="5"/>
        <v>202711</v>
      </c>
      <c r="L18" s="113">
        <f t="shared" si="6"/>
        <v>0</v>
      </c>
      <c r="M18" s="113">
        <f t="shared" si="7"/>
        <v>0</v>
      </c>
      <c r="N18" s="116">
        <f t="shared" si="8"/>
        <v>35</v>
      </c>
      <c r="O18" s="117">
        <f t="shared" si="9"/>
        <v>9.1340000000000005E-2</v>
      </c>
      <c r="P18" s="117">
        <f t="shared" si="10"/>
        <v>0</v>
      </c>
      <c r="Q18" s="117">
        <f t="shared" si="11"/>
        <v>0</v>
      </c>
      <c r="R18" s="117">
        <f t="shared" si="12"/>
        <v>2.725E-2</v>
      </c>
      <c r="S18" s="116">
        <f t="shared" si="13"/>
        <v>0</v>
      </c>
      <c r="T18" s="116">
        <f t="shared" si="14"/>
        <v>0</v>
      </c>
      <c r="U18" s="116">
        <f t="shared" si="15"/>
        <v>0</v>
      </c>
      <c r="V18" s="118">
        <f t="shared" si="16"/>
        <v>573510</v>
      </c>
      <c r="W18" s="118">
        <f t="shared" si="31"/>
        <v>7450089.5599999996</v>
      </c>
      <c r="X18" s="118">
        <f t="shared" si="32"/>
        <v>0</v>
      </c>
      <c r="Y18" s="118">
        <f t="shared" si="33"/>
        <v>0</v>
      </c>
      <c r="Z18" s="118">
        <f t="shared" si="34"/>
        <v>0</v>
      </c>
      <c r="AA18" s="119">
        <v>0</v>
      </c>
      <c r="AB18" s="120">
        <f t="shared" si="17"/>
        <v>0</v>
      </c>
      <c r="AC18" s="118">
        <f t="shared" si="18"/>
        <v>0</v>
      </c>
      <c r="AD18" s="118">
        <f t="shared" si="35"/>
        <v>8023599.5599999996</v>
      </c>
      <c r="AE18" s="118">
        <f t="shared" si="19"/>
        <v>8023592</v>
      </c>
      <c r="AF18" s="121">
        <f t="shared" si="36"/>
        <v>0.99999899999999997</v>
      </c>
      <c r="AG18" s="122">
        <f t="shared" si="20"/>
        <v>-207760</v>
      </c>
      <c r="AH18" s="122">
        <f t="shared" si="21"/>
        <v>106450</v>
      </c>
      <c r="AI18" s="122">
        <f t="shared" si="22"/>
        <v>732105</v>
      </c>
      <c r="AJ18" s="122">
        <f t="shared" si="23"/>
        <v>0</v>
      </c>
      <c r="AK18" s="122">
        <f t="shared" si="24"/>
        <v>0</v>
      </c>
      <c r="AL18" s="122">
        <f t="shared" si="25"/>
        <v>8654387</v>
      </c>
      <c r="AM18" s="123">
        <f t="shared" si="26"/>
        <v>8654394.5599999987</v>
      </c>
      <c r="AN18" s="123">
        <f t="shared" si="41"/>
        <v>-7.56</v>
      </c>
      <c r="AO18" s="124">
        <f t="shared" si="27"/>
        <v>2222629.08</v>
      </c>
      <c r="AP18" s="125">
        <f t="shared" si="38"/>
        <v>5227460.4799999995</v>
      </c>
      <c r="AU18" s="109">
        <f>IF(BA18=1,IF(AU17=MiscData!$F$1,EOMONTH(AU17,-11),EOMONTH(AU17,1)),AU17)</f>
        <v>42400</v>
      </c>
      <c r="AV18" s="108" t="str">
        <f t="shared" si="39"/>
        <v>20140101LGCME651</v>
      </c>
      <c r="AW18" s="126" t="str">
        <f t="shared" si="40"/>
        <v>20140101GS3</v>
      </c>
      <c r="AX18">
        <f>MiscData!$X$5</f>
        <v>20140101</v>
      </c>
      <c r="BA18" s="98">
        <f>IF(BA17+1&gt;MiscData!$Z$42,1,BA17+1)</f>
        <v>15</v>
      </c>
      <c r="BB18" s="98" t="str">
        <f>VLOOKUP(BA18,MiscData!$Z$5:$AB$46,2,FALSE)</f>
        <v>LGCME651</v>
      </c>
      <c r="BC18" s="98" t="str">
        <f>VLOOKUP(BA18,MiscData!$Z$5:$AB$46,3,FALSE)</f>
        <v>GS3</v>
      </c>
    </row>
    <row r="19" spans="1:55">
      <c r="A19" s="108">
        <v>16</v>
      </c>
      <c r="B19" s="109" t="str">
        <f t="shared" si="28"/>
        <v>Jan 2016</v>
      </c>
      <c r="C19" s="110" t="str">
        <f t="shared" si="29"/>
        <v>GS3</v>
      </c>
      <c r="D19" s="110" t="str">
        <f t="shared" si="30"/>
        <v>LGCME652</v>
      </c>
      <c r="E19" s="111">
        <f t="shared" si="0"/>
        <v>0</v>
      </c>
      <c r="F19" s="112">
        <v>0</v>
      </c>
      <c r="G19" s="111">
        <f t="shared" si="1"/>
        <v>0</v>
      </c>
      <c r="H19" s="111">
        <f t="shared" si="2"/>
        <v>0</v>
      </c>
      <c r="I19" s="111">
        <f t="shared" si="3"/>
        <v>0</v>
      </c>
      <c r="J19" s="111">
        <f t="shared" si="4"/>
        <v>0</v>
      </c>
      <c r="K19" s="113">
        <f t="shared" si="5"/>
        <v>0</v>
      </c>
      <c r="L19" s="113">
        <f t="shared" si="6"/>
        <v>0</v>
      </c>
      <c r="M19" s="113">
        <f t="shared" si="7"/>
        <v>0</v>
      </c>
      <c r="N19" s="116">
        <f t="shared" si="8"/>
        <v>0</v>
      </c>
      <c r="O19" s="117">
        <f t="shared" si="9"/>
        <v>9.1340000000000005E-2</v>
      </c>
      <c r="P19" s="117">
        <f t="shared" si="10"/>
        <v>0</v>
      </c>
      <c r="Q19" s="117">
        <f t="shared" si="11"/>
        <v>0</v>
      </c>
      <c r="R19" s="117">
        <f t="shared" si="12"/>
        <v>2.725E-2</v>
      </c>
      <c r="S19" s="116">
        <f t="shared" si="13"/>
        <v>0</v>
      </c>
      <c r="T19" s="116">
        <f t="shared" si="14"/>
        <v>0</v>
      </c>
      <c r="U19" s="116">
        <f t="shared" si="15"/>
        <v>0</v>
      </c>
      <c r="V19" s="118">
        <f t="shared" si="16"/>
        <v>0</v>
      </c>
      <c r="W19" s="118">
        <f t="shared" si="31"/>
        <v>0</v>
      </c>
      <c r="X19" s="118">
        <f t="shared" si="32"/>
        <v>0</v>
      </c>
      <c r="Y19" s="118">
        <f t="shared" si="33"/>
        <v>0</v>
      </c>
      <c r="Z19" s="118">
        <f t="shared" si="34"/>
        <v>0</v>
      </c>
      <c r="AA19" s="119">
        <v>0</v>
      </c>
      <c r="AB19" s="120">
        <f t="shared" si="17"/>
        <v>0</v>
      </c>
      <c r="AC19" s="118">
        <f t="shared" si="18"/>
        <v>0</v>
      </c>
      <c r="AD19" s="118">
        <f t="shared" si="35"/>
        <v>0</v>
      </c>
      <c r="AE19" s="118">
        <f t="shared" si="19"/>
        <v>0</v>
      </c>
      <c r="AF19" s="121">
        <f t="shared" si="36"/>
        <v>1</v>
      </c>
      <c r="AG19" s="122">
        <f t="shared" si="20"/>
        <v>0</v>
      </c>
      <c r="AH19" s="122">
        <f t="shared" si="21"/>
        <v>0</v>
      </c>
      <c r="AI19" s="122">
        <f t="shared" si="22"/>
        <v>0</v>
      </c>
      <c r="AJ19" s="122">
        <f t="shared" si="23"/>
        <v>0</v>
      </c>
      <c r="AK19" s="122">
        <f t="shared" si="24"/>
        <v>0</v>
      </c>
      <c r="AL19" s="122">
        <f t="shared" si="25"/>
        <v>0</v>
      </c>
      <c r="AM19" s="123">
        <f t="shared" si="26"/>
        <v>0</v>
      </c>
      <c r="AN19" s="123">
        <f t="shared" si="37"/>
        <v>0</v>
      </c>
      <c r="AO19" s="124">
        <f t="shared" si="27"/>
        <v>0</v>
      </c>
      <c r="AP19" s="125">
        <f t="shared" si="38"/>
        <v>0</v>
      </c>
      <c r="AU19" s="109">
        <f>IF(BA19=1,IF(AU18=MiscData!$F$1,EOMONTH(AU18,-11),EOMONTH(AU18,1)),AU18)</f>
        <v>42400</v>
      </c>
      <c r="AV19" s="108" t="str">
        <f t="shared" si="39"/>
        <v>20140101LGCME652</v>
      </c>
      <c r="AW19" s="126" t="str">
        <f t="shared" si="40"/>
        <v>20140101GS3</v>
      </c>
      <c r="AX19">
        <f>MiscData!$X$5</f>
        <v>20140101</v>
      </c>
      <c r="BA19" s="98">
        <f>IF(BA18+1&gt;MiscData!$Z$42,1,BA18+1)</f>
        <v>16</v>
      </c>
      <c r="BB19" s="98" t="str">
        <f>VLOOKUP(BA19,MiscData!$Z$5:$AB$46,2,FALSE)</f>
        <v>LGCME652</v>
      </c>
      <c r="BC19" s="98" t="str">
        <f>VLOOKUP(BA19,MiscData!$Z$5:$AB$46,3,FALSE)</f>
        <v>GS3</v>
      </c>
    </row>
    <row r="20" spans="1:55">
      <c r="A20" s="108">
        <v>17</v>
      </c>
      <c r="B20" s="109" t="str">
        <f t="shared" si="28"/>
        <v>Jan 2016</v>
      </c>
      <c r="C20" s="110" t="str">
        <f t="shared" si="29"/>
        <v>GS3</v>
      </c>
      <c r="D20" s="110" t="str">
        <f t="shared" si="30"/>
        <v>LGCME657</v>
      </c>
      <c r="E20" s="111">
        <f t="shared" si="0"/>
        <v>0</v>
      </c>
      <c r="F20" s="112">
        <v>0</v>
      </c>
      <c r="G20" s="111">
        <f t="shared" si="1"/>
        <v>0</v>
      </c>
      <c r="H20" s="111">
        <f t="shared" si="2"/>
        <v>0</v>
      </c>
      <c r="I20" s="111">
        <f t="shared" si="3"/>
        <v>0</v>
      </c>
      <c r="J20" s="111">
        <f t="shared" si="4"/>
        <v>0</v>
      </c>
      <c r="K20" s="113">
        <f t="shared" si="5"/>
        <v>0</v>
      </c>
      <c r="L20" s="113">
        <f t="shared" si="6"/>
        <v>0</v>
      </c>
      <c r="M20" s="113">
        <f t="shared" si="7"/>
        <v>0</v>
      </c>
      <c r="N20" s="116">
        <f t="shared" si="8"/>
        <v>35</v>
      </c>
      <c r="O20" s="117">
        <f t="shared" si="9"/>
        <v>9.1340000000000005E-2</v>
      </c>
      <c r="P20" s="117">
        <f t="shared" si="10"/>
        <v>0</v>
      </c>
      <c r="Q20" s="117">
        <f t="shared" si="11"/>
        <v>0</v>
      </c>
      <c r="R20" s="117">
        <f t="shared" si="12"/>
        <v>2.725E-2</v>
      </c>
      <c r="S20" s="116">
        <f t="shared" si="13"/>
        <v>0</v>
      </c>
      <c r="T20" s="116">
        <f t="shared" si="14"/>
        <v>0</v>
      </c>
      <c r="U20" s="116">
        <f t="shared" si="15"/>
        <v>0</v>
      </c>
      <c r="V20" s="118">
        <f t="shared" si="16"/>
        <v>0</v>
      </c>
      <c r="W20" s="118">
        <f t="shared" si="31"/>
        <v>0</v>
      </c>
      <c r="X20" s="118">
        <f t="shared" si="32"/>
        <v>0</v>
      </c>
      <c r="Y20" s="118">
        <f t="shared" si="33"/>
        <v>0</v>
      </c>
      <c r="Z20" s="118">
        <f t="shared" si="34"/>
        <v>0</v>
      </c>
      <c r="AA20" s="119">
        <v>0</v>
      </c>
      <c r="AB20" s="120">
        <f t="shared" si="17"/>
        <v>0</v>
      </c>
      <c r="AC20" s="118">
        <f t="shared" si="18"/>
        <v>0</v>
      </c>
      <c r="AD20" s="118">
        <f t="shared" si="35"/>
        <v>0</v>
      </c>
      <c r="AE20" s="118">
        <f t="shared" si="19"/>
        <v>0</v>
      </c>
      <c r="AF20" s="121">
        <f t="shared" si="36"/>
        <v>1</v>
      </c>
      <c r="AG20" s="122">
        <f t="shared" si="20"/>
        <v>0</v>
      </c>
      <c r="AH20" s="122">
        <f t="shared" si="21"/>
        <v>0</v>
      </c>
      <c r="AI20" s="122">
        <f t="shared" si="22"/>
        <v>0</v>
      </c>
      <c r="AJ20" s="122">
        <f t="shared" si="23"/>
        <v>0</v>
      </c>
      <c r="AK20" s="122">
        <f t="shared" si="24"/>
        <v>0</v>
      </c>
      <c r="AL20" s="122">
        <f t="shared" si="25"/>
        <v>0</v>
      </c>
      <c r="AM20" s="123">
        <f t="shared" si="26"/>
        <v>0</v>
      </c>
      <c r="AN20" s="123">
        <f t="shared" si="37"/>
        <v>0</v>
      </c>
      <c r="AO20" s="124">
        <f t="shared" si="27"/>
        <v>0</v>
      </c>
      <c r="AP20" s="125">
        <f t="shared" si="38"/>
        <v>0</v>
      </c>
      <c r="AU20" s="109">
        <f>IF(BA20=1,IF(AU19=MiscData!$F$1,EOMONTH(AU19,-11),EOMONTH(AU19,1)),AU19)</f>
        <v>42400</v>
      </c>
      <c r="AV20" s="108" t="str">
        <f t="shared" si="39"/>
        <v>20140101LGCME657</v>
      </c>
      <c r="AW20" s="126" t="str">
        <f t="shared" si="40"/>
        <v>20140101GS3</v>
      </c>
      <c r="AX20">
        <f>MiscData!$X$5</f>
        <v>20140101</v>
      </c>
      <c r="BA20" s="98">
        <f>IF(BA19+1&gt;MiscData!$Z$42,1,BA19+1)</f>
        <v>17</v>
      </c>
      <c r="BB20" s="98" t="str">
        <f>VLOOKUP(BA20,MiscData!$Z$5:$AB$46,2,FALSE)</f>
        <v>LGCME657</v>
      </c>
      <c r="BC20" s="98" t="str">
        <f>VLOOKUP(BA20,MiscData!$Z$5:$AB$46,3,FALSE)</f>
        <v>GS3</v>
      </c>
    </row>
    <row r="21" spans="1:55">
      <c r="A21" s="108">
        <v>18</v>
      </c>
      <c r="B21" s="109" t="str">
        <f t="shared" si="28"/>
        <v>Jan 2016</v>
      </c>
      <c r="C21" s="110" t="str">
        <f t="shared" si="29"/>
        <v>LWC</v>
      </c>
      <c r="D21" s="110" t="str">
        <f t="shared" si="30"/>
        <v>LGCME671</v>
      </c>
      <c r="E21" s="111">
        <f t="shared" si="0"/>
        <v>2</v>
      </c>
      <c r="F21" s="112">
        <v>0</v>
      </c>
      <c r="G21" s="111">
        <f t="shared" si="1"/>
        <v>0</v>
      </c>
      <c r="H21" s="111">
        <f t="shared" si="2"/>
        <v>0</v>
      </c>
      <c r="I21" s="111">
        <f t="shared" si="3"/>
        <v>0</v>
      </c>
      <c r="J21" s="111">
        <f t="shared" si="4"/>
        <v>5498880</v>
      </c>
      <c r="K21" s="113">
        <f t="shared" si="5"/>
        <v>0</v>
      </c>
      <c r="L21" s="113">
        <f t="shared" si="6"/>
        <v>9307</v>
      </c>
      <c r="M21" s="113">
        <f t="shared" si="7"/>
        <v>0</v>
      </c>
      <c r="N21" s="116">
        <f t="shared" si="8"/>
        <v>0</v>
      </c>
      <c r="O21" s="117">
        <f t="shared" si="9"/>
        <v>3.7019999999999997E-2</v>
      </c>
      <c r="P21" s="117">
        <f t="shared" si="10"/>
        <v>0</v>
      </c>
      <c r="Q21" s="117">
        <f t="shared" si="11"/>
        <v>0</v>
      </c>
      <c r="R21" s="117">
        <f t="shared" si="12"/>
        <v>2.725E-2</v>
      </c>
      <c r="S21" s="116">
        <f t="shared" si="13"/>
        <v>0</v>
      </c>
      <c r="T21" s="116">
        <f t="shared" si="14"/>
        <v>10.35</v>
      </c>
      <c r="U21" s="116">
        <f t="shared" si="15"/>
        <v>10.35</v>
      </c>
      <c r="V21" s="118">
        <f t="shared" si="16"/>
        <v>0</v>
      </c>
      <c r="W21" s="118">
        <f t="shared" si="31"/>
        <v>203568.54</v>
      </c>
      <c r="X21" s="118">
        <f t="shared" si="32"/>
        <v>0</v>
      </c>
      <c r="Y21" s="118">
        <f t="shared" si="33"/>
        <v>96327.45</v>
      </c>
      <c r="Z21" s="118">
        <f t="shared" si="34"/>
        <v>0</v>
      </c>
      <c r="AA21" s="119">
        <v>0</v>
      </c>
      <c r="AB21" s="120">
        <f t="shared" si="17"/>
        <v>0</v>
      </c>
      <c r="AC21" s="118">
        <f t="shared" si="18"/>
        <v>96327.45</v>
      </c>
      <c r="AD21" s="118">
        <f t="shared" si="35"/>
        <v>299895.99</v>
      </c>
      <c r="AE21" s="118">
        <f t="shared" si="19"/>
        <v>299898</v>
      </c>
      <c r="AF21" s="121">
        <f t="shared" si="36"/>
        <v>1.0000070000000001</v>
      </c>
      <c r="AG21" s="122">
        <f t="shared" si="20"/>
        <v>-14007</v>
      </c>
      <c r="AH21" s="122">
        <f t="shared" si="21"/>
        <v>0</v>
      </c>
      <c r="AI21" s="122">
        <f t="shared" si="22"/>
        <v>49357</v>
      </c>
      <c r="AJ21" s="122">
        <f t="shared" si="23"/>
        <v>0</v>
      </c>
      <c r="AK21" s="122">
        <f t="shared" si="24"/>
        <v>0</v>
      </c>
      <c r="AL21" s="122">
        <f t="shared" si="25"/>
        <v>335248</v>
      </c>
      <c r="AM21" s="123">
        <f t="shared" si="26"/>
        <v>335245.99</v>
      </c>
      <c r="AN21" s="123">
        <f t="shared" si="37"/>
        <v>2.0100000000093132</v>
      </c>
      <c r="AO21" s="124">
        <f t="shared" si="27"/>
        <v>149844.48000000001</v>
      </c>
      <c r="AP21" s="125">
        <f t="shared" si="38"/>
        <v>53724.06</v>
      </c>
      <c r="AU21" s="109">
        <f>IF(BA21=1,IF(AU20=MiscData!$F$1,EOMONTH(AU20,-11),EOMONTH(AU20,1)),AU20)</f>
        <v>42400</v>
      </c>
      <c r="AV21" s="108" t="str">
        <f t="shared" si="39"/>
        <v>20140101LGCME671</v>
      </c>
      <c r="AW21" s="126" t="str">
        <f t="shared" si="40"/>
        <v>20140101LWC</v>
      </c>
      <c r="AX21">
        <f>MiscData!$X$5</f>
        <v>20140101</v>
      </c>
      <c r="BA21" s="98">
        <f>IF(BA20+1&gt;MiscData!$Z$42,1,BA20+1)</f>
        <v>18</v>
      </c>
      <c r="BB21" s="98" t="str">
        <f>VLOOKUP(BA21,MiscData!$Z$5:$AB$46,2,FALSE)</f>
        <v>LGCME671</v>
      </c>
      <c r="BC21" s="98" t="str">
        <f>VLOOKUP(BA21,MiscData!$Z$5:$AB$46,3,FALSE)</f>
        <v>LWC</v>
      </c>
    </row>
    <row r="22" spans="1:55">
      <c r="A22" s="108">
        <v>19</v>
      </c>
      <c r="B22" s="109" t="str">
        <f t="shared" si="28"/>
        <v>Jan 2016</v>
      </c>
      <c r="C22" s="110" t="str">
        <f t="shared" si="29"/>
        <v>CSR</v>
      </c>
      <c r="D22" s="110" t="str">
        <f t="shared" si="30"/>
        <v>LGCSR760</v>
      </c>
      <c r="E22" s="111">
        <f t="shared" si="0"/>
        <v>0</v>
      </c>
      <c r="F22" s="112">
        <v>0</v>
      </c>
      <c r="G22" s="111">
        <f t="shared" si="1"/>
        <v>0</v>
      </c>
      <c r="H22" s="111">
        <f t="shared" si="2"/>
        <v>0</v>
      </c>
      <c r="I22" s="111">
        <f t="shared" si="3"/>
        <v>0</v>
      </c>
      <c r="J22" s="111">
        <f t="shared" si="4"/>
        <v>0</v>
      </c>
      <c r="K22" s="113">
        <f t="shared" si="5"/>
        <v>0</v>
      </c>
      <c r="L22" s="113">
        <f t="shared" si="6"/>
        <v>0</v>
      </c>
      <c r="M22" s="113">
        <f t="shared" si="7"/>
        <v>0</v>
      </c>
      <c r="N22" s="116">
        <f t="shared" si="8"/>
        <v>0</v>
      </c>
      <c r="O22" s="117">
        <f t="shared" si="9"/>
        <v>0</v>
      </c>
      <c r="P22" s="117">
        <f t="shared" si="10"/>
        <v>0</v>
      </c>
      <c r="Q22" s="117">
        <f t="shared" si="11"/>
        <v>0</v>
      </c>
      <c r="R22" s="117">
        <f t="shared" si="12"/>
        <v>0</v>
      </c>
      <c r="S22" s="116">
        <f t="shared" si="13"/>
        <v>0</v>
      </c>
      <c r="T22" s="116">
        <f t="shared" si="14"/>
        <v>0</v>
      </c>
      <c r="U22" s="116">
        <f t="shared" si="15"/>
        <v>0</v>
      </c>
      <c r="V22" s="118">
        <f t="shared" si="16"/>
        <v>0</v>
      </c>
      <c r="W22" s="118">
        <f t="shared" si="31"/>
        <v>0</v>
      </c>
      <c r="X22" s="118">
        <f t="shared" si="32"/>
        <v>0</v>
      </c>
      <c r="Y22" s="118">
        <f t="shared" si="33"/>
        <v>0</v>
      </c>
      <c r="Z22" s="118">
        <f t="shared" si="34"/>
        <v>0</v>
      </c>
      <c r="AA22" s="119">
        <v>0</v>
      </c>
      <c r="AB22" s="120">
        <f t="shared" si="17"/>
        <v>0</v>
      </c>
      <c r="AC22" s="118">
        <f t="shared" si="18"/>
        <v>0</v>
      </c>
      <c r="AD22" s="118">
        <f t="shared" si="35"/>
        <v>0</v>
      </c>
      <c r="AE22" s="118">
        <f t="shared" si="19"/>
        <v>0</v>
      </c>
      <c r="AF22" s="121">
        <f t="shared" si="36"/>
        <v>1</v>
      </c>
      <c r="AG22" s="122">
        <f t="shared" si="20"/>
        <v>0</v>
      </c>
      <c r="AH22" s="122">
        <f t="shared" si="21"/>
        <v>0</v>
      </c>
      <c r="AI22" s="122">
        <f t="shared" si="22"/>
        <v>0</v>
      </c>
      <c r="AJ22" s="122">
        <f t="shared" si="23"/>
        <v>0</v>
      </c>
      <c r="AK22" s="122">
        <f t="shared" si="24"/>
        <v>-286526</v>
      </c>
      <c r="AL22" s="122">
        <f t="shared" si="25"/>
        <v>-286526</v>
      </c>
      <c r="AM22" s="123">
        <f t="shared" si="26"/>
        <v>-286526</v>
      </c>
      <c r="AN22" s="123">
        <f t="shared" si="37"/>
        <v>0</v>
      </c>
      <c r="AO22" s="124">
        <f t="shared" si="27"/>
        <v>0</v>
      </c>
      <c r="AP22" s="125">
        <f t="shared" si="38"/>
        <v>0</v>
      </c>
      <c r="AU22" s="109">
        <f>IF(BA22=1,IF(AU21=MiscData!$F$1,EOMONTH(AU21,-11),EOMONTH(AU21,1)),AU21)</f>
        <v>42400</v>
      </c>
      <c r="AV22" s="108" t="str">
        <f t="shared" si="39"/>
        <v>20140101LGCSR760</v>
      </c>
      <c r="AW22" s="126" t="str">
        <f t="shared" si="40"/>
        <v>20140101CSR</v>
      </c>
      <c r="AX22">
        <f>MiscData!$X$5</f>
        <v>20140101</v>
      </c>
      <c r="BA22" s="98">
        <f>IF(BA21+1&gt;MiscData!$Z$42,1,BA21+1)</f>
        <v>19</v>
      </c>
      <c r="BB22" s="98" t="str">
        <f>VLOOKUP(BA22,MiscData!$Z$5:$AB$46,2,FALSE)</f>
        <v>LGCSR760</v>
      </c>
      <c r="BC22" s="98" t="str">
        <f>VLOOKUP(BA22,MiscData!$Z$5:$AB$46,3,FALSE)</f>
        <v>CSR</v>
      </c>
    </row>
    <row r="23" spans="1:55">
      <c r="A23" s="108">
        <v>20</v>
      </c>
      <c r="B23" s="109" t="str">
        <f t="shared" si="28"/>
        <v>Jan 2016</v>
      </c>
      <c r="C23" s="110" t="str">
        <f t="shared" si="29"/>
        <v>CSR</v>
      </c>
      <c r="D23" s="110" t="str">
        <f t="shared" si="30"/>
        <v>LGCSR780</v>
      </c>
      <c r="E23" s="111">
        <f t="shared" si="0"/>
        <v>0</v>
      </c>
      <c r="F23" s="112">
        <v>0</v>
      </c>
      <c r="G23" s="111">
        <f t="shared" si="1"/>
        <v>0</v>
      </c>
      <c r="H23" s="111">
        <f t="shared" si="2"/>
        <v>0</v>
      </c>
      <c r="I23" s="111">
        <f t="shared" si="3"/>
        <v>0</v>
      </c>
      <c r="J23" s="111">
        <f t="shared" si="4"/>
        <v>0</v>
      </c>
      <c r="K23" s="113">
        <f t="shared" si="5"/>
        <v>0</v>
      </c>
      <c r="L23" s="113">
        <f t="shared" si="6"/>
        <v>0</v>
      </c>
      <c r="M23" s="113">
        <f t="shared" si="7"/>
        <v>0</v>
      </c>
      <c r="N23" s="116">
        <f t="shared" si="8"/>
        <v>0</v>
      </c>
      <c r="O23" s="117">
        <f t="shared" si="9"/>
        <v>0</v>
      </c>
      <c r="P23" s="117">
        <f t="shared" si="10"/>
        <v>0</v>
      </c>
      <c r="Q23" s="117">
        <f t="shared" si="11"/>
        <v>0</v>
      </c>
      <c r="R23" s="117">
        <f t="shared" si="12"/>
        <v>0</v>
      </c>
      <c r="S23" s="116">
        <f t="shared" si="13"/>
        <v>0</v>
      </c>
      <c r="T23" s="116">
        <f t="shared" si="14"/>
        <v>0</v>
      </c>
      <c r="U23" s="116">
        <f t="shared" si="15"/>
        <v>0</v>
      </c>
      <c r="V23" s="118">
        <f t="shared" si="16"/>
        <v>0</v>
      </c>
      <c r="W23" s="118">
        <f t="shared" si="31"/>
        <v>0</v>
      </c>
      <c r="X23" s="118">
        <f t="shared" si="32"/>
        <v>0</v>
      </c>
      <c r="Y23" s="118">
        <f t="shared" si="33"/>
        <v>0</v>
      </c>
      <c r="Z23" s="118">
        <f t="shared" si="34"/>
        <v>0</v>
      </c>
      <c r="AA23" s="119">
        <v>0</v>
      </c>
      <c r="AB23" s="120">
        <f t="shared" si="17"/>
        <v>0</v>
      </c>
      <c r="AC23" s="118">
        <f t="shared" si="18"/>
        <v>0</v>
      </c>
      <c r="AD23" s="118">
        <f t="shared" si="35"/>
        <v>0</v>
      </c>
      <c r="AE23" s="118">
        <f t="shared" si="19"/>
        <v>0</v>
      </c>
      <c r="AF23" s="121">
        <f t="shared" si="36"/>
        <v>1</v>
      </c>
      <c r="AG23" s="122">
        <f t="shared" si="20"/>
        <v>0</v>
      </c>
      <c r="AH23" s="122">
        <f t="shared" si="21"/>
        <v>0</v>
      </c>
      <c r="AI23" s="122">
        <f t="shared" si="22"/>
        <v>0</v>
      </c>
      <c r="AJ23" s="122">
        <f t="shared" si="23"/>
        <v>0</v>
      </c>
      <c r="AK23" s="122">
        <f t="shared" si="24"/>
        <v>0</v>
      </c>
      <c r="AL23" s="122">
        <f t="shared" si="25"/>
        <v>0</v>
      </c>
      <c r="AM23" s="123">
        <f t="shared" si="26"/>
        <v>0</v>
      </c>
      <c r="AN23" s="123">
        <f t="shared" si="37"/>
        <v>0</v>
      </c>
      <c r="AO23" s="124">
        <f t="shared" si="27"/>
        <v>0</v>
      </c>
      <c r="AP23" s="125">
        <f t="shared" si="38"/>
        <v>0</v>
      </c>
      <c r="AU23" s="109">
        <f>IF(BA23=1,IF(AU22=MiscData!$F$1,EOMONTH(AU22,-11),EOMONTH(AU22,1)),AU22)</f>
        <v>42400</v>
      </c>
      <c r="AV23" s="108" t="str">
        <f t="shared" si="39"/>
        <v>20140101LGCSR780</v>
      </c>
      <c r="AW23" s="126" t="str">
        <f t="shared" si="40"/>
        <v>20140101CSR</v>
      </c>
      <c r="AX23">
        <f>MiscData!$X$5</f>
        <v>20140101</v>
      </c>
      <c r="BA23" s="98">
        <f>IF(BA22+1&gt;MiscData!$Z$42,1,BA22+1)</f>
        <v>20</v>
      </c>
      <c r="BB23" s="98" t="str">
        <f>VLOOKUP(BA23,MiscData!$Z$5:$AB$46,2,FALSE)</f>
        <v>LGCSR780</v>
      </c>
      <c r="BC23" s="98" t="str">
        <f>VLOOKUP(BA23,MiscData!$Z$5:$AB$46,3,FALSE)</f>
        <v>CSR</v>
      </c>
    </row>
    <row r="24" spans="1:55">
      <c r="A24" s="108">
        <v>21</v>
      </c>
      <c r="B24" s="109" t="str">
        <f t="shared" si="28"/>
        <v>Jan 2016</v>
      </c>
      <c r="C24" s="110" t="str">
        <f t="shared" si="29"/>
        <v>FK</v>
      </c>
      <c r="D24" s="110" t="str">
        <f t="shared" si="30"/>
        <v>LGINE599</v>
      </c>
      <c r="E24" s="111">
        <f t="shared" si="0"/>
        <v>1</v>
      </c>
      <c r="F24" s="112">
        <v>0</v>
      </c>
      <c r="G24" s="111">
        <f t="shared" si="1"/>
        <v>0</v>
      </c>
      <c r="H24" s="111">
        <f t="shared" si="2"/>
        <v>0</v>
      </c>
      <c r="I24" s="111">
        <f t="shared" si="3"/>
        <v>0</v>
      </c>
      <c r="J24" s="111">
        <f t="shared" si="4"/>
        <v>10975500</v>
      </c>
      <c r="K24" s="113">
        <f t="shared" si="5"/>
        <v>0</v>
      </c>
      <c r="L24" s="113">
        <f t="shared" si="6"/>
        <v>15562</v>
      </c>
      <c r="M24" s="113">
        <f t="shared" si="7"/>
        <v>0</v>
      </c>
      <c r="N24" s="116">
        <f t="shared" si="8"/>
        <v>0</v>
      </c>
      <c r="O24" s="117">
        <f t="shared" si="9"/>
        <v>3.7400000000000003E-2</v>
      </c>
      <c r="P24" s="117">
        <f t="shared" si="10"/>
        <v>0</v>
      </c>
      <c r="Q24" s="117">
        <f t="shared" si="11"/>
        <v>0</v>
      </c>
      <c r="R24" s="117">
        <f t="shared" si="12"/>
        <v>2.725E-2</v>
      </c>
      <c r="S24" s="116">
        <f t="shared" si="13"/>
        <v>0</v>
      </c>
      <c r="T24" s="116">
        <f t="shared" si="14"/>
        <v>12.72</v>
      </c>
      <c r="U24" s="116">
        <f t="shared" si="15"/>
        <v>15.040000000000001</v>
      </c>
      <c r="V24" s="118">
        <f t="shared" si="16"/>
        <v>0</v>
      </c>
      <c r="W24" s="118">
        <f t="shared" si="31"/>
        <v>410483.7</v>
      </c>
      <c r="X24" s="118">
        <f t="shared" si="32"/>
        <v>0</v>
      </c>
      <c r="Y24" s="118">
        <f t="shared" si="33"/>
        <v>197948.64</v>
      </c>
      <c r="Z24" s="118">
        <f t="shared" si="34"/>
        <v>0</v>
      </c>
      <c r="AA24" s="119">
        <v>0</v>
      </c>
      <c r="AB24" s="120">
        <f t="shared" si="17"/>
        <v>0</v>
      </c>
      <c r="AC24" s="118">
        <f t="shared" si="18"/>
        <v>197948.64</v>
      </c>
      <c r="AD24" s="118">
        <f>SUM(V24:AB24)</f>
        <v>608432.34000000008</v>
      </c>
      <c r="AE24" s="118">
        <f t="shared" si="19"/>
        <v>608433</v>
      </c>
      <c r="AF24" s="121">
        <f t="shared" si="36"/>
        <v>1.0000009999999999</v>
      </c>
      <c r="AG24" s="122">
        <f t="shared" si="20"/>
        <v>-27957</v>
      </c>
      <c r="AH24" s="122">
        <f t="shared" si="21"/>
        <v>0</v>
      </c>
      <c r="AI24" s="122">
        <f t="shared" si="22"/>
        <v>98514</v>
      </c>
      <c r="AJ24" s="122">
        <f t="shared" si="23"/>
        <v>0</v>
      </c>
      <c r="AK24" s="122">
        <f t="shared" si="24"/>
        <v>0</v>
      </c>
      <c r="AL24" s="122">
        <f t="shared" si="25"/>
        <v>678990</v>
      </c>
      <c r="AM24" s="123">
        <f t="shared" si="26"/>
        <v>678989.34000000008</v>
      </c>
      <c r="AN24" s="123">
        <f>ROUND(AL24-AM24,2)</f>
        <v>0.66</v>
      </c>
      <c r="AO24" s="124">
        <f t="shared" si="27"/>
        <v>299082.38</v>
      </c>
      <c r="AP24" s="125">
        <f t="shared" si="38"/>
        <v>111401.32</v>
      </c>
      <c r="AU24" s="109">
        <f>IF(BA24=1,IF(AU23=MiscData!$F$1,EOMONTH(AU23,-11),EOMONTH(AU23,1)),AU23)</f>
        <v>42400</v>
      </c>
      <c r="AV24" s="108" t="str">
        <f t="shared" si="39"/>
        <v>20140101LGINE599</v>
      </c>
      <c r="AW24" s="126" t="str">
        <f t="shared" si="40"/>
        <v>20140101FK</v>
      </c>
      <c r="AX24">
        <f>MiscData!$X$5</f>
        <v>20140101</v>
      </c>
      <c r="BA24" s="98">
        <f>IF(BA23+1&gt;MiscData!$Z$42,1,BA23+1)</f>
        <v>21</v>
      </c>
      <c r="BB24" s="98" t="str">
        <f>VLOOKUP(BA24,MiscData!$Z$5:$AB$46,2,FALSE)</f>
        <v>LGINE599</v>
      </c>
      <c r="BC24" s="98" t="str">
        <f>VLOOKUP(BA24,MiscData!$Z$5:$AB$46,3,FALSE)</f>
        <v>FK</v>
      </c>
    </row>
    <row r="25" spans="1:55">
      <c r="A25" s="108">
        <v>22</v>
      </c>
      <c r="B25" s="109" t="str">
        <f t="shared" si="28"/>
        <v>Jan 2016</v>
      </c>
      <c r="C25" s="110" t="str">
        <f t="shared" si="29"/>
        <v>RTS</v>
      </c>
      <c r="D25" s="110" t="str">
        <f t="shared" si="30"/>
        <v>LGINE643</v>
      </c>
      <c r="E25" s="111">
        <f t="shared" si="0"/>
        <v>12</v>
      </c>
      <c r="F25" s="112">
        <v>0</v>
      </c>
      <c r="G25" s="111">
        <f t="shared" si="1"/>
        <v>0</v>
      </c>
      <c r="H25" s="111">
        <f t="shared" si="2"/>
        <v>0</v>
      </c>
      <c r="I25" s="111">
        <f t="shared" si="3"/>
        <v>0</v>
      </c>
      <c r="J25" s="111">
        <f t="shared" si="4"/>
        <v>68922949</v>
      </c>
      <c r="K25" s="113">
        <f t="shared" si="5"/>
        <v>167002</v>
      </c>
      <c r="L25" s="113">
        <f t="shared" si="6"/>
        <v>151811</v>
      </c>
      <c r="M25" s="113">
        <f t="shared" si="7"/>
        <v>93556</v>
      </c>
      <c r="N25" s="116">
        <f t="shared" si="8"/>
        <v>750</v>
      </c>
      <c r="O25" s="117">
        <f t="shared" si="9"/>
        <v>3.61E-2</v>
      </c>
      <c r="P25" s="117">
        <f t="shared" si="10"/>
        <v>0</v>
      </c>
      <c r="Q25" s="117">
        <f t="shared" si="11"/>
        <v>0</v>
      </c>
      <c r="R25" s="117">
        <f t="shared" si="12"/>
        <v>2.725E-2</v>
      </c>
      <c r="S25" s="116">
        <f t="shared" si="13"/>
        <v>2.75</v>
      </c>
      <c r="T25" s="116">
        <f t="shared" si="14"/>
        <v>3</v>
      </c>
      <c r="U25" s="116">
        <f t="shared" si="15"/>
        <v>4.5500000000000007</v>
      </c>
      <c r="V25" s="118">
        <f t="shared" si="16"/>
        <v>9000</v>
      </c>
      <c r="W25" s="118">
        <f t="shared" si="31"/>
        <v>2488118.46</v>
      </c>
      <c r="X25" s="118">
        <f t="shared" si="32"/>
        <v>459255.5</v>
      </c>
      <c r="Y25" s="118">
        <f t="shared" si="33"/>
        <v>455433</v>
      </c>
      <c r="Z25" s="118">
        <f t="shared" si="34"/>
        <v>425679.8</v>
      </c>
      <c r="AA25" s="119">
        <v>0</v>
      </c>
      <c r="AB25" s="120">
        <f t="shared" si="17"/>
        <v>0</v>
      </c>
      <c r="AC25" s="118">
        <f t="shared" si="18"/>
        <v>1340368.3</v>
      </c>
      <c r="AD25" s="118">
        <f t="shared" si="35"/>
        <v>3837486.76</v>
      </c>
      <c r="AE25" s="118">
        <f t="shared" si="19"/>
        <v>3837486</v>
      </c>
      <c r="AF25" s="121">
        <f t="shared" si="36"/>
        <v>1</v>
      </c>
      <c r="AG25" s="122">
        <f t="shared" si="20"/>
        <v>-175559</v>
      </c>
      <c r="AH25" s="122">
        <f t="shared" si="21"/>
        <v>0</v>
      </c>
      <c r="AI25" s="122">
        <f t="shared" si="22"/>
        <v>618639</v>
      </c>
      <c r="AJ25" s="122">
        <f t="shared" si="23"/>
        <v>0</v>
      </c>
      <c r="AK25" s="122">
        <f t="shared" si="24"/>
        <v>0</v>
      </c>
      <c r="AL25" s="122">
        <f t="shared" si="25"/>
        <v>4280566</v>
      </c>
      <c r="AM25" s="123">
        <f t="shared" si="26"/>
        <v>4280566.76</v>
      </c>
      <c r="AN25" s="123">
        <f t="shared" si="37"/>
        <v>-0.75999999977648258</v>
      </c>
      <c r="AO25" s="124">
        <f t="shared" si="27"/>
        <v>1878150.36</v>
      </c>
      <c r="AP25" s="125">
        <f t="shared" si="38"/>
        <v>609968.09999999986</v>
      </c>
      <c r="AU25" s="109">
        <f>IF(BA25=1,IF(AU24=MiscData!$F$1,EOMONTH(AU24,-11),EOMONTH(AU24,1)),AU24)</f>
        <v>42400</v>
      </c>
      <c r="AV25" s="108" t="str">
        <f t="shared" si="39"/>
        <v>20140101LGINE643</v>
      </c>
      <c r="AW25" s="126" t="str">
        <f t="shared" si="40"/>
        <v>20140101RTS</v>
      </c>
      <c r="AX25">
        <f>MiscData!$X$5</f>
        <v>20140101</v>
      </c>
      <c r="BA25" s="98">
        <f>IF(BA24+1&gt;MiscData!$Z$42,1,BA24+1)</f>
        <v>22</v>
      </c>
      <c r="BB25" s="98" t="str">
        <f>VLOOKUP(BA25,MiscData!$Z$5:$AB$46,2,FALSE)</f>
        <v>LGINE643</v>
      </c>
      <c r="BC25" s="98" t="str">
        <f>VLOOKUP(BA25,MiscData!$Z$5:$AB$46,3,FALSE)</f>
        <v>RTS</v>
      </c>
    </row>
    <row r="26" spans="1:55">
      <c r="A26" s="108">
        <v>23</v>
      </c>
      <c r="B26" s="109" t="str">
        <f t="shared" si="28"/>
        <v>Jan 2016</v>
      </c>
      <c r="C26" s="110" t="str">
        <f t="shared" si="29"/>
        <v>PSS</v>
      </c>
      <c r="D26" s="110" t="str">
        <f t="shared" si="30"/>
        <v>LGINE661</v>
      </c>
      <c r="E26" s="111">
        <f t="shared" si="0"/>
        <v>213</v>
      </c>
      <c r="F26" s="112">
        <v>0</v>
      </c>
      <c r="G26" s="111">
        <f t="shared" si="1"/>
        <v>0</v>
      </c>
      <c r="H26" s="111">
        <f t="shared" si="2"/>
        <v>0</v>
      </c>
      <c r="I26" s="111">
        <f t="shared" si="3"/>
        <v>0</v>
      </c>
      <c r="J26" s="111">
        <f t="shared" si="4"/>
        <v>18274284</v>
      </c>
      <c r="K26" s="113">
        <f t="shared" si="5"/>
        <v>0</v>
      </c>
      <c r="L26" s="113">
        <f t="shared" si="6"/>
        <v>59090</v>
      </c>
      <c r="M26" s="113">
        <f t="shared" si="7"/>
        <v>0</v>
      </c>
      <c r="N26" s="116">
        <f t="shared" si="8"/>
        <v>90</v>
      </c>
      <c r="O26" s="117">
        <f t="shared" si="9"/>
        <v>4.0599999999999997E-2</v>
      </c>
      <c r="P26" s="117">
        <f t="shared" si="10"/>
        <v>0</v>
      </c>
      <c r="Q26" s="117">
        <f t="shared" si="11"/>
        <v>0</v>
      </c>
      <c r="R26" s="117">
        <f t="shared" si="12"/>
        <v>2.725E-2</v>
      </c>
      <c r="S26" s="116">
        <f t="shared" si="13"/>
        <v>0</v>
      </c>
      <c r="T26" s="116">
        <f t="shared" si="14"/>
        <v>14.010000000000002</v>
      </c>
      <c r="U26" s="116">
        <f t="shared" si="15"/>
        <v>16.399999999999999</v>
      </c>
      <c r="V26" s="118">
        <f t="shared" si="16"/>
        <v>19170</v>
      </c>
      <c r="W26" s="118">
        <f t="shared" si="31"/>
        <v>741935.93</v>
      </c>
      <c r="X26" s="118">
        <f t="shared" si="32"/>
        <v>0</v>
      </c>
      <c r="Y26" s="118">
        <f t="shared" si="33"/>
        <v>827850.9</v>
      </c>
      <c r="Z26" s="118">
        <f t="shared" si="34"/>
        <v>0</v>
      </c>
      <c r="AA26" s="119">
        <v>0</v>
      </c>
      <c r="AB26" s="120">
        <f t="shared" si="17"/>
        <v>0</v>
      </c>
      <c r="AC26" s="118">
        <f t="shared" si="18"/>
        <v>827850.9</v>
      </c>
      <c r="AD26" s="118">
        <f t="shared" si="35"/>
        <v>1588956.83</v>
      </c>
      <c r="AE26" s="118">
        <f t="shared" si="19"/>
        <v>1588958</v>
      </c>
      <c r="AF26" s="121">
        <f t="shared" si="36"/>
        <v>1.0000009999999999</v>
      </c>
      <c r="AG26" s="122">
        <f t="shared" si="20"/>
        <v>-46548</v>
      </c>
      <c r="AH26" s="122">
        <f t="shared" si="21"/>
        <v>23850</v>
      </c>
      <c r="AI26" s="122">
        <f t="shared" si="22"/>
        <v>164026</v>
      </c>
      <c r="AJ26" s="122">
        <f t="shared" si="23"/>
        <v>0</v>
      </c>
      <c r="AK26" s="122">
        <f t="shared" si="24"/>
        <v>0</v>
      </c>
      <c r="AL26" s="122">
        <f t="shared" si="25"/>
        <v>1730286</v>
      </c>
      <c r="AM26" s="123">
        <f t="shared" si="26"/>
        <v>1730284.83</v>
      </c>
      <c r="AN26" s="123">
        <f t="shared" si="37"/>
        <v>1.1699999999254942</v>
      </c>
      <c r="AO26" s="124">
        <f t="shared" si="27"/>
        <v>497974.24</v>
      </c>
      <c r="AP26" s="125">
        <f t="shared" si="38"/>
        <v>243961.69000000006</v>
      </c>
      <c r="AU26" s="109">
        <f>IF(BA26=1,IF(AU25=MiscData!$F$1,EOMONTH(AU25,-11),EOMONTH(AU25,1)),AU25)</f>
        <v>42400</v>
      </c>
      <c r="AV26" s="108" t="str">
        <f t="shared" si="39"/>
        <v>20140101LGINE661</v>
      </c>
      <c r="AW26" s="126" t="str">
        <f t="shared" si="40"/>
        <v>20140101PSS</v>
      </c>
      <c r="AX26">
        <f>MiscData!$X$5</f>
        <v>20140101</v>
      </c>
      <c r="BA26" s="98">
        <f>IF(BA25+1&gt;MiscData!$Z$42,1,BA25+1)</f>
        <v>23</v>
      </c>
      <c r="BB26" s="98" t="str">
        <f>VLOOKUP(BA26,MiscData!$Z$5:$AB$46,2,FALSE)</f>
        <v>LGINE661</v>
      </c>
      <c r="BC26" s="98" t="str">
        <f>VLOOKUP(BA26,MiscData!$Z$5:$AB$46,3,FALSE)</f>
        <v>PSS</v>
      </c>
    </row>
    <row r="27" spans="1:55">
      <c r="A27" s="108">
        <v>24</v>
      </c>
      <c r="B27" s="109" t="str">
        <f t="shared" si="28"/>
        <v>Jan 2016</v>
      </c>
      <c r="C27" s="110" t="str">
        <f t="shared" si="29"/>
        <v>PSP</v>
      </c>
      <c r="D27" s="110" t="str">
        <f t="shared" si="30"/>
        <v>LGINE663</v>
      </c>
      <c r="E27" s="111">
        <f t="shared" si="0"/>
        <v>21</v>
      </c>
      <c r="F27" s="112">
        <v>0</v>
      </c>
      <c r="G27" s="111">
        <f t="shared" si="1"/>
        <v>0</v>
      </c>
      <c r="H27" s="111">
        <f t="shared" si="2"/>
        <v>0</v>
      </c>
      <c r="I27" s="111">
        <f t="shared" si="3"/>
        <v>0</v>
      </c>
      <c r="J27" s="111">
        <f t="shared" si="4"/>
        <v>1034319</v>
      </c>
      <c r="K27" s="113">
        <f t="shared" si="5"/>
        <v>0</v>
      </c>
      <c r="L27" s="113">
        <f t="shared" si="6"/>
        <v>3851</v>
      </c>
      <c r="M27" s="113">
        <f t="shared" si="7"/>
        <v>0</v>
      </c>
      <c r="N27" s="116">
        <f t="shared" si="8"/>
        <v>170</v>
      </c>
      <c r="O27" s="117">
        <f t="shared" si="9"/>
        <v>3.9260000000000003E-2</v>
      </c>
      <c r="P27" s="117">
        <f t="shared" si="10"/>
        <v>0</v>
      </c>
      <c r="Q27" s="117">
        <f t="shared" si="11"/>
        <v>0</v>
      </c>
      <c r="R27" s="117">
        <f t="shared" si="12"/>
        <v>2.725E-2</v>
      </c>
      <c r="S27" s="116">
        <f t="shared" si="13"/>
        <v>0</v>
      </c>
      <c r="T27" s="116">
        <f t="shared" si="14"/>
        <v>11.660000000000002</v>
      </c>
      <c r="U27" s="116">
        <f t="shared" si="15"/>
        <v>13.950000000000001</v>
      </c>
      <c r="V27" s="118">
        <f t="shared" si="16"/>
        <v>3570</v>
      </c>
      <c r="W27" s="118">
        <f t="shared" si="31"/>
        <v>40607.360000000001</v>
      </c>
      <c r="X27" s="118">
        <f t="shared" si="32"/>
        <v>0</v>
      </c>
      <c r="Y27" s="118">
        <f t="shared" si="33"/>
        <v>44902.66</v>
      </c>
      <c r="Z27" s="118">
        <f t="shared" si="34"/>
        <v>0</v>
      </c>
      <c r="AA27" s="119">
        <v>0</v>
      </c>
      <c r="AB27" s="120">
        <f t="shared" si="17"/>
        <v>0</v>
      </c>
      <c r="AC27" s="118">
        <f t="shared" si="18"/>
        <v>44902.66</v>
      </c>
      <c r="AD27" s="118">
        <f t="shared" si="35"/>
        <v>89080.02</v>
      </c>
      <c r="AE27" s="118">
        <f t="shared" si="19"/>
        <v>89079</v>
      </c>
      <c r="AF27" s="121">
        <f t="shared" si="36"/>
        <v>0.99998900000000002</v>
      </c>
      <c r="AG27" s="122">
        <f t="shared" si="20"/>
        <v>-2635</v>
      </c>
      <c r="AH27" s="122">
        <f t="shared" si="21"/>
        <v>1350</v>
      </c>
      <c r="AI27" s="122">
        <f t="shared" si="22"/>
        <v>9284</v>
      </c>
      <c r="AJ27" s="122">
        <f t="shared" si="23"/>
        <v>0</v>
      </c>
      <c r="AK27" s="122">
        <f t="shared" si="24"/>
        <v>0</v>
      </c>
      <c r="AL27" s="122">
        <f t="shared" si="25"/>
        <v>97078</v>
      </c>
      <c r="AM27" s="123">
        <f t="shared" si="26"/>
        <v>97079.02</v>
      </c>
      <c r="AN27" s="123">
        <f t="shared" ref="AN27:AN33" si="42">ROUND(AL27-AM27,2)</f>
        <v>-1.02</v>
      </c>
      <c r="AO27" s="124">
        <f t="shared" si="27"/>
        <v>28185.19</v>
      </c>
      <c r="AP27" s="125">
        <f t="shared" si="38"/>
        <v>12422.170000000002</v>
      </c>
      <c r="AU27" s="109">
        <f>IF(BA27=1,IF(AU26=MiscData!$F$1,EOMONTH(AU26,-11),EOMONTH(AU26,1)),AU26)</f>
        <v>42400</v>
      </c>
      <c r="AV27" s="108" t="str">
        <f t="shared" si="39"/>
        <v>20140101LGINE663</v>
      </c>
      <c r="AW27" s="126" t="str">
        <f t="shared" si="40"/>
        <v>20140101PSP</v>
      </c>
      <c r="AX27">
        <f>MiscData!$X$5</f>
        <v>20140101</v>
      </c>
      <c r="BA27" s="98">
        <f>IF(BA26+1&gt;MiscData!$Z$42,1,BA26+1)</f>
        <v>24</v>
      </c>
      <c r="BB27" s="98" t="str">
        <f>VLOOKUP(BA27,MiscData!$Z$5:$AB$46,2,FALSE)</f>
        <v>LGINE663</v>
      </c>
      <c r="BC27" s="98" t="str">
        <f>VLOOKUP(BA27,MiscData!$Z$5:$AB$46,3,FALSE)</f>
        <v>PSP</v>
      </c>
    </row>
    <row r="28" spans="1:55">
      <c r="A28" s="108">
        <v>25</v>
      </c>
      <c r="B28" s="109" t="str">
        <f t="shared" si="28"/>
        <v>Jan 2016</v>
      </c>
      <c r="C28" s="110" t="str">
        <f t="shared" si="29"/>
        <v>TODS</v>
      </c>
      <c r="D28" s="110" t="str">
        <f t="shared" si="30"/>
        <v>LGINE691</v>
      </c>
      <c r="E28" s="111">
        <f t="shared" si="0"/>
        <v>99</v>
      </c>
      <c r="F28" s="112">
        <v>0</v>
      </c>
      <c r="G28" s="111">
        <f t="shared" si="1"/>
        <v>0</v>
      </c>
      <c r="H28" s="111">
        <f t="shared" si="2"/>
        <v>0</v>
      </c>
      <c r="I28" s="111">
        <f t="shared" si="3"/>
        <v>0</v>
      </c>
      <c r="J28" s="111">
        <f t="shared" si="4"/>
        <v>20040159</v>
      </c>
      <c r="K28" s="113">
        <f t="shared" si="5"/>
        <v>50459</v>
      </c>
      <c r="L28" s="113">
        <f t="shared" si="6"/>
        <v>45581</v>
      </c>
      <c r="M28" s="113">
        <f t="shared" si="7"/>
        <v>44967</v>
      </c>
      <c r="N28" s="116">
        <f t="shared" si="8"/>
        <v>200</v>
      </c>
      <c r="O28" s="117">
        <f t="shared" si="9"/>
        <v>3.9899999999999998E-2</v>
      </c>
      <c r="P28" s="117">
        <f t="shared" si="10"/>
        <v>0</v>
      </c>
      <c r="Q28" s="117">
        <f t="shared" si="11"/>
        <v>0</v>
      </c>
      <c r="R28" s="117">
        <f t="shared" si="12"/>
        <v>2.725E-2</v>
      </c>
      <c r="S28" s="116">
        <f t="shared" si="13"/>
        <v>4</v>
      </c>
      <c r="T28" s="116">
        <f t="shared" si="14"/>
        <v>4.5100000000000007</v>
      </c>
      <c r="U28" s="116">
        <f t="shared" si="15"/>
        <v>6.11</v>
      </c>
      <c r="V28" s="118">
        <f t="shared" si="16"/>
        <v>19800</v>
      </c>
      <c r="W28" s="118">
        <f t="shared" si="31"/>
        <v>799602.34</v>
      </c>
      <c r="X28" s="118">
        <f t="shared" si="32"/>
        <v>201836</v>
      </c>
      <c r="Y28" s="118">
        <f t="shared" si="33"/>
        <v>205570.31</v>
      </c>
      <c r="Z28" s="118">
        <f t="shared" si="34"/>
        <v>274748.37</v>
      </c>
      <c r="AA28" s="119">
        <v>0</v>
      </c>
      <c r="AB28" s="120">
        <f t="shared" si="17"/>
        <v>0</v>
      </c>
      <c r="AC28" s="118">
        <f t="shared" si="18"/>
        <v>682154.67999999993</v>
      </c>
      <c r="AD28" s="118">
        <f t="shared" si="35"/>
        <v>1501557.02</v>
      </c>
      <c r="AE28" s="118">
        <f t="shared" si="19"/>
        <v>1501560</v>
      </c>
      <c r="AF28" s="121">
        <f t="shared" si="36"/>
        <v>1.0000020000000001</v>
      </c>
      <c r="AG28" s="122">
        <f t="shared" si="20"/>
        <v>-51046</v>
      </c>
      <c r="AH28" s="122">
        <f t="shared" si="21"/>
        <v>26155</v>
      </c>
      <c r="AI28" s="122">
        <f t="shared" si="22"/>
        <v>179876</v>
      </c>
      <c r="AJ28" s="122">
        <f t="shared" si="23"/>
        <v>0</v>
      </c>
      <c r="AK28" s="122">
        <f t="shared" si="24"/>
        <v>0</v>
      </c>
      <c r="AL28" s="122">
        <f t="shared" si="25"/>
        <v>1656545</v>
      </c>
      <c r="AM28" s="123">
        <f t="shared" si="26"/>
        <v>1656542.02</v>
      </c>
      <c r="AN28" s="123">
        <f t="shared" si="42"/>
        <v>2.98</v>
      </c>
      <c r="AO28" s="124">
        <f t="shared" si="27"/>
        <v>546094.32999999996</v>
      </c>
      <c r="AP28" s="125">
        <f t="shared" si="38"/>
        <v>253508.01</v>
      </c>
      <c r="AU28" s="109">
        <f>IF(BA28=1,IF(AU27=MiscData!$F$1,EOMONTH(AU27,-11),EOMONTH(AU27,1)),AU27)</f>
        <v>42400</v>
      </c>
      <c r="AV28" s="108" t="str">
        <f t="shared" si="39"/>
        <v>20140101LGINE691</v>
      </c>
      <c r="AW28" s="126" t="str">
        <f t="shared" si="40"/>
        <v>20140101TODS</v>
      </c>
      <c r="AX28">
        <f>MiscData!$X$5</f>
        <v>20140101</v>
      </c>
      <c r="BA28" s="98">
        <f>IF(BA27+1&gt;MiscData!$Z$42,1,BA27+1)</f>
        <v>25</v>
      </c>
      <c r="BB28" s="98" t="str">
        <f>VLOOKUP(BA28,MiscData!$Z$5:$AB$46,2,FALSE)</f>
        <v>LGINE691</v>
      </c>
      <c r="BC28" s="98" t="str">
        <f>VLOOKUP(BA28,MiscData!$Z$5:$AB$46,3,FALSE)</f>
        <v>TODS</v>
      </c>
    </row>
    <row r="29" spans="1:55">
      <c r="A29" s="108">
        <v>26</v>
      </c>
      <c r="B29" s="109" t="str">
        <f t="shared" si="28"/>
        <v>Jan 2016</v>
      </c>
      <c r="C29" s="110" t="str">
        <f t="shared" si="29"/>
        <v>ITODP</v>
      </c>
      <c r="D29" s="110" t="str">
        <f t="shared" si="30"/>
        <v>LGINE693</v>
      </c>
      <c r="E29" s="111">
        <f t="shared" si="0"/>
        <v>70</v>
      </c>
      <c r="F29" s="112">
        <v>0</v>
      </c>
      <c r="G29" s="111">
        <f t="shared" si="1"/>
        <v>0</v>
      </c>
      <c r="H29" s="111">
        <f t="shared" si="2"/>
        <v>0</v>
      </c>
      <c r="I29" s="111">
        <f t="shared" si="3"/>
        <v>0</v>
      </c>
      <c r="J29" s="111">
        <f t="shared" si="4"/>
        <v>130426785</v>
      </c>
      <c r="K29" s="113">
        <f t="shared" si="5"/>
        <v>328863</v>
      </c>
      <c r="L29" s="113">
        <f t="shared" si="6"/>
        <v>298563</v>
      </c>
      <c r="M29" s="113">
        <f t="shared" si="7"/>
        <v>294597</v>
      </c>
      <c r="N29" s="116">
        <f t="shared" si="8"/>
        <v>300</v>
      </c>
      <c r="O29" s="117">
        <f t="shared" si="9"/>
        <v>3.5380000000000002E-2</v>
      </c>
      <c r="P29" s="117">
        <f t="shared" si="10"/>
        <v>0</v>
      </c>
      <c r="Q29" s="117">
        <f t="shared" si="11"/>
        <v>0</v>
      </c>
      <c r="R29" s="117">
        <f t="shared" si="12"/>
        <v>2.725E-2</v>
      </c>
      <c r="S29" s="116">
        <f t="shared" si="13"/>
        <v>3.6300000000000003</v>
      </c>
      <c r="T29" s="116">
        <f t="shared" si="14"/>
        <v>3.7900000000000005</v>
      </c>
      <c r="U29" s="116">
        <f t="shared" si="15"/>
        <v>4.63</v>
      </c>
      <c r="V29" s="118">
        <f t="shared" si="16"/>
        <v>21000</v>
      </c>
      <c r="W29" s="118">
        <f t="shared" si="31"/>
        <v>4614499.6500000004</v>
      </c>
      <c r="X29" s="118">
        <f t="shared" si="32"/>
        <v>1193772.69</v>
      </c>
      <c r="Y29" s="118">
        <f t="shared" si="33"/>
        <v>1131553.77</v>
      </c>
      <c r="Z29" s="118">
        <f t="shared" si="34"/>
        <v>1363984.11</v>
      </c>
      <c r="AA29" s="119">
        <v>0</v>
      </c>
      <c r="AB29" s="120">
        <f t="shared" si="17"/>
        <v>0</v>
      </c>
      <c r="AC29" s="118">
        <f t="shared" si="18"/>
        <v>3689310.5700000003</v>
      </c>
      <c r="AD29" s="118">
        <f t="shared" si="35"/>
        <v>8324810.2199999997</v>
      </c>
      <c r="AE29" s="118">
        <f t="shared" si="19"/>
        <v>8324807</v>
      </c>
      <c r="AF29" s="121">
        <f t="shared" si="36"/>
        <v>1</v>
      </c>
      <c r="AG29" s="122">
        <f t="shared" si="20"/>
        <v>-332221</v>
      </c>
      <c r="AH29" s="122">
        <f t="shared" si="21"/>
        <v>170221</v>
      </c>
      <c r="AI29" s="122">
        <f t="shared" si="22"/>
        <v>1170685</v>
      </c>
      <c r="AJ29" s="122">
        <f t="shared" si="23"/>
        <v>0</v>
      </c>
      <c r="AK29" s="122">
        <f t="shared" si="24"/>
        <v>0</v>
      </c>
      <c r="AL29" s="122">
        <f t="shared" si="25"/>
        <v>9333492</v>
      </c>
      <c r="AM29" s="123">
        <f t="shared" si="26"/>
        <v>9333495.2199999988</v>
      </c>
      <c r="AN29" s="123">
        <f t="shared" si="42"/>
        <v>-3.22</v>
      </c>
      <c r="AO29" s="124">
        <f t="shared" si="27"/>
        <v>3554129.89</v>
      </c>
      <c r="AP29" s="125">
        <f t="shared" si="38"/>
        <v>1060369.7600000002</v>
      </c>
      <c r="AU29" s="109">
        <f>IF(BA29=1,IF(AU28=MiscData!$F$1,EOMONTH(AU28,-11),EOMONTH(AU28,1)),AU28)</f>
        <v>42400</v>
      </c>
      <c r="AV29" s="108" t="str">
        <f t="shared" si="39"/>
        <v>20140101LGINE693</v>
      </c>
      <c r="AW29" s="126" t="str">
        <f t="shared" si="40"/>
        <v>20140101ITODP</v>
      </c>
      <c r="AX29">
        <f>MiscData!$X$5</f>
        <v>20140101</v>
      </c>
      <c r="BA29" s="98">
        <f>IF(BA28+1&gt;MiscData!$Z$42,1,BA28+1)</f>
        <v>26</v>
      </c>
      <c r="BB29" s="98" t="str">
        <f>VLOOKUP(BA29,MiscData!$Z$5:$AB$46,2,FALSE)</f>
        <v>LGINE693</v>
      </c>
      <c r="BC29" s="98" t="str">
        <f>VLOOKUP(BA29,MiscData!$Z$5:$AB$46,3,FALSE)</f>
        <v>ITODP</v>
      </c>
    </row>
    <row r="30" spans="1:55">
      <c r="A30" s="108">
        <v>27</v>
      </c>
      <c r="B30" s="109" t="str">
        <f t="shared" si="28"/>
        <v>Jan 2016</v>
      </c>
      <c r="C30" s="110" t="str">
        <f t="shared" si="29"/>
        <v>ITODP</v>
      </c>
      <c r="D30" s="110" t="str">
        <f t="shared" si="30"/>
        <v>LGINE694</v>
      </c>
      <c r="E30" s="111">
        <f t="shared" si="0"/>
        <v>0</v>
      </c>
      <c r="F30" s="112">
        <v>0</v>
      </c>
      <c r="G30" s="111">
        <f t="shared" si="1"/>
        <v>0</v>
      </c>
      <c r="H30" s="111">
        <f t="shared" si="2"/>
        <v>0</v>
      </c>
      <c r="I30" s="111">
        <f t="shared" si="3"/>
        <v>0</v>
      </c>
      <c r="J30" s="111">
        <f t="shared" si="4"/>
        <v>0</v>
      </c>
      <c r="K30" s="113">
        <f t="shared" si="5"/>
        <v>0</v>
      </c>
      <c r="L30" s="113">
        <f t="shared" si="6"/>
        <v>0</v>
      </c>
      <c r="M30" s="113">
        <f t="shared" si="7"/>
        <v>0</v>
      </c>
      <c r="N30" s="116">
        <f t="shared" si="8"/>
        <v>300</v>
      </c>
      <c r="O30" s="117">
        <f t="shared" si="9"/>
        <v>3.5380000000000002E-2</v>
      </c>
      <c r="P30" s="117">
        <f t="shared" si="10"/>
        <v>0</v>
      </c>
      <c r="Q30" s="117">
        <f t="shared" si="11"/>
        <v>0</v>
      </c>
      <c r="R30" s="117">
        <f t="shared" si="12"/>
        <v>2.725E-2</v>
      </c>
      <c r="S30" s="116">
        <f t="shared" si="13"/>
        <v>3.6300000000000003</v>
      </c>
      <c r="T30" s="116">
        <f t="shared" si="14"/>
        <v>3.7900000000000005</v>
      </c>
      <c r="U30" s="116">
        <f t="shared" si="15"/>
        <v>4.63</v>
      </c>
      <c r="V30" s="118">
        <f t="shared" si="16"/>
        <v>0</v>
      </c>
      <c r="W30" s="118">
        <f t="shared" si="31"/>
        <v>0</v>
      </c>
      <c r="X30" s="118">
        <f t="shared" si="32"/>
        <v>0</v>
      </c>
      <c r="Y30" s="118">
        <f t="shared" si="33"/>
        <v>0</v>
      </c>
      <c r="Z30" s="118">
        <f t="shared" si="34"/>
        <v>0</v>
      </c>
      <c r="AA30" s="119">
        <v>0</v>
      </c>
      <c r="AB30" s="120">
        <f t="shared" si="17"/>
        <v>0</v>
      </c>
      <c r="AC30" s="118">
        <f t="shared" si="18"/>
        <v>0</v>
      </c>
      <c r="AD30" s="118">
        <f t="shared" si="35"/>
        <v>0</v>
      </c>
      <c r="AE30" s="118">
        <f t="shared" si="19"/>
        <v>0</v>
      </c>
      <c r="AF30" s="121">
        <f t="shared" si="36"/>
        <v>1</v>
      </c>
      <c r="AG30" s="122">
        <f t="shared" si="20"/>
        <v>0</v>
      </c>
      <c r="AH30" s="122">
        <f t="shared" si="21"/>
        <v>0</v>
      </c>
      <c r="AI30" s="122">
        <f t="shared" si="22"/>
        <v>0</v>
      </c>
      <c r="AJ30" s="122">
        <f t="shared" si="23"/>
        <v>0</v>
      </c>
      <c r="AK30" s="122">
        <f t="shared" si="24"/>
        <v>0</v>
      </c>
      <c r="AL30" s="122">
        <f t="shared" si="25"/>
        <v>0</v>
      </c>
      <c r="AM30" s="123">
        <f t="shared" si="26"/>
        <v>0</v>
      </c>
      <c r="AN30" s="123">
        <f t="shared" si="42"/>
        <v>0</v>
      </c>
      <c r="AO30" s="124">
        <f t="shared" si="27"/>
        <v>0</v>
      </c>
      <c r="AP30" s="125">
        <f t="shared" si="38"/>
        <v>0</v>
      </c>
      <c r="AU30" s="109">
        <f>IF(BA30=1,IF(AU29=MiscData!$F$1,EOMONTH(AU29,-11),EOMONTH(AU29,1)),AU29)</f>
        <v>42400</v>
      </c>
      <c r="AV30" s="108" t="str">
        <f t="shared" si="39"/>
        <v>20140101LGINE694</v>
      </c>
      <c r="AW30" s="126" t="str">
        <f t="shared" si="40"/>
        <v>20140101ITODP</v>
      </c>
      <c r="AX30">
        <f>MiscData!$X$5</f>
        <v>20140101</v>
      </c>
      <c r="BA30" s="98">
        <f>IF(BA29+1&gt;MiscData!$Z$42,1,BA29+1)</f>
        <v>27</v>
      </c>
      <c r="BB30" s="98" t="str">
        <f>VLOOKUP(BA30,MiscData!$Z$5:$AB$46,2,FALSE)</f>
        <v>LGINE694</v>
      </c>
      <c r="BC30" s="98" t="str">
        <f>VLOOKUP(BA30,MiscData!$Z$5:$AB$46,3,FALSE)</f>
        <v>ITODP</v>
      </c>
    </row>
    <row r="31" spans="1:55">
      <c r="A31" s="108">
        <v>28</v>
      </c>
      <c r="B31" s="109" t="str">
        <f t="shared" si="28"/>
        <v>Jan 2016</v>
      </c>
      <c r="C31" s="110" t="str">
        <f t="shared" si="29"/>
        <v>LE</v>
      </c>
      <c r="D31" s="110" t="str">
        <f t="shared" si="30"/>
        <v>LGMLE570</v>
      </c>
      <c r="E31" s="111">
        <f t="shared" si="0"/>
        <v>0</v>
      </c>
      <c r="F31" s="112">
        <v>0</v>
      </c>
      <c r="G31" s="111">
        <f t="shared" si="1"/>
        <v>0</v>
      </c>
      <c r="H31" s="111">
        <f t="shared" si="2"/>
        <v>0</v>
      </c>
      <c r="I31" s="111">
        <f t="shared" si="3"/>
        <v>0</v>
      </c>
      <c r="J31" s="111">
        <f t="shared" si="4"/>
        <v>0</v>
      </c>
      <c r="K31" s="113">
        <f t="shared" si="5"/>
        <v>0</v>
      </c>
      <c r="L31" s="113">
        <f t="shared" si="6"/>
        <v>0</v>
      </c>
      <c r="M31" s="113">
        <f t="shared" si="7"/>
        <v>0</v>
      </c>
      <c r="N31" s="116">
        <f t="shared" si="8"/>
        <v>0</v>
      </c>
      <c r="O31" s="117">
        <f t="shared" si="9"/>
        <v>6.4610000000000001E-2</v>
      </c>
      <c r="P31" s="117">
        <f t="shared" si="10"/>
        <v>0</v>
      </c>
      <c r="Q31" s="117">
        <f t="shared" si="11"/>
        <v>0</v>
      </c>
      <c r="R31" s="117">
        <f t="shared" si="12"/>
        <v>2.725E-2</v>
      </c>
      <c r="S31" s="116">
        <f t="shared" si="13"/>
        <v>0</v>
      </c>
      <c r="T31" s="116">
        <f t="shared" si="14"/>
        <v>0</v>
      </c>
      <c r="U31" s="116">
        <f t="shared" si="15"/>
        <v>0</v>
      </c>
      <c r="V31" s="118">
        <f t="shared" si="16"/>
        <v>0</v>
      </c>
      <c r="W31" s="118">
        <f t="shared" si="31"/>
        <v>0</v>
      </c>
      <c r="X31" s="118">
        <f t="shared" si="32"/>
        <v>0</v>
      </c>
      <c r="Y31" s="118">
        <f t="shared" si="33"/>
        <v>0</v>
      </c>
      <c r="Z31" s="118">
        <f t="shared" si="34"/>
        <v>0</v>
      </c>
      <c r="AA31" s="119">
        <v>0</v>
      </c>
      <c r="AB31" s="120">
        <f t="shared" si="17"/>
        <v>0</v>
      </c>
      <c r="AC31" s="118">
        <f t="shared" si="18"/>
        <v>0</v>
      </c>
      <c r="AD31" s="118">
        <f t="shared" si="35"/>
        <v>0</v>
      </c>
      <c r="AE31" s="118">
        <f t="shared" si="19"/>
        <v>0</v>
      </c>
      <c r="AF31" s="121">
        <f t="shared" si="36"/>
        <v>1</v>
      </c>
      <c r="AG31" s="122">
        <f t="shared" si="20"/>
        <v>0</v>
      </c>
      <c r="AH31" s="122">
        <f t="shared" si="21"/>
        <v>0</v>
      </c>
      <c r="AI31" s="122">
        <f t="shared" si="22"/>
        <v>0</v>
      </c>
      <c r="AJ31" s="122">
        <f t="shared" si="23"/>
        <v>0</v>
      </c>
      <c r="AK31" s="122">
        <f t="shared" si="24"/>
        <v>0</v>
      </c>
      <c r="AL31" s="122">
        <f t="shared" si="25"/>
        <v>0</v>
      </c>
      <c r="AM31" s="123">
        <f t="shared" si="26"/>
        <v>0</v>
      </c>
      <c r="AN31" s="123">
        <f t="shared" si="42"/>
        <v>0</v>
      </c>
      <c r="AO31" s="124">
        <f t="shared" si="27"/>
        <v>0</v>
      </c>
      <c r="AP31" s="125">
        <f t="shared" si="38"/>
        <v>0</v>
      </c>
      <c r="AU31" s="109">
        <f>IF(BA31=1,IF(AU30=MiscData!$F$1,EOMONTH(AU30,-11),EOMONTH(AU30,1)),AU30)</f>
        <v>42400</v>
      </c>
      <c r="AV31" s="108" t="str">
        <f t="shared" si="39"/>
        <v>20140101LGMLE570</v>
      </c>
      <c r="AW31" s="126" t="str">
        <f t="shared" si="40"/>
        <v>20140101LE</v>
      </c>
      <c r="AX31">
        <f>MiscData!$X$5</f>
        <v>20140101</v>
      </c>
      <c r="BA31" s="98">
        <f>IF(BA30+1&gt;MiscData!$Z$42,1,BA30+1)</f>
        <v>28</v>
      </c>
      <c r="BB31" s="98" t="str">
        <f>VLOOKUP(BA31,MiscData!$Z$5:$AB$46,2,FALSE)</f>
        <v>LGMLE570</v>
      </c>
      <c r="BC31" s="98" t="str">
        <f>VLOOKUP(BA31,MiscData!$Z$5:$AB$46,3,FALSE)</f>
        <v>LE</v>
      </c>
    </row>
    <row r="32" spans="1:55">
      <c r="A32" s="108">
        <v>29</v>
      </c>
      <c r="B32" s="109" t="str">
        <f t="shared" si="28"/>
        <v>Jan 2016</v>
      </c>
      <c r="C32" s="110" t="str">
        <f t="shared" si="29"/>
        <v>LE</v>
      </c>
      <c r="D32" s="110" t="str">
        <f t="shared" si="30"/>
        <v>LGMLE571</v>
      </c>
      <c r="E32" s="111">
        <f t="shared" si="0"/>
        <v>156</v>
      </c>
      <c r="F32" s="112">
        <v>0</v>
      </c>
      <c r="G32" s="111">
        <f t="shared" si="1"/>
        <v>0</v>
      </c>
      <c r="H32" s="111">
        <f t="shared" si="2"/>
        <v>0</v>
      </c>
      <c r="I32" s="111">
        <f t="shared" si="3"/>
        <v>0</v>
      </c>
      <c r="J32" s="111">
        <f t="shared" si="4"/>
        <v>358279</v>
      </c>
      <c r="K32" s="113">
        <f t="shared" si="5"/>
        <v>0</v>
      </c>
      <c r="L32" s="113">
        <f t="shared" si="6"/>
        <v>0</v>
      </c>
      <c r="M32" s="113">
        <f t="shared" si="7"/>
        <v>0</v>
      </c>
      <c r="N32" s="116">
        <f t="shared" si="8"/>
        <v>0</v>
      </c>
      <c r="O32" s="117">
        <f t="shared" si="9"/>
        <v>6.4610000000000001E-2</v>
      </c>
      <c r="P32" s="117">
        <f t="shared" si="10"/>
        <v>0</v>
      </c>
      <c r="Q32" s="117">
        <f t="shared" si="11"/>
        <v>0</v>
      </c>
      <c r="R32" s="117">
        <f t="shared" si="12"/>
        <v>2.725E-2</v>
      </c>
      <c r="S32" s="116">
        <f t="shared" si="13"/>
        <v>0</v>
      </c>
      <c r="T32" s="116">
        <f t="shared" si="14"/>
        <v>0</v>
      </c>
      <c r="U32" s="116">
        <f t="shared" si="15"/>
        <v>0</v>
      </c>
      <c r="V32" s="118">
        <f t="shared" si="16"/>
        <v>0</v>
      </c>
      <c r="W32" s="118">
        <f t="shared" si="31"/>
        <v>23148.41</v>
      </c>
      <c r="X32" s="118">
        <f t="shared" si="32"/>
        <v>0</v>
      </c>
      <c r="Y32" s="118">
        <f t="shared" si="33"/>
        <v>0</v>
      </c>
      <c r="Z32" s="118">
        <f t="shared" si="34"/>
        <v>0</v>
      </c>
      <c r="AA32" s="119">
        <v>0</v>
      </c>
      <c r="AB32" s="120">
        <f t="shared" si="17"/>
        <v>0</v>
      </c>
      <c r="AC32" s="118">
        <f t="shared" si="18"/>
        <v>0</v>
      </c>
      <c r="AD32" s="118">
        <f t="shared" si="35"/>
        <v>23148.41</v>
      </c>
      <c r="AE32" s="118">
        <f t="shared" si="19"/>
        <v>0</v>
      </c>
      <c r="AF32" s="121">
        <f t="shared" si="36"/>
        <v>0</v>
      </c>
      <c r="AG32" s="122">
        <f t="shared" si="20"/>
        <v>0</v>
      </c>
      <c r="AH32" s="122">
        <f t="shared" si="21"/>
        <v>0</v>
      </c>
      <c r="AI32" s="122">
        <f t="shared" si="22"/>
        <v>0</v>
      </c>
      <c r="AJ32" s="122">
        <f t="shared" si="23"/>
        <v>0</v>
      </c>
      <c r="AK32" s="122">
        <f t="shared" si="24"/>
        <v>0</v>
      </c>
      <c r="AL32" s="122">
        <f t="shared" si="25"/>
        <v>0</v>
      </c>
      <c r="AM32" s="123">
        <f t="shared" si="26"/>
        <v>23148.41</v>
      </c>
      <c r="AN32" s="123">
        <f t="shared" si="42"/>
        <v>-23148.41</v>
      </c>
      <c r="AO32" s="124">
        <f t="shared" si="27"/>
        <v>9763.1</v>
      </c>
      <c r="AP32" s="125">
        <f t="shared" si="38"/>
        <v>13385.31</v>
      </c>
      <c r="AU32" s="109">
        <f>IF(BA32=1,IF(AU31=MiscData!$F$1,EOMONTH(AU31,-11),EOMONTH(AU31,1)),AU31)</f>
        <v>42400</v>
      </c>
      <c r="AV32" s="108" t="str">
        <f t="shared" si="39"/>
        <v>20140101LGMLE571</v>
      </c>
      <c r="AW32" s="126" t="str">
        <f t="shared" si="40"/>
        <v>20140101LE</v>
      </c>
      <c r="AX32">
        <f>MiscData!$X$5</f>
        <v>20140101</v>
      </c>
      <c r="BA32" s="98">
        <f>IF(BA31+1&gt;MiscData!$Z$42,1,BA31+1)</f>
        <v>29</v>
      </c>
      <c r="BB32" s="98" t="str">
        <f>VLOOKUP(BA32,MiscData!$Z$5:$AB$46,2,FALSE)</f>
        <v>LGMLE571</v>
      </c>
      <c r="BC32" s="98" t="str">
        <f>VLOOKUP(BA32,MiscData!$Z$5:$AB$46,3,FALSE)</f>
        <v>LE</v>
      </c>
    </row>
    <row r="33" spans="1:55">
      <c r="A33" s="108">
        <v>30</v>
      </c>
      <c r="B33" s="109" t="str">
        <f t="shared" si="28"/>
        <v>Jan 2016</v>
      </c>
      <c r="C33" s="110" t="str">
        <f t="shared" si="29"/>
        <v>LE</v>
      </c>
      <c r="D33" s="110" t="str">
        <f t="shared" si="30"/>
        <v>LGMLE572</v>
      </c>
      <c r="E33" s="111">
        <f t="shared" si="0"/>
        <v>0</v>
      </c>
      <c r="F33" s="112">
        <v>0</v>
      </c>
      <c r="G33" s="111">
        <f t="shared" si="1"/>
        <v>0</v>
      </c>
      <c r="H33" s="111">
        <f t="shared" si="2"/>
        <v>0</v>
      </c>
      <c r="I33" s="111">
        <f t="shared" si="3"/>
        <v>0</v>
      </c>
      <c r="J33" s="111">
        <f t="shared" si="4"/>
        <v>0</v>
      </c>
      <c r="K33" s="113">
        <f t="shared" si="5"/>
        <v>0</v>
      </c>
      <c r="L33" s="113">
        <f t="shared" si="6"/>
        <v>0</v>
      </c>
      <c r="M33" s="113">
        <f t="shared" si="7"/>
        <v>0</v>
      </c>
      <c r="N33" s="116">
        <f t="shared" si="8"/>
        <v>0</v>
      </c>
      <c r="O33" s="117">
        <f t="shared" si="9"/>
        <v>6.4610000000000001E-2</v>
      </c>
      <c r="P33" s="117">
        <f t="shared" si="10"/>
        <v>0</v>
      </c>
      <c r="Q33" s="117">
        <f t="shared" si="11"/>
        <v>0</v>
      </c>
      <c r="R33" s="117">
        <f t="shared" si="12"/>
        <v>2.725E-2</v>
      </c>
      <c r="S33" s="116">
        <f t="shared" si="13"/>
        <v>0</v>
      </c>
      <c r="T33" s="116">
        <f t="shared" si="14"/>
        <v>0</v>
      </c>
      <c r="U33" s="116">
        <f t="shared" si="15"/>
        <v>0</v>
      </c>
      <c r="V33" s="118">
        <f t="shared" si="16"/>
        <v>0</v>
      </c>
      <c r="W33" s="118">
        <f t="shared" si="31"/>
        <v>0</v>
      </c>
      <c r="X33" s="118">
        <f t="shared" si="32"/>
        <v>0</v>
      </c>
      <c r="Y33" s="118">
        <f t="shared" si="33"/>
        <v>0</v>
      </c>
      <c r="Z33" s="118">
        <f t="shared" si="34"/>
        <v>0</v>
      </c>
      <c r="AA33" s="119">
        <v>0</v>
      </c>
      <c r="AB33" s="120">
        <f t="shared" si="17"/>
        <v>0</v>
      </c>
      <c r="AC33" s="118">
        <f t="shared" si="18"/>
        <v>0</v>
      </c>
      <c r="AD33" s="118">
        <f t="shared" si="35"/>
        <v>0</v>
      </c>
      <c r="AE33" s="118">
        <f t="shared" si="19"/>
        <v>0</v>
      </c>
      <c r="AF33" s="121">
        <f t="shared" si="36"/>
        <v>1</v>
      </c>
      <c r="AG33" s="122">
        <f t="shared" si="20"/>
        <v>0</v>
      </c>
      <c r="AH33" s="122">
        <f t="shared" si="21"/>
        <v>0</v>
      </c>
      <c r="AI33" s="122">
        <f t="shared" si="22"/>
        <v>0</v>
      </c>
      <c r="AJ33" s="122">
        <f t="shared" si="23"/>
        <v>0</v>
      </c>
      <c r="AK33" s="122">
        <f t="shared" si="24"/>
        <v>0</v>
      </c>
      <c r="AL33" s="122">
        <f t="shared" si="25"/>
        <v>0</v>
      </c>
      <c r="AM33" s="123">
        <f t="shared" si="26"/>
        <v>0</v>
      </c>
      <c r="AN33" s="123">
        <f t="shared" si="42"/>
        <v>0</v>
      </c>
      <c r="AO33" s="124">
        <f t="shared" si="27"/>
        <v>0</v>
      </c>
      <c r="AP33" s="125">
        <f t="shared" si="38"/>
        <v>0</v>
      </c>
      <c r="AU33" s="109">
        <f>IF(BA33=1,IF(AU32=MiscData!$F$1,EOMONTH(AU32,-11),EOMONTH(AU32,1)),AU32)</f>
        <v>42400</v>
      </c>
      <c r="AV33" s="108" t="str">
        <f t="shared" si="39"/>
        <v>20140101LGMLE572</v>
      </c>
      <c r="AW33" s="126" t="str">
        <f t="shared" si="40"/>
        <v>20140101LE</v>
      </c>
      <c r="AX33">
        <f>MiscData!$X$5</f>
        <v>20140101</v>
      </c>
      <c r="BA33" s="98">
        <f>IF(BA32+1&gt;MiscData!$Z$42,1,BA32+1)</f>
        <v>30</v>
      </c>
      <c r="BB33" s="98" t="str">
        <f>VLOOKUP(BA33,MiscData!$Z$5:$AB$46,2,FALSE)</f>
        <v>LGMLE572</v>
      </c>
      <c r="BC33" s="98" t="str">
        <f>VLOOKUP(BA33,MiscData!$Z$5:$AB$46,3,FALSE)</f>
        <v>LE</v>
      </c>
    </row>
    <row r="34" spans="1:55">
      <c r="A34" s="108">
        <v>31</v>
      </c>
      <c r="B34" s="109" t="str">
        <f t="shared" si="28"/>
        <v>Jan 2016</v>
      </c>
      <c r="C34" s="110" t="str">
        <f t="shared" si="29"/>
        <v>TE</v>
      </c>
      <c r="D34" s="110" t="str">
        <f t="shared" si="30"/>
        <v>LGMLE573</v>
      </c>
      <c r="E34" s="111">
        <f t="shared" si="0"/>
        <v>905</v>
      </c>
      <c r="F34" s="112">
        <v>0</v>
      </c>
      <c r="G34" s="111">
        <f t="shared" si="1"/>
        <v>0</v>
      </c>
      <c r="H34" s="111">
        <f t="shared" si="2"/>
        <v>0</v>
      </c>
      <c r="I34" s="111">
        <f t="shared" si="3"/>
        <v>0</v>
      </c>
      <c r="J34" s="111">
        <f t="shared" si="4"/>
        <v>289226</v>
      </c>
      <c r="K34" s="113">
        <f t="shared" si="5"/>
        <v>0</v>
      </c>
      <c r="L34" s="113">
        <f t="shared" si="6"/>
        <v>0</v>
      </c>
      <c r="M34" s="113">
        <f t="shared" si="7"/>
        <v>0</v>
      </c>
      <c r="N34" s="116">
        <f t="shared" si="8"/>
        <v>3.25</v>
      </c>
      <c r="O34" s="117">
        <f t="shared" si="9"/>
        <v>7.6579999999999995E-2</v>
      </c>
      <c r="P34" s="117">
        <f t="shared" si="10"/>
        <v>0</v>
      </c>
      <c r="Q34" s="117">
        <f t="shared" si="11"/>
        <v>0</v>
      </c>
      <c r="R34" s="117">
        <f t="shared" si="12"/>
        <v>2.725E-2</v>
      </c>
      <c r="S34" s="116">
        <f t="shared" si="13"/>
        <v>0</v>
      </c>
      <c r="T34" s="116">
        <f t="shared" si="14"/>
        <v>0</v>
      </c>
      <c r="U34" s="116">
        <f t="shared" si="15"/>
        <v>0</v>
      </c>
      <c r="V34" s="118">
        <f t="shared" si="16"/>
        <v>2941.25</v>
      </c>
      <c r="W34" s="683">
        <f t="shared" si="31"/>
        <v>22148.93</v>
      </c>
      <c r="X34" s="118">
        <f t="shared" si="32"/>
        <v>0</v>
      </c>
      <c r="Y34" s="118">
        <f t="shared" si="33"/>
        <v>0</v>
      </c>
      <c r="Z34" s="118">
        <f t="shared" si="34"/>
        <v>0</v>
      </c>
      <c r="AA34" s="119">
        <v>0</v>
      </c>
      <c r="AB34" s="120">
        <f t="shared" si="17"/>
        <v>0</v>
      </c>
      <c r="AC34" s="118">
        <f t="shared" si="18"/>
        <v>0</v>
      </c>
      <c r="AD34" s="118">
        <f t="shared" si="35"/>
        <v>25090.18</v>
      </c>
      <c r="AE34" s="118">
        <f t="shared" si="19"/>
        <v>0</v>
      </c>
      <c r="AF34" s="121">
        <f t="shared" si="36"/>
        <v>0</v>
      </c>
      <c r="AG34" s="122">
        <f t="shared" si="20"/>
        <v>0</v>
      </c>
      <c r="AH34" s="122">
        <f t="shared" si="21"/>
        <v>0</v>
      </c>
      <c r="AI34" s="122">
        <f t="shared" si="22"/>
        <v>0</v>
      </c>
      <c r="AJ34" s="122">
        <f t="shared" si="23"/>
        <v>0</v>
      </c>
      <c r="AK34" s="122">
        <f t="shared" si="24"/>
        <v>0</v>
      </c>
      <c r="AL34" s="122">
        <f t="shared" si="25"/>
        <v>0</v>
      </c>
      <c r="AM34" s="123">
        <f t="shared" si="26"/>
        <v>25090.18</v>
      </c>
      <c r="AN34" s="123">
        <f t="shared" si="37"/>
        <v>-25090.18</v>
      </c>
      <c r="AO34" s="124">
        <f t="shared" si="27"/>
        <v>7881.41</v>
      </c>
      <c r="AP34" s="125">
        <f t="shared" si="38"/>
        <v>14267.52</v>
      </c>
      <c r="AU34" s="109">
        <f>IF(BA34=1,IF(AU33=MiscData!$F$1,EOMONTH(AU33,-11),EOMONTH(AU33,1)),AU33)</f>
        <v>42400</v>
      </c>
      <c r="AV34" s="108" t="str">
        <f t="shared" si="39"/>
        <v>20140101LGMLE573</v>
      </c>
      <c r="AW34" s="126" t="str">
        <f t="shared" si="40"/>
        <v>20140101TE</v>
      </c>
      <c r="AX34">
        <f>MiscData!$X$5</f>
        <v>20140101</v>
      </c>
      <c r="BA34" s="98">
        <f>IF(BA33+1&gt;MiscData!$Z$42,1,BA33+1)</f>
        <v>31</v>
      </c>
      <c r="BB34" s="98" t="str">
        <f>VLOOKUP(BA34,MiscData!$Z$5:$AB$46,2,FALSE)</f>
        <v>LGMLE573</v>
      </c>
      <c r="BC34" s="98" t="str">
        <f>VLOOKUP(BA34,MiscData!$Z$5:$AB$46,3,FALSE)</f>
        <v>TE</v>
      </c>
    </row>
    <row r="35" spans="1:55">
      <c r="A35" s="108">
        <v>32</v>
      </c>
      <c r="B35" s="109" t="str">
        <f t="shared" si="28"/>
        <v>Jan 2016</v>
      </c>
      <c r="C35" s="110" t="str">
        <f t="shared" si="29"/>
        <v>TE</v>
      </c>
      <c r="D35" s="110" t="str">
        <f t="shared" si="30"/>
        <v>LGMLE574</v>
      </c>
      <c r="E35" s="111">
        <f t="shared" si="0"/>
        <v>0</v>
      </c>
      <c r="F35" s="112">
        <v>0</v>
      </c>
      <c r="G35" s="111">
        <f t="shared" si="1"/>
        <v>0</v>
      </c>
      <c r="H35" s="111">
        <f t="shared" si="2"/>
        <v>0</v>
      </c>
      <c r="I35" s="111">
        <f t="shared" si="3"/>
        <v>0</v>
      </c>
      <c r="J35" s="111">
        <f t="shared" si="4"/>
        <v>0</v>
      </c>
      <c r="K35" s="113">
        <f t="shared" si="5"/>
        <v>0</v>
      </c>
      <c r="L35" s="113">
        <f t="shared" si="6"/>
        <v>0</v>
      </c>
      <c r="M35" s="113">
        <f t="shared" si="7"/>
        <v>0</v>
      </c>
      <c r="N35" s="116">
        <f t="shared" si="8"/>
        <v>3.25</v>
      </c>
      <c r="O35" s="117">
        <f t="shared" si="9"/>
        <v>7.6579999999999995E-2</v>
      </c>
      <c r="P35" s="117">
        <f t="shared" si="10"/>
        <v>0</v>
      </c>
      <c r="Q35" s="117">
        <f t="shared" si="11"/>
        <v>0</v>
      </c>
      <c r="R35" s="117">
        <f t="shared" si="12"/>
        <v>2.725E-2</v>
      </c>
      <c r="S35" s="116">
        <f t="shared" si="13"/>
        <v>0</v>
      </c>
      <c r="T35" s="116">
        <f t="shared" si="14"/>
        <v>0</v>
      </c>
      <c r="U35" s="116">
        <f t="shared" si="15"/>
        <v>0</v>
      </c>
      <c r="V35" s="118">
        <f t="shared" si="16"/>
        <v>0</v>
      </c>
      <c r="W35" s="683">
        <f t="shared" si="31"/>
        <v>0</v>
      </c>
      <c r="X35" s="118">
        <f t="shared" si="32"/>
        <v>0</v>
      </c>
      <c r="Y35" s="118">
        <f t="shared" si="33"/>
        <v>0</v>
      </c>
      <c r="Z35" s="118">
        <f t="shared" si="34"/>
        <v>0</v>
      </c>
      <c r="AA35" s="119">
        <v>0</v>
      </c>
      <c r="AB35" s="120">
        <f t="shared" si="17"/>
        <v>0</v>
      </c>
      <c r="AC35" s="118">
        <f t="shared" si="18"/>
        <v>0</v>
      </c>
      <c r="AD35" s="118">
        <f t="shared" si="35"/>
        <v>0</v>
      </c>
      <c r="AE35" s="118">
        <f t="shared" si="19"/>
        <v>0</v>
      </c>
      <c r="AF35" s="121">
        <f t="shared" si="36"/>
        <v>1</v>
      </c>
      <c r="AG35" s="122">
        <f t="shared" si="20"/>
        <v>0</v>
      </c>
      <c r="AH35" s="122">
        <f t="shared" si="21"/>
        <v>0</v>
      </c>
      <c r="AI35" s="122">
        <f t="shared" si="22"/>
        <v>0</v>
      </c>
      <c r="AJ35" s="122">
        <f t="shared" si="23"/>
        <v>0</v>
      </c>
      <c r="AK35" s="122">
        <f t="shared" si="24"/>
        <v>0</v>
      </c>
      <c r="AL35" s="122">
        <f t="shared" si="25"/>
        <v>0</v>
      </c>
      <c r="AM35" s="123">
        <f t="shared" si="26"/>
        <v>0</v>
      </c>
      <c r="AN35" s="123">
        <f t="shared" si="37"/>
        <v>0</v>
      </c>
      <c r="AO35" s="124">
        <f t="shared" si="27"/>
        <v>0</v>
      </c>
      <c r="AP35" s="125">
        <f t="shared" si="38"/>
        <v>0</v>
      </c>
      <c r="AU35" s="109">
        <f>IF(BA35=1,IF(AU34=MiscData!$F$1,EOMONTH(AU34,-11),EOMONTH(AU34,1)),AU34)</f>
        <v>42400</v>
      </c>
      <c r="AV35" s="108" t="str">
        <f t="shared" si="39"/>
        <v>20140101LGMLE574</v>
      </c>
      <c r="AW35" s="126" t="str">
        <f t="shared" si="40"/>
        <v>20140101TE</v>
      </c>
      <c r="AX35">
        <f>MiscData!$X$5</f>
        <v>20140101</v>
      </c>
      <c r="BA35" s="98">
        <f>IF(BA34+1&gt;MiscData!$Z$42,1,BA34+1)</f>
        <v>32</v>
      </c>
      <c r="BB35" s="98" t="str">
        <f>VLOOKUP(BA35,MiscData!$Z$5:$AB$46,2,FALSE)</f>
        <v>LGMLE574</v>
      </c>
      <c r="BC35" s="98" t="str">
        <f>VLOOKUP(BA35,MiscData!$Z$5:$AB$46,3,FALSE)</f>
        <v>TE</v>
      </c>
    </row>
    <row r="36" spans="1:55">
      <c r="A36" s="108">
        <v>33</v>
      </c>
      <c r="B36" s="109" t="str">
        <f t="shared" si="28"/>
        <v>Jan 2016</v>
      </c>
      <c r="C36" s="110" t="str">
        <f t="shared" si="29"/>
        <v>RS</v>
      </c>
      <c r="D36" s="110" t="str">
        <f t="shared" si="30"/>
        <v>LGRSE411</v>
      </c>
      <c r="E36" s="111">
        <f t="shared" si="0"/>
        <v>0</v>
      </c>
      <c r="F36" s="112">
        <v>0</v>
      </c>
      <c r="G36" s="111">
        <f t="shared" si="1"/>
        <v>0</v>
      </c>
      <c r="H36" s="111">
        <f t="shared" si="2"/>
        <v>0</v>
      </c>
      <c r="I36" s="111">
        <f t="shared" si="3"/>
        <v>0</v>
      </c>
      <c r="J36" s="111">
        <f t="shared" si="4"/>
        <v>0</v>
      </c>
      <c r="K36" s="113">
        <f t="shared" si="5"/>
        <v>0</v>
      </c>
      <c r="L36" s="113">
        <f t="shared" si="6"/>
        <v>0</v>
      </c>
      <c r="M36" s="113">
        <f t="shared" si="7"/>
        <v>0</v>
      </c>
      <c r="N36" s="116">
        <f t="shared" si="8"/>
        <v>0</v>
      </c>
      <c r="O36" s="117">
        <f t="shared" si="9"/>
        <v>8.0760000000000012E-2</v>
      </c>
      <c r="P36" s="117">
        <f t="shared" si="10"/>
        <v>0</v>
      </c>
      <c r="Q36" s="117">
        <f t="shared" si="11"/>
        <v>0</v>
      </c>
      <c r="R36" s="117">
        <f t="shared" si="12"/>
        <v>2.725E-2</v>
      </c>
      <c r="S36" s="116">
        <f t="shared" si="13"/>
        <v>0</v>
      </c>
      <c r="T36" s="116">
        <f t="shared" si="14"/>
        <v>0</v>
      </c>
      <c r="U36" s="116">
        <f t="shared" si="15"/>
        <v>0</v>
      </c>
      <c r="V36" s="118">
        <f t="shared" si="16"/>
        <v>0</v>
      </c>
      <c r="W36" s="118">
        <f t="shared" si="31"/>
        <v>0</v>
      </c>
      <c r="X36" s="118">
        <f t="shared" si="32"/>
        <v>0</v>
      </c>
      <c r="Y36" s="118">
        <f t="shared" si="33"/>
        <v>0</v>
      </c>
      <c r="Z36" s="118">
        <f t="shared" si="34"/>
        <v>0</v>
      </c>
      <c r="AA36" s="119">
        <v>0</v>
      </c>
      <c r="AB36" s="120">
        <f t="shared" si="17"/>
        <v>0</v>
      </c>
      <c r="AC36" s="118">
        <f t="shared" si="18"/>
        <v>0</v>
      </c>
      <c r="AD36" s="118">
        <f t="shared" si="35"/>
        <v>0</v>
      </c>
      <c r="AE36" s="118">
        <f t="shared" si="19"/>
        <v>0</v>
      </c>
      <c r="AF36" s="121">
        <f t="shared" si="36"/>
        <v>1</v>
      </c>
      <c r="AG36" s="122">
        <f t="shared" si="20"/>
        <v>0</v>
      </c>
      <c r="AH36" s="122">
        <f t="shared" si="21"/>
        <v>0</v>
      </c>
      <c r="AI36" s="122">
        <f t="shared" si="22"/>
        <v>0</v>
      </c>
      <c r="AJ36" s="122">
        <f t="shared" si="23"/>
        <v>0</v>
      </c>
      <c r="AK36" s="122">
        <f t="shared" si="24"/>
        <v>0</v>
      </c>
      <c r="AL36" s="122">
        <f t="shared" si="25"/>
        <v>0</v>
      </c>
      <c r="AM36" s="123">
        <f t="shared" si="26"/>
        <v>0</v>
      </c>
      <c r="AN36" s="123">
        <f t="shared" si="37"/>
        <v>0</v>
      </c>
      <c r="AO36" s="124">
        <f t="shared" si="27"/>
        <v>0</v>
      </c>
      <c r="AP36" s="125">
        <f t="shared" si="38"/>
        <v>0</v>
      </c>
      <c r="AU36" s="109">
        <f>IF(BA36=1,IF(AU35=MiscData!$F$1,EOMONTH(AU35,-11),EOMONTH(AU35,1)),AU35)</f>
        <v>42400</v>
      </c>
      <c r="AV36" s="108" t="str">
        <f t="shared" si="39"/>
        <v>20140101LGRSE411</v>
      </c>
      <c r="AW36" s="126" t="str">
        <f t="shared" si="40"/>
        <v>20140101RS</v>
      </c>
      <c r="AX36">
        <f>MiscData!$X$5</f>
        <v>20140101</v>
      </c>
      <c r="BA36" s="98">
        <f>IF(BA35+1&gt;MiscData!$Z$42,1,BA35+1)</f>
        <v>33</v>
      </c>
      <c r="BB36" s="98" t="str">
        <f>VLOOKUP(BA36,MiscData!$Z$5:$AB$46,2,FALSE)</f>
        <v>LGRSE411</v>
      </c>
      <c r="BC36" s="98" t="str">
        <f>VLOOKUP(BA36,MiscData!$Z$5:$AB$46,3,FALSE)</f>
        <v>RS</v>
      </c>
    </row>
    <row r="37" spans="1:55">
      <c r="A37" s="108">
        <v>34</v>
      </c>
      <c r="B37" s="109" t="str">
        <f t="shared" si="28"/>
        <v>Jan 2016</v>
      </c>
      <c r="C37" s="110" t="str">
        <f t="shared" si="29"/>
        <v>RS</v>
      </c>
      <c r="D37" s="110" t="str">
        <f t="shared" si="30"/>
        <v>LGRSE511</v>
      </c>
      <c r="E37" s="111">
        <f t="shared" si="0"/>
        <v>361605</v>
      </c>
      <c r="F37" s="112">
        <v>0</v>
      </c>
      <c r="G37" s="111">
        <f t="shared" si="1"/>
        <v>0</v>
      </c>
      <c r="H37" s="111">
        <f t="shared" si="2"/>
        <v>0</v>
      </c>
      <c r="I37" s="111">
        <f t="shared" si="3"/>
        <v>0</v>
      </c>
      <c r="J37" s="111">
        <f t="shared" si="4"/>
        <v>375125149</v>
      </c>
      <c r="K37" s="113">
        <f t="shared" si="5"/>
        <v>0</v>
      </c>
      <c r="L37" s="113">
        <f t="shared" si="6"/>
        <v>0</v>
      </c>
      <c r="M37" s="113">
        <f t="shared" si="7"/>
        <v>0</v>
      </c>
      <c r="N37" s="116">
        <f t="shared" si="8"/>
        <v>10.75</v>
      </c>
      <c r="O37" s="117">
        <f t="shared" si="9"/>
        <v>8.0760000000000012E-2</v>
      </c>
      <c r="P37" s="117">
        <f t="shared" si="10"/>
        <v>0</v>
      </c>
      <c r="Q37" s="117">
        <f t="shared" si="11"/>
        <v>0</v>
      </c>
      <c r="R37" s="117">
        <f t="shared" si="12"/>
        <v>2.725E-2</v>
      </c>
      <c r="S37" s="116">
        <f t="shared" si="13"/>
        <v>0</v>
      </c>
      <c r="T37" s="116">
        <f t="shared" si="14"/>
        <v>0</v>
      </c>
      <c r="U37" s="116">
        <f t="shared" si="15"/>
        <v>0</v>
      </c>
      <c r="V37" s="118">
        <f t="shared" si="16"/>
        <v>3887253.75</v>
      </c>
      <c r="W37" s="118">
        <f t="shared" si="31"/>
        <v>30295107.030000001</v>
      </c>
      <c r="X37" s="118">
        <f t="shared" si="32"/>
        <v>0</v>
      </c>
      <c r="Y37" s="118">
        <f t="shared" si="33"/>
        <v>0</v>
      </c>
      <c r="Z37" s="118">
        <f t="shared" si="34"/>
        <v>0</v>
      </c>
      <c r="AA37" s="119">
        <v>0</v>
      </c>
      <c r="AB37" s="120">
        <f t="shared" si="17"/>
        <v>0</v>
      </c>
      <c r="AC37" s="118">
        <f t="shared" si="18"/>
        <v>0</v>
      </c>
      <c r="AD37" s="118">
        <f t="shared" si="35"/>
        <v>34182360.780000001</v>
      </c>
      <c r="AE37" s="118">
        <f t="shared" si="19"/>
        <v>34184514</v>
      </c>
      <c r="AF37" s="121">
        <f t="shared" si="36"/>
        <v>1.0000629999999999</v>
      </c>
      <c r="AG37" s="122">
        <f t="shared" si="20"/>
        <v>-955574</v>
      </c>
      <c r="AH37" s="122">
        <f t="shared" si="21"/>
        <v>489610</v>
      </c>
      <c r="AI37" s="122">
        <f t="shared" si="22"/>
        <v>3367263</v>
      </c>
      <c r="AJ37" s="122">
        <f t="shared" si="23"/>
        <v>0</v>
      </c>
      <c r="AK37" s="122">
        <f t="shared" si="24"/>
        <v>0</v>
      </c>
      <c r="AL37" s="122">
        <f t="shared" si="25"/>
        <v>37085813</v>
      </c>
      <c r="AM37" s="123">
        <f t="shared" si="26"/>
        <v>37083659.780000001</v>
      </c>
      <c r="AN37" s="123">
        <f t="shared" si="37"/>
        <v>2153.2199999988079</v>
      </c>
      <c r="AO37" s="124">
        <f t="shared" si="27"/>
        <v>10222160.310000001</v>
      </c>
      <c r="AP37" s="125">
        <f t="shared" si="38"/>
        <v>20072946.719999999</v>
      </c>
      <c r="AU37" s="109">
        <f>IF(BA37=1,IF(AU36=MiscData!$F$1,EOMONTH(AU36,-11),EOMONTH(AU36,1)),AU36)</f>
        <v>42400</v>
      </c>
      <c r="AV37" s="108" t="str">
        <f t="shared" si="39"/>
        <v>20140101LGRSE511</v>
      </c>
      <c r="AW37" s="126" t="str">
        <f t="shared" si="40"/>
        <v>20140101RS</v>
      </c>
      <c r="AX37">
        <f>MiscData!$X$5</f>
        <v>20140101</v>
      </c>
      <c r="BA37" s="98">
        <f>IF(BA36+1&gt;MiscData!$Z$42,1,BA36+1)</f>
        <v>34</v>
      </c>
      <c r="BB37" s="98" t="str">
        <f>VLOOKUP(BA37,MiscData!$Z$5:$AB$46,2,FALSE)</f>
        <v>LGRSE511</v>
      </c>
      <c r="BC37" s="98" t="str">
        <f>VLOOKUP(BA37,MiscData!$Z$5:$AB$46,3,FALSE)</f>
        <v>RS</v>
      </c>
    </row>
    <row r="38" spans="1:55">
      <c r="A38" s="108">
        <v>35</v>
      </c>
      <c r="B38" s="109" t="str">
        <f t="shared" si="28"/>
        <v>Jan 2016</v>
      </c>
      <c r="C38" s="110" t="str">
        <f t="shared" si="29"/>
        <v>RS</v>
      </c>
      <c r="D38" s="110" t="str">
        <f t="shared" si="30"/>
        <v>LGRSE519</v>
      </c>
      <c r="E38" s="111">
        <f t="shared" si="0"/>
        <v>0</v>
      </c>
      <c r="F38" s="112">
        <v>0</v>
      </c>
      <c r="G38" s="111">
        <f t="shared" si="1"/>
        <v>0</v>
      </c>
      <c r="H38" s="111">
        <f t="shared" si="2"/>
        <v>0</v>
      </c>
      <c r="I38" s="111">
        <f t="shared" si="3"/>
        <v>0</v>
      </c>
      <c r="J38" s="111">
        <f t="shared" si="4"/>
        <v>0</v>
      </c>
      <c r="K38" s="113">
        <f t="shared" si="5"/>
        <v>0</v>
      </c>
      <c r="L38" s="113">
        <f t="shared" si="6"/>
        <v>0</v>
      </c>
      <c r="M38" s="113">
        <f t="shared" si="7"/>
        <v>0</v>
      </c>
      <c r="N38" s="116">
        <f t="shared" si="8"/>
        <v>10.75</v>
      </c>
      <c r="O38" s="117">
        <f t="shared" si="9"/>
        <v>8.0760000000000012E-2</v>
      </c>
      <c r="P38" s="117">
        <f t="shared" si="10"/>
        <v>0</v>
      </c>
      <c r="Q38" s="117">
        <f t="shared" si="11"/>
        <v>0</v>
      </c>
      <c r="R38" s="117">
        <f t="shared" si="12"/>
        <v>2.725E-2</v>
      </c>
      <c r="S38" s="116">
        <f t="shared" si="13"/>
        <v>0</v>
      </c>
      <c r="T38" s="116">
        <f t="shared" si="14"/>
        <v>0</v>
      </c>
      <c r="U38" s="116">
        <f t="shared" si="15"/>
        <v>0</v>
      </c>
      <c r="V38" s="118">
        <f t="shared" si="16"/>
        <v>0</v>
      </c>
      <c r="W38" s="118">
        <f t="shared" si="31"/>
        <v>0</v>
      </c>
      <c r="X38" s="118">
        <f t="shared" si="32"/>
        <v>0</v>
      </c>
      <c r="Y38" s="118">
        <f t="shared" si="33"/>
        <v>0</v>
      </c>
      <c r="Z38" s="118">
        <f t="shared" si="34"/>
        <v>0</v>
      </c>
      <c r="AA38" s="119">
        <v>0</v>
      </c>
      <c r="AB38" s="120">
        <f t="shared" si="17"/>
        <v>0</v>
      </c>
      <c r="AC38" s="118">
        <f t="shared" si="18"/>
        <v>0</v>
      </c>
      <c r="AD38" s="118">
        <f t="shared" si="35"/>
        <v>0</v>
      </c>
      <c r="AE38" s="118">
        <f t="shared" si="19"/>
        <v>0</v>
      </c>
      <c r="AF38" s="121">
        <f t="shared" si="36"/>
        <v>1</v>
      </c>
      <c r="AG38" s="122">
        <f t="shared" si="20"/>
        <v>0</v>
      </c>
      <c r="AH38" s="122">
        <f t="shared" si="21"/>
        <v>0</v>
      </c>
      <c r="AI38" s="122">
        <f t="shared" si="22"/>
        <v>0</v>
      </c>
      <c r="AJ38" s="122">
        <f t="shared" si="23"/>
        <v>0</v>
      </c>
      <c r="AK38" s="122">
        <f t="shared" si="24"/>
        <v>0</v>
      </c>
      <c r="AL38" s="122">
        <f t="shared" si="25"/>
        <v>0</v>
      </c>
      <c r="AM38" s="123">
        <f t="shared" si="26"/>
        <v>0</v>
      </c>
      <c r="AN38" s="123">
        <f t="shared" si="37"/>
        <v>0</v>
      </c>
      <c r="AO38" s="124">
        <f t="shared" si="27"/>
        <v>0</v>
      </c>
      <c r="AP38" s="125">
        <f t="shared" si="38"/>
        <v>0</v>
      </c>
      <c r="AU38" s="109">
        <f>IF(BA38=1,IF(AU37=MiscData!$F$1,EOMONTH(AU37,-11),EOMONTH(AU37,1)),AU37)</f>
        <v>42400</v>
      </c>
      <c r="AV38" s="108" t="str">
        <f t="shared" si="39"/>
        <v>20140101LGRSE519</v>
      </c>
      <c r="AW38" s="126" t="str">
        <f t="shared" si="40"/>
        <v>20140101RS</v>
      </c>
      <c r="AX38">
        <f>MiscData!$X$5</f>
        <v>20140101</v>
      </c>
      <c r="BA38" s="98">
        <f>IF(BA37+1&gt;MiscData!$Z$42,1,BA37+1)</f>
        <v>35</v>
      </c>
      <c r="BB38" s="98" t="str">
        <f>VLOOKUP(BA38,MiscData!$Z$5:$AB$46,2,FALSE)</f>
        <v>LGRSE519</v>
      </c>
      <c r="BC38" s="98" t="str">
        <f>VLOOKUP(BA38,MiscData!$Z$5:$AB$46,3,FALSE)</f>
        <v>RS</v>
      </c>
    </row>
    <row r="39" spans="1:55">
      <c r="A39" s="108">
        <v>36</v>
      </c>
      <c r="B39" s="109" t="str">
        <f t="shared" si="28"/>
        <v>Jan 2016</v>
      </c>
      <c r="C39" s="110" t="s">
        <v>13</v>
      </c>
      <c r="D39" s="110" t="str">
        <f t="shared" si="30"/>
        <v>LGRSE540</v>
      </c>
      <c r="E39" s="111">
        <f t="shared" si="0"/>
        <v>0</v>
      </c>
      <c r="F39" s="112">
        <v>0</v>
      </c>
      <c r="G39" s="111">
        <f t="shared" si="1"/>
        <v>0</v>
      </c>
      <c r="H39" s="111">
        <f t="shared" si="2"/>
        <v>0</v>
      </c>
      <c r="I39" s="111">
        <f t="shared" si="3"/>
        <v>0</v>
      </c>
      <c r="J39" s="111">
        <f t="shared" si="4"/>
        <v>0</v>
      </c>
      <c r="K39" s="113">
        <f t="shared" si="5"/>
        <v>0</v>
      </c>
      <c r="L39" s="113">
        <f t="shared" si="6"/>
        <v>0</v>
      </c>
      <c r="M39" s="113">
        <f t="shared" si="7"/>
        <v>0</v>
      </c>
      <c r="N39" s="116">
        <f t="shared" si="8"/>
        <v>10.75</v>
      </c>
      <c r="O39" s="117">
        <f t="shared" si="9"/>
        <v>8.0760000000000012E-2</v>
      </c>
      <c r="P39" s="117">
        <f t="shared" si="10"/>
        <v>0</v>
      </c>
      <c r="Q39" s="117">
        <f t="shared" si="11"/>
        <v>0</v>
      </c>
      <c r="R39" s="117">
        <f t="shared" si="12"/>
        <v>2.725E-2</v>
      </c>
      <c r="S39" s="116">
        <f t="shared" si="13"/>
        <v>0</v>
      </c>
      <c r="T39" s="116">
        <f t="shared" si="14"/>
        <v>0</v>
      </c>
      <c r="U39" s="116">
        <f t="shared" si="15"/>
        <v>0</v>
      </c>
      <c r="V39" s="118">
        <f t="shared" si="16"/>
        <v>0</v>
      </c>
      <c r="W39" s="118">
        <f t="shared" si="31"/>
        <v>0</v>
      </c>
      <c r="X39" s="118">
        <f t="shared" si="32"/>
        <v>0</v>
      </c>
      <c r="Y39" s="118">
        <f t="shared" si="33"/>
        <v>0</v>
      </c>
      <c r="Z39" s="118">
        <f t="shared" si="34"/>
        <v>0</v>
      </c>
      <c r="AA39" s="119">
        <v>0</v>
      </c>
      <c r="AB39" s="120">
        <f t="shared" si="17"/>
        <v>0</v>
      </c>
      <c r="AC39" s="118">
        <f t="shared" si="18"/>
        <v>0</v>
      </c>
      <c r="AD39" s="118">
        <f t="shared" si="35"/>
        <v>0</v>
      </c>
      <c r="AE39" s="118">
        <f t="shared" si="19"/>
        <v>0</v>
      </c>
      <c r="AF39" s="121">
        <f t="shared" si="36"/>
        <v>1</v>
      </c>
      <c r="AG39" s="122">
        <f t="shared" si="20"/>
        <v>0</v>
      </c>
      <c r="AH39" s="122">
        <f t="shared" si="21"/>
        <v>0</v>
      </c>
      <c r="AI39" s="122">
        <f t="shared" si="22"/>
        <v>0</v>
      </c>
      <c r="AJ39" s="122">
        <f t="shared" si="23"/>
        <v>0</v>
      </c>
      <c r="AK39" s="122">
        <f t="shared" si="24"/>
        <v>0</v>
      </c>
      <c r="AL39" s="122">
        <f t="shared" si="25"/>
        <v>0</v>
      </c>
      <c r="AM39" s="123">
        <f t="shared" si="26"/>
        <v>0</v>
      </c>
      <c r="AN39" s="123">
        <f t="shared" si="37"/>
        <v>0</v>
      </c>
      <c r="AO39" s="124">
        <f t="shared" si="27"/>
        <v>0</v>
      </c>
      <c r="AP39" s="125">
        <f t="shared" si="38"/>
        <v>0</v>
      </c>
      <c r="AU39" s="109">
        <f>IF(BA39=1,IF(AU38=MiscData!$F$1,EOMONTH(AU38,-11),EOMONTH(AU38,1)),AU38)</f>
        <v>42400</v>
      </c>
      <c r="AV39" s="108" t="str">
        <f t="shared" si="39"/>
        <v>20140101LGRSE540</v>
      </c>
      <c r="AW39" s="126" t="str">
        <f t="shared" si="40"/>
        <v>20140101VFD</v>
      </c>
      <c r="AX39">
        <f>MiscData!$X$5</f>
        <v>20140101</v>
      </c>
      <c r="BA39" s="98">
        <f>IF(BA38+1&gt;MiscData!$Z$42,1,BA38+1)</f>
        <v>36</v>
      </c>
      <c r="BB39" s="98" t="str">
        <f>VLOOKUP(BA39,MiscData!$Z$5:$AB$46,2,FALSE)</f>
        <v>LGRSE540</v>
      </c>
      <c r="BC39" s="98" t="str">
        <f>VLOOKUP(BA39,MiscData!$Z$5:$AB$46,3,FALSE)</f>
        <v>VFD</v>
      </c>
    </row>
    <row r="40" spans="1:55">
      <c r="A40" s="108">
        <v>37</v>
      </c>
      <c r="B40" s="109" t="str">
        <f t="shared" si="28"/>
        <v>Jan 2016</v>
      </c>
      <c r="C40" s="110" t="str">
        <f t="shared" si="29"/>
        <v>LEV</v>
      </c>
      <c r="D40" s="110" t="str">
        <f t="shared" si="30"/>
        <v>LGRSE543</v>
      </c>
      <c r="E40" s="111">
        <f t="shared" si="0"/>
        <v>20</v>
      </c>
      <c r="F40" s="112">
        <v>0</v>
      </c>
      <c r="G40" s="111">
        <f t="shared" si="1"/>
        <v>13171</v>
      </c>
      <c r="H40" s="111">
        <f t="shared" si="2"/>
        <v>6352</v>
      </c>
      <c r="I40" s="111">
        <f t="shared" si="3"/>
        <v>4480</v>
      </c>
      <c r="J40" s="111">
        <f t="shared" si="4"/>
        <v>24003</v>
      </c>
      <c r="K40" s="113">
        <f t="shared" si="5"/>
        <v>0</v>
      </c>
      <c r="L40" s="113">
        <f t="shared" si="6"/>
        <v>0</v>
      </c>
      <c r="M40" s="113">
        <f t="shared" si="7"/>
        <v>0</v>
      </c>
      <c r="N40" s="116">
        <f t="shared" si="8"/>
        <v>10.75</v>
      </c>
      <c r="O40" s="117">
        <f t="shared" ref="O40" si="43">SUMIF(L_Rates_Tariff_Rate_Category,$AV40,L_Rates_Energy)</f>
        <v>5.8200000000000002E-2</v>
      </c>
      <c r="P40" s="117">
        <f t="shared" si="10"/>
        <v>7.8990000000000005E-2</v>
      </c>
      <c r="Q40" s="117">
        <f t="shared" si="11"/>
        <v>0.14451000000000003</v>
      </c>
      <c r="R40" s="117">
        <f t="shared" si="12"/>
        <v>2.725E-2</v>
      </c>
      <c r="S40" s="116">
        <f t="shared" si="13"/>
        <v>0</v>
      </c>
      <c r="T40" s="116">
        <f t="shared" si="14"/>
        <v>0</v>
      </c>
      <c r="U40" s="116">
        <f t="shared" si="15"/>
        <v>0</v>
      </c>
      <c r="V40" s="118">
        <f t="shared" si="16"/>
        <v>215</v>
      </c>
      <c r="W40" s="118">
        <f t="shared" si="31"/>
        <v>1915.7</v>
      </c>
      <c r="X40" s="118">
        <f t="shared" si="32"/>
        <v>0</v>
      </c>
      <c r="Y40" s="118">
        <f t="shared" si="33"/>
        <v>0</v>
      </c>
      <c r="Z40" s="118">
        <f t="shared" si="34"/>
        <v>0</v>
      </c>
      <c r="AA40" s="119">
        <v>0</v>
      </c>
      <c r="AB40" s="120">
        <f t="shared" si="17"/>
        <v>0</v>
      </c>
      <c r="AC40" s="118">
        <f t="shared" si="18"/>
        <v>0</v>
      </c>
      <c r="AD40" s="118">
        <f t="shared" si="35"/>
        <v>2130.6999999999998</v>
      </c>
      <c r="AE40" s="118">
        <f t="shared" si="19"/>
        <v>0</v>
      </c>
      <c r="AF40" s="121">
        <f t="shared" si="36"/>
        <v>0</v>
      </c>
      <c r="AG40" s="122">
        <f t="shared" si="20"/>
        <v>0</v>
      </c>
      <c r="AH40" s="122">
        <f t="shared" si="21"/>
        <v>0</v>
      </c>
      <c r="AI40" s="122">
        <f t="shared" si="22"/>
        <v>0</v>
      </c>
      <c r="AJ40" s="122">
        <f t="shared" si="23"/>
        <v>0</v>
      </c>
      <c r="AK40" s="122">
        <f t="shared" si="24"/>
        <v>0</v>
      </c>
      <c r="AL40" s="122">
        <f t="shared" si="25"/>
        <v>0</v>
      </c>
      <c r="AM40" s="123">
        <f t="shared" si="26"/>
        <v>2130.6999999999998</v>
      </c>
      <c r="AN40" s="123">
        <f t="shared" si="37"/>
        <v>-2130.6999999999998</v>
      </c>
      <c r="AO40" s="124">
        <f t="shared" si="27"/>
        <v>654.08000000000004</v>
      </c>
      <c r="AP40" s="125">
        <f t="shared" si="38"/>
        <v>1261.6199999999999</v>
      </c>
      <c r="AU40" s="109">
        <f>IF(BA40=1,IF(AU39=MiscData!$F$1,EOMONTH(AU39,-11),EOMONTH(AU39,1)),AU39)</f>
        <v>42400</v>
      </c>
      <c r="AV40" s="108" t="str">
        <f t="shared" si="39"/>
        <v>20140101LGRSE543</v>
      </c>
      <c r="AW40" s="126" t="str">
        <f t="shared" si="40"/>
        <v>20140101LEV</v>
      </c>
      <c r="AX40">
        <f>MiscData!$X$5</f>
        <v>20140101</v>
      </c>
      <c r="BA40" s="98">
        <f>IF(BA39+1&gt;MiscData!$Z$42,1,BA39+1)</f>
        <v>37</v>
      </c>
      <c r="BB40" s="98" t="str">
        <f>VLOOKUP(BA40,MiscData!$Z$5:$AB$46,2,FALSE)</f>
        <v>LGRSE543</v>
      </c>
      <c r="BC40" s="98" t="str">
        <f>VLOOKUP(BA40,MiscData!$Z$5:$AB$46,3,FALSE)</f>
        <v>LEV</v>
      </c>
    </row>
    <row r="41" spans="1:55">
      <c r="A41" s="108">
        <v>36</v>
      </c>
      <c r="B41" s="109" t="str">
        <f t="shared" si="28"/>
        <v>Jan 2016</v>
      </c>
      <c r="C41" s="110" t="str">
        <f t="shared" si="29"/>
        <v>LEV</v>
      </c>
      <c r="D41" s="110" t="str">
        <f t="shared" si="30"/>
        <v>LGRSE547</v>
      </c>
      <c r="E41" s="111">
        <f t="shared" si="0"/>
        <v>0</v>
      </c>
      <c r="F41" s="112">
        <v>0</v>
      </c>
      <c r="G41" s="111">
        <f t="shared" si="1"/>
        <v>0</v>
      </c>
      <c r="H41" s="111">
        <f t="shared" si="2"/>
        <v>0</v>
      </c>
      <c r="I41" s="111">
        <f t="shared" si="3"/>
        <v>0</v>
      </c>
      <c r="J41" s="111">
        <f t="shared" si="4"/>
        <v>0</v>
      </c>
      <c r="K41" s="113">
        <f t="shared" si="5"/>
        <v>0</v>
      </c>
      <c r="L41" s="113">
        <f t="shared" si="6"/>
        <v>0</v>
      </c>
      <c r="M41" s="113">
        <f t="shared" si="7"/>
        <v>0</v>
      </c>
      <c r="N41" s="116">
        <f t="shared" si="8"/>
        <v>10.75</v>
      </c>
      <c r="O41" s="117">
        <f t="shared" ref="O41:O104" si="44">SUMIF(L_Rates_Tariff_Rate_Category,$AV41,L_Rates_Energy)</f>
        <v>5.8200000000000002E-2</v>
      </c>
      <c r="P41" s="117">
        <f t="shared" si="10"/>
        <v>7.8990000000000005E-2</v>
      </c>
      <c r="Q41" s="117">
        <f t="shared" si="11"/>
        <v>0.14451000000000003</v>
      </c>
      <c r="R41" s="117">
        <f t="shared" si="12"/>
        <v>2.725E-2</v>
      </c>
      <c r="S41" s="116">
        <f t="shared" si="13"/>
        <v>0</v>
      </c>
      <c r="T41" s="116">
        <f t="shared" si="14"/>
        <v>0</v>
      </c>
      <c r="U41" s="116">
        <f t="shared" si="15"/>
        <v>0</v>
      </c>
      <c r="V41" s="118">
        <f t="shared" si="16"/>
        <v>0</v>
      </c>
      <c r="W41" s="118">
        <f t="shared" si="31"/>
        <v>0</v>
      </c>
      <c r="X41" s="118">
        <f t="shared" si="32"/>
        <v>0</v>
      </c>
      <c r="Y41" s="118">
        <f t="shared" si="33"/>
        <v>0</v>
      </c>
      <c r="Z41" s="118">
        <f t="shared" si="34"/>
        <v>0</v>
      </c>
      <c r="AA41" s="119">
        <v>0</v>
      </c>
      <c r="AB41" s="120">
        <f t="shared" si="17"/>
        <v>0</v>
      </c>
      <c r="AC41" s="118">
        <f t="shared" si="18"/>
        <v>0</v>
      </c>
      <c r="AD41" s="118">
        <f t="shared" si="35"/>
        <v>0</v>
      </c>
      <c r="AE41" s="118">
        <f t="shared" si="19"/>
        <v>0</v>
      </c>
      <c r="AF41" s="121">
        <f t="shared" si="36"/>
        <v>1</v>
      </c>
      <c r="AG41" s="122">
        <f t="shared" si="20"/>
        <v>0</v>
      </c>
      <c r="AH41" s="122">
        <f t="shared" si="21"/>
        <v>0</v>
      </c>
      <c r="AI41" s="122">
        <f t="shared" si="22"/>
        <v>0</v>
      </c>
      <c r="AJ41" s="122">
        <f t="shared" si="23"/>
        <v>0</v>
      </c>
      <c r="AK41" s="122">
        <f t="shared" si="24"/>
        <v>0</v>
      </c>
      <c r="AL41" s="122">
        <f t="shared" si="25"/>
        <v>0</v>
      </c>
      <c r="AM41" s="123">
        <f t="shared" si="26"/>
        <v>0</v>
      </c>
      <c r="AN41" s="123">
        <f>AL41-AM41</f>
        <v>0</v>
      </c>
      <c r="AO41" s="124">
        <f t="shared" si="27"/>
        <v>0</v>
      </c>
      <c r="AP41" s="125">
        <f t="shared" si="38"/>
        <v>0</v>
      </c>
      <c r="AU41" s="109">
        <f>IF(BA41=1,IF(AU40=MiscData!$F$1,EOMONTH(AU40,-11),EOMONTH(AU40,1)),AU40)</f>
        <v>42400</v>
      </c>
      <c r="AV41" s="108" t="str">
        <f t="shared" si="39"/>
        <v>20140101LGRSE547</v>
      </c>
      <c r="AW41" s="126" t="str">
        <f t="shared" si="40"/>
        <v>20140101LEV</v>
      </c>
      <c r="AX41">
        <f>MiscData!$X$5</f>
        <v>20140101</v>
      </c>
      <c r="BA41" s="98">
        <f>IF(BA40+1&gt;MiscData!$Z$42,1,BA40+1)</f>
        <v>38</v>
      </c>
      <c r="BB41" s="98" t="str">
        <f>VLOOKUP(BA41,MiscData!$Z$5:$AB$46,2,FALSE)</f>
        <v>LGRSE547</v>
      </c>
      <c r="BC41" s="98" t="str">
        <f>VLOOKUP(BA41,MiscData!$Z$5:$AB$46,3,FALSE)</f>
        <v>LEV</v>
      </c>
    </row>
    <row r="42" spans="1:55">
      <c r="A42" s="108">
        <v>37</v>
      </c>
      <c r="B42" s="109" t="str">
        <f t="shared" si="28"/>
        <v>Feb 2016</v>
      </c>
      <c r="C42" s="110" t="str">
        <f t="shared" si="29"/>
        <v>FLSP</v>
      </c>
      <c r="D42" s="110" t="str">
        <f t="shared" si="30"/>
        <v>LGINE682</v>
      </c>
      <c r="E42" s="111">
        <f t="shared" si="0"/>
        <v>0</v>
      </c>
      <c r="F42" s="112">
        <v>0</v>
      </c>
      <c r="G42" s="111">
        <f t="shared" si="1"/>
        <v>0</v>
      </c>
      <c r="H42" s="111">
        <f t="shared" si="2"/>
        <v>0</v>
      </c>
      <c r="I42" s="111">
        <f t="shared" si="3"/>
        <v>0</v>
      </c>
      <c r="J42" s="111">
        <f t="shared" si="4"/>
        <v>0</v>
      </c>
      <c r="K42" s="113">
        <f t="shared" si="5"/>
        <v>0</v>
      </c>
      <c r="L42" s="113">
        <f t="shared" si="6"/>
        <v>0</v>
      </c>
      <c r="M42" s="113">
        <f t="shared" si="7"/>
        <v>0</v>
      </c>
      <c r="N42" s="116">
        <f t="shared" si="8"/>
        <v>750</v>
      </c>
      <c r="O42" s="117">
        <f t="shared" si="44"/>
        <v>3.61E-2</v>
      </c>
      <c r="P42" s="117">
        <f t="shared" si="10"/>
        <v>0</v>
      </c>
      <c r="Q42" s="117">
        <f t="shared" si="11"/>
        <v>0</v>
      </c>
      <c r="R42" s="117">
        <f t="shared" si="12"/>
        <v>2.725E-2</v>
      </c>
      <c r="S42" s="116">
        <f t="shared" si="13"/>
        <v>1.8900000000000001</v>
      </c>
      <c r="T42" s="116">
        <f t="shared" si="14"/>
        <v>1.8900000000000001</v>
      </c>
      <c r="U42" s="116">
        <f t="shared" si="15"/>
        <v>2.94</v>
      </c>
      <c r="V42" s="118">
        <f t="shared" si="16"/>
        <v>0</v>
      </c>
      <c r="W42" s="118">
        <f t="shared" si="31"/>
        <v>0</v>
      </c>
      <c r="X42" s="118">
        <f t="shared" si="32"/>
        <v>0</v>
      </c>
      <c r="Y42" s="118">
        <f t="shared" si="33"/>
        <v>0</v>
      </c>
      <c r="Z42" s="118">
        <f t="shared" si="34"/>
        <v>0</v>
      </c>
      <c r="AA42" s="119">
        <v>0</v>
      </c>
      <c r="AB42" s="120">
        <f t="shared" si="17"/>
        <v>0</v>
      </c>
      <c r="AC42" s="118">
        <f t="shared" si="18"/>
        <v>0</v>
      </c>
      <c r="AD42" s="118">
        <f t="shared" si="35"/>
        <v>0</v>
      </c>
      <c r="AE42" s="118">
        <f t="shared" si="19"/>
        <v>0</v>
      </c>
      <c r="AF42" s="121">
        <f t="shared" si="36"/>
        <v>1</v>
      </c>
      <c r="AG42" s="122">
        <f t="shared" si="20"/>
        <v>0</v>
      </c>
      <c r="AH42" s="122">
        <f t="shared" si="21"/>
        <v>0</v>
      </c>
      <c r="AI42" s="122">
        <f t="shared" si="22"/>
        <v>0</v>
      </c>
      <c r="AJ42" s="122">
        <f t="shared" si="23"/>
        <v>0</v>
      </c>
      <c r="AK42" s="122">
        <f t="shared" si="24"/>
        <v>0</v>
      </c>
      <c r="AL42" s="122">
        <f t="shared" si="25"/>
        <v>0</v>
      </c>
      <c r="AM42" s="123">
        <f t="shared" si="26"/>
        <v>0</v>
      </c>
      <c r="AN42" s="123">
        <f>AL42-AM42</f>
        <v>0</v>
      </c>
      <c r="AO42" s="124">
        <f t="shared" si="27"/>
        <v>0</v>
      </c>
      <c r="AP42" s="125">
        <f t="shared" si="38"/>
        <v>0</v>
      </c>
      <c r="AU42" s="109">
        <f>IF(BA42=1,IF(AU41=MiscData!$F$1,EOMONTH(AU41,-11),EOMONTH(AU41,1)),AU41)</f>
        <v>42429</v>
      </c>
      <c r="AV42" s="108" t="str">
        <f t="shared" si="39"/>
        <v>20140101LGINE682</v>
      </c>
      <c r="AW42" s="126" t="str">
        <f t="shared" si="40"/>
        <v>20140101FLSP</v>
      </c>
      <c r="AX42">
        <f>MiscData!$X$5</f>
        <v>20140101</v>
      </c>
      <c r="BA42" s="98">
        <f>IF(BA41+1&gt;MiscData!$Z$42,1,BA41+1)</f>
        <v>1</v>
      </c>
      <c r="BB42" s="98" t="str">
        <f>VLOOKUP(BA42,MiscData!$Z$5:$AB$46,2,FALSE)</f>
        <v>LGINE682</v>
      </c>
      <c r="BC42" s="98" t="str">
        <f>VLOOKUP(BA42,MiscData!$Z$5:$AB$46,3,FALSE)</f>
        <v>FLSP</v>
      </c>
    </row>
    <row r="43" spans="1:55">
      <c r="A43" s="108">
        <v>38</v>
      </c>
      <c r="B43" s="109" t="str">
        <f t="shared" si="28"/>
        <v>Feb 2016</v>
      </c>
      <c r="C43" s="110" t="str">
        <f t="shared" si="29"/>
        <v>FLST</v>
      </c>
      <c r="D43" s="110" t="str">
        <f t="shared" si="30"/>
        <v>LGINE683</v>
      </c>
      <c r="E43" s="111">
        <f t="shared" si="0"/>
        <v>0</v>
      </c>
      <c r="F43" s="112">
        <v>0</v>
      </c>
      <c r="G43" s="111">
        <f t="shared" si="1"/>
        <v>0</v>
      </c>
      <c r="H43" s="111">
        <f t="shared" si="2"/>
        <v>0</v>
      </c>
      <c r="I43" s="111">
        <f t="shared" si="3"/>
        <v>0</v>
      </c>
      <c r="J43" s="111">
        <f t="shared" si="4"/>
        <v>0</v>
      </c>
      <c r="K43" s="113">
        <f t="shared" si="5"/>
        <v>0</v>
      </c>
      <c r="L43" s="113">
        <f t="shared" si="6"/>
        <v>0</v>
      </c>
      <c r="M43" s="113">
        <f t="shared" si="7"/>
        <v>0</v>
      </c>
      <c r="N43" s="116">
        <f t="shared" si="8"/>
        <v>750</v>
      </c>
      <c r="O43" s="117">
        <f t="shared" si="44"/>
        <v>3.61E-2</v>
      </c>
      <c r="P43" s="117">
        <f t="shared" si="10"/>
        <v>0</v>
      </c>
      <c r="Q43" s="117">
        <f t="shared" si="11"/>
        <v>0</v>
      </c>
      <c r="R43" s="117">
        <f t="shared" si="12"/>
        <v>2.725E-2</v>
      </c>
      <c r="S43" s="116">
        <f t="shared" si="13"/>
        <v>1.1400000000000001</v>
      </c>
      <c r="T43" s="116">
        <f t="shared" si="14"/>
        <v>1.8900000000000001</v>
      </c>
      <c r="U43" s="116">
        <f t="shared" si="15"/>
        <v>2.94</v>
      </c>
      <c r="V43" s="118">
        <f t="shared" si="16"/>
        <v>0</v>
      </c>
      <c r="W43" s="118">
        <f t="shared" si="31"/>
        <v>0</v>
      </c>
      <c r="X43" s="118">
        <f t="shared" si="32"/>
        <v>0</v>
      </c>
      <c r="Y43" s="118">
        <f t="shared" si="33"/>
        <v>0</v>
      </c>
      <c r="Z43" s="118">
        <f t="shared" si="34"/>
        <v>0</v>
      </c>
      <c r="AA43" s="119">
        <v>0</v>
      </c>
      <c r="AB43" s="120">
        <f t="shared" si="17"/>
        <v>0</v>
      </c>
      <c r="AC43" s="118">
        <f t="shared" si="18"/>
        <v>0</v>
      </c>
      <c r="AD43" s="118">
        <f t="shared" si="35"/>
        <v>0</v>
      </c>
      <c r="AE43" s="118">
        <f t="shared" si="19"/>
        <v>0</v>
      </c>
      <c r="AF43" s="121">
        <f t="shared" si="36"/>
        <v>1</v>
      </c>
      <c r="AG43" s="122">
        <f t="shared" si="20"/>
        <v>0</v>
      </c>
      <c r="AH43" s="122">
        <f t="shared" si="21"/>
        <v>0</v>
      </c>
      <c r="AI43" s="122">
        <f t="shared" si="22"/>
        <v>0</v>
      </c>
      <c r="AJ43" s="122">
        <f t="shared" si="23"/>
        <v>0</v>
      </c>
      <c r="AK43" s="122">
        <f t="shared" si="24"/>
        <v>0</v>
      </c>
      <c r="AL43" s="122">
        <f t="shared" si="25"/>
        <v>0</v>
      </c>
      <c r="AM43" s="123">
        <f t="shared" si="26"/>
        <v>0</v>
      </c>
      <c r="AN43" s="123">
        <f t="shared" si="37"/>
        <v>0</v>
      </c>
      <c r="AO43" s="124">
        <f t="shared" si="27"/>
        <v>0</v>
      </c>
      <c r="AP43" s="125">
        <f t="shared" si="38"/>
        <v>0</v>
      </c>
      <c r="AU43" s="109">
        <f>IF(BA43=1,IF(AU42=MiscData!$F$1,EOMONTH(AU42,-11),EOMONTH(AU42,1)),AU42)</f>
        <v>42429</v>
      </c>
      <c r="AV43" s="108" t="str">
        <f t="shared" si="39"/>
        <v>20140101LGINE683</v>
      </c>
      <c r="AW43" s="126" t="str">
        <f t="shared" si="40"/>
        <v>20140101FLST</v>
      </c>
      <c r="AX43">
        <f>MiscData!$X$5</f>
        <v>20140101</v>
      </c>
      <c r="BA43" s="98">
        <f>IF(BA42+1&gt;MiscData!$Z$42,1,BA42+1)</f>
        <v>2</v>
      </c>
      <c r="BB43" s="98" t="str">
        <f>VLOOKUP(BA43,MiscData!$Z$5:$AB$46,2,FALSE)</f>
        <v>LGINE683</v>
      </c>
      <c r="BC43" s="98" t="str">
        <f>VLOOKUP(BA43,MiscData!$Z$5:$AB$46,3,FALSE)</f>
        <v>FLST</v>
      </c>
    </row>
    <row r="44" spans="1:55">
      <c r="A44" s="108">
        <v>39</v>
      </c>
      <c r="B44" s="109" t="str">
        <f t="shared" si="28"/>
        <v>Feb 2016</v>
      </c>
      <c r="C44" s="110" t="s">
        <v>902</v>
      </c>
      <c r="D44" s="110" t="str">
        <f t="shared" si="30"/>
        <v>LGCME451</v>
      </c>
      <c r="E44" s="111">
        <f t="shared" si="0"/>
        <v>0</v>
      </c>
      <c r="F44" s="112">
        <v>0</v>
      </c>
      <c r="G44" s="111">
        <f t="shared" si="1"/>
        <v>0</v>
      </c>
      <c r="H44" s="111">
        <f t="shared" si="2"/>
        <v>0</v>
      </c>
      <c r="I44" s="111">
        <f t="shared" si="3"/>
        <v>0</v>
      </c>
      <c r="J44" s="111">
        <f t="shared" si="4"/>
        <v>0</v>
      </c>
      <c r="K44" s="113">
        <f t="shared" si="5"/>
        <v>0</v>
      </c>
      <c r="L44" s="113">
        <f t="shared" si="6"/>
        <v>0</v>
      </c>
      <c r="M44" s="113">
        <f t="shared" si="7"/>
        <v>0</v>
      </c>
      <c r="N44" s="116">
        <f t="shared" si="8"/>
        <v>0</v>
      </c>
      <c r="O44" s="117">
        <f t="shared" si="44"/>
        <v>9.1340000000000005E-2</v>
      </c>
      <c r="P44" s="117">
        <f t="shared" si="10"/>
        <v>0</v>
      </c>
      <c r="Q44" s="117">
        <f t="shared" si="11"/>
        <v>0</v>
      </c>
      <c r="R44" s="117">
        <f t="shared" si="12"/>
        <v>2.725E-2</v>
      </c>
      <c r="S44" s="116">
        <f t="shared" si="13"/>
        <v>0</v>
      </c>
      <c r="T44" s="116">
        <f t="shared" si="14"/>
        <v>0</v>
      </c>
      <c r="U44" s="116">
        <f t="shared" si="15"/>
        <v>0</v>
      </c>
      <c r="V44" s="118">
        <f t="shared" si="16"/>
        <v>0</v>
      </c>
      <c r="W44" s="118">
        <f t="shared" si="31"/>
        <v>0</v>
      </c>
      <c r="X44" s="118">
        <f t="shared" si="32"/>
        <v>0</v>
      </c>
      <c r="Y44" s="118">
        <f t="shared" si="33"/>
        <v>0</v>
      </c>
      <c r="Z44" s="118">
        <f t="shared" si="34"/>
        <v>0</v>
      </c>
      <c r="AA44" s="119">
        <v>0</v>
      </c>
      <c r="AB44" s="120">
        <f t="shared" si="17"/>
        <v>0</v>
      </c>
      <c r="AC44" s="118">
        <f t="shared" si="18"/>
        <v>0</v>
      </c>
      <c r="AD44" s="118">
        <f t="shared" si="35"/>
        <v>0</v>
      </c>
      <c r="AE44" s="118">
        <f t="shared" si="19"/>
        <v>0</v>
      </c>
      <c r="AF44" s="121">
        <f t="shared" si="36"/>
        <v>1</v>
      </c>
      <c r="AG44" s="122">
        <f t="shared" si="20"/>
        <v>0</v>
      </c>
      <c r="AH44" s="122">
        <f t="shared" si="21"/>
        <v>0</v>
      </c>
      <c r="AI44" s="122">
        <f t="shared" si="22"/>
        <v>0</v>
      </c>
      <c r="AJ44" s="122">
        <f t="shared" si="23"/>
        <v>0</v>
      </c>
      <c r="AK44" s="122">
        <f t="shared" si="24"/>
        <v>0</v>
      </c>
      <c r="AL44" s="122">
        <f t="shared" si="25"/>
        <v>0</v>
      </c>
      <c r="AM44" s="123">
        <f t="shared" si="26"/>
        <v>0</v>
      </c>
      <c r="AN44" s="123">
        <f t="shared" ref="AN44:AN107" si="45">AL44-AM44</f>
        <v>0</v>
      </c>
      <c r="AO44" s="124">
        <f t="shared" si="27"/>
        <v>0</v>
      </c>
      <c r="AP44" s="125">
        <f t="shared" si="38"/>
        <v>0</v>
      </c>
      <c r="AU44" s="109">
        <f>IF(BA44=1,IF(AU43=MiscData!$F$1,EOMONTH(AU43,-11),EOMONTH(AU43,1)),AU43)</f>
        <v>42429</v>
      </c>
      <c r="AV44" s="108" t="str">
        <f t="shared" si="39"/>
        <v>20140101LGCME451</v>
      </c>
      <c r="AW44" s="126" t="str">
        <f t="shared" si="40"/>
        <v>20140101GSS</v>
      </c>
      <c r="AX44">
        <f>MiscData!$X$5</f>
        <v>20140101</v>
      </c>
      <c r="BA44" s="98">
        <f>IF(BA43+1&gt;MiscData!$Z$42,1,BA43+1)</f>
        <v>3</v>
      </c>
      <c r="BB44" s="98" t="str">
        <f>VLOOKUP(BA44,MiscData!$Z$5:$AB$46,2,FALSE)</f>
        <v>LGCME451</v>
      </c>
      <c r="BC44" s="98" t="str">
        <f>VLOOKUP(BA44,MiscData!$Z$5:$AB$46,3,FALSE)</f>
        <v>GSS</v>
      </c>
    </row>
    <row r="45" spans="1:55">
      <c r="A45" s="108">
        <v>38</v>
      </c>
      <c r="B45" s="109" t="str">
        <f t="shared" si="28"/>
        <v>Feb 2016</v>
      </c>
      <c r="C45" s="110" t="s">
        <v>902</v>
      </c>
      <c r="D45" s="110" t="str">
        <f t="shared" si="30"/>
        <v>LGCME550</v>
      </c>
      <c r="E45" s="111">
        <f t="shared" si="0"/>
        <v>0</v>
      </c>
      <c r="F45" s="112">
        <v>0</v>
      </c>
      <c r="G45" s="111">
        <f t="shared" si="1"/>
        <v>0</v>
      </c>
      <c r="H45" s="111">
        <f t="shared" si="2"/>
        <v>0</v>
      </c>
      <c r="I45" s="111">
        <f t="shared" si="3"/>
        <v>0</v>
      </c>
      <c r="J45" s="111">
        <f t="shared" si="4"/>
        <v>0</v>
      </c>
      <c r="K45" s="113">
        <f t="shared" si="5"/>
        <v>0</v>
      </c>
      <c r="L45" s="113">
        <f t="shared" si="6"/>
        <v>0</v>
      </c>
      <c r="M45" s="113">
        <f t="shared" si="7"/>
        <v>0</v>
      </c>
      <c r="N45" s="116">
        <f t="shared" si="8"/>
        <v>20</v>
      </c>
      <c r="O45" s="117">
        <f t="shared" si="44"/>
        <v>9.1340000000000005E-2</v>
      </c>
      <c r="P45" s="117">
        <f t="shared" si="10"/>
        <v>0</v>
      </c>
      <c r="Q45" s="117">
        <f t="shared" si="11"/>
        <v>0</v>
      </c>
      <c r="R45" s="117">
        <f t="shared" si="12"/>
        <v>2.725E-2</v>
      </c>
      <c r="S45" s="116">
        <f t="shared" si="13"/>
        <v>0</v>
      </c>
      <c r="T45" s="116">
        <f t="shared" si="14"/>
        <v>0</v>
      </c>
      <c r="U45" s="116">
        <f t="shared" si="15"/>
        <v>0</v>
      </c>
      <c r="V45" s="118">
        <f t="shared" si="16"/>
        <v>0</v>
      </c>
      <c r="W45" s="118">
        <f t="shared" si="31"/>
        <v>0</v>
      </c>
      <c r="X45" s="118">
        <f t="shared" si="32"/>
        <v>0</v>
      </c>
      <c r="Y45" s="118">
        <f t="shared" si="33"/>
        <v>0</v>
      </c>
      <c r="Z45" s="118">
        <f t="shared" si="34"/>
        <v>0</v>
      </c>
      <c r="AA45" s="119">
        <v>0</v>
      </c>
      <c r="AB45" s="120">
        <f t="shared" si="17"/>
        <v>0</v>
      </c>
      <c r="AC45" s="118">
        <f t="shared" si="18"/>
        <v>0</v>
      </c>
      <c r="AD45" s="118">
        <f t="shared" si="35"/>
        <v>0</v>
      </c>
      <c r="AE45" s="118">
        <f t="shared" si="19"/>
        <v>0</v>
      </c>
      <c r="AF45" s="121">
        <f t="shared" si="36"/>
        <v>1</v>
      </c>
      <c r="AG45" s="122">
        <f t="shared" si="20"/>
        <v>0</v>
      </c>
      <c r="AH45" s="122">
        <f t="shared" si="21"/>
        <v>0</v>
      </c>
      <c r="AI45" s="122">
        <f t="shared" si="22"/>
        <v>0</v>
      </c>
      <c r="AJ45" s="122">
        <f t="shared" si="23"/>
        <v>0</v>
      </c>
      <c r="AK45" s="122">
        <f t="shared" si="24"/>
        <v>0</v>
      </c>
      <c r="AL45" s="122">
        <f t="shared" si="25"/>
        <v>0</v>
      </c>
      <c r="AM45" s="123">
        <f t="shared" si="26"/>
        <v>0</v>
      </c>
      <c r="AN45" s="123">
        <f t="shared" si="45"/>
        <v>0</v>
      </c>
      <c r="AO45" s="124">
        <f t="shared" si="27"/>
        <v>0</v>
      </c>
      <c r="AP45" s="125">
        <f t="shared" si="38"/>
        <v>0</v>
      </c>
      <c r="AU45" s="109">
        <f>IF(BA45=1,IF(AU44=MiscData!$F$1,EOMONTH(AU44,-11),EOMONTH(AU44,1)),AU44)</f>
        <v>42429</v>
      </c>
      <c r="AV45" s="108" t="str">
        <f t="shared" si="39"/>
        <v>20140101LGCME550</v>
      </c>
      <c r="AW45" s="126" t="str">
        <f t="shared" si="40"/>
        <v>20140101GSS</v>
      </c>
      <c r="AX45">
        <f>MiscData!$X$5</f>
        <v>20140101</v>
      </c>
      <c r="BA45" s="98">
        <f>IF(BA44+1&gt;MiscData!$Z$42,1,BA44+1)</f>
        <v>4</v>
      </c>
      <c r="BB45" s="98" t="str">
        <f>VLOOKUP(BA45,MiscData!$Z$5:$AB$46,2,FALSE)</f>
        <v>LGCME550</v>
      </c>
      <c r="BC45" s="98" t="str">
        <f>VLOOKUP(BA45,MiscData!$Z$5:$AB$46,3,FALSE)</f>
        <v>GSS</v>
      </c>
    </row>
    <row r="46" spans="1:55">
      <c r="A46" s="108">
        <v>39</v>
      </c>
      <c r="B46" s="109" t="str">
        <f t="shared" si="28"/>
        <v>Feb 2016</v>
      </c>
      <c r="C46" s="110" t="s">
        <v>902</v>
      </c>
      <c r="D46" s="110" t="str">
        <f t="shared" si="30"/>
        <v>LGCME551</v>
      </c>
      <c r="E46" s="111">
        <f t="shared" si="0"/>
        <v>28231</v>
      </c>
      <c r="F46" s="112">
        <v>0</v>
      </c>
      <c r="G46" s="111">
        <f t="shared" si="1"/>
        <v>0</v>
      </c>
      <c r="H46" s="111">
        <f t="shared" si="2"/>
        <v>0</v>
      </c>
      <c r="I46" s="111">
        <f t="shared" si="3"/>
        <v>0</v>
      </c>
      <c r="J46" s="111">
        <f t="shared" si="4"/>
        <v>28606751</v>
      </c>
      <c r="K46" s="113">
        <f t="shared" si="5"/>
        <v>0</v>
      </c>
      <c r="L46" s="113">
        <f t="shared" si="6"/>
        <v>0</v>
      </c>
      <c r="M46" s="113">
        <f t="shared" si="7"/>
        <v>0</v>
      </c>
      <c r="N46" s="116">
        <f t="shared" si="8"/>
        <v>20</v>
      </c>
      <c r="O46" s="117">
        <f t="shared" si="44"/>
        <v>9.1340000000000005E-2</v>
      </c>
      <c r="P46" s="117">
        <f t="shared" si="10"/>
        <v>0</v>
      </c>
      <c r="Q46" s="117">
        <f t="shared" si="11"/>
        <v>0</v>
      </c>
      <c r="R46" s="117">
        <f t="shared" si="12"/>
        <v>2.725E-2</v>
      </c>
      <c r="S46" s="116">
        <f t="shared" si="13"/>
        <v>0</v>
      </c>
      <c r="T46" s="116">
        <f t="shared" si="14"/>
        <v>0</v>
      </c>
      <c r="U46" s="116">
        <f t="shared" si="15"/>
        <v>0</v>
      </c>
      <c r="V46" s="118">
        <f t="shared" si="16"/>
        <v>564620</v>
      </c>
      <c r="W46" s="118">
        <f t="shared" si="31"/>
        <v>2612940.64</v>
      </c>
      <c r="X46" s="118">
        <f t="shared" si="32"/>
        <v>0</v>
      </c>
      <c r="Y46" s="118">
        <f t="shared" si="33"/>
        <v>0</v>
      </c>
      <c r="Z46" s="118">
        <f t="shared" si="34"/>
        <v>0</v>
      </c>
      <c r="AA46" s="119">
        <v>0</v>
      </c>
      <c r="AB46" s="120">
        <f t="shared" si="17"/>
        <v>0</v>
      </c>
      <c r="AC46" s="118">
        <f t="shared" si="18"/>
        <v>0</v>
      </c>
      <c r="AD46" s="118">
        <f t="shared" si="35"/>
        <v>3177560.64</v>
      </c>
      <c r="AE46" s="118">
        <f t="shared" si="19"/>
        <v>3177561</v>
      </c>
      <c r="AF46" s="121">
        <f t="shared" si="36"/>
        <v>1</v>
      </c>
      <c r="AG46" s="122">
        <f t="shared" si="20"/>
        <v>-151456</v>
      </c>
      <c r="AH46" s="122">
        <f t="shared" si="21"/>
        <v>40769</v>
      </c>
      <c r="AI46" s="122">
        <f t="shared" si="22"/>
        <v>274067</v>
      </c>
      <c r="AJ46" s="122">
        <f t="shared" si="23"/>
        <v>0</v>
      </c>
      <c r="AK46" s="122">
        <f t="shared" si="24"/>
        <v>0</v>
      </c>
      <c r="AL46" s="122">
        <f t="shared" si="25"/>
        <v>3340941</v>
      </c>
      <c r="AM46" s="123">
        <f t="shared" si="26"/>
        <v>3340940.64</v>
      </c>
      <c r="AN46" s="123">
        <f t="shared" si="45"/>
        <v>0.35999999986961484</v>
      </c>
      <c r="AO46" s="124">
        <f t="shared" si="27"/>
        <v>779533.96</v>
      </c>
      <c r="AP46" s="125">
        <f t="shared" si="38"/>
        <v>1833406.6800000002</v>
      </c>
      <c r="AU46" s="109">
        <f>IF(BA46=1,IF(AU45=MiscData!$F$1,EOMONTH(AU45,-11),EOMONTH(AU45,1)),AU45)</f>
        <v>42429</v>
      </c>
      <c r="AV46" s="108" t="str">
        <f t="shared" si="39"/>
        <v>20140101LGCME551</v>
      </c>
      <c r="AW46" s="126" t="str">
        <f t="shared" si="40"/>
        <v>20140101GSS</v>
      </c>
      <c r="AX46">
        <f>MiscData!$X$5</f>
        <v>20140101</v>
      </c>
      <c r="BA46" s="98">
        <f>IF(BA45+1&gt;MiscData!$Z$42,1,BA45+1)</f>
        <v>5</v>
      </c>
      <c r="BB46" s="98" t="str">
        <f>VLOOKUP(BA46,MiscData!$Z$5:$AB$46,2,FALSE)</f>
        <v>LGCME551</v>
      </c>
      <c r="BC46" s="98" t="str">
        <f>VLOOKUP(BA46,MiscData!$Z$5:$AB$46,3,FALSE)</f>
        <v>GSS</v>
      </c>
    </row>
    <row r="47" spans="1:55">
      <c r="A47" s="108">
        <v>40</v>
      </c>
      <c r="B47" s="109" t="str">
        <f t="shared" si="28"/>
        <v>Feb 2016</v>
      </c>
      <c r="C47" s="110" t="s">
        <v>902</v>
      </c>
      <c r="D47" s="110" t="str">
        <f t="shared" si="30"/>
        <v>LGCME551UM</v>
      </c>
      <c r="E47" s="111">
        <f t="shared" si="0"/>
        <v>0</v>
      </c>
      <c r="F47" s="112">
        <v>0</v>
      </c>
      <c r="G47" s="111">
        <f t="shared" si="1"/>
        <v>0</v>
      </c>
      <c r="H47" s="111">
        <f t="shared" si="2"/>
        <v>0</v>
      </c>
      <c r="I47" s="111">
        <f t="shared" si="3"/>
        <v>0</v>
      </c>
      <c r="J47" s="111">
        <f t="shared" si="4"/>
        <v>0</v>
      </c>
      <c r="K47" s="113">
        <f t="shared" si="5"/>
        <v>0</v>
      </c>
      <c r="L47" s="113">
        <f t="shared" si="6"/>
        <v>0</v>
      </c>
      <c r="M47" s="113">
        <f t="shared" si="7"/>
        <v>0</v>
      </c>
      <c r="N47" s="116">
        <f t="shared" si="8"/>
        <v>20</v>
      </c>
      <c r="O47" s="117">
        <f t="shared" si="44"/>
        <v>9.1340000000000005E-2</v>
      </c>
      <c r="P47" s="117">
        <f t="shared" si="10"/>
        <v>0</v>
      </c>
      <c r="Q47" s="117">
        <f t="shared" si="11"/>
        <v>0</v>
      </c>
      <c r="R47" s="117">
        <f t="shared" si="12"/>
        <v>2.725E-2</v>
      </c>
      <c r="S47" s="116">
        <f t="shared" si="13"/>
        <v>0</v>
      </c>
      <c r="T47" s="116">
        <f t="shared" si="14"/>
        <v>0</v>
      </c>
      <c r="U47" s="116">
        <f t="shared" si="15"/>
        <v>0</v>
      </c>
      <c r="V47" s="118">
        <f t="shared" si="16"/>
        <v>0</v>
      </c>
      <c r="W47" s="118">
        <f t="shared" si="31"/>
        <v>0</v>
      </c>
      <c r="X47" s="118">
        <f t="shared" si="32"/>
        <v>0</v>
      </c>
      <c r="Y47" s="118">
        <f t="shared" si="33"/>
        <v>0</v>
      </c>
      <c r="Z47" s="118">
        <f t="shared" si="34"/>
        <v>0</v>
      </c>
      <c r="AA47" s="119">
        <v>0</v>
      </c>
      <c r="AB47" s="120">
        <f t="shared" si="17"/>
        <v>0</v>
      </c>
      <c r="AC47" s="118">
        <f t="shared" si="18"/>
        <v>0</v>
      </c>
      <c r="AD47" s="118">
        <f t="shared" si="35"/>
        <v>0</v>
      </c>
      <c r="AE47" s="118">
        <f t="shared" si="19"/>
        <v>0</v>
      </c>
      <c r="AF47" s="121">
        <f t="shared" si="36"/>
        <v>1</v>
      </c>
      <c r="AG47" s="122">
        <f t="shared" si="20"/>
        <v>0</v>
      </c>
      <c r="AH47" s="122">
        <f t="shared" si="21"/>
        <v>0</v>
      </c>
      <c r="AI47" s="122">
        <f t="shared" si="22"/>
        <v>0</v>
      </c>
      <c r="AJ47" s="122">
        <f t="shared" si="23"/>
        <v>0</v>
      </c>
      <c r="AK47" s="122">
        <f t="shared" si="24"/>
        <v>0</v>
      </c>
      <c r="AL47" s="122">
        <f t="shared" si="25"/>
        <v>0</v>
      </c>
      <c r="AM47" s="123">
        <f t="shared" si="26"/>
        <v>0</v>
      </c>
      <c r="AN47" s="123">
        <f t="shared" si="45"/>
        <v>0</v>
      </c>
      <c r="AO47" s="124">
        <f t="shared" si="27"/>
        <v>0</v>
      </c>
      <c r="AP47" s="125">
        <f t="shared" si="38"/>
        <v>0</v>
      </c>
      <c r="AU47" s="109">
        <f>IF(BA47=1,IF(AU46=MiscData!$F$1,EOMONTH(AU46,-11),EOMONTH(AU46,1)),AU46)</f>
        <v>42429</v>
      </c>
      <c r="AV47" s="108" t="str">
        <f t="shared" si="39"/>
        <v>20140101LGCME551UM</v>
      </c>
      <c r="AW47" s="126" t="str">
        <f t="shared" si="40"/>
        <v>20140101GSS</v>
      </c>
      <c r="AX47">
        <f>MiscData!$X$5</f>
        <v>20140101</v>
      </c>
      <c r="BA47" s="98">
        <f>IF(BA46+1&gt;MiscData!$Z$42,1,BA46+1)</f>
        <v>6</v>
      </c>
      <c r="BB47" s="98" t="str">
        <f>VLOOKUP(BA47,MiscData!$Z$5:$AB$46,2,FALSE)</f>
        <v>LGCME551UM</v>
      </c>
      <c r="BC47" s="98" t="str">
        <f>VLOOKUP(BA47,MiscData!$Z$5:$AB$46,3,FALSE)</f>
        <v>GSS</v>
      </c>
    </row>
    <row r="48" spans="1:55">
      <c r="A48" s="108">
        <v>41</v>
      </c>
      <c r="B48" s="109" t="str">
        <f t="shared" si="28"/>
        <v>Feb 2016</v>
      </c>
      <c r="C48" s="110" t="s">
        <v>902</v>
      </c>
      <c r="D48" s="110" t="str">
        <f t="shared" si="30"/>
        <v>LGCME552</v>
      </c>
      <c r="E48" s="111">
        <f t="shared" si="0"/>
        <v>0</v>
      </c>
      <c r="F48" s="112">
        <v>0</v>
      </c>
      <c r="G48" s="111">
        <f t="shared" si="1"/>
        <v>0</v>
      </c>
      <c r="H48" s="111">
        <f t="shared" si="2"/>
        <v>0</v>
      </c>
      <c r="I48" s="111">
        <f t="shared" si="3"/>
        <v>0</v>
      </c>
      <c r="J48" s="111">
        <f t="shared" si="4"/>
        <v>0</v>
      </c>
      <c r="K48" s="113">
        <f t="shared" si="5"/>
        <v>0</v>
      </c>
      <c r="L48" s="113">
        <f t="shared" si="6"/>
        <v>0</v>
      </c>
      <c r="M48" s="113">
        <f t="shared" si="7"/>
        <v>0</v>
      </c>
      <c r="N48" s="116">
        <f t="shared" si="8"/>
        <v>0</v>
      </c>
      <c r="O48" s="117">
        <f t="shared" si="44"/>
        <v>9.1340000000000005E-2</v>
      </c>
      <c r="P48" s="117">
        <f t="shared" si="10"/>
        <v>0</v>
      </c>
      <c r="Q48" s="117">
        <f t="shared" si="11"/>
        <v>0</v>
      </c>
      <c r="R48" s="117">
        <f t="shared" si="12"/>
        <v>2.725E-2</v>
      </c>
      <c r="S48" s="116">
        <f t="shared" si="13"/>
        <v>0</v>
      </c>
      <c r="T48" s="116">
        <f t="shared" si="14"/>
        <v>0</v>
      </c>
      <c r="U48" s="116">
        <f t="shared" si="15"/>
        <v>0</v>
      </c>
      <c r="V48" s="118">
        <f t="shared" si="16"/>
        <v>0</v>
      </c>
      <c r="W48" s="118">
        <f t="shared" si="31"/>
        <v>0</v>
      </c>
      <c r="X48" s="118">
        <f t="shared" si="32"/>
        <v>0</v>
      </c>
      <c r="Y48" s="118">
        <f t="shared" si="33"/>
        <v>0</v>
      </c>
      <c r="Z48" s="118">
        <f t="shared" si="34"/>
        <v>0</v>
      </c>
      <c r="AA48" s="119">
        <v>0</v>
      </c>
      <c r="AB48" s="120">
        <f t="shared" si="17"/>
        <v>0</v>
      </c>
      <c r="AC48" s="118">
        <f t="shared" si="18"/>
        <v>0</v>
      </c>
      <c r="AD48" s="118">
        <f t="shared" si="35"/>
        <v>0</v>
      </c>
      <c r="AE48" s="118">
        <f t="shared" si="19"/>
        <v>0</v>
      </c>
      <c r="AF48" s="121">
        <f t="shared" si="36"/>
        <v>1</v>
      </c>
      <c r="AG48" s="122">
        <f t="shared" si="20"/>
        <v>0</v>
      </c>
      <c r="AH48" s="122">
        <f t="shared" si="21"/>
        <v>0</v>
      </c>
      <c r="AI48" s="122">
        <f t="shared" si="22"/>
        <v>0</v>
      </c>
      <c r="AJ48" s="122">
        <f t="shared" si="23"/>
        <v>0</v>
      </c>
      <c r="AK48" s="122">
        <f t="shared" si="24"/>
        <v>0</v>
      </c>
      <c r="AL48" s="122">
        <f t="shared" si="25"/>
        <v>0</v>
      </c>
      <c r="AM48" s="123">
        <f t="shared" si="26"/>
        <v>0</v>
      </c>
      <c r="AN48" s="123">
        <f t="shared" si="45"/>
        <v>0</v>
      </c>
      <c r="AO48" s="124">
        <f t="shared" si="27"/>
        <v>0</v>
      </c>
      <c r="AP48" s="125">
        <f t="shared" si="38"/>
        <v>0</v>
      </c>
      <c r="AU48" s="109">
        <f>IF(BA48=1,IF(AU47=MiscData!$F$1,EOMONTH(AU47,-11),EOMONTH(AU47,1)),AU47)</f>
        <v>42429</v>
      </c>
      <c r="AV48" s="108" t="str">
        <f t="shared" si="39"/>
        <v>20140101LGCME552</v>
      </c>
      <c r="AW48" s="126" t="str">
        <f t="shared" si="40"/>
        <v>20140101GSS</v>
      </c>
      <c r="AX48">
        <f>MiscData!$X$5</f>
        <v>20140101</v>
      </c>
      <c r="BA48" s="98">
        <f>IF(BA47+1&gt;MiscData!$Z$42,1,BA47+1)</f>
        <v>7</v>
      </c>
      <c r="BB48" s="98" t="str">
        <f>VLOOKUP(BA48,MiscData!$Z$5:$AB$46,2,FALSE)</f>
        <v>LGCME552</v>
      </c>
      <c r="BC48" s="98" t="str">
        <f>VLOOKUP(BA48,MiscData!$Z$5:$AB$46,3,FALSE)</f>
        <v>GSS</v>
      </c>
    </row>
    <row r="49" spans="1:55">
      <c r="A49" s="108">
        <v>42</v>
      </c>
      <c r="B49" s="109" t="str">
        <f t="shared" si="28"/>
        <v>Feb 2016</v>
      </c>
      <c r="C49" s="110" t="s">
        <v>902</v>
      </c>
      <c r="D49" s="110" t="str">
        <f t="shared" si="30"/>
        <v>LGCME557</v>
      </c>
      <c r="E49" s="111">
        <f t="shared" si="0"/>
        <v>0</v>
      </c>
      <c r="F49" s="112">
        <v>0</v>
      </c>
      <c r="G49" s="111">
        <f t="shared" si="1"/>
        <v>0</v>
      </c>
      <c r="H49" s="111">
        <f t="shared" si="2"/>
        <v>0</v>
      </c>
      <c r="I49" s="111">
        <f t="shared" si="3"/>
        <v>0</v>
      </c>
      <c r="J49" s="111">
        <f t="shared" si="4"/>
        <v>0</v>
      </c>
      <c r="K49" s="113">
        <f t="shared" si="5"/>
        <v>0</v>
      </c>
      <c r="L49" s="113">
        <f t="shared" si="6"/>
        <v>0</v>
      </c>
      <c r="M49" s="113">
        <f t="shared" si="7"/>
        <v>0</v>
      </c>
      <c r="N49" s="116">
        <f t="shared" si="8"/>
        <v>20</v>
      </c>
      <c r="O49" s="117">
        <f t="shared" si="44"/>
        <v>9.1340000000000005E-2</v>
      </c>
      <c r="P49" s="117">
        <f t="shared" si="10"/>
        <v>0</v>
      </c>
      <c r="Q49" s="117">
        <f t="shared" si="11"/>
        <v>0</v>
      </c>
      <c r="R49" s="117">
        <f t="shared" si="12"/>
        <v>2.725E-2</v>
      </c>
      <c r="S49" s="116">
        <f t="shared" si="13"/>
        <v>0</v>
      </c>
      <c r="T49" s="116">
        <f t="shared" si="14"/>
        <v>0</v>
      </c>
      <c r="U49" s="116">
        <f t="shared" si="15"/>
        <v>0</v>
      </c>
      <c r="V49" s="118">
        <f t="shared" si="16"/>
        <v>0</v>
      </c>
      <c r="W49" s="118">
        <f t="shared" si="31"/>
        <v>0</v>
      </c>
      <c r="X49" s="118">
        <f t="shared" si="32"/>
        <v>0</v>
      </c>
      <c r="Y49" s="118">
        <f t="shared" si="33"/>
        <v>0</v>
      </c>
      <c r="Z49" s="118">
        <f t="shared" si="34"/>
        <v>0</v>
      </c>
      <c r="AA49" s="119">
        <v>0</v>
      </c>
      <c r="AB49" s="120">
        <f t="shared" si="17"/>
        <v>0</v>
      </c>
      <c r="AC49" s="118">
        <f t="shared" si="18"/>
        <v>0</v>
      </c>
      <c r="AD49" s="118">
        <f t="shared" si="35"/>
        <v>0</v>
      </c>
      <c r="AE49" s="118">
        <f t="shared" si="19"/>
        <v>0</v>
      </c>
      <c r="AF49" s="121">
        <f t="shared" si="36"/>
        <v>1</v>
      </c>
      <c r="AG49" s="122">
        <f t="shared" si="20"/>
        <v>0</v>
      </c>
      <c r="AH49" s="122">
        <f t="shared" si="21"/>
        <v>0</v>
      </c>
      <c r="AI49" s="122">
        <f t="shared" si="22"/>
        <v>0</v>
      </c>
      <c r="AJ49" s="122">
        <f t="shared" si="23"/>
        <v>0</v>
      </c>
      <c r="AK49" s="122">
        <f t="shared" si="24"/>
        <v>0</v>
      </c>
      <c r="AL49" s="122">
        <f t="shared" si="25"/>
        <v>0</v>
      </c>
      <c r="AM49" s="123">
        <f t="shared" si="26"/>
        <v>0</v>
      </c>
      <c r="AN49" s="123">
        <f t="shared" si="45"/>
        <v>0</v>
      </c>
      <c r="AO49" s="124">
        <f t="shared" si="27"/>
        <v>0</v>
      </c>
      <c r="AP49" s="125">
        <f t="shared" si="38"/>
        <v>0</v>
      </c>
      <c r="AU49" s="109">
        <f>IF(BA49=1,IF(AU48=MiscData!$F$1,EOMONTH(AU48,-11),EOMONTH(AU48,1)),AU48)</f>
        <v>42429</v>
      </c>
      <c r="AV49" s="108" t="str">
        <f t="shared" si="39"/>
        <v>20140101LGCME557</v>
      </c>
      <c r="AW49" s="126" t="str">
        <f t="shared" si="40"/>
        <v>20140101GSS</v>
      </c>
      <c r="AX49">
        <f>MiscData!$X$5</f>
        <v>20140101</v>
      </c>
      <c r="BA49" s="98">
        <f>IF(BA48+1&gt;MiscData!$Z$42,1,BA48+1)</f>
        <v>8</v>
      </c>
      <c r="BB49" s="98" t="str">
        <f>VLOOKUP(BA49,MiscData!$Z$5:$AB$46,2,FALSE)</f>
        <v>LGCME557</v>
      </c>
      <c r="BC49" s="98" t="str">
        <f>VLOOKUP(BA49,MiscData!$Z$5:$AB$46,3,FALSE)</f>
        <v>GSS</v>
      </c>
    </row>
    <row r="50" spans="1:55">
      <c r="A50" s="108">
        <v>43</v>
      </c>
      <c r="B50" s="109" t="str">
        <f t="shared" si="28"/>
        <v>Feb 2016</v>
      </c>
      <c r="C50" s="110" t="str">
        <f t="shared" si="29"/>
        <v>PSS</v>
      </c>
      <c r="D50" s="110" t="str">
        <f t="shared" si="30"/>
        <v>LGCME561</v>
      </c>
      <c r="E50" s="111">
        <f t="shared" si="0"/>
        <v>2585</v>
      </c>
      <c r="F50" s="112">
        <v>0</v>
      </c>
      <c r="G50" s="111">
        <f t="shared" si="1"/>
        <v>0</v>
      </c>
      <c r="H50" s="111">
        <f t="shared" si="2"/>
        <v>0</v>
      </c>
      <c r="I50" s="111">
        <f t="shared" si="3"/>
        <v>0</v>
      </c>
      <c r="J50" s="111">
        <f t="shared" si="4"/>
        <v>127422858</v>
      </c>
      <c r="K50" s="113">
        <f t="shared" si="5"/>
        <v>0</v>
      </c>
      <c r="L50" s="113">
        <f t="shared" si="6"/>
        <v>337388</v>
      </c>
      <c r="M50" s="113">
        <f t="shared" si="7"/>
        <v>0</v>
      </c>
      <c r="N50" s="116">
        <f t="shared" si="8"/>
        <v>90</v>
      </c>
      <c r="O50" s="117">
        <f t="shared" si="44"/>
        <v>4.0599999999999997E-2</v>
      </c>
      <c r="P50" s="117">
        <f t="shared" si="10"/>
        <v>0</v>
      </c>
      <c r="Q50" s="117">
        <f t="shared" si="11"/>
        <v>0</v>
      </c>
      <c r="R50" s="117">
        <f t="shared" si="12"/>
        <v>2.725E-2</v>
      </c>
      <c r="S50" s="116">
        <f t="shared" si="13"/>
        <v>0</v>
      </c>
      <c r="T50" s="116">
        <f t="shared" si="14"/>
        <v>14.010000000000002</v>
      </c>
      <c r="U50" s="116">
        <f t="shared" si="15"/>
        <v>16.399999999999999</v>
      </c>
      <c r="V50" s="118">
        <f t="shared" si="16"/>
        <v>232650</v>
      </c>
      <c r="W50" s="118">
        <f t="shared" si="31"/>
        <v>5173368.03</v>
      </c>
      <c r="X50" s="118">
        <f t="shared" si="32"/>
        <v>0</v>
      </c>
      <c r="Y50" s="118">
        <f t="shared" si="33"/>
        <v>4726805.88</v>
      </c>
      <c r="Z50" s="118">
        <f t="shared" si="34"/>
        <v>0</v>
      </c>
      <c r="AA50" s="119">
        <v>0</v>
      </c>
      <c r="AB50" s="120">
        <f t="shared" si="17"/>
        <v>0</v>
      </c>
      <c r="AC50" s="118">
        <f t="shared" si="18"/>
        <v>4726805.88</v>
      </c>
      <c r="AD50" s="118">
        <f t="shared" si="35"/>
        <v>10132823.91</v>
      </c>
      <c r="AE50" s="118">
        <f t="shared" si="19"/>
        <v>10132827</v>
      </c>
      <c r="AF50" s="121">
        <f t="shared" si="36"/>
        <v>1</v>
      </c>
      <c r="AG50" s="122">
        <f t="shared" si="20"/>
        <v>-674631</v>
      </c>
      <c r="AH50" s="122">
        <f t="shared" si="21"/>
        <v>181598</v>
      </c>
      <c r="AI50" s="122">
        <f t="shared" si="22"/>
        <v>1220775</v>
      </c>
      <c r="AJ50" s="122">
        <f t="shared" si="23"/>
        <v>0</v>
      </c>
      <c r="AK50" s="122">
        <f t="shared" si="24"/>
        <v>0</v>
      </c>
      <c r="AL50" s="122">
        <f t="shared" si="25"/>
        <v>10860569</v>
      </c>
      <c r="AM50" s="123">
        <f t="shared" si="26"/>
        <v>10860565.91</v>
      </c>
      <c r="AN50" s="123">
        <f t="shared" si="45"/>
        <v>3.0899999998509884</v>
      </c>
      <c r="AO50" s="124">
        <f t="shared" si="27"/>
        <v>3472272.88</v>
      </c>
      <c r="AP50" s="125">
        <f t="shared" si="38"/>
        <v>1701095.1500000004</v>
      </c>
      <c r="AU50" s="109">
        <f>IF(BA50=1,IF(AU49=MiscData!$F$1,EOMONTH(AU49,-11),EOMONTH(AU49,1)),AU49)</f>
        <v>42429</v>
      </c>
      <c r="AV50" s="108" t="str">
        <f t="shared" si="39"/>
        <v>20140101LGCME561</v>
      </c>
      <c r="AW50" s="126" t="str">
        <f t="shared" si="40"/>
        <v>20140101PSS</v>
      </c>
      <c r="AX50">
        <f>MiscData!$X$5</f>
        <v>20140101</v>
      </c>
      <c r="BA50" s="98">
        <f>IF(BA49+1&gt;MiscData!$Z$42,1,BA49+1)</f>
        <v>9</v>
      </c>
      <c r="BB50" s="98" t="str">
        <f>VLOOKUP(BA50,MiscData!$Z$5:$AB$46,2,FALSE)</f>
        <v>LGCME561</v>
      </c>
      <c r="BC50" s="98" t="str">
        <f>VLOOKUP(BA50,MiscData!$Z$5:$AB$46,3,FALSE)</f>
        <v>PSS</v>
      </c>
    </row>
    <row r="51" spans="1:55">
      <c r="A51" s="108">
        <v>44</v>
      </c>
      <c r="B51" s="109" t="str">
        <f t="shared" si="28"/>
        <v>Feb 2016</v>
      </c>
      <c r="C51" s="110" t="str">
        <f t="shared" si="29"/>
        <v>PSP</v>
      </c>
      <c r="D51" s="110" t="str">
        <f t="shared" si="30"/>
        <v>LGCME563</v>
      </c>
      <c r="E51" s="111">
        <f t="shared" si="0"/>
        <v>52</v>
      </c>
      <c r="F51" s="112">
        <v>0</v>
      </c>
      <c r="G51" s="111">
        <f t="shared" si="1"/>
        <v>0</v>
      </c>
      <c r="H51" s="111">
        <f t="shared" si="2"/>
        <v>0</v>
      </c>
      <c r="I51" s="111">
        <f t="shared" si="3"/>
        <v>0</v>
      </c>
      <c r="J51" s="111">
        <f t="shared" si="4"/>
        <v>10127683</v>
      </c>
      <c r="K51" s="113">
        <f t="shared" si="5"/>
        <v>0</v>
      </c>
      <c r="L51" s="113">
        <f t="shared" si="6"/>
        <v>26300</v>
      </c>
      <c r="M51" s="113">
        <f t="shared" si="7"/>
        <v>0</v>
      </c>
      <c r="N51" s="116">
        <f t="shared" si="8"/>
        <v>170</v>
      </c>
      <c r="O51" s="117">
        <f t="shared" si="44"/>
        <v>3.9260000000000003E-2</v>
      </c>
      <c r="P51" s="117">
        <f t="shared" si="10"/>
        <v>0</v>
      </c>
      <c r="Q51" s="117">
        <f t="shared" si="11"/>
        <v>0</v>
      </c>
      <c r="R51" s="117">
        <f t="shared" si="12"/>
        <v>2.725E-2</v>
      </c>
      <c r="S51" s="116">
        <f t="shared" si="13"/>
        <v>0</v>
      </c>
      <c r="T51" s="116">
        <f t="shared" si="14"/>
        <v>11.660000000000002</v>
      </c>
      <c r="U51" s="116">
        <f t="shared" si="15"/>
        <v>13.950000000000001</v>
      </c>
      <c r="V51" s="118">
        <f t="shared" si="16"/>
        <v>8840</v>
      </c>
      <c r="W51" s="118">
        <f t="shared" si="31"/>
        <v>397612.83</v>
      </c>
      <c r="X51" s="118">
        <f t="shared" si="32"/>
        <v>0</v>
      </c>
      <c r="Y51" s="118">
        <f t="shared" si="33"/>
        <v>306658</v>
      </c>
      <c r="Z51" s="118">
        <f t="shared" si="34"/>
        <v>0</v>
      </c>
      <c r="AA51" s="119">
        <v>0</v>
      </c>
      <c r="AB51" s="120">
        <f t="shared" si="17"/>
        <v>0</v>
      </c>
      <c r="AC51" s="118">
        <f t="shared" si="18"/>
        <v>306658</v>
      </c>
      <c r="AD51" s="118">
        <f t="shared" si="35"/>
        <v>713110.83000000007</v>
      </c>
      <c r="AE51" s="118">
        <f t="shared" si="19"/>
        <v>713109</v>
      </c>
      <c r="AF51" s="121">
        <f t="shared" si="36"/>
        <v>0.99999700000000002</v>
      </c>
      <c r="AG51" s="122">
        <f t="shared" si="20"/>
        <v>-53620</v>
      </c>
      <c r="AH51" s="122">
        <f t="shared" si="21"/>
        <v>14434</v>
      </c>
      <c r="AI51" s="122">
        <f t="shared" si="22"/>
        <v>97028</v>
      </c>
      <c r="AJ51" s="122">
        <f t="shared" si="23"/>
        <v>0</v>
      </c>
      <c r="AK51" s="122">
        <f t="shared" si="24"/>
        <v>0</v>
      </c>
      <c r="AL51" s="122">
        <f t="shared" si="25"/>
        <v>770951</v>
      </c>
      <c r="AM51" s="123">
        <f t="shared" si="26"/>
        <v>770952.83000000007</v>
      </c>
      <c r="AN51" s="123">
        <f t="shared" si="45"/>
        <v>-1.8300000000745058</v>
      </c>
      <c r="AO51" s="124">
        <f t="shared" si="27"/>
        <v>275979.36</v>
      </c>
      <c r="AP51" s="125">
        <f t="shared" si="38"/>
        <v>121633.47000000003</v>
      </c>
      <c r="AU51" s="109">
        <f>IF(BA51=1,IF(AU50=MiscData!$F$1,EOMONTH(AU50,-11),EOMONTH(AU50,1)),AU50)</f>
        <v>42429</v>
      </c>
      <c r="AV51" s="108" t="str">
        <f t="shared" si="39"/>
        <v>20140101LGCME563</v>
      </c>
      <c r="AW51" s="126" t="str">
        <f t="shared" si="40"/>
        <v>20140101PSP</v>
      </c>
      <c r="AX51">
        <f>MiscData!$X$5</f>
        <v>20140101</v>
      </c>
      <c r="BA51" s="98">
        <f>IF(BA50+1&gt;MiscData!$Z$42,1,BA50+1)</f>
        <v>10</v>
      </c>
      <c r="BB51" s="98" t="str">
        <f>VLOOKUP(BA51,MiscData!$Z$5:$AB$46,2,FALSE)</f>
        <v>LGCME563</v>
      </c>
      <c r="BC51" s="98" t="str">
        <f>VLOOKUP(BA51,MiscData!$Z$5:$AB$46,3,FALSE)</f>
        <v>PSP</v>
      </c>
    </row>
    <row r="52" spans="1:55">
      <c r="A52" s="108">
        <v>45</v>
      </c>
      <c r="B52" s="109" t="str">
        <f t="shared" si="28"/>
        <v>Feb 2016</v>
      </c>
      <c r="C52" s="110" t="str">
        <f t="shared" si="29"/>
        <v>PSS</v>
      </c>
      <c r="D52" s="110" t="str">
        <f t="shared" si="30"/>
        <v>LGCME567</v>
      </c>
      <c r="E52" s="111">
        <f t="shared" si="0"/>
        <v>0</v>
      </c>
      <c r="F52" s="112">
        <v>0</v>
      </c>
      <c r="G52" s="111">
        <f t="shared" si="1"/>
        <v>0</v>
      </c>
      <c r="H52" s="111">
        <f t="shared" si="2"/>
        <v>0</v>
      </c>
      <c r="I52" s="111">
        <f t="shared" si="3"/>
        <v>0</v>
      </c>
      <c r="J52" s="111">
        <f t="shared" si="4"/>
        <v>0</v>
      </c>
      <c r="K52" s="113">
        <f t="shared" si="5"/>
        <v>0</v>
      </c>
      <c r="L52" s="113">
        <f t="shared" si="6"/>
        <v>0</v>
      </c>
      <c r="M52" s="113">
        <f t="shared" si="7"/>
        <v>0</v>
      </c>
      <c r="N52" s="116">
        <f t="shared" si="8"/>
        <v>90</v>
      </c>
      <c r="O52" s="117">
        <f t="shared" si="44"/>
        <v>4.0599999999999997E-2</v>
      </c>
      <c r="P52" s="117">
        <f t="shared" si="10"/>
        <v>0</v>
      </c>
      <c r="Q52" s="117">
        <f t="shared" si="11"/>
        <v>0</v>
      </c>
      <c r="R52" s="117">
        <f t="shared" si="12"/>
        <v>2.725E-2</v>
      </c>
      <c r="S52" s="116">
        <f t="shared" si="13"/>
        <v>0</v>
      </c>
      <c r="T52" s="116">
        <f t="shared" si="14"/>
        <v>14.010000000000002</v>
      </c>
      <c r="U52" s="116">
        <f t="shared" si="15"/>
        <v>16.399999999999999</v>
      </c>
      <c r="V52" s="118">
        <f t="shared" si="16"/>
        <v>0</v>
      </c>
      <c r="W52" s="118">
        <f t="shared" si="31"/>
        <v>0</v>
      </c>
      <c r="X52" s="118">
        <f t="shared" si="32"/>
        <v>0</v>
      </c>
      <c r="Y52" s="118">
        <f t="shared" si="33"/>
        <v>0</v>
      </c>
      <c r="Z52" s="118">
        <f t="shared" si="34"/>
        <v>0</v>
      </c>
      <c r="AA52" s="119">
        <v>0</v>
      </c>
      <c r="AB52" s="120">
        <f t="shared" si="17"/>
        <v>0</v>
      </c>
      <c r="AC52" s="118">
        <f t="shared" si="18"/>
        <v>0</v>
      </c>
      <c r="AD52" s="118">
        <f t="shared" si="35"/>
        <v>0</v>
      </c>
      <c r="AE52" s="118">
        <f t="shared" si="19"/>
        <v>0</v>
      </c>
      <c r="AF52" s="121">
        <f t="shared" si="36"/>
        <v>1</v>
      </c>
      <c r="AG52" s="122">
        <f t="shared" si="20"/>
        <v>0</v>
      </c>
      <c r="AH52" s="122">
        <f t="shared" si="21"/>
        <v>0</v>
      </c>
      <c r="AI52" s="122">
        <f t="shared" si="22"/>
        <v>0</v>
      </c>
      <c r="AJ52" s="122">
        <f t="shared" si="23"/>
        <v>0</v>
      </c>
      <c r="AK52" s="122">
        <f t="shared" si="24"/>
        <v>0</v>
      </c>
      <c r="AL52" s="122">
        <f t="shared" si="25"/>
        <v>0</v>
      </c>
      <c r="AM52" s="123">
        <f t="shared" si="26"/>
        <v>0</v>
      </c>
      <c r="AN52" s="123">
        <f t="shared" si="45"/>
        <v>0</v>
      </c>
      <c r="AO52" s="124">
        <f t="shared" si="27"/>
        <v>0</v>
      </c>
      <c r="AP52" s="125">
        <f t="shared" si="38"/>
        <v>0</v>
      </c>
      <c r="AU52" s="109">
        <f>IF(BA52=1,IF(AU51=MiscData!$F$1,EOMONTH(AU51,-11),EOMONTH(AU51,1)),AU51)</f>
        <v>42429</v>
      </c>
      <c r="AV52" s="108" t="str">
        <f t="shared" si="39"/>
        <v>20140101LGCME567</v>
      </c>
      <c r="AW52" s="126" t="str">
        <f t="shared" si="40"/>
        <v>20140101PSS</v>
      </c>
      <c r="AX52">
        <f>MiscData!$X$5</f>
        <v>20140101</v>
      </c>
      <c r="BA52" s="98">
        <f>IF(BA51+1&gt;MiscData!$Z$42,1,BA51+1)</f>
        <v>11</v>
      </c>
      <c r="BB52" s="98" t="str">
        <f>VLOOKUP(BA52,MiscData!$Z$5:$AB$46,2,FALSE)</f>
        <v>LGCME567</v>
      </c>
      <c r="BC52" s="98" t="str">
        <f>VLOOKUP(BA52,MiscData!$Z$5:$AB$46,3,FALSE)</f>
        <v>PSS</v>
      </c>
    </row>
    <row r="53" spans="1:55">
      <c r="A53" s="108">
        <v>46</v>
      </c>
      <c r="B53" s="109" t="str">
        <f t="shared" si="28"/>
        <v>Feb 2016</v>
      </c>
      <c r="C53" s="110" t="str">
        <f t="shared" si="29"/>
        <v>TODS</v>
      </c>
      <c r="D53" s="110" t="str">
        <f t="shared" si="30"/>
        <v>LGCME591</v>
      </c>
      <c r="E53" s="111">
        <f t="shared" si="0"/>
        <v>223</v>
      </c>
      <c r="F53" s="112">
        <v>0</v>
      </c>
      <c r="G53" s="111">
        <f t="shared" si="1"/>
        <v>0</v>
      </c>
      <c r="H53" s="111">
        <f t="shared" si="2"/>
        <v>0</v>
      </c>
      <c r="I53" s="111">
        <f t="shared" si="3"/>
        <v>0</v>
      </c>
      <c r="J53" s="111">
        <f t="shared" si="4"/>
        <v>55589072</v>
      </c>
      <c r="K53" s="113">
        <f t="shared" si="5"/>
        <v>135574</v>
      </c>
      <c r="L53" s="113">
        <f t="shared" si="6"/>
        <v>124531</v>
      </c>
      <c r="M53" s="113">
        <f t="shared" si="7"/>
        <v>121967</v>
      </c>
      <c r="N53" s="116">
        <f t="shared" si="8"/>
        <v>200</v>
      </c>
      <c r="O53" s="117">
        <f t="shared" si="44"/>
        <v>3.9899999999999998E-2</v>
      </c>
      <c r="P53" s="117">
        <f t="shared" si="10"/>
        <v>0</v>
      </c>
      <c r="Q53" s="117">
        <f t="shared" si="11"/>
        <v>0</v>
      </c>
      <c r="R53" s="117">
        <f t="shared" si="12"/>
        <v>2.725E-2</v>
      </c>
      <c r="S53" s="116">
        <f t="shared" si="13"/>
        <v>4</v>
      </c>
      <c r="T53" s="116">
        <f t="shared" si="14"/>
        <v>4.5100000000000007</v>
      </c>
      <c r="U53" s="116">
        <f t="shared" si="15"/>
        <v>6.11</v>
      </c>
      <c r="V53" s="118">
        <f t="shared" si="16"/>
        <v>44600</v>
      </c>
      <c r="W53" s="118">
        <f t="shared" si="31"/>
        <v>2218003.9700000002</v>
      </c>
      <c r="X53" s="118">
        <f t="shared" si="32"/>
        <v>542296</v>
      </c>
      <c r="Y53" s="118">
        <f t="shared" si="33"/>
        <v>561634.81000000006</v>
      </c>
      <c r="Z53" s="118">
        <f t="shared" si="34"/>
        <v>745218.37</v>
      </c>
      <c r="AA53" s="119">
        <v>0</v>
      </c>
      <c r="AB53" s="120">
        <f t="shared" si="17"/>
        <v>0</v>
      </c>
      <c r="AC53" s="118">
        <f t="shared" si="18"/>
        <v>1849149.1800000002</v>
      </c>
      <c r="AD53" s="118">
        <f t="shared" si="35"/>
        <v>4111753.1500000004</v>
      </c>
      <c r="AE53" s="118">
        <f t="shared" si="19"/>
        <v>4111751</v>
      </c>
      <c r="AF53" s="121">
        <f t="shared" si="36"/>
        <v>0.99999899999999997</v>
      </c>
      <c r="AG53" s="122">
        <f t="shared" si="20"/>
        <v>-294312</v>
      </c>
      <c r="AH53" s="122">
        <f t="shared" si="21"/>
        <v>79223</v>
      </c>
      <c r="AI53" s="122">
        <f t="shared" si="22"/>
        <v>532571</v>
      </c>
      <c r="AJ53" s="122">
        <f t="shared" si="23"/>
        <v>0</v>
      </c>
      <c r="AK53" s="122">
        <f t="shared" si="24"/>
        <v>0</v>
      </c>
      <c r="AL53" s="122">
        <f t="shared" si="25"/>
        <v>4429233</v>
      </c>
      <c r="AM53" s="123">
        <f t="shared" si="26"/>
        <v>4429235.1500000004</v>
      </c>
      <c r="AN53" s="123">
        <f t="shared" si="45"/>
        <v>-2.150000000372529</v>
      </c>
      <c r="AO53" s="124">
        <f t="shared" si="27"/>
        <v>1514802.21</v>
      </c>
      <c r="AP53" s="125">
        <f t="shared" si="38"/>
        <v>703201.76000000024</v>
      </c>
      <c r="AU53" s="109">
        <f>IF(BA53=1,IF(AU52=MiscData!$F$1,EOMONTH(AU52,-11),EOMONTH(AU52,1)),AU52)</f>
        <v>42429</v>
      </c>
      <c r="AV53" s="108" t="str">
        <f t="shared" si="39"/>
        <v>20140101LGCME591</v>
      </c>
      <c r="AW53" s="126" t="str">
        <f t="shared" si="40"/>
        <v>20140101TODS</v>
      </c>
      <c r="AX53">
        <f>MiscData!$X$5</f>
        <v>20140101</v>
      </c>
      <c r="BA53" s="98">
        <f>IF(BA52+1&gt;MiscData!$Z$42,1,BA52+1)</f>
        <v>12</v>
      </c>
      <c r="BB53" s="98" t="str">
        <f>VLOOKUP(BA53,MiscData!$Z$5:$AB$46,2,FALSE)</f>
        <v>LGCME591</v>
      </c>
      <c r="BC53" s="98" t="str">
        <f>VLOOKUP(BA53,MiscData!$Z$5:$AB$46,3,FALSE)</f>
        <v>TODS</v>
      </c>
    </row>
    <row r="54" spans="1:55">
      <c r="A54" s="108">
        <v>47</v>
      </c>
      <c r="B54" s="109" t="str">
        <f t="shared" si="28"/>
        <v>Feb 2016</v>
      </c>
      <c r="C54" s="110" t="str">
        <f t="shared" si="29"/>
        <v>CTODP</v>
      </c>
      <c r="D54" s="110" t="str">
        <f t="shared" si="30"/>
        <v>LGCME593</v>
      </c>
      <c r="E54" s="111">
        <f t="shared" si="0"/>
        <v>40</v>
      </c>
      <c r="F54" s="112">
        <v>0</v>
      </c>
      <c r="G54" s="111">
        <f t="shared" si="1"/>
        <v>0</v>
      </c>
      <c r="H54" s="111">
        <f t="shared" si="2"/>
        <v>0</v>
      </c>
      <c r="I54" s="111">
        <f t="shared" si="3"/>
        <v>0</v>
      </c>
      <c r="J54" s="111">
        <f t="shared" si="4"/>
        <v>25576926</v>
      </c>
      <c r="K54" s="113">
        <f t="shared" si="5"/>
        <v>65290</v>
      </c>
      <c r="L54" s="113">
        <f t="shared" si="6"/>
        <v>56701</v>
      </c>
      <c r="M54" s="113">
        <f t="shared" si="7"/>
        <v>55318</v>
      </c>
      <c r="N54" s="116">
        <f t="shared" si="8"/>
        <v>300</v>
      </c>
      <c r="O54" s="117">
        <f t="shared" si="44"/>
        <v>3.8100000000000002E-2</v>
      </c>
      <c r="P54" s="117">
        <f t="shared" si="10"/>
        <v>0</v>
      </c>
      <c r="Q54" s="117">
        <f t="shared" si="11"/>
        <v>0</v>
      </c>
      <c r="R54" s="117">
        <f t="shared" si="12"/>
        <v>2.725E-2</v>
      </c>
      <c r="S54" s="116">
        <f t="shared" si="13"/>
        <v>3.9800000000000004</v>
      </c>
      <c r="T54" s="116">
        <f t="shared" si="14"/>
        <v>4.13</v>
      </c>
      <c r="U54" s="116">
        <f t="shared" si="15"/>
        <v>5.83</v>
      </c>
      <c r="V54" s="118">
        <f t="shared" si="16"/>
        <v>12000</v>
      </c>
      <c r="W54" s="118">
        <f t="shared" si="31"/>
        <v>974480.88</v>
      </c>
      <c r="X54" s="118">
        <f t="shared" si="32"/>
        <v>259854.2</v>
      </c>
      <c r="Y54" s="118">
        <f t="shared" si="33"/>
        <v>234175.13</v>
      </c>
      <c r="Z54" s="118">
        <f t="shared" si="34"/>
        <v>322503.94</v>
      </c>
      <c r="AA54" s="119">
        <v>0</v>
      </c>
      <c r="AB54" s="120">
        <f t="shared" si="17"/>
        <v>0</v>
      </c>
      <c r="AC54" s="118">
        <f t="shared" si="18"/>
        <v>816533.27</v>
      </c>
      <c r="AD54" s="118">
        <f t="shared" si="35"/>
        <v>1803014.15</v>
      </c>
      <c r="AE54" s="118">
        <f t="shared" si="19"/>
        <v>1803012</v>
      </c>
      <c r="AF54" s="121">
        <f t="shared" si="36"/>
        <v>0.99999899999999997</v>
      </c>
      <c r="AG54" s="122">
        <f t="shared" si="20"/>
        <v>-135415</v>
      </c>
      <c r="AH54" s="122">
        <f t="shared" si="21"/>
        <v>36451</v>
      </c>
      <c r="AI54" s="122">
        <f t="shared" si="22"/>
        <v>245040</v>
      </c>
      <c r="AJ54" s="122">
        <f t="shared" si="23"/>
        <v>0</v>
      </c>
      <c r="AK54" s="122">
        <f t="shared" si="24"/>
        <v>0</v>
      </c>
      <c r="AL54" s="122">
        <f t="shared" si="25"/>
        <v>1949088</v>
      </c>
      <c r="AM54" s="123">
        <f t="shared" si="26"/>
        <v>1949090.15</v>
      </c>
      <c r="AN54" s="123">
        <f t="shared" si="45"/>
        <v>-2.1499999999068677</v>
      </c>
      <c r="AO54" s="124">
        <f t="shared" si="27"/>
        <v>696971.23</v>
      </c>
      <c r="AP54" s="125">
        <f t="shared" si="38"/>
        <v>277509.65000000002</v>
      </c>
      <c r="AU54" s="109">
        <f>IF(BA54=1,IF(AU53=MiscData!$F$1,EOMONTH(AU53,-11),EOMONTH(AU53,1)),AU53)</f>
        <v>42429</v>
      </c>
      <c r="AV54" s="108" t="str">
        <f t="shared" si="39"/>
        <v>20140101LGCME593</v>
      </c>
      <c r="AW54" s="126" t="str">
        <f t="shared" si="40"/>
        <v>20140101CTODP</v>
      </c>
      <c r="AX54">
        <f>MiscData!$X$5</f>
        <v>20140101</v>
      </c>
      <c r="BA54" s="98">
        <f>IF(BA53+1&gt;MiscData!$Z$42,1,BA53+1)</f>
        <v>13</v>
      </c>
      <c r="BB54" s="98" t="str">
        <f>VLOOKUP(BA54,MiscData!$Z$5:$AB$46,2,FALSE)</f>
        <v>LGCME593</v>
      </c>
      <c r="BC54" s="98" t="str">
        <f>VLOOKUP(BA54,MiscData!$Z$5:$AB$46,3,FALSE)</f>
        <v>CTODP</v>
      </c>
    </row>
    <row r="55" spans="1:55">
      <c r="A55" s="108">
        <v>48</v>
      </c>
      <c r="B55" s="109" t="str">
        <f t="shared" si="28"/>
        <v>Feb 2016</v>
      </c>
      <c r="C55" s="110" t="str">
        <f t="shared" si="29"/>
        <v>GS3</v>
      </c>
      <c r="D55" s="110" t="str">
        <f t="shared" si="30"/>
        <v>LGCME650</v>
      </c>
      <c r="E55" s="111">
        <f t="shared" si="0"/>
        <v>0</v>
      </c>
      <c r="F55" s="112">
        <v>0</v>
      </c>
      <c r="G55" s="111">
        <f t="shared" si="1"/>
        <v>0</v>
      </c>
      <c r="H55" s="111">
        <f t="shared" si="2"/>
        <v>0</v>
      </c>
      <c r="I55" s="111">
        <f t="shared" si="3"/>
        <v>0</v>
      </c>
      <c r="J55" s="111">
        <f t="shared" si="4"/>
        <v>0</v>
      </c>
      <c r="K55" s="113">
        <f t="shared" si="5"/>
        <v>0</v>
      </c>
      <c r="L55" s="113">
        <f t="shared" si="6"/>
        <v>0</v>
      </c>
      <c r="M55" s="113">
        <f t="shared" si="7"/>
        <v>0</v>
      </c>
      <c r="N55" s="116">
        <f t="shared" si="8"/>
        <v>35</v>
      </c>
      <c r="O55" s="117">
        <f t="shared" si="44"/>
        <v>9.1340000000000005E-2</v>
      </c>
      <c r="P55" s="117">
        <f t="shared" si="10"/>
        <v>0</v>
      </c>
      <c r="Q55" s="117">
        <f t="shared" si="11"/>
        <v>0</v>
      </c>
      <c r="R55" s="117">
        <f t="shared" si="12"/>
        <v>2.725E-2</v>
      </c>
      <c r="S55" s="116">
        <f t="shared" si="13"/>
        <v>0</v>
      </c>
      <c r="T55" s="116">
        <f t="shared" si="14"/>
        <v>0</v>
      </c>
      <c r="U55" s="116">
        <f t="shared" si="15"/>
        <v>0</v>
      </c>
      <c r="V55" s="118">
        <f t="shared" si="16"/>
        <v>0</v>
      </c>
      <c r="W55" s="118">
        <f t="shared" si="31"/>
        <v>0</v>
      </c>
      <c r="X55" s="118">
        <f t="shared" si="32"/>
        <v>0</v>
      </c>
      <c r="Y55" s="118">
        <f t="shared" si="33"/>
        <v>0</v>
      </c>
      <c r="Z55" s="118">
        <f t="shared" si="34"/>
        <v>0</v>
      </c>
      <c r="AA55" s="119">
        <v>0</v>
      </c>
      <c r="AB55" s="120">
        <f t="shared" si="17"/>
        <v>0</v>
      </c>
      <c r="AC55" s="118">
        <f t="shared" si="18"/>
        <v>0</v>
      </c>
      <c r="AD55" s="118">
        <f t="shared" si="35"/>
        <v>0</v>
      </c>
      <c r="AE55" s="118">
        <f t="shared" si="19"/>
        <v>0</v>
      </c>
      <c r="AF55" s="121">
        <f t="shared" si="36"/>
        <v>1</v>
      </c>
      <c r="AG55" s="122">
        <f t="shared" si="20"/>
        <v>0</v>
      </c>
      <c r="AH55" s="122">
        <f t="shared" si="21"/>
        <v>0</v>
      </c>
      <c r="AI55" s="122">
        <f t="shared" si="22"/>
        <v>0</v>
      </c>
      <c r="AJ55" s="122">
        <f t="shared" si="23"/>
        <v>0</v>
      </c>
      <c r="AK55" s="122">
        <f t="shared" si="24"/>
        <v>0</v>
      </c>
      <c r="AL55" s="122">
        <f t="shared" si="25"/>
        <v>0</v>
      </c>
      <c r="AM55" s="123">
        <f t="shared" si="26"/>
        <v>0</v>
      </c>
      <c r="AN55" s="123">
        <f t="shared" ref="AN55:AN59" si="46">ROUND(AL55-AM55,2)</f>
        <v>0</v>
      </c>
      <c r="AO55" s="124">
        <f t="shared" si="27"/>
        <v>0</v>
      </c>
      <c r="AP55" s="125">
        <f t="shared" si="38"/>
        <v>0</v>
      </c>
      <c r="AU55" s="109">
        <f>IF(BA55=1,IF(AU54=MiscData!$F$1,EOMONTH(AU54,-11),EOMONTH(AU54,1)),AU54)</f>
        <v>42429</v>
      </c>
      <c r="AV55" s="108" t="str">
        <f t="shared" si="39"/>
        <v>20140101LGCME650</v>
      </c>
      <c r="AW55" s="126" t="str">
        <f t="shared" si="40"/>
        <v>20140101GS3</v>
      </c>
      <c r="AX55">
        <f>MiscData!$X$5</f>
        <v>20140101</v>
      </c>
      <c r="BA55" s="98">
        <f>IF(BA54+1&gt;MiscData!$Z$42,1,BA54+1)</f>
        <v>14</v>
      </c>
      <c r="BB55" s="98" t="str">
        <f>VLOOKUP(BA55,MiscData!$Z$5:$AB$46,2,FALSE)</f>
        <v>LGCME650</v>
      </c>
      <c r="BC55" s="98" t="str">
        <f>VLOOKUP(BA55,MiscData!$Z$5:$AB$46,3,FALSE)</f>
        <v>GS3</v>
      </c>
    </row>
    <row r="56" spans="1:55">
      <c r="A56" s="108">
        <v>49</v>
      </c>
      <c r="B56" s="109" t="str">
        <f t="shared" si="28"/>
        <v>Feb 2016</v>
      </c>
      <c r="C56" s="110" t="str">
        <f t="shared" si="29"/>
        <v>GS3</v>
      </c>
      <c r="D56" s="110" t="str">
        <f t="shared" si="30"/>
        <v>LGCME651</v>
      </c>
      <c r="E56" s="111">
        <f t="shared" si="0"/>
        <v>16392</v>
      </c>
      <c r="F56" s="112">
        <v>0</v>
      </c>
      <c r="G56" s="111">
        <f t="shared" si="1"/>
        <v>0</v>
      </c>
      <c r="H56" s="111">
        <f t="shared" si="2"/>
        <v>0</v>
      </c>
      <c r="I56" s="111">
        <f t="shared" si="3"/>
        <v>0</v>
      </c>
      <c r="J56" s="111">
        <f t="shared" si="4"/>
        <v>72913022</v>
      </c>
      <c r="K56" s="113">
        <f t="shared" si="5"/>
        <v>197213</v>
      </c>
      <c r="L56" s="113">
        <f t="shared" si="6"/>
        <v>0</v>
      </c>
      <c r="M56" s="113">
        <f t="shared" si="7"/>
        <v>0</v>
      </c>
      <c r="N56" s="116">
        <f t="shared" si="8"/>
        <v>35</v>
      </c>
      <c r="O56" s="117">
        <f t="shared" si="44"/>
        <v>9.1340000000000005E-2</v>
      </c>
      <c r="P56" s="117">
        <f t="shared" si="10"/>
        <v>0</v>
      </c>
      <c r="Q56" s="117">
        <f t="shared" si="11"/>
        <v>0</v>
      </c>
      <c r="R56" s="117">
        <f t="shared" si="12"/>
        <v>2.725E-2</v>
      </c>
      <c r="S56" s="116">
        <f t="shared" si="13"/>
        <v>0</v>
      </c>
      <c r="T56" s="116">
        <f t="shared" si="14"/>
        <v>0</v>
      </c>
      <c r="U56" s="116">
        <f t="shared" si="15"/>
        <v>0</v>
      </c>
      <c r="V56" s="118">
        <f t="shared" si="16"/>
        <v>573720</v>
      </c>
      <c r="W56" s="118">
        <f t="shared" si="31"/>
        <v>6659875.4299999997</v>
      </c>
      <c r="X56" s="118">
        <f t="shared" si="32"/>
        <v>0</v>
      </c>
      <c r="Y56" s="118">
        <f t="shared" si="33"/>
        <v>0</v>
      </c>
      <c r="Z56" s="118">
        <f t="shared" si="34"/>
        <v>0</v>
      </c>
      <c r="AA56" s="119">
        <v>0</v>
      </c>
      <c r="AB56" s="120">
        <f t="shared" si="17"/>
        <v>0</v>
      </c>
      <c r="AC56" s="118">
        <f t="shared" si="18"/>
        <v>0</v>
      </c>
      <c r="AD56" s="118">
        <f t="shared" si="35"/>
        <v>7233595.4299999997</v>
      </c>
      <c r="AE56" s="118">
        <f t="shared" si="19"/>
        <v>7233596</v>
      </c>
      <c r="AF56" s="121">
        <f t="shared" si="36"/>
        <v>1</v>
      </c>
      <c r="AG56" s="122">
        <f t="shared" si="20"/>
        <v>-386033</v>
      </c>
      <c r="AH56" s="122">
        <f t="shared" si="21"/>
        <v>103913</v>
      </c>
      <c r="AI56" s="122">
        <f t="shared" si="22"/>
        <v>698543</v>
      </c>
      <c r="AJ56" s="122">
        <f t="shared" si="23"/>
        <v>0</v>
      </c>
      <c r="AK56" s="122">
        <f t="shared" si="24"/>
        <v>0</v>
      </c>
      <c r="AL56" s="122">
        <f t="shared" si="25"/>
        <v>7650019</v>
      </c>
      <c r="AM56" s="123">
        <f t="shared" si="26"/>
        <v>7650018.4299999997</v>
      </c>
      <c r="AN56" s="123">
        <f t="shared" si="46"/>
        <v>0.56999999999999995</v>
      </c>
      <c r="AO56" s="124">
        <f t="shared" si="27"/>
        <v>1986879.85</v>
      </c>
      <c r="AP56" s="125">
        <f t="shared" si="38"/>
        <v>4672995.58</v>
      </c>
      <c r="AU56" s="109">
        <f>IF(BA56=1,IF(AU55=MiscData!$F$1,EOMONTH(AU55,-11),EOMONTH(AU55,1)),AU55)</f>
        <v>42429</v>
      </c>
      <c r="AV56" s="108" t="str">
        <f t="shared" si="39"/>
        <v>20140101LGCME651</v>
      </c>
      <c r="AW56" s="126" t="str">
        <f t="shared" si="40"/>
        <v>20140101GS3</v>
      </c>
      <c r="AX56">
        <f>MiscData!$X$5</f>
        <v>20140101</v>
      </c>
      <c r="BA56" s="98">
        <f>IF(BA55+1&gt;MiscData!$Z$42,1,BA55+1)</f>
        <v>15</v>
      </c>
      <c r="BB56" s="98" t="str">
        <f>VLOOKUP(BA56,MiscData!$Z$5:$AB$46,2,FALSE)</f>
        <v>LGCME651</v>
      </c>
      <c r="BC56" s="98" t="str">
        <f>VLOOKUP(BA56,MiscData!$Z$5:$AB$46,3,FALSE)</f>
        <v>GS3</v>
      </c>
    </row>
    <row r="57" spans="1:55">
      <c r="A57" s="108">
        <v>50</v>
      </c>
      <c r="B57" s="109" t="str">
        <f t="shared" si="28"/>
        <v>Feb 2016</v>
      </c>
      <c r="C57" s="110" t="str">
        <f t="shared" si="29"/>
        <v>GS3</v>
      </c>
      <c r="D57" s="110" t="str">
        <f t="shared" si="30"/>
        <v>LGCME652</v>
      </c>
      <c r="E57" s="111">
        <f t="shared" si="0"/>
        <v>0</v>
      </c>
      <c r="F57" s="112">
        <v>0</v>
      </c>
      <c r="G57" s="111">
        <f t="shared" si="1"/>
        <v>0</v>
      </c>
      <c r="H57" s="111">
        <f t="shared" si="2"/>
        <v>0</v>
      </c>
      <c r="I57" s="111">
        <f t="shared" si="3"/>
        <v>0</v>
      </c>
      <c r="J57" s="111">
        <f t="shared" si="4"/>
        <v>0</v>
      </c>
      <c r="K57" s="113">
        <f t="shared" si="5"/>
        <v>0</v>
      </c>
      <c r="L57" s="113">
        <f t="shared" si="6"/>
        <v>0</v>
      </c>
      <c r="M57" s="113">
        <f t="shared" si="7"/>
        <v>0</v>
      </c>
      <c r="N57" s="116">
        <f t="shared" si="8"/>
        <v>0</v>
      </c>
      <c r="O57" s="117">
        <f t="shared" si="44"/>
        <v>9.1340000000000005E-2</v>
      </c>
      <c r="P57" s="117">
        <f t="shared" si="10"/>
        <v>0</v>
      </c>
      <c r="Q57" s="117">
        <f t="shared" si="11"/>
        <v>0</v>
      </c>
      <c r="R57" s="117">
        <f t="shared" si="12"/>
        <v>2.725E-2</v>
      </c>
      <c r="S57" s="116">
        <f t="shared" si="13"/>
        <v>0</v>
      </c>
      <c r="T57" s="116">
        <f t="shared" si="14"/>
        <v>0</v>
      </c>
      <c r="U57" s="116">
        <f t="shared" si="15"/>
        <v>0</v>
      </c>
      <c r="V57" s="118">
        <f t="shared" si="16"/>
        <v>0</v>
      </c>
      <c r="W57" s="118">
        <f t="shared" si="31"/>
        <v>0</v>
      </c>
      <c r="X57" s="118">
        <f t="shared" si="32"/>
        <v>0</v>
      </c>
      <c r="Y57" s="118">
        <f t="shared" si="33"/>
        <v>0</v>
      </c>
      <c r="Z57" s="118">
        <f t="shared" si="34"/>
        <v>0</v>
      </c>
      <c r="AA57" s="119">
        <v>0</v>
      </c>
      <c r="AB57" s="120">
        <f t="shared" si="17"/>
        <v>0</v>
      </c>
      <c r="AC57" s="118">
        <f t="shared" si="18"/>
        <v>0</v>
      </c>
      <c r="AD57" s="118">
        <f t="shared" si="35"/>
        <v>0</v>
      </c>
      <c r="AE57" s="118">
        <f t="shared" si="19"/>
        <v>0</v>
      </c>
      <c r="AF57" s="121">
        <f t="shared" si="36"/>
        <v>1</v>
      </c>
      <c r="AG57" s="122">
        <f t="shared" si="20"/>
        <v>0</v>
      </c>
      <c r="AH57" s="122">
        <f t="shared" si="21"/>
        <v>0</v>
      </c>
      <c r="AI57" s="122">
        <f t="shared" si="22"/>
        <v>0</v>
      </c>
      <c r="AJ57" s="122">
        <f t="shared" si="23"/>
        <v>0</v>
      </c>
      <c r="AK57" s="122">
        <f t="shared" si="24"/>
        <v>0</v>
      </c>
      <c r="AL57" s="122">
        <f t="shared" si="25"/>
        <v>0</v>
      </c>
      <c r="AM57" s="123">
        <f t="shared" si="26"/>
        <v>0</v>
      </c>
      <c r="AN57" s="123">
        <f t="shared" si="46"/>
        <v>0</v>
      </c>
      <c r="AO57" s="124">
        <f t="shared" si="27"/>
        <v>0</v>
      </c>
      <c r="AP57" s="125">
        <f t="shared" si="38"/>
        <v>0</v>
      </c>
      <c r="AU57" s="109">
        <f>IF(BA57=1,IF(AU56=MiscData!$F$1,EOMONTH(AU56,-11),EOMONTH(AU56,1)),AU56)</f>
        <v>42429</v>
      </c>
      <c r="AV57" s="108" t="str">
        <f t="shared" si="39"/>
        <v>20140101LGCME652</v>
      </c>
      <c r="AW57" s="126" t="str">
        <f t="shared" si="40"/>
        <v>20140101GS3</v>
      </c>
      <c r="AX57">
        <f>MiscData!$X$5</f>
        <v>20140101</v>
      </c>
      <c r="BA57" s="98">
        <f>IF(BA56+1&gt;MiscData!$Z$42,1,BA56+1)</f>
        <v>16</v>
      </c>
      <c r="BB57" s="98" t="str">
        <f>VLOOKUP(BA57,MiscData!$Z$5:$AB$46,2,FALSE)</f>
        <v>LGCME652</v>
      </c>
      <c r="BC57" s="98" t="str">
        <f>VLOOKUP(BA57,MiscData!$Z$5:$AB$46,3,FALSE)</f>
        <v>GS3</v>
      </c>
    </row>
    <row r="58" spans="1:55">
      <c r="A58" s="108">
        <v>51</v>
      </c>
      <c r="B58" s="109" t="str">
        <f t="shared" si="28"/>
        <v>Feb 2016</v>
      </c>
      <c r="C58" s="110" t="str">
        <f t="shared" si="29"/>
        <v>GS3</v>
      </c>
      <c r="D58" s="110" t="str">
        <f t="shared" si="30"/>
        <v>LGCME657</v>
      </c>
      <c r="E58" s="111">
        <f t="shared" si="0"/>
        <v>0</v>
      </c>
      <c r="F58" s="112">
        <v>0</v>
      </c>
      <c r="G58" s="111">
        <f t="shared" si="1"/>
        <v>0</v>
      </c>
      <c r="H58" s="111">
        <f t="shared" si="2"/>
        <v>0</v>
      </c>
      <c r="I58" s="111">
        <f t="shared" si="3"/>
        <v>0</v>
      </c>
      <c r="J58" s="111">
        <f t="shared" si="4"/>
        <v>0</v>
      </c>
      <c r="K58" s="113">
        <f t="shared" si="5"/>
        <v>0</v>
      </c>
      <c r="L58" s="113">
        <f t="shared" si="6"/>
        <v>0</v>
      </c>
      <c r="M58" s="113">
        <f t="shared" si="7"/>
        <v>0</v>
      </c>
      <c r="N58" s="116">
        <f t="shared" si="8"/>
        <v>35</v>
      </c>
      <c r="O58" s="117">
        <f t="shared" si="44"/>
        <v>9.1340000000000005E-2</v>
      </c>
      <c r="P58" s="117">
        <f t="shared" si="10"/>
        <v>0</v>
      </c>
      <c r="Q58" s="117">
        <f t="shared" si="11"/>
        <v>0</v>
      </c>
      <c r="R58" s="117">
        <f t="shared" si="12"/>
        <v>2.725E-2</v>
      </c>
      <c r="S58" s="116">
        <f t="shared" si="13"/>
        <v>0</v>
      </c>
      <c r="T58" s="116">
        <f t="shared" si="14"/>
        <v>0</v>
      </c>
      <c r="U58" s="116">
        <f t="shared" si="15"/>
        <v>0</v>
      </c>
      <c r="V58" s="118">
        <f t="shared" si="16"/>
        <v>0</v>
      </c>
      <c r="W58" s="118">
        <f t="shared" si="31"/>
        <v>0</v>
      </c>
      <c r="X58" s="118">
        <f t="shared" si="32"/>
        <v>0</v>
      </c>
      <c r="Y58" s="118">
        <f t="shared" si="33"/>
        <v>0</v>
      </c>
      <c r="Z58" s="118">
        <f t="shared" si="34"/>
        <v>0</v>
      </c>
      <c r="AA58" s="119">
        <v>0</v>
      </c>
      <c r="AB58" s="120">
        <f t="shared" si="17"/>
        <v>0</v>
      </c>
      <c r="AC58" s="118">
        <f t="shared" si="18"/>
        <v>0</v>
      </c>
      <c r="AD58" s="118">
        <f t="shared" si="35"/>
        <v>0</v>
      </c>
      <c r="AE58" s="118">
        <f t="shared" si="19"/>
        <v>0</v>
      </c>
      <c r="AF58" s="121">
        <f t="shared" si="36"/>
        <v>1</v>
      </c>
      <c r="AG58" s="122">
        <f t="shared" si="20"/>
        <v>0</v>
      </c>
      <c r="AH58" s="122">
        <f t="shared" si="21"/>
        <v>0</v>
      </c>
      <c r="AI58" s="122">
        <f t="shared" si="22"/>
        <v>0</v>
      </c>
      <c r="AJ58" s="122">
        <f t="shared" si="23"/>
        <v>0</v>
      </c>
      <c r="AK58" s="122">
        <f t="shared" si="24"/>
        <v>0</v>
      </c>
      <c r="AL58" s="122">
        <f t="shared" si="25"/>
        <v>0</v>
      </c>
      <c r="AM58" s="123">
        <f t="shared" si="26"/>
        <v>0</v>
      </c>
      <c r="AN58" s="123">
        <f t="shared" si="46"/>
        <v>0</v>
      </c>
      <c r="AO58" s="124">
        <f t="shared" si="27"/>
        <v>0</v>
      </c>
      <c r="AP58" s="125">
        <f t="shared" si="38"/>
        <v>0</v>
      </c>
      <c r="AU58" s="109">
        <f>IF(BA58=1,IF(AU57=MiscData!$F$1,EOMONTH(AU57,-11),EOMONTH(AU57,1)),AU57)</f>
        <v>42429</v>
      </c>
      <c r="AV58" s="108" t="str">
        <f t="shared" si="39"/>
        <v>20140101LGCME657</v>
      </c>
      <c r="AW58" s="126" t="str">
        <f t="shared" si="40"/>
        <v>20140101GS3</v>
      </c>
      <c r="AX58">
        <f>MiscData!$X$5</f>
        <v>20140101</v>
      </c>
      <c r="BA58" s="98">
        <f>IF(BA57+1&gt;MiscData!$Z$42,1,BA57+1)</f>
        <v>17</v>
      </c>
      <c r="BB58" s="98" t="str">
        <f>VLOOKUP(BA58,MiscData!$Z$5:$AB$46,2,FALSE)</f>
        <v>LGCME657</v>
      </c>
      <c r="BC58" s="98" t="str">
        <f>VLOOKUP(BA58,MiscData!$Z$5:$AB$46,3,FALSE)</f>
        <v>GS3</v>
      </c>
    </row>
    <row r="59" spans="1:55">
      <c r="A59" s="108">
        <v>52</v>
      </c>
      <c r="B59" s="109" t="str">
        <f t="shared" si="28"/>
        <v>Feb 2016</v>
      </c>
      <c r="C59" s="110" t="str">
        <f t="shared" si="29"/>
        <v>LWC</v>
      </c>
      <c r="D59" s="110" t="str">
        <f t="shared" si="30"/>
        <v>LGCME671</v>
      </c>
      <c r="E59" s="111">
        <f t="shared" si="0"/>
        <v>2</v>
      </c>
      <c r="F59" s="112">
        <v>0</v>
      </c>
      <c r="G59" s="111">
        <f t="shared" si="1"/>
        <v>0</v>
      </c>
      <c r="H59" s="111">
        <f t="shared" si="2"/>
        <v>0</v>
      </c>
      <c r="I59" s="111">
        <f t="shared" si="3"/>
        <v>0</v>
      </c>
      <c r="J59" s="111">
        <f t="shared" si="4"/>
        <v>4744800</v>
      </c>
      <c r="K59" s="113">
        <f t="shared" si="5"/>
        <v>0</v>
      </c>
      <c r="L59" s="113">
        <f t="shared" si="6"/>
        <v>9307</v>
      </c>
      <c r="M59" s="113">
        <f t="shared" si="7"/>
        <v>0</v>
      </c>
      <c r="N59" s="116">
        <f t="shared" si="8"/>
        <v>0</v>
      </c>
      <c r="O59" s="117">
        <f t="shared" si="44"/>
        <v>3.7019999999999997E-2</v>
      </c>
      <c r="P59" s="117">
        <f t="shared" si="10"/>
        <v>0</v>
      </c>
      <c r="Q59" s="117">
        <f t="shared" si="11"/>
        <v>0</v>
      </c>
      <c r="R59" s="117">
        <f t="shared" si="12"/>
        <v>2.725E-2</v>
      </c>
      <c r="S59" s="116">
        <f t="shared" si="13"/>
        <v>0</v>
      </c>
      <c r="T59" s="116">
        <f t="shared" si="14"/>
        <v>10.35</v>
      </c>
      <c r="U59" s="116">
        <f t="shared" si="15"/>
        <v>10.35</v>
      </c>
      <c r="V59" s="118">
        <f t="shared" si="16"/>
        <v>0</v>
      </c>
      <c r="W59" s="118">
        <f t="shared" si="31"/>
        <v>175652.5</v>
      </c>
      <c r="X59" s="118">
        <f t="shared" si="32"/>
        <v>0</v>
      </c>
      <c r="Y59" s="118">
        <f t="shared" si="33"/>
        <v>96327.45</v>
      </c>
      <c r="Z59" s="118">
        <f t="shared" si="34"/>
        <v>0</v>
      </c>
      <c r="AA59" s="119">
        <v>0</v>
      </c>
      <c r="AB59" s="120">
        <f t="shared" si="17"/>
        <v>0</v>
      </c>
      <c r="AC59" s="118">
        <f t="shared" si="18"/>
        <v>96327.45</v>
      </c>
      <c r="AD59" s="118">
        <f t="shared" si="35"/>
        <v>271979.95</v>
      </c>
      <c r="AE59" s="118">
        <f t="shared" si="19"/>
        <v>271982</v>
      </c>
      <c r="AF59" s="121">
        <f t="shared" si="36"/>
        <v>1.000008</v>
      </c>
      <c r="AG59" s="122">
        <f t="shared" si="20"/>
        <v>-25121</v>
      </c>
      <c r="AH59" s="122">
        <f t="shared" si="21"/>
        <v>0</v>
      </c>
      <c r="AI59" s="122">
        <f t="shared" si="22"/>
        <v>45458</v>
      </c>
      <c r="AJ59" s="122">
        <f t="shared" si="23"/>
        <v>0</v>
      </c>
      <c r="AK59" s="122">
        <f t="shared" si="24"/>
        <v>0</v>
      </c>
      <c r="AL59" s="122">
        <f t="shared" si="25"/>
        <v>292319</v>
      </c>
      <c r="AM59" s="123">
        <f t="shared" si="26"/>
        <v>292316.95</v>
      </c>
      <c r="AN59" s="123">
        <f t="shared" si="46"/>
        <v>2.0499999999999998</v>
      </c>
      <c r="AO59" s="124">
        <f t="shared" si="27"/>
        <v>129295.8</v>
      </c>
      <c r="AP59" s="125">
        <f t="shared" si="38"/>
        <v>46356.7</v>
      </c>
      <c r="AU59" s="109">
        <f>IF(BA59=1,IF(AU58=MiscData!$F$1,EOMONTH(AU58,-11),EOMONTH(AU58,1)),AU58)</f>
        <v>42429</v>
      </c>
      <c r="AV59" s="108" t="str">
        <f t="shared" si="39"/>
        <v>20140101LGCME671</v>
      </c>
      <c r="AW59" s="126" t="str">
        <f t="shared" si="40"/>
        <v>20140101LWC</v>
      </c>
      <c r="AX59">
        <f>MiscData!$X$5</f>
        <v>20140101</v>
      </c>
      <c r="BA59" s="98">
        <f>IF(BA58+1&gt;MiscData!$Z$42,1,BA58+1)</f>
        <v>18</v>
      </c>
      <c r="BB59" s="98" t="str">
        <f>VLOOKUP(BA59,MiscData!$Z$5:$AB$46,2,FALSE)</f>
        <v>LGCME671</v>
      </c>
      <c r="BC59" s="98" t="str">
        <f>VLOOKUP(BA59,MiscData!$Z$5:$AB$46,3,FALSE)</f>
        <v>LWC</v>
      </c>
    </row>
    <row r="60" spans="1:55">
      <c r="A60" s="108">
        <v>53</v>
      </c>
      <c r="B60" s="109" t="str">
        <f t="shared" si="28"/>
        <v>Feb 2016</v>
      </c>
      <c r="C60" s="110" t="str">
        <f t="shared" si="29"/>
        <v>CSR</v>
      </c>
      <c r="D60" s="110" t="str">
        <f t="shared" si="30"/>
        <v>LGCSR760</v>
      </c>
      <c r="E60" s="111">
        <f t="shared" si="0"/>
        <v>0</v>
      </c>
      <c r="F60" s="112">
        <v>0</v>
      </c>
      <c r="G60" s="111">
        <f t="shared" si="1"/>
        <v>0</v>
      </c>
      <c r="H60" s="111">
        <f t="shared" si="2"/>
        <v>0</v>
      </c>
      <c r="I60" s="111">
        <f t="shared" si="3"/>
        <v>0</v>
      </c>
      <c r="J60" s="111">
        <f t="shared" si="4"/>
        <v>0</v>
      </c>
      <c r="K60" s="113">
        <f t="shared" si="5"/>
        <v>0</v>
      </c>
      <c r="L60" s="113">
        <f t="shared" si="6"/>
        <v>0</v>
      </c>
      <c r="M60" s="113">
        <f t="shared" si="7"/>
        <v>0</v>
      </c>
      <c r="N60" s="116">
        <f t="shared" si="8"/>
        <v>0</v>
      </c>
      <c r="O60" s="117">
        <f t="shared" si="44"/>
        <v>0</v>
      </c>
      <c r="P60" s="117">
        <f t="shared" si="10"/>
        <v>0</v>
      </c>
      <c r="Q60" s="117">
        <f t="shared" si="11"/>
        <v>0</v>
      </c>
      <c r="R60" s="117">
        <f t="shared" si="12"/>
        <v>0</v>
      </c>
      <c r="S60" s="116">
        <f t="shared" si="13"/>
        <v>0</v>
      </c>
      <c r="T60" s="116">
        <f t="shared" si="14"/>
        <v>0</v>
      </c>
      <c r="U60" s="116">
        <f t="shared" si="15"/>
        <v>0</v>
      </c>
      <c r="V60" s="118">
        <f t="shared" si="16"/>
        <v>0</v>
      </c>
      <c r="W60" s="118">
        <f t="shared" si="31"/>
        <v>0</v>
      </c>
      <c r="X60" s="118">
        <f t="shared" si="32"/>
        <v>0</v>
      </c>
      <c r="Y60" s="118">
        <f t="shared" si="33"/>
        <v>0</v>
      </c>
      <c r="Z60" s="118">
        <f t="shared" si="34"/>
        <v>0</v>
      </c>
      <c r="AA60" s="119">
        <v>0</v>
      </c>
      <c r="AB60" s="120">
        <f t="shared" si="17"/>
        <v>0</v>
      </c>
      <c r="AC60" s="118">
        <f t="shared" si="18"/>
        <v>0</v>
      </c>
      <c r="AD60" s="118">
        <f t="shared" si="35"/>
        <v>0</v>
      </c>
      <c r="AE60" s="118">
        <f t="shared" si="19"/>
        <v>0</v>
      </c>
      <c r="AF60" s="121">
        <f t="shared" si="36"/>
        <v>1</v>
      </c>
      <c r="AG60" s="122">
        <f t="shared" si="20"/>
        <v>0</v>
      </c>
      <c r="AH60" s="122">
        <f t="shared" si="21"/>
        <v>0</v>
      </c>
      <c r="AI60" s="122">
        <f t="shared" si="22"/>
        <v>0</v>
      </c>
      <c r="AJ60" s="122">
        <f t="shared" si="23"/>
        <v>0</v>
      </c>
      <c r="AK60" s="122">
        <f t="shared" si="24"/>
        <v>-286526</v>
      </c>
      <c r="AL60" s="122">
        <f t="shared" si="25"/>
        <v>-286526</v>
      </c>
      <c r="AM60" s="123">
        <f t="shared" si="26"/>
        <v>-286526</v>
      </c>
      <c r="AN60" s="123">
        <f t="shared" si="45"/>
        <v>0</v>
      </c>
      <c r="AO60" s="124">
        <f t="shared" si="27"/>
        <v>0</v>
      </c>
      <c r="AP60" s="125">
        <f t="shared" si="38"/>
        <v>0</v>
      </c>
      <c r="AU60" s="109">
        <f>IF(BA60=1,IF(AU59=MiscData!$F$1,EOMONTH(AU59,-11),EOMONTH(AU59,1)),AU59)</f>
        <v>42429</v>
      </c>
      <c r="AV60" s="108" t="str">
        <f t="shared" si="39"/>
        <v>20140101LGCSR760</v>
      </c>
      <c r="AW60" s="126" t="str">
        <f t="shared" si="40"/>
        <v>20140101CSR</v>
      </c>
      <c r="AX60">
        <f>MiscData!$X$5</f>
        <v>20140101</v>
      </c>
      <c r="BA60" s="98">
        <f>IF(BA59+1&gt;MiscData!$Z$42,1,BA59+1)</f>
        <v>19</v>
      </c>
      <c r="BB60" s="98" t="str">
        <f>VLOOKUP(BA60,MiscData!$Z$5:$AB$46,2,FALSE)</f>
        <v>LGCSR760</v>
      </c>
      <c r="BC60" s="98" t="str">
        <f>VLOOKUP(BA60,MiscData!$Z$5:$AB$46,3,FALSE)</f>
        <v>CSR</v>
      </c>
    </row>
    <row r="61" spans="1:55">
      <c r="A61" s="108">
        <v>54</v>
      </c>
      <c r="B61" s="109" t="str">
        <f t="shared" si="28"/>
        <v>Feb 2016</v>
      </c>
      <c r="C61" s="110" t="str">
        <f t="shared" si="29"/>
        <v>CSR</v>
      </c>
      <c r="D61" s="110" t="str">
        <f t="shared" si="30"/>
        <v>LGCSR780</v>
      </c>
      <c r="E61" s="111">
        <f t="shared" si="0"/>
        <v>0</v>
      </c>
      <c r="F61" s="112">
        <v>0</v>
      </c>
      <c r="G61" s="111">
        <f t="shared" si="1"/>
        <v>0</v>
      </c>
      <c r="H61" s="111">
        <f t="shared" si="2"/>
        <v>0</v>
      </c>
      <c r="I61" s="111">
        <f t="shared" si="3"/>
        <v>0</v>
      </c>
      <c r="J61" s="111">
        <f t="shared" si="4"/>
        <v>0</v>
      </c>
      <c r="K61" s="113">
        <f t="shared" si="5"/>
        <v>0</v>
      </c>
      <c r="L61" s="113">
        <f t="shared" si="6"/>
        <v>0</v>
      </c>
      <c r="M61" s="113">
        <f t="shared" si="7"/>
        <v>0</v>
      </c>
      <c r="N61" s="116">
        <f t="shared" si="8"/>
        <v>0</v>
      </c>
      <c r="O61" s="117">
        <f t="shared" si="44"/>
        <v>0</v>
      </c>
      <c r="P61" s="117">
        <f t="shared" si="10"/>
        <v>0</v>
      </c>
      <c r="Q61" s="117">
        <f t="shared" si="11"/>
        <v>0</v>
      </c>
      <c r="R61" s="117">
        <f t="shared" si="12"/>
        <v>0</v>
      </c>
      <c r="S61" s="116">
        <f t="shared" si="13"/>
        <v>0</v>
      </c>
      <c r="T61" s="116">
        <f t="shared" si="14"/>
        <v>0</v>
      </c>
      <c r="U61" s="116">
        <f t="shared" si="15"/>
        <v>0</v>
      </c>
      <c r="V61" s="118">
        <f t="shared" si="16"/>
        <v>0</v>
      </c>
      <c r="W61" s="118">
        <f t="shared" si="31"/>
        <v>0</v>
      </c>
      <c r="X61" s="118">
        <f t="shared" si="32"/>
        <v>0</v>
      </c>
      <c r="Y61" s="118">
        <f t="shared" si="33"/>
        <v>0</v>
      </c>
      <c r="Z61" s="118">
        <f t="shared" si="34"/>
        <v>0</v>
      </c>
      <c r="AA61" s="119">
        <v>0</v>
      </c>
      <c r="AB61" s="120">
        <f t="shared" si="17"/>
        <v>0</v>
      </c>
      <c r="AC61" s="118">
        <f t="shared" si="18"/>
        <v>0</v>
      </c>
      <c r="AD61" s="118">
        <f t="shared" si="35"/>
        <v>0</v>
      </c>
      <c r="AE61" s="118">
        <f t="shared" si="19"/>
        <v>0</v>
      </c>
      <c r="AF61" s="121">
        <f t="shared" si="36"/>
        <v>1</v>
      </c>
      <c r="AG61" s="122">
        <f t="shared" si="20"/>
        <v>0</v>
      </c>
      <c r="AH61" s="122">
        <f t="shared" si="21"/>
        <v>0</v>
      </c>
      <c r="AI61" s="122">
        <f t="shared" si="22"/>
        <v>0</v>
      </c>
      <c r="AJ61" s="122">
        <f t="shared" si="23"/>
        <v>0</v>
      </c>
      <c r="AK61" s="122">
        <f t="shared" si="24"/>
        <v>0</v>
      </c>
      <c r="AL61" s="122">
        <f t="shared" si="25"/>
        <v>0</v>
      </c>
      <c r="AM61" s="123">
        <f t="shared" si="26"/>
        <v>0</v>
      </c>
      <c r="AN61" s="123">
        <f t="shared" si="45"/>
        <v>0</v>
      </c>
      <c r="AO61" s="124">
        <f t="shared" si="27"/>
        <v>0</v>
      </c>
      <c r="AP61" s="125">
        <f t="shared" si="38"/>
        <v>0</v>
      </c>
      <c r="AU61" s="109">
        <f>IF(BA61=1,IF(AU60=MiscData!$F$1,EOMONTH(AU60,-11),EOMONTH(AU60,1)),AU60)</f>
        <v>42429</v>
      </c>
      <c r="AV61" s="108" t="str">
        <f t="shared" si="39"/>
        <v>20140101LGCSR780</v>
      </c>
      <c r="AW61" s="126" t="str">
        <f t="shared" si="40"/>
        <v>20140101CSR</v>
      </c>
      <c r="AX61">
        <f>MiscData!$X$5</f>
        <v>20140101</v>
      </c>
      <c r="BA61" s="98">
        <f>IF(BA60+1&gt;MiscData!$Z$42,1,BA60+1)</f>
        <v>20</v>
      </c>
      <c r="BB61" s="98" t="str">
        <f>VLOOKUP(BA61,MiscData!$Z$5:$AB$46,2,FALSE)</f>
        <v>LGCSR780</v>
      </c>
      <c r="BC61" s="98" t="str">
        <f>VLOOKUP(BA61,MiscData!$Z$5:$AB$46,3,FALSE)</f>
        <v>CSR</v>
      </c>
    </row>
    <row r="62" spans="1:55">
      <c r="A62" s="108">
        <v>55</v>
      </c>
      <c r="B62" s="109" t="str">
        <f t="shared" si="28"/>
        <v>Feb 2016</v>
      </c>
      <c r="C62" s="110" t="str">
        <f t="shared" si="29"/>
        <v>FK</v>
      </c>
      <c r="D62" s="110" t="str">
        <f t="shared" si="30"/>
        <v>LGINE599</v>
      </c>
      <c r="E62" s="111">
        <f t="shared" si="0"/>
        <v>1</v>
      </c>
      <c r="F62" s="112">
        <v>0</v>
      </c>
      <c r="G62" s="111">
        <f t="shared" si="1"/>
        <v>0</v>
      </c>
      <c r="H62" s="111">
        <f t="shared" si="2"/>
        <v>0</v>
      </c>
      <c r="I62" s="111">
        <f t="shared" si="3"/>
        <v>0</v>
      </c>
      <c r="J62" s="111">
        <f t="shared" si="4"/>
        <v>9522500</v>
      </c>
      <c r="K62" s="113">
        <f t="shared" si="5"/>
        <v>0</v>
      </c>
      <c r="L62" s="113">
        <f t="shared" si="6"/>
        <v>14314</v>
      </c>
      <c r="M62" s="113">
        <f t="shared" si="7"/>
        <v>0</v>
      </c>
      <c r="N62" s="116">
        <f t="shared" si="8"/>
        <v>0</v>
      </c>
      <c r="O62" s="117">
        <f t="shared" si="44"/>
        <v>3.7400000000000003E-2</v>
      </c>
      <c r="P62" s="117">
        <f t="shared" si="10"/>
        <v>0</v>
      </c>
      <c r="Q62" s="117">
        <f t="shared" si="11"/>
        <v>0</v>
      </c>
      <c r="R62" s="117">
        <f t="shared" si="12"/>
        <v>2.725E-2</v>
      </c>
      <c r="S62" s="116">
        <f t="shared" si="13"/>
        <v>0</v>
      </c>
      <c r="T62" s="116">
        <f t="shared" si="14"/>
        <v>12.72</v>
      </c>
      <c r="U62" s="116">
        <f t="shared" si="15"/>
        <v>15.040000000000001</v>
      </c>
      <c r="V62" s="118">
        <f t="shared" si="16"/>
        <v>0</v>
      </c>
      <c r="W62" s="118">
        <f t="shared" si="31"/>
        <v>356141.5</v>
      </c>
      <c r="X62" s="118">
        <f t="shared" si="32"/>
        <v>0</v>
      </c>
      <c r="Y62" s="118">
        <f t="shared" si="33"/>
        <v>182074.08</v>
      </c>
      <c r="Z62" s="118">
        <f t="shared" si="34"/>
        <v>0</v>
      </c>
      <c r="AA62" s="119">
        <v>0</v>
      </c>
      <c r="AB62" s="120">
        <f t="shared" si="17"/>
        <v>0</v>
      </c>
      <c r="AC62" s="118">
        <f t="shared" si="18"/>
        <v>182074.08</v>
      </c>
      <c r="AD62" s="118">
        <f>SUM(V62:AB62)</f>
        <v>538215.57999999996</v>
      </c>
      <c r="AE62" s="118">
        <f t="shared" si="19"/>
        <v>538216</v>
      </c>
      <c r="AF62" s="121">
        <f t="shared" si="36"/>
        <v>1.0000009999999999</v>
      </c>
      <c r="AG62" s="122">
        <f t="shared" si="20"/>
        <v>-50416</v>
      </c>
      <c r="AH62" s="122">
        <f t="shared" si="21"/>
        <v>0</v>
      </c>
      <c r="AI62" s="122">
        <f t="shared" si="22"/>
        <v>91230</v>
      </c>
      <c r="AJ62" s="122">
        <f t="shared" si="23"/>
        <v>0</v>
      </c>
      <c r="AK62" s="122">
        <f t="shared" si="24"/>
        <v>0</v>
      </c>
      <c r="AL62" s="122">
        <f t="shared" si="25"/>
        <v>579030</v>
      </c>
      <c r="AM62" s="123">
        <f t="shared" si="26"/>
        <v>579029.57999999996</v>
      </c>
      <c r="AN62" s="123">
        <f t="shared" si="45"/>
        <v>0.42000000004190952</v>
      </c>
      <c r="AO62" s="124">
        <f t="shared" si="27"/>
        <v>259488.13</v>
      </c>
      <c r="AP62" s="125">
        <f t="shared" si="38"/>
        <v>96653.37</v>
      </c>
      <c r="AU62" s="109">
        <f>IF(BA62=1,IF(AU61=MiscData!$F$1,EOMONTH(AU61,-11),EOMONTH(AU61,1)),AU61)</f>
        <v>42429</v>
      </c>
      <c r="AV62" s="108" t="str">
        <f t="shared" si="39"/>
        <v>20140101LGINE599</v>
      </c>
      <c r="AW62" s="126" t="str">
        <f t="shared" si="40"/>
        <v>20140101FK</v>
      </c>
      <c r="AX62">
        <f>MiscData!$X$5</f>
        <v>20140101</v>
      </c>
      <c r="BA62" s="98">
        <f>IF(BA61+1&gt;MiscData!$Z$42,1,BA61+1)</f>
        <v>21</v>
      </c>
      <c r="BB62" s="98" t="str">
        <f>VLOOKUP(BA62,MiscData!$Z$5:$AB$46,2,FALSE)</f>
        <v>LGINE599</v>
      </c>
      <c r="BC62" s="98" t="str">
        <f>VLOOKUP(BA62,MiscData!$Z$5:$AB$46,3,FALSE)</f>
        <v>FK</v>
      </c>
    </row>
    <row r="63" spans="1:55">
      <c r="A63" s="108">
        <v>56</v>
      </c>
      <c r="B63" s="109" t="str">
        <f t="shared" si="28"/>
        <v>Feb 2016</v>
      </c>
      <c r="C63" s="110" t="str">
        <f t="shared" si="29"/>
        <v>RTS</v>
      </c>
      <c r="D63" s="110" t="str">
        <f t="shared" si="30"/>
        <v>LGINE643</v>
      </c>
      <c r="E63" s="111">
        <f t="shared" si="0"/>
        <v>12</v>
      </c>
      <c r="F63" s="112">
        <v>0</v>
      </c>
      <c r="G63" s="111">
        <f t="shared" si="1"/>
        <v>0</v>
      </c>
      <c r="H63" s="111">
        <f t="shared" si="2"/>
        <v>0</v>
      </c>
      <c r="I63" s="111">
        <f t="shared" si="3"/>
        <v>0</v>
      </c>
      <c r="J63" s="111">
        <f t="shared" si="4"/>
        <v>56255087</v>
      </c>
      <c r="K63" s="113">
        <f t="shared" si="5"/>
        <v>157758</v>
      </c>
      <c r="L63" s="113">
        <f t="shared" si="6"/>
        <v>144484</v>
      </c>
      <c r="M63" s="113">
        <f t="shared" si="7"/>
        <v>79386</v>
      </c>
      <c r="N63" s="116">
        <f t="shared" si="8"/>
        <v>750</v>
      </c>
      <c r="O63" s="117">
        <f t="shared" si="44"/>
        <v>3.61E-2</v>
      </c>
      <c r="P63" s="117">
        <f t="shared" si="10"/>
        <v>0</v>
      </c>
      <c r="Q63" s="117">
        <f t="shared" si="11"/>
        <v>0</v>
      </c>
      <c r="R63" s="117">
        <f t="shared" si="12"/>
        <v>2.725E-2</v>
      </c>
      <c r="S63" s="116">
        <f t="shared" si="13"/>
        <v>2.75</v>
      </c>
      <c r="T63" s="116">
        <f t="shared" si="14"/>
        <v>3</v>
      </c>
      <c r="U63" s="116">
        <f t="shared" si="15"/>
        <v>4.5500000000000007</v>
      </c>
      <c r="V63" s="118">
        <f t="shared" si="16"/>
        <v>9000</v>
      </c>
      <c r="W63" s="118">
        <f t="shared" si="31"/>
        <v>2030808.64</v>
      </c>
      <c r="X63" s="118">
        <f t="shared" si="32"/>
        <v>433834.5</v>
      </c>
      <c r="Y63" s="118">
        <f t="shared" si="33"/>
        <v>433452</v>
      </c>
      <c r="Z63" s="118">
        <f t="shared" si="34"/>
        <v>361206.3</v>
      </c>
      <c r="AA63" s="119">
        <v>0</v>
      </c>
      <c r="AB63" s="120">
        <f t="shared" si="17"/>
        <v>0</v>
      </c>
      <c r="AC63" s="118">
        <f t="shared" si="18"/>
        <v>1228492.8</v>
      </c>
      <c r="AD63" s="118">
        <f t="shared" si="35"/>
        <v>3268301.4399999995</v>
      </c>
      <c r="AE63" s="118">
        <f t="shared" si="19"/>
        <v>3268302</v>
      </c>
      <c r="AF63" s="121">
        <f t="shared" si="36"/>
        <v>1</v>
      </c>
      <c r="AG63" s="122">
        <f t="shared" si="20"/>
        <v>-297839</v>
      </c>
      <c r="AH63" s="122">
        <f t="shared" si="21"/>
        <v>0</v>
      </c>
      <c r="AI63" s="122">
        <f t="shared" si="22"/>
        <v>538952</v>
      </c>
      <c r="AJ63" s="122">
        <f t="shared" si="23"/>
        <v>0</v>
      </c>
      <c r="AK63" s="122">
        <f t="shared" si="24"/>
        <v>0</v>
      </c>
      <c r="AL63" s="122">
        <f t="shared" si="25"/>
        <v>3509415</v>
      </c>
      <c r="AM63" s="123">
        <f t="shared" si="26"/>
        <v>3509414.4399999995</v>
      </c>
      <c r="AN63" s="123">
        <f t="shared" si="45"/>
        <v>0.56000000052154064</v>
      </c>
      <c r="AO63" s="124">
        <f t="shared" si="27"/>
        <v>1532951.12</v>
      </c>
      <c r="AP63" s="125">
        <f t="shared" si="38"/>
        <v>497857.51999999979</v>
      </c>
      <c r="AU63" s="109">
        <f>IF(BA63=1,IF(AU62=MiscData!$F$1,EOMONTH(AU62,-11),EOMONTH(AU62,1)),AU62)</f>
        <v>42429</v>
      </c>
      <c r="AV63" s="108" t="str">
        <f t="shared" si="39"/>
        <v>20140101LGINE643</v>
      </c>
      <c r="AW63" s="126" t="str">
        <f t="shared" si="40"/>
        <v>20140101RTS</v>
      </c>
      <c r="AX63">
        <f>MiscData!$X$5</f>
        <v>20140101</v>
      </c>
      <c r="BA63" s="98">
        <f>IF(BA62+1&gt;MiscData!$Z$42,1,BA62+1)</f>
        <v>22</v>
      </c>
      <c r="BB63" s="98" t="str">
        <f>VLOOKUP(BA63,MiscData!$Z$5:$AB$46,2,FALSE)</f>
        <v>LGINE643</v>
      </c>
      <c r="BC63" s="98" t="str">
        <f>VLOOKUP(BA63,MiscData!$Z$5:$AB$46,3,FALSE)</f>
        <v>RTS</v>
      </c>
    </row>
    <row r="64" spans="1:55">
      <c r="A64" s="108">
        <v>57</v>
      </c>
      <c r="B64" s="109" t="str">
        <f t="shared" si="28"/>
        <v>Feb 2016</v>
      </c>
      <c r="C64" s="110" t="str">
        <f t="shared" si="29"/>
        <v>PSS</v>
      </c>
      <c r="D64" s="110" t="str">
        <f t="shared" si="30"/>
        <v>LGINE661</v>
      </c>
      <c r="E64" s="111">
        <f t="shared" si="0"/>
        <v>213</v>
      </c>
      <c r="F64" s="112">
        <v>0</v>
      </c>
      <c r="G64" s="111">
        <f t="shared" si="1"/>
        <v>0</v>
      </c>
      <c r="H64" s="111">
        <f t="shared" si="2"/>
        <v>0</v>
      </c>
      <c r="I64" s="111">
        <f t="shared" si="3"/>
        <v>0</v>
      </c>
      <c r="J64" s="111">
        <f t="shared" si="4"/>
        <v>17230019</v>
      </c>
      <c r="K64" s="113">
        <f t="shared" si="5"/>
        <v>0</v>
      </c>
      <c r="L64" s="113">
        <f t="shared" si="6"/>
        <v>58144</v>
      </c>
      <c r="M64" s="113">
        <f t="shared" si="7"/>
        <v>0</v>
      </c>
      <c r="N64" s="116">
        <f t="shared" si="8"/>
        <v>90</v>
      </c>
      <c r="O64" s="117">
        <f t="shared" si="44"/>
        <v>4.0599999999999997E-2</v>
      </c>
      <c r="P64" s="117">
        <f t="shared" si="10"/>
        <v>0</v>
      </c>
      <c r="Q64" s="117">
        <f t="shared" si="11"/>
        <v>0</v>
      </c>
      <c r="R64" s="117">
        <f t="shared" si="12"/>
        <v>2.725E-2</v>
      </c>
      <c r="S64" s="116">
        <f t="shared" si="13"/>
        <v>0</v>
      </c>
      <c r="T64" s="116">
        <f t="shared" si="14"/>
        <v>14.010000000000002</v>
      </c>
      <c r="U64" s="116">
        <f t="shared" si="15"/>
        <v>16.399999999999999</v>
      </c>
      <c r="V64" s="118">
        <f t="shared" si="16"/>
        <v>19170</v>
      </c>
      <c r="W64" s="118">
        <f t="shared" si="31"/>
        <v>699538.77</v>
      </c>
      <c r="X64" s="118">
        <f t="shared" si="32"/>
        <v>0</v>
      </c>
      <c r="Y64" s="118">
        <f t="shared" si="33"/>
        <v>814597.44</v>
      </c>
      <c r="Z64" s="118">
        <f t="shared" si="34"/>
        <v>0</v>
      </c>
      <c r="AA64" s="119">
        <v>0</v>
      </c>
      <c r="AB64" s="120">
        <f t="shared" si="17"/>
        <v>0</v>
      </c>
      <c r="AC64" s="118">
        <f t="shared" si="18"/>
        <v>814597.44</v>
      </c>
      <c r="AD64" s="118">
        <f t="shared" si="35"/>
        <v>1533306.21</v>
      </c>
      <c r="AE64" s="118">
        <f t="shared" si="19"/>
        <v>1533307</v>
      </c>
      <c r="AF64" s="121">
        <f t="shared" si="36"/>
        <v>1.0000009999999999</v>
      </c>
      <c r="AG64" s="122">
        <f t="shared" si="20"/>
        <v>-91223</v>
      </c>
      <c r="AH64" s="122">
        <f t="shared" si="21"/>
        <v>24556</v>
      </c>
      <c r="AI64" s="122">
        <f t="shared" si="22"/>
        <v>165072</v>
      </c>
      <c r="AJ64" s="122">
        <f t="shared" si="23"/>
        <v>0</v>
      </c>
      <c r="AK64" s="122">
        <f t="shared" si="24"/>
        <v>0</v>
      </c>
      <c r="AL64" s="122">
        <f t="shared" si="25"/>
        <v>1631712</v>
      </c>
      <c r="AM64" s="123">
        <f t="shared" si="26"/>
        <v>1631711.21</v>
      </c>
      <c r="AN64" s="123">
        <f t="shared" si="45"/>
        <v>0.7900000000372529</v>
      </c>
      <c r="AO64" s="124">
        <f t="shared" si="27"/>
        <v>469518.02</v>
      </c>
      <c r="AP64" s="125">
        <f t="shared" si="38"/>
        <v>230020.75</v>
      </c>
      <c r="AU64" s="109">
        <f>IF(BA64=1,IF(AU63=MiscData!$F$1,EOMONTH(AU63,-11),EOMONTH(AU63,1)),AU63)</f>
        <v>42429</v>
      </c>
      <c r="AV64" s="108" t="str">
        <f t="shared" si="39"/>
        <v>20140101LGINE661</v>
      </c>
      <c r="AW64" s="126" t="str">
        <f t="shared" si="40"/>
        <v>20140101PSS</v>
      </c>
      <c r="AX64">
        <f>MiscData!$X$5</f>
        <v>20140101</v>
      </c>
      <c r="BA64" s="98">
        <f>IF(BA63+1&gt;MiscData!$Z$42,1,BA63+1)</f>
        <v>23</v>
      </c>
      <c r="BB64" s="98" t="str">
        <f>VLOOKUP(BA64,MiscData!$Z$5:$AB$46,2,FALSE)</f>
        <v>LGINE661</v>
      </c>
      <c r="BC64" s="98" t="str">
        <f>VLOOKUP(BA64,MiscData!$Z$5:$AB$46,3,FALSE)</f>
        <v>PSS</v>
      </c>
    </row>
    <row r="65" spans="1:55">
      <c r="A65" s="108">
        <v>58</v>
      </c>
      <c r="B65" s="109" t="str">
        <f t="shared" si="28"/>
        <v>Feb 2016</v>
      </c>
      <c r="C65" s="110" t="str">
        <f t="shared" si="29"/>
        <v>PSP</v>
      </c>
      <c r="D65" s="110" t="str">
        <f t="shared" si="30"/>
        <v>LGINE663</v>
      </c>
      <c r="E65" s="111">
        <f t="shared" si="0"/>
        <v>21</v>
      </c>
      <c r="F65" s="112">
        <v>0</v>
      </c>
      <c r="G65" s="111">
        <f t="shared" si="1"/>
        <v>0</v>
      </c>
      <c r="H65" s="111">
        <f t="shared" si="2"/>
        <v>0</v>
      </c>
      <c r="I65" s="111">
        <f t="shared" si="3"/>
        <v>0</v>
      </c>
      <c r="J65" s="111">
        <f t="shared" si="4"/>
        <v>963928</v>
      </c>
      <c r="K65" s="113">
        <f t="shared" si="5"/>
        <v>0</v>
      </c>
      <c r="L65" s="113">
        <f t="shared" si="6"/>
        <v>3731</v>
      </c>
      <c r="M65" s="113">
        <f t="shared" si="7"/>
        <v>0</v>
      </c>
      <c r="N65" s="116">
        <f t="shared" si="8"/>
        <v>170</v>
      </c>
      <c r="O65" s="117">
        <f t="shared" si="44"/>
        <v>3.9260000000000003E-2</v>
      </c>
      <c r="P65" s="117">
        <f t="shared" si="10"/>
        <v>0</v>
      </c>
      <c r="Q65" s="117">
        <f t="shared" si="11"/>
        <v>0</v>
      </c>
      <c r="R65" s="117">
        <f t="shared" si="12"/>
        <v>2.725E-2</v>
      </c>
      <c r="S65" s="116">
        <f t="shared" si="13"/>
        <v>0</v>
      </c>
      <c r="T65" s="116">
        <f t="shared" si="14"/>
        <v>11.660000000000002</v>
      </c>
      <c r="U65" s="116">
        <f t="shared" si="15"/>
        <v>13.950000000000001</v>
      </c>
      <c r="V65" s="118">
        <f t="shared" si="16"/>
        <v>3570</v>
      </c>
      <c r="W65" s="118">
        <f t="shared" si="31"/>
        <v>37843.81</v>
      </c>
      <c r="X65" s="118">
        <f t="shared" si="32"/>
        <v>0</v>
      </c>
      <c r="Y65" s="118">
        <f t="shared" si="33"/>
        <v>43503.46</v>
      </c>
      <c r="Z65" s="118">
        <f t="shared" si="34"/>
        <v>0</v>
      </c>
      <c r="AA65" s="119">
        <v>0</v>
      </c>
      <c r="AB65" s="120">
        <f t="shared" si="17"/>
        <v>0</v>
      </c>
      <c r="AC65" s="118">
        <f t="shared" si="18"/>
        <v>43503.46</v>
      </c>
      <c r="AD65" s="118">
        <f t="shared" si="35"/>
        <v>84917.26999999999</v>
      </c>
      <c r="AE65" s="118">
        <f t="shared" si="19"/>
        <v>84917</v>
      </c>
      <c r="AF65" s="121">
        <f t="shared" si="36"/>
        <v>0.99999700000000002</v>
      </c>
      <c r="AG65" s="122">
        <f t="shared" si="20"/>
        <v>-5103</v>
      </c>
      <c r="AH65" s="122">
        <f t="shared" si="21"/>
        <v>1374</v>
      </c>
      <c r="AI65" s="122">
        <f t="shared" si="22"/>
        <v>9235</v>
      </c>
      <c r="AJ65" s="122">
        <f t="shared" si="23"/>
        <v>0</v>
      </c>
      <c r="AK65" s="122">
        <f t="shared" si="24"/>
        <v>0</v>
      </c>
      <c r="AL65" s="122">
        <f t="shared" si="25"/>
        <v>90423</v>
      </c>
      <c r="AM65" s="123">
        <f t="shared" si="26"/>
        <v>90423.26999999999</v>
      </c>
      <c r="AN65" s="123">
        <f>ROUND(AL65-AM65,2)</f>
        <v>-0.27</v>
      </c>
      <c r="AO65" s="124">
        <f t="shared" si="27"/>
        <v>26267.040000000001</v>
      </c>
      <c r="AP65" s="125">
        <f t="shared" si="38"/>
        <v>11576.769999999997</v>
      </c>
      <c r="AU65" s="109">
        <f>IF(BA65=1,IF(AU64=MiscData!$F$1,EOMONTH(AU64,-11),EOMONTH(AU64,1)),AU64)</f>
        <v>42429</v>
      </c>
      <c r="AV65" s="108" t="str">
        <f t="shared" si="39"/>
        <v>20140101LGINE663</v>
      </c>
      <c r="AW65" s="126" t="str">
        <f t="shared" si="40"/>
        <v>20140101PSP</v>
      </c>
      <c r="AX65">
        <f>MiscData!$X$5</f>
        <v>20140101</v>
      </c>
      <c r="BA65" s="98">
        <f>IF(BA64+1&gt;MiscData!$Z$42,1,BA64+1)</f>
        <v>24</v>
      </c>
      <c r="BB65" s="98" t="str">
        <f>VLOOKUP(BA65,MiscData!$Z$5:$AB$46,2,FALSE)</f>
        <v>LGINE663</v>
      </c>
      <c r="BC65" s="98" t="str">
        <f>VLOOKUP(BA65,MiscData!$Z$5:$AB$46,3,FALSE)</f>
        <v>PSP</v>
      </c>
    </row>
    <row r="66" spans="1:55">
      <c r="A66" s="108">
        <v>59</v>
      </c>
      <c r="B66" s="109" t="str">
        <f t="shared" si="28"/>
        <v>Feb 2016</v>
      </c>
      <c r="C66" s="110" t="str">
        <f t="shared" si="29"/>
        <v>TODS</v>
      </c>
      <c r="D66" s="110" t="str">
        <f t="shared" si="30"/>
        <v>LGINE691</v>
      </c>
      <c r="E66" s="111">
        <f t="shared" si="0"/>
        <v>100</v>
      </c>
      <c r="F66" s="112">
        <v>0</v>
      </c>
      <c r="G66" s="111">
        <f t="shared" si="1"/>
        <v>0</v>
      </c>
      <c r="H66" s="111">
        <f t="shared" si="2"/>
        <v>0</v>
      </c>
      <c r="I66" s="111">
        <f t="shared" si="3"/>
        <v>0</v>
      </c>
      <c r="J66" s="111">
        <f t="shared" si="4"/>
        <v>19781342</v>
      </c>
      <c r="K66" s="113">
        <f t="shared" si="5"/>
        <v>53949</v>
      </c>
      <c r="L66" s="113">
        <f t="shared" si="6"/>
        <v>49120</v>
      </c>
      <c r="M66" s="113">
        <f t="shared" si="7"/>
        <v>48259</v>
      </c>
      <c r="N66" s="116">
        <f t="shared" si="8"/>
        <v>200</v>
      </c>
      <c r="O66" s="117">
        <f t="shared" si="44"/>
        <v>3.9899999999999998E-2</v>
      </c>
      <c r="P66" s="117">
        <f t="shared" si="10"/>
        <v>0</v>
      </c>
      <c r="Q66" s="117">
        <f t="shared" si="11"/>
        <v>0</v>
      </c>
      <c r="R66" s="117">
        <f t="shared" si="12"/>
        <v>2.725E-2</v>
      </c>
      <c r="S66" s="116">
        <f t="shared" si="13"/>
        <v>4</v>
      </c>
      <c r="T66" s="116">
        <f t="shared" si="14"/>
        <v>4.5100000000000007</v>
      </c>
      <c r="U66" s="116">
        <f t="shared" si="15"/>
        <v>6.11</v>
      </c>
      <c r="V66" s="118">
        <f t="shared" si="16"/>
        <v>20000</v>
      </c>
      <c r="W66" s="118">
        <f t="shared" si="31"/>
        <v>789275.55</v>
      </c>
      <c r="X66" s="118">
        <f t="shared" si="32"/>
        <v>215796</v>
      </c>
      <c r="Y66" s="118">
        <f t="shared" si="33"/>
        <v>221531.2</v>
      </c>
      <c r="Z66" s="118">
        <f t="shared" si="34"/>
        <v>294862.49</v>
      </c>
      <c r="AA66" s="119">
        <v>0</v>
      </c>
      <c r="AB66" s="120">
        <f t="shared" si="17"/>
        <v>0</v>
      </c>
      <c r="AC66" s="118">
        <f t="shared" si="18"/>
        <v>732189.69</v>
      </c>
      <c r="AD66" s="118">
        <f t="shared" si="35"/>
        <v>1541465.24</v>
      </c>
      <c r="AE66" s="118">
        <f t="shared" si="19"/>
        <v>1541466</v>
      </c>
      <c r="AF66" s="121">
        <f t="shared" si="36"/>
        <v>1</v>
      </c>
      <c r="AG66" s="122">
        <f t="shared" si="20"/>
        <v>-104731</v>
      </c>
      <c r="AH66" s="122">
        <f t="shared" si="21"/>
        <v>28192</v>
      </c>
      <c r="AI66" s="122">
        <f t="shared" si="22"/>
        <v>189515</v>
      </c>
      <c r="AJ66" s="122">
        <f t="shared" si="23"/>
        <v>0</v>
      </c>
      <c r="AK66" s="122">
        <f t="shared" si="24"/>
        <v>0</v>
      </c>
      <c r="AL66" s="122">
        <f t="shared" si="25"/>
        <v>1654442</v>
      </c>
      <c r="AM66" s="123">
        <f t="shared" si="26"/>
        <v>1654441.24</v>
      </c>
      <c r="AN66" s="123">
        <f t="shared" si="45"/>
        <v>0.76000000000931323</v>
      </c>
      <c r="AO66" s="124">
        <f t="shared" si="27"/>
        <v>539041.56999999995</v>
      </c>
      <c r="AP66" s="125">
        <f t="shared" si="38"/>
        <v>250233.9800000001</v>
      </c>
      <c r="AU66" s="109">
        <f>IF(BA66=1,IF(AU65=MiscData!$F$1,EOMONTH(AU65,-11),EOMONTH(AU65,1)),AU65)</f>
        <v>42429</v>
      </c>
      <c r="AV66" s="108" t="str">
        <f t="shared" si="39"/>
        <v>20140101LGINE691</v>
      </c>
      <c r="AW66" s="126" t="str">
        <f t="shared" si="40"/>
        <v>20140101TODS</v>
      </c>
      <c r="AX66">
        <f>MiscData!$X$5</f>
        <v>20140101</v>
      </c>
      <c r="BA66" s="98">
        <f>IF(BA65+1&gt;MiscData!$Z$42,1,BA65+1)</f>
        <v>25</v>
      </c>
      <c r="BB66" s="98" t="str">
        <f>VLOOKUP(BA66,MiscData!$Z$5:$AB$46,2,FALSE)</f>
        <v>LGINE691</v>
      </c>
      <c r="BC66" s="98" t="str">
        <f>VLOOKUP(BA66,MiscData!$Z$5:$AB$46,3,FALSE)</f>
        <v>TODS</v>
      </c>
    </row>
    <row r="67" spans="1:55">
      <c r="A67" s="108">
        <v>60</v>
      </c>
      <c r="B67" s="109" t="str">
        <f t="shared" si="28"/>
        <v>Feb 2016</v>
      </c>
      <c r="C67" s="110" t="str">
        <f t="shared" si="29"/>
        <v>ITODP</v>
      </c>
      <c r="D67" s="110" t="str">
        <f t="shared" si="30"/>
        <v>LGINE693</v>
      </c>
      <c r="E67" s="111">
        <f t="shared" si="0"/>
        <v>71</v>
      </c>
      <c r="F67" s="112">
        <v>0</v>
      </c>
      <c r="G67" s="111">
        <f t="shared" si="1"/>
        <v>0</v>
      </c>
      <c r="H67" s="111">
        <f t="shared" si="2"/>
        <v>0</v>
      </c>
      <c r="I67" s="111">
        <f t="shared" si="3"/>
        <v>0</v>
      </c>
      <c r="J67" s="111">
        <f t="shared" si="4"/>
        <v>121550529</v>
      </c>
      <c r="K67" s="113">
        <f t="shared" si="5"/>
        <v>318625</v>
      </c>
      <c r="L67" s="113">
        <f t="shared" si="6"/>
        <v>289268</v>
      </c>
      <c r="M67" s="113">
        <f t="shared" si="7"/>
        <v>285425</v>
      </c>
      <c r="N67" s="116">
        <f t="shared" si="8"/>
        <v>300</v>
      </c>
      <c r="O67" s="117">
        <f t="shared" si="44"/>
        <v>3.5380000000000002E-2</v>
      </c>
      <c r="P67" s="117">
        <f t="shared" si="10"/>
        <v>0</v>
      </c>
      <c r="Q67" s="117">
        <f t="shared" si="11"/>
        <v>0</v>
      </c>
      <c r="R67" s="117">
        <f t="shared" si="12"/>
        <v>2.725E-2</v>
      </c>
      <c r="S67" s="116">
        <f t="shared" si="13"/>
        <v>3.6300000000000003</v>
      </c>
      <c r="T67" s="116">
        <f t="shared" si="14"/>
        <v>3.7900000000000005</v>
      </c>
      <c r="U67" s="116">
        <f t="shared" si="15"/>
        <v>4.63</v>
      </c>
      <c r="V67" s="118">
        <f t="shared" si="16"/>
        <v>21300</v>
      </c>
      <c r="W67" s="118">
        <f t="shared" si="31"/>
        <v>4300457.72</v>
      </c>
      <c r="X67" s="118">
        <f t="shared" si="32"/>
        <v>1156608.75</v>
      </c>
      <c r="Y67" s="118">
        <f t="shared" si="33"/>
        <v>1096325.72</v>
      </c>
      <c r="Z67" s="118">
        <f t="shared" si="34"/>
        <v>1321517.75</v>
      </c>
      <c r="AA67" s="119">
        <v>0</v>
      </c>
      <c r="AB67" s="120">
        <f t="shared" si="17"/>
        <v>0</v>
      </c>
      <c r="AC67" s="118">
        <f t="shared" si="18"/>
        <v>3574452.2199999997</v>
      </c>
      <c r="AD67" s="118">
        <f t="shared" si="35"/>
        <v>7896209.9399999995</v>
      </c>
      <c r="AE67" s="118">
        <f t="shared" si="19"/>
        <v>7896212</v>
      </c>
      <c r="AF67" s="121">
        <f t="shared" si="36"/>
        <v>1</v>
      </c>
      <c r="AG67" s="122">
        <f t="shared" si="20"/>
        <v>-643541</v>
      </c>
      <c r="AH67" s="122">
        <f t="shared" si="21"/>
        <v>173229</v>
      </c>
      <c r="AI67" s="122">
        <f t="shared" si="22"/>
        <v>1164515</v>
      </c>
      <c r="AJ67" s="122">
        <f t="shared" si="23"/>
        <v>0</v>
      </c>
      <c r="AK67" s="122">
        <f t="shared" si="24"/>
        <v>0</v>
      </c>
      <c r="AL67" s="122">
        <f t="shared" si="25"/>
        <v>8590415</v>
      </c>
      <c r="AM67" s="123">
        <f t="shared" si="26"/>
        <v>8590412.9399999995</v>
      </c>
      <c r="AN67" s="123">
        <f t="shared" si="45"/>
        <v>2.0600000005215406</v>
      </c>
      <c r="AO67" s="124">
        <f t="shared" si="27"/>
        <v>3312251.92</v>
      </c>
      <c r="AP67" s="125">
        <f t="shared" si="38"/>
        <v>988205.79999999981</v>
      </c>
      <c r="AU67" s="109">
        <f>IF(BA67=1,IF(AU66=MiscData!$F$1,EOMONTH(AU66,-11),EOMONTH(AU66,1)),AU66)</f>
        <v>42429</v>
      </c>
      <c r="AV67" s="108" t="str">
        <f t="shared" si="39"/>
        <v>20140101LGINE693</v>
      </c>
      <c r="AW67" s="126" t="str">
        <f t="shared" si="40"/>
        <v>20140101ITODP</v>
      </c>
      <c r="AX67">
        <f>MiscData!$X$5</f>
        <v>20140101</v>
      </c>
      <c r="BA67" s="98">
        <f>IF(BA66+1&gt;MiscData!$Z$42,1,BA66+1)</f>
        <v>26</v>
      </c>
      <c r="BB67" s="98" t="str">
        <f>VLOOKUP(BA67,MiscData!$Z$5:$AB$46,2,FALSE)</f>
        <v>LGINE693</v>
      </c>
      <c r="BC67" s="98" t="str">
        <f>VLOOKUP(BA67,MiscData!$Z$5:$AB$46,3,FALSE)</f>
        <v>ITODP</v>
      </c>
    </row>
    <row r="68" spans="1:55">
      <c r="A68" s="108">
        <v>61</v>
      </c>
      <c r="B68" s="109" t="str">
        <f t="shared" si="28"/>
        <v>Feb 2016</v>
      </c>
      <c r="C68" s="110" t="str">
        <f t="shared" si="29"/>
        <v>ITODP</v>
      </c>
      <c r="D68" s="110" t="str">
        <f t="shared" si="30"/>
        <v>LGINE694</v>
      </c>
      <c r="E68" s="111">
        <f t="shared" ref="E68:E131" si="47">SUMIFS(L_1022_Count,L_1022_Revenue_Month,$B68,L_1022_Rate_Category,$D68)</f>
        <v>0</v>
      </c>
      <c r="F68" s="112">
        <v>0</v>
      </c>
      <c r="G68" s="111">
        <f t="shared" ref="G68:G131" si="48">SUMIFS(L_1022_KWH_P1,L_1022_Revenue_Month,$B68,L_1022_Rate_Category,$D68)</f>
        <v>0</v>
      </c>
      <c r="H68" s="111">
        <f t="shared" ref="H68:H131" si="49">SUMIFS(L_1022_KWH_P2,L_1022_Revenue_Month,$B68,L_1022_Rate_Category,$D68)</f>
        <v>0</v>
      </c>
      <c r="I68" s="111">
        <f t="shared" ref="I68:I131" si="50">SUMIFS(L_1022_KWH_P3,L_1022_Revenue_Month,$B68,L_1022_Rate_Category,$D68)</f>
        <v>0</v>
      </c>
      <c r="J68" s="111">
        <f t="shared" ref="J68:J131" si="51">SUMIFS(L_1022_KWH_Total,L_1022_Revenue_Month,$B68,L_1022_Rate_Category,$D68)</f>
        <v>0</v>
      </c>
      <c r="K68" s="113">
        <f t="shared" ref="K68:K131" si="52">SUMIFS(L_1022_Demand_Base_Measured,L_1022_Revenue_Month,$B68,L_1022_Rate_Category,$D68)</f>
        <v>0</v>
      </c>
      <c r="L68" s="113">
        <f t="shared" ref="L68:L131" si="53">SUMIFS(L_1022_Demand_Inter_Measured,L_1022_Revenue_Month,$B68,L_1022_Rate_Category,$D68)</f>
        <v>0</v>
      </c>
      <c r="M68" s="113">
        <f t="shared" ref="M68:M131" si="54">SUMIFS(L_1022_Demand_Peak_Measured,L_1022_Revenue_Month,$B68,L_1022_Rate_Category,$D68)</f>
        <v>0</v>
      </c>
      <c r="N68" s="116">
        <f t="shared" ref="N68:N130" si="55">SUMIF(L_Rates_Tariff_Rate_Category,AV68,L_Rates_BSC)</f>
        <v>300</v>
      </c>
      <c r="O68" s="117">
        <f t="shared" si="44"/>
        <v>3.5380000000000002E-2</v>
      </c>
      <c r="P68" s="117">
        <f t="shared" ref="P68:P131" si="56">SUMIF(L_Rates_Tariff_Rate_Category,$AV68,L_Rates_Energy_P2)</f>
        <v>0</v>
      </c>
      <c r="Q68" s="117">
        <f t="shared" ref="Q68:Q131" si="57">SUMIF(L_Rates_Tariff_Rate_Category,$AV68,L_Rates_Energy_P3)</f>
        <v>0</v>
      </c>
      <c r="R68" s="117">
        <f t="shared" ref="R68:R131" si="58">SUMIF(L_Rates_Tariff_Rate_Category,$AV68,L_Rates_Energy_Base_Fuel)</f>
        <v>2.725E-2</v>
      </c>
      <c r="S68" s="116">
        <f t="shared" ref="S68:S131" si="59">SUMIF(L_Rates_Tariff_Rate_Category,$AV68,L_Rates_Demand_Base)</f>
        <v>3.6300000000000003</v>
      </c>
      <c r="T68" s="116">
        <f t="shared" ref="T68:T131" si="60">SUMIF(L_Rates_Tariff_Rate_Category,$AV68,L_Rates_Demand_Intermediate)</f>
        <v>3.7900000000000005</v>
      </c>
      <c r="U68" s="116">
        <f t="shared" ref="U68:U131" si="61">SUMIF(L_Rates_Tariff_Rate_Category,$AV68,L_Rates_Demand_Peak)</f>
        <v>4.63</v>
      </c>
      <c r="V68" s="118">
        <f t="shared" ref="V68:V131" si="62">ROUND(($E68+$F68)*$N68,2)</f>
        <v>0</v>
      </c>
      <c r="W68" s="118">
        <f t="shared" si="31"/>
        <v>0</v>
      </c>
      <c r="X68" s="118">
        <f t="shared" si="32"/>
        <v>0</v>
      </c>
      <c r="Y68" s="118">
        <f t="shared" si="33"/>
        <v>0</v>
      </c>
      <c r="Z68" s="118">
        <f t="shared" si="34"/>
        <v>0</v>
      </c>
      <c r="AA68" s="119">
        <v>0</v>
      </c>
      <c r="AB68" s="120">
        <f t="shared" ref="AB68:AB131" si="63">SUMIFS(L_1022_Revenue_Power_Factor,L_1022_Revenue_Month,$B68,L_1022_Rate_Category,$D68)</f>
        <v>0</v>
      </c>
      <c r="AC68" s="118">
        <f t="shared" ref="AC68:AC131" si="64">SUM(X68:AB68)</f>
        <v>0</v>
      </c>
      <c r="AD68" s="118">
        <f t="shared" si="35"/>
        <v>0</v>
      </c>
      <c r="AE68" s="118">
        <f t="shared" ref="AE68:AE131" si="65">AL68-SUM(AG68:AK68)</f>
        <v>0</v>
      </c>
      <c r="AF68" s="121">
        <f t="shared" si="36"/>
        <v>1</v>
      </c>
      <c r="AG68" s="122">
        <f t="shared" ref="AG68:AG131" si="66">SUMIFS(L_SBR_FAC,L_SBR_Revenue_Month,$B68,L_SBR_Rate_Category,$D68)</f>
        <v>0</v>
      </c>
      <c r="AH68" s="122">
        <f t="shared" ref="AH68:AH131" si="67">SUMIFS(L_SBR_DSM,L_SBR_Revenue_Month,$B68,L_SBR_Rate_Category,$D68)</f>
        <v>0</v>
      </c>
      <c r="AI68" s="122">
        <f t="shared" ref="AI68:AI131" si="68">SUMIFS(L_SBR_ECR,L_SBR_Revenue_Month,$B68,L_SBR_Rate_Category,$D68)</f>
        <v>0</v>
      </c>
      <c r="AJ68" s="122">
        <f t="shared" ref="AJ68:AJ131" si="69">SUMIFS(L_SBR_MSR,L_SBR_Revenue_Month,$B68,L_SBR_Rate_Category,$D68)</f>
        <v>0</v>
      </c>
      <c r="AK68" s="122">
        <f t="shared" ref="AK68:AK131" si="70">SUMIFS(L_SBR_CSR,L_SBR_Revenue_Month,$B68,L_SBR_Rate_Category,$D68)</f>
        <v>0</v>
      </c>
      <c r="AL68" s="122">
        <f t="shared" ref="AL68:AL131" si="71">SUMIFS(L_SBR_Revenue_Total,L_SBR_Revenue_Month,$B68,L_SBR_Rate_Category,$D68)</f>
        <v>0</v>
      </c>
      <c r="AM68" s="123">
        <f t="shared" ref="AM68:AM131" si="72">SUM(AD68,AG68:AK68)</f>
        <v>0</v>
      </c>
      <c r="AN68" s="123">
        <f t="shared" ref="AN68:AN74" si="73">ROUND(AL68-AM68,2)</f>
        <v>0</v>
      </c>
      <c r="AO68" s="124">
        <f t="shared" ref="AO68:AO131" si="74">ROUND(J68*R68,2)</f>
        <v>0</v>
      </c>
      <c r="AP68" s="125">
        <f t="shared" si="38"/>
        <v>0</v>
      </c>
      <c r="AU68" s="109">
        <f>IF(BA68=1,IF(AU67=MiscData!$F$1,EOMONTH(AU67,-11),EOMONTH(AU67,1)),AU67)</f>
        <v>42429</v>
      </c>
      <c r="AV68" s="108" t="str">
        <f t="shared" si="39"/>
        <v>20140101LGINE694</v>
      </c>
      <c r="AW68" s="126" t="str">
        <f t="shared" si="40"/>
        <v>20140101ITODP</v>
      </c>
      <c r="AX68">
        <f>MiscData!$X$5</f>
        <v>20140101</v>
      </c>
      <c r="BA68" s="98">
        <f>IF(BA67+1&gt;MiscData!$Z$42,1,BA67+1)</f>
        <v>27</v>
      </c>
      <c r="BB68" s="98" t="str">
        <f>VLOOKUP(BA68,MiscData!$Z$5:$AB$46,2,FALSE)</f>
        <v>LGINE694</v>
      </c>
      <c r="BC68" s="98" t="str">
        <f>VLOOKUP(BA68,MiscData!$Z$5:$AB$46,3,FALSE)</f>
        <v>ITODP</v>
      </c>
    </row>
    <row r="69" spans="1:55">
      <c r="A69" s="108">
        <v>62</v>
      </c>
      <c r="B69" s="109" t="str">
        <f t="shared" ref="B69:B132" si="75">TEXT(AU69,"mmm yyyy")</f>
        <v>Feb 2016</v>
      </c>
      <c r="C69" s="110" t="str">
        <f t="shared" ref="C69:C132" si="76">BC69</f>
        <v>LE</v>
      </c>
      <c r="D69" s="110" t="str">
        <f t="shared" ref="D69:D132" si="77">BB69</f>
        <v>LGMLE570</v>
      </c>
      <c r="E69" s="111">
        <f t="shared" si="47"/>
        <v>0</v>
      </c>
      <c r="F69" s="112">
        <v>0</v>
      </c>
      <c r="G69" s="111">
        <f t="shared" si="48"/>
        <v>0</v>
      </c>
      <c r="H69" s="111">
        <f t="shared" si="49"/>
        <v>0</v>
      </c>
      <c r="I69" s="111">
        <f t="shared" si="50"/>
        <v>0</v>
      </c>
      <c r="J69" s="111">
        <f t="shared" si="51"/>
        <v>0</v>
      </c>
      <c r="K69" s="113">
        <f t="shared" si="52"/>
        <v>0</v>
      </c>
      <c r="L69" s="113">
        <f t="shared" si="53"/>
        <v>0</v>
      </c>
      <c r="M69" s="113">
        <f t="shared" si="54"/>
        <v>0</v>
      </c>
      <c r="N69" s="116">
        <f t="shared" si="55"/>
        <v>0</v>
      </c>
      <c r="O69" s="117">
        <f t="shared" si="44"/>
        <v>6.4610000000000001E-2</v>
      </c>
      <c r="P69" s="117">
        <f t="shared" si="56"/>
        <v>0</v>
      </c>
      <c r="Q69" s="117">
        <f t="shared" si="57"/>
        <v>0</v>
      </c>
      <c r="R69" s="117">
        <f t="shared" si="58"/>
        <v>2.725E-2</v>
      </c>
      <c r="S69" s="116">
        <f t="shared" si="59"/>
        <v>0</v>
      </c>
      <c r="T69" s="116">
        <f t="shared" si="60"/>
        <v>0</v>
      </c>
      <c r="U69" s="116">
        <f t="shared" si="61"/>
        <v>0</v>
      </c>
      <c r="V69" s="118">
        <f t="shared" si="62"/>
        <v>0</v>
      </c>
      <c r="W69" s="118">
        <f t="shared" ref="W69:W132" si="78">ROUND(IF(G69=0,J69*O69,SUMPRODUCT(G69:I69,O69:Q69)),2)</f>
        <v>0</v>
      </c>
      <c r="X69" s="118">
        <f t="shared" ref="X69:X132" si="79">ROUND(K69*S69,2)</f>
        <v>0</v>
      </c>
      <c r="Y69" s="118">
        <f t="shared" ref="Y69:Y132" si="80">ROUND(L69*T69,2)</f>
        <v>0</v>
      </c>
      <c r="Z69" s="118">
        <f t="shared" ref="Z69:Z132" si="81">ROUND(M69*U69,2)</f>
        <v>0</v>
      </c>
      <c r="AA69" s="119">
        <v>0</v>
      </c>
      <c r="AB69" s="120">
        <f t="shared" si="63"/>
        <v>0</v>
      </c>
      <c r="AC69" s="118">
        <f t="shared" si="64"/>
        <v>0</v>
      </c>
      <c r="AD69" s="118">
        <f t="shared" ref="AD69:AD132" si="82">SUM(V69:AB69)</f>
        <v>0</v>
      </c>
      <c r="AE69" s="118">
        <f t="shared" si="65"/>
        <v>0</v>
      </c>
      <c r="AF69" s="121">
        <f t="shared" ref="AF69:AF132" si="83">IF(AND(AD69=0,AE69=0),1,IF(AD69=0,0,ROUND(AE69/AD69,6)))</f>
        <v>1</v>
      </c>
      <c r="AG69" s="122">
        <f t="shared" si="66"/>
        <v>0</v>
      </c>
      <c r="AH69" s="122">
        <f t="shared" si="67"/>
        <v>0</v>
      </c>
      <c r="AI69" s="122">
        <f t="shared" si="68"/>
        <v>0</v>
      </c>
      <c r="AJ69" s="122">
        <f t="shared" si="69"/>
        <v>0</v>
      </c>
      <c r="AK69" s="122">
        <f t="shared" si="70"/>
        <v>0</v>
      </c>
      <c r="AL69" s="122">
        <f t="shared" si="71"/>
        <v>0</v>
      </c>
      <c r="AM69" s="123">
        <f t="shared" si="72"/>
        <v>0</v>
      </c>
      <c r="AN69" s="123">
        <f t="shared" si="73"/>
        <v>0</v>
      </c>
      <c r="AO69" s="124">
        <f t="shared" si="74"/>
        <v>0</v>
      </c>
      <c r="AP69" s="125">
        <f t="shared" ref="AP69:AP132" si="84">W69-AO69</f>
        <v>0</v>
      </c>
      <c r="AU69" s="109">
        <f>IF(BA69=1,IF(AU68=MiscData!$F$1,EOMONTH(AU68,-11),EOMONTH(AU68,1)),AU68)</f>
        <v>42429</v>
      </c>
      <c r="AV69" s="108" t="str">
        <f t="shared" ref="AV69:AV132" si="85">CONCATENATE(AX69&amp;BB69)</f>
        <v>20140101LGMLE570</v>
      </c>
      <c r="AW69" s="126" t="str">
        <f t="shared" ref="AW69:AW132" si="86">CONCATENATE(AX69&amp;BC69)</f>
        <v>20140101LE</v>
      </c>
      <c r="AX69">
        <f>MiscData!$X$5</f>
        <v>20140101</v>
      </c>
      <c r="BA69" s="98">
        <f>IF(BA68+1&gt;MiscData!$Z$42,1,BA68+1)</f>
        <v>28</v>
      </c>
      <c r="BB69" s="98" t="str">
        <f>VLOOKUP(BA69,MiscData!$Z$5:$AB$46,2,FALSE)</f>
        <v>LGMLE570</v>
      </c>
      <c r="BC69" s="98" t="str">
        <f>VLOOKUP(BA69,MiscData!$Z$5:$AB$46,3,FALSE)</f>
        <v>LE</v>
      </c>
    </row>
    <row r="70" spans="1:55">
      <c r="A70" s="108">
        <v>63</v>
      </c>
      <c r="B70" s="109" t="str">
        <f t="shared" si="75"/>
        <v>Feb 2016</v>
      </c>
      <c r="C70" s="110" t="str">
        <f t="shared" si="76"/>
        <v>LE</v>
      </c>
      <c r="D70" s="110" t="str">
        <f t="shared" si="77"/>
        <v>LGMLE571</v>
      </c>
      <c r="E70" s="111">
        <f t="shared" si="47"/>
        <v>156</v>
      </c>
      <c r="F70" s="112">
        <v>0</v>
      </c>
      <c r="G70" s="111">
        <f t="shared" si="48"/>
        <v>0</v>
      </c>
      <c r="H70" s="111">
        <f t="shared" si="49"/>
        <v>0</v>
      </c>
      <c r="I70" s="111">
        <f t="shared" si="50"/>
        <v>0</v>
      </c>
      <c r="J70" s="111">
        <f t="shared" si="51"/>
        <v>268287</v>
      </c>
      <c r="K70" s="113">
        <f t="shared" si="52"/>
        <v>0</v>
      </c>
      <c r="L70" s="113">
        <f t="shared" si="53"/>
        <v>0</v>
      </c>
      <c r="M70" s="113">
        <f t="shared" si="54"/>
        <v>0</v>
      </c>
      <c r="N70" s="116">
        <f t="shared" si="55"/>
        <v>0</v>
      </c>
      <c r="O70" s="117">
        <f t="shared" si="44"/>
        <v>6.4610000000000001E-2</v>
      </c>
      <c r="P70" s="117">
        <f t="shared" si="56"/>
        <v>0</v>
      </c>
      <c r="Q70" s="117">
        <f t="shared" si="57"/>
        <v>0</v>
      </c>
      <c r="R70" s="117">
        <f t="shared" si="58"/>
        <v>2.725E-2</v>
      </c>
      <c r="S70" s="116">
        <f t="shared" si="59"/>
        <v>0</v>
      </c>
      <c r="T70" s="116">
        <f t="shared" si="60"/>
        <v>0</v>
      </c>
      <c r="U70" s="116">
        <f t="shared" si="61"/>
        <v>0</v>
      </c>
      <c r="V70" s="118">
        <f t="shared" si="62"/>
        <v>0</v>
      </c>
      <c r="W70" s="118">
        <f t="shared" si="78"/>
        <v>17334.02</v>
      </c>
      <c r="X70" s="118">
        <f t="shared" si="79"/>
        <v>0</v>
      </c>
      <c r="Y70" s="118">
        <f t="shared" si="80"/>
        <v>0</v>
      </c>
      <c r="Z70" s="118">
        <f t="shared" si="81"/>
        <v>0</v>
      </c>
      <c r="AA70" s="119">
        <v>0</v>
      </c>
      <c r="AB70" s="120">
        <f t="shared" si="63"/>
        <v>0</v>
      </c>
      <c r="AC70" s="118">
        <f t="shared" si="64"/>
        <v>0</v>
      </c>
      <c r="AD70" s="118">
        <f t="shared" si="82"/>
        <v>17334.02</v>
      </c>
      <c r="AE70" s="118">
        <f t="shared" si="65"/>
        <v>0</v>
      </c>
      <c r="AF70" s="121">
        <f t="shared" si="83"/>
        <v>0</v>
      </c>
      <c r="AG70" s="122">
        <f t="shared" si="66"/>
        <v>0</v>
      </c>
      <c r="AH70" s="122">
        <f t="shared" si="67"/>
        <v>0</v>
      </c>
      <c r="AI70" s="122">
        <f t="shared" si="68"/>
        <v>0</v>
      </c>
      <c r="AJ70" s="122">
        <f t="shared" si="69"/>
        <v>0</v>
      </c>
      <c r="AK70" s="122">
        <f t="shared" si="70"/>
        <v>0</v>
      </c>
      <c r="AL70" s="122">
        <f t="shared" si="71"/>
        <v>0</v>
      </c>
      <c r="AM70" s="123">
        <f t="shared" si="72"/>
        <v>17334.02</v>
      </c>
      <c r="AN70" s="123">
        <f t="shared" si="73"/>
        <v>-17334.02</v>
      </c>
      <c r="AO70" s="124">
        <f t="shared" si="74"/>
        <v>7310.82</v>
      </c>
      <c r="AP70" s="125">
        <f t="shared" si="84"/>
        <v>10023.200000000001</v>
      </c>
      <c r="AU70" s="109">
        <f>IF(BA70=1,IF(AU69=MiscData!$F$1,EOMONTH(AU69,-11),EOMONTH(AU69,1)),AU69)</f>
        <v>42429</v>
      </c>
      <c r="AV70" s="108" t="str">
        <f t="shared" si="85"/>
        <v>20140101LGMLE571</v>
      </c>
      <c r="AW70" s="126" t="str">
        <f t="shared" si="86"/>
        <v>20140101LE</v>
      </c>
      <c r="AX70">
        <f>MiscData!$X$5</f>
        <v>20140101</v>
      </c>
      <c r="BA70" s="98">
        <f>IF(BA69+1&gt;MiscData!$Z$42,1,BA69+1)</f>
        <v>29</v>
      </c>
      <c r="BB70" s="98" t="str">
        <f>VLOOKUP(BA70,MiscData!$Z$5:$AB$46,2,FALSE)</f>
        <v>LGMLE571</v>
      </c>
      <c r="BC70" s="98" t="str">
        <f>VLOOKUP(BA70,MiscData!$Z$5:$AB$46,3,FALSE)</f>
        <v>LE</v>
      </c>
    </row>
    <row r="71" spans="1:55">
      <c r="A71" s="108">
        <v>64</v>
      </c>
      <c r="B71" s="109" t="str">
        <f t="shared" si="75"/>
        <v>Feb 2016</v>
      </c>
      <c r="C71" s="110" t="str">
        <f t="shared" si="76"/>
        <v>LE</v>
      </c>
      <c r="D71" s="110" t="str">
        <f t="shared" si="77"/>
        <v>LGMLE572</v>
      </c>
      <c r="E71" s="111">
        <f t="shared" si="47"/>
        <v>0</v>
      </c>
      <c r="F71" s="112">
        <v>0</v>
      </c>
      <c r="G71" s="111">
        <f t="shared" si="48"/>
        <v>0</v>
      </c>
      <c r="H71" s="111">
        <f t="shared" si="49"/>
        <v>0</v>
      </c>
      <c r="I71" s="111">
        <f t="shared" si="50"/>
        <v>0</v>
      </c>
      <c r="J71" s="111">
        <f t="shared" si="51"/>
        <v>0</v>
      </c>
      <c r="K71" s="113">
        <f t="shared" si="52"/>
        <v>0</v>
      </c>
      <c r="L71" s="113">
        <f t="shared" si="53"/>
        <v>0</v>
      </c>
      <c r="M71" s="113">
        <f t="shared" si="54"/>
        <v>0</v>
      </c>
      <c r="N71" s="116">
        <f t="shared" si="55"/>
        <v>0</v>
      </c>
      <c r="O71" s="117">
        <f t="shared" si="44"/>
        <v>6.4610000000000001E-2</v>
      </c>
      <c r="P71" s="117">
        <f t="shared" si="56"/>
        <v>0</v>
      </c>
      <c r="Q71" s="117">
        <f t="shared" si="57"/>
        <v>0</v>
      </c>
      <c r="R71" s="117">
        <f t="shared" si="58"/>
        <v>2.725E-2</v>
      </c>
      <c r="S71" s="116">
        <f t="shared" si="59"/>
        <v>0</v>
      </c>
      <c r="T71" s="116">
        <f t="shared" si="60"/>
        <v>0</v>
      </c>
      <c r="U71" s="116">
        <f t="shared" si="61"/>
        <v>0</v>
      </c>
      <c r="V71" s="118">
        <f t="shared" si="62"/>
        <v>0</v>
      </c>
      <c r="W71" s="118">
        <f t="shared" si="78"/>
        <v>0</v>
      </c>
      <c r="X71" s="118">
        <f t="shared" si="79"/>
        <v>0</v>
      </c>
      <c r="Y71" s="118">
        <f t="shared" si="80"/>
        <v>0</v>
      </c>
      <c r="Z71" s="118">
        <f t="shared" si="81"/>
        <v>0</v>
      </c>
      <c r="AA71" s="119">
        <v>0</v>
      </c>
      <c r="AB71" s="120">
        <f t="shared" si="63"/>
        <v>0</v>
      </c>
      <c r="AC71" s="118">
        <f t="shared" si="64"/>
        <v>0</v>
      </c>
      <c r="AD71" s="118">
        <f t="shared" si="82"/>
        <v>0</v>
      </c>
      <c r="AE71" s="118">
        <f t="shared" si="65"/>
        <v>0</v>
      </c>
      <c r="AF71" s="121">
        <f t="shared" si="83"/>
        <v>1</v>
      </c>
      <c r="AG71" s="122">
        <f t="shared" si="66"/>
        <v>0</v>
      </c>
      <c r="AH71" s="122">
        <f t="shared" si="67"/>
        <v>0</v>
      </c>
      <c r="AI71" s="122">
        <f t="shared" si="68"/>
        <v>0</v>
      </c>
      <c r="AJ71" s="122">
        <f t="shared" si="69"/>
        <v>0</v>
      </c>
      <c r="AK71" s="122">
        <f t="shared" si="70"/>
        <v>0</v>
      </c>
      <c r="AL71" s="122">
        <f t="shared" si="71"/>
        <v>0</v>
      </c>
      <c r="AM71" s="123">
        <f t="shared" si="72"/>
        <v>0</v>
      </c>
      <c r="AN71" s="123">
        <f t="shared" si="73"/>
        <v>0</v>
      </c>
      <c r="AO71" s="124">
        <f t="shared" si="74"/>
        <v>0</v>
      </c>
      <c r="AP71" s="125">
        <f t="shared" si="84"/>
        <v>0</v>
      </c>
      <c r="AU71" s="109">
        <f>IF(BA71=1,IF(AU70=MiscData!$F$1,EOMONTH(AU70,-11),EOMONTH(AU70,1)),AU70)</f>
        <v>42429</v>
      </c>
      <c r="AV71" s="108" t="str">
        <f t="shared" si="85"/>
        <v>20140101LGMLE572</v>
      </c>
      <c r="AW71" s="126" t="str">
        <f t="shared" si="86"/>
        <v>20140101LE</v>
      </c>
      <c r="AX71">
        <f>MiscData!$X$5</f>
        <v>20140101</v>
      </c>
      <c r="BA71" s="98">
        <f>IF(BA70+1&gt;MiscData!$Z$42,1,BA70+1)</f>
        <v>30</v>
      </c>
      <c r="BB71" s="98" t="str">
        <f>VLOOKUP(BA71,MiscData!$Z$5:$AB$46,2,FALSE)</f>
        <v>LGMLE572</v>
      </c>
      <c r="BC71" s="98" t="str">
        <f>VLOOKUP(BA71,MiscData!$Z$5:$AB$46,3,FALSE)</f>
        <v>LE</v>
      </c>
    </row>
    <row r="72" spans="1:55">
      <c r="A72" s="108">
        <v>65</v>
      </c>
      <c r="B72" s="109" t="str">
        <f t="shared" si="75"/>
        <v>Feb 2016</v>
      </c>
      <c r="C72" s="110" t="str">
        <f t="shared" si="76"/>
        <v>TE</v>
      </c>
      <c r="D72" s="110" t="str">
        <f t="shared" si="77"/>
        <v>LGMLE573</v>
      </c>
      <c r="E72" s="111">
        <f t="shared" si="47"/>
        <v>905</v>
      </c>
      <c r="F72" s="112">
        <v>0</v>
      </c>
      <c r="G72" s="111">
        <f t="shared" si="48"/>
        <v>0</v>
      </c>
      <c r="H72" s="111">
        <f t="shared" si="49"/>
        <v>0</v>
      </c>
      <c r="I72" s="111">
        <f t="shared" si="50"/>
        <v>0</v>
      </c>
      <c r="J72" s="111">
        <f t="shared" si="51"/>
        <v>231486</v>
      </c>
      <c r="K72" s="113">
        <f t="shared" si="52"/>
        <v>0</v>
      </c>
      <c r="L72" s="113">
        <f t="shared" si="53"/>
        <v>0</v>
      </c>
      <c r="M72" s="113">
        <f t="shared" si="54"/>
        <v>0</v>
      </c>
      <c r="N72" s="116">
        <f t="shared" si="55"/>
        <v>3.25</v>
      </c>
      <c r="O72" s="117">
        <f t="shared" si="44"/>
        <v>7.6579999999999995E-2</v>
      </c>
      <c r="P72" s="117">
        <f t="shared" si="56"/>
        <v>0</v>
      </c>
      <c r="Q72" s="117">
        <f t="shared" si="57"/>
        <v>0</v>
      </c>
      <c r="R72" s="117">
        <f t="shared" si="58"/>
        <v>2.725E-2</v>
      </c>
      <c r="S72" s="116">
        <f t="shared" si="59"/>
        <v>0</v>
      </c>
      <c r="T72" s="116">
        <f t="shared" si="60"/>
        <v>0</v>
      </c>
      <c r="U72" s="116">
        <f t="shared" si="61"/>
        <v>0</v>
      </c>
      <c r="V72" s="118">
        <f t="shared" si="62"/>
        <v>2941.25</v>
      </c>
      <c r="W72" s="683">
        <f t="shared" si="78"/>
        <v>17727.2</v>
      </c>
      <c r="X72" s="118">
        <f t="shared" si="79"/>
        <v>0</v>
      </c>
      <c r="Y72" s="118">
        <f t="shared" si="80"/>
        <v>0</v>
      </c>
      <c r="Z72" s="118">
        <f t="shared" si="81"/>
        <v>0</v>
      </c>
      <c r="AA72" s="119">
        <v>0</v>
      </c>
      <c r="AB72" s="120">
        <f t="shared" si="63"/>
        <v>0</v>
      </c>
      <c r="AC72" s="118">
        <f t="shared" si="64"/>
        <v>0</v>
      </c>
      <c r="AD72" s="118">
        <f t="shared" si="82"/>
        <v>20668.45</v>
      </c>
      <c r="AE72" s="118">
        <f t="shared" si="65"/>
        <v>0</v>
      </c>
      <c r="AF72" s="121">
        <f t="shared" si="83"/>
        <v>0</v>
      </c>
      <c r="AG72" s="122">
        <f t="shared" si="66"/>
        <v>0</v>
      </c>
      <c r="AH72" s="122">
        <f t="shared" si="67"/>
        <v>0</v>
      </c>
      <c r="AI72" s="122">
        <f t="shared" si="68"/>
        <v>0</v>
      </c>
      <c r="AJ72" s="122">
        <f t="shared" si="69"/>
        <v>0</v>
      </c>
      <c r="AK72" s="122">
        <f t="shared" si="70"/>
        <v>0</v>
      </c>
      <c r="AL72" s="122">
        <f t="shared" si="71"/>
        <v>0</v>
      </c>
      <c r="AM72" s="123">
        <f t="shared" si="72"/>
        <v>20668.45</v>
      </c>
      <c r="AN72" s="123">
        <f t="shared" si="73"/>
        <v>-20668.45</v>
      </c>
      <c r="AO72" s="124">
        <f t="shared" si="74"/>
        <v>6307.99</v>
      </c>
      <c r="AP72" s="125">
        <f t="shared" si="84"/>
        <v>11419.210000000001</v>
      </c>
      <c r="AU72" s="109">
        <f>IF(BA72=1,IF(AU71=MiscData!$F$1,EOMONTH(AU71,-11),EOMONTH(AU71,1)),AU71)</f>
        <v>42429</v>
      </c>
      <c r="AV72" s="108" t="str">
        <f t="shared" si="85"/>
        <v>20140101LGMLE573</v>
      </c>
      <c r="AW72" s="126" t="str">
        <f t="shared" si="86"/>
        <v>20140101TE</v>
      </c>
      <c r="AX72">
        <f>MiscData!$X$5</f>
        <v>20140101</v>
      </c>
      <c r="BA72" s="98">
        <f>IF(BA71+1&gt;MiscData!$Z$42,1,BA71+1)</f>
        <v>31</v>
      </c>
      <c r="BB72" s="98" t="str">
        <f>VLOOKUP(BA72,MiscData!$Z$5:$AB$46,2,FALSE)</f>
        <v>LGMLE573</v>
      </c>
      <c r="BC72" s="98" t="str">
        <f>VLOOKUP(BA72,MiscData!$Z$5:$AB$46,3,FALSE)</f>
        <v>TE</v>
      </c>
    </row>
    <row r="73" spans="1:55">
      <c r="A73" s="108">
        <v>66</v>
      </c>
      <c r="B73" s="109" t="str">
        <f t="shared" si="75"/>
        <v>Feb 2016</v>
      </c>
      <c r="C73" s="110" t="str">
        <f t="shared" si="76"/>
        <v>TE</v>
      </c>
      <c r="D73" s="110" t="str">
        <f t="shared" si="77"/>
        <v>LGMLE574</v>
      </c>
      <c r="E73" s="111">
        <f t="shared" si="47"/>
        <v>0</v>
      </c>
      <c r="F73" s="112">
        <v>0</v>
      </c>
      <c r="G73" s="111">
        <f t="shared" si="48"/>
        <v>0</v>
      </c>
      <c r="H73" s="111">
        <f t="shared" si="49"/>
        <v>0</v>
      </c>
      <c r="I73" s="111">
        <f t="shared" si="50"/>
        <v>0</v>
      </c>
      <c r="J73" s="111">
        <f t="shared" si="51"/>
        <v>0</v>
      </c>
      <c r="K73" s="113">
        <f t="shared" si="52"/>
        <v>0</v>
      </c>
      <c r="L73" s="113">
        <f t="shared" si="53"/>
        <v>0</v>
      </c>
      <c r="M73" s="113">
        <f t="shared" si="54"/>
        <v>0</v>
      </c>
      <c r="N73" s="116">
        <f t="shared" si="55"/>
        <v>3.25</v>
      </c>
      <c r="O73" s="117">
        <f t="shared" si="44"/>
        <v>7.6579999999999995E-2</v>
      </c>
      <c r="P73" s="117">
        <f t="shared" si="56"/>
        <v>0</v>
      </c>
      <c r="Q73" s="117">
        <f t="shared" si="57"/>
        <v>0</v>
      </c>
      <c r="R73" s="117">
        <f t="shared" si="58"/>
        <v>2.725E-2</v>
      </c>
      <c r="S73" s="116">
        <f t="shared" si="59"/>
        <v>0</v>
      </c>
      <c r="T73" s="116">
        <f t="shared" si="60"/>
        <v>0</v>
      </c>
      <c r="U73" s="116">
        <f t="shared" si="61"/>
        <v>0</v>
      </c>
      <c r="V73" s="118">
        <f t="shared" si="62"/>
        <v>0</v>
      </c>
      <c r="W73" s="683">
        <f t="shared" si="78"/>
        <v>0</v>
      </c>
      <c r="X73" s="118">
        <f t="shared" si="79"/>
        <v>0</v>
      </c>
      <c r="Y73" s="118">
        <f t="shared" si="80"/>
        <v>0</v>
      </c>
      <c r="Z73" s="118">
        <f t="shared" si="81"/>
        <v>0</v>
      </c>
      <c r="AA73" s="119">
        <v>0</v>
      </c>
      <c r="AB73" s="120">
        <f t="shared" si="63"/>
        <v>0</v>
      </c>
      <c r="AC73" s="118">
        <f t="shared" si="64"/>
        <v>0</v>
      </c>
      <c r="AD73" s="118">
        <f t="shared" si="82"/>
        <v>0</v>
      </c>
      <c r="AE73" s="118">
        <f t="shared" si="65"/>
        <v>0</v>
      </c>
      <c r="AF73" s="121">
        <f t="shared" si="83"/>
        <v>1</v>
      </c>
      <c r="AG73" s="122">
        <f t="shared" si="66"/>
        <v>0</v>
      </c>
      <c r="AH73" s="122">
        <f t="shared" si="67"/>
        <v>0</v>
      </c>
      <c r="AI73" s="122">
        <f t="shared" si="68"/>
        <v>0</v>
      </c>
      <c r="AJ73" s="122">
        <f t="shared" si="69"/>
        <v>0</v>
      </c>
      <c r="AK73" s="122">
        <f t="shared" si="70"/>
        <v>0</v>
      </c>
      <c r="AL73" s="122">
        <f t="shared" si="71"/>
        <v>0</v>
      </c>
      <c r="AM73" s="123">
        <f t="shared" si="72"/>
        <v>0</v>
      </c>
      <c r="AN73" s="123">
        <f t="shared" si="73"/>
        <v>0</v>
      </c>
      <c r="AO73" s="124">
        <f t="shared" si="74"/>
        <v>0</v>
      </c>
      <c r="AP73" s="125">
        <f t="shared" si="84"/>
        <v>0</v>
      </c>
      <c r="AU73" s="109">
        <f>IF(BA73=1,IF(AU72=MiscData!$F$1,EOMONTH(AU72,-11),EOMONTH(AU72,1)),AU72)</f>
        <v>42429</v>
      </c>
      <c r="AV73" s="108" t="str">
        <f t="shared" si="85"/>
        <v>20140101LGMLE574</v>
      </c>
      <c r="AW73" s="126" t="str">
        <f t="shared" si="86"/>
        <v>20140101TE</v>
      </c>
      <c r="AX73">
        <f>MiscData!$X$5</f>
        <v>20140101</v>
      </c>
      <c r="BA73" s="98">
        <f>IF(BA72+1&gt;MiscData!$Z$42,1,BA72+1)</f>
        <v>32</v>
      </c>
      <c r="BB73" s="98" t="str">
        <f>VLOOKUP(BA73,MiscData!$Z$5:$AB$46,2,FALSE)</f>
        <v>LGMLE574</v>
      </c>
      <c r="BC73" s="98" t="str">
        <f>VLOOKUP(BA73,MiscData!$Z$5:$AB$46,3,FALSE)</f>
        <v>TE</v>
      </c>
    </row>
    <row r="74" spans="1:55">
      <c r="A74" s="108">
        <v>67</v>
      </c>
      <c r="B74" s="109" t="str">
        <f t="shared" si="75"/>
        <v>Feb 2016</v>
      </c>
      <c r="C74" s="110" t="str">
        <f t="shared" si="76"/>
        <v>RS</v>
      </c>
      <c r="D74" s="110" t="str">
        <f t="shared" si="77"/>
        <v>LGRSE411</v>
      </c>
      <c r="E74" s="111">
        <f t="shared" si="47"/>
        <v>0</v>
      </c>
      <c r="F74" s="112">
        <v>0</v>
      </c>
      <c r="G74" s="111">
        <f t="shared" si="48"/>
        <v>0</v>
      </c>
      <c r="H74" s="111">
        <f t="shared" si="49"/>
        <v>0</v>
      </c>
      <c r="I74" s="111">
        <f t="shared" si="50"/>
        <v>0</v>
      </c>
      <c r="J74" s="111">
        <f t="shared" si="51"/>
        <v>0</v>
      </c>
      <c r="K74" s="113">
        <f t="shared" si="52"/>
        <v>0</v>
      </c>
      <c r="L74" s="113">
        <f t="shared" si="53"/>
        <v>0</v>
      </c>
      <c r="M74" s="113">
        <f t="shared" si="54"/>
        <v>0</v>
      </c>
      <c r="N74" s="116">
        <f t="shared" si="55"/>
        <v>0</v>
      </c>
      <c r="O74" s="117">
        <f t="shared" si="44"/>
        <v>8.0760000000000012E-2</v>
      </c>
      <c r="P74" s="117">
        <f t="shared" si="56"/>
        <v>0</v>
      </c>
      <c r="Q74" s="117">
        <f t="shared" si="57"/>
        <v>0</v>
      </c>
      <c r="R74" s="117">
        <f t="shared" si="58"/>
        <v>2.725E-2</v>
      </c>
      <c r="S74" s="116">
        <f t="shared" si="59"/>
        <v>0</v>
      </c>
      <c r="T74" s="116">
        <f t="shared" si="60"/>
        <v>0</v>
      </c>
      <c r="U74" s="116">
        <f t="shared" si="61"/>
        <v>0</v>
      </c>
      <c r="V74" s="118">
        <f t="shared" si="62"/>
        <v>0</v>
      </c>
      <c r="W74" s="118">
        <f t="shared" si="78"/>
        <v>0</v>
      </c>
      <c r="X74" s="118">
        <f t="shared" si="79"/>
        <v>0</v>
      </c>
      <c r="Y74" s="118">
        <f t="shared" si="80"/>
        <v>0</v>
      </c>
      <c r="Z74" s="118">
        <f t="shared" si="81"/>
        <v>0</v>
      </c>
      <c r="AA74" s="119">
        <v>0</v>
      </c>
      <c r="AB74" s="120">
        <f t="shared" si="63"/>
        <v>0</v>
      </c>
      <c r="AC74" s="118">
        <f t="shared" si="64"/>
        <v>0</v>
      </c>
      <c r="AD74" s="118">
        <f t="shared" si="82"/>
        <v>0</v>
      </c>
      <c r="AE74" s="118">
        <f t="shared" si="65"/>
        <v>0</v>
      </c>
      <c r="AF74" s="121">
        <f t="shared" si="83"/>
        <v>1</v>
      </c>
      <c r="AG74" s="122">
        <f t="shared" si="66"/>
        <v>0</v>
      </c>
      <c r="AH74" s="122">
        <f t="shared" si="67"/>
        <v>0</v>
      </c>
      <c r="AI74" s="122">
        <f t="shared" si="68"/>
        <v>0</v>
      </c>
      <c r="AJ74" s="122">
        <f t="shared" si="69"/>
        <v>0</v>
      </c>
      <c r="AK74" s="122">
        <f t="shared" si="70"/>
        <v>0</v>
      </c>
      <c r="AL74" s="122">
        <f t="shared" si="71"/>
        <v>0</v>
      </c>
      <c r="AM74" s="123">
        <f t="shared" si="72"/>
        <v>0</v>
      </c>
      <c r="AN74" s="123">
        <f t="shared" si="73"/>
        <v>0</v>
      </c>
      <c r="AO74" s="124">
        <f t="shared" si="74"/>
        <v>0</v>
      </c>
      <c r="AP74" s="125">
        <f t="shared" si="84"/>
        <v>0</v>
      </c>
      <c r="AU74" s="109">
        <f>IF(BA74=1,IF(AU73=MiscData!$F$1,EOMONTH(AU73,-11),EOMONTH(AU73,1)),AU73)</f>
        <v>42429</v>
      </c>
      <c r="AV74" s="108" t="str">
        <f t="shared" si="85"/>
        <v>20140101LGRSE411</v>
      </c>
      <c r="AW74" s="126" t="str">
        <f t="shared" si="86"/>
        <v>20140101RS</v>
      </c>
      <c r="AX74">
        <f>MiscData!$X$5</f>
        <v>20140101</v>
      </c>
      <c r="BA74" s="98">
        <f>IF(BA73+1&gt;MiscData!$Z$42,1,BA73+1)</f>
        <v>33</v>
      </c>
      <c r="BB74" s="98" t="str">
        <f>VLOOKUP(BA74,MiscData!$Z$5:$AB$46,2,FALSE)</f>
        <v>LGRSE411</v>
      </c>
      <c r="BC74" s="98" t="str">
        <f>VLOOKUP(BA74,MiscData!$Z$5:$AB$46,3,FALSE)</f>
        <v>RS</v>
      </c>
    </row>
    <row r="75" spans="1:55">
      <c r="A75" s="108">
        <v>68</v>
      </c>
      <c r="B75" s="109" t="str">
        <f t="shared" si="75"/>
        <v>Feb 2016</v>
      </c>
      <c r="C75" s="110" t="str">
        <f t="shared" si="76"/>
        <v>RS</v>
      </c>
      <c r="D75" s="110" t="str">
        <f t="shared" si="77"/>
        <v>LGRSE511</v>
      </c>
      <c r="E75" s="111">
        <f t="shared" si="47"/>
        <v>361807</v>
      </c>
      <c r="F75" s="112">
        <v>0</v>
      </c>
      <c r="G75" s="111">
        <f t="shared" si="48"/>
        <v>0</v>
      </c>
      <c r="H75" s="111">
        <f t="shared" si="49"/>
        <v>0</v>
      </c>
      <c r="I75" s="111">
        <f t="shared" si="50"/>
        <v>0</v>
      </c>
      <c r="J75" s="111">
        <f t="shared" si="51"/>
        <v>328309831</v>
      </c>
      <c r="K75" s="113">
        <f t="shared" si="52"/>
        <v>0</v>
      </c>
      <c r="L75" s="113">
        <f t="shared" si="53"/>
        <v>0</v>
      </c>
      <c r="M75" s="113">
        <f t="shared" si="54"/>
        <v>0</v>
      </c>
      <c r="N75" s="116">
        <f t="shared" si="55"/>
        <v>10.75</v>
      </c>
      <c r="O75" s="117">
        <f t="shared" si="44"/>
        <v>8.0760000000000012E-2</v>
      </c>
      <c r="P75" s="117">
        <f t="shared" si="56"/>
        <v>0</v>
      </c>
      <c r="Q75" s="117">
        <f t="shared" si="57"/>
        <v>0</v>
      </c>
      <c r="R75" s="117">
        <f t="shared" si="58"/>
        <v>2.725E-2</v>
      </c>
      <c r="S75" s="116">
        <f t="shared" si="59"/>
        <v>0</v>
      </c>
      <c r="T75" s="116">
        <f t="shared" si="60"/>
        <v>0</v>
      </c>
      <c r="U75" s="116">
        <f t="shared" si="61"/>
        <v>0</v>
      </c>
      <c r="V75" s="118">
        <f t="shared" si="62"/>
        <v>3889425.25</v>
      </c>
      <c r="W75" s="118">
        <f t="shared" si="78"/>
        <v>26514301.949999999</v>
      </c>
      <c r="X75" s="118">
        <f t="shared" si="79"/>
        <v>0</v>
      </c>
      <c r="Y75" s="118">
        <f t="shared" si="80"/>
        <v>0</v>
      </c>
      <c r="Z75" s="118">
        <f t="shared" si="81"/>
        <v>0</v>
      </c>
      <c r="AA75" s="119">
        <v>0</v>
      </c>
      <c r="AB75" s="120">
        <f t="shared" si="63"/>
        <v>0</v>
      </c>
      <c r="AC75" s="118">
        <f t="shared" si="64"/>
        <v>0</v>
      </c>
      <c r="AD75" s="118">
        <f t="shared" si="82"/>
        <v>30403727.199999999</v>
      </c>
      <c r="AE75" s="118">
        <f t="shared" si="65"/>
        <v>30405562</v>
      </c>
      <c r="AF75" s="121">
        <f t="shared" si="83"/>
        <v>1.0000599999999999</v>
      </c>
      <c r="AG75" s="122">
        <f t="shared" si="66"/>
        <v>-1738319</v>
      </c>
      <c r="AH75" s="122">
        <f t="shared" si="67"/>
        <v>467923</v>
      </c>
      <c r="AI75" s="122">
        <f t="shared" si="68"/>
        <v>3145565</v>
      </c>
      <c r="AJ75" s="122">
        <f t="shared" si="69"/>
        <v>0</v>
      </c>
      <c r="AK75" s="122">
        <f t="shared" si="70"/>
        <v>0</v>
      </c>
      <c r="AL75" s="122">
        <f t="shared" si="71"/>
        <v>32280731</v>
      </c>
      <c r="AM75" s="123">
        <f t="shared" si="72"/>
        <v>32278896.199999999</v>
      </c>
      <c r="AN75" s="123">
        <f t="shared" si="45"/>
        <v>1834.8000000007451</v>
      </c>
      <c r="AO75" s="124">
        <f t="shared" si="74"/>
        <v>8946442.8900000006</v>
      </c>
      <c r="AP75" s="125">
        <f t="shared" si="84"/>
        <v>17567859.059999999</v>
      </c>
      <c r="AU75" s="109">
        <f>IF(BA75=1,IF(AU74=MiscData!$F$1,EOMONTH(AU74,-11),EOMONTH(AU74,1)),AU74)</f>
        <v>42429</v>
      </c>
      <c r="AV75" s="108" t="str">
        <f t="shared" si="85"/>
        <v>20140101LGRSE511</v>
      </c>
      <c r="AW75" s="126" t="str">
        <f t="shared" si="86"/>
        <v>20140101RS</v>
      </c>
      <c r="AX75">
        <f>MiscData!$X$5</f>
        <v>20140101</v>
      </c>
      <c r="BA75" s="98">
        <f>IF(BA74+1&gt;MiscData!$Z$42,1,BA74+1)</f>
        <v>34</v>
      </c>
      <c r="BB75" s="98" t="str">
        <f>VLOOKUP(BA75,MiscData!$Z$5:$AB$46,2,FALSE)</f>
        <v>LGRSE511</v>
      </c>
      <c r="BC75" s="98" t="str">
        <f>VLOOKUP(BA75,MiscData!$Z$5:$AB$46,3,FALSE)</f>
        <v>RS</v>
      </c>
    </row>
    <row r="76" spans="1:55">
      <c r="A76" s="108">
        <v>69</v>
      </c>
      <c r="B76" s="109" t="str">
        <f t="shared" si="75"/>
        <v>Feb 2016</v>
      </c>
      <c r="C76" s="110" t="str">
        <f t="shared" si="76"/>
        <v>RS</v>
      </c>
      <c r="D76" s="110" t="str">
        <f t="shared" si="77"/>
        <v>LGRSE519</v>
      </c>
      <c r="E76" s="111">
        <f t="shared" si="47"/>
        <v>0</v>
      </c>
      <c r="F76" s="112">
        <v>0</v>
      </c>
      <c r="G76" s="111">
        <f t="shared" si="48"/>
        <v>0</v>
      </c>
      <c r="H76" s="111">
        <f t="shared" si="49"/>
        <v>0</v>
      </c>
      <c r="I76" s="111">
        <f t="shared" si="50"/>
        <v>0</v>
      </c>
      <c r="J76" s="111">
        <f t="shared" si="51"/>
        <v>0</v>
      </c>
      <c r="K76" s="113">
        <f t="shared" si="52"/>
        <v>0</v>
      </c>
      <c r="L76" s="113">
        <f t="shared" si="53"/>
        <v>0</v>
      </c>
      <c r="M76" s="113">
        <f t="shared" si="54"/>
        <v>0</v>
      </c>
      <c r="N76" s="116">
        <f t="shared" si="55"/>
        <v>10.75</v>
      </c>
      <c r="O76" s="117">
        <f t="shared" si="44"/>
        <v>8.0760000000000012E-2</v>
      </c>
      <c r="P76" s="117">
        <f t="shared" si="56"/>
        <v>0</v>
      </c>
      <c r="Q76" s="117">
        <f t="shared" si="57"/>
        <v>0</v>
      </c>
      <c r="R76" s="117">
        <f t="shared" si="58"/>
        <v>2.725E-2</v>
      </c>
      <c r="S76" s="116">
        <f t="shared" si="59"/>
        <v>0</v>
      </c>
      <c r="T76" s="116">
        <f t="shared" si="60"/>
        <v>0</v>
      </c>
      <c r="U76" s="116">
        <f t="shared" si="61"/>
        <v>0</v>
      </c>
      <c r="V76" s="118">
        <f t="shared" si="62"/>
        <v>0</v>
      </c>
      <c r="W76" s="118">
        <f t="shared" si="78"/>
        <v>0</v>
      </c>
      <c r="X76" s="118">
        <f t="shared" si="79"/>
        <v>0</v>
      </c>
      <c r="Y76" s="118">
        <f t="shared" si="80"/>
        <v>0</v>
      </c>
      <c r="Z76" s="118">
        <f t="shared" si="81"/>
        <v>0</v>
      </c>
      <c r="AA76" s="119">
        <v>0</v>
      </c>
      <c r="AB76" s="120">
        <f t="shared" si="63"/>
        <v>0</v>
      </c>
      <c r="AC76" s="118">
        <f t="shared" si="64"/>
        <v>0</v>
      </c>
      <c r="AD76" s="118">
        <f t="shared" si="82"/>
        <v>0</v>
      </c>
      <c r="AE76" s="118">
        <f t="shared" si="65"/>
        <v>0</v>
      </c>
      <c r="AF76" s="121">
        <f t="shared" si="83"/>
        <v>1</v>
      </c>
      <c r="AG76" s="122">
        <f t="shared" si="66"/>
        <v>0</v>
      </c>
      <c r="AH76" s="122">
        <f t="shared" si="67"/>
        <v>0</v>
      </c>
      <c r="AI76" s="122">
        <f t="shared" si="68"/>
        <v>0</v>
      </c>
      <c r="AJ76" s="122">
        <f t="shared" si="69"/>
        <v>0</v>
      </c>
      <c r="AK76" s="122">
        <f t="shared" si="70"/>
        <v>0</v>
      </c>
      <c r="AL76" s="122">
        <f t="shared" si="71"/>
        <v>0</v>
      </c>
      <c r="AM76" s="123">
        <f t="shared" si="72"/>
        <v>0</v>
      </c>
      <c r="AN76" s="123">
        <f t="shared" si="45"/>
        <v>0</v>
      </c>
      <c r="AO76" s="124">
        <f t="shared" si="74"/>
        <v>0</v>
      </c>
      <c r="AP76" s="125">
        <f t="shared" si="84"/>
        <v>0</v>
      </c>
      <c r="AU76" s="109">
        <f>IF(BA76=1,IF(AU75=MiscData!$F$1,EOMONTH(AU75,-11),EOMONTH(AU75,1)),AU75)</f>
        <v>42429</v>
      </c>
      <c r="AV76" s="108" t="str">
        <f t="shared" si="85"/>
        <v>20140101LGRSE519</v>
      </c>
      <c r="AW76" s="126" t="str">
        <f t="shared" si="86"/>
        <v>20140101RS</v>
      </c>
      <c r="AX76">
        <f>MiscData!$X$5</f>
        <v>20140101</v>
      </c>
      <c r="BA76" s="98">
        <f>IF(BA75+1&gt;MiscData!$Z$42,1,BA75+1)</f>
        <v>35</v>
      </c>
      <c r="BB76" s="98" t="str">
        <f>VLOOKUP(BA76,MiscData!$Z$5:$AB$46,2,FALSE)</f>
        <v>LGRSE519</v>
      </c>
      <c r="BC76" s="98" t="str">
        <f>VLOOKUP(BA76,MiscData!$Z$5:$AB$46,3,FALSE)</f>
        <v>RS</v>
      </c>
    </row>
    <row r="77" spans="1:55">
      <c r="A77" s="108">
        <v>70</v>
      </c>
      <c r="B77" s="109" t="str">
        <f t="shared" si="75"/>
        <v>Feb 2016</v>
      </c>
      <c r="C77" s="110" t="s">
        <v>13</v>
      </c>
      <c r="D77" s="110" t="str">
        <f t="shared" si="77"/>
        <v>LGRSE540</v>
      </c>
      <c r="E77" s="111">
        <f t="shared" si="47"/>
        <v>0</v>
      </c>
      <c r="F77" s="112">
        <v>0</v>
      </c>
      <c r="G77" s="111">
        <f t="shared" si="48"/>
        <v>0</v>
      </c>
      <c r="H77" s="111">
        <f t="shared" si="49"/>
        <v>0</v>
      </c>
      <c r="I77" s="111">
        <f t="shared" si="50"/>
        <v>0</v>
      </c>
      <c r="J77" s="111">
        <f t="shared" si="51"/>
        <v>0</v>
      </c>
      <c r="K77" s="113">
        <f t="shared" si="52"/>
        <v>0</v>
      </c>
      <c r="L77" s="113">
        <f t="shared" si="53"/>
        <v>0</v>
      </c>
      <c r="M77" s="113">
        <f t="shared" si="54"/>
        <v>0</v>
      </c>
      <c r="N77" s="116">
        <f t="shared" si="55"/>
        <v>10.75</v>
      </c>
      <c r="O77" s="117">
        <f t="shared" si="44"/>
        <v>8.0760000000000012E-2</v>
      </c>
      <c r="P77" s="117">
        <f t="shared" si="56"/>
        <v>0</v>
      </c>
      <c r="Q77" s="117">
        <f t="shared" si="57"/>
        <v>0</v>
      </c>
      <c r="R77" s="117">
        <f t="shared" si="58"/>
        <v>2.725E-2</v>
      </c>
      <c r="S77" s="116">
        <f t="shared" si="59"/>
        <v>0</v>
      </c>
      <c r="T77" s="116">
        <f t="shared" si="60"/>
        <v>0</v>
      </c>
      <c r="U77" s="116">
        <f t="shared" si="61"/>
        <v>0</v>
      </c>
      <c r="V77" s="118">
        <f t="shared" si="62"/>
        <v>0</v>
      </c>
      <c r="W77" s="118">
        <f t="shared" si="78"/>
        <v>0</v>
      </c>
      <c r="X77" s="118">
        <f t="shared" si="79"/>
        <v>0</v>
      </c>
      <c r="Y77" s="118">
        <f t="shared" si="80"/>
        <v>0</v>
      </c>
      <c r="Z77" s="118">
        <f t="shared" si="81"/>
        <v>0</v>
      </c>
      <c r="AA77" s="119">
        <v>0</v>
      </c>
      <c r="AB77" s="120">
        <f t="shared" si="63"/>
        <v>0</v>
      </c>
      <c r="AC77" s="118">
        <f t="shared" si="64"/>
        <v>0</v>
      </c>
      <c r="AD77" s="118">
        <f t="shared" si="82"/>
        <v>0</v>
      </c>
      <c r="AE77" s="118">
        <f t="shared" si="65"/>
        <v>0</v>
      </c>
      <c r="AF77" s="121">
        <f t="shared" si="83"/>
        <v>1</v>
      </c>
      <c r="AG77" s="122">
        <f t="shared" si="66"/>
        <v>0</v>
      </c>
      <c r="AH77" s="122">
        <f t="shared" si="67"/>
        <v>0</v>
      </c>
      <c r="AI77" s="122">
        <f t="shared" si="68"/>
        <v>0</v>
      </c>
      <c r="AJ77" s="122">
        <f t="shared" si="69"/>
        <v>0</v>
      </c>
      <c r="AK77" s="122">
        <f t="shared" si="70"/>
        <v>0</v>
      </c>
      <c r="AL77" s="122">
        <f t="shared" si="71"/>
        <v>0</v>
      </c>
      <c r="AM77" s="123">
        <f t="shared" si="72"/>
        <v>0</v>
      </c>
      <c r="AN77" s="123">
        <f t="shared" si="45"/>
        <v>0</v>
      </c>
      <c r="AO77" s="124">
        <f t="shared" si="74"/>
        <v>0</v>
      </c>
      <c r="AP77" s="125">
        <f t="shared" si="84"/>
        <v>0</v>
      </c>
      <c r="AU77" s="109">
        <f>IF(BA77=1,IF(AU76=MiscData!$F$1,EOMONTH(AU76,-11),EOMONTH(AU76,1)),AU76)</f>
        <v>42429</v>
      </c>
      <c r="AV77" s="108" t="str">
        <f t="shared" si="85"/>
        <v>20140101LGRSE540</v>
      </c>
      <c r="AW77" s="126" t="str">
        <f t="shared" si="86"/>
        <v>20140101VFD</v>
      </c>
      <c r="AX77">
        <f>MiscData!$X$5</f>
        <v>20140101</v>
      </c>
      <c r="BA77" s="98">
        <f>IF(BA76+1&gt;MiscData!$Z$42,1,BA76+1)</f>
        <v>36</v>
      </c>
      <c r="BB77" s="98" t="str">
        <f>VLOOKUP(BA77,MiscData!$Z$5:$AB$46,2,FALSE)</f>
        <v>LGRSE540</v>
      </c>
      <c r="BC77" s="98" t="str">
        <f>VLOOKUP(BA77,MiscData!$Z$5:$AB$46,3,FALSE)</f>
        <v>VFD</v>
      </c>
    </row>
    <row r="78" spans="1:55">
      <c r="A78" s="108">
        <v>71</v>
      </c>
      <c r="B78" s="109" t="str">
        <f t="shared" si="75"/>
        <v>Feb 2016</v>
      </c>
      <c r="C78" s="110" t="str">
        <f t="shared" si="76"/>
        <v>LEV</v>
      </c>
      <c r="D78" s="110" t="str">
        <f t="shared" si="77"/>
        <v>LGRSE543</v>
      </c>
      <c r="E78" s="111">
        <f t="shared" si="47"/>
        <v>20</v>
      </c>
      <c r="F78" s="112">
        <v>0</v>
      </c>
      <c r="G78" s="111">
        <f t="shared" si="48"/>
        <v>10967</v>
      </c>
      <c r="H78" s="111">
        <f t="shared" si="49"/>
        <v>5695</v>
      </c>
      <c r="I78" s="111">
        <f t="shared" si="50"/>
        <v>3400</v>
      </c>
      <c r="J78" s="111">
        <f t="shared" si="51"/>
        <v>20062</v>
      </c>
      <c r="K78" s="113">
        <f t="shared" si="52"/>
        <v>0</v>
      </c>
      <c r="L78" s="113">
        <f t="shared" si="53"/>
        <v>0</v>
      </c>
      <c r="M78" s="113">
        <f t="shared" si="54"/>
        <v>0</v>
      </c>
      <c r="N78" s="116">
        <f t="shared" si="55"/>
        <v>10.75</v>
      </c>
      <c r="O78" s="117">
        <f t="shared" si="44"/>
        <v>5.8200000000000002E-2</v>
      </c>
      <c r="P78" s="117">
        <f t="shared" si="56"/>
        <v>7.8990000000000005E-2</v>
      </c>
      <c r="Q78" s="117">
        <f t="shared" si="57"/>
        <v>0.14451000000000003</v>
      </c>
      <c r="R78" s="117">
        <f t="shared" si="58"/>
        <v>2.725E-2</v>
      </c>
      <c r="S78" s="116">
        <f t="shared" si="59"/>
        <v>0</v>
      </c>
      <c r="T78" s="116">
        <f t="shared" si="60"/>
        <v>0</v>
      </c>
      <c r="U78" s="116">
        <f t="shared" si="61"/>
        <v>0</v>
      </c>
      <c r="V78" s="118">
        <f t="shared" si="62"/>
        <v>215</v>
      </c>
      <c r="W78" s="118">
        <f t="shared" si="78"/>
        <v>1579.46</v>
      </c>
      <c r="X78" s="118">
        <f t="shared" si="79"/>
        <v>0</v>
      </c>
      <c r="Y78" s="118">
        <f t="shared" si="80"/>
        <v>0</v>
      </c>
      <c r="Z78" s="118">
        <f t="shared" si="81"/>
        <v>0</v>
      </c>
      <c r="AA78" s="119">
        <v>0</v>
      </c>
      <c r="AB78" s="120">
        <f t="shared" si="63"/>
        <v>0</v>
      </c>
      <c r="AC78" s="118">
        <f t="shared" si="64"/>
        <v>0</v>
      </c>
      <c r="AD78" s="118">
        <f t="shared" si="82"/>
        <v>1794.46</v>
      </c>
      <c r="AE78" s="118">
        <f t="shared" si="65"/>
        <v>0</v>
      </c>
      <c r="AF78" s="121">
        <f t="shared" si="83"/>
        <v>0</v>
      </c>
      <c r="AG78" s="122">
        <f t="shared" si="66"/>
        <v>0</v>
      </c>
      <c r="AH78" s="122">
        <f t="shared" si="67"/>
        <v>0</v>
      </c>
      <c r="AI78" s="122">
        <f t="shared" si="68"/>
        <v>0</v>
      </c>
      <c r="AJ78" s="122">
        <f t="shared" si="69"/>
        <v>0</v>
      </c>
      <c r="AK78" s="122">
        <f t="shared" si="70"/>
        <v>0</v>
      </c>
      <c r="AL78" s="122">
        <f t="shared" si="71"/>
        <v>0</v>
      </c>
      <c r="AM78" s="123">
        <f t="shared" si="72"/>
        <v>1794.46</v>
      </c>
      <c r="AN78" s="123">
        <f t="shared" si="45"/>
        <v>-1794.46</v>
      </c>
      <c r="AO78" s="124">
        <f t="shared" si="74"/>
        <v>546.69000000000005</v>
      </c>
      <c r="AP78" s="125">
        <f t="shared" si="84"/>
        <v>1032.77</v>
      </c>
      <c r="AU78" s="109">
        <f>IF(BA78=1,IF(AU77=MiscData!$F$1,EOMONTH(AU77,-11),EOMONTH(AU77,1)),AU77)</f>
        <v>42429</v>
      </c>
      <c r="AV78" s="108" t="str">
        <f t="shared" si="85"/>
        <v>20140101LGRSE543</v>
      </c>
      <c r="AW78" s="126" t="str">
        <f t="shared" si="86"/>
        <v>20140101LEV</v>
      </c>
      <c r="AX78">
        <f>MiscData!$X$5</f>
        <v>20140101</v>
      </c>
      <c r="BA78" s="98">
        <f>IF(BA77+1&gt;MiscData!$Z$42,1,BA77+1)</f>
        <v>37</v>
      </c>
      <c r="BB78" s="98" t="str">
        <f>VLOOKUP(BA78,MiscData!$Z$5:$AB$46,2,FALSE)</f>
        <v>LGRSE543</v>
      </c>
      <c r="BC78" s="98" t="str">
        <f>VLOOKUP(BA78,MiscData!$Z$5:$AB$46,3,FALSE)</f>
        <v>LEV</v>
      </c>
    </row>
    <row r="79" spans="1:55">
      <c r="A79" s="108">
        <v>72</v>
      </c>
      <c r="B79" s="109" t="str">
        <f t="shared" si="75"/>
        <v>Feb 2016</v>
      </c>
      <c r="C79" s="110" t="str">
        <f t="shared" si="76"/>
        <v>LEV</v>
      </c>
      <c r="D79" s="110" t="str">
        <f t="shared" si="77"/>
        <v>LGRSE547</v>
      </c>
      <c r="E79" s="111">
        <f t="shared" si="47"/>
        <v>0</v>
      </c>
      <c r="F79" s="112">
        <v>0</v>
      </c>
      <c r="G79" s="111">
        <f t="shared" si="48"/>
        <v>0</v>
      </c>
      <c r="H79" s="111">
        <f t="shared" si="49"/>
        <v>0</v>
      </c>
      <c r="I79" s="111">
        <f t="shared" si="50"/>
        <v>0</v>
      </c>
      <c r="J79" s="111">
        <f t="shared" si="51"/>
        <v>0</v>
      </c>
      <c r="K79" s="113">
        <f t="shared" si="52"/>
        <v>0</v>
      </c>
      <c r="L79" s="113">
        <f t="shared" si="53"/>
        <v>0</v>
      </c>
      <c r="M79" s="113">
        <f t="shared" si="54"/>
        <v>0</v>
      </c>
      <c r="N79" s="116">
        <f t="shared" si="55"/>
        <v>10.75</v>
      </c>
      <c r="O79" s="117">
        <f t="shared" si="44"/>
        <v>5.8200000000000002E-2</v>
      </c>
      <c r="P79" s="117">
        <f t="shared" si="56"/>
        <v>7.8990000000000005E-2</v>
      </c>
      <c r="Q79" s="117">
        <f t="shared" si="57"/>
        <v>0.14451000000000003</v>
      </c>
      <c r="R79" s="117">
        <f t="shared" si="58"/>
        <v>2.725E-2</v>
      </c>
      <c r="S79" s="116">
        <f t="shared" si="59"/>
        <v>0</v>
      </c>
      <c r="T79" s="116">
        <f t="shared" si="60"/>
        <v>0</v>
      </c>
      <c r="U79" s="116">
        <f t="shared" si="61"/>
        <v>0</v>
      </c>
      <c r="V79" s="118">
        <f t="shared" si="62"/>
        <v>0</v>
      </c>
      <c r="W79" s="118">
        <f t="shared" si="78"/>
        <v>0</v>
      </c>
      <c r="X79" s="118">
        <f t="shared" si="79"/>
        <v>0</v>
      </c>
      <c r="Y79" s="118">
        <f t="shared" si="80"/>
        <v>0</v>
      </c>
      <c r="Z79" s="118">
        <f t="shared" si="81"/>
        <v>0</v>
      </c>
      <c r="AA79" s="119">
        <v>0</v>
      </c>
      <c r="AB79" s="120">
        <f t="shared" si="63"/>
        <v>0</v>
      </c>
      <c r="AC79" s="118">
        <f t="shared" si="64"/>
        <v>0</v>
      </c>
      <c r="AD79" s="118">
        <f t="shared" si="82"/>
        <v>0</v>
      </c>
      <c r="AE79" s="118">
        <f t="shared" si="65"/>
        <v>0</v>
      </c>
      <c r="AF79" s="121">
        <f t="shared" si="83"/>
        <v>1</v>
      </c>
      <c r="AG79" s="122">
        <f t="shared" si="66"/>
        <v>0</v>
      </c>
      <c r="AH79" s="122">
        <f t="shared" si="67"/>
        <v>0</v>
      </c>
      <c r="AI79" s="122">
        <f t="shared" si="68"/>
        <v>0</v>
      </c>
      <c r="AJ79" s="122">
        <f t="shared" si="69"/>
        <v>0</v>
      </c>
      <c r="AK79" s="122">
        <f t="shared" si="70"/>
        <v>0</v>
      </c>
      <c r="AL79" s="122">
        <f t="shared" si="71"/>
        <v>0</v>
      </c>
      <c r="AM79" s="123">
        <f t="shared" si="72"/>
        <v>0</v>
      </c>
      <c r="AN79" s="123">
        <f t="shared" si="45"/>
        <v>0</v>
      </c>
      <c r="AO79" s="124">
        <f t="shared" si="74"/>
        <v>0</v>
      </c>
      <c r="AP79" s="125">
        <f t="shared" si="84"/>
        <v>0</v>
      </c>
      <c r="AU79" s="109">
        <f>IF(BA79=1,IF(AU78=MiscData!$F$1,EOMONTH(AU78,-11),EOMONTH(AU78,1)),AU78)</f>
        <v>42429</v>
      </c>
      <c r="AV79" s="108" t="str">
        <f t="shared" si="85"/>
        <v>20140101LGRSE547</v>
      </c>
      <c r="AW79" s="126" t="str">
        <f t="shared" si="86"/>
        <v>20140101LEV</v>
      </c>
      <c r="AX79">
        <f>MiscData!$X$5</f>
        <v>20140101</v>
      </c>
      <c r="BA79" s="98">
        <f>IF(BA78+1&gt;MiscData!$Z$42,1,BA78+1)</f>
        <v>38</v>
      </c>
      <c r="BB79" s="98" t="str">
        <f>VLOOKUP(BA79,MiscData!$Z$5:$AB$46,2,FALSE)</f>
        <v>LGRSE547</v>
      </c>
      <c r="BC79" s="98" t="str">
        <f>VLOOKUP(BA79,MiscData!$Z$5:$AB$46,3,FALSE)</f>
        <v>LEV</v>
      </c>
    </row>
    <row r="80" spans="1:55">
      <c r="A80" s="108">
        <v>73</v>
      </c>
      <c r="B80" s="109" t="str">
        <f t="shared" si="75"/>
        <v>Mar 2016</v>
      </c>
      <c r="C80" s="110" t="str">
        <f t="shared" si="76"/>
        <v>FLSP</v>
      </c>
      <c r="D80" s="110" t="str">
        <f t="shared" si="77"/>
        <v>LGINE682</v>
      </c>
      <c r="E80" s="111">
        <f t="shared" si="47"/>
        <v>0</v>
      </c>
      <c r="F80" s="112">
        <v>0</v>
      </c>
      <c r="G80" s="111">
        <f t="shared" si="48"/>
        <v>0</v>
      </c>
      <c r="H80" s="111">
        <f t="shared" si="49"/>
        <v>0</v>
      </c>
      <c r="I80" s="111">
        <f t="shared" si="50"/>
        <v>0</v>
      </c>
      <c r="J80" s="111">
        <f t="shared" si="51"/>
        <v>0</v>
      </c>
      <c r="K80" s="113">
        <f t="shared" si="52"/>
        <v>0</v>
      </c>
      <c r="L80" s="113">
        <f t="shared" si="53"/>
        <v>0</v>
      </c>
      <c r="M80" s="113">
        <f t="shared" si="54"/>
        <v>0</v>
      </c>
      <c r="N80" s="116">
        <f t="shared" si="55"/>
        <v>750</v>
      </c>
      <c r="O80" s="117">
        <f t="shared" si="44"/>
        <v>3.61E-2</v>
      </c>
      <c r="P80" s="117">
        <f t="shared" si="56"/>
        <v>0</v>
      </c>
      <c r="Q80" s="117">
        <f t="shared" si="57"/>
        <v>0</v>
      </c>
      <c r="R80" s="117">
        <f t="shared" si="58"/>
        <v>2.725E-2</v>
      </c>
      <c r="S80" s="116">
        <f t="shared" si="59"/>
        <v>1.8900000000000001</v>
      </c>
      <c r="T80" s="116">
        <f t="shared" si="60"/>
        <v>1.8900000000000001</v>
      </c>
      <c r="U80" s="116">
        <f t="shared" si="61"/>
        <v>2.94</v>
      </c>
      <c r="V80" s="118">
        <f t="shared" si="62"/>
        <v>0</v>
      </c>
      <c r="W80" s="118">
        <f t="shared" si="78"/>
        <v>0</v>
      </c>
      <c r="X80" s="118">
        <f t="shared" si="79"/>
        <v>0</v>
      </c>
      <c r="Y80" s="118">
        <f t="shared" si="80"/>
        <v>0</v>
      </c>
      <c r="Z80" s="118">
        <f t="shared" si="81"/>
        <v>0</v>
      </c>
      <c r="AA80" s="119">
        <v>0</v>
      </c>
      <c r="AB80" s="120">
        <f t="shared" si="63"/>
        <v>0</v>
      </c>
      <c r="AC80" s="118">
        <f t="shared" si="64"/>
        <v>0</v>
      </c>
      <c r="AD80" s="118">
        <f t="shared" si="82"/>
        <v>0</v>
      </c>
      <c r="AE80" s="118">
        <f t="shared" si="65"/>
        <v>0</v>
      </c>
      <c r="AF80" s="121">
        <f t="shared" si="83"/>
        <v>1</v>
      </c>
      <c r="AG80" s="122">
        <f t="shared" si="66"/>
        <v>0</v>
      </c>
      <c r="AH80" s="122">
        <f t="shared" si="67"/>
        <v>0</v>
      </c>
      <c r="AI80" s="122">
        <f t="shared" si="68"/>
        <v>0</v>
      </c>
      <c r="AJ80" s="122">
        <f t="shared" si="69"/>
        <v>0</v>
      </c>
      <c r="AK80" s="122">
        <f t="shared" si="70"/>
        <v>0</v>
      </c>
      <c r="AL80" s="122">
        <f t="shared" si="71"/>
        <v>0</v>
      </c>
      <c r="AM80" s="123">
        <f t="shared" si="72"/>
        <v>0</v>
      </c>
      <c r="AN80" s="123">
        <f t="shared" si="45"/>
        <v>0</v>
      </c>
      <c r="AO80" s="124">
        <f t="shared" si="74"/>
        <v>0</v>
      </c>
      <c r="AP80" s="125">
        <f t="shared" si="84"/>
        <v>0</v>
      </c>
      <c r="AU80" s="109">
        <f>IF(BA80=1,IF(AU79=MiscData!$F$1,EOMONTH(AU79,-11),EOMONTH(AU79,1)),AU79)</f>
        <v>42460</v>
      </c>
      <c r="AV80" s="108" t="str">
        <f t="shared" si="85"/>
        <v>20140101LGINE682</v>
      </c>
      <c r="AW80" s="126" t="str">
        <f t="shared" si="86"/>
        <v>20140101FLSP</v>
      </c>
      <c r="AX80">
        <f>MiscData!$X$5</f>
        <v>20140101</v>
      </c>
      <c r="BA80" s="98">
        <f>IF(BA79+1&gt;MiscData!$Z$42,1,BA79+1)</f>
        <v>1</v>
      </c>
      <c r="BB80" s="98" t="str">
        <f>VLOOKUP(BA80,MiscData!$Z$5:$AB$46,2,FALSE)</f>
        <v>LGINE682</v>
      </c>
      <c r="BC80" s="98" t="str">
        <f>VLOOKUP(BA80,MiscData!$Z$5:$AB$46,3,FALSE)</f>
        <v>FLSP</v>
      </c>
    </row>
    <row r="81" spans="1:55">
      <c r="A81" s="108">
        <v>74</v>
      </c>
      <c r="B81" s="109" t="str">
        <f t="shared" si="75"/>
        <v>Mar 2016</v>
      </c>
      <c r="C81" s="110" t="str">
        <f t="shared" si="76"/>
        <v>FLST</v>
      </c>
      <c r="D81" s="110" t="str">
        <f t="shared" si="77"/>
        <v>LGINE683</v>
      </c>
      <c r="E81" s="111">
        <f t="shared" si="47"/>
        <v>0</v>
      </c>
      <c r="F81" s="112">
        <v>0</v>
      </c>
      <c r="G81" s="111">
        <f t="shared" si="48"/>
        <v>0</v>
      </c>
      <c r="H81" s="111">
        <f t="shared" si="49"/>
        <v>0</v>
      </c>
      <c r="I81" s="111">
        <f t="shared" si="50"/>
        <v>0</v>
      </c>
      <c r="J81" s="111">
        <f t="shared" si="51"/>
        <v>0</v>
      </c>
      <c r="K81" s="113">
        <f t="shared" si="52"/>
        <v>0</v>
      </c>
      <c r="L81" s="113">
        <f t="shared" si="53"/>
        <v>0</v>
      </c>
      <c r="M81" s="113">
        <f t="shared" si="54"/>
        <v>0</v>
      </c>
      <c r="N81" s="116">
        <f t="shared" si="55"/>
        <v>750</v>
      </c>
      <c r="O81" s="117">
        <f t="shared" si="44"/>
        <v>3.61E-2</v>
      </c>
      <c r="P81" s="117">
        <f t="shared" si="56"/>
        <v>0</v>
      </c>
      <c r="Q81" s="117">
        <f t="shared" si="57"/>
        <v>0</v>
      </c>
      <c r="R81" s="117">
        <f t="shared" si="58"/>
        <v>2.725E-2</v>
      </c>
      <c r="S81" s="116">
        <f t="shared" si="59"/>
        <v>1.1400000000000001</v>
      </c>
      <c r="T81" s="116">
        <f t="shared" si="60"/>
        <v>1.8900000000000001</v>
      </c>
      <c r="U81" s="116">
        <f t="shared" si="61"/>
        <v>2.94</v>
      </c>
      <c r="V81" s="118">
        <f t="shared" si="62"/>
        <v>0</v>
      </c>
      <c r="W81" s="118">
        <f t="shared" si="78"/>
        <v>0</v>
      </c>
      <c r="X81" s="118">
        <f t="shared" si="79"/>
        <v>0</v>
      </c>
      <c r="Y81" s="118">
        <f t="shared" si="80"/>
        <v>0</v>
      </c>
      <c r="Z81" s="118">
        <f t="shared" si="81"/>
        <v>0</v>
      </c>
      <c r="AA81" s="119">
        <v>0</v>
      </c>
      <c r="AB81" s="120">
        <f t="shared" si="63"/>
        <v>0</v>
      </c>
      <c r="AC81" s="118">
        <f t="shared" si="64"/>
        <v>0</v>
      </c>
      <c r="AD81" s="118">
        <f t="shared" si="82"/>
        <v>0</v>
      </c>
      <c r="AE81" s="118">
        <f t="shared" si="65"/>
        <v>0</v>
      </c>
      <c r="AF81" s="121">
        <f t="shared" si="83"/>
        <v>1</v>
      </c>
      <c r="AG81" s="122">
        <f t="shared" si="66"/>
        <v>0</v>
      </c>
      <c r="AH81" s="122">
        <f t="shared" si="67"/>
        <v>0</v>
      </c>
      <c r="AI81" s="122">
        <f t="shared" si="68"/>
        <v>0</v>
      </c>
      <c r="AJ81" s="122">
        <f t="shared" si="69"/>
        <v>0</v>
      </c>
      <c r="AK81" s="122">
        <f t="shared" si="70"/>
        <v>0</v>
      </c>
      <c r="AL81" s="122">
        <f t="shared" si="71"/>
        <v>0</v>
      </c>
      <c r="AM81" s="123">
        <f t="shared" si="72"/>
        <v>0</v>
      </c>
      <c r="AN81" s="123">
        <f t="shared" si="45"/>
        <v>0</v>
      </c>
      <c r="AO81" s="124">
        <f t="shared" si="74"/>
        <v>0</v>
      </c>
      <c r="AP81" s="125">
        <f t="shared" si="84"/>
        <v>0</v>
      </c>
      <c r="AU81" s="109">
        <f>IF(BA81=1,IF(AU80=MiscData!$F$1,EOMONTH(AU80,-11),EOMONTH(AU80,1)),AU80)</f>
        <v>42460</v>
      </c>
      <c r="AV81" s="108" t="str">
        <f t="shared" si="85"/>
        <v>20140101LGINE683</v>
      </c>
      <c r="AW81" s="126" t="str">
        <f t="shared" si="86"/>
        <v>20140101FLST</v>
      </c>
      <c r="AX81">
        <f>MiscData!$X$5</f>
        <v>20140101</v>
      </c>
      <c r="BA81" s="98">
        <f>IF(BA80+1&gt;MiscData!$Z$42,1,BA80+1)</f>
        <v>2</v>
      </c>
      <c r="BB81" s="98" t="str">
        <f>VLOOKUP(BA81,MiscData!$Z$5:$AB$46,2,FALSE)</f>
        <v>LGINE683</v>
      </c>
      <c r="BC81" s="98" t="str">
        <f>VLOOKUP(BA81,MiscData!$Z$5:$AB$46,3,FALSE)</f>
        <v>FLST</v>
      </c>
    </row>
    <row r="82" spans="1:55">
      <c r="A82" s="108">
        <v>75</v>
      </c>
      <c r="B82" s="109" t="str">
        <f t="shared" si="75"/>
        <v>Mar 2016</v>
      </c>
      <c r="C82" s="110" t="s">
        <v>902</v>
      </c>
      <c r="D82" s="110" t="str">
        <f t="shared" si="77"/>
        <v>LGCME451</v>
      </c>
      <c r="E82" s="111">
        <f t="shared" si="47"/>
        <v>0</v>
      </c>
      <c r="F82" s="112">
        <v>0</v>
      </c>
      <c r="G82" s="111">
        <f t="shared" si="48"/>
        <v>0</v>
      </c>
      <c r="H82" s="111">
        <f t="shared" si="49"/>
        <v>0</v>
      </c>
      <c r="I82" s="111">
        <f t="shared" si="50"/>
        <v>0</v>
      </c>
      <c r="J82" s="111">
        <f t="shared" si="51"/>
        <v>0</v>
      </c>
      <c r="K82" s="113">
        <f t="shared" si="52"/>
        <v>0</v>
      </c>
      <c r="L82" s="113">
        <f t="shared" si="53"/>
        <v>0</v>
      </c>
      <c r="M82" s="113">
        <f t="shared" si="54"/>
        <v>0</v>
      </c>
      <c r="N82" s="116">
        <f t="shared" si="55"/>
        <v>0</v>
      </c>
      <c r="O82" s="117">
        <f t="shared" si="44"/>
        <v>9.1340000000000005E-2</v>
      </c>
      <c r="P82" s="117">
        <f t="shared" si="56"/>
        <v>0</v>
      </c>
      <c r="Q82" s="117">
        <f t="shared" si="57"/>
        <v>0</v>
      </c>
      <c r="R82" s="117">
        <f t="shared" si="58"/>
        <v>2.725E-2</v>
      </c>
      <c r="S82" s="116">
        <f t="shared" si="59"/>
        <v>0</v>
      </c>
      <c r="T82" s="116">
        <f t="shared" si="60"/>
        <v>0</v>
      </c>
      <c r="U82" s="116">
        <f t="shared" si="61"/>
        <v>0</v>
      </c>
      <c r="V82" s="118">
        <f t="shared" si="62"/>
        <v>0</v>
      </c>
      <c r="W82" s="118">
        <f t="shared" si="78"/>
        <v>0</v>
      </c>
      <c r="X82" s="118">
        <f t="shared" si="79"/>
        <v>0</v>
      </c>
      <c r="Y82" s="118">
        <f t="shared" si="80"/>
        <v>0</v>
      </c>
      <c r="Z82" s="118">
        <f t="shared" si="81"/>
        <v>0</v>
      </c>
      <c r="AA82" s="119">
        <v>0</v>
      </c>
      <c r="AB82" s="120">
        <f t="shared" si="63"/>
        <v>0</v>
      </c>
      <c r="AC82" s="118">
        <f t="shared" si="64"/>
        <v>0</v>
      </c>
      <c r="AD82" s="118">
        <f t="shared" si="82"/>
        <v>0</v>
      </c>
      <c r="AE82" s="118">
        <f t="shared" si="65"/>
        <v>0</v>
      </c>
      <c r="AF82" s="121">
        <f t="shared" si="83"/>
        <v>1</v>
      </c>
      <c r="AG82" s="122">
        <f t="shared" si="66"/>
        <v>0</v>
      </c>
      <c r="AH82" s="122">
        <f t="shared" si="67"/>
        <v>0</v>
      </c>
      <c r="AI82" s="122">
        <f t="shared" si="68"/>
        <v>0</v>
      </c>
      <c r="AJ82" s="122">
        <f t="shared" si="69"/>
        <v>0</v>
      </c>
      <c r="AK82" s="122">
        <f t="shared" si="70"/>
        <v>0</v>
      </c>
      <c r="AL82" s="122">
        <f t="shared" si="71"/>
        <v>0</v>
      </c>
      <c r="AM82" s="123">
        <f t="shared" si="72"/>
        <v>0</v>
      </c>
      <c r="AN82" s="123">
        <f t="shared" si="45"/>
        <v>0</v>
      </c>
      <c r="AO82" s="124">
        <f t="shared" si="74"/>
        <v>0</v>
      </c>
      <c r="AP82" s="125">
        <f t="shared" si="84"/>
        <v>0</v>
      </c>
      <c r="AU82" s="109">
        <f>IF(BA82=1,IF(AU81=MiscData!$F$1,EOMONTH(AU81,-11),EOMONTH(AU81,1)),AU81)</f>
        <v>42460</v>
      </c>
      <c r="AV82" s="108" t="str">
        <f t="shared" si="85"/>
        <v>20140101LGCME451</v>
      </c>
      <c r="AW82" s="126" t="str">
        <f t="shared" si="86"/>
        <v>20140101GSS</v>
      </c>
      <c r="AX82">
        <f>MiscData!$X$5</f>
        <v>20140101</v>
      </c>
      <c r="BA82" s="98">
        <f>IF(BA81+1&gt;MiscData!$Z$42,1,BA81+1)</f>
        <v>3</v>
      </c>
      <c r="BB82" s="98" t="str">
        <f>VLOOKUP(BA82,MiscData!$Z$5:$AB$46,2,FALSE)</f>
        <v>LGCME451</v>
      </c>
      <c r="BC82" s="98" t="str">
        <f>VLOOKUP(BA82,MiscData!$Z$5:$AB$46,3,FALSE)</f>
        <v>GSS</v>
      </c>
    </row>
    <row r="83" spans="1:55">
      <c r="A83" s="108">
        <v>76</v>
      </c>
      <c r="B83" s="109" t="str">
        <f t="shared" si="75"/>
        <v>Mar 2016</v>
      </c>
      <c r="C83" s="110" t="s">
        <v>902</v>
      </c>
      <c r="D83" s="110" t="str">
        <f t="shared" si="77"/>
        <v>LGCME550</v>
      </c>
      <c r="E83" s="111">
        <f t="shared" si="47"/>
        <v>0</v>
      </c>
      <c r="F83" s="112">
        <v>0</v>
      </c>
      <c r="G83" s="111">
        <f t="shared" si="48"/>
        <v>0</v>
      </c>
      <c r="H83" s="111">
        <f t="shared" si="49"/>
        <v>0</v>
      </c>
      <c r="I83" s="111">
        <f t="shared" si="50"/>
        <v>0</v>
      </c>
      <c r="J83" s="111">
        <f t="shared" si="51"/>
        <v>0</v>
      </c>
      <c r="K83" s="113">
        <f t="shared" si="52"/>
        <v>0</v>
      </c>
      <c r="L83" s="113">
        <f t="shared" si="53"/>
        <v>0</v>
      </c>
      <c r="M83" s="113">
        <f t="shared" si="54"/>
        <v>0</v>
      </c>
      <c r="N83" s="116">
        <f t="shared" si="55"/>
        <v>20</v>
      </c>
      <c r="O83" s="117">
        <f t="shared" si="44"/>
        <v>9.1340000000000005E-2</v>
      </c>
      <c r="P83" s="117">
        <f t="shared" si="56"/>
        <v>0</v>
      </c>
      <c r="Q83" s="117">
        <f t="shared" si="57"/>
        <v>0</v>
      </c>
      <c r="R83" s="117">
        <f t="shared" si="58"/>
        <v>2.725E-2</v>
      </c>
      <c r="S83" s="116">
        <f t="shared" si="59"/>
        <v>0</v>
      </c>
      <c r="T83" s="116">
        <f t="shared" si="60"/>
        <v>0</v>
      </c>
      <c r="U83" s="116">
        <f t="shared" si="61"/>
        <v>0</v>
      </c>
      <c r="V83" s="118">
        <f t="shared" si="62"/>
        <v>0</v>
      </c>
      <c r="W83" s="118">
        <f t="shared" si="78"/>
        <v>0</v>
      </c>
      <c r="X83" s="118">
        <f t="shared" si="79"/>
        <v>0</v>
      </c>
      <c r="Y83" s="118">
        <f t="shared" si="80"/>
        <v>0</v>
      </c>
      <c r="Z83" s="118">
        <f t="shared" si="81"/>
        <v>0</v>
      </c>
      <c r="AA83" s="119">
        <v>0</v>
      </c>
      <c r="AB83" s="120">
        <f t="shared" si="63"/>
        <v>0</v>
      </c>
      <c r="AC83" s="118">
        <f t="shared" si="64"/>
        <v>0</v>
      </c>
      <c r="AD83" s="118">
        <f t="shared" si="82"/>
        <v>0</v>
      </c>
      <c r="AE83" s="118">
        <f t="shared" si="65"/>
        <v>0</v>
      </c>
      <c r="AF83" s="121">
        <f t="shared" si="83"/>
        <v>1</v>
      </c>
      <c r="AG83" s="122">
        <f t="shared" si="66"/>
        <v>0</v>
      </c>
      <c r="AH83" s="122">
        <f t="shared" si="67"/>
        <v>0</v>
      </c>
      <c r="AI83" s="122">
        <f t="shared" si="68"/>
        <v>0</v>
      </c>
      <c r="AJ83" s="122">
        <f t="shared" si="69"/>
        <v>0</v>
      </c>
      <c r="AK83" s="122">
        <f t="shared" si="70"/>
        <v>0</v>
      </c>
      <c r="AL83" s="122">
        <f t="shared" si="71"/>
        <v>0</v>
      </c>
      <c r="AM83" s="123">
        <f t="shared" si="72"/>
        <v>0</v>
      </c>
      <c r="AN83" s="123">
        <f t="shared" si="45"/>
        <v>0</v>
      </c>
      <c r="AO83" s="124">
        <f t="shared" si="74"/>
        <v>0</v>
      </c>
      <c r="AP83" s="125">
        <f t="shared" si="84"/>
        <v>0</v>
      </c>
      <c r="AU83" s="109">
        <f>IF(BA83=1,IF(AU82=MiscData!$F$1,EOMONTH(AU82,-11),EOMONTH(AU82,1)),AU82)</f>
        <v>42460</v>
      </c>
      <c r="AV83" s="108" t="str">
        <f t="shared" si="85"/>
        <v>20140101LGCME550</v>
      </c>
      <c r="AW83" s="126" t="str">
        <f t="shared" si="86"/>
        <v>20140101GSS</v>
      </c>
      <c r="AX83">
        <f>MiscData!$X$5</f>
        <v>20140101</v>
      </c>
      <c r="BA83" s="98">
        <f>IF(BA82+1&gt;MiscData!$Z$42,1,BA82+1)</f>
        <v>4</v>
      </c>
      <c r="BB83" s="98" t="str">
        <f>VLOOKUP(BA83,MiscData!$Z$5:$AB$46,2,FALSE)</f>
        <v>LGCME550</v>
      </c>
      <c r="BC83" s="98" t="str">
        <f>VLOOKUP(BA83,MiscData!$Z$5:$AB$46,3,FALSE)</f>
        <v>GSS</v>
      </c>
    </row>
    <row r="84" spans="1:55">
      <c r="A84" s="108">
        <v>77</v>
      </c>
      <c r="B84" s="109" t="str">
        <f t="shared" si="75"/>
        <v>Mar 2016</v>
      </c>
      <c r="C84" s="110" t="s">
        <v>902</v>
      </c>
      <c r="D84" s="110" t="str">
        <f t="shared" si="77"/>
        <v>LGCME551</v>
      </c>
      <c r="E84" s="111">
        <f t="shared" si="47"/>
        <v>28242</v>
      </c>
      <c r="F84" s="112">
        <v>0</v>
      </c>
      <c r="G84" s="111">
        <f t="shared" si="48"/>
        <v>0</v>
      </c>
      <c r="H84" s="111">
        <f t="shared" si="49"/>
        <v>0</v>
      </c>
      <c r="I84" s="111">
        <f t="shared" si="50"/>
        <v>0</v>
      </c>
      <c r="J84" s="111">
        <f t="shared" si="51"/>
        <v>29862341</v>
      </c>
      <c r="K84" s="113">
        <f t="shared" si="52"/>
        <v>0</v>
      </c>
      <c r="L84" s="113">
        <f t="shared" si="53"/>
        <v>0</v>
      </c>
      <c r="M84" s="113">
        <f t="shared" si="54"/>
        <v>0</v>
      </c>
      <c r="N84" s="116">
        <f t="shared" si="55"/>
        <v>20</v>
      </c>
      <c r="O84" s="117">
        <f t="shared" si="44"/>
        <v>9.1340000000000005E-2</v>
      </c>
      <c r="P84" s="117">
        <f t="shared" si="56"/>
        <v>0</v>
      </c>
      <c r="Q84" s="117">
        <f t="shared" si="57"/>
        <v>0</v>
      </c>
      <c r="R84" s="117">
        <f t="shared" si="58"/>
        <v>2.725E-2</v>
      </c>
      <c r="S84" s="116">
        <f t="shared" si="59"/>
        <v>0</v>
      </c>
      <c r="T84" s="116">
        <f t="shared" si="60"/>
        <v>0</v>
      </c>
      <c r="U84" s="116">
        <f t="shared" si="61"/>
        <v>0</v>
      </c>
      <c r="V84" s="118">
        <f t="shared" si="62"/>
        <v>564840</v>
      </c>
      <c r="W84" s="118">
        <f t="shared" si="78"/>
        <v>2727626.23</v>
      </c>
      <c r="X84" s="118">
        <f t="shared" si="79"/>
        <v>0</v>
      </c>
      <c r="Y84" s="118">
        <f t="shared" si="80"/>
        <v>0</v>
      </c>
      <c r="Z84" s="118">
        <f t="shared" si="81"/>
        <v>0</v>
      </c>
      <c r="AA84" s="119">
        <v>0</v>
      </c>
      <c r="AB84" s="120">
        <f t="shared" si="63"/>
        <v>0</v>
      </c>
      <c r="AC84" s="118">
        <f t="shared" si="64"/>
        <v>0</v>
      </c>
      <c r="AD84" s="118">
        <f t="shared" si="82"/>
        <v>3292466.23</v>
      </c>
      <c r="AE84" s="118">
        <f t="shared" si="65"/>
        <v>3292462</v>
      </c>
      <c r="AF84" s="121">
        <f t="shared" si="83"/>
        <v>0.99999899999999997</v>
      </c>
      <c r="AG84" s="122">
        <f t="shared" si="66"/>
        <v>-42112</v>
      </c>
      <c r="AH84" s="122">
        <f t="shared" si="67"/>
        <v>50362</v>
      </c>
      <c r="AI84" s="122">
        <f t="shared" si="68"/>
        <v>309639</v>
      </c>
      <c r="AJ84" s="122">
        <f t="shared" si="69"/>
        <v>0</v>
      </c>
      <c r="AK84" s="122">
        <f t="shared" si="70"/>
        <v>0</v>
      </c>
      <c r="AL84" s="122">
        <f t="shared" si="71"/>
        <v>3610351</v>
      </c>
      <c r="AM84" s="123">
        <f t="shared" si="72"/>
        <v>3610355.23</v>
      </c>
      <c r="AN84" s="123">
        <f t="shared" si="45"/>
        <v>-4.2299999999813735</v>
      </c>
      <c r="AO84" s="124">
        <f t="shared" si="74"/>
        <v>813748.79</v>
      </c>
      <c r="AP84" s="125">
        <f t="shared" si="84"/>
        <v>1913877.44</v>
      </c>
      <c r="AU84" s="109">
        <f>IF(BA84=1,IF(AU83=MiscData!$F$1,EOMONTH(AU83,-11),EOMONTH(AU83,1)),AU83)</f>
        <v>42460</v>
      </c>
      <c r="AV84" s="108" t="str">
        <f t="shared" si="85"/>
        <v>20140101LGCME551</v>
      </c>
      <c r="AW84" s="126" t="str">
        <f t="shared" si="86"/>
        <v>20140101GSS</v>
      </c>
      <c r="AX84">
        <f>MiscData!$X$5</f>
        <v>20140101</v>
      </c>
      <c r="BA84" s="98">
        <f>IF(BA83+1&gt;MiscData!$Z$42,1,BA83+1)</f>
        <v>5</v>
      </c>
      <c r="BB84" s="98" t="str">
        <f>VLOOKUP(BA84,MiscData!$Z$5:$AB$46,2,FALSE)</f>
        <v>LGCME551</v>
      </c>
      <c r="BC84" s="98" t="str">
        <f>VLOOKUP(BA84,MiscData!$Z$5:$AB$46,3,FALSE)</f>
        <v>GSS</v>
      </c>
    </row>
    <row r="85" spans="1:55">
      <c r="A85" s="108">
        <v>78</v>
      </c>
      <c r="B85" s="109" t="str">
        <f t="shared" si="75"/>
        <v>Mar 2016</v>
      </c>
      <c r="C85" s="110" t="s">
        <v>902</v>
      </c>
      <c r="D85" s="110" t="str">
        <f t="shared" si="77"/>
        <v>LGCME551UM</v>
      </c>
      <c r="E85" s="111">
        <f t="shared" si="47"/>
        <v>0</v>
      </c>
      <c r="F85" s="112">
        <v>0</v>
      </c>
      <c r="G85" s="111">
        <f t="shared" si="48"/>
        <v>0</v>
      </c>
      <c r="H85" s="111">
        <f t="shared" si="49"/>
        <v>0</v>
      </c>
      <c r="I85" s="111">
        <f t="shared" si="50"/>
        <v>0</v>
      </c>
      <c r="J85" s="111">
        <f t="shared" si="51"/>
        <v>0</v>
      </c>
      <c r="K85" s="113">
        <f t="shared" si="52"/>
        <v>0</v>
      </c>
      <c r="L85" s="113">
        <f t="shared" si="53"/>
        <v>0</v>
      </c>
      <c r="M85" s="113">
        <f t="shared" si="54"/>
        <v>0</v>
      </c>
      <c r="N85" s="116">
        <f t="shared" si="55"/>
        <v>20</v>
      </c>
      <c r="O85" s="117">
        <f t="shared" si="44"/>
        <v>9.1340000000000005E-2</v>
      </c>
      <c r="P85" s="117">
        <f t="shared" si="56"/>
        <v>0</v>
      </c>
      <c r="Q85" s="117">
        <f t="shared" si="57"/>
        <v>0</v>
      </c>
      <c r="R85" s="117">
        <f t="shared" si="58"/>
        <v>2.725E-2</v>
      </c>
      <c r="S85" s="116">
        <f t="shared" si="59"/>
        <v>0</v>
      </c>
      <c r="T85" s="116">
        <f t="shared" si="60"/>
        <v>0</v>
      </c>
      <c r="U85" s="116">
        <f t="shared" si="61"/>
        <v>0</v>
      </c>
      <c r="V85" s="118">
        <f t="shared" si="62"/>
        <v>0</v>
      </c>
      <c r="W85" s="118">
        <f t="shared" si="78"/>
        <v>0</v>
      </c>
      <c r="X85" s="118">
        <f t="shared" si="79"/>
        <v>0</v>
      </c>
      <c r="Y85" s="118">
        <f t="shared" si="80"/>
        <v>0</v>
      </c>
      <c r="Z85" s="118">
        <f t="shared" si="81"/>
        <v>0</v>
      </c>
      <c r="AA85" s="119">
        <v>0</v>
      </c>
      <c r="AB85" s="120">
        <f t="shared" si="63"/>
        <v>0</v>
      </c>
      <c r="AC85" s="118">
        <f t="shared" si="64"/>
        <v>0</v>
      </c>
      <c r="AD85" s="118">
        <f t="shared" si="82"/>
        <v>0</v>
      </c>
      <c r="AE85" s="118">
        <f t="shared" si="65"/>
        <v>0</v>
      </c>
      <c r="AF85" s="121">
        <f t="shared" si="83"/>
        <v>1</v>
      </c>
      <c r="AG85" s="122">
        <f t="shared" si="66"/>
        <v>0</v>
      </c>
      <c r="AH85" s="122">
        <f t="shared" si="67"/>
        <v>0</v>
      </c>
      <c r="AI85" s="122">
        <f t="shared" si="68"/>
        <v>0</v>
      </c>
      <c r="AJ85" s="122">
        <f t="shared" si="69"/>
        <v>0</v>
      </c>
      <c r="AK85" s="122">
        <f t="shared" si="70"/>
        <v>0</v>
      </c>
      <c r="AL85" s="122">
        <f t="shared" si="71"/>
        <v>0</v>
      </c>
      <c r="AM85" s="123">
        <f t="shared" si="72"/>
        <v>0</v>
      </c>
      <c r="AN85" s="123">
        <f t="shared" si="45"/>
        <v>0</v>
      </c>
      <c r="AO85" s="124">
        <f t="shared" si="74"/>
        <v>0</v>
      </c>
      <c r="AP85" s="125">
        <f t="shared" si="84"/>
        <v>0</v>
      </c>
      <c r="AU85" s="109">
        <f>IF(BA85=1,IF(AU84=MiscData!$F$1,EOMONTH(AU84,-11),EOMONTH(AU84,1)),AU84)</f>
        <v>42460</v>
      </c>
      <c r="AV85" s="108" t="str">
        <f t="shared" si="85"/>
        <v>20140101LGCME551UM</v>
      </c>
      <c r="AW85" s="126" t="str">
        <f t="shared" si="86"/>
        <v>20140101GSS</v>
      </c>
      <c r="AX85">
        <f>MiscData!$X$5</f>
        <v>20140101</v>
      </c>
      <c r="BA85" s="98">
        <f>IF(BA84+1&gt;MiscData!$Z$42,1,BA84+1)</f>
        <v>6</v>
      </c>
      <c r="BB85" s="98" t="str">
        <f>VLOOKUP(BA85,MiscData!$Z$5:$AB$46,2,FALSE)</f>
        <v>LGCME551UM</v>
      </c>
      <c r="BC85" s="98" t="str">
        <f>VLOOKUP(BA85,MiscData!$Z$5:$AB$46,3,FALSE)</f>
        <v>GSS</v>
      </c>
    </row>
    <row r="86" spans="1:55">
      <c r="A86" s="108">
        <v>77</v>
      </c>
      <c r="B86" s="109" t="str">
        <f t="shared" si="75"/>
        <v>Mar 2016</v>
      </c>
      <c r="C86" s="110" t="s">
        <v>902</v>
      </c>
      <c r="D86" s="110" t="str">
        <f t="shared" si="77"/>
        <v>LGCME552</v>
      </c>
      <c r="E86" s="111">
        <f t="shared" si="47"/>
        <v>0</v>
      </c>
      <c r="F86" s="112">
        <v>0</v>
      </c>
      <c r="G86" s="111">
        <f t="shared" si="48"/>
        <v>0</v>
      </c>
      <c r="H86" s="111">
        <f t="shared" si="49"/>
        <v>0</v>
      </c>
      <c r="I86" s="111">
        <f t="shared" si="50"/>
        <v>0</v>
      </c>
      <c r="J86" s="111">
        <f t="shared" si="51"/>
        <v>0</v>
      </c>
      <c r="K86" s="113">
        <f t="shared" si="52"/>
        <v>0</v>
      </c>
      <c r="L86" s="113">
        <f t="shared" si="53"/>
        <v>0</v>
      </c>
      <c r="M86" s="113">
        <f t="shared" si="54"/>
        <v>0</v>
      </c>
      <c r="N86" s="116">
        <f t="shared" si="55"/>
        <v>0</v>
      </c>
      <c r="O86" s="117">
        <f t="shared" si="44"/>
        <v>9.1340000000000005E-2</v>
      </c>
      <c r="P86" s="117">
        <f t="shared" si="56"/>
        <v>0</v>
      </c>
      <c r="Q86" s="117">
        <f t="shared" si="57"/>
        <v>0</v>
      </c>
      <c r="R86" s="117">
        <f t="shared" si="58"/>
        <v>2.725E-2</v>
      </c>
      <c r="S86" s="116">
        <f t="shared" si="59"/>
        <v>0</v>
      </c>
      <c r="T86" s="116">
        <f t="shared" si="60"/>
        <v>0</v>
      </c>
      <c r="U86" s="116">
        <f t="shared" si="61"/>
        <v>0</v>
      </c>
      <c r="V86" s="118">
        <f t="shared" si="62"/>
        <v>0</v>
      </c>
      <c r="W86" s="118">
        <f t="shared" si="78"/>
        <v>0</v>
      </c>
      <c r="X86" s="118">
        <f t="shared" si="79"/>
        <v>0</v>
      </c>
      <c r="Y86" s="118">
        <f t="shared" si="80"/>
        <v>0</v>
      </c>
      <c r="Z86" s="118">
        <f t="shared" si="81"/>
        <v>0</v>
      </c>
      <c r="AA86" s="119">
        <v>0</v>
      </c>
      <c r="AB86" s="120">
        <f t="shared" si="63"/>
        <v>0</v>
      </c>
      <c r="AC86" s="118">
        <f t="shared" si="64"/>
        <v>0</v>
      </c>
      <c r="AD86" s="118">
        <f t="shared" si="82"/>
        <v>0</v>
      </c>
      <c r="AE86" s="118">
        <f t="shared" si="65"/>
        <v>0</v>
      </c>
      <c r="AF86" s="121">
        <f t="shared" si="83"/>
        <v>1</v>
      </c>
      <c r="AG86" s="122">
        <f t="shared" si="66"/>
        <v>0</v>
      </c>
      <c r="AH86" s="122">
        <f t="shared" si="67"/>
        <v>0</v>
      </c>
      <c r="AI86" s="122">
        <f t="shared" si="68"/>
        <v>0</v>
      </c>
      <c r="AJ86" s="122">
        <f t="shared" si="69"/>
        <v>0</v>
      </c>
      <c r="AK86" s="122">
        <f t="shared" si="70"/>
        <v>0</v>
      </c>
      <c r="AL86" s="122">
        <f t="shared" si="71"/>
        <v>0</v>
      </c>
      <c r="AM86" s="123">
        <f t="shared" si="72"/>
        <v>0</v>
      </c>
      <c r="AN86" s="123">
        <f t="shared" si="45"/>
        <v>0</v>
      </c>
      <c r="AO86" s="124">
        <f t="shared" si="74"/>
        <v>0</v>
      </c>
      <c r="AP86" s="125">
        <f t="shared" si="84"/>
        <v>0</v>
      </c>
      <c r="AU86" s="109">
        <f>IF(BA86=1,IF(AU85=MiscData!$F$1,EOMONTH(AU85,-11),EOMONTH(AU85,1)),AU85)</f>
        <v>42460</v>
      </c>
      <c r="AV86" s="108" t="str">
        <f t="shared" si="85"/>
        <v>20140101LGCME552</v>
      </c>
      <c r="AW86" s="126" t="str">
        <f t="shared" si="86"/>
        <v>20140101GSS</v>
      </c>
      <c r="AX86">
        <f>MiscData!$X$5</f>
        <v>20140101</v>
      </c>
      <c r="BA86" s="98">
        <f>IF(BA85+1&gt;MiscData!$Z$42,1,BA85+1)</f>
        <v>7</v>
      </c>
      <c r="BB86" s="98" t="str">
        <f>VLOOKUP(BA86,MiscData!$Z$5:$AB$46,2,FALSE)</f>
        <v>LGCME552</v>
      </c>
      <c r="BC86" s="98" t="str">
        <f>VLOOKUP(BA86,MiscData!$Z$5:$AB$46,3,FALSE)</f>
        <v>GSS</v>
      </c>
    </row>
    <row r="87" spans="1:55">
      <c r="A87" s="108">
        <v>78</v>
      </c>
      <c r="B87" s="109" t="str">
        <f t="shared" si="75"/>
        <v>Mar 2016</v>
      </c>
      <c r="C87" s="110" t="s">
        <v>902</v>
      </c>
      <c r="D87" s="110" t="str">
        <f t="shared" si="77"/>
        <v>LGCME557</v>
      </c>
      <c r="E87" s="111">
        <f t="shared" si="47"/>
        <v>0</v>
      </c>
      <c r="F87" s="112">
        <v>0</v>
      </c>
      <c r="G87" s="111">
        <f t="shared" si="48"/>
        <v>0</v>
      </c>
      <c r="H87" s="111">
        <f t="shared" si="49"/>
        <v>0</v>
      </c>
      <c r="I87" s="111">
        <f t="shared" si="50"/>
        <v>0</v>
      </c>
      <c r="J87" s="111">
        <f t="shared" si="51"/>
        <v>0</v>
      </c>
      <c r="K87" s="113">
        <f t="shared" si="52"/>
        <v>0</v>
      </c>
      <c r="L87" s="113">
        <f t="shared" si="53"/>
        <v>0</v>
      </c>
      <c r="M87" s="113">
        <f t="shared" si="54"/>
        <v>0</v>
      </c>
      <c r="N87" s="116">
        <f t="shared" si="55"/>
        <v>20</v>
      </c>
      <c r="O87" s="117">
        <f t="shared" si="44"/>
        <v>9.1340000000000005E-2</v>
      </c>
      <c r="P87" s="117">
        <f t="shared" si="56"/>
        <v>0</v>
      </c>
      <c r="Q87" s="117">
        <f t="shared" si="57"/>
        <v>0</v>
      </c>
      <c r="R87" s="117">
        <f t="shared" si="58"/>
        <v>2.725E-2</v>
      </c>
      <c r="S87" s="116">
        <f t="shared" si="59"/>
        <v>0</v>
      </c>
      <c r="T87" s="116">
        <f t="shared" si="60"/>
        <v>0</v>
      </c>
      <c r="U87" s="116">
        <f t="shared" si="61"/>
        <v>0</v>
      </c>
      <c r="V87" s="118">
        <f t="shared" si="62"/>
        <v>0</v>
      </c>
      <c r="W87" s="118">
        <f t="shared" si="78"/>
        <v>0</v>
      </c>
      <c r="X87" s="118">
        <f t="shared" si="79"/>
        <v>0</v>
      </c>
      <c r="Y87" s="118">
        <f t="shared" si="80"/>
        <v>0</v>
      </c>
      <c r="Z87" s="118">
        <f t="shared" si="81"/>
        <v>0</v>
      </c>
      <c r="AA87" s="119">
        <v>0</v>
      </c>
      <c r="AB87" s="120">
        <f t="shared" si="63"/>
        <v>0</v>
      </c>
      <c r="AC87" s="118">
        <f t="shared" si="64"/>
        <v>0</v>
      </c>
      <c r="AD87" s="118">
        <f t="shared" si="82"/>
        <v>0</v>
      </c>
      <c r="AE87" s="118">
        <f t="shared" si="65"/>
        <v>0</v>
      </c>
      <c r="AF87" s="121">
        <f t="shared" si="83"/>
        <v>1</v>
      </c>
      <c r="AG87" s="122">
        <f t="shared" si="66"/>
        <v>0</v>
      </c>
      <c r="AH87" s="122">
        <f t="shared" si="67"/>
        <v>0</v>
      </c>
      <c r="AI87" s="122">
        <f t="shared" si="68"/>
        <v>0</v>
      </c>
      <c r="AJ87" s="122">
        <f t="shared" si="69"/>
        <v>0</v>
      </c>
      <c r="AK87" s="122">
        <f t="shared" si="70"/>
        <v>0</v>
      </c>
      <c r="AL87" s="122">
        <f t="shared" si="71"/>
        <v>0</v>
      </c>
      <c r="AM87" s="123">
        <f t="shared" si="72"/>
        <v>0</v>
      </c>
      <c r="AN87" s="123">
        <f t="shared" si="45"/>
        <v>0</v>
      </c>
      <c r="AO87" s="124">
        <f t="shared" si="74"/>
        <v>0</v>
      </c>
      <c r="AP87" s="125">
        <f t="shared" si="84"/>
        <v>0</v>
      </c>
      <c r="AU87" s="109">
        <f>IF(BA87=1,IF(AU86=MiscData!$F$1,EOMONTH(AU86,-11),EOMONTH(AU86,1)),AU86)</f>
        <v>42460</v>
      </c>
      <c r="AV87" s="108" t="str">
        <f t="shared" si="85"/>
        <v>20140101LGCME557</v>
      </c>
      <c r="AW87" s="126" t="str">
        <f t="shared" si="86"/>
        <v>20140101GSS</v>
      </c>
      <c r="AX87">
        <f>MiscData!$X$5</f>
        <v>20140101</v>
      </c>
      <c r="BA87" s="98">
        <f>IF(BA86+1&gt;MiscData!$Z$42,1,BA86+1)</f>
        <v>8</v>
      </c>
      <c r="BB87" s="98" t="str">
        <f>VLOOKUP(BA87,MiscData!$Z$5:$AB$46,2,FALSE)</f>
        <v>LGCME557</v>
      </c>
      <c r="BC87" s="98" t="str">
        <f>VLOOKUP(BA87,MiscData!$Z$5:$AB$46,3,FALSE)</f>
        <v>GSS</v>
      </c>
    </row>
    <row r="88" spans="1:55">
      <c r="A88" s="108">
        <v>79</v>
      </c>
      <c r="B88" s="109" t="str">
        <f t="shared" si="75"/>
        <v>Mar 2016</v>
      </c>
      <c r="C88" s="110" t="str">
        <f t="shared" si="76"/>
        <v>PSS</v>
      </c>
      <c r="D88" s="110" t="str">
        <f t="shared" si="77"/>
        <v>LGCME561</v>
      </c>
      <c r="E88" s="111">
        <f t="shared" si="47"/>
        <v>2585</v>
      </c>
      <c r="F88" s="112">
        <v>0</v>
      </c>
      <c r="G88" s="111">
        <f t="shared" si="48"/>
        <v>0</v>
      </c>
      <c r="H88" s="111">
        <f t="shared" si="49"/>
        <v>0</v>
      </c>
      <c r="I88" s="111">
        <f t="shared" si="50"/>
        <v>0</v>
      </c>
      <c r="J88" s="111">
        <f t="shared" si="51"/>
        <v>130807807</v>
      </c>
      <c r="K88" s="113">
        <f t="shared" si="52"/>
        <v>0</v>
      </c>
      <c r="L88" s="113">
        <f t="shared" si="53"/>
        <v>329383</v>
      </c>
      <c r="M88" s="113">
        <f t="shared" si="54"/>
        <v>0</v>
      </c>
      <c r="N88" s="116">
        <f t="shared" si="55"/>
        <v>90</v>
      </c>
      <c r="O88" s="117">
        <f t="shared" si="44"/>
        <v>4.0599999999999997E-2</v>
      </c>
      <c r="P88" s="117">
        <f t="shared" si="56"/>
        <v>0</v>
      </c>
      <c r="Q88" s="117">
        <f t="shared" si="57"/>
        <v>0</v>
      </c>
      <c r="R88" s="117">
        <f t="shared" si="58"/>
        <v>2.725E-2</v>
      </c>
      <c r="S88" s="116">
        <f t="shared" si="59"/>
        <v>0</v>
      </c>
      <c r="T88" s="116">
        <f t="shared" si="60"/>
        <v>14.010000000000002</v>
      </c>
      <c r="U88" s="116">
        <f t="shared" si="61"/>
        <v>16.399999999999999</v>
      </c>
      <c r="V88" s="118">
        <f t="shared" si="62"/>
        <v>232650</v>
      </c>
      <c r="W88" s="118">
        <f t="shared" si="78"/>
        <v>5310796.96</v>
      </c>
      <c r="X88" s="118">
        <f t="shared" si="79"/>
        <v>0</v>
      </c>
      <c r="Y88" s="118">
        <f t="shared" si="80"/>
        <v>4614655.83</v>
      </c>
      <c r="Z88" s="118">
        <f t="shared" si="81"/>
        <v>0</v>
      </c>
      <c r="AA88" s="119">
        <v>0</v>
      </c>
      <c r="AB88" s="120">
        <f t="shared" si="63"/>
        <v>0</v>
      </c>
      <c r="AC88" s="118">
        <f t="shared" si="64"/>
        <v>4614655.83</v>
      </c>
      <c r="AD88" s="118">
        <f t="shared" si="82"/>
        <v>10158102.789999999</v>
      </c>
      <c r="AE88" s="118">
        <f t="shared" si="65"/>
        <v>10158103</v>
      </c>
      <c r="AF88" s="121">
        <f t="shared" si="83"/>
        <v>1</v>
      </c>
      <c r="AG88" s="122">
        <f t="shared" si="66"/>
        <v>-184464</v>
      </c>
      <c r="AH88" s="122">
        <f t="shared" si="67"/>
        <v>220606</v>
      </c>
      <c r="AI88" s="122">
        <f t="shared" si="68"/>
        <v>1356328</v>
      </c>
      <c r="AJ88" s="122">
        <f t="shared" si="69"/>
        <v>0</v>
      </c>
      <c r="AK88" s="122">
        <f t="shared" si="70"/>
        <v>0</v>
      </c>
      <c r="AL88" s="122">
        <f t="shared" si="71"/>
        <v>11550573</v>
      </c>
      <c r="AM88" s="123">
        <f t="shared" si="72"/>
        <v>11550572.789999999</v>
      </c>
      <c r="AN88" s="123">
        <f t="shared" si="45"/>
        <v>0.21000000089406967</v>
      </c>
      <c r="AO88" s="124">
        <f t="shared" si="74"/>
        <v>3564512.74</v>
      </c>
      <c r="AP88" s="125">
        <f t="shared" si="84"/>
        <v>1746284.2199999997</v>
      </c>
      <c r="AU88" s="109">
        <f>IF(BA88=1,IF(AU87=MiscData!$F$1,EOMONTH(AU87,-11),EOMONTH(AU87,1)),AU87)</f>
        <v>42460</v>
      </c>
      <c r="AV88" s="108" t="str">
        <f t="shared" si="85"/>
        <v>20140101LGCME561</v>
      </c>
      <c r="AW88" s="126" t="str">
        <f t="shared" si="86"/>
        <v>20140101PSS</v>
      </c>
      <c r="AX88">
        <f>MiscData!$X$5</f>
        <v>20140101</v>
      </c>
      <c r="BA88" s="98">
        <f>IF(BA87+1&gt;MiscData!$Z$42,1,BA87+1)</f>
        <v>9</v>
      </c>
      <c r="BB88" s="98" t="str">
        <f>VLOOKUP(BA88,MiscData!$Z$5:$AB$46,2,FALSE)</f>
        <v>LGCME561</v>
      </c>
      <c r="BC88" s="98" t="str">
        <f>VLOOKUP(BA88,MiscData!$Z$5:$AB$46,3,FALSE)</f>
        <v>PSS</v>
      </c>
    </row>
    <row r="89" spans="1:55">
      <c r="A89" s="108">
        <v>80</v>
      </c>
      <c r="B89" s="109" t="str">
        <f t="shared" si="75"/>
        <v>Mar 2016</v>
      </c>
      <c r="C89" s="110" t="str">
        <f t="shared" si="76"/>
        <v>PSP</v>
      </c>
      <c r="D89" s="110" t="str">
        <f t="shared" si="77"/>
        <v>LGCME563</v>
      </c>
      <c r="E89" s="111">
        <f t="shared" si="47"/>
        <v>52</v>
      </c>
      <c r="F89" s="112">
        <v>0</v>
      </c>
      <c r="G89" s="111">
        <f t="shared" si="48"/>
        <v>0</v>
      </c>
      <c r="H89" s="111">
        <f t="shared" si="49"/>
        <v>0</v>
      </c>
      <c r="I89" s="111">
        <f t="shared" si="50"/>
        <v>0</v>
      </c>
      <c r="J89" s="111">
        <f t="shared" si="51"/>
        <v>10824710</v>
      </c>
      <c r="K89" s="113">
        <f t="shared" si="52"/>
        <v>0</v>
      </c>
      <c r="L89" s="113">
        <f t="shared" si="53"/>
        <v>26650</v>
      </c>
      <c r="M89" s="113">
        <f t="shared" si="54"/>
        <v>0</v>
      </c>
      <c r="N89" s="116">
        <f t="shared" si="55"/>
        <v>170</v>
      </c>
      <c r="O89" s="117">
        <f t="shared" si="44"/>
        <v>3.9260000000000003E-2</v>
      </c>
      <c r="P89" s="117">
        <f t="shared" si="56"/>
        <v>0</v>
      </c>
      <c r="Q89" s="117">
        <f t="shared" si="57"/>
        <v>0</v>
      </c>
      <c r="R89" s="117">
        <f t="shared" si="58"/>
        <v>2.725E-2</v>
      </c>
      <c r="S89" s="116">
        <f t="shared" si="59"/>
        <v>0</v>
      </c>
      <c r="T89" s="116">
        <f t="shared" si="60"/>
        <v>11.660000000000002</v>
      </c>
      <c r="U89" s="116">
        <f t="shared" si="61"/>
        <v>13.950000000000001</v>
      </c>
      <c r="V89" s="118">
        <f t="shared" si="62"/>
        <v>8840</v>
      </c>
      <c r="W89" s="118">
        <f t="shared" si="78"/>
        <v>424978.11</v>
      </c>
      <c r="X89" s="118">
        <f t="shared" si="79"/>
        <v>0</v>
      </c>
      <c r="Y89" s="118">
        <f t="shared" si="80"/>
        <v>310739</v>
      </c>
      <c r="Z89" s="118">
        <f t="shared" si="81"/>
        <v>0</v>
      </c>
      <c r="AA89" s="119">
        <v>0</v>
      </c>
      <c r="AB89" s="120">
        <f t="shared" si="63"/>
        <v>0</v>
      </c>
      <c r="AC89" s="118">
        <f t="shared" si="64"/>
        <v>310739</v>
      </c>
      <c r="AD89" s="118">
        <f t="shared" si="82"/>
        <v>744557.11</v>
      </c>
      <c r="AE89" s="118">
        <f t="shared" si="65"/>
        <v>744551</v>
      </c>
      <c r="AF89" s="121">
        <f t="shared" si="83"/>
        <v>0.99999199999999999</v>
      </c>
      <c r="AG89" s="122">
        <f t="shared" si="66"/>
        <v>-15265</v>
      </c>
      <c r="AH89" s="122">
        <f t="shared" si="67"/>
        <v>18256</v>
      </c>
      <c r="AI89" s="122">
        <f t="shared" si="68"/>
        <v>112240</v>
      </c>
      <c r="AJ89" s="122">
        <f t="shared" si="69"/>
        <v>0</v>
      </c>
      <c r="AK89" s="122">
        <f t="shared" si="70"/>
        <v>0</v>
      </c>
      <c r="AL89" s="122">
        <f t="shared" si="71"/>
        <v>859782</v>
      </c>
      <c r="AM89" s="123">
        <f t="shared" si="72"/>
        <v>859788.11</v>
      </c>
      <c r="AN89" s="123">
        <f t="shared" si="45"/>
        <v>-6.1099999999860302</v>
      </c>
      <c r="AO89" s="124">
        <f t="shared" si="74"/>
        <v>294973.34999999998</v>
      </c>
      <c r="AP89" s="125">
        <f t="shared" si="84"/>
        <v>130004.76000000001</v>
      </c>
      <c r="AU89" s="109">
        <f>IF(BA89=1,IF(AU88=MiscData!$F$1,EOMONTH(AU88,-11),EOMONTH(AU88,1)),AU88)</f>
        <v>42460</v>
      </c>
      <c r="AV89" s="108" t="str">
        <f t="shared" si="85"/>
        <v>20140101LGCME563</v>
      </c>
      <c r="AW89" s="126" t="str">
        <f t="shared" si="86"/>
        <v>20140101PSP</v>
      </c>
      <c r="AX89">
        <f>MiscData!$X$5</f>
        <v>20140101</v>
      </c>
      <c r="BA89" s="98">
        <f>IF(BA88+1&gt;MiscData!$Z$42,1,BA88+1)</f>
        <v>10</v>
      </c>
      <c r="BB89" s="98" t="str">
        <f>VLOOKUP(BA89,MiscData!$Z$5:$AB$46,2,FALSE)</f>
        <v>LGCME563</v>
      </c>
      <c r="BC89" s="98" t="str">
        <f>VLOOKUP(BA89,MiscData!$Z$5:$AB$46,3,FALSE)</f>
        <v>PSP</v>
      </c>
    </row>
    <row r="90" spans="1:55">
      <c r="A90" s="108">
        <v>81</v>
      </c>
      <c r="B90" s="109" t="str">
        <f t="shared" si="75"/>
        <v>Mar 2016</v>
      </c>
      <c r="C90" s="110" t="str">
        <f t="shared" si="76"/>
        <v>PSS</v>
      </c>
      <c r="D90" s="110" t="str">
        <f t="shared" si="77"/>
        <v>LGCME567</v>
      </c>
      <c r="E90" s="111">
        <f t="shared" si="47"/>
        <v>0</v>
      </c>
      <c r="F90" s="112">
        <v>0</v>
      </c>
      <c r="G90" s="111">
        <f t="shared" si="48"/>
        <v>0</v>
      </c>
      <c r="H90" s="111">
        <f t="shared" si="49"/>
        <v>0</v>
      </c>
      <c r="I90" s="111">
        <f t="shared" si="50"/>
        <v>0</v>
      </c>
      <c r="J90" s="111">
        <f t="shared" si="51"/>
        <v>0</v>
      </c>
      <c r="K90" s="113">
        <f t="shared" si="52"/>
        <v>0</v>
      </c>
      <c r="L90" s="113">
        <f t="shared" si="53"/>
        <v>0</v>
      </c>
      <c r="M90" s="113">
        <f t="shared" si="54"/>
        <v>0</v>
      </c>
      <c r="N90" s="116">
        <f t="shared" si="55"/>
        <v>90</v>
      </c>
      <c r="O90" s="117">
        <f t="shared" si="44"/>
        <v>4.0599999999999997E-2</v>
      </c>
      <c r="P90" s="117">
        <f t="shared" si="56"/>
        <v>0</v>
      </c>
      <c r="Q90" s="117">
        <f t="shared" si="57"/>
        <v>0</v>
      </c>
      <c r="R90" s="117">
        <f t="shared" si="58"/>
        <v>2.725E-2</v>
      </c>
      <c r="S90" s="116">
        <f t="shared" si="59"/>
        <v>0</v>
      </c>
      <c r="T90" s="116">
        <f t="shared" si="60"/>
        <v>14.010000000000002</v>
      </c>
      <c r="U90" s="116">
        <f t="shared" si="61"/>
        <v>16.399999999999999</v>
      </c>
      <c r="V90" s="118">
        <f t="shared" si="62"/>
        <v>0</v>
      </c>
      <c r="W90" s="118">
        <f t="shared" si="78"/>
        <v>0</v>
      </c>
      <c r="X90" s="118">
        <f t="shared" si="79"/>
        <v>0</v>
      </c>
      <c r="Y90" s="118">
        <f t="shared" si="80"/>
        <v>0</v>
      </c>
      <c r="Z90" s="118">
        <f t="shared" si="81"/>
        <v>0</v>
      </c>
      <c r="AA90" s="119">
        <v>0</v>
      </c>
      <c r="AB90" s="120">
        <f t="shared" si="63"/>
        <v>0</v>
      </c>
      <c r="AC90" s="118">
        <f t="shared" si="64"/>
        <v>0</v>
      </c>
      <c r="AD90" s="118">
        <f t="shared" si="82"/>
        <v>0</v>
      </c>
      <c r="AE90" s="118">
        <f t="shared" si="65"/>
        <v>0</v>
      </c>
      <c r="AF90" s="121">
        <f t="shared" si="83"/>
        <v>1</v>
      </c>
      <c r="AG90" s="122">
        <f t="shared" si="66"/>
        <v>0</v>
      </c>
      <c r="AH90" s="122">
        <f t="shared" si="67"/>
        <v>0</v>
      </c>
      <c r="AI90" s="122">
        <f t="shared" si="68"/>
        <v>0</v>
      </c>
      <c r="AJ90" s="122">
        <f t="shared" si="69"/>
        <v>0</v>
      </c>
      <c r="AK90" s="122">
        <f t="shared" si="70"/>
        <v>0</v>
      </c>
      <c r="AL90" s="122">
        <f t="shared" si="71"/>
        <v>0</v>
      </c>
      <c r="AM90" s="123">
        <f t="shared" si="72"/>
        <v>0</v>
      </c>
      <c r="AN90" s="123">
        <f t="shared" si="45"/>
        <v>0</v>
      </c>
      <c r="AO90" s="124">
        <f t="shared" si="74"/>
        <v>0</v>
      </c>
      <c r="AP90" s="125">
        <f t="shared" si="84"/>
        <v>0</v>
      </c>
      <c r="AU90" s="109">
        <f>IF(BA90=1,IF(AU89=MiscData!$F$1,EOMONTH(AU89,-11),EOMONTH(AU89,1)),AU89)</f>
        <v>42460</v>
      </c>
      <c r="AV90" s="108" t="str">
        <f t="shared" si="85"/>
        <v>20140101LGCME567</v>
      </c>
      <c r="AW90" s="126" t="str">
        <f t="shared" si="86"/>
        <v>20140101PSS</v>
      </c>
      <c r="AX90">
        <f>MiscData!$X$5</f>
        <v>20140101</v>
      </c>
      <c r="BA90" s="98">
        <f>IF(BA89+1&gt;MiscData!$Z$42,1,BA89+1)</f>
        <v>11</v>
      </c>
      <c r="BB90" s="98" t="str">
        <f>VLOOKUP(BA90,MiscData!$Z$5:$AB$46,2,FALSE)</f>
        <v>LGCME567</v>
      </c>
      <c r="BC90" s="98" t="str">
        <f>VLOOKUP(BA90,MiscData!$Z$5:$AB$46,3,FALSE)</f>
        <v>PSS</v>
      </c>
    </row>
    <row r="91" spans="1:55">
      <c r="A91" s="108">
        <v>82</v>
      </c>
      <c r="B91" s="109" t="str">
        <f t="shared" si="75"/>
        <v>Mar 2016</v>
      </c>
      <c r="C91" s="110" t="str">
        <f t="shared" si="76"/>
        <v>TODS</v>
      </c>
      <c r="D91" s="110" t="str">
        <f t="shared" si="77"/>
        <v>LGCME591</v>
      </c>
      <c r="E91" s="111">
        <f t="shared" si="47"/>
        <v>224</v>
      </c>
      <c r="F91" s="112">
        <v>0</v>
      </c>
      <c r="G91" s="111">
        <f t="shared" si="48"/>
        <v>0</v>
      </c>
      <c r="H91" s="111">
        <f t="shared" si="49"/>
        <v>0</v>
      </c>
      <c r="I91" s="111">
        <f t="shared" si="50"/>
        <v>0</v>
      </c>
      <c r="J91" s="111">
        <f t="shared" si="51"/>
        <v>57508342</v>
      </c>
      <c r="K91" s="113">
        <f t="shared" si="52"/>
        <v>130300</v>
      </c>
      <c r="L91" s="113">
        <f t="shared" si="53"/>
        <v>120754</v>
      </c>
      <c r="M91" s="113">
        <f t="shared" si="54"/>
        <v>117662</v>
      </c>
      <c r="N91" s="116">
        <f t="shared" si="55"/>
        <v>200</v>
      </c>
      <c r="O91" s="117">
        <f t="shared" si="44"/>
        <v>3.9899999999999998E-2</v>
      </c>
      <c r="P91" s="117">
        <f t="shared" si="56"/>
        <v>0</v>
      </c>
      <c r="Q91" s="117">
        <f t="shared" si="57"/>
        <v>0</v>
      </c>
      <c r="R91" s="117">
        <f t="shared" si="58"/>
        <v>2.725E-2</v>
      </c>
      <c r="S91" s="116">
        <f t="shared" si="59"/>
        <v>4</v>
      </c>
      <c r="T91" s="116">
        <f t="shared" si="60"/>
        <v>4.5100000000000007</v>
      </c>
      <c r="U91" s="116">
        <f t="shared" si="61"/>
        <v>6.11</v>
      </c>
      <c r="V91" s="118">
        <f t="shared" si="62"/>
        <v>44800</v>
      </c>
      <c r="W91" s="118">
        <f t="shared" si="78"/>
        <v>2294582.85</v>
      </c>
      <c r="X91" s="118">
        <f t="shared" si="79"/>
        <v>521200</v>
      </c>
      <c r="Y91" s="118">
        <f t="shared" si="80"/>
        <v>544600.54</v>
      </c>
      <c r="Z91" s="118">
        <f t="shared" si="81"/>
        <v>718914.82</v>
      </c>
      <c r="AA91" s="119">
        <v>0</v>
      </c>
      <c r="AB91" s="120">
        <f t="shared" si="63"/>
        <v>0</v>
      </c>
      <c r="AC91" s="118">
        <f t="shared" si="64"/>
        <v>1784715.3599999999</v>
      </c>
      <c r="AD91" s="118">
        <f t="shared" si="82"/>
        <v>4124098.21</v>
      </c>
      <c r="AE91" s="118">
        <f t="shared" si="65"/>
        <v>4124095</v>
      </c>
      <c r="AF91" s="121">
        <f t="shared" si="83"/>
        <v>0.99999899999999997</v>
      </c>
      <c r="AG91" s="122">
        <f t="shared" si="66"/>
        <v>-81098</v>
      </c>
      <c r="AH91" s="122">
        <f t="shared" si="67"/>
        <v>96987</v>
      </c>
      <c r="AI91" s="122">
        <f t="shared" si="68"/>
        <v>596296</v>
      </c>
      <c r="AJ91" s="122">
        <f t="shared" si="69"/>
        <v>0</v>
      </c>
      <c r="AK91" s="122">
        <f t="shared" si="70"/>
        <v>0</v>
      </c>
      <c r="AL91" s="122">
        <f t="shared" si="71"/>
        <v>4736280</v>
      </c>
      <c r="AM91" s="123">
        <f t="shared" si="72"/>
        <v>4736283.21</v>
      </c>
      <c r="AN91" s="123">
        <f t="shared" si="45"/>
        <v>-3.2099999999627471</v>
      </c>
      <c r="AO91" s="124">
        <f t="shared" si="74"/>
        <v>1567102.32</v>
      </c>
      <c r="AP91" s="125">
        <f t="shared" si="84"/>
        <v>727480.53</v>
      </c>
      <c r="AU91" s="109">
        <f>IF(BA91=1,IF(AU90=MiscData!$F$1,EOMONTH(AU90,-11),EOMONTH(AU90,1)),AU90)</f>
        <v>42460</v>
      </c>
      <c r="AV91" s="108" t="str">
        <f t="shared" si="85"/>
        <v>20140101LGCME591</v>
      </c>
      <c r="AW91" s="126" t="str">
        <f t="shared" si="86"/>
        <v>20140101TODS</v>
      </c>
      <c r="AX91">
        <f>MiscData!$X$5</f>
        <v>20140101</v>
      </c>
      <c r="BA91" s="98">
        <f>IF(BA90+1&gt;MiscData!$Z$42,1,BA90+1)</f>
        <v>12</v>
      </c>
      <c r="BB91" s="98" t="str">
        <f>VLOOKUP(BA91,MiscData!$Z$5:$AB$46,2,FALSE)</f>
        <v>LGCME591</v>
      </c>
      <c r="BC91" s="98" t="str">
        <f>VLOOKUP(BA91,MiscData!$Z$5:$AB$46,3,FALSE)</f>
        <v>TODS</v>
      </c>
    </row>
    <row r="92" spans="1:55">
      <c r="A92" s="108">
        <v>83</v>
      </c>
      <c r="B92" s="109" t="str">
        <f t="shared" si="75"/>
        <v>Mar 2016</v>
      </c>
      <c r="C92" s="110" t="str">
        <f t="shared" si="76"/>
        <v>CTODP</v>
      </c>
      <c r="D92" s="110" t="str">
        <f t="shared" si="77"/>
        <v>LGCME593</v>
      </c>
      <c r="E92" s="111">
        <f t="shared" si="47"/>
        <v>40</v>
      </c>
      <c r="F92" s="112">
        <v>0</v>
      </c>
      <c r="G92" s="111">
        <f t="shared" si="48"/>
        <v>0</v>
      </c>
      <c r="H92" s="111">
        <f t="shared" si="49"/>
        <v>0</v>
      </c>
      <c r="I92" s="111">
        <f t="shared" si="50"/>
        <v>0</v>
      </c>
      <c r="J92" s="111">
        <f t="shared" si="51"/>
        <v>27203323</v>
      </c>
      <c r="K92" s="113">
        <f t="shared" si="52"/>
        <v>65971</v>
      </c>
      <c r="L92" s="113">
        <f t="shared" si="53"/>
        <v>59840</v>
      </c>
      <c r="M92" s="113">
        <f t="shared" si="54"/>
        <v>58531</v>
      </c>
      <c r="N92" s="116">
        <f t="shared" si="55"/>
        <v>300</v>
      </c>
      <c r="O92" s="117">
        <f t="shared" si="44"/>
        <v>3.8100000000000002E-2</v>
      </c>
      <c r="P92" s="117">
        <f t="shared" si="56"/>
        <v>0</v>
      </c>
      <c r="Q92" s="117">
        <f t="shared" si="57"/>
        <v>0</v>
      </c>
      <c r="R92" s="117">
        <f t="shared" si="58"/>
        <v>2.725E-2</v>
      </c>
      <c r="S92" s="116">
        <f t="shared" si="59"/>
        <v>3.9800000000000004</v>
      </c>
      <c r="T92" s="116">
        <f t="shared" si="60"/>
        <v>4.13</v>
      </c>
      <c r="U92" s="116">
        <f t="shared" si="61"/>
        <v>5.83</v>
      </c>
      <c r="V92" s="118">
        <f t="shared" si="62"/>
        <v>12000</v>
      </c>
      <c r="W92" s="118">
        <f t="shared" si="78"/>
        <v>1036446.61</v>
      </c>
      <c r="X92" s="118">
        <f t="shared" si="79"/>
        <v>262564.58</v>
      </c>
      <c r="Y92" s="118">
        <f t="shared" si="80"/>
        <v>247139.20000000001</v>
      </c>
      <c r="Z92" s="118">
        <f t="shared" si="81"/>
        <v>341235.73</v>
      </c>
      <c r="AA92" s="119">
        <v>0</v>
      </c>
      <c r="AB92" s="120">
        <f t="shared" si="63"/>
        <v>0</v>
      </c>
      <c r="AC92" s="118">
        <f t="shared" si="64"/>
        <v>850939.51</v>
      </c>
      <c r="AD92" s="118">
        <f t="shared" si="82"/>
        <v>1899386.1199999999</v>
      </c>
      <c r="AE92" s="118">
        <f t="shared" si="65"/>
        <v>1899384</v>
      </c>
      <c r="AF92" s="121">
        <f t="shared" si="83"/>
        <v>0.99999899999999997</v>
      </c>
      <c r="AG92" s="122">
        <f t="shared" si="66"/>
        <v>-38362</v>
      </c>
      <c r="AH92" s="122">
        <f t="shared" si="67"/>
        <v>45878</v>
      </c>
      <c r="AI92" s="122">
        <f t="shared" si="68"/>
        <v>282068</v>
      </c>
      <c r="AJ92" s="122">
        <f t="shared" si="69"/>
        <v>0</v>
      </c>
      <c r="AK92" s="122">
        <f t="shared" si="70"/>
        <v>0</v>
      </c>
      <c r="AL92" s="122">
        <f t="shared" si="71"/>
        <v>2188968</v>
      </c>
      <c r="AM92" s="123">
        <f t="shared" si="72"/>
        <v>2188970.12</v>
      </c>
      <c r="AN92" s="123">
        <f t="shared" si="45"/>
        <v>-2.1200000001117587</v>
      </c>
      <c r="AO92" s="124">
        <f t="shared" si="74"/>
        <v>741290.55</v>
      </c>
      <c r="AP92" s="125">
        <f t="shared" si="84"/>
        <v>295156.05999999994</v>
      </c>
      <c r="AU92" s="109">
        <f>IF(BA92=1,IF(AU91=MiscData!$F$1,EOMONTH(AU91,-11),EOMONTH(AU91,1)),AU91)</f>
        <v>42460</v>
      </c>
      <c r="AV92" s="108" t="str">
        <f t="shared" si="85"/>
        <v>20140101LGCME593</v>
      </c>
      <c r="AW92" s="126" t="str">
        <f t="shared" si="86"/>
        <v>20140101CTODP</v>
      </c>
      <c r="AX92">
        <f>MiscData!$X$5</f>
        <v>20140101</v>
      </c>
      <c r="BA92" s="98">
        <f>IF(BA91+1&gt;MiscData!$Z$42,1,BA91+1)</f>
        <v>13</v>
      </c>
      <c r="BB92" s="98" t="str">
        <f>VLOOKUP(BA92,MiscData!$Z$5:$AB$46,2,FALSE)</f>
        <v>LGCME593</v>
      </c>
      <c r="BC92" s="98" t="str">
        <f>VLOOKUP(BA92,MiscData!$Z$5:$AB$46,3,FALSE)</f>
        <v>CTODP</v>
      </c>
    </row>
    <row r="93" spans="1:55">
      <c r="A93" s="108">
        <v>84</v>
      </c>
      <c r="B93" s="109" t="str">
        <f t="shared" si="75"/>
        <v>Mar 2016</v>
      </c>
      <c r="C93" s="110" t="str">
        <f t="shared" si="76"/>
        <v>GS3</v>
      </c>
      <c r="D93" s="110" t="str">
        <f t="shared" si="77"/>
        <v>LGCME650</v>
      </c>
      <c r="E93" s="111">
        <f t="shared" si="47"/>
        <v>0</v>
      </c>
      <c r="F93" s="112">
        <v>0</v>
      </c>
      <c r="G93" s="111">
        <f t="shared" si="48"/>
        <v>0</v>
      </c>
      <c r="H93" s="111">
        <f t="shared" si="49"/>
        <v>0</v>
      </c>
      <c r="I93" s="111">
        <f t="shared" si="50"/>
        <v>0</v>
      </c>
      <c r="J93" s="111">
        <f t="shared" si="51"/>
        <v>0</v>
      </c>
      <c r="K93" s="113">
        <f t="shared" si="52"/>
        <v>0</v>
      </c>
      <c r="L93" s="113">
        <f t="shared" si="53"/>
        <v>0</v>
      </c>
      <c r="M93" s="113">
        <f t="shared" si="54"/>
        <v>0</v>
      </c>
      <c r="N93" s="116">
        <f t="shared" si="55"/>
        <v>35</v>
      </c>
      <c r="O93" s="117">
        <f t="shared" si="44"/>
        <v>9.1340000000000005E-2</v>
      </c>
      <c r="P93" s="117">
        <f t="shared" si="56"/>
        <v>0</v>
      </c>
      <c r="Q93" s="117">
        <f t="shared" si="57"/>
        <v>0</v>
      </c>
      <c r="R93" s="117">
        <f t="shared" si="58"/>
        <v>2.725E-2</v>
      </c>
      <c r="S93" s="116">
        <f t="shared" si="59"/>
        <v>0</v>
      </c>
      <c r="T93" s="116">
        <f t="shared" si="60"/>
        <v>0</v>
      </c>
      <c r="U93" s="116">
        <f t="shared" si="61"/>
        <v>0</v>
      </c>
      <c r="V93" s="118">
        <f t="shared" si="62"/>
        <v>0</v>
      </c>
      <c r="W93" s="118">
        <f t="shared" si="78"/>
        <v>0</v>
      </c>
      <c r="X93" s="118">
        <f t="shared" si="79"/>
        <v>0</v>
      </c>
      <c r="Y93" s="118">
        <f t="shared" si="80"/>
        <v>0</v>
      </c>
      <c r="Z93" s="118">
        <f t="shared" si="81"/>
        <v>0</v>
      </c>
      <c r="AA93" s="119">
        <v>0</v>
      </c>
      <c r="AB93" s="120">
        <f t="shared" si="63"/>
        <v>0</v>
      </c>
      <c r="AC93" s="118">
        <f t="shared" si="64"/>
        <v>0</v>
      </c>
      <c r="AD93" s="118">
        <f t="shared" si="82"/>
        <v>0</v>
      </c>
      <c r="AE93" s="118">
        <f t="shared" si="65"/>
        <v>0</v>
      </c>
      <c r="AF93" s="121">
        <f t="shared" si="83"/>
        <v>1</v>
      </c>
      <c r="AG93" s="122">
        <f t="shared" si="66"/>
        <v>0</v>
      </c>
      <c r="AH93" s="122">
        <f t="shared" si="67"/>
        <v>0</v>
      </c>
      <c r="AI93" s="122">
        <f t="shared" si="68"/>
        <v>0</v>
      </c>
      <c r="AJ93" s="122">
        <f t="shared" si="69"/>
        <v>0</v>
      </c>
      <c r="AK93" s="122">
        <f t="shared" si="70"/>
        <v>0</v>
      </c>
      <c r="AL93" s="122">
        <f t="shared" si="71"/>
        <v>0</v>
      </c>
      <c r="AM93" s="123">
        <f t="shared" si="72"/>
        <v>0</v>
      </c>
      <c r="AN93" s="123">
        <f t="shared" si="45"/>
        <v>0</v>
      </c>
      <c r="AO93" s="124">
        <f t="shared" si="74"/>
        <v>0</v>
      </c>
      <c r="AP93" s="125">
        <f t="shared" si="84"/>
        <v>0</v>
      </c>
      <c r="AU93" s="109">
        <f>IF(BA93=1,IF(AU92=MiscData!$F$1,EOMONTH(AU92,-11),EOMONTH(AU92,1)),AU92)</f>
        <v>42460</v>
      </c>
      <c r="AV93" s="108" t="str">
        <f t="shared" si="85"/>
        <v>20140101LGCME650</v>
      </c>
      <c r="AW93" s="126" t="str">
        <f t="shared" si="86"/>
        <v>20140101GS3</v>
      </c>
      <c r="AX93">
        <f>MiscData!$X$5</f>
        <v>20140101</v>
      </c>
      <c r="BA93" s="98">
        <f>IF(BA92+1&gt;MiscData!$Z$42,1,BA92+1)</f>
        <v>14</v>
      </c>
      <c r="BB93" s="98" t="str">
        <f>VLOOKUP(BA93,MiscData!$Z$5:$AB$46,2,FALSE)</f>
        <v>LGCME650</v>
      </c>
      <c r="BC93" s="98" t="str">
        <f>VLOOKUP(BA93,MiscData!$Z$5:$AB$46,3,FALSE)</f>
        <v>GS3</v>
      </c>
    </row>
    <row r="94" spans="1:55">
      <c r="A94" s="108">
        <v>85</v>
      </c>
      <c r="B94" s="109" t="str">
        <f t="shared" si="75"/>
        <v>Mar 2016</v>
      </c>
      <c r="C94" s="110" t="str">
        <f t="shared" si="76"/>
        <v>GS3</v>
      </c>
      <c r="D94" s="110" t="str">
        <f t="shared" si="77"/>
        <v>LGCME651</v>
      </c>
      <c r="E94" s="111">
        <f t="shared" si="47"/>
        <v>16398</v>
      </c>
      <c r="F94" s="112">
        <v>0</v>
      </c>
      <c r="G94" s="111">
        <f t="shared" si="48"/>
        <v>0</v>
      </c>
      <c r="H94" s="111">
        <f t="shared" si="49"/>
        <v>0</v>
      </c>
      <c r="I94" s="111">
        <f t="shared" si="50"/>
        <v>0</v>
      </c>
      <c r="J94" s="111">
        <f t="shared" si="51"/>
        <v>76141682</v>
      </c>
      <c r="K94" s="113">
        <f t="shared" si="52"/>
        <v>197201</v>
      </c>
      <c r="L94" s="113">
        <f t="shared" si="53"/>
        <v>0</v>
      </c>
      <c r="M94" s="113">
        <f t="shared" si="54"/>
        <v>0</v>
      </c>
      <c r="N94" s="116">
        <f t="shared" si="55"/>
        <v>35</v>
      </c>
      <c r="O94" s="117">
        <f t="shared" si="44"/>
        <v>9.1340000000000005E-2</v>
      </c>
      <c r="P94" s="117">
        <f t="shared" si="56"/>
        <v>0</v>
      </c>
      <c r="Q94" s="117">
        <f t="shared" si="57"/>
        <v>0</v>
      </c>
      <c r="R94" s="117">
        <f t="shared" si="58"/>
        <v>2.725E-2</v>
      </c>
      <c r="S94" s="116">
        <f t="shared" si="59"/>
        <v>0</v>
      </c>
      <c r="T94" s="116">
        <f t="shared" si="60"/>
        <v>0</v>
      </c>
      <c r="U94" s="116">
        <f t="shared" si="61"/>
        <v>0</v>
      </c>
      <c r="V94" s="118">
        <f t="shared" si="62"/>
        <v>573930</v>
      </c>
      <c r="W94" s="118">
        <f t="shared" si="78"/>
        <v>6954781.2300000004</v>
      </c>
      <c r="X94" s="118">
        <f t="shared" si="79"/>
        <v>0</v>
      </c>
      <c r="Y94" s="118">
        <f t="shared" si="80"/>
        <v>0</v>
      </c>
      <c r="Z94" s="118">
        <f t="shared" si="81"/>
        <v>0</v>
      </c>
      <c r="AA94" s="119">
        <v>0</v>
      </c>
      <c r="AB94" s="120">
        <f t="shared" si="63"/>
        <v>0</v>
      </c>
      <c r="AC94" s="118">
        <f t="shared" si="64"/>
        <v>0</v>
      </c>
      <c r="AD94" s="118">
        <f t="shared" si="82"/>
        <v>7528711.2300000004</v>
      </c>
      <c r="AE94" s="118">
        <f t="shared" si="65"/>
        <v>7528719</v>
      </c>
      <c r="AF94" s="121">
        <f t="shared" si="83"/>
        <v>1.0000009999999999</v>
      </c>
      <c r="AG94" s="122">
        <f t="shared" si="66"/>
        <v>-107374</v>
      </c>
      <c r="AH94" s="122">
        <f t="shared" si="67"/>
        <v>128412</v>
      </c>
      <c r="AI94" s="122">
        <f t="shared" si="68"/>
        <v>789503</v>
      </c>
      <c r="AJ94" s="122">
        <f t="shared" si="69"/>
        <v>0</v>
      </c>
      <c r="AK94" s="122">
        <f t="shared" si="70"/>
        <v>0</v>
      </c>
      <c r="AL94" s="122">
        <f t="shared" si="71"/>
        <v>8339260</v>
      </c>
      <c r="AM94" s="123">
        <f t="shared" si="72"/>
        <v>8339252.2300000004</v>
      </c>
      <c r="AN94" s="123">
        <f t="shared" si="45"/>
        <v>7.7699999995529652</v>
      </c>
      <c r="AO94" s="124">
        <f t="shared" si="74"/>
        <v>2074860.83</v>
      </c>
      <c r="AP94" s="125">
        <f t="shared" si="84"/>
        <v>4879920.4000000004</v>
      </c>
      <c r="AU94" s="109">
        <f>IF(BA94=1,IF(AU93=MiscData!$F$1,EOMONTH(AU93,-11),EOMONTH(AU93,1)),AU93)</f>
        <v>42460</v>
      </c>
      <c r="AV94" s="108" t="str">
        <f t="shared" si="85"/>
        <v>20140101LGCME651</v>
      </c>
      <c r="AW94" s="126" t="str">
        <f t="shared" si="86"/>
        <v>20140101GS3</v>
      </c>
      <c r="AX94">
        <f>MiscData!$X$5</f>
        <v>20140101</v>
      </c>
      <c r="BA94" s="98">
        <f>IF(BA93+1&gt;MiscData!$Z$42,1,BA93+1)</f>
        <v>15</v>
      </c>
      <c r="BB94" s="98" t="str">
        <f>VLOOKUP(BA94,MiscData!$Z$5:$AB$46,2,FALSE)</f>
        <v>LGCME651</v>
      </c>
      <c r="BC94" s="98" t="str">
        <f>VLOOKUP(BA94,MiscData!$Z$5:$AB$46,3,FALSE)</f>
        <v>GS3</v>
      </c>
    </row>
    <row r="95" spans="1:55">
      <c r="A95" s="108">
        <v>86</v>
      </c>
      <c r="B95" s="109" t="str">
        <f t="shared" si="75"/>
        <v>Mar 2016</v>
      </c>
      <c r="C95" s="110" t="str">
        <f t="shared" si="76"/>
        <v>GS3</v>
      </c>
      <c r="D95" s="110" t="str">
        <f t="shared" si="77"/>
        <v>LGCME652</v>
      </c>
      <c r="E95" s="111">
        <f t="shared" si="47"/>
        <v>0</v>
      </c>
      <c r="F95" s="112">
        <v>0</v>
      </c>
      <c r="G95" s="111">
        <f t="shared" si="48"/>
        <v>0</v>
      </c>
      <c r="H95" s="111">
        <f t="shared" si="49"/>
        <v>0</v>
      </c>
      <c r="I95" s="111">
        <f t="shared" si="50"/>
        <v>0</v>
      </c>
      <c r="J95" s="111">
        <f t="shared" si="51"/>
        <v>0</v>
      </c>
      <c r="K95" s="113">
        <f t="shared" si="52"/>
        <v>0</v>
      </c>
      <c r="L95" s="113">
        <f t="shared" si="53"/>
        <v>0</v>
      </c>
      <c r="M95" s="113">
        <f t="shared" si="54"/>
        <v>0</v>
      </c>
      <c r="N95" s="116">
        <f t="shared" si="55"/>
        <v>0</v>
      </c>
      <c r="O95" s="117">
        <f t="shared" si="44"/>
        <v>9.1340000000000005E-2</v>
      </c>
      <c r="P95" s="117">
        <f t="shared" si="56"/>
        <v>0</v>
      </c>
      <c r="Q95" s="117">
        <f t="shared" si="57"/>
        <v>0</v>
      </c>
      <c r="R95" s="117">
        <f t="shared" si="58"/>
        <v>2.725E-2</v>
      </c>
      <c r="S95" s="116">
        <f t="shared" si="59"/>
        <v>0</v>
      </c>
      <c r="T95" s="116">
        <f t="shared" si="60"/>
        <v>0</v>
      </c>
      <c r="U95" s="116">
        <f t="shared" si="61"/>
        <v>0</v>
      </c>
      <c r="V95" s="118">
        <f t="shared" si="62"/>
        <v>0</v>
      </c>
      <c r="W95" s="118">
        <f t="shared" si="78"/>
        <v>0</v>
      </c>
      <c r="X95" s="118">
        <f t="shared" si="79"/>
        <v>0</v>
      </c>
      <c r="Y95" s="118">
        <f t="shared" si="80"/>
        <v>0</v>
      </c>
      <c r="Z95" s="118">
        <f t="shared" si="81"/>
        <v>0</v>
      </c>
      <c r="AA95" s="119">
        <v>0</v>
      </c>
      <c r="AB95" s="120">
        <f t="shared" si="63"/>
        <v>0</v>
      </c>
      <c r="AC95" s="118">
        <f t="shared" si="64"/>
        <v>0</v>
      </c>
      <c r="AD95" s="118">
        <f t="shared" si="82"/>
        <v>0</v>
      </c>
      <c r="AE95" s="118">
        <f t="shared" si="65"/>
        <v>0</v>
      </c>
      <c r="AF95" s="121">
        <f t="shared" si="83"/>
        <v>1</v>
      </c>
      <c r="AG95" s="122">
        <f t="shared" si="66"/>
        <v>0</v>
      </c>
      <c r="AH95" s="122">
        <f t="shared" si="67"/>
        <v>0</v>
      </c>
      <c r="AI95" s="122">
        <f t="shared" si="68"/>
        <v>0</v>
      </c>
      <c r="AJ95" s="122">
        <f t="shared" si="69"/>
        <v>0</v>
      </c>
      <c r="AK95" s="122">
        <f t="shared" si="70"/>
        <v>0</v>
      </c>
      <c r="AL95" s="122">
        <f t="shared" si="71"/>
        <v>0</v>
      </c>
      <c r="AM95" s="123">
        <f t="shared" si="72"/>
        <v>0</v>
      </c>
      <c r="AN95" s="123">
        <f t="shared" si="45"/>
        <v>0</v>
      </c>
      <c r="AO95" s="124">
        <f t="shared" si="74"/>
        <v>0</v>
      </c>
      <c r="AP95" s="125">
        <f t="shared" si="84"/>
        <v>0</v>
      </c>
      <c r="AU95" s="109">
        <f>IF(BA95=1,IF(AU94=MiscData!$F$1,EOMONTH(AU94,-11),EOMONTH(AU94,1)),AU94)</f>
        <v>42460</v>
      </c>
      <c r="AV95" s="108" t="str">
        <f t="shared" si="85"/>
        <v>20140101LGCME652</v>
      </c>
      <c r="AW95" s="126" t="str">
        <f t="shared" si="86"/>
        <v>20140101GS3</v>
      </c>
      <c r="AX95">
        <f>MiscData!$X$5</f>
        <v>20140101</v>
      </c>
      <c r="BA95" s="98">
        <f>IF(BA94+1&gt;MiscData!$Z$42,1,BA94+1)</f>
        <v>16</v>
      </c>
      <c r="BB95" s="98" t="str">
        <f>VLOOKUP(BA95,MiscData!$Z$5:$AB$46,2,FALSE)</f>
        <v>LGCME652</v>
      </c>
      <c r="BC95" s="98" t="str">
        <f>VLOOKUP(BA95,MiscData!$Z$5:$AB$46,3,FALSE)</f>
        <v>GS3</v>
      </c>
    </row>
    <row r="96" spans="1:55">
      <c r="A96" s="108">
        <v>87</v>
      </c>
      <c r="B96" s="109" t="str">
        <f t="shared" si="75"/>
        <v>Mar 2016</v>
      </c>
      <c r="C96" s="110" t="str">
        <f t="shared" si="76"/>
        <v>GS3</v>
      </c>
      <c r="D96" s="110" t="str">
        <f t="shared" si="77"/>
        <v>LGCME657</v>
      </c>
      <c r="E96" s="111">
        <f t="shared" si="47"/>
        <v>0</v>
      </c>
      <c r="F96" s="112">
        <v>0</v>
      </c>
      <c r="G96" s="111">
        <f t="shared" si="48"/>
        <v>0</v>
      </c>
      <c r="H96" s="111">
        <f t="shared" si="49"/>
        <v>0</v>
      </c>
      <c r="I96" s="111">
        <f t="shared" si="50"/>
        <v>0</v>
      </c>
      <c r="J96" s="111">
        <f t="shared" si="51"/>
        <v>0</v>
      </c>
      <c r="K96" s="113">
        <f t="shared" si="52"/>
        <v>0</v>
      </c>
      <c r="L96" s="113">
        <f t="shared" si="53"/>
        <v>0</v>
      </c>
      <c r="M96" s="113">
        <f t="shared" si="54"/>
        <v>0</v>
      </c>
      <c r="N96" s="116">
        <f t="shared" si="55"/>
        <v>35</v>
      </c>
      <c r="O96" s="117">
        <f t="shared" si="44"/>
        <v>9.1340000000000005E-2</v>
      </c>
      <c r="P96" s="117">
        <f t="shared" si="56"/>
        <v>0</v>
      </c>
      <c r="Q96" s="117">
        <f t="shared" si="57"/>
        <v>0</v>
      </c>
      <c r="R96" s="117">
        <f t="shared" si="58"/>
        <v>2.725E-2</v>
      </c>
      <c r="S96" s="116">
        <f t="shared" si="59"/>
        <v>0</v>
      </c>
      <c r="T96" s="116">
        <f t="shared" si="60"/>
        <v>0</v>
      </c>
      <c r="U96" s="116">
        <f t="shared" si="61"/>
        <v>0</v>
      </c>
      <c r="V96" s="118">
        <f t="shared" si="62"/>
        <v>0</v>
      </c>
      <c r="W96" s="118">
        <f t="shared" si="78"/>
        <v>0</v>
      </c>
      <c r="X96" s="118">
        <f t="shared" si="79"/>
        <v>0</v>
      </c>
      <c r="Y96" s="118">
        <f t="shared" si="80"/>
        <v>0</v>
      </c>
      <c r="Z96" s="118">
        <f t="shared" si="81"/>
        <v>0</v>
      </c>
      <c r="AA96" s="119">
        <v>0</v>
      </c>
      <c r="AB96" s="120">
        <f t="shared" si="63"/>
        <v>0</v>
      </c>
      <c r="AC96" s="118">
        <f t="shared" si="64"/>
        <v>0</v>
      </c>
      <c r="AD96" s="118">
        <f t="shared" si="82"/>
        <v>0</v>
      </c>
      <c r="AE96" s="118">
        <f t="shared" si="65"/>
        <v>0</v>
      </c>
      <c r="AF96" s="121">
        <f t="shared" si="83"/>
        <v>1</v>
      </c>
      <c r="AG96" s="122">
        <f t="shared" si="66"/>
        <v>0</v>
      </c>
      <c r="AH96" s="122">
        <f t="shared" si="67"/>
        <v>0</v>
      </c>
      <c r="AI96" s="122">
        <f t="shared" si="68"/>
        <v>0</v>
      </c>
      <c r="AJ96" s="122">
        <f t="shared" si="69"/>
        <v>0</v>
      </c>
      <c r="AK96" s="122">
        <f t="shared" si="70"/>
        <v>0</v>
      </c>
      <c r="AL96" s="122">
        <f t="shared" si="71"/>
        <v>0</v>
      </c>
      <c r="AM96" s="123">
        <f t="shared" si="72"/>
        <v>0</v>
      </c>
      <c r="AN96" s="123">
        <f t="shared" ref="AN96:AN100" si="87">ROUND(AL96-AM96,2)</f>
        <v>0</v>
      </c>
      <c r="AO96" s="124">
        <f t="shared" si="74"/>
        <v>0</v>
      </c>
      <c r="AP96" s="125">
        <f t="shared" si="84"/>
        <v>0</v>
      </c>
      <c r="AU96" s="109">
        <f>IF(BA96=1,IF(AU95=MiscData!$F$1,EOMONTH(AU95,-11),EOMONTH(AU95,1)),AU95)</f>
        <v>42460</v>
      </c>
      <c r="AV96" s="108" t="str">
        <f t="shared" si="85"/>
        <v>20140101LGCME657</v>
      </c>
      <c r="AW96" s="126" t="str">
        <f t="shared" si="86"/>
        <v>20140101GS3</v>
      </c>
      <c r="AX96">
        <f>MiscData!$X$5</f>
        <v>20140101</v>
      </c>
      <c r="BA96" s="98">
        <f>IF(BA95+1&gt;MiscData!$Z$42,1,BA95+1)</f>
        <v>17</v>
      </c>
      <c r="BB96" s="98" t="str">
        <f>VLOOKUP(BA96,MiscData!$Z$5:$AB$46,2,FALSE)</f>
        <v>LGCME657</v>
      </c>
      <c r="BC96" s="98" t="str">
        <f>VLOOKUP(BA96,MiscData!$Z$5:$AB$46,3,FALSE)</f>
        <v>GS3</v>
      </c>
    </row>
    <row r="97" spans="1:55">
      <c r="A97" s="108">
        <v>88</v>
      </c>
      <c r="B97" s="109" t="str">
        <f t="shared" si="75"/>
        <v>Mar 2016</v>
      </c>
      <c r="C97" s="110" t="str">
        <f t="shared" si="76"/>
        <v>LWC</v>
      </c>
      <c r="D97" s="110" t="str">
        <f t="shared" si="77"/>
        <v>LGCME671</v>
      </c>
      <c r="E97" s="111">
        <f t="shared" si="47"/>
        <v>2</v>
      </c>
      <c r="F97" s="112">
        <v>0</v>
      </c>
      <c r="G97" s="111">
        <f t="shared" si="48"/>
        <v>0</v>
      </c>
      <c r="H97" s="111">
        <f t="shared" si="49"/>
        <v>0</v>
      </c>
      <c r="I97" s="111">
        <f t="shared" si="50"/>
        <v>0</v>
      </c>
      <c r="J97" s="111">
        <f t="shared" si="51"/>
        <v>4351200</v>
      </c>
      <c r="K97" s="113">
        <f t="shared" si="52"/>
        <v>0</v>
      </c>
      <c r="L97" s="113">
        <f t="shared" si="53"/>
        <v>9307</v>
      </c>
      <c r="M97" s="113">
        <f t="shared" si="54"/>
        <v>0</v>
      </c>
      <c r="N97" s="116">
        <f t="shared" si="55"/>
        <v>0</v>
      </c>
      <c r="O97" s="117">
        <f t="shared" si="44"/>
        <v>3.7019999999999997E-2</v>
      </c>
      <c r="P97" s="117">
        <f t="shared" si="56"/>
        <v>0</v>
      </c>
      <c r="Q97" s="117">
        <f t="shared" si="57"/>
        <v>0</v>
      </c>
      <c r="R97" s="117">
        <f t="shared" si="58"/>
        <v>2.725E-2</v>
      </c>
      <c r="S97" s="116">
        <f t="shared" si="59"/>
        <v>0</v>
      </c>
      <c r="T97" s="116">
        <f t="shared" si="60"/>
        <v>10.35</v>
      </c>
      <c r="U97" s="116">
        <f t="shared" si="61"/>
        <v>10.35</v>
      </c>
      <c r="V97" s="118">
        <f t="shared" si="62"/>
        <v>0</v>
      </c>
      <c r="W97" s="118">
        <f t="shared" si="78"/>
        <v>161081.42000000001</v>
      </c>
      <c r="X97" s="118">
        <f t="shared" si="79"/>
        <v>0</v>
      </c>
      <c r="Y97" s="118">
        <f t="shared" si="80"/>
        <v>96327.45</v>
      </c>
      <c r="Z97" s="118">
        <f t="shared" si="81"/>
        <v>0</v>
      </c>
      <c r="AA97" s="119">
        <v>0</v>
      </c>
      <c r="AB97" s="120">
        <f t="shared" si="63"/>
        <v>0</v>
      </c>
      <c r="AC97" s="118">
        <f t="shared" si="64"/>
        <v>96327.45</v>
      </c>
      <c r="AD97" s="118">
        <f t="shared" si="82"/>
        <v>257408.87</v>
      </c>
      <c r="AE97" s="118">
        <f t="shared" si="65"/>
        <v>257411</v>
      </c>
      <c r="AF97" s="121">
        <f t="shared" si="83"/>
        <v>1.000008</v>
      </c>
      <c r="AG97" s="122">
        <f t="shared" si="66"/>
        <v>-6136</v>
      </c>
      <c r="AH97" s="122">
        <f t="shared" si="67"/>
        <v>0</v>
      </c>
      <c r="AI97" s="122">
        <f t="shared" si="68"/>
        <v>45117</v>
      </c>
      <c r="AJ97" s="122">
        <f t="shared" si="69"/>
        <v>0</v>
      </c>
      <c r="AK97" s="122">
        <f t="shared" si="70"/>
        <v>0</v>
      </c>
      <c r="AL97" s="122">
        <f t="shared" si="71"/>
        <v>296392</v>
      </c>
      <c r="AM97" s="123">
        <f t="shared" si="72"/>
        <v>296389.87</v>
      </c>
      <c r="AN97" s="123">
        <f t="shared" si="87"/>
        <v>2.13</v>
      </c>
      <c r="AO97" s="124">
        <f t="shared" si="74"/>
        <v>118570.2</v>
      </c>
      <c r="AP97" s="125">
        <f t="shared" si="84"/>
        <v>42511.220000000016</v>
      </c>
      <c r="AU97" s="109">
        <f>IF(BA97=1,IF(AU96=MiscData!$F$1,EOMONTH(AU96,-11),EOMONTH(AU96,1)),AU96)</f>
        <v>42460</v>
      </c>
      <c r="AV97" s="108" t="str">
        <f t="shared" si="85"/>
        <v>20140101LGCME671</v>
      </c>
      <c r="AW97" s="126" t="str">
        <f t="shared" si="86"/>
        <v>20140101LWC</v>
      </c>
      <c r="AX97">
        <f>MiscData!$X$5</f>
        <v>20140101</v>
      </c>
      <c r="BA97" s="98">
        <f>IF(BA96+1&gt;MiscData!$Z$42,1,BA96+1)</f>
        <v>18</v>
      </c>
      <c r="BB97" s="98" t="str">
        <f>VLOOKUP(BA97,MiscData!$Z$5:$AB$46,2,FALSE)</f>
        <v>LGCME671</v>
      </c>
      <c r="BC97" s="98" t="str">
        <f>VLOOKUP(BA97,MiscData!$Z$5:$AB$46,3,FALSE)</f>
        <v>LWC</v>
      </c>
    </row>
    <row r="98" spans="1:55">
      <c r="A98" s="108">
        <v>89</v>
      </c>
      <c r="B98" s="109" t="str">
        <f t="shared" si="75"/>
        <v>Mar 2016</v>
      </c>
      <c r="C98" s="110" t="str">
        <f t="shared" si="76"/>
        <v>CSR</v>
      </c>
      <c r="D98" s="110" t="str">
        <f t="shared" si="77"/>
        <v>LGCSR760</v>
      </c>
      <c r="E98" s="111">
        <f t="shared" si="47"/>
        <v>0</v>
      </c>
      <c r="F98" s="112">
        <v>0</v>
      </c>
      <c r="G98" s="111">
        <f t="shared" si="48"/>
        <v>0</v>
      </c>
      <c r="H98" s="111">
        <f t="shared" si="49"/>
        <v>0</v>
      </c>
      <c r="I98" s="111">
        <f t="shared" si="50"/>
        <v>0</v>
      </c>
      <c r="J98" s="111">
        <f t="shared" si="51"/>
        <v>0</v>
      </c>
      <c r="K98" s="113">
        <f t="shared" si="52"/>
        <v>0</v>
      </c>
      <c r="L98" s="113">
        <f t="shared" si="53"/>
        <v>0</v>
      </c>
      <c r="M98" s="113">
        <f t="shared" si="54"/>
        <v>0</v>
      </c>
      <c r="N98" s="116">
        <f t="shared" si="55"/>
        <v>0</v>
      </c>
      <c r="O98" s="117">
        <f t="shared" si="44"/>
        <v>0</v>
      </c>
      <c r="P98" s="117">
        <f t="shared" si="56"/>
        <v>0</v>
      </c>
      <c r="Q98" s="117">
        <f t="shared" si="57"/>
        <v>0</v>
      </c>
      <c r="R98" s="117">
        <f t="shared" si="58"/>
        <v>0</v>
      </c>
      <c r="S98" s="116">
        <f t="shared" si="59"/>
        <v>0</v>
      </c>
      <c r="T98" s="116">
        <f t="shared" si="60"/>
        <v>0</v>
      </c>
      <c r="U98" s="116">
        <f t="shared" si="61"/>
        <v>0</v>
      </c>
      <c r="V98" s="118">
        <f t="shared" si="62"/>
        <v>0</v>
      </c>
      <c r="W98" s="118">
        <f t="shared" si="78"/>
        <v>0</v>
      </c>
      <c r="X98" s="118">
        <f t="shared" si="79"/>
        <v>0</v>
      </c>
      <c r="Y98" s="118">
        <f t="shared" si="80"/>
        <v>0</v>
      </c>
      <c r="Z98" s="118">
        <f t="shared" si="81"/>
        <v>0</v>
      </c>
      <c r="AA98" s="119">
        <v>0</v>
      </c>
      <c r="AB98" s="120">
        <f t="shared" si="63"/>
        <v>0</v>
      </c>
      <c r="AC98" s="118">
        <f t="shared" si="64"/>
        <v>0</v>
      </c>
      <c r="AD98" s="118">
        <f t="shared" si="82"/>
        <v>0</v>
      </c>
      <c r="AE98" s="118">
        <f t="shared" si="65"/>
        <v>0</v>
      </c>
      <c r="AF98" s="121">
        <f t="shared" si="83"/>
        <v>1</v>
      </c>
      <c r="AG98" s="122">
        <f t="shared" si="66"/>
        <v>0</v>
      </c>
      <c r="AH98" s="122">
        <f t="shared" si="67"/>
        <v>0</v>
      </c>
      <c r="AI98" s="122">
        <f t="shared" si="68"/>
        <v>0</v>
      </c>
      <c r="AJ98" s="122">
        <f t="shared" si="69"/>
        <v>0</v>
      </c>
      <c r="AK98" s="122">
        <f t="shared" si="70"/>
        <v>-286526</v>
      </c>
      <c r="AL98" s="122">
        <f t="shared" si="71"/>
        <v>-286526</v>
      </c>
      <c r="AM98" s="123">
        <f t="shared" si="72"/>
        <v>-286526</v>
      </c>
      <c r="AN98" s="123">
        <f t="shared" si="87"/>
        <v>0</v>
      </c>
      <c r="AO98" s="124">
        <f t="shared" si="74"/>
        <v>0</v>
      </c>
      <c r="AP98" s="125">
        <f t="shared" si="84"/>
        <v>0</v>
      </c>
      <c r="AU98" s="109">
        <f>IF(BA98=1,IF(AU97=MiscData!$F$1,EOMONTH(AU97,-11),EOMONTH(AU97,1)),AU97)</f>
        <v>42460</v>
      </c>
      <c r="AV98" s="108" t="str">
        <f t="shared" si="85"/>
        <v>20140101LGCSR760</v>
      </c>
      <c r="AW98" s="126" t="str">
        <f t="shared" si="86"/>
        <v>20140101CSR</v>
      </c>
      <c r="AX98">
        <f>MiscData!$X$5</f>
        <v>20140101</v>
      </c>
      <c r="BA98" s="98">
        <f>IF(BA97+1&gt;MiscData!$Z$42,1,BA97+1)</f>
        <v>19</v>
      </c>
      <c r="BB98" s="98" t="str">
        <f>VLOOKUP(BA98,MiscData!$Z$5:$AB$46,2,FALSE)</f>
        <v>LGCSR760</v>
      </c>
      <c r="BC98" s="98" t="str">
        <f>VLOOKUP(BA98,MiscData!$Z$5:$AB$46,3,FALSE)</f>
        <v>CSR</v>
      </c>
    </row>
    <row r="99" spans="1:55">
      <c r="A99" s="108">
        <v>90</v>
      </c>
      <c r="B99" s="109" t="str">
        <f t="shared" si="75"/>
        <v>Mar 2016</v>
      </c>
      <c r="C99" s="110" t="str">
        <f t="shared" si="76"/>
        <v>CSR</v>
      </c>
      <c r="D99" s="110" t="str">
        <f t="shared" si="77"/>
        <v>LGCSR780</v>
      </c>
      <c r="E99" s="111">
        <f t="shared" si="47"/>
        <v>0</v>
      </c>
      <c r="F99" s="112">
        <v>0</v>
      </c>
      <c r="G99" s="111">
        <f t="shared" si="48"/>
        <v>0</v>
      </c>
      <c r="H99" s="111">
        <f t="shared" si="49"/>
        <v>0</v>
      </c>
      <c r="I99" s="111">
        <f t="shared" si="50"/>
        <v>0</v>
      </c>
      <c r="J99" s="111">
        <f t="shared" si="51"/>
        <v>0</v>
      </c>
      <c r="K99" s="113">
        <f t="shared" si="52"/>
        <v>0</v>
      </c>
      <c r="L99" s="113">
        <f t="shared" si="53"/>
        <v>0</v>
      </c>
      <c r="M99" s="113">
        <f t="shared" si="54"/>
        <v>0</v>
      </c>
      <c r="N99" s="116">
        <f t="shared" si="55"/>
        <v>0</v>
      </c>
      <c r="O99" s="117">
        <f t="shared" si="44"/>
        <v>0</v>
      </c>
      <c r="P99" s="117">
        <f t="shared" si="56"/>
        <v>0</v>
      </c>
      <c r="Q99" s="117">
        <f t="shared" si="57"/>
        <v>0</v>
      </c>
      <c r="R99" s="117">
        <f t="shared" si="58"/>
        <v>0</v>
      </c>
      <c r="S99" s="116">
        <f t="shared" si="59"/>
        <v>0</v>
      </c>
      <c r="T99" s="116">
        <f t="shared" si="60"/>
        <v>0</v>
      </c>
      <c r="U99" s="116">
        <f t="shared" si="61"/>
        <v>0</v>
      </c>
      <c r="V99" s="118">
        <f t="shared" si="62"/>
        <v>0</v>
      </c>
      <c r="W99" s="118">
        <f t="shared" si="78"/>
        <v>0</v>
      </c>
      <c r="X99" s="118">
        <f t="shared" si="79"/>
        <v>0</v>
      </c>
      <c r="Y99" s="118">
        <f t="shared" si="80"/>
        <v>0</v>
      </c>
      <c r="Z99" s="118">
        <f t="shared" si="81"/>
        <v>0</v>
      </c>
      <c r="AA99" s="119">
        <v>0</v>
      </c>
      <c r="AB99" s="120">
        <f t="shared" si="63"/>
        <v>0</v>
      </c>
      <c r="AC99" s="118">
        <f t="shared" si="64"/>
        <v>0</v>
      </c>
      <c r="AD99" s="118">
        <f t="shared" si="82"/>
        <v>0</v>
      </c>
      <c r="AE99" s="118">
        <f t="shared" si="65"/>
        <v>0</v>
      </c>
      <c r="AF99" s="121">
        <f t="shared" si="83"/>
        <v>1</v>
      </c>
      <c r="AG99" s="122">
        <f t="shared" si="66"/>
        <v>0</v>
      </c>
      <c r="AH99" s="122">
        <f t="shared" si="67"/>
        <v>0</v>
      </c>
      <c r="AI99" s="122">
        <f t="shared" si="68"/>
        <v>0</v>
      </c>
      <c r="AJ99" s="122">
        <f t="shared" si="69"/>
        <v>0</v>
      </c>
      <c r="AK99" s="122">
        <f t="shared" si="70"/>
        <v>0</v>
      </c>
      <c r="AL99" s="122">
        <f t="shared" si="71"/>
        <v>0</v>
      </c>
      <c r="AM99" s="123">
        <f t="shared" si="72"/>
        <v>0</v>
      </c>
      <c r="AN99" s="123">
        <f t="shared" si="87"/>
        <v>0</v>
      </c>
      <c r="AO99" s="124">
        <f t="shared" si="74"/>
        <v>0</v>
      </c>
      <c r="AP99" s="125">
        <f t="shared" si="84"/>
        <v>0</v>
      </c>
      <c r="AU99" s="109">
        <f>IF(BA99=1,IF(AU98=MiscData!$F$1,EOMONTH(AU98,-11),EOMONTH(AU98,1)),AU98)</f>
        <v>42460</v>
      </c>
      <c r="AV99" s="108" t="str">
        <f t="shared" si="85"/>
        <v>20140101LGCSR780</v>
      </c>
      <c r="AW99" s="126" t="str">
        <f t="shared" si="86"/>
        <v>20140101CSR</v>
      </c>
      <c r="AX99">
        <f>MiscData!$X$5</f>
        <v>20140101</v>
      </c>
      <c r="BA99" s="98">
        <f>IF(BA98+1&gt;MiscData!$Z$42,1,BA98+1)</f>
        <v>20</v>
      </c>
      <c r="BB99" s="98" t="str">
        <f>VLOOKUP(BA99,MiscData!$Z$5:$AB$46,2,FALSE)</f>
        <v>LGCSR780</v>
      </c>
      <c r="BC99" s="98" t="str">
        <f>VLOOKUP(BA99,MiscData!$Z$5:$AB$46,3,FALSE)</f>
        <v>CSR</v>
      </c>
    </row>
    <row r="100" spans="1:55">
      <c r="A100" s="108">
        <v>91</v>
      </c>
      <c r="B100" s="109" t="str">
        <f t="shared" si="75"/>
        <v>Mar 2016</v>
      </c>
      <c r="C100" s="110" t="str">
        <f t="shared" si="76"/>
        <v>FK</v>
      </c>
      <c r="D100" s="110" t="str">
        <f t="shared" si="77"/>
        <v>LGINE599</v>
      </c>
      <c r="E100" s="111">
        <f t="shared" si="47"/>
        <v>1</v>
      </c>
      <c r="F100" s="112">
        <v>0</v>
      </c>
      <c r="G100" s="111">
        <f t="shared" si="48"/>
        <v>0</v>
      </c>
      <c r="H100" s="111">
        <f t="shared" si="49"/>
        <v>0</v>
      </c>
      <c r="I100" s="111">
        <f t="shared" si="50"/>
        <v>0</v>
      </c>
      <c r="J100" s="111">
        <f t="shared" si="51"/>
        <v>9371000</v>
      </c>
      <c r="K100" s="113">
        <f t="shared" si="52"/>
        <v>0</v>
      </c>
      <c r="L100" s="113">
        <f t="shared" si="53"/>
        <v>12754</v>
      </c>
      <c r="M100" s="113">
        <f t="shared" si="54"/>
        <v>0</v>
      </c>
      <c r="N100" s="116">
        <f t="shared" si="55"/>
        <v>0</v>
      </c>
      <c r="O100" s="117">
        <f t="shared" si="44"/>
        <v>3.7400000000000003E-2</v>
      </c>
      <c r="P100" s="117">
        <f t="shared" si="56"/>
        <v>0</v>
      </c>
      <c r="Q100" s="117">
        <f t="shared" si="57"/>
        <v>0</v>
      </c>
      <c r="R100" s="117">
        <f t="shared" si="58"/>
        <v>2.725E-2</v>
      </c>
      <c r="S100" s="116">
        <f t="shared" si="59"/>
        <v>0</v>
      </c>
      <c r="T100" s="116">
        <f t="shared" si="60"/>
        <v>12.72</v>
      </c>
      <c r="U100" s="116">
        <f t="shared" si="61"/>
        <v>15.040000000000001</v>
      </c>
      <c r="V100" s="118">
        <f t="shared" si="62"/>
        <v>0</v>
      </c>
      <c r="W100" s="118">
        <f t="shared" si="78"/>
        <v>350475.4</v>
      </c>
      <c r="X100" s="118">
        <f t="shared" si="79"/>
        <v>0</v>
      </c>
      <c r="Y100" s="118">
        <f t="shared" si="80"/>
        <v>162230.88</v>
      </c>
      <c r="Z100" s="118">
        <f t="shared" si="81"/>
        <v>0</v>
      </c>
      <c r="AA100" s="119">
        <v>0</v>
      </c>
      <c r="AB100" s="120">
        <f t="shared" si="63"/>
        <v>0</v>
      </c>
      <c r="AC100" s="118">
        <f t="shared" si="64"/>
        <v>162230.88</v>
      </c>
      <c r="AD100" s="118">
        <f>SUM(V100:AB100)</f>
        <v>512706.28</v>
      </c>
      <c r="AE100" s="118">
        <f t="shared" si="65"/>
        <v>512706</v>
      </c>
      <c r="AF100" s="121">
        <f t="shared" si="83"/>
        <v>0.99999899999999997</v>
      </c>
      <c r="AG100" s="122">
        <f t="shared" si="66"/>
        <v>-13215</v>
      </c>
      <c r="AH100" s="122">
        <f t="shared" si="67"/>
        <v>0</v>
      </c>
      <c r="AI100" s="122">
        <f t="shared" si="68"/>
        <v>97167</v>
      </c>
      <c r="AJ100" s="122">
        <f t="shared" si="69"/>
        <v>0</v>
      </c>
      <c r="AK100" s="122">
        <f t="shared" si="70"/>
        <v>0</v>
      </c>
      <c r="AL100" s="122">
        <f t="shared" si="71"/>
        <v>596658</v>
      </c>
      <c r="AM100" s="123">
        <f t="shared" si="72"/>
        <v>596658.28</v>
      </c>
      <c r="AN100" s="123">
        <f t="shared" si="87"/>
        <v>-0.28000000000000003</v>
      </c>
      <c r="AO100" s="124">
        <f t="shared" si="74"/>
        <v>255359.75</v>
      </c>
      <c r="AP100" s="125">
        <f t="shared" si="84"/>
        <v>95115.650000000023</v>
      </c>
      <c r="AU100" s="109">
        <f>IF(BA100=1,IF(AU99=MiscData!$F$1,EOMONTH(AU99,-11),EOMONTH(AU99,1)),AU99)</f>
        <v>42460</v>
      </c>
      <c r="AV100" s="108" t="str">
        <f t="shared" si="85"/>
        <v>20140101LGINE599</v>
      </c>
      <c r="AW100" s="126" t="str">
        <f t="shared" si="86"/>
        <v>20140101FK</v>
      </c>
      <c r="AX100">
        <f>MiscData!$X$5</f>
        <v>20140101</v>
      </c>
      <c r="BA100" s="98">
        <f>IF(BA99+1&gt;MiscData!$Z$42,1,BA99+1)</f>
        <v>21</v>
      </c>
      <c r="BB100" s="98" t="str">
        <f>VLOOKUP(BA100,MiscData!$Z$5:$AB$46,2,FALSE)</f>
        <v>LGINE599</v>
      </c>
      <c r="BC100" s="98" t="str">
        <f>VLOOKUP(BA100,MiscData!$Z$5:$AB$46,3,FALSE)</f>
        <v>FK</v>
      </c>
    </row>
    <row r="101" spans="1:55">
      <c r="A101" s="108">
        <v>92</v>
      </c>
      <c r="B101" s="109" t="str">
        <f t="shared" si="75"/>
        <v>Mar 2016</v>
      </c>
      <c r="C101" s="110" t="str">
        <f t="shared" si="76"/>
        <v>RTS</v>
      </c>
      <c r="D101" s="110" t="str">
        <f t="shared" si="77"/>
        <v>LGINE643</v>
      </c>
      <c r="E101" s="111">
        <f t="shared" si="47"/>
        <v>12</v>
      </c>
      <c r="F101" s="112">
        <v>0</v>
      </c>
      <c r="G101" s="111">
        <f t="shared" si="48"/>
        <v>0</v>
      </c>
      <c r="H101" s="111">
        <f t="shared" si="49"/>
        <v>0</v>
      </c>
      <c r="I101" s="111">
        <f t="shared" si="50"/>
        <v>0</v>
      </c>
      <c r="J101" s="111">
        <f t="shared" si="51"/>
        <v>68950546</v>
      </c>
      <c r="K101" s="113">
        <f t="shared" si="52"/>
        <v>157141</v>
      </c>
      <c r="L101" s="113">
        <f t="shared" si="53"/>
        <v>151309</v>
      </c>
      <c r="M101" s="113">
        <f t="shared" si="54"/>
        <v>92518</v>
      </c>
      <c r="N101" s="116">
        <f t="shared" si="55"/>
        <v>750</v>
      </c>
      <c r="O101" s="117">
        <f t="shared" si="44"/>
        <v>3.61E-2</v>
      </c>
      <c r="P101" s="117">
        <f t="shared" si="56"/>
        <v>0</v>
      </c>
      <c r="Q101" s="117">
        <f t="shared" si="57"/>
        <v>0</v>
      </c>
      <c r="R101" s="117">
        <f t="shared" si="58"/>
        <v>2.725E-2</v>
      </c>
      <c r="S101" s="116">
        <f t="shared" si="59"/>
        <v>2.75</v>
      </c>
      <c r="T101" s="116">
        <f t="shared" si="60"/>
        <v>3</v>
      </c>
      <c r="U101" s="116">
        <f t="shared" si="61"/>
        <v>4.5500000000000007</v>
      </c>
      <c r="V101" s="118">
        <f t="shared" si="62"/>
        <v>9000</v>
      </c>
      <c r="W101" s="118">
        <f t="shared" si="78"/>
        <v>2489114.71</v>
      </c>
      <c r="X101" s="118">
        <f t="shared" si="79"/>
        <v>432137.75</v>
      </c>
      <c r="Y101" s="118">
        <f t="shared" si="80"/>
        <v>453927</v>
      </c>
      <c r="Z101" s="118">
        <f t="shared" si="81"/>
        <v>420956.9</v>
      </c>
      <c r="AA101" s="119">
        <v>0</v>
      </c>
      <c r="AB101" s="120">
        <f t="shared" si="63"/>
        <v>0</v>
      </c>
      <c r="AC101" s="118">
        <f t="shared" si="64"/>
        <v>1307021.6499999999</v>
      </c>
      <c r="AD101" s="118">
        <f t="shared" si="82"/>
        <v>3805136.36</v>
      </c>
      <c r="AE101" s="118">
        <f t="shared" si="65"/>
        <v>3805137</v>
      </c>
      <c r="AF101" s="121">
        <f t="shared" si="83"/>
        <v>1</v>
      </c>
      <c r="AG101" s="122">
        <f t="shared" si="66"/>
        <v>-97233</v>
      </c>
      <c r="AH101" s="122">
        <f t="shared" si="67"/>
        <v>0</v>
      </c>
      <c r="AI101" s="122">
        <f t="shared" si="68"/>
        <v>714939</v>
      </c>
      <c r="AJ101" s="122">
        <f t="shared" si="69"/>
        <v>0</v>
      </c>
      <c r="AK101" s="122">
        <f t="shared" si="70"/>
        <v>0</v>
      </c>
      <c r="AL101" s="122">
        <f t="shared" si="71"/>
        <v>4422843</v>
      </c>
      <c r="AM101" s="123">
        <f t="shared" si="72"/>
        <v>4422842.3599999994</v>
      </c>
      <c r="AN101" s="123">
        <f t="shared" si="45"/>
        <v>0.64000000059604645</v>
      </c>
      <c r="AO101" s="124">
        <f t="shared" si="74"/>
        <v>1878902.38</v>
      </c>
      <c r="AP101" s="125">
        <f t="shared" si="84"/>
        <v>610212.33000000007</v>
      </c>
      <c r="AU101" s="109">
        <f>IF(BA101=1,IF(AU100=MiscData!$F$1,EOMONTH(AU100,-11),EOMONTH(AU100,1)),AU100)</f>
        <v>42460</v>
      </c>
      <c r="AV101" s="108" t="str">
        <f t="shared" si="85"/>
        <v>20140101LGINE643</v>
      </c>
      <c r="AW101" s="126" t="str">
        <f t="shared" si="86"/>
        <v>20140101RTS</v>
      </c>
      <c r="AX101">
        <f>MiscData!$X$5</f>
        <v>20140101</v>
      </c>
      <c r="BA101" s="98">
        <f>IF(BA100+1&gt;MiscData!$Z$42,1,BA100+1)</f>
        <v>22</v>
      </c>
      <c r="BB101" s="98" t="str">
        <f>VLOOKUP(BA101,MiscData!$Z$5:$AB$46,2,FALSE)</f>
        <v>LGINE643</v>
      </c>
      <c r="BC101" s="98" t="str">
        <f>VLOOKUP(BA101,MiscData!$Z$5:$AB$46,3,FALSE)</f>
        <v>RTS</v>
      </c>
    </row>
    <row r="102" spans="1:55">
      <c r="A102" s="108">
        <v>93</v>
      </c>
      <c r="B102" s="109" t="str">
        <f t="shared" si="75"/>
        <v>Mar 2016</v>
      </c>
      <c r="C102" s="110" t="str">
        <f t="shared" si="76"/>
        <v>PSS</v>
      </c>
      <c r="D102" s="110" t="str">
        <f t="shared" si="77"/>
        <v>LGINE661</v>
      </c>
      <c r="E102" s="111">
        <f t="shared" si="47"/>
        <v>212</v>
      </c>
      <c r="F102" s="112">
        <v>0</v>
      </c>
      <c r="G102" s="111">
        <f t="shared" si="48"/>
        <v>0</v>
      </c>
      <c r="H102" s="111">
        <f t="shared" si="49"/>
        <v>0</v>
      </c>
      <c r="I102" s="111">
        <f t="shared" si="50"/>
        <v>0</v>
      </c>
      <c r="J102" s="111">
        <f t="shared" si="51"/>
        <v>18186183</v>
      </c>
      <c r="K102" s="113">
        <f t="shared" si="52"/>
        <v>0</v>
      </c>
      <c r="L102" s="113">
        <f t="shared" si="53"/>
        <v>58098</v>
      </c>
      <c r="M102" s="113">
        <f t="shared" si="54"/>
        <v>0</v>
      </c>
      <c r="N102" s="116">
        <f t="shared" si="55"/>
        <v>90</v>
      </c>
      <c r="O102" s="117">
        <f t="shared" si="44"/>
        <v>4.0599999999999997E-2</v>
      </c>
      <c r="P102" s="117">
        <f t="shared" si="56"/>
        <v>0</v>
      </c>
      <c r="Q102" s="117">
        <f t="shared" si="57"/>
        <v>0</v>
      </c>
      <c r="R102" s="117">
        <f t="shared" si="58"/>
        <v>2.725E-2</v>
      </c>
      <c r="S102" s="116">
        <f t="shared" si="59"/>
        <v>0</v>
      </c>
      <c r="T102" s="116">
        <f t="shared" si="60"/>
        <v>14.010000000000002</v>
      </c>
      <c r="U102" s="116">
        <f t="shared" si="61"/>
        <v>16.399999999999999</v>
      </c>
      <c r="V102" s="118">
        <f t="shared" si="62"/>
        <v>19080</v>
      </c>
      <c r="W102" s="118">
        <f t="shared" si="78"/>
        <v>738359.03</v>
      </c>
      <c r="X102" s="118">
        <f t="shared" si="79"/>
        <v>0</v>
      </c>
      <c r="Y102" s="118">
        <f t="shared" si="80"/>
        <v>813952.98</v>
      </c>
      <c r="Z102" s="118">
        <f t="shared" si="81"/>
        <v>0</v>
      </c>
      <c r="AA102" s="119">
        <v>0</v>
      </c>
      <c r="AB102" s="120">
        <f t="shared" si="63"/>
        <v>0</v>
      </c>
      <c r="AC102" s="118">
        <f t="shared" si="64"/>
        <v>813952.98</v>
      </c>
      <c r="AD102" s="118">
        <f t="shared" si="82"/>
        <v>1571392.01</v>
      </c>
      <c r="AE102" s="118">
        <f t="shared" si="65"/>
        <v>1571397</v>
      </c>
      <c r="AF102" s="121">
        <f t="shared" si="83"/>
        <v>1.000003</v>
      </c>
      <c r="AG102" s="122">
        <f t="shared" si="66"/>
        <v>-25646</v>
      </c>
      <c r="AH102" s="122">
        <f t="shared" si="67"/>
        <v>30671</v>
      </c>
      <c r="AI102" s="122">
        <f t="shared" si="68"/>
        <v>188570</v>
      </c>
      <c r="AJ102" s="122">
        <f t="shared" si="69"/>
        <v>0</v>
      </c>
      <c r="AK102" s="122">
        <f t="shared" si="70"/>
        <v>0</v>
      </c>
      <c r="AL102" s="122">
        <f t="shared" si="71"/>
        <v>1764992</v>
      </c>
      <c r="AM102" s="123">
        <f t="shared" si="72"/>
        <v>1764987.01</v>
      </c>
      <c r="AN102" s="123">
        <f t="shared" si="45"/>
        <v>4.9899999999906868</v>
      </c>
      <c r="AO102" s="124">
        <f t="shared" si="74"/>
        <v>495573.49</v>
      </c>
      <c r="AP102" s="125">
        <f t="shared" si="84"/>
        <v>242785.54000000004</v>
      </c>
      <c r="AU102" s="109">
        <f>IF(BA102=1,IF(AU101=MiscData!$F$1,EOMONTH(AU101,-11),EOMONTH(AU101,1)),AU101)</f>
        <v>42460</v>
      </c>
      <c r="AV102" s="108" t="str">
        <f t="shared" si="85"/>
        <v>20140101LGINE661</v>
      </c>
      <c r="AW102" s="126" t="str">
        <f t="shared" si="86"/>
        <v>20140101PSS</v>
      </c>
      <c r="AX102">
        <f>MiscData!$X$5</f>
        <v>20140101</v>
      </c>
      <c r="BA102" s="98">
        <f>IF(BA101+1&gt;MiscData!$Z$42,1,BA101+1)</f>
        <v>23</v>
      </c>
      <c r="BB102" s="98" t="str">
        <f>VLOOKUP(BA102,MiscData!$Z$5:$AB$46,2,FALSE)</f>
        <v>LGINE661</v>
      </c>
      <c r="BC102" s="98" t="str">
        <f>VLOOKUP(BA102,MiscData!$Z$5:$AB$46,3,FALSE)</f>
        <v>PSS</v>
      </c>
    </row>
    <row r="103" spans="1:55">
      <c r="A103" s="108">
        <v>94</v>
      </c>
      <c r="B103" s="109" t="str">
        <f t="shared" si="75"/>
        <v>Mar 2016</v>
      </c>
      <c r="C103" s="110" t="str">
        <f t="shared" si="76"/>
        <v>PSP</v>
      </c>
      <c r="D103" s="110" t="str">
        <f t="shared" si="77"/>
        <v>LGINE663</v>
      </c>
      <c r="E103" s="111">
        <f t="shared" si="47"/>
        <v>21</v>
      </c>
      <c r="F103" s="112">
        <v>0</v>
      </c>
      <c r="G103" s="111">
        <f t="shared" si="48"/>
        <v>0</v>
      </c>
      <c r="H103" s="111">
        <f t="shared" si="49"/>
        <v>0</v>
      </c>
      <c r="I103" s="111">
        <f t="shared" si="50"/>
        <v>0</v>
      </c>
      <c r="J103" s="111">
        <f t="shared" si="51"/>
        <v>1034858</v>
      </c>
      <c r="K103" s="113">
        <f t="shared" si="52"/>
        <v>0</v>
      </c>
      <c r="L103" s="113">
        <f t="shared" si="53"/>
        <v>3809</v>
      </c>
      <c r="M103" s="113">
        <f t="shared" si="54"/>
        <v>0</v>
      </c>
      <c r="N103" s="116">
        <f t="shared" si="55"/>
        <v>170</v>
      </c>
      <c r="O103" s="117">
        <f t="shared" si="44"/>
        <v>3.9260000000000003E-2</v>
      </c>
      <c r="P103" s="117">
        <f t="shared" si="56"/>
        <v>0</v>
      </c>
      <c r="Q103" s="117">
        <f t="shared" si="57"/>
        <v>0</v>
      </c>
      <c r="R103" s="117">
        <f t="shared" si="58"/>
        <v>2.725E-2</v>
      </c>
      <c r="S103" s="116">
        <f t="shared" si="59"/>
        <v>0</v>
      </c>
      <c r="T103" s="116">
        <f t="shared" si="60"/>
        <v>11.660000000000002</v>
      </c>
      <c r="U103" s="116">
        <f t="shared" si="61"/>
        <v>13.950000000000001</v>
      </c>
      <c r="V103" s="118">
        <f t="shared" si="62"/>
        <v>3570</v>
      </c>
      <c r="W103" s="118">
        <f t="shared" si="78"/>
        <v>40628.53</v>
      </c>
      <c r="X103" s="118">
        <f t="shared" si="79"/>
        <v>0</v>
      </c>
      <c r="Y103" s="118">
        <f t="shared" si="80"/>
        <v>44412.94</v>
      </c>
      <c r="Z103" s="118">
        <f t="shared" si="81"/>
        <v>0</v>
      </c>
      <c r="AA103" s="119">
        <v>0</v>
      </c>
      <c r="AB103" s="120">
        <f t="shared" si="63"/>
        <v>0</v>
      </c>
      <c r="AC103" s="118">
        <f t="shared" si="64"/>
        <v>44412.94</v>
      </c>
      <c r="AD103" s="118">
        <f t="shared" si="82"/>
        <v>88611.47</v>
      </c>
      <c r="AE103" s="118">
        <f t="shared" si="65"/>
        <v>88608</v>
      </c>
      <c r="AF103" s="121">
        <f t="shared" si="83"/>
        <v>0.99996099999999999</v>
      </c>
      <c r="AG103" s="122">
        <f t="shared" si="66"/>
        <v>-1459</v>
      </c>
      <c r="AH103" s="122">
        <f t="shared" si="67"/>
        <v>1745</v>
      </c>
      <c r="AI103" s="122">
        <f t="shared" si="68"/>
        <v>10730</v>
      </c>
      <c r="AJ103" s="122">
        <f t="shared" si="69"/>
        <v>0</v>
      </c>
      <c r="AK103" s="122">
        <f t="shared" si="70"/>
        <v>0</v>
      </c>
      <c r="AL103" s="122">
        <f t="shared" si="71"/>
        <v>99624</v>
      </c>
      <c r="AM103" s="123">
        <f t="shared" si="72"/>
        <v>99627.47</v>
      </c>
      <c r="AN103" s="123">
        <f t="shared" si="45"/>
        <v>-3.4700000000011642</v>
      </c>
      <c r="AO103" s="124">
        <f t="shared" si="74"/>
        <v>28199.88</v>
      </c>
      <c r="AP103" s="125">
        <f t="shared" si="84"/>
        <v>12428.649999999998</v>
      </c>
      <c r="AU103" s="109">
        <f>IF(BA103=1,IF(AU102=MiscData!$F$1,EOMONTH(AU102,-11),EOMONTH(AU102,1)),AU102)</f>
        <v>42460</v>
      </c>
      <c r="AV103" s="108" t="str">
        <f t="shared" si="85"/>
        <v>20140101LGINE663</v>
      </c>
      <c r="AW103" s="126" t="str">
        <f t="shared" si="86"/>
        <v>20140101PSP</v>
      </c>
      <c r="AX103">
        <f>MiscData!$X$5</f>
        <v>20140101</v>
      </c>
      <c r="BA103" s="98">
        <f>IF(BA102+1&gt;MiscData!$Z$42,1,BA102+1)</f>
        <v>24</v>
      </c>
      <c r="BB103" s="98" t="str">
        <f>VLOOKUP(BA103,MiscData!$Z$5:$AB$46,2,FALSE)</f>
        <v>LGINE663</v>
      </c>
      <c r="BC103" s="98" t="str">
        <f>VLOOKUP(BA103,MiscData!$Z$5:$AB$46,3,FALSE)</f>
        <v>PSP</v>
      </c>
    </row>
    <row r="104" spans="1:55">
      <c r="A104" s="108">
        <v>95</v>
      </c>
      <c r="B104" s="109" t="str">
        <f t="shared" si="75"/>
        <v>Mar 2016</v>
      </c>
      <c r="C104" s="110" t="str">
        <f t="shared" si="76"/>
        <v>TODS</v>
      </c>
      <c r="D104" s="110" t="str">
        <f t="shared" si="77"/>
        <v>LGINE691</v>
      </c>
      <c r="E104" s="111">
        <f t="shared" si="47"/>
        <v>100</v>
      </c>
      <c r="F104" s="112">
        <v>0</v>
      </c>
      <c r="G104" s="111">
        <f t="shared" si="48"/>
        <v>0</v>
      </c>
      <c r="H104" s="111">
        <f t="shared" si="49"/>
        <v>0</v>
      </c>
      <c r="I104" s="111">
        <f t="shared" si="50"/>
        <v>0</v>
      </c>
      <c r="J104" s="111">
        <f t="shared" si="51"/>
        <v>20709793</v>
      </c>
      <c r="K104" s="113">
        <f t="shared" si="52"/>
        <v>53453</v>
      </c>
      <c r="L104" s="113">
        <f t="shared" si="53"/>
        <v>49487</v>
      </c>
      <c r="M104" s="113">
        <f t="shared" si="54"/>
        <v>47392</v>
      </c>
      <c r="N104" s="116">
        <f t="shared" si="55"/>
        <v>200</v>
      </c>
      <c r="O104" s="117">
        <f t="shared" si="44"/>
        <v>3.9899999999999998E-2</v>
      </c>
      <c r="P104" s="117">
        <f t="shared" si="56"/>
        <v>0</v>
      </c>
      <c r="Q104" s="117">
        <f t="shared" si="57"/>
        <v>0</v>
      </c>
      <c r="R104" s="117">
        <f t="shared" si="58"/>
        <v>2.725E-2</v>
      </c>
      <c r="S104" s="116">
        <f t="shared" si="59"/>
        <v>4</v>
      </c>
      <c r="T104" s="116">
        <f t="shared" si="60"/>
        <v>4.5100000000000007</v>
      </c>
      <c r="U104" s="116">
        <f t="shared" si="61"/>
        <v>6.11</v>
      </c>
      <c r="V104" s="118">
        <f t="shared" si="62"/>
        <v>20000</v>
      </c>
      <c r="W104" s="118">
        <f t="shared" si="78"/>
        <v>826320.74</v>
      </c>
      <c r="X104" s="118">
        <f t="shared" si="79"/>
        <v>213812</v>
      </c>
      <c r="Y104" s="118">
        <f t="shared" si="80"/>
        <v>223186.37</v>
      </c>
      <c r="Z104" s="118">
        <f t="shared" si="81"/>
        <v>289565.12</v>
      </c>
      <c r="AA104" s="119">
        <v>0</v>
      </c>
      <c r="AB104" s="120">
        <f t="shared" si="63"/>
        <v>0</v>
      </c>
      <c r="AC104" s="118">
        <f t="shared" si="64"/>
        <v>726563.49</v>
      </c>
      <c r="AD104" s="118">
        <f t="shared" si="82"/>
        <v>1572884.23</v>
      </c>
      <c r="AE104" s="118">
        <f t="shared" si="65"/>
        <v>1572886</v>
      </c>
      <c r="AF104" s="121">
        <f t="shared" si="83"/>
        <v>1.0000009999999999</v>
      </c>
      <c r="AG104" s="122">
        <f t="shared" si="66"/>
        <v>-29205</v>
      </c>
      <c r="AH104" s="122">
        <f t="shared" si="67"/>
        <v>34927</v>
      </c>
      <c r="AI104" s="122">
        <f t="shared" si="68"/>
        <v>214737</v>
      </c>
      <c r="AJ104" s="122">
        <f t="shared" si="69"/>
        <v>0</v>
      </c>
      <c r="AK104" s="122">
        <f t="shared" si="70"/>
        <v>0</v>
      </c>
      <c r="AL104" s="122">
        <f t="shared" si="71"/>
        <v>1793345</v>
      </c>
      <c r="AM104" s="123">
        <f t="shared" si="72"/>
        <v>1793343.23</v>
      </c>
      <c r="AN104" s="123">
        <f t="shared" si="45"/>
        <v>1.7700000000186265</v>
      </c>
      <c r="AO104" s="124">
        <f t="shared" si="74"/>
        <v>564341.86</v>
      </c>
      <c r="AP104" s="125">
        <f t="shared" si="84"/>
        <v>261978.88</v>
      </c>
      <c r="AU104" s="109">
        <f>IF(BA104=1,IF(AU103=MiscData!$F$1,EOMONTH(AU103,-11),EOMONTH(AU103,1)),AU103)</f>
        <v>42460</v>
      </c>
      <c r="AV104" s="108" t="str">
        <f t="shared" si="85"/>
        <v>20140101LGINE691</v>
      </c>
      <c r="AW104" s="126" t="str">
        <f t="shared" si="86"/>
        <v>20140101TODS</v>
      </c>
      <c r="AX104">
        <f>MiscData!$X$5</f>
        <v>20140101</v>
      </c>
      <c r="BA104" s="98">
        <f>IF(BA103+1&gt;MiscData!$Z$42,1,BA103+1)</f>
        <v>25</v>
      </c>
      <c r="BB104" s="98" t="str">
        <f>VLOOKUP(BA104,MiscData!$Z$5:$AB$46,2,FALSE)</f>
        <v>LGINE691</v>
      </c>
      <c r="BC104" s="98" t="str">
        <f>VLOOKUP(BA104,MiscData!$Z$5:$AB$46,3,FALSE)</f>
        <v>TODS</v>
      </c>
    </row>
    <row r="105" spans="1:55">
      <c r="A105" s="108">
        <v>96</v>
      </c>
      <c r="B105" s="109" t="str">
        <f t="shared" si="75"/>
        <v>Mar 2016</v>
      </c>
      <c r="C105" s="110" t="str">
        <f t="shared" si="76"/>
        <v>ITODP</v>
      </c>
      <c r="D105" s="110" t="str">
        <f t="shared" si="77"/>
        <v>LGINE693</v>
      </c>
      <c r="E105" s="111">
        <f t="shared" si="47"/>
        <v>71</v>
      </c>
      <c r="F105" s="112">
        <v>0</v>
      </c>
      <c r="G105" s="111">
        <f t="shared" si="48"/>
        <v>0</v>
      </c>
      <c r="H105" s="111">
        <f t="shared" si="49"/>
        <v>0</v>
      </c>
      <c r="I105" s="111">
        <f t="shared" si="50"/>
        <v>0</v>
      </c>
      <c r="J105" s="111">
        <f t="shared" si="51"/>
        <v>130494762</v>
      </c>
      <c r="K105" s="113">
        <f t="shared" si="52"/>
        <v>325255</v>
      </c>
      <c r="L105" s="113">
        <f t="shared" si="53"/>
        <v>295286</v>
      </c>
      <c r="M105" s="113">
        <f t="shared" si="54"/>
        <v>291364</v>
      </c>
      <c r="N105" s="116">
        <f t="shared" si="55"/>
        <v>300</v>
      </c>
      <c r="O105" s="117">
        <f t="shared" ref="O105:O168" si="88">SUMIF(L_Rates_Tariff_Rate_Category,$AV105,L_Rates_Energy)</f>
        <v>3.5380000000000002E-2</v>
      </c>
      <c r="P105" s="117">
        <f t="shared" si="56"/>
        <v>0</v>
      </c>
      <c r="Q105" s="117">
        <f t="shared" si="57"/>
        <v>0</v>
      </c>
      <c r="R105" s="117">
        <f t="shared" si="58"/>
        <v>2.725E-2</v>
      </c>
      <c r="S105" s="116">
        <f t="shared" si="59"/>
        <v>3.6300000000000003</v>
      </c>
      <c r="T105" s="116">
        <f t="shared" si="60"/>
        <v>3.7900000000000005</v>
      </c>
      <c r="U105" s="116">
        <f t="shared" si="61"/>
        <v>4.63</v>
      </c>
      <c r="V105" s="118">
        <f t="shared" si="62"/>
        <v>21300</v>
      </c>
      <c r="W105" s="118">
        <f t="shared" si="78"/>
        <v>4616904.68</v>
      </c>
      <c r="X105" s="118">
        <f t="shared" si="79"/>
        <v>1180675.6499999999</v>
      </c>
      <c r="Y105" s="118">
        <f t="shared" si="80"/>
        <v>1119133.94</v>
      </c>
      <c r="Z105" s="118">
        <f t="shared" si="81"/>
        <v>1349015.32</v>
      </c>
      <c r="AA105" s="119">
        <v>0</v>
      </c>
      <c r="AB105" s="120">
        <f t="shared" si="63"/>
        <v>0</v>
      </c>
      <c r="AC105" s="118">
        <f t="shared" si="64"/>
        <v>3648824.91</v>
      </c>
      <c r="AD105" s="118">
        <f t="shared" si="82"/>
        <v>8287029.5899999999</v>
      </c>
      <c r="AE105" s="118">
        <f t="shared" si="65"/>
        <v>8287029</v>
      </c>
      <c r="AF105" s="121">
        <f t="shared" si="83"/>
        <v>1</v>
      </c>
      <c r="AG105" s="122">
        <f t="shared" si="66"/>
        <v>-184022</v>
      </c>
      <c r="AH105" s="122">
        <f t="shared" si="67"/>
        <v>220078</v>
      </c>
      <c r="AI105" s="122">
        <f t="shared" si="68"/>
        <v>1353083</v>
      </c>
      <c r="AJ105" s="122">
        <f t="shared" si="69"/>
        <v>0</v>
      </c>
      <c r="AK105" s="122">
        <f t="shared" si="70"/>
        <v>0</v>
      </c>
      <c r="AL105" s="122">
        <f t="shared" si="71"/>
        <v>9676168</v>
      </c>
      <c r="AM105" s="123">
        <f t="shared" si="72"/>
        <v>9676168.5899999999</v>
      </c>
      <c r="AN105" s="123">
        <f t="shared" si="45"/>
        <v>-0.58999999985098839</v>
      </c>
      <c r="AO105" s="124">
        <f t="shared" si="74"/>
        <v>3555982.26</v>
      </c>
      <c r="AP105" s="125">
        <f t="shared" si="84"/>
        <v>1060922.42</v>
      </c>
      <c r="AU105" s="109">
        <f>IF(BA105=1,IF(AU104=MiscData!$F$1,EOMONTH(AU104,-11),EOMONTH(AU104,1)),AU104)</f>
        <v>42460</v>
      </c>
      <c r="AV105" s="108" t="str">
        <f t="shared" si="85"/>
        <v>20140101LGINE693</v>
      </c>
      <c r="AW105" s="126" t="str">
        <f t="shared" si="86"/>
        <v>20140101ITODP</v>
      </c>
      <c r="AX105">
        <f>MiscData!$X$5</f>
        <v>20140101</v>
      </c>
      <c r="BA105" s="98">
        <f>IF(BA104+1&gt;MiscData!$Z$42,1,BA104+1)</f>
        <v>26</v>
      </c>
      <c r="BB105" s="98" t="str">
        <f>VLOOKUP(BA105,MiscData!$Z$5:$AB$46,2,FALSE)</f>
        <v>LGINE693</v>
      </c>
      <c r="BC105" s="98" t="str">
        <f>VLOOKUP(BA105,MiscData!$Z$5:$AB$46,3,FALSE)</f>
        <v>ITODP</v>
      </c>
    </row>
    <row r="106" spans="1:55">
      <c r="A106" s="108">
        <v>97</v>
      </c>
      <c r="B106" s="109" t="str">
        <f t="shared" si="75"/>
        <v>Mar 2016</v>
      </c>
      <c r="C106" s="110" t="str">
        <f t="shared" si="76"/>
        <v>ITODP</v>
      </c>
      <c r="D106" s="110" t="str">
        <f t="shared" si="77"/>
        <v>LGINE694</v>
      </c>
      <c r="E106" s="111">
        <f t="shared" si="47"/>
        <v>0</v>
      </c>
      <c r="F106" s="112">
        <v>0</v>
      </c>
      <c r="G106" s="111">
        <f t="shared" si="48"/>
        <v>0</v>
      </c>
      <c r="H106" s="111">
        <f t="shared" si="49"/>
        <v>0</v>
      </c>
      <c r="I106" s="111">
        <f t="shared" si="50"/>
        <v>0</v>
      </c>
      <c r="J106" s="111">
        <f t="shared" si="51"/>
        <v>0</v>
      </c>
      <c r="K106" s="113">
        <f t="shared" si="52"/>
        <v>0</v>
      </c>
      <c r="L106" s="113">
        <f t="shared" si="53"/>
        <v>0</v>
      </c>
      <c r="M106" s="113">
        <f t="shared" si="54"/>
        <v>0</v>
      </c>
      <c r="N106" s="116">
        <f t="shared" si="55"/>
        <v>300</v>
      </c>
      <c r="O106" s="117">
        <f t="shared" si="88"/>
        <v>3.5380000000000002E-2</v>
      </c>
      <c r="P106" s="117">
        <f t="shared" si="56"/>
        <v>0</v>
      </c>
      <c r="Q106" s="117">
        <f t="shared" si="57"/>
        <v>0</v>
      </c>
      <c r="R106" s="117">
        <f t="shared" si="58"/>
        <v>2.725E-2</v>
      </c>
      <c r="S106" s="116">
        <f t="shared" si="59"/>
        <v>3.6300000000000003</v>
      </c>
      <c r="T106" s="116">
        <f t="shared" si="60"/>
        <v>3.7900000000000005</v>
      </c>
      <c r="U106" s="116">
        <f t="shared" si="61"/>
        <v>4.63</v>
      </c>
      <c r="V106" s="118">
        <f t="shared" si="62"/>
        <v>0</v>
      </c>
      <c r="W106" s="118">
        <f t="shared" si="78"/>
        <v>0</v>
      </c>
      <c r="X106" s="118">
        <f t="shared" si="79"/>
        <v>0</v>
      </c>
      <c r="Y106" s="118">
        <f t="shared" si="80"/>
        <v>0</v>
      </c>
      <c r="Z106" s="118">
        <f t="shared" si="81"/>
        <v>0</v>
      </c>
      <c r="AA106" s="119">
        <v>0</v>
      </c>
      <c r="AB106" s="120">
        <f t="shared" si="63"/>
        <v>0</v>
      </c>
      <c r="AC106" s="118">
        <f t="shared" si="64"/>
        <v>0</v>
      </c>
      <c r="AD106" s="118">
        <f t="shared" si="82"/>
        <v>0</v>
      </c>
      <c r="AE106" s="118">
        <f t="shared" si="65"/>
        <v>0</v>
      </c>
      <c r="AF106" s="121">
        <f t="shared" si="83"/>
        <v>1</v>
      </c>
      <c r="AG106" s="122">
        <f t="shared" si="66"/>
        <v>0</v>
      </c>
      <c r="AH106" s="122">
        <f t="shared" si="67"/>
        <v>0</v>
      </c>
      <c r="AI106" s="122">
        <f t="shared" si="68"/>
        <v>0</v>
      </c>
      <c r="AJ106" s="122">
        <f t="shared" si="69"/>
        <v>0</v>
      </c>
      <c r="AK106" s="122">
        <f t="shared" si="70"/>
        <v>0</v>
      </c>
      <c r="AL106" s="122">
        <f t="shared" si="71"/>
        <v>0</v>
      </c>
      <c r="AM106" s="123">
        <f t="shared" si="72"/>
        <v>0</v>
      </c>
      <c r="AN106" s="123">
        <f>ROUND(AL106-AM106,2)</f>
        <v>0</v>
      </c>
      <c r="AO106" s="124">
        <f t="shared" si="74"/>
        <v>0</v>
      </c>
      <c r="AP106" s="125">
        <f t="shared" si="84"/>
        <v>0</v>
      </c>
      <c r="AU106" s="109">
        <f>IF(BA106=1,IF(AU105=MiscData!$F$1,EOMONTH(AU105,-11),EOMONTH(AU105,1)),AU105)</f>
        <v>42460</v>
      </c>
      <c r="AV106" s="108" t="str">
        <f t="shared" si="85"/>
        <v>20140101LGINE694</v>
      </c>
      <c r="AW106" s="126" t="str">
        <f t="shared" si="86"/>
        <v>20140101ITODP</v>
      </c>
      <c r="AX106">
        <f>MiscData!$X$5</f>
        <v>20140101</v>
      </c>
      <c r="BA106" s="98">
        <f>IF(BA105+1&gt;MiscData!$Z$42,1,BA105+1)</f>
        <v>27</v>
      </c>
      <c r="BB106" s="98" t="str">
        <f>VLOOKUP(BA106,MiscData!$Z$5:$AB$46,2,FALSE)</f>
        <v>LGINE694</v>
      </c>
      <c r="BC106" s="98" t="str">
        <f>VLOOKUP(BA106,MiscData!$Z$5:$AB$46,3,FALSE)</f>
        <v>ITODP</v>
      </c>
    </row>
    <row r="107" spans="1:55">
      <c r="A107" s="108">
        <v>98</v>
      </c>
      <c r="B107" s="109" t="str">
        <f t="shared" si="75"/>
        <v>Mar 2016</v>
      </c>
      <c r="C107" s="110" t="str">
        <f t="shared" si="76"/>
        <v>LE</v>
      </c>
      <c r="D107" s="110" t="str">
        <f t="shared" si="77"/>
        <v>LGMLE570</v>
      </c>
      <c r="E107" s="111">
        <f t="shared" si="47"/>
        <v>0</v>
      </c>
      <c r="F107" s="112">
        <v>0</v>
      </c>
      <c r="G107" s="111">
        <f t="shared" si="48"/>
        <v>0</v>
      </c>
      <c r="H107" s="111">
        <f t="shared" si="49"/>
        <v>0</v>
      </c>
      <c r="I107" s="111">
        <f t="shared" si="50"/>
        <v>0</v>
      </c>
      <c r="J107" s="111">
        <f t="shared" si="51"/>
        <v>0</v>
      </c>
      <c r="K107" s="113">
        <f t="shared" si="52"/>
        <v>0</v>
      </c>
      <c r="L107" s="113">
        <f t="shared" si="53"/>
        <v>0</v>
      </c>
      <c r="M107" s="113">
        <f t="shared" si="54"/>
        <v>0</v>
      </c>
      <c r="N107" s="116">
        <f t="shared" si="55"/>
        <v>0</v>
      </c>
      <c r="O107" s="117">
        <f t="shared" si="88"/>
        <v>6.4610000000000001E-2</v>
      </c>
      <c r="P107" s="117">
        <f t="shared" si="56"/>
        <v>0</v>
      </c>
      <c r="Q107" s="117">
        <f t="shared" si="57"/>
        <v>0</v>
      </c>
      <c r="R107" s="117">
        <f t="shared" si="58"/>
        <v>2.725E-2</v>
      </c>
      <c r="S107" s="116">
        <f t="shared" si="59"/>
        <v>0</v>
      </c>
      <c r="T107" s="116">
        <f t="shared" si="60"/>
        <v>0</v>
      </c>
      <c r="U107" s="116">
        <f t="shared" si="61"/>
        <v>0</v>
      </c>
      <c r="V107" s="118">
        <f t="shared" si="62"/>
        <v>0</v>
      </c>
      <c r="W107" s="118">
        <f t="shared" si="78"/>
        <v>0</v>
      </c>
      <c r="X107" s="118">
        <f t="shared" si="79"/>
        <v>0</v>
      </c>
      <c r="Y107" s="118">
        <f t="shared" si="80"/>
        <v>0</v>
      </c>
      <c r="Z107" s="118">
        <f t="shared" si="81"/>
        <v>0</v>
      </c>
      <c r="AA107" s="119">
        <v>0</v>
      </c>
      <c r="AB107" s="120">
        <f t="shared" si="63"/>
        <v>0</v>
      </c>
      <c r="AC107" s="118">
        <f t="shared" si="64"/>
        <v>0</v>
      </c>
      <c r="AD107" s="118">
        <f t="shared" si="82"/>
        <v>0</v>
      </c>
      <c r="AE107" s="118">
        <f t="shared" si="65"/>
        <v>0</v>
      </c>
      <c r="AF107" s="121">
        <f t="shared" si="83"/>
        <v>1</v>
      </c>
      <c r="AG107" s="122">
        <f t="shared" si="66"/>
        <v>0</v>
      </c>
      <c r="AH107" s="122">
        <f t="shared" si="67"/>
        <v>0</v>
      </c>
      <c r="AI107" s="122">
        <f t="shared" si="68"/>
        <v>0</v>
      </c>
      <c r="AJ107" s="122">
        <f t="shared" si="69"/>
        <v>0</v>
      </c>
      <c r="AK107" s="122">
        <f t="shared" si="70"/>
        <v>0</v>
      </c>
      <c r="AL107" s="122">
        <f t="shared" si="71"/>
        <v>0</v>
      </c>
      <c r="AM107" s="123">
        <f t="shared" si="72"/>
        <v>0</v>
      </c>
      <c r="AN107" s="123">
        <f t="shared" si="45"/>
        <v>0</v>
      </c>
      <c r="AO107" s="124">
        <f t="shared" si="74"/>
        <v>0</v>
      </c>
      <c r="AP107" s="125">
        <f t="shared" si="84"/>
        <v>0</v>
      </c>
      <c r="AU107" s="109">
        <f>IF(BA107=1,IF(AU106=MiscData!$F$1,EOMONTH(AU106,-11),EOMONTH(AU106,1)),AU106)</f>
        <v>42460</v>
      </c>
      <c r="AV107" s="108" t="str">
        <f t="shared" si="85"/>
        <v>20140101LGMLE570</v>
      </c>
      <c r="AW107" s="126" t="str">
        <f t="shared" si="86"/>
        <v>20140101LE</v>
      </c>
      <c r="AX107">
        <f>MiscData!$X$5</f>
        <v>20140101</v>
      </c>
      <c r="BA107" s="98">
        <f>IF(BA106+1&gt;MiscData!$Z$42,1,BA106+1)</f>
        <v>28</v>
      </c>
      <c r="BB107" s="98" t="str">
        <f>VLOOKUP(BA107,MiscData!$Z$5:$AB$46,2,FALSE)</f>
        <v>LGMLE570</v>
      </c>
      <c r="BC107" s="98" t="str">
        <f>VLOOKUP(BA107,MiscData!$Z$5:$AB$46,3,FALSE)</f>
        <v>LE</v>
      </c>
    </row>
    <row r="108" spans="1:55">
      <c r="A108" s="108">
        <v>99</v>
      </c>
      <c r="B108" s="109" t="str">
        <f t="shared" si="75"/>
        <v>Mar 2016</v>
      </c>
      <c r="C108" s="110" t="str">
        <f t="shared" si="76"/>
        <v>LE</v>
      </c>
      <c r="D108" s="110" t="str">
        <f t="shared" si="77"/>
        <v>LGMLE571</v>
      </c>
      <c r="E108" s="111">
        <f t="shared" si="47"/>
        <v>156</v>
      </c>
      <c r="F108" s="112">
        <v>0</v>
      </c>
      <c r="G108" s="111">
        <f t="shared" si="48"/>
        <v>0</v>
      </c>
      <c r="H108" s="111">
        <f t="shared" si="49"/>
        <v>0</v>
      </c>
      <c r="I108" s="111">
        <f t="shared" si="50"/>
        <v>0</v>
      </c>
      <c r="J108" s="111">
        <f t="shared" si="51"/>
        <v>246820</v>
      </c>
      <c r="K108" s="113">
        <f t="shared" si="52"/>
        <v>0</v>
      </c>
      <c r="L108" s="113">
        <f t="shared" si="53"/>
        <v>0</v>
      </c>
      <c r="M108" s="113">
        <f t="shared" si="54"/>
        <v>0</v>
      </c>
      <c r="N108" s="116">
        <f t="shared" si="55"/>
        <v>0</v>
      </c>
      <c r="O108" s="117">
        <f t="shared" si="88"/>
        <v>6.4610000000000001E-2</v>
      </c>
      <c r="P108" s="117">
        <f t="shared" si="56"/>
        <v>0</v>
      </c>
      <c r="Q108" s="117">
        <f t="shared" si="57"/>
        <v>0</v>
      </c>
      <c r="R108" s="117">
        <f t="shared" si="58"/>
        <v>2.725E-2</v>
      </c>
      <c r="S108" s="116">
        <f t="shared" si="59"/>
        <v>0</v>
      </c>
      <c r="T108" s="116">
        <f t="shared" si="60"/>
        <v>0</v>
      </c>
      <c r="U108" s="116">
        <f t="shared" si="61"/>
        <v>0</v>
      </c>
      <c r="V108" s="118">
        <f t="shared" si="62"/>
        <v>0</v>
      </c>
      <c r="W108" s="118">
        <f t="shared" si="78"/>
        <v>15947.04</v>
      </c>
      <c r="X108" s="118">
        <f t="shared" si="79"/>
        <v>0</v>
      </c>
      <c r="Y108" s="118">
        <f t="shared" si="80"/>
        <v>0</v>
      </c>
      <c r="Z108" s="118">
        <f t="shared" si="81"/>
        <v>0</v>
      </c>
      <c r="AA108" s="119">
        <v>0</v>
      </c>
      <c r="AB108" s="120">
        <f t="shared" si="63"/>
        <v>0</v>
      </c>
      <c r="AC108" s="118">
        <f t="shared" si="64"/>
        <v>0</v>
      </c>
      <c r="AD108" s="118">
        <f t="shared" si="82"/>
        <v>15947.04</v>
      </c>
      <c r="AE108" s="118">
        <f t="shared" si="65"/>
        <v>0</v>
      </c>
      <c r="AF108" s="121">
        <f t="shared" si="83"/>
        <v>0</v>
      </c>
      <c r="AG108" s="122">
        <f t="shared" si="66"/>
        <v>0</v>
      </c>
      <c r="AH108" s="122">
        <f t="shared" si="67"/>
        <v>0</v>
      </c>
      <c r="AI108" s="122">
        <f t="shared" si="68"/>
        <v>0</v>
      </c>
      <c r="AJ108" s="122">
        <f t="shared" si="69"/>
        <v>0</v>
      </c>
      <c r="AK108" s="122">
        <f t="shared" si="70"/>
        <v>0</v>
      </c>
      <c r="AL108" s="122">
        <f t="shared" si="71"/>
        <v>0</v>
      </c>
      <c r="AM108" s="123">
        <f t="shared" si="72"/>
        <v>15947.04</v>
      </c>
      <c r="AN108" s="123">
        <f t="shared" ref="AN108:AN171" si="89">AL108-AM108</f>
        <v>-15947.04</v>
      </c>
      <c r="AO108" s="124">
        <f t="shared" si="74"/>
        <v>6725.85</v>
      </c>
      <c r="AP108" s="125">
        <f t="shared" si="84"/>
        <v>9221.19</v>
      </c>
      <c r="AU108" s="109">
        <f>IF(BA108=1,IF(AU107=MiscData!$F$1,EOMONTH(AU107,-11),EOMONTH(AU107,1)),AU107)</f>
        <v>42460</v>
      </c>
      <c r="AV108" s="108" t="str">
        <f t="shared" si="85"/>
        <v>20140101LGMLE571</v>
      </c>
      <c r="AW108" s="126" t="str">
        <f t="shared" si="86"/>
        <v>20140101LE</v>
      </c>
      <c r="AX108">
        <f>MiscData!$X$5</f>
        <v>20140101</v>
      </c>
      <c r="BA108" s="98">
        <f>IF(BA107+1&gt;MiscData!$Z$42,1,BA107+1)</f>
        <v>29</v>
      </c>
      <c r="BB108" s="98" t="str">
        <f>VLOOKUP(BA108,MiscData!$Z$5:$AB$46,2,FALSE)</f>
        <v>LGMLE571</v>
      </c>
      <c r="BC108" s="98" t="str">
        <f>VLOOKUP(BA108,MiscData!$Z$5:$AB$46,3,FALSE)</f>
        <v>LE</v>
      </c>
    </row>
    <row r="109" spans="1:55">
      <c r="A109" s="108">
        <v>100</v>
      </c>
      <c r="B109" s="109" t="str">
        <f t="shared" si="75"/>
        <v>Mar 2016</v>
      </c>
      <c r="C109" s="110" t="str">
        <f t="shared" si="76"/>
        <v>LE</v>
      </c>
      <c r="D109" s="110" t="str">
        <f t="shared" si="77"/>
        <v>LGMLE572</v>
      </c>
      <c r="E109" s="111">
        <f t="shared" si="47"/>
        <v>0</v>
      </c>
      <c r="F109" s="112">
        <v>0</v>
      </c>
      <c r="G109" s="111">
        <f t="shared" si="48"/>
        <v>0</v>
      </c>
      <c r="H109" s="111">
        <f t="shared" si="49"/>
        <v>0</v>
      </c>
      <c r="I109" s="111">
        <f t="shared" si="50"/>
        <v>0</v>
      </c>
      <c r="J109" s="111">
        <f t="shared" si="51"/>
        <v>0</v>
      </c>
      <c r="K109" s="113">
        <f t="shared" si="52"/>
        <v>0</v>
      </c>
      <c r="L109" s="113">
        <f t="shared" si="53"/>
        <v>0</v>
      </c>
      <c r="M109" s="113">
        <f t="shared" si="54"/>
        <v>0</v>
      </c>
      <c r="N109" s="116">
        <f t="shared" si="55"/>
        <v>0</v>
      </c>
      <c r="O109" s="117">
        <f t="shared" si="88"/>
        <v>6.4610000000000001E-2</v>
      </c>
      <c r="P109" s="117">
        <f t="shared" si="56"/>
        <v>0</v>
      </c>
      <c r="Q109" s="117">
        <f t="shared" si="57"/>
        <v>0</v>
      </c>
      <c r="R109" s="117">
        <f t="shared" si="58"/>
        <v>2.725E-2</v>
      </c>
      <c r="S109" s="116">
        <f t="shared" si="59"/>
        <v>0</v>
      </c>
      <c r="T109" s="116">
        <f t="shared" si="60"/>
        <v>0</v>
      </c>
      <c r="U109" s="116">
        <f t="shared" si="61"/>
        <v>0</v>
      </c>
      <c r="V109" s="118">
        <f t="shared" si="62"/>
        <v>0</v>
      </c>
      <c r="W109" s="118">
        <f t="shared" si="78"/>
        <v>0</v>
      </c>
      <c r="X109" s="118">
        <f t="shared" si="79"/>
        <v>0</v>
      </c>
      <c r="Y109" s="118">
        <f t="shared" si="80"/>
        <v>0</v>
      </c>
      <c r="Z109" s="118">
        <f t="shared" si="81"/>
        <v>0</v>
      </c>
      <c r="AA109" s="119">
        <v>0</v>
      </c>
      <c r="AB109" s="120">
        <f t="shared" si="63"/>
        <v>0</v>
      </c>
      <c r="AC109" s="118">
        <f t="shared" si="64"/>
        <v>0</v>
      </c>
      <c r="AD109" s="118">
        <f t="shared" si="82"/>
        <v>0</v>
      </c>
      <c r="AE109" s="118">
        <f t="shared" si="65"/>
        <v>0</v>
      </c>
      <c r="AF109" s="121">
        <f t="shared" si="83"/>
        <v>1</v>
      </c>
      <c r="AG109" s="122">
        <f t="shared" si="66"/>
        <v>0</v>
      </c>
      <c r="AH109" s="122">
        <f t="shared" si="67"/>
        <v>0</v>
      </c>
      <c r="AI109" s="122">
        <f t="shared" si="68"/>
        <v>0</v>
      </c>
      <c r="AJ109" s="122">
        <f t="shared" si="69"/>
        <v>0</v>
      </c>
      <c r="AK109" s="122">
        <f t="shared" si="70"/>
        <v>0</v>
      </c>
      <c r="AL109" s="122">
        <f t="shared" si="71"/>
        <v>0</v>
      </c>
      <c r="AM109" s="123">
        <f t="shared" si="72"/>
        <v>0</v>
      </c>
      <c r="AN109" s="123">
        <f t="shared" ref="AN109:AN115" si="90">ROUND(AL109-AM109,2)</f>
        <v>0</v>
      </c>
      <c r="AO109" s="124">
        <f t="shared" si="74"/>
        <v>0</v>
      </c>
      <c r="AP109" s="125">
        <f t="shared" si="84"/>
        <v>0</v>
      </c>
      <c r="AU109" s="109">
        <f>IF(BA109=1,IF(AU108=MiscData!$F$1,EOMONTH(AU108,-11),EOMONTH(AU108,1)),AU108)</f>
        <v>42460</v>
      </c>
      <c r="AV109" s="108" t="str">
        <f t="shared" si="85"/>
        <v>20140101LGMLE572</v>
      </c>
      <c r="AW109" s="126" t="str">
        <f t="shared" si="86"/>
        <v>20140101LE</v>
      </c>
      <c r="AX109">
        <f>MiscData!$X$5</f>
        <v>20140101</v>
      </c>
      <c r="BA109" s="98">
        <f>IF(BA108+1&gt;MiscData!$Z$42,1,BA108+1)</f>
        <v>30</v>
      </c>
      <c r="BB109" s="98" t="str">
        <f>VLOOKUP(BA109,MiscData!$Z$5:$AB$46,2,FALSE)</f>
        <v>LGMLE572</v>
      </c>
      <c r="BC109" s="98" t="str">
        <f>VLOOKUP(BA109,MiscData!$Z$5:$AB$46,3,FALSE)</f>
        <v>LE</v>
      </c>
    </row>
    <row r="110" spans="1:55">
      <c r="A110" s="108">
        <v>101</v>
      </c>
      <c r="B110" s="109" t="str">
        <f t="shared" si="75"/>
        <v>Mar 2016</v>
      </c>
      <c r="C110" s="110" t="str">
        <f t="shared" si="76"/>
        <v>TE</v>
      </c>
      <c r="D110" s="110" t="str">
        <f t="shared" si="77"/>
        <v>LGMLE573</v>
      </c>
      <c r="E110" s="111">
        <f t="shared" si="47"/>
        <v>905</v>
      </c>
      <c r="F110" s="112">
        <v>0</v>
      </c>
      <c r="G110" s="111">
        <f t="shared" si="48"/>
        <v>0</v>
      </c>
      <c r="H110" s="111">
        <f t="shared" si="49"/>
        <v>0</v>
      </c>
      <c r="I110" s="111">
        <f t="shared" si="50"/>
        <v>0</v>
      </c>
      <c r="J110" s="111">
        <f t="shared" si="51"/>
        <v>237752</v>
      </c>
      <c r="K110" s="113">
        <f t="shared" si="52"/>
        <v>0</v>
      </c>
      <c r="L110" s="113">
        <f t="shared" si="53"/>
        <v>0</v>
      </c>
      <c r="M110" s="113">
        <f t="shared" si="54"/>
        <v>0</v>
      </c>
      <c r="N110" s="116">
        <f t="shared" si="55"/>
        <v>3.25</v>
      </c>
      <c r="O110" s="117">
        <f t="shared" si="88"/>
        <v>7.6579999999999995E-2</v>
      </c>
      <c r="P110" s="117">
        <f t="shared" si="56"/>
        <v>0</v>
      </c>
      <c r="Q110" s="117">
        <f t="shared" si="57"/>
        <v>0</v>
      </c>
      <c r="R110" s="117">
        <f t="shared" si="58"/>
        <v>2.725E-2</v>
      </c>
      <c r="S110" s="116">
        <f t="shared" si="59"/>
        <v>0</v>
      </c>
      <c r="T110" s="116">
        <f t="shared" si="60"/>
        <v>0</v>
      </c>
      <c r="U110" s="116">
        <f t="shared" si="61"/>
        <v>0</v>
      </c>
      <c r="V110" s="118">
        <f t="shared" si="62"/>
        <v>2941.25</v>
      </c>
      <c r="W110" s="683">
        <f t="shared" si="78"/>
        <v>18207.05</v>
      </c>
      <c r="X110" s="118">
        <f t="shared" si="79"/>
        <v>0</v>
      </c>
      <c r="Y110" s="118">
        <f t="shared" si="80"/>
        <v>0</v>
      </c>
      <c r="Z110" s="118">
        <f t="shared" si="81"/>
        <v>0</v>
      </c>
      <c r="AA110" s="119">
        <v>0</v>
      </c>
      <c r="AB110" s="120">
        <f t="shared" si="63"/>
        <v>0</v>
      </c>
      <c r="AC110" s="118">
        <f t="shared" si="64"/>
        <v>0</v>
      </c>
      <c r="AD110" s="118">
        <f t="shared" si="82"/>
        <v>21148.3</v>
      </c>
      <c r="AE110" s="118">
        <f t="shared" si="65"/>
        <v>0</v>
      </c>
      <c r="AF110" s="121">
        <f t="shared" si="83"/>
        <v>0</v>
      </c>
      <c r="AG110" s="122">
        <f t="shared" si="66"/>
        <v>0</v>
      </c>
      <c r="AH110" s="122">
        <f t="shared" si="67"/>
        <v>0</v>
      </c>
      <c r="AI110" s="122">
        <f t="shared" si="68"/>
        <v>0</v>
      </c>
      <c r="AJ110" s="122">
        <f t="shared" si="69"/>
        <v>0</v>
      </c>
      <c r="AK110" s="122">
        <f t="shared" si="70"/>
        <v>0</v>
      </c>
      <c r="AL110" s="122">
        <f t="shared" si="71"/>
        <v>0</v>
      </c>
      <c r="AM110" s="123">
        <f t="shared" si="72"/>
        <v>21148.3</v>
      </c>
      <c r="AN110" s="123">
        <f t="shared" si="90"/>
        <v>-21148.3</v>
      </c>
      <c r="AO110" s="124">
        <f t="shared" si="74"/>
        <v>6478.74</v>
      </c>
      <c r="AP110" s="125">
        <f t="shared" si="84"/>
        <v>11728.31</v>
      </c>
      <c r="AU110" s="109">
        <f>IF(BA110=1,IF(AU109=MiscData!$F$1,EOMONTH(AU109,-11),EOMONTH(AU109,1)),AU109)</f>
        <v>42460</v>
      </c>
      <c r="AV110" s="108" t="str">
        <f t="shared" si="85"/>
        <v>20140101LGMLE573</v>
      </c>
      <c r="AW110" s="126" t="str">
        <f t="shared" si="86"/>
        <v>20140101TE</v>
      </c>
      <c r="AX110">
        <f>MiscData!$X$5</f>
        <v>20140101</v>
      </c>
      <c r="BA110" s="98">
        <f>IF(BA109+1&gt;MiscData!$Z$42,1,BA109+1)</f>
        <v>31</v>
      </c>
      <c r="BB110" s="98" t="str">
        <f>VLOOKUP(BA110,MiscData!$Z$5:$AB$46,2,FALSE)</f>
        <v>LGMLE573</v>
      </c>
      <c r="BC110" s="98" t="str">
        <f>VLOOKUP(BA110,MiscData!$Z$5:$AB$46,3,FALSE)</f>
        <v>TE</v>
      </c>
    </row>
    <row r="111" spans="1:55">
      <c r="A111" s="108">
        <v>102</v>
      </c>
      <c r="B111" s="109" t="str">
        <f t="shared" si="75"/>
        <v>Mar 2016</v>
      </c>
      <c r="C111" s="110" t="str">
        <f t="shared" si="76"/>
        <v>TE</v>
      </c>
      <c r="D111" s="110" t="str">
        <f t="shared" si="77"/>
        <v>LGMLE574</v>
      </c>
      <c r="E111" s="111">
        <f t="shared" si="47"/>
        <v>0</v>
      </c>
      <c r="F111" s="112">
        <v>0</v>
      </c>
      <c r="G111" s="111">
        <f t="shared" si="48"/>
        <v>0</v>
      </c>
      <c r="H111" s="111">
        <f t="shared" si="49"/>
        <v>0</v>
      </c>
      <c r="I111" s="111">
        <f t="shared" si="50"/>
        <v>0</v>
      </c>
      <c r="J111" s="111">
        <f t="shared" si="51"/>
        <v>0</v>
      </c>
      <c r="K111" s="113">
        <f t="shared" si="52"/>
        <v>0</v>
      </c>
      <c r="L111" s="113">
        <f t="shared" si="53"/>
        <v>0</v>
      </c>
      <c r="M111" s="113">
        <f t="shared" si="54"/>
        <v>0</v>
      </c>
      <c r="N111" s="116">
        <f t="shared" si="55"/>
        <v>3.25</v>
      </c>
      <c r="O111" s="117">
        <f t="shared" si="88"/>
        <v>7.6579999999999995E-2</v>
      </c>
      <c r="P111" s="117">
        <f t="shared" si="56"/>
        <v>0</v>
      </c>
      <c r="Q111" s="117">
        <f t="shared" si="57"/>
        <v>0</v>
      </c>
      <c r="R111" s="117">
        <f t="shared" si="58"/>
        <v>2.725E-2</v>
      </c>
      <c r="S111" s="116">
        <f t="shared" si="59"/>
        <v>0</v>
      </c>
      <c r="T111" s="116">
        <f t="shared" si="60"/>
        <v>0</v>
      </c>
      <c r="U111" s="116">
        <f t="shared" si="61"/>
        <v>0</v>
      </c>
      <c r="V111" s="118">
        <f t="shared" si="62"/>
        <v>0</v>
      </c>
      <c r="W111" s="683">
        <f t="shared" si="78"/>
        <v>0</v>
      </c>
      <c r="X111" s="118">
        <f t="shared" si="79"/>
        <v>0</v>
      </c>
      <c r="Y111" s="118">
        <f t="shared" si="80"/>
        <v>0</v>
      </c>
      <c r="Z111" s="118">
        <f t="shared" si="81"/>
        <v>0</v>
      </c>
      <c r="AA111" s="119">
        <v>0</v>
      </c>
      <c r="AB111" s="120">
        <f t="shared" si="63"/>
        <v>0</v>
      </c>
      <c r="AC111" s="118">
        <f t="shared" si="64"/>
        <v>0</v>
      </c>
      <c r="AD111" s="118">
        <f t="shared" si="82"/>
        <v>0</v>
      </c>
      <c r="AE111" s="118">
        <f t="shared" si="65"/>
        <v>0</v>
      </c>
      <c r="AF111" s="121">
        <f t="shared" si="83"/>
        <v>1</v>
      </c>
      <c r="AG111" s="122">
        <f t="shared" si="66"/>
        <v>0</v>
      </c>
      <c r="AH111" s="122">
        <f t="shared" si="67"/>
        <v>0</v>
      </c>
      <c r="AI111" s="122">
        <f t="shared" si="68"/>
        <v>0</v>
      </c>
      <c r="AJ111" s="122">
        <f t="shared" si="69"/>
        <v>0</v>
      </c>
      <c r="AK111" s="122">
        <f t="shared" si="70"/>
        <v>0</v>
      </c>
      <c r="AL111" s="122">
        <f t="shared" si="71"/>
        <v>0</v>
      </c>
      <c r="AM111" s="123">
        <f t="shared" si="72"/>
        <v>0</v>
      </c>
      <c r="AN111" s="123">
        <f t="shared" si="90"/>
        <v>0</v>
      </c>
      <c r="AO111" s="124">
        <f t="shared" si="74"/>
        <v>0</v>
      </c>
      <c r="AP111" s="125">
        <f t="shared" si="84"/>
        <v>0</v>
      </c>
      <c r="AU111" s="109">
        <f>IF(BA111=1,IF(AU110=MiscData!$F$1,EOMONTH(AU110,-11),EOMONTH(AU110,1)),AU110)</f>
        <v>42460</v>
      </c>
      <c r="AV111" s="108" t="str">
        <f t="shared" si="85"/>
        <v>20140101LGMLE574</v>
      </c>
      <c r="AW111" s="126" t="str">
        <f t="shared" si="86"/>
        <v>20140101TE</v>
      </c>
      <c r="AX111">
        <f>MiscData!$X$5</f>
        <v>20140101</v>
      </c>
      <c r="BA111" s="98">
        <f>IF(BA110+1&gt;MiscData!$Z$42,1,BA110+1)</f>
        <v>32</v>
      </c>
      <c r="BB111" s="98" t="str">
        <f>VLOOKUP(BA111,MiscData!$Z$5:$AB$46,2,FALSE)</f>
        <v>LGMLE574</v>
      </c>
      <c r="BC111" s="98" t="str">
        <f>VLOOKUP(BA111,MiscData!$Z$5:$AB$46,3,FALSE)</f>
        <v>TE</v>
      </c>
    </row>
    <row r="112" spans="1:55">
      <c r="A112" s="108">
        <v>103</v>
      </c>
      <c r="B112" s="109" t="str">
        <f t="shared" si="75"/>
        <v>Mar 2016</v>
      </c>
      <c r="C112" s="110" t="str">
        <f t="shared" si="76"/>
        <v>RS</v>
      </c>
      <c r="D112" s="110" t="str">
        <f t="shared" si="77"/>
        <v>LGRSE411</v>
      </c>
      <c r="E112" s="111">
        <f t="shared" si="47"/>
        <v>0</v>
      </c>
      <c r="F112" s="112">
        <v>0</v>
      </c>
      <c r="G112" s="111">
        <f t="shared" si="48"/>
        <v>0</v>
      </c>
      <c r="H112" s="111">
        <f t="shared" si="49"/>
        <v>0</v>
      </c>
      <c r="I112" s="111">
        <f t="shared" si="50"/>
        <v>0</v>
      </c>
      <c r="J112" s="111">
        <f t="shared" si="51"/>
        <v>0</v>
      </c>
      <c r="K112" s="113">
        <f t="shared" si="52"/>
        <v>0</v>
      </c>
      <c r="L112" s="113">
        <f t="shared" si="53"/>
        <v>0</v>
      </c>
      <c r="M112" s="113">
        <f t="shared" si="54"/>
        <v>0</v>
      </c>
      <c r="N112" s="116">
        <f t="shared" si="55"/>
        <v>0</v>
      </c>
      <c r="O112" s="117">
        <f t="shared" si="88"/>
        <v>8.0760000000000012E-2</v>
      </c>
      <c r="P112" s="117">
        <f t="shared" si="56"/>
        <v>0</v>
      </c>
      <c r="Q112" s="117">
        <f t="shared" si="57"/>
        <v>0</v>
      </c>
      <c r="R112" s="117">
        <f t="shared" si="58"/>
        <v>2.725E-2</v>
      </c>
      <c r="S112" s="116">
        <f t="shared" si="59"/>
        <v>0</v>
      </c>
      <c r="T112" s="116">
        <f t="shared" si="60"/>
        <v>0</v>
      </c>
      <c r="U112" s="116">
        <f t="shared" si="61"/>
        <v>0</v>
      </c>
      <c r="V112" s="118">
        <f t="shared" si="62"/>
        <v>0</v>
      </c>
      <c r="W112" s="118">
        <f t="shared" si="78"/>
        <v>0</v>
      </c>
      <c r="X112" s="118">
        <f t="shared" si="79"/>
        <v>0</v>
      </c>
      <c r="Y112" s="118">
        <f t="shared" si="80"/>
        <v>0</v>
      </c>
      <c r="Z112" s="118">
        <f t="shared" si="81"/>
        <v>0</v>
      </c>
      <c r="AA112" s="119">
        <v>0</v>
      </c>
      <c r="AB112" s="120">
        <f t="shared" si="63"/>
        <v>0</v>
      </c>
      <c r="AC112" s="118">
        <f t="shared" si="64"/>
        <v>0</v>
      </c>
      <c r="AD112" s="118">
        <f t="shared" si="82"/>
        <v>0</v>
      </c>
      <c r="AE112" s="118">
        <f t="shared" si="65"/>
        <v>0</v>
      </c>
      <c r="AF112" s="121">
        <f t="shared" si="83"/>
        <v>1</v>
      </c>
      <c r="AG112" s="122">
        <f t="shared" si="66"/>
        <v>0</v>
      </c>
      <c r="AH112" s="122">
        <f t="shared" si="67"/>
        <v>0</v>
      </c>
      <c r="AI112" s="122">
        <f t="shared" si="68"/>
        <v>0</v>
      </c>
      <c r="AJ112" s="122">
        <f t="shared" si="69"/>
        <v>0</v>
      </c>
      <c r="AK112" s="122">
        <f t="shared" si="70"/>
        <v>0</v>
      </c>
      <c r="AL112" s="122">
        <f t="shared" si="71"/>
        <v>0</v>
      </c>
      <c r="AM112" s="123">
        <f t="shared" si="72"/>
        <v>0</v>
      </c>
      <c r="AN112" s="123">
        <f t="shared" si="90"/>
        <v>0</v>
      </c>
      <c r="AO112" s="124">
        <f t="shared" si="74"/>
        <v>0</v>
      </c>
      <c r="AP112" s="125">
        <f t="shared" si="84"/>
        <v>0</v>
      </c>
      <c r="AU112" s="109">
        <f>IF(BA112=1,IF(AU111=MiscData!$F$1,EOMONTH(AU111,-11),EOMONTH(AU111,1)),AU111)</f>
        <v>42460</v>
      </c>
      <c r="AV112" s="108" t="str">
        <f t="shared" si="85"/>
        <v>20140101LGRSE411</v>
      </c>
      <c r="AW112" s="126" t="str">
        <f t="shared" si="86"/>
        <v>20140101RS</v>
      </c>
      <c r="AX112">
        <f>MiscData!$X$5</f>
        <v>20140101</v>
      </c>
      <c r="BA112" s="98">
        <f>IF(BA111+1&gt;MiscData!$Z$42,1,BA111+1)</f>
        <v>33</v>
      </c>
      <c r="BB112" s="98" t="str">
        <f>VLOOKUP(BA112,MiscData!$Z$5:$AB$46,2,FALSE)</f>
        <v>LGRSE411</v>
      </c>
      <c r="BC112" s="98" t="str">
        <f>VLOOKUP(BA112,MiscData!$Z$5:$AB$46,3,FALSE)</f>
        <v>RS</v>
      </c>
    </row>
    <row r="113" spans="1:55">
      <c r="A113" s="108">
        <v>104</v>
      </c>
      <c r="B113" s="109" t="str">
        <f t="shared" si="75"/>
        <v>Mar 2016</v>
      </c>
      <c r="C113" s="110" t="str">
        <f t="shared" si="76"/>
        <v>RS</v>
      </c>
      <c r="D113" s="110" t="str">
        <f t="shared" si="77"/>
        <v>LGRSE511</v>
      </c>
      <c r="E113" s="111">
        <f t="shared" si="47"/>
        <v>362009</v>
      </c>
      <c r="F113" s="112">
        <v>0</v>
      </c>
      <c r="G113" s="111">
        <f t="shared" si="48"/>
        <v>0</v>
      </c>
      <c r="H113" s="111">
        <f t="shared" si="49"/>
        <v>0</v>
      </c>
      <c r="I113" s="111">
        <f t="shared" si="50"/>
        <v>0</v>
      </c>
      <c r="J113" s="111">
        <f t="shared" si="51"/>
        <v>309062779</v>
      </c>
      <c r="K113" s="113">
        <f t="shared" si="52"/>
        <v>0</v>
      </c>
      <c r="L113" s="113">
        <f t="shared" si="53"/>
        <v>0</v>
      </c>
      <c r="M113" s="113">
        <f t="shared" si="54"/>
        <v>0</v>
      </c>
      <c r="N113" s="116">
        <f t="shared" si="55"/>
        <v>10.75</v>
      </c>
      <c r="O113" s="117">
        <f t="shared" si="88"/>
        <v>8.0760000000000012E-2</v>
      </c>
      <c r="P113" s="117">
        <f t="shared" si="56"/>
        <v>0</v>
      </c>
      <c r="Q113" s="117">
        <f t="shared" si="57"/>
        <v>0</v>
      </c>
      <c r="R113" s="117">
        <f t="shared" si="58"/>
        <v>2.725E-2</v>
      </c>
      <c r="S113" s="116">
        <f t="shared" si="59"/>
        <v>0</v>
      </c>
      <c r="T113" s="116">
        <f t="shared" si="60"/>
        <v>0</v>
      </c>
      <c r="U113" s="116">
        <f t="shared" si="61"/>
        <v>0</v>
      </c>
      <c r="V113" s="118">
        <f t="shared" si="62"/>
        <v>3891596.75</v>
      </c>
      <c r="W113" s="118">
        <f t="shared" si="78"/>
        <v>24959910.030000001</v>
      </c>
      <c r="X113" s="118">
        <f t="shared" si="79"/>
        <v>0</v>
      </c>
      <c r="Y113" s="118">
        <f t="shared" si="80"/>
        <v>0</v>
      </c>
      <c r="Z113" s="118">
        <f t="shared" si="81"/>
        <v>0</v>
      </c>
      <c r="AA113" s="119">
        <v>0</v>
      </c>
      <c r="AB113" s="120">
        <f t="shared" si="63"/>
        <v>0</v>
      </c>
      <c r="AC113" s="118">
        <f t="shared" si="64"/>
        <v>0</v>
      </c>
      <c r="AD113" s="118">
        <f t="shared" si="82"/>
        <v>28851506.780000001</v>
      </c>
      <c r="AE113" s="118">
        <f t="shared" si="65"/>
        <v>28853575</v>
      </c>
      <c r="AF113" s="121">
        <f t="shared" si="83"/>
        <v>1.0000720000000001</v>
      </c>
      <c r="AG113" s="122">
        <f t="shared" si="66"/>
        <v>-435869</v>
      </c>
      <c r="AH113" s="122">
        <f t="shared" si="67"/>
        <v>521269</v>
      </c>
      <c r="AI113" s="122">
        <f t="shared" si="68"/>
        <v>3204868</v>
      </c>
      <c r="AJ113" s="122">
        <f t="shared" si="69"/>
        <v>0</v>
      </c>
      <c r="AK113" s="122">
        <f t="shared" si="70"/>
        <v>0</v>
      </c>
      <c r="AL113" s="122">
        <f t="shared" si="71"/>
        <v>32143843</v>
      </c>
      <c r="AM113" s="123">
        <f t="shared" si="72"/>
        <v>32141774.780000001</v>
      </c>
      <c r="AN113" s="123">
        <f t="shared" si="90"/>
        <v>2068.2199999999998</v>
      </c>
      <c r="AO113" s="124">
        <f t="shared" si="74"/>
        <v>8421960.7300000004</v>
      </c>
      <c r="AP113" s="125">
        <f t="shared" si="84"/>
        <v>16537949.300000001</v>
      </c>
      <c r="AU113" s="109">
        <f>IF(BA113=1,IF(AU112=MiscData!$F$1,EOMONTH(AU112,-11),EOMONTH(AU112,1)),AU112)</f>
        <v>42460</v>
      </c>
      <c r="AV113" s="108" t="str">
        <f t="shared" si="85"/>
        <v>20140101LGRSE511</v>
      </c>
      <c r="AW113" s="126" t="str">
        <f t="shared" si="86"/>
        <v>20140101RS</v>
      </c>
      <c r="AX113">
        <f>MiscData!$X$5</f>
        <v>20140101</v>
      </c>
      <c r="BA113" s="98">
        <f>IF(BA112+1&gt;MiscData!$Z$42,1,BA112+1)</f>
        <v>34</v>
      </c>
      <c r="BB113" s="98" t="str">
        <f>VLOOKUP(BA113,MiscData!$Z$5:$AB$46,2,FALSE)</f>
        <v>LGRSE511</v>
      </c>
      <c r="BC113" s="98" t="str">
        <f>VLOOKUP(BA113,MiscData!$Z$5:$AB$46,3,FALSE)</f>
        <v>RS</v>
      </c>
    </row>
    <row r="114" spans="1:55">
      <c r="A114" s="108">
        <v>105</v>
      </c>
      <c r="B114" s="109" t="str">
        <f t="shared" si="75"/>
        <v>Mar 2016</v>
      </c>
      <c r="C114" s="110" t="str">
        <f t="shared" si="76"/>
        <v>RS</v>
      </c>
      <c r="D114" s="110" t="str">
        <f t="shared" si="77"/>
        <v>LGRSE519</v>
      </c>
      <c r="E114" s="111">
        <f t="shared" si="47"/>
        <v>0</v>
      </c>
      <c r="F114" s="112">
        <v>0</v>
      </c>
      <c r="G114" s="111">
        <f t="shared" si="48"/>
        <v>0</v>
      </c>
      <c r="H114" s="111">
        <f t="shared" si="49"/>
        <v>0</v>
      </c>
      <c r="I114" s="111">
        <f t="shared" si="50"/>
        <v>0</v>
      </c>
      <c r="J114" s="111">
        <f t="shared" si="51"/>
        <v>0</v>
      </c>
      <c r="K114" s="113">
        <f t="shared" si="52"/>
        <v>0</v>
      </c>
      <c r="L114" s="113">
        <f t="shared" si="53"/>
        <v>0</v>
      </c>
      <c r="M114" s="113">
        <f t="shared" si="54"/>
        <v>0</v>
      </c>
      <c r="N114" s="116">
        <f t="shared" si="55"/>
        <v>10.75</v>
      </c>
      <c r="O114" s="117">
        <f t="shared" si="88"/>
        <v>8.0760000000000012E-2</v>
      </c>
      <c r="P114" s="117">
        <f t="shared" si="56"/>
        <v>0</v>
      </c>
      <c r="Q114" s="117">
        <f t="shared" si="57"/>
        <v>0</v>
      </c>
      <c r="R114" s="117">
        <f t="shared" si="58"/>
        <v>2.725E-2</v>
      </c>
      <c r="S114" s="116">
        <f t="shared" si="59"/>
        <v>0</v>
      </c>
      <c r="T114" s="116">
        <f t="shared" si="60"/>
        <v>0</v>
      </c>
      <c r="U114" s="116">
        <f t="shared" si="61"/>
        <v>0</v>
      </c>
      <c r="V114" s="118">
        <f t="shared" si="62"/>
        <v>0</v>
      </c>
      <c r="W114" s="118">
        <f t="shared" si="78"/>
        <v>0</v>
      </c>
      <c r="X114" s="118">
        <f t="shared" si="79"/>
        <v>0</v>
      </c>
      <c r="Y114" s="118">
        <f t="shared" si="80"/>
        <v>0</v>
      </c>
      <c r="Z114" s="118">
        <f t="shared" si="81"/>
        <v>0</v>
      </c>
      <c r="AA114" s="119">
        <v>0</v>
      </c>
      <c r="AB114" s="120">
        <f t="shared" si="63"/>
        <v>0</v>
      </c>
      <c r="AC114" s="118">
        <f t="shared" si="64"/>
        <v>0</v>
      </c>
      <c r="AD114" s="118">
        <f t="shared" si="82"/>
        <v>0</v>
      </c>
      <c r="AE114" s="118">
        <f t="shared" si="65"/>
        <v>0</v>
      </c>
      <c r="AF114" s="121">
        <f t="shared" si="83"/>
        <v>1</v>
      </c>
      <c r="AG114" s="122">
        <f t="shared" si="66"/>
        <v>0</v>
      </c>
      <c r="AH114" s="122">
        <f t="shared" si="67"/>
        <v>0</v>
      </c>
      <c r="AI114" s="122">
        <f t="shared" si="68"/>
        <v>0</v>
      </c>
      <c r="AJ114" s="122">
        <f t="shared" si="69"/>
        <v>0</v>
      </c>
      <c r="AK114" s="122">
        <f t="shared" si="70"/>
        <v>0</v>
      </c>
      <c r="AL114" s="122">
        <f t="shared" si="71"/>
        <v>0</v>
      </c>
      <c r="AM114" s="123">
        <f t="shared" si="72"/>
        <v>0</v>
      </c>
      <c r="AN114" s="123">
        <f t="shared" si="90"/>
        <v>0</v>
      </c>
      <c r="AO114" s="124">
        <f t="shared" si="74"/>
        <v>0</v>
      </c>
      <c r="AP114" s="125">
        <f t="shared" si="84"/>
        <v>0</v>
      </c>
      <c r="AU114" s="109">
        <f>IF(BA114=1,IF(AU113=MiscData!$F$1,EOMONTH(AU113,-11),EOMONTH(AU113,1)),AU113)</f>
        <v>42460</v>
      </c>
      <c r="AV114" s="108" t="str">
        <f t="shared" si="85"/>
        <v>20140101LGRSE519</v>
      </c>
      <c r="AW114" s="126" t="str">
        <f t="shared" si="86"/>
        <v>20140101RS</v>
      </c>
      <c r="AX114">
        <f>MiscData!$X$5</f>
        <v>20140101</v>
      </c>
      <c r="BA114" s="98">
        <f>IF(BA113+1&gt;MiscData!$Z$42,1,BA113+1)</f>
        <v>35</v>
      </c>
      <c r="BB114" s="98" t="str">
        <f>VLOOKUP(BA114,MiscData!$Z$5:$AB$46,2,FALSE)</f>
        <v>LGRSE519</v>
      </c>
      <c r="BC114" s="98" t="str">
        <f>VLOOKUP(BA114,MiscData!$Z$5:$AB$46,3,FALSE)</f>
        <v>RS</v>
      </c>
    </row>
    <row r="115" spans="1:55">
      <c r="A115" s="108">
        <v>106</v>
      </c>
      <c r="B115" s="109" t="str">
        <f t="shared" si="75"/>
        <v>Mar 2016</v>
      </c>
      <c r="C115" s="110" t="s">
        <v>13</v>
      </c>
      <c r="D115" s="110" t="str">
        <f t="shared" si="77"/>
        <v>LGRSE540</v>
      </c>
      <c r="E115" s="111">
        <f t="shared" si="47"/>
        <v>0</v>
      </c>
      <c r="F115" s="112">
        <v>0</v>
      </c>
      <c r="G115" s="111">
        <f t="shared" si="48"/>
        <v>0</v>
      </c>
      <c r="H115" s="111">
        <f t="shared" si="49"/>
        <v>0</v>
      </c>
      <c r="I115" s="111">
        <f t="shared" si="50"/>
        <v>0</v>
      </c>
      <c r="J115" s="111">
        <f t="shared" si="51"/>
        <v>0</v>
      </c>
      <c r="K115" s="113">
        <f t="shared" si="52"/>
        <v>0</v>
      </c>
      <c r="L115" s="113">
        <f t="shared" si="53"/>
        <v>0</v>
      </c>
      <c r="M115" s="113">
        <f t="shared" si="54"/>
        <v>0</v>
      </c>
      <c r="N115" s="116">
        <f t="shared" si="55"/>
        <v>10.75</v>
      </c>
      <c r="O115" s="117">
        <f t="shared" si="88"/>
        <v>8.0760000000000012E-2</v>
      </c>
      <c r="P115" s="117">
        <f t="shared" si="56"/>
        <v>0</v>
      </c>
      <c r="Q115" s="117">
        <f t="shared" si="57"/>
        <v>0</v>
      </c>
      <c r="R115" s="117">
        <f t="shared" si="58"/>
        <v>2.725E-2</v>
      </c>
      <c r="S115" s="116">
        <f t="shared" si="59"/>
        <v>0</v>
      </c>
      <c r="T115" s="116">
        <f t="shared" si="60"/>
        <v>0</v>
      </c>
      <c r="U115" s="116">
        <f t="shared" si="61"/>
        <v>0</v>
      </c>
      <c r="V115" s="118">
        <f t="shared" si="62"/>
        <v>0</v>
      </c>
      <c r="W115" s="118">
        <f t="shared" si="78"/>
        <v>0</v>
      </c>
      <c r="X115" s="118">
        <f t="shared" si="79"/>
        <v>0</v>
      </c>
      <c r="Y115" s="118">
        <f t="shared" si="80"/>
        <v>0</v>
      </c>
      <c r="Z115" s="118">
        <f t="shared" si="81"/>
        <v>0</v>
      </c>
      <c r="AA115" s="119">
        <v>0</v>
      </c>
      <c r="AB115" s="120">
        <f t="shared" si="63"/>
        <v>0</v>
      </c>
      <c r="AC115" s="118">
        <f t="shared" si="64"/>
        <v>0</v>
      </c>
      <c r="AD115" s="118">
        <f t="shared" si="82"/>
        <v>0</v>
      </c>
      <c r="AE115" s="118">
        <f t="shared" si="65"/>
        <v>0</v>
      </c>
      <c r="AF115" s="121">
        <f t="shared" si="83"/>
        <v>1</v>
      </c>
      <c r="AG115" s="122">
        <f t="shared" si="66"/>
        <v>0</v>
      </c>
      <c r="AH115" s="122">
        <f t="shared" si="67"/>
        <v>0</v>
      </c>
      <c r="AI115" s="122">
        <f t="shared" si="68"/>
        <v>0</v>
      </c>
      <c r="AJ115" s="122">
        <f t="shared" si="69"/>
        <v>0</v>
      </c>
      <c r="AK115" s="122">
        <f t="shared" si="70"/>
        <v>0</v>
      </c>
      <c r="AL115" s="122">
        <f t="shared" si="71"/>
        <v>0</v>
      </c>
      <c r="AM115" s="123">
        <f t="shared" si="72"/>
        <v>0</v>
      </c>
      <c r="AN115" s="123">
        <f t="shared" si="90"/>
        <v>0</v>
      </c>
      <c r="AO115" s="124">
        <f t="shared" si="74"/>
        <v>0</v>
      </c>
      <c r="AP115" s="125">
        <f t="shared" si="84"/>
        <v>0</v>
      </c>
      <c r="AU115" s="109">
        <f>IF(BA115=1,IF(AU114=MiscData!$F$1,EOMONTH(AU114,-11),EOMONTH(AU114,1)),AU114)</f>
        <v>42460</v>
      </c>
      <c r="AV115" s="108" t="str">
        <f t="shared" si="85"/>
        <v>20140101LGRSE540</v>
      </c>
      <c r="AW115" s="126" t="str">
        <f t="shared" si="86"/>
        <v>20140101VFD</v>
      </c>
      <c r="AX115">
        <f>MiscData!$X$5</f>
        <v>20140101</v>
      </c>
      <c r="BA115" s="98">
        <f>IF(BA114+1&gt;MiscData!$Z$42,1,BA114+1)</f>
        <v>36</v>
      </c>
      <c r="BB115" s="98" t="str">
        <f>VLOOKUP(BA115,MiscData!$Z$5:$AB$46,2,FALSE)</f>
        <v>LGRSE540</v>
      </c>
      <c r="BC115" s="98" t="str">
        <f>VLOOKUP(BA115,MiscData!$Z$5:$AB$46,3,FALSE)</f>
        <v>VFD</v>
      </c>
    </row>
    <row r="116" spans="1:55">
      <c r="A116" s="108">
        <v>107</v>
      </c>
      <c r="B116" s="109" t="str">
        <f t="shared" si="75"/>
        <v>Mar 2016</v>
      </c>
      <c r="C116" s="110" t="str">
        <f t="shared" si="76"/>
        <v>LEV</v>
      </c>
      <c r="D116" s="110" t="str">
        <f t="shared" si="77"/>
        <v>LGRSE543</v>
      </c>
      <c r="E116" s="111">
        <f t="shared" si="47"/>
        <v>20</v>
      </c>
      <c r="F116" s="112">
        <v>0</v>
      </c>
      <c r="G116" s="111">
        <f t="shared" si="48"/>
        <v>12824</v>
      </c>
      <c r="H116" s="111">
        <f t="shared" si="49"/>
        <v>6226</v>
      </c>
      <c r="I116" s="111">
        <f t="shared" si="50"/>
        <v>3888</v>
      </c>
      <c r="J116" s="111">
        <f t="shared" si="51"/>
        <v>22938</v>
      </c>
      <c r="K116" s="113">
        <f t="shared" si="52"/>
        <v>0</v>
      </c>
      <c r="L116" s="113">
        <f t="shared" si="53"/>
        <v>0</v>
      </c>
      <c r="M116" s="113">
        <f t="shared" si="54"/>
        <v>0</v>
      </c>
      <c r="N116" s="116">
        <f t="shared" si="55"/>
        <v>10.75</v>
      </c>
      <c r="O116" s="117">
        <f t="shared" si="88"/>
        <v>5.8200000000000002E-2</v>
      </c>
      <c r="P116" s="117">
        <f t="shared" si="56"/>
        <v>7.8990000000000005E-2</v>
      </c>
      <c r="Q116" s="117">
        <f t="shared" si="57"/>
        <v>0.14451000000000003</v>
      </c>
      <c r="R116" s="117">
        <f t="shared" si="58"/>
        <v>2.725E-2</v>
      </c>
      <c r="S116" s="116">
        <f t="shared" si="59"/>
        <v>0</v>
      </c>
      <c r="T116" s="116">
        <f t="shared" si="60"/>
        <v>0</v>
      </c>
      <c r="U116" s="116">
        <f t="shared" si="61"/>
        <v>0</v>
      </c>
      <c r="V116" s="118">
        <f t="shared" si="62"/>
        <v>215</v>
      </c>
      <c r="W116" s="118">
        <f t="shared" si="78"/>
        <v>1800</v>
      </c>
      <c r="X116" s="118">
        <f t="shared" si="79"/>
        <v>0</v>
      </c>
      <c r="Y116" s="118">
        <f t="shared" si="80"/>
        <v>0</v>
      </c>
      <c r="Z116" s="118">
        <f t="shared" si="81"/>
        <v>0</v>
      </c>
      <c r="AA116" s="119">
        <v>0</v>
      </c>
      <c r="AB116" s="120">
        <f t="shared" si="63"/>
        <v>0</v>
      </c>
      <c r="AC116" s="118">
        <f t="shared" si="64"/>
        <v>0</v>
      </c>
      <c r="AD116" s="118">
        <f t="shared" si="82"/>
        <v>2015</v>
      </c>
      <c r="AE116" s="118">
        <f t="shared" si="65"/>
        <v>0</v>
      </c>
      <c r="AF116" s="121">
        <f t="shared" si="83"/>
        <v>0</v>
      </c>
      <c r="AG116" s="122">
        <f t="shared" si="66"/>
        <v>0</v>
      </c>
      <c r="AH116" s="122">
        <f t="shared" si="67"/>
        <v>0</v>
      </c>
      <c r="AI116" s="122">
        <f t="shared" si="68"/>
        <v>0</v>
      </c>
      <c r="AJ116" s="122">
        <f t="shared" si="69"/>
        <v>0</v>
      </c>
      <c r="AK116" s="122">
        <f t="shared" si="70"/>
        <v>0</v>
      </c>
      <c r="AL116" s="122">
        <f t="shared" si="71"/>
        <v>0</v>
      </c>
      <c r="AM116" s="123">
        <f t="shared" si="72"/>
        <v>2015</v>
      </c>
      <c r="AN116" s="123">
        <f t="shared" si="89"/>
        <v>-2015</v>
      </c>
      <c r="AO116" s="124">
        <f t="shared" si="74"/>
        <v>625.05999999999995</v>
      </c>
      <c r="AP116" s="125">
        <f t="shared" si="84"/>
        <v>1174.94</v>
      </c>
      <c r="AU116" s="109">
        <f>IF(BA116=1,IF(AU115=MiscData!$F$1,EOMONTH(AU115,-11),EOMONTH(AU115,1)),AU115)</f>
        <v>42460</v>
      </c>
      <c r="AV116" s="108" t="str">
        <f t="shared" si="85"/>
        <v>20140101LGRSE543</v>
      </c>
      <c r="AW116" s="126" t="str">
        <f t="shared" si="86"/>
        <v>20140101LEV</v>
      </c>
      <c r="AX116">
        <f>MiscData!$X$5</f>
        <v>20140101</v>
      </c>
      <c r="BA116" s="98">
        <f>IF(BA115+1&gt;MiscData!$Z$42,1,BA115+1)</f>
        <v>37</v>
      </c>
      <c r="BB116" s="98" t="str">
        <f>VLOOKUP(BA116,MiscData!$Z$5:$AB$46,2,FALSE)</f>
        <v>LGRSE543</v>
      </c>
      <c r="BC116" s="98" t="str">
        <f>VLOOKUP(BA116,MiscData!$Z$5:$AB$46,3,FALSE)</f>
        <v>LEV</v>
      </c>
    </row>
    <row r="117" spans="1:55">
      <c r="A117" s="108">
        <v>108</v>
      </c>
      <c r="B117" s="109" t="str">
        <f t="shared" si="75"/>
        <v>Mar 2016</v>
      </c>
      <c r="C117" s="110" t="str">
        <f t="shared" si="76"/>
        <v>LEV</v>
      </c>
      <c r="D117" s="110" t="str">
        <f t="shared" si="77"/>
        <v>LGRSE547</v>
      </c>
      <c r="E117" s="111">
        <f t="shared" si="47"/>
        <v>0</v>
      </c>
      <c r="F117" s="112">
        <v>0</v>
      </c>
      <c r="G117" s="111">
        <f t="shared" si="48"/>
        <v>0</v>
      </c>
      <c r="H117" s="111">
        <f t="shared" si="49"/>
        <v>0</v>
      </c>
      <c r="I117" s="111">
        <f t="shared" si="50"/>
        <v>0</v>
      </c>
      <c r="J117" s="111">
        <f t="shared" si="51"/>
        <v>0</v>
      </c>
      <c r="K117" s="113">
        <f t="shared" si="52"/>
        <v>0</v>
      </c>
      <c r="L117" s="113">
        <f t="shared" si="53"/>
        <v>0</v>
      </c>
      <c r="M117" s="113">
        <f t="shared" si="54"/>
        <v>0</v>
      </c>
      <c r="N117" s="116">
        <f t="shared" si="55"/>
        <v>10.75</v>
      </c>
      <c r="O117" s="117">
        <f t="shared" si="88"/>
        <v>5.8200000000000002E-2</v>
      </c>
      <c r="P117" s="117">
        <f t="shared" si="56"/>
        <v>7.8990000000000005E-2</v>
      </c>
      <c r="Q117" s="117">
        <f t="shared" si="57"/>
        <v>0.14451000000000003</v>
      </c>
      <c r="R117" s="117">
        <f t="shared" si="58"/>
        <v>2.725E-2</v>
      </c>
      <c r="S117" s="116">
        <f t="shared" si="59"/>
        <v>0</v>
      </c>
      <c r="T117" s="116">
        <f t="shared" si="60"/>
        <v>0</v>
      </c>
      <c r="U117" s="116">
        <f t="shared" si="61"/>
        <v>0</v>
      </c>
      <c r="V117" s="118">
        <f t="shared" si="62"/>
        <v>0</v>
      </c>
      <c r="W117" s="118">
        <f t="shared" si="78"/>
        <v>0</v>
      </c>
      <c r="X117" s="118">
        <f t="shared" si="79"/>
        <v>0</v>
      </c>
      <c r="Y117" s="118">
        <f t="shared" si="80"/>
        <v>0</v>
      </c>
      <c r="Z117" s="118">
        <f t="shared" si="81"/>
        <v>0</v>
      </c>
      <c r="AA117" s="119">
        <v>0</v>
      </c>
      <c r="AB117" s="120">
        <f t="shared" si="63"/>
        <v>0</v>
      </c>
      <c r="AC117" s="118">
        <f t="shared" si="64"/>
        <v>0</v>
      </c>
      <c r="AD117" s="118">
        <f t="shared" si="82"/>
        <v>0</v>
      </c>
      <c r="AE117" s="118">
        <f t="shared" si="65"/>
        <v>0</v>
      </c>
      <c r="AF117" s="121">
        <f t="shared" si="83"/>
        <v>1</v>
      </c>
      <c r="AG117" s="122">
        <f t="shared" si="66"/>
        <v>0</v>
      </c>
      <c r="AH117" s="122">
        <f t="shared" si="67"/>
        <v>0</v>
      </c>
      <c r="AI117" s="122">
        <f t="shared" si="68"/>
        <v>0</v>
      </c>
      <c r="AJ117" s="122">
        <f t="shared" si="69"/>
        <v>0</v>
      </c>
      <c r="AK117" s="122">
        <f t="shared" si="70"/>
        <v>0</v>
      </c>
      <c r="AL117" s="122">
        <f t="shared" si="71"/>
        <v>0</v>
      </c>
      <c r="AM117" s="123">
        <f t="shared" si="72"/>
        <v>0</v>
      </c>
      <c r="AN117" s="123">
        <f t="shared" si="89"/>
        <v>0</v>
      </c>
      <c r="AO117" s="124">
        <f t="shared" si="74"/>
        <v>0</v>
      </c>
      <c r="AP117" s="125">
        <f t="shared" si="84"/>
        <v>0</v>
      </c>
      <c r="AU117" s="109">
        <f>IF(BA117=1,IF(AU116=MiscData!$F$1,EOMONTH(AU116,-11),EOMONTH(AU116,1)),AU116)</f>
        <v>42460</v>
      </c>
      <c r="AV117" s="108" t="str">
        <f t="shared" si="85"/>
        <v>20140101LGRSE547</v>
      </c>
      <c r="AW117" s="126" t="str">
        <f t="shared" si="86"/>
        <v>20140101LEV</v>
      </c>
      <c r="AX117">
        <f>MiscData!$X$5</f>
        <v>20140101</v>
      </c>
      <c r="BA117" s="98">
        <f>IF(BA116+1&gt;MiscData!$Z$42,1,BA116+1)</f>
        <v>38</v>
      </c>
      <c r="BB117" s="98" t="str">
        <f>VLOOKUP(BA117,MiscData!$Z$5:$AB$46,2,FALSE)</f>
        <v>LGRSE547</v>
      </c>
      <c r="BC117" s="98" t="str">
        <f>VLOOKUP(BA117,MiscData!$Z$5:$AB$46,3,FALSE)</f>
        <v>LEV</v>
      </c>
    </row>
    <row r="118" spans="1:55">
      <c r="A118" s="108">
        <v>109</v>
      </c>
      <c r="B118" s="109" t="str">
        <f t="shared" si="75"/>
        <v>Apr 2016</v>
      </c>
      <c r="C118" s="110" t="str">
        <f t="shared" si="76"/>
        <v>FLSP</v>
      </c>
      <c r="D118" s="110" t="str">
        <f t="shared" si="77"/>
        <v>LGINE682</v>
      </c>
      <c r="E118" s="111">
        <f t="shared" si="47"/>
        <v>0</v>
      </c>
      <c r="F118" s="112">
        <v>0</v>
      </c>
      <c r="G118" s="111">
        <f t="shared" si="48"/>
        <v>0</v>
      </c>
      <c r="H118" s="111">
        <f t="shared" si="49"/>
        <v>0</v>
      </c>
      <c r="I118" s="111">
        <f t="shared" si="50"/>
        <v>0</v>
      </c>
      <c r="J118" s="111">
        <f t="shared" si="51"/>
        <v>0</v>
      </c>
      <c r="K118" s="113">
        <f t="shared" si="52"/>
        <v>0</v>
      </c>
      <c r="L118" s="113">
        <f t="shared" si="53"/>
        <v>0</v>
      </c>
      <c r="M118" s="113">
        <f t="shared" si="54"/>
        <v>0</v>
      </c>
      <c r="N118" s="116">
        <f t="shared" si="55"/>
        <v>750</v>
      </c>
      <c r="O118" s="117">
        <f t="shared" si="88"/>
        <v>3.61E-2</v>
      </c>
      <c r="P118" s="117">
        <f t="shared" si="56"/>
        <v>0</v>
      </c>
      <c r="Q118" s="117">
        <f t="shared" si="57"/>
        <v>0</v>
      </c>
      <c r="R118" s="117">
        <f t="shared" si="58"/>
        <v>2.725E-2</v>
      </c>
      <c r="S118" s="116">
        <f t="shared" si="59"/>
        <v>1.8900000000000001</v>
      </c>
      <c r="T118" s="116">
        <f t="shared" si="60"/>
        <v>1.8900000000000001</v>
      </c>
      <c r="U118" s="116">
        <f t="shared" si="61"/>
        <v>2.94</v>
      </c>
      <c r="V118" s="118">
        <f t="shared" si="62"/>
        <v>0</v>
      </c>
      <c r="W118" s="118">
        <f t="shared" si="78"/>
        <v>0</v>
      </c>
      <c r="X118" s="118">
        <f t="shared" si="79"/>
        <v>0</v>
      </c>
      <c r="Y118" s="118">
        <f t="shared" si="80"/>
        <v>0</v>
      </c>
      <c r="Z118" s="118">
        <f t="shared" si="81"/>
        <v>0</v>
      </c>
      <c r="AA118" s="119">
        <v>0</v>
      </c>
      <c r="AB118" s="120">
        <f t="shared" si="63"/>
        <v>0</v>
      </c>
      <c r="AC118" s="118">
        <f t="shared" si="64"/>
        <v>0</v>
      </c>
      <c r="AD118" s="118">
        <f t="shared" si="82"/>
        <v>0</v>
      </c>
      <c r="AE118" s="118">
        <f t="shared" si="65"/>
        <v>0</v>
      </c>
      <c r="AF118" s="121">
        <f t="shared" si="83"/>
        <v>1</v>
      </c>
      <c r="AG118" s="122">
        <f t="shared" si="66"/>
        <v>0</v>
      </c>
      <c r="AH118" s="122">
        <f t="shared" si="67"/>
        <v>0</v>
      </c>
      <c r="AI118" s="122">
        <f t="shared" si="68"/>
        <v>0</v>
      </c>
      <c r="AJ118" s="122">
        <f t="shared" si="69"/>
        <v>0</v>
      </c>
      <c r="AK118" s="122">
        <f t="shared" si="70"/>
        <v>0</v>
      </c>
      <c r="AL118" s="122">
        <f t="shared" si="71"/>
        <v>0</v>
      </c>
      <c r="AM118" s="123">
        <f t="shared" si="72"/>
        <v>0</v>
      </c>
      <c r="AN118" s="123">
        <f t="shared" si="89"/>
        <v>0</v>
      </c>
      <c r="AO118" s="124">
        <f t="shared" si="74"/>
        <v>0</v>
      </c>
      <c r="AP118" s="125">
        <f t="shared" si="84"/>
        <v>0</v>
      </c>
      <c r="AU118" s="109">
        <f>IF(BA118=1,IF(AU117=MiscData!$F$1,EOMONTH(AU117,-11),EOMONTH(AU117,1)),AU117)</f>
        <v>42490</v>
      </c>
      <c r="AV118" s="108" t="str">
        <f t="shared" si="85"/>
        <v>20140101LGINE682</v>
      </c>
      <c r="AW118" s="126" t="str">
        <f t="shared" si="86"/>
        <v>20140101FLSP</v>
      </c>
      <c r="AX118">
        <f>MiscData!$X$5</f>
        <v>20140101</v>
      </c>
      <c r="BA118" s="98">
        <f>IF(BA117+1&gt;MiscData!$Z$42,1,BA117+1)</f>
        <v>1</v>
      </c>
      <c r="BB118" s="98" t="str">
        <f>VLOOKUP(BA118,MiscData!$Z$5:$AB$46,2,FALSE)</f>
        <v>LGINE682</v>
      </c>
      <c r="BC118" s="98" t="str">
        <f>VLOOKUP(BA118,MiscData!$Z$5:$AB$46,3,FALSE)</f>
        <v>FLSP</v>
      </c>
    </row>
    <row r="119" spans="1:55">
      <c r="A119" s="108">
        <v>110</v>
      </c>
      <c r="B119" s="109" t="str">
        <f t="shared" si="75"/>
        <v>Apr 2016</v>
      </c>
      <c r="C119" s="110" t="str">
        <f t="shared" si="76"/>
        <v>FLST</v>
      </c>
      <c r="D119" s="110" t="str">
        <f t="shared" si="77"/>
        <v>LGINE683</v>
      </c>
      <c r="E119" s="111">
        <f t="shared" si="47"/>
        <v>0</v>
      </c>
      <c r="F119" s="112">
        <v>0</v>
      </c>
      <c r="G119" s="111">
        <f t="shared" si="48"/>
        <v>0</v>
      </c>
      <c r="H119" s="111">
        <f t="shared" si="49"/>
        <v>0</v>
      </c>
      <c r="I119" s="111">
        <f t="shared" si="50"/>
        <v>0</v>
      </c>
      <c r="J119" s="111">
        <f t="shared" si="51"/>
        <v>0</v>
      </c>
      <c r="K119" s="113">
        <f t="shared" si="52"/>
        <v>0</v>
      </c>
      <c r="L119" s="113">
        <f t="shared" si="53"/>
        <v>0</v>
      </c>
      <c r="M119" s="113">
        <f t="shared" si="54"/>
        <v>0</v>
      </c>
      <c r="N119" s="116">
        <f t="shared" si="55"/>
        <v>750</v>
      </c>
      <c r="O119" s="117">
        <f t="shared" si="88"/>
        <v>3.61E-2</v>
      </c>
      <c r="P119" s="117">
        <f t="shared" si="56"/>
        <v>0</v>
      </c>
      <c r="Q119" s="117">
        <f t="shared" si="57"/>
        <v>0</v>
      </c>
      <c r="R119" s="117">
        <f t="shared" si="58"/>
        <v>2.725E-2</v>
      </c>
      <c r="S119" s="116">
        <f t="shared" si="59"/>
        <v>1.1400000000000001</v>
      </c>
      <c r="T119" s="116">
        <f t="shared" si="60"/>
        <v>1.8900000000000001</v>
      </c>
      <c r="U119" s="116">
        <f t="shared" si="61"/>
        <v>2.94</v>
      </c>
      <c r="V119" s="118">
        <f t="shared" si="62"/>
        <v>0</v>
      </c>
      <c r="W119" s="118">
        <f t="shared" si="78"/>
        <v>0</v>
      </c>
      <c r="X119" s="118">
        <f t="shared" si="79"/>
        <v>0</v>
      </c>
      <c r="Y119" s="118">
        <f t="shared" si="80"/>
        <v>0</v>
      </c>
      <c r="Z119" s="118">
        <f t="shared" si="81"/>
        <v>0</v>
      </c>
      <c r="AA119" s="119">
        <v>0</v>
      </c>
      <c r="AB119" s="120">
        <f t="shared" si="63"/>
        <v>0</v>
      </c>
      <c r="AC119" s="118">
        <f t="shared" si="64"/>
        <v>0</v>
      </c>
      <c r="AD119" s="118">
        <f t="shared" si="82"/>
        <v>0</v>
      </c>
      <c r="AE119" s="118">
        <f t="shared" si="65"/>
        <v>0</v>
      </c>
      <c r="AF119" s="121">
        <f t="shared" si="83"/>
        <v>1</v>
      </c>
      <c r="AG119" s="122">
        <f t="shared" si="66"/>
        <v>0</v>
      </c>
      <c r="AH119" s="122">
        <f t="shared" si="67"/>
        <v>0</v>
      </c>
      <c r="AI119" s="122">
        <f t="shared" si="68"/>
        <v>0</v>
      </c>
      <c r="AJ119" s="122">
        <f t="shared" si="69"/>
        <v>0</v>
      </c>
      <c r="AK119" s="122">
        <f t="shared" si="70"/>
        <v>0</v>
      </c>
      <c r="AL119" s="122">
        <f t="shared" si="71"/>
        <v>0</v>
      </c>
      <c r="AM119" s="123">
        <f t="shared" si="72"/>
        <v>0</v>
      </c>
      <c r="AN119" s="123">
        <f t="shared" si="89"/>
        <v>0</v>
      </c>
      <c r="AO119" s="124">
        <f t="shared" si="74"/>
        <v>0</v>
      </c>
      <c r="AP119" s="125">
        <f t="shared" si="84"/>
        <v>0</v>
      </c>
      <c r="AU119" s="109">
        <f>IF(BA119=1,IF(AU118=MiscData!$F$1,EOMONTH(AU118,-11),EOMONTH(AU118,1)),AU118)</f>
        <v>42490</v>
      </c>
      <c r="AV119" s="108" t="str">
        <f t="shared" si="85"/>
        <v>20140101LGINE683</v>
      </c>
      <c r="AW119" s="126" t="str">
        <f t="shared" si="86"/>
        <v>20140101FLST</v>
      </c>
      <c r="AX119">
        <f>MiscData!$X$5</f>
        <v>20140101</v>
      </c>
      <c r="BA119" s="98">
        <f>IF(BA118+1&gt;MiscData!$Z$42,1,BA118+1)</f>
        <v>2</v>
      </c>
      <c r="BB119" s="98" t="str">
        <f>VLOOKUP(BA119,MiscData!$Z$5:$AB$46,2,FALSE)</f>
        <v>LGINE683</v>
      </c>
      <c r="BC119" s="98" t="str">
        <f>VLOOKUP(BA119,MiscData!$Z$5:$AB$46,3,FALSE)</f>
        <v>FLST</v>
      </c>
    </row>
    <row r="120" spans="1:55">
      <c r="A120" s="108">
        <v>111</v>
      </c>
      <c r="B120" s="109" t="str">
        <f t="shared" si="75"/>
        <v>Apr 2016</v>
      </c>
      <c r="C120" s="110" t="s">
        <v>902</v>
      </c>
      <c r="D120" s="110" t="str">
        <f t="shared" si="77"/>
        <v>LGCME451</v>
      </c>
      <c r="E120" s="111">
        <f t="shared" si="47"/>
        <v>0</v>
      </c>
      <c r="F120" s="112">
        <v>0</v>
      </c>
      <c r="G120" s="111">
        <f t="shared" si="48"/>
        <v>0</v>
      </c>
      <c r="H120" s="111">
        <f t="shared" si="49"/>
        <v>0</v>
      </c>
      <c r="I120" s="111">
        <f t="shared" si="50"/>
        <v>0</v>
      </c>
      <c r="J120" s="111">
        <f t="shared" si="51"/>
        <v>0</v>
      </c>
      <c r="K120" s="113">
        <f t="shared" si="52"/>
        <v>0</v>
      </c>
      <c r="L120" s="113">
        <f t="shared" si="53"/>
        <v>0</v>
      </c>
      <c r="M120" s="113">
        <f t="shared" si="54"/>
        <v>0</v>
      </c>
      <c r="N120" s="116">
        <f t="shared" si="55"/>
        <v>0</v>
      </c>
      <c r="O120" s="117">
        <f t="shared" si="88"/>
        <v>9.1340000000000005E-2</v>
      </c>
      <c r="P120" s="117">
        <f t="shared" si="56"/>
        <v>0</v>
      </c>
      <c r="Q120" s="117">
        <f t="shared" si="57"/>
        <v>0</v>
      </c>
      <c r="R120" s="117">
        <f t="shared" si="58"/>
        <v>2.725E-2</v>
      </c>
      <c r="S120" s="116">
        <f t="shared" si="59"/>
        <v>0</v>
      </c>
      <c r="T120" s="116">
        <f t="shared" si="60"/>
        <v>0</v>
      </c>
      <c r="U120" s="116">
        <f t="shared" si="61"/>
        <v>0</v>
      </c>
      <c r="V120" s="118">
        <f t="shared" si="62"/>
        <v>0</v>
      </c>
      <c r="W120" s="118">
        <f t="shared" si="78"/>
        <v>0</v>
      </c>
      <c r="X120" s="118">
        <f t="shared" si="79"/>
        <v>0</v>
      </c>
      <c r="Y120" s="118">
        <f t="shared" si="80"/>
        <v>0</v>
      </c>
      <c r="Z120" s="118">
        <f t="shared" si="81"/>
        <v>0</v>
      </c>
      <c r="AA120" s="119">
        <v>0</v>
      </c>
      <c r="AB120" s="120">
        <f t="shared" si="63"/>
        <v>0</v>
      </c>
      <c r="AC120" s="118">
        <f t="shared" si="64"/>
        <v>0</v>
      </c>
      <c r="AD120" s="118">
        <f t="shared" si="82"/>
        <v>0</v>
      </c>
      <c r="AE120" s="118">
        <f t="shared" si="65"/>
        <v>0</v>
      </c>
      <c r="AF120" s="121">
        <f t="shared" si="83"/>
        <v>1</v>
      </c>
      <c r="AG120" s="122">
        <f t="shared" si="66"/>
        <v>0</v>
      </c>
      <c r="AH120" s="122">
        <f t="shared" si="67"/>
        <v>0</v>
      </c>
      <c r="AI120" s="122">
        <f t="shared" si="68"/>
        <v>0</v>
      </c>
      <c r="AJ120" s="122">
        <f t="shared" si="69"/>
        <v>0</v>
      </c>
      <c r="AK120" s="122">
        <f t="shared" si="70"/>
        <v>0</v>
      </c>
      <c r="AL120" s="122">
        <f t="shared" si="71"/>
        <v>0</v>
      </c>
      <c r="AM120" s="123">
        <f t="shared" si="72"/>
        <v>0</v>
      </c>
      <c r="AN120" s="123">
        <f t="shared" si="89"/>
        <v>0</v>
      </c>
      <c r="AO120" s="124">
        <f t="shared" si="74"/>
        <v>0</v>
      </c>
      <c r="AP120" s="125">
        <f t="shared" si="84"/>
        <v>0</v>
      </c>
      <c r="AU120" s="109">
        <f>IF(BA120=1,IF(AU119=MiscData!$F$1,EOMONTH(AU119,-11),EOMONTH(AU119,1)),AU119)</f>
        <v>42490</v>
      </c>
      <c r="AV120" s="108" t="str">
        <f t="shared" si="85"/>
        <v>20140101LGCME451</v>
      </c>
      <c r="AW120" s="126" t="str">
        <f t="shared" si="86"/>
        <v>20140101GSS</v>
      </c>
      <c r="AX120">
        <f>MiscData!$X$5</f>
        <v>20140101</v>
      </c>
      <c r="BA120" s="98">
        <f>IF(BA119+1&gt;MiscData!$Z$42,1,BA119+1)</f>
        <v>3</v>
      </c>
      <c r="BB120" s="98" t="str">
        <f>VLOOKUP(BA120,MiscData!$Z$5:$AB$46,2,FALSE)</f>
        <v>LGCME451</v>
      </c>
      <c r="BC120" s="98" t="str">
        <f>VLOOKUP(BA120,MiscData!$Z$5:$AB$46,3,FALSE)</f>
        <v>GSS</v>
      </c>
    </row>
    <row r="121" spans="1:55">
      <c r="A121" s="108">
        <v>112</v>
      </c>
      <c r="B121" s="109" t="str">
        <f t="shared" si="75"/>
        <v>Apr 2016</v>
      </c>
      <c r="C121" s="110" t="s">
        <v>902</v>
      </c>
      <c r="D121" s="110" t="str">
        <f t="shared" si="77"/>
        <v>LGCME550</v>
      </c>
      <c r="E121" s="111">
        <f t="shared" si="47"/>
        <v>0</v>
      </c>
      <c r="F121" s="112">
        <v>0</v>
      </c>
      <c r="G121" s="111">
        <f t="shared" si="48"/>
        <v>0</v>
      </c>
      <c r="H121" s="111">
        <f t="shared" si="49"/>
        <v>0</v>
      </c>
      <c r="I121" s="111">
        <f t="shared" si="50"/>
        <v>0</v>
      </c>
      <c r="J121" s="111">
        <f t="shared" si="51"/>
        <v>0</v>
      </c>
      <c r="K121" s="113">
        <f t="shared" si="52"/>
        <v>0</v>
      </c>
      <c r="L121" s="113">
        <f t="shared" si="53"/>
        <v>0</v>
      </c>
      <c r="M121" s="113">
        <f t="shared" si="54"/>
        <v>0</v>
      </c>
      <c r="N121" s="116">
        <f t="shared" si="55"/>
        <v>20</v>
      </c>
      <c r="O121" s="117">
        <f t="shared" si="88"/>
        <v>9.1340000000000005E-2</v>
      </c>
      <c r="P121" s="117">
        <f t="shared" si="56"/>
        <v>0</v>
      </c>
      <c r="Q121" s="117">
        <f t="shared" si="57"/>
        <v>0</v>
      </c>
      <c r="R121" s="117">
        <f t="shared" si="58"/>
        <v>2.725E-2</v>
      </c>
      <c r="S121" s="116">
        <f t="shared" si="59"/>
        <v>0</v>
      </c>
      <c r="T121" s="116">
        <f t="shared" si="60"/>
        <v>0</v>
      </c>
      <c r="U121" s="116">
        <f t="shared" si="61"/>
        <v>0</v>
      </c>
      <c r="V121" s="118">
        <f t="shared" si="62"/>
        <v>0</v>
      </c>
      <c r="W121" s="118">
        <f t="shared" si="78"/>
        <v>0</v>
      </c>
      <c r="X121" s="118">
        <f t="shared" si="79"/>
        <v>0</v>
      </c>
      <c r="Y121" s="118">
        <f t="shared" si="80"/>
        <v>0</v>
      </c>
      <c r="Z121" s="118">
        <f t="shared" si="81"/>
        <v>0</v>
      </c>
      <c r="AA121" s="119">
        <v>0</v>
      </c>
      <c r="AB121" s="120">
        <f t="shared" si="63"/>
        <v>0</v>
      </c>
      <c r="AC121" s="118">
        <f t="shared" si="64"/>
        <v>0</v>
      </c>
      <c r="AD121" s="118">
        <f t="shared" si="82"/>
        <v>0</v>
      </c>
      <c r="AE121" s="118">
        <f t="shared" si="65"/>
        <v>0</v>
      </c>
      <c r="AF121" s="121">
        <f t="shared" si="83"/>
        <v>1</v>
      </c>
      <c r="AG121" s="122">
        <f t="shared" si="66"/>
        <v>0</v>
      </c>
      <c r="AH121" s="122">
        <f t="shared" si="67"/>
        <v>0</v>
      </c>
      <c r="AI121" s="122">
        <f t="shared" si="68"/>
        <v>0</v>
      </c>
      <c r="AJ121" s="122">
        <f t="shared" si="69"/>
        <v>0</v>
      </c>
      <c r="AK121" s="122">
        <f t="shared" si="70"/>
        <v>0</v>
      </c>
      <c r="AL121" s="122">
        <f t="shared" si="71"/>
        <v>0</v>
      </c>
      <c r="AM121" s="123">
        <f t="shared" si="72"/>
        <v>0</v>
      </c>
      <c r="AN121" s="123">
        <f t="shared" si="89"/>
        <v>0</v>
      </c>
      <c r="AO121" s="124">
        <f t="shared" si="74"/>
        <v>0</v>
      </c>
      <c r="AP121" s="125">
        <f t="shared" si="84"/>
        <v>0</v>
      </c>
      <c r="AU121" s="109">
        <f>IF(BA121=1,IF(AU120=MiscData!$F$1,EOMONTH(AU120,-11),EOMONTH(AU120,1)),AU120)</f>
        <v>42490</v>
      </c>
      <c r="AV121" s="108" t="str">
        <f t="shared" si="85"/>
        <v>20140101LGCME550</v>
      </c>
      <c r="AW121" s="126" t="str">
        <f t="shared" si="86"/>
        <v>20140101GSS</v>
      </c>
      <c r="AX121">
        <f>MiscData!$X$5</f>
        <v>20140101</v>
      </c>
      <c r="BA121" s="98">
        <f>IF(BA120+1&gt;MiscData!$Z$42,1,BA120+1)</f>
        <v>4</v>
      </c>
      <c r="BB121" s="98" t="str">
        <f>VLOOKUP(BA121,MiscData!$Z$5:$AB$46,2,FALSE)</f>
        <v>LGCME550</v>
      </c>
      <c r="BC121" s="98" t="str">
        <f>VLOOKUP(BA121,MiscData!$Z$5:$AB$46,3,FALSE)</f>
        <v>GSS</v>
      </c>
    </row>
    <row r="122" spans="1:55">
      <c r="A122" s="108">
        <v>113</v>
      </c>
      <c r="B122" s="109" t="str">
        <f t="shared" si="75"/>
        <v>Apr 2016</v>
      </c>
      <c r="C122" s="110" t="s">
        <v>902</v>
      </c>
      <c r="D122" s="110" t="str">
        <f t="shared" si="77"/>
        <v>LGCME551</v>
      </c>
      <c r="E122" s="111">
        <f t="shared" si="47"/>
        <v>28253</v>
      </c>
      <c r="F122" s="112">
        <v>0</v>
      </c>
      <c r="G122" s="111">
        <f t="shared" si="48"/>
        <v>0</v>
      </c>
      <c r="H122" s="111">
        <f t="shared" si="49"/>
        <v>0</v>
      </c>
      <c r="I122" s="111">
        <f t="shared" si="50"/>
        <v>0</v>
      </c>
      <c r="J122" s="111">
        <f t="shared" si="51"/>
        <v>28238912</v>
      </c>
      <c r="K122" s="113">
        <f t="shared" si="52"/>
        <v>0</v>
      </c>
      <c r="L122" s="113">
        <f t="shared" si="53"/>
        <v>0</v>
      </c>
      <c r="M122" s="113">
        <f t="shared" si="54"/>
        <v>0</v>
      </c>
      <c r="N122" s="116">
        <f t="shared" si="55"/>
        <v>20</v>
      </c>
      <c r="O122" s="117">
        <f t="shared" si="88"/>
        <v>9.1340000000000005E-2</v>
      </c>
      <c r="P122" s="117">
        <f t="shared" si="56"/>
        <v>0</v>
      </c>
      <c r="Q122" s="117">
        <f t="shared" si="57"/>
        <v>0</v>
      </c>
      <c r="R122" s="117">
        <f t="shared" si="58"/>
        <v>2.725E-2</v>
      </c>
      <c r="S122" s="116">
        <f t="shared" si="59"/>
        <v>0</v>
      </c>
      <c r="T122" s="116">
        <f t="shared" si="60"/>
        <v>0</v>
      </c>
      <c r="U122" s="116">
        <f t="shared" si="61"/>
        <v>0</v>
      </c>
      <c r="V122" s="118">
        <f t="shared" si="62"/>
        <v>565060</v>
      </c>
      <c r="W122" s="118">
        <f t="shared" si="78"/>
        <v>2579342.2200000002</v>
      </c>
      <c r="X122" s="118">
        <f t="shared" si="79"/>
        <v>0</v>
      </c>
      <c r="Y122" s="118">
        <f t="shared" si="80"/>
        <v>0</v>
      </c>
      <c r="Z122" s="118">
        <f t="shared" si="81"/>
        <v>0</v>
      </c>
      <c r="AA122" s="119">
        <v>0</v>
      </c>
      <c r="AB122" s="120">
        <f t="shared" si="63"/>
        <v>0</v>
      </c>
      <c r="AC122" s="118">
        <f t="shared" si="64"/>
        <v>0</v>
      </c>
      <c r="AD122" s="118">
        <f t="shared" si="82"/>
        <v>3144402.22</v>
      </c>
      <c r="AE122" s="118">
        <f t="shared" si="65"/>
        <v>3144392</v>
      </c>
      <c r="AF122" s="121">
        <f t="shared" si="83"/>
        <v>0.99999700000000002</v>
      </c>
      <c r="AG122" s="122">
        <f t="shared" si="66"/>
        <v>-24602</v>
      </c>
      <c r="AH122" s="122">
        <f t="shared" si="67"/>
        <v>47394</v>
      </c>
      <c r="AI122" s="122">
        <f t="shared" si="68"/>
        <v>312609</v>
      </c>
      <c r="AJ122" s="122">
        <f t="shared" si="69"/>
        <v>0</v>
      </c>
      <c r="AK122" s="122">
        <f t="shared" si="70"/>
        <v>0</v>
      </c>
      <c r="AL122" s="122">
        <f t="shared" si="71"/>
        <v>3479793</v>
      </c>
      <c r="AM122" s="123">
        <f t="shared" si="72"/>
        <v>3479803.22</v>
      </c>
      <c r="AN122" s="123">
        <f t="shared" si="89"/>
        <v>-10.220000000204891</v>
      </c>
      <c r="AO122" s="124">
        <f t="shared" si="74"/>
        <v>769510.35</v>
      </c>
      <c r="AP122" s="125">
        <f t="shared" si="84"/>
        <v>1809831.87</v>
      </c>
      <c r="AU122" s="109">
        <f>IF(BA122=1,IF(AU121=MiscData!$F$1,EOMONTH(AU121,-11),EOMONTH(AU121,1)),AU121)</f>
        <v>42490</v>
      </c>
      <c r="AV122" s="108" t="str">
        <f t="shared" si="85"/>
        <v>20140101LGCME551</v>
      </c>
      <c r="AW122" s="126" t="str">
        <f t="shared" si="86"/>
        <v>20140101GSS</v>
      </c>
      <c r="AX122">
        <f>MiscData!$X$5</f>
        <v>20140101</v>
      </c>
      <c r="BA122" s="98">
        <f>IF(BA121+1&gt;MiscData!$Z$42,1,BA121+1)</f>
        <v>5</v>
      </c>
      <c r="BB122" s="98" t="str">
        <f>VLOOKUP(BA122,MiscData!$Z$5:$AB$46,2,FALSE)</f>
        <v>LGCME551</v>
      </c>
      <c r="BC122" s="98" t="str">
        <f>VLOOKUP(BA122,MiscData!$Z$5:$AB$46,3,FALSE)</f>
        <v>GSS</v>
      </c>
    </row>
    <row r="123" spans="1:55">
      <c r="A123" s="108">
        <v>114</v>
      </c>
      <c r="B123" s="109" t="str">
        <f t="shared" si="75"/>
        <v>Apr 2016</v>
      </c>
      <c r="C123" s="110" t="s">
        <v>902</v>
      </c>
      <c r="D123" s="110" t="str">
        <f t="shared" si="77"/>
        <v>LGCME551UM</v>
      </c>
      <c r="E123" s="111">
        <f t="shared" si="47"/>
        <v>0</v>
      </c>
      <c r="F123" s="112">
        <v>0</v>
      </c>
      <c r="G123" s="111">
        <f t="shared" si="48"/>
        <v>0</v>
      </c>
      <c r="H123" s="111">
        <f t="shared" si="49"/>
        <v>0</v>
      </c>
      <c r="I123" s="111">
        <f t="shared" si="50"/>
        <v>0</v>
      </c>
      <c r="J123" s="111">
        <f t="shared" si="51"/>
        <v>0</v>
      </c>
      <c r="K123" s="113">
        <f t="shared" si="52"/>
        <v>0</v>
      </c>
      <c r="L123" s="113">
        <f t="shared" si="53"/>
        <v>0</v>
      </c>
      <c r="M123" s="113">
        <f t="shared" si="54"/>
        <v>0</v>
      </c>
      <c r="N123" s="116">
        <f t="shared" si="55"/>
        <v>20</v>
      </c>
      <c r="O123" s="117">
        <f t="shared" si="88"/>
        <v>9.1340000000000005E-2</v>
      </c>
      <c r="P123" s="117">
        <f t="shared" si="56"/>
        <v>0</v>
      </c>
      <c r="Q123" s="117">
        <f t="shared" si="57"/>
        <v>0</v>
      </c>
      <c r="R123" s="117">
        <f t="shared" si="58"/>
        <v>2.725E-2</v>
      </c>
      <c r="S123" s="116">
        <f t="shared" si="59"/>
        <v>0</v>
      </c>
      <c r="T123" s="116">
        <f t="shared" si="60"/>
        <v>0</v>
      </c>
      <c r="U123" s="116">
        <f t="shared" si="61"/>
        <v>0</v>
      </c>
      <c r="V123" s="118">
        <f t="shared" si="62"/>
        <v>0</v>
      </c>
      <c r="W123" s="118">
        <f t="shared" si="78"/>
        <v>0</v>
      </c>
      <c r="X123" s="118">
        <f t="shared" si="79"/>
        <v>0</v>
      </c>
      <c r="Y123" s="118">
        <f t="shared" si="80"/>
        <v>0</v>
      </c>
      <c r="Z123" s="118">
        <f t="shared" si="81"/>
        <v>0</v>
      </c>
      <c r="AA123" s="119">
        <v>0</v>
      </c>
      <c r="AB123" s="120">
        <f t="shared" si="63"/>
        <v>0</v>
      </c>
      <c r="AC123" s="118">
        <f t="shared" si="64"/>
        <v>0</v>
      </c>
      <c r="AD123" s="118">
        <f t="shared" si="82"/>
        <v>0</v>
      </c>
      <c r="AE123" s="118">
        <f t="shared" si="65"/>
        <v>0</v>
      </c>
      <c r="AF123" s="121">
        <f t="shared" si="83"/>
        <v>1</v>
      </c>
      <c r="AG123" s="122">
        <f t="shared" si="66"/>
        <v>0</v>
      </c>
      <c r="AH123" s="122">
        <f t="shared" si="67"/>
        <v>0</v>
      </c>
      <c r="AI123" s="122">
        <f t="shared" si="68"/>
        <v>0</v>
      </c>
      <c r="AJ123" s="122">
        <f t="shared" si="69"/>
        <v>0</v>
      </c>
      <c r="AK123" s="122">
        <f t="shared" si="70"/>
        <v>0</v>
      </c>
      <c r="AL123" s="122">
        <f t="shared" si="71"/>
        <v>0</v>
      </c>
      <c r="AM123" s="123">
        <f t="shared" si="72"/>
        <v>0</v>
      </c>
      <c r="AN123" s="123">
        <f t="shared" si="89"/>
        <v>0</v>
      </c>
      <c r="AO123" s="124">
        <f t="shared" si="74"/>
        <v>0</v>
      </c>
      <c r="AP123" s="125">
        <f t="shared" si="84"/>
        <v>0</v>
      </c>
      <c r="AU123" s="109">
        <f>IF(BA123=1,IF(AU122=MiscData!$F$1,EOMONTH(AU122,-11),EOMONTH(AU122,1)),AU122)</f>
        <v>42490</v>
      </c>
      <c r="AV123" s="108" t="str">
        <f t="shared" si="85"/>
        <v>20140101LGCME551UM</v>
      </c>
      <c r="AW123" s="126" t="str">
        <f t="shared" si="86"/>
        <v>20140101GSS</v>
      </c>
      <c r="AX123">
        <f>MiscData!$X$5</f>
        <v>20140101</v>
      </c>
      <c r="BA123" s="98">
        <f>IF(BA122+1&gt;MiscData!$Z$42,1,BA122+1)</f>
        <v>6</v>
      </c>
      <c r="BB123" s="98" t="str">
        <f>VLOOKUP(BA123,MiscData!$Z$5:$AB$46,2,FALSE)</f>
        <v>LGCME551UM</v>
      </c>
      <c r="BC123" s="98" t="str">
        <f>VLOOKUP(BA123,MiscData!$Z$5:$AB$46,3,FALSE)</f>
        <v>GSS</v>
      </c>
    </row>
    <row r="124" spans="1:55">
      <c r="A124" s="108">
        <v>115</v>
      </c>
      <c r="B124" s="109" t="str">
        <f t="shared" si="75"/>
        <v>Apr 2016</v>
      </c>
      <c r="C124" s="110" t="s">
        <v>902</v>
      </c>
      <c r="D124" s="110" t="str">
        <f t="shared" si="77"/>
        <v>LGCME552</v>
      </c>
      <c r="E124" s="111">
        <f t="shared" si="47"/>
        <v>0</v>
      </c>
      <c r="F124" s="112">
        <v>0</v>
      </c>
      <c r="G124" s="111">
        <f t="shared" si="48"/>
        <v>0</v>
      </c>
      <c r="H124" s="111">
        <f t="shared" si="49"/>
        <v>0</v>
      </c>
      <c r="I124" s="111">
        <f t="shared" si="50"/>
        <v>0</v>
      </c>
      <c r="J124" s="111">
        <f t="shared" si="51"/>
        <v>0</v>
      </c>
      <c r="K124" s="113">
        <f t="shared" si="52"/>
        <v>0</v>
      </c>
      <c r="L124" s="113">
        <f t="shared" si="53"/>
        <v>0</v>
      </c>
      <c r="M124" s="113">
        <f t="shared" si="54"/>
        <v>0</v>
      </c>
      <c r="N124" s="116">
        <f t="shared" si="55"/>
        <v>0</v>
      </c>
      <c r="O124" s="117">
        <f t="shared" si="88"/>
        <v>9.1340000000000005E-2</v>
      </c>
      <c r="P124" s="117">
        <f t="shared" si="56"/>
        <v>0</v>
      </c>
      <c r="Q124" s="117">
        <f t="shared" si="57"/>
        <v>0</v>
      </c>
      <c r="R124" s="117">
        <f t="shared" si="58"/>
        <v>2.725E-2</v>
      </c>
      <c r="S124" s="116">
        <f t="shared" si="59"/>
        <v>0</v>
      </c>
      <c r="T124" s="116">
        <f t="shared" si="60"/>
        <v>0</v>
      </c>
      <c r="U124" s="116">
        <f t="shared" si="61"/>
        <v>0</v>
      </c>
      <c r="V124" s="118">
        <f t="shared" si="62"/>
        <v>0</v>
      </c>
      <c r="W124" s="118">
        <f t="shared" si="78"/>
        <v>0</v>
      </c>
      <c r="X124" s="118">
        <f t="shared" si="79"/>
        <v>0</v>
      </c>
      <c r="Y124" s="118">
        <f t="shared" si="80"/>
        <v>0</v>
      </c>
      <c r="Z124" s="118">
        <f t="shared" si="81"/>
        <v>0</v>
      </c>
      <c r="AA124" s="119">
        <v>0</v>
      </c>
      <c r="AB124" s="120">
        <f t="shared" si="63"/>
        <v>0</v>
      </c>
      <c r="AC124" s="118">
        <f t="shared" si="64"/>
        <v>0</v>
      </c>
      <c r="AD124" s="118">
        <f t="shared" si="82"/>
        <v>0</v>
      </c>
      <c r="AE124" s="118">
        <f t="shared" si="65"/>
        <v>0</v>
      </c>
      <c r="AF124" s="121">
        <f t="shared" si="83"/>
        <v>1</v>
      </c>
      <c r="AG124" s="122">
        <f t="shared" si="66"/>
        <v>0</v>
      </c>
      <c r="AH124" s="122">
        <f t="shared" si="67"/>
        <v>0</v>
      </c>
      <c r="AI124" s="122">
        <f t="shared" si="68"/>
        <v>0</v>
      </c>
      <c r="AJ124" s="122">
        <f t="shared" si="69"/>
        <v>0</v>
      </c>
      <c r="AK124" s="122">
        <f t="shared" si="70"/>
        <v>0</v>
      </c>
      <c r="AL124" s="122">
        <f t="shared" si="71"/>
        <v>0</v>
      </c>
      <c r="AM124" s="123">
        <f t="shared" si="72"/>
        <v>0</v>
      </c>
      <c r="AN124" s="123">
        <f t="shared" si="89"/>
        <v>0</v>
      </c>
      <c r="AO124" s="124">
        <f t="shared" si="74"/>
        <v>0</v>
      </c>
      <c r="AP124" s="125">
        <f t="shared" si="84"/>
        <v>0</v>
      </c>
      <c r="AU124" s="109">
        <f>IF(BA124=1,IF(AU123=MiscData!$F$1,EOMONTH(AU123,-11),EOMONTH(AU123,1)),AU123)</f>
        <v>42490</v>
      </c>
      <c r="AV124" s="108" t="str">
        <f t="shared" si="85"/>
        <v>20140101LGCME552</v>
      </c>
      <c r="AW124" s="126" t="str">
        <f t="shared" si="86"/>
        <v>20140101GSS</v>
      </c>
      <c r="AX124">
        <f>MiscData!$X$5</f>
        <v>20140101</v>
      </c>
      <c r="BA124" s="98">
        <f>IF(BA123+1&gt;MiscData!$Z$42,1,BA123+1)</f>
        <v>7</v>
      </c>
      <c r="BB124" s="98" t="str">
        <f>VLOOKUP(BA124,MiscData!$Z$5:$AB$46,2,FALSE)</f>
        <v>LGCME552</v>
      </c>
      <c r="BC124" s="98" t="str">
        <f>VLOOKUP(BA124,MiscData!$Z$5:$AB$46,3,FALSE)</f>
        <v>GSS</v>
      </c>
    </row>
    <row r="125" spans="1:55">
      <c r="A125" s="108">
        <v>116</v>
      </c>
      <c r="B125" s="109" t="str">
        <f t="shared" si="75"/>
        <v>Apr 2016</v>
      </c>
      <c r="C125" s="110" t="s">
        <v>902</v>
      </c>
      <c r="D125" s="110" t="str">
        <f t="shared" si="77"/>
        <v>LGCME557</v>
      </c>
      <c r="E125" s="111">
        <f t="shared" si="47"/>
        <v>0</v>
      </c>
      <c r="F125" s="112">
        <v>0</v>
      </c>
      <c r="G125" s="111">
        <f t="shared" si="48"/>
        <v>0</v>
      </c>
      <c r="H125" s="111">
        <f t="shared" si="49"/>
        <v>0</v>
      </c>
      <c r="I125" s="111">
        <f t="shared" si="50"/>
        <v>0</v>
      </c>
      <c r="J125" s="111">
        <f t="shared" si="51"/>
        <v>0</v>
      </c>
      <c r="K125" s="113">
        <f t="shared" si="52"/>
        <v>0</v>
      </c>
      <c r="L125" s="113">
        <f t="shared" si="53"/>
        <v>0</v>
      </c>
      <c r="M125" s="113">
        <f t="shared" si="54"/>
        <v>0</v>
      </c>
      <c r="N125" s="116">
        <f t="shared" si="55"/>
        <v>20</v>
      </c>
      <c r="O125" s="117">
        <f t="shared" si="88"/>
        <v>9.1340000000000005E-2</v>
      </c>
      <c r="P125" s="117">
        <f t="shared" si="56"/>
        <v>0</v>
      </c>
      <c r="Q125" s="117">
        <f t="shared" si="57"/>
        <v>0</v>
      </c>
      <c r="R125" s="117">
        <f t="shared" si="58"/>
        <v>2.725E-2</v>
      </c>
      <c r="S125" s="116">
        <f t="shared" si="59"/>
        <v>0</v>
      </c>
      <c r="T125" s="116">
        <f t="shared" si="60"/>
        <v>0</v>
      </c>
      <c r="U125" s="116">
        <f t="shared" si="61"/>
        <v>0</v>
      </c>
      <c r="V125" s="118">
        <f t="shared" si="62"/>
        <v>0</v>
      </c>
      <c r="W125" s="118">
        <f t="shared" si="78"/>
        <v>0</v>
      </c>
      <c r="X125" s="118">
        <f t="shared" si="79"/>
        <v>0</v>
      </c>
      <c r="Y125" s="118">
        <f t="shared" si="80"/>
        <v>0</v>
      </c>
      <c r="Z125" s="118">
        <f t="shared" si="81"/>
        <v>0</v>
      </c>
      <c r="AA125" s="119">
        <v>0</v>
      </c>
      <c r="AB125" s="120">
        <f t="shared" si="63"/>
        <v>0</v>
      </c>
      <c r="AC125" s="118">
        <f t="shared" si="64"/>
        <v>0</v>
      </c>
      <c r="AD125" s="118">
        <f t="shared" si="82"/>
        <v>0</v>
      </c>
      <c r="AE125" s="118">
        <f t="shared" si="65"/>
        <v>0</v>
      </c>
      <c r="AF125" s="121">
        <f t="shared" si="83"/>
        <v>1</v>
      </c>
      <c r="AG125" s="122">
        <f t="shared" si="66"/>
        <v>0</v>
      </c>
      <c r="AH125" s="122">
        <f t="shared" si="67"/>
        <v>0</v>
      </c>
      <c r="AI125" s="122">
        <f t="shared" si="68"/>
        <v>0</v>
      </c>
      <c r="AJ125" s="122">
        <f t="shared" si="69"/>
        <v>0</v>
      </c>
      <c r="AK125" s="122">
        <f t="shared" si="70"/>
        <v>0</v>
      </c>
      <c r="AL125" s="122">
        <f t="shared" si="71"/>
        <v>0</v>
      </c>
      <c r="AM125" s="123">
        <f t="shared" si="72"/>
        <v>0</v>
      </c>
      <c r="AN125" s="123">
        <f t="shared" si="89"/>
        <v>0</v>
      </c>
      <c r="AO125" s="124">
        <f t="shared" si="74"/>
        <v>0</v>
      </c>
      <c r="AP125" s="125">
        <f t="shared" si="84"/>
        <v>0</v>
      </c>
      <c r="AU125" s="109">
        <f>IF(BA125=1,IF(AU124=MiscData!$F$1,EOMONTH(AU124,-11),EOMONTH(AU124,1)),AU124)</f>
        <v>42490</v>
      </c>
      <c r="AV125" s="108" t="str">
        <f t="shared" si="85"/>
        <v>20140101LGCME557</v>
      </c>
      <c r="AW125" s="126" t="str">
        <f t="shared" si="86"/>
        <v>20140101GSS</v>
      </c>
      <c r="AX125">
        <f>MiscData!$X$5</f>
        <v>20140101</v>
      </c>
      <c r="BA125" s="98">
        <f>IF(BA124+1&gt;MiscData!$Z$42,1,BA124+1)</f>
        <v>8</v>
      </c>
      <c r="BB125" s="98" t="str">
        <f>VLOOKUP(BA125,MiscData!$Z$5:$AB$46,2,FALSE)</f>
        <v>LGCME557</v>
      </c>
      <c r="BC125" s="98" t="str">
        <f>VLOOKUP(BA125,MiscData!$Z$5:$AB$46,3,FALSE)</f>
        <v>GSS</v>
      </c>
    </row>
    <row r="126" spans="1:55">
      <c r="A126" s="108">
        <v>117</v>
      </c>
      <c r="B126" s="109" t="str">
        <f t="shared" si="75"/>
        <v>Apr 2016</v>
      </c>
      <c r="C126" s="110" t="str">
        <f t="shared" si="76"/>
        <v>PSS</v>
      </c>
      <c r="D126" s="110" t="str">
        <f t="shared" si="77"/>
        <v>LGCME561</v>
      </c>
      <c r="E126" s="111">
        <f t="shared" si="47"/>
        <v>2585</v>
      </c>
      <c r="F126" s="112">
        <v>0</v>
      </c>
      <c r="G126" s="111">
        <f t="shared" si="48"/>
        <v>0</v>
      </c>
      <c r="H126" s="111">
        <f t="shared" si="49"/>
        <v>0</v>
      </c>
      <c r="I126" s="111">
        <f t="shared" si="50"/>
        <v>0</v>
      </c>
      <c r="J126" s="111">
        <f t="shared" si="51"/>
        <v>127586690</v>
      </c>
      <c r="K126" s="113">
        <f t="shared" si="52"/>
        <v>0</v>
      </c>
      <c r="L126" s="113">
        <f t="shared" si="53"/>
        <v>327890</v>
      </c>
      <c r="M126" s="113">
        <f t="shared" si="54"/>
        <v>0</v>
      </c>
      <c r="N126" s="116">
        <f t="shared" si="55"/>
        <v>90</v>
      </c>
      <c r="O126" s="117">
        <f t="shared" si="88"/>
        <v>4.0599999999999997E-2</v>
      </c>
      <c r="P126" s="117">
        <f t="shared" ref="P126" si="91">SUMIF(L_Rates_Tariff_Rate_Category,$AV126,L_Rates_Energy_P2)</f>
        <v>0</v>
      </c>
      <c r="Q126" s="117">
        <f t="shared" si="57"/>
        <v>0</v>
      </c>
      <c r="R126" s="117">
        <f t="shared" si="58"/>
        <v>2.725E-2</v>
      </c>
      <c r="S126" s="116">
        <f t="shared" si="59"/>
        <v>0</v>
      </c>
      <c r="T126" s="116">
        <f t="shared" si="60"/>
        <v>14.010000000000002</v>
      </c>
      <c r="U126" s="116">
        <f t="shared" si="61"/>
        <v>16.399999999999999</v>
      </c>
      <c r="V126" s="118">
        <f t="shared" si="62"/>
        <v>232650</v>
      </c>
      <c r="W126" s="118">
        <f t="shared" si="78"/>
        <v>5180019.6100000003</v>
      </c>
      <c r="X126" s="118">
        <f t="shared" si="79"/>
        <v>0</v>
      </c>
      <c r="Y126" s="118">
        <f t="shared" si="80"/>
        <v>4593738.9000000004</v>
      </c>
      <c r="Z126" s="118">
        <f t="shared" si="81"/>
        <v>0</v>
      </c>
      <c r="AA126" s="119">
        <v>0</v>
      </c>
      <c r="AB126" s="120">
        <f t="shared" si="63"/>
        <v>0</v>
      </c>
      <c r="AC126" s="118">
        <f t="shared" si="64"/>
        <v>4593738.9000000004</v>
      </c>
      <c r="AD126" s="118">
        <f t="shared" si="82"/>
        <v>10006408.510000002</v>
      </c>
      <c r="AE126" s="118">
        <f t="shared" si="65"/>
        <v>10006410</v>
      </c>
      <c r="AF126" s="121">
        <f t="shared" si="83"/>
        <v>1</v>
      </c>
      <c r="AG126" s="122">
        <f t="shared" si="66"/>
        <v>-111155</v>
      </c>
      <c r="AH126" s="122">
        <f t="shared" si="67"/>
        <v>214131</v>
      </c>
      <c r="AI126" s="122">
        <f t="shared" si="68"/>
        <v>1412403</v>
      </c>
      <c r="AJ126" s="122">
        <f t="shared" si="69"/>
        <v>0</v>
      </c>
      <c r="AK126" s="122">
        <f t="shared" si="70"/>
        <v>0</v>
      </c>
      <c r="AL126" s="122">
        <f t="shared" si="71"/>
        <v>11521789</v>
      </c>
      <c r="AM126" s="123">
        <f t="shared" si="72"/>
        <v>11521787.510000002</v>
      </c>
      <c r="AN126" s="123">
        <f t="shared" si="89"/>
        <v>1.4899999983608723</v>
      </c>
      <c r="AO126" s="124">
        <f t="shared" si="74"/>
        <v>3476737.3</v>
      </c>
      <c r="AP126" s="125">
        <f t="shared" si="84"/>
        <v>1703282.3100000005</v>
      </c>
      <c r="AU126" s="109">
        <f>IF(BA126=1,IF(AU125=MiscData!$F$1,EOMONTH(AU125,-11),EOMONTH(AU125,1)),AU125)</f>
        <v>42490</v>
      </c>
      <c r="AV126" s="108" t="str">
        <f t="shared" si="85"/>
        <v>20140101LGCME561</v>
      </c>
      <c r="AW126" s="126" t="str">
        <f t="shared" si="86"/>
        <v>20140101PSS</v>
      </c>
      <c r="AX126">
        <f>MiscData!$X$5</f>
        <v>20140101</v>
      </c>
      <c r="BA126" s="98">
        <f>IF(BA125+1&gt;MiscData!$Z$42,1,BA125+1)</f>
        <v>9</v>
      </c>
      <c r="BB126" s="98" t="str">
        <f>VLOOKUP(BA126,MiscData!$Z$5:$AB$46,2,FALSE)</f>
        <v>LGCME561</v>
      </c>
      <c r="BC126" s="98" t="str">
        <f>VLOOKUP(BA126,MiscData!$Z$5:$AB$46,3,FALSE)</f>
        <v>PSS</v>
      </c>
    </row>
    <row r="127" spans="1:55">
      <c r="A127" s="108">
        <v>118</v>
      </c>
      <c r="B127" s="109" t="str">
        <f t="shared" si="75"/>
        <v>Apr 2016</v>
      </c>
      <c r="C127" s="110" t="str">
        <f t="shared" si="76"/>
        <v>PSP</v>
      </c>
      <c r="D127" s="110" t="str">
        <f t="shared" si="77"/>
        <v>LGCME563</v>
      </c>
      <c r="E127" s="111">
        <f t="shared" si="47"/>
        <v>52</v>
      </c>
      <c r="F127" s="112">
        <v>0</v>
      </c>
      <c r="G127" s="111">
        <f t="shared" si="48"/>
        <v>0</v>
      </c>
      <c r="H127" s="111">
        <f t="shared" si="49"/>
        <v>0</v>
      </c>
      <c r="I127" s="111">
        <f t="shared" si="50"/>
        <v>0</v>
      </c>
      <c r="J127" s="111">
        <f t="shared" si="51"/>
        <v>11224431</v>
      </c>
      <c r="K127" s="113">
        <f t="shared" si="52"/>
        <v>0</v>
      </c>
      <c r="L127" s="113">
        <f t="shared" si="53"/>
        <v>28222</v>
      </c>
      <c r="M127" s="113">
        <f t="shared" si="54"/>
        <v>0</v>
      </c>
      <c r="N127" s="116">
        <f>SUMIF(L_Rates_Tariff_Rate_Category,AV127,L_Rates_BSC)</f>
        <v>170</v>
      </c>
      <c r="O127" s="117">
        <f t="shared" si="88"/>
        <v>3.9260000000000003E-2</v>
      </c>
      <c r="P127" s="117">
        <f t="shared" si="56"/>
        <v>0</v>
      </c>
      <c r="Q127" s="117">
        <f t="shared" si="57"/>
        <v>0</v>
      </c>
      <c r="R127" s="117">
        <f t="shared" si="58"/>
        <v>2.725E-2</v>
      </c>
      <c r="S127" s="116">
        <f t="shared" si="59"/>
        <v>0</v>
      </c>
      <c r="T127" s="116">
        <f t="shared" si="60"/>
        <v>11.660000000000002</v>
      </c>
      <c r="U127" s="116">
        <f t="shared" si="61"/>
        <v>13.950000000000001</v>
      </c>
      <c r="V127" s="118">
        <f t="shared" si="62"/>
        <v>8840</v>
      </c>
      <c r="W127" s="118">
        <f t="shared" si="78"/>
        <v>440671.16</v>
      </c>
      <c r="X127" s="118">
        <f t="shared" si="79"/>
        <v>0</v>
      </c>
      <c r="Y127" s="118">
        <f t="shared" si="80"/>
        <v>329068.52</v>
      </c>
      <c r="Z127" s="118">
        <f t="shared" si="81"/>
        <v>0</v>
      </c>
      <c r="AA127" s="119">
        <v>0</v>
      </c>
      <c r="AB127" s="120">
        <f t="shared" si="63"/>
        <v>0</v>
      </c>
      <c r="AC127" s="118">
        <f t="shared" si="64"/>
        <v>329068.52</v>
      </c>
      <c r="AD127" s="118">
        <f t="shared" si="82"/>
        <v>778579.67999999993</v>
      </c>
      <c r="AE127" s="118">
        <f t="shared" si="65"/>
        <v>778576</v>
      </c>
      <c r="AF127" s="121">
        <f t="shared" si="83"/>
        <v>0.99999499999999997</v>
      </c>
      <c r="AG127" s="122">
        <f t="shared" si="66"/>
        <v>-9779</v>
      </c>
      <c r="AH127" s="122">
        <f t="shared" si="67"/>
        <v>18838</v>
      </c>
      <c r="AI127" s="122">
        <f t="shared" si="68"/>
        <v>124256</v>
      </c>
      <c r="AJ127" s="122">
        <f t="shared" si="69"/>
        <v>0</v>
      </c>
      <c r="AK127" s="122">
        <f t="shared" si="70"/>
        <v>0</v>
      </c>
      <c r="AL127" s="122">
        <f t="shared" si="71"/>
        <v>911891</v>
      </c>
      <c r="AM127" s="123">
        <f t="shared" si="72"/>
        <v>911894.67999999993</v>
      </c>
      <c r="AN127" s="123">
        <f t="shared" si="89"/>
        <v>-3.6799999999348074</v>
      </c>
      <c r="AO127" s="124">
        <f t="shared" si="74"/>
        <v>305865.74</v>
      </c>
      <c r="AP127" s="125">
        <f t="shared" si="84"/>
        <v>134805.41999999998</v>
      </c>
      <c r="AU127" s="109">
        <f>IF(BA127=1,IF(AU126=MiscData!$F$1,EOMONTH(AU126,-11),EOMONTH(AU126,1)),AU126)</f>
        <v>42490</v>
      </c>
      <c r="AV127" s="108" t="str">
        <f t="shared" si="85"/>
        <v>20140101LGCME563</v>
      </c>
      <c r="AW127" s="126" t="str">
        <f t="shared" si="86"/>
        <v>20140101PSP</v>
      </c>
      <c r="AX127">
        <f>MiscData!$X$5</f>
        <v>20140101</v>
      </c>
      <c r="BA127" s="98">
        <f>IF(BA126+1&gt;MiscData!$Z$42,1,BA126+1)</f>
        <v>10</v>
      </c>
      <c r="BB127" s="98" t="str">
        <f>VLOOKUP(BA127,MiscData!$Z$5:$AB$46,2,FALSE)</f>
        <v>LGCME563</v>
      </c>
      <c r="BC127" s="98" t="str">
        <f>VLOOKUP(BA127,MiscData!$Z$5:$AB$46,3,FALSE)</f>
        <v>PSP</v>
      </c>
    </row>
    <row r="128" spans="1:55">
      <c r="A128" s="108">
        <v>119</v>
      </c>
      <c r="B128" s="109" t="str">
        <f t="shared" si="75"/>
        <v>Apr 2016</v>
      </c>
      <c r="C128" s="110" t="str">
        <f t="shared" si="76"/>
        <v>PSS</v>
      </c>
      <c r="D128" s="110" t="str">
        <f t="shared" si="77"/>
        <v>LGCME567</v>
      </c>
      <c r="E128" s="111">
        <f t="shared" si="47"/>
        <v>0</v>
      </c>
      <c r="F128" s="112">
        <v>0</v>
      </c>
      <c r="G128" s="111">
        <f t="shared" si="48"/>
        <v>0</v>
      </c>
      <c r="H128" s="111">
        <f t="shared" si="49"/>
        <v>0</v>
      </c>
      <c r="I128" s="111">
        <f t="shared" si="50"/>
        <v>0</v>
      </c>
      <c r="J128" s="111">
        <f t="shared" si="51"/>
        <v>0</v>
      </c>
      <c r="K128" s="113">
        <f t="shared" si="52"/>
        <v>0</v>
      </c>
      <c r="L128" s="113">
        <f t="shared" si="53"/>
        <v>0</v>
      </c>
      <c r="M128" s="113">
        <f t="shared" si="54"/>
        <v>0</v>
      </c>
      <c r="N128" s="116">
        <f t="shared" si="55"/>
        <v>90</v>
      </c>
      <c r="O128" s="117">
        <f t="shared" si="88"/>
        <v>4.0599999999999997E-2</v>
      </c>
      <c r="P128" s="117">
        <f t="shared" si="56"/>
        <v>0</v>
      </c>
      <c r="Q128" s="117">
        <f t="shared" si="57"/>
        <v>0</v>
      </c>
      <c r="R128" s="117">
        <f t="shared" si="58"/>
        <v>2.725E-2</v>
      </c>
      <c r="S128" s="116">
        <f t="shared" si="59"/>
        <v>0</v>
      </c>
      <c r="T128" s="116">
        <f t="shared" si="60"/>
        <v>14.010000000000002</v>
      </c>
      <c r="U128" s="116">
        <f t="shared" si="61"/>
        <v>16.399999999999999</v>
      </c>
      <c r="V128" s="118">
        <f t="shared" si="62"/>
        <v>0</v>
      </c>
      <c r="W128" s="118">
        <f t="shared" si="78"/>
        <v>0</v>
      </c>
      <c r="X128" s="118">
        <f t="shared" si="79"/>
        <v>0</v>
      </c>
      <c r="Y128" s="118">
        <f t="shared" si="80"/>
        <v>0</v>
      </c>
      <c r="Z128" s="118">
        <f t="shared" si="81"/>
        <v>0</v>
      </c>
      <c r="AA128" s="119">
        <v>0</v>
      </c>
      <c r="AB128" s="120">
        <f t="shared" si="63"/>
        <v>0</v>
      </c>
      <c r="AC128" s="118">
        <f t="shared" si="64"/>
        <v>0</v>
      </c>
      <c r="AD128" s="118">
        <f t="shared" si="82"/>
        <v>0</v>
      </c>
      <c r="AE128" s="118">
        <f t="shared" si="65"/>
        <v>0</v>
      </c>
      <c r="AF128" s="121">
        <f t="shared" si="83"/>
        <v>1</v>
      </c>
      <c r="AG128" s="122">
        <f t="shared" si="66"/>
        <v>0</v>
      </c>
      <c r="AH128" s="122">
        <f t="shared" si="67"/>
        <v>0</v>
      </c>
      <c r="AI128" s="122">
        <f t="shared" si="68"/>
        <v>0</v>
      </c>
      <c r="AJ128" s="122">
        <f t="shared" si="69"/>
        <v>0</v>
      </c>
      <c r="AK128" s="122">
        <f t="shared" si="70"/>
        <v>0</v>
      </c>
      <c r="AL128" s="122">
        <f t="shared" si="71"/>
        <v>0</v>
      </c>
      <c r="AM128" s="123">
        <f t="shared" si="72"/>
        <v>0</v>
      </c>
      <c r="AN128" s="123">
        <f t="shared" si="89"/>
        <v>0</v>
      </c>
      <c r="AO128" s="124">
        <f t="shared" si="74"/>
        <v>0</v>
      </c>
      <c r="AP128" s="125">
        <f t="shared" si="84"/>
        <v>0</v>
      </c>
      <c r="AU128" s="109">
        <f>IF(BA128=1,IF(AU127=MiscData!$F$1,EOMONTH(AU127,-11),EOMONTH(AU127,1)),AU127)</f>
        <v>42490</v>
      </c>
      <c r="AV128" s="108" t="str">
        <f t="shared" si="85"/>
        <v>20140101LGCME567</v>
      </c>
      <c r="AW128" s="126" t="str">
        <f t="shared" si="86"/>
        <v>20140101PSS</v>
      </c>
      <c r="AX128">
        <f>MiscData!$X$5</f>
        <v>20140101</v>
      </c>
      <c r="BA128" s="98">
        <f>IF(BA127+1&gt;MiscData!$Z$42,1,BA127+1)</f>
        <v>11</v>
      </c>
      <c r="BB128" s="98" t="str">
        <f>VLOOKUP(BA128,MiscData!$Z$5:$AB$46,2,FALSE)</f>
        <v>LGCME567</v>
      </c>
      <c r="BC128" s="98" t="str">
        <f>VLOOKUP(BA128,MiscData!$Z$5:$AB$46,3,FALSE)</f>
        <v>PSS</v>
      </c>
    </row>
    <row r="129" spans="1:55">
      <c r="A129" s="108">
        <v>120</v>
      </c>
      <c r="B129" s="109" t="str">
        <f t="shared" si="75"/>
        <v>Apr 2016</v>
      </c>
      <c r="C129" s="110" t="str">
        <f t="shared" si="76"/>
        <v>TODS</v>
      </c>
      <c r="D129" s="110" t="str">
        <f t="shared" si="77"/>
        <v>LGCME591</v>
      </c>
      <c r="E129" s="111">
        <f t="shared" si="47"/>
        <v>225</v>
      </c>
      <c r="F129" s="112">
        <v>0</v>
      </c>
      <c r="G129" s="111">
        <f t="shared" si="48"/>
        <v>0</v>
      </c>
      <c r="H129" s="111">
        <f t="shared" si="49"/>
        <v>0</v>
      </c>
      <c r="I129" s="111">
        <f t="shared" si="50"/>
        <v>0</v>
      </c>
      <c r="J129" s="111">
        <f t="shared" si="51"/>
        <v>56529299</v>
      </c>
      <c r="K129" s="113">
        <f t="shared" si="52"/>
        <v>138479</v>
      </c>
      <c r="L129" s="113">
        <f t="shared" si="53"/>
        <v>128048</v>
      </c>
      <c r="M129" s="113">
        <f t="shared" si="54"/>
        <v>124669</v>
      </c>
      <c r="N129" s="116">
        <f t="shared" si="55"/>
        <v>200</v>
      </c>
      <c r="O129" s="117">
        <f t="shared" si="88"/>
        <v>3.9899999999999998E-2</v>
      </c>
      <c r="P129" s="117">
        <f t="shared" si="56"/>
        <v>0</v>
      </c>
      <c r="Q129" s="117">
        <f t="shared" si="57"/>
        <v>0</v>
      </c>
      <c r="R129" s="117">
        <f t="shared" si="58"/>
        <v>2.725E-2</v>
      </c>
      <c r="S129" s="116">
        <f t="shared" si="59"/>
        <v>4</v>
      </c>
      <c r="T129" s="116">
        <f t="shared" si="60"/>
        <v>4.5100000000000007</v>
      </c>
      <c r="U129" s="116">
        <f t="shared" si="61"/>
        <v>6.11</v>
      </c>
      <c r="V129" s="118">
        <f t="shared" si="62"/>
        <v>45000</v>
      </c>
      <c r="W129" s="118">
        <f t="shared" si="78"/>
        <v>2255519.0299999998</v>
      </c>
      <c r="X129" s="118">
        <f t="shared" si="79"/>
        <v>553916</v>
      </c>
      <c r="Y129" s="118">
        <f t="shared" si="80"/>
        <v>577496.48</v>
      </c>
      <c r="Z129" s="118">
        <f t="shared" si="81"/>
        <v>761727.59</v>
      </c>
      <c r="AA129" s="119">
        <v>0</v>
      </c>
      <c r="AB129" s="120">
        <f t="shared" si="63"/>
        <v>0</v>
      </c>
      <c r="AC129" s="118">
        <f t="shared" si="64"/>
        <v>1893140.0699999998</v>
      </c>
      <c r="AD129" s="118">
        <f t="shared" si="82"/>
        <v>4193659.0999999996</v>
      </c>
      <c r="AE129" s="118">
        <f t="shared" si="65"/>
        <v>4193660</v>
      </c>
      <c r="AF129" s="121">
        <f t="shared" si="83"/>
        <v>1</v>
      </c>
      <c r="AG129" s="122">
        <f t="shared" si="66"/>
        <v>-49249</v>
      </c>
      <c r="AH129" s="122">
        <f t="shared" si="67"/>
        <v>94874</v>
      </c>
      <c r="AI129" s="122">
        <f t="shared" si="68"/>
        <v>625787</v>
      </c>
      <c r="AJ129" s="122">
        <f t="shared" si="69"/>
        <v>0</v>
      </c>
      <c r="AK129" s="122">
        <f t="shared" si="70"/>
        <v>0</v>
      </c>
      <c r="AL129" s="122">
        <f t="shared" si="71"/>
        <v>4865072</v>
      </c>
      <c r="AM129" s="123">
        <f t="shared" si="72"/>
        <v>4865071.0999999996</v>
      </c>
      <c r="AN129" s="123">
        <f t="shared" si="89"/>
        <v>0.90000000037252903</v>
      </c>
      <c r="AO129" s="124">
        <f t="shared" si="74"/>
        <v>1540423.4</v>
      </c>
      <c r="AP129" s="125">
        <f t="shared" si="84"/>
        <v>715095.62999999989</v>
      </c>
      <c r="AU129" s="109">
        <f>IF(BA129=1,IF(AU128=MiscData!$F$1,EOMONTH(AU128,-11),EOMONTH(AU128,1)),AU128)</f>
        <v>42490</v>
      </c>
      <c r="AV129" s="108" t="str">
        <f t="shared" si="85"/>
        <v>20140101LGCME591</v>
      </c>
      <c r="AW129" s="126" t="str">
        <f t="shared" si="86"/>
        <v>20140101TODS</v>
      </c>
      <c r="AX129">
        <f>MiscData!$X$5</f>
        <v>20140101</v>
      </c>
      <c r="BA129" s="98">
        <f>IF(BA128+1&gt;MiscData!$Z$42,1,BA128+1)</f>
        <v>12</v>
      </c>
      <c r="BB129" s="98" t="str">
        <f>VLOOKUP(BA129,MiscData!$Z$5:$AB$46,2,FALSE)</f>
        <v>LGCME591</v>
      </c>
      <c r="BC129" s="98" t="str">
        <f>VLOOKUP(BA129,MiscData!$Z$5:$AB$46,3,FALSE)</f>
        <v>TODS</v>
      </c>
    </row>
    <row r="130" spans="1:55">
      <c r="A130" s="108">
        <v>121</v>
      </c>
      <c r="B130" s="109" t="str">
        <f t="shared" si="75"/>
        <v>Apr 2016</v>
      </c>
      <c r="C130" s="110" t="str">
        <f t="shared" si="76"/>
        <v>CTODP</v>
      </c>
      <c r="D130" s="110" t="str">
        <f t="shared" si="77"/>
        <v>LGCME593</v>
      </c>
      <c r="E130" s="111">
        <f t="shared" si="47"/>
        <v>41</v>
      </c>
      <c r="F130" s="112">
        <v>0</v>
      </c>
      <c r="G130" s="111">
        <f t="shared" si="48"/>
        <v>0</v>
      </c>
      <c r="H130" s="111">
        <f t="shared" si="49"/>
        <v>0</v>
      </c>
      <c r="I130" s="111">
        <f t="shared" si="50"/>
        <v>0</v>
      </c>
      <c r="J130" s="111">
        <f t="shared" si="51"/>
        <v>28136006</v>
      </c>
      <c r="K130" s="113">
        <f t="shared" si="52"/>
        <v>68635</v>
      </c>
      <c r="L130" s="113">
        <f t="shared" si="53"/>
        <v>65178</v>
      </c>
      <c r="M130" s="113">
        <f t="shared" si="54"/>
        <v>62041</v>
      </c>
      <c r="N130" s="116">
        <f t="shared" si="55"/>
        <v>300</v>
      </c>
      <c r="O130" s="117">
        <f t="shared" si="88"/>
        <v>3.8100000000000002E-2</v>
      </c>
      <c r="P130" s="117">
        <f t="shared" si="56"/>
        <v>0</v>
      </c>
      <c r="Q130" s="117">
        <f t="shared" si="57"/>
        <v>0</v>
      </c>
      <c r="R130" s="117">
        <f t="shared" si="58"/>
        <v>2.725E-2</v>
      </c>
      <c r="S130" s="116">
        <f t="shared" si="59"/>
        <v>3.9800000000000004</v>
      </c>
      <c r="T130" s="116">
        <f t="shared" si="60"/>
        <v>4.13</v>
      </c>
      <c r="U130" s="116">
        <f t="shared" si="61"/>
        <v>5.83</v>
      </c>
      <c r="V130" s="118">
        <f t="shared" si="62"/>
        <v>12300</v>
      </c>
      <c r="W130" s="118">
        <f t="shared" si="78"/>
        <v>1071981.83</v>
      </c>
      <c r="X130" s="118">
        <f t="shared" si="79"/>
        <v>273167.3</v>
      </c>
      <c r="Y130" s="118">
        <f t="shared" si="80"/>
        <v>269185.14</v>
      </c>
      <c r="Z130" s="118">
        <f t="shared" si="81"/>
        <v>361699.03</v>
      </c>
      <c r="AA130" s="119">
        <v>0</v>
      </c>
      <c r="AB130" s="120">
        <f t="shared" si="63"/>
        <v>0</v>
      </c>
      <c r="AC130" s="118">
        <f t="shared" si="64"/>
        <v>904051.47</v>
      </c>
      <c r="AD130" s="118">
        <f t="shared" si="82"/>
        <v>1988333.3</v>
      </c>
      <c r="AE130" s="118">
        <f t="shared" si="65"/>
        <v>1988334</v>
      </c>
      <c r="AF130" s="121">
        <f t="shared" si="83"/>
        <v>1</v>
      </c>
      <c r="AG130" s="122">
        <f t="shared" si="66"/>
        <v>-24512</v>
      </c>
      <c r="AH130" s="122">
        <f t="shared" si="67"/>
        <v>47221</v>
      </c>
      <c r="AI130" s="122">
        <f t="shared" si="68"/>
        <v>311470</v>
      </c>
      <c r="AJ130" s="122">
        <f t="shared" si="69"/>
        <v>0</v>
      </c>
      <c r="AK130" s="122">
        <f t="shared" si="70"/>
        <v>0</v>
      </c>
      <c r="AL130" s="122">
        <f t="shared" si="71"/>
        <v>2322513</v>
      </c>
      <c r="AM130" s="123">
        <f t="shared" si="72"/>
        <v>2322512.2999999998</v>
      </c>
      <c r="AN130" s="123">
        <f t="shared" si="89"/>
        <v>0.70000000018626451</v>
      </c>
      <c r="AO130" s="124">
        <f t="shared" si="74"/>
        <v>766706.16</v>
      </c>
      <c r="AP130" s="125">
        <f t="shared" si="84"/>
        <v>305275.67000000004</v>
      </c>
      <c r="AU130" s="109">
        <f>IF(BA130=1,IF(AU129=MiscData!$F$1,EOMONTH(AU129,-11),EOMONTH(AU129,1)),AU129)</f>
        <v>42490</v>
      </c>
      <c r="AV130" s="108" t="str">
        <f>CONCATENATE(AX130&amp;BB130)</f>
        <v>20140101LGCME593</v>
      </c>
      <c r="AW130" s="126" t="str">
        <f t="shared" si="86"/>
        <v>20140101CTODP</v>
      </c>
      <c r="AX130">
        <f>MiscData!$X$5</f>
        <v>20140101</v>
      </c>
      <c r="BA130" s="98">
        <f>IF(BA129+1&gt;MiscData!$Z$42,1,BA129+1)</f>
        <v>13</v>
      </c>
      <c r="BB130" s="98" t="str">
        <f>VLOOKUP(BA130,MiscData!$Z$5:$AB$46,2,FALSE)</f>
        <v>LGCME593</v>
      </c>
      <c r="BC130" s="98" t="str">
        <f>VLOOKUP(BA130,MiscData!$Z$5:$AB$46,3,FALSE)</f>
        <v>CTODP</v>
      </c>
    </row>
    <row r="131" spans="1:55">
      <c r="A131" s="108">
        <v>122</v>
      </c>
      <c r="B131" s="109" t="str">
        <f t="shared" si="75"/>
        <v>Apr 2016</v>
      </c>
      <c r="C131" s="110" t="str">
        <f t="shared" si="76"/>
        <v>GS3</v>
      </c>
      <c r="D131" s="110" t="str">
        <f t="shared" si="77"/>
        <v>LGCME650</v>
      </c>
      <c r="E131" s="111">
        <f t="shared" si="47"/>
        <v>0</v>
      </c>
      <c r="F131" s="112">
        <v>0</v>
      </c>
      <c r="G131" s="111">
        <f t="shared" si="48"/>
        <v>0</v>
      </c>
      <c r="H131" s="111">
        <f t="shared" si="49"/>
        <v>0</v>
      </c>
      <c r="I131" s="111">
        <f t="shared" si="50"/>
        <v>0</v>
      </c>
      <c r="J131" s="111">
        <f t="shared" si="51"/>
        <v>0</v>
      </c>
      <c r="K131" s="113">
        <f t="shared" si="52"/>
        <v>0</v>
      </c>
      <c r="L131" s="113">
        <f t="shared" si="53"/>
        <v>0</v>
      </c>
      <c r="M131" s="113">
        <f t="shared" si="54"/>
        <v>0</v>
      </c>
      <c r="N131" s="116">
        <f>SUMIF(L_Rates_Tariff_Rate_Category,AV131,L_Rates_BSC)</f>
        <v>35</v>
      </c>
      <c r="O131" s="117">
        <f t="shared" si="88"/>
        <v>9.1340000000000005E-2</v>
      </c>
      <c r="P131" s="117">
        <f t="shared" si="56"/>
        <v>0</v>
      </c>
      <c r="Q131" s="117">
        <f t="shared" si="57"/>
        <v>0</v>
      </c>
      <c r="R131" s="117">
        <f t="shared" si="58"/>
        <v>2.725E-2</v>
      </c>
      <c r="S131" s="116">
        <f t="shared" si="59"/>
        <v>0</v>
      </c>
      <c r="T131" s="116">
        <f t="shared" si="60"/>
        <v>0</v>
      </c>
      <c r="U131" s="116">
        <f t="shared" si="61"/>
        <v>0</v>
      </c>
      <c r="V131" s="118">
        <f t="shared" si="62"/>
        <v>0</v>
      </c>
      <c r="W131" s="118">
        <f t="shared" si="78"/>
        <v>0</v>
      </c>
      <c r="X131" s="118">
        <f t="shared" si="79"/>
        <v>0</v>
      </c>
      <c r="Y131" s="118">
        <f t="shared" si="80"/>
        <v>0</v>
      </c>
      <c r="Z131" s="118">
        <f t="shared" si="81"/>
        <v>0</v>
      </c>
      <c r="AA131" s="119">
        <v>0</v>
      </c>
      <c r="AB131" s="120">
        <f t="shared" si="63"/>
        <v>0</v>
      </c>
      <c r="AC131" s="118">
        <f t="shared" si="64"/>
        <v>0</v>
      </c>
      <c r="AD131" s="118">
        <f t="shared" si="82"/>
        <v>0</v>
      </c>
      <c r="AE131" s="118">
        <f t="shared" si="65"/>
        <v>0</v>
      </c>
      <c r="AF131" s="121">
        <f t="shared" si="83"/>
        <v>1</v>
      </c>
      <c r="AG131" s="122">
        <f t="shared" si="66"/>
        <v>0</v>
      </c>
      <c r="AH131" s="122">
        <f t="shared" si="67"/>
        <v>0</v>
      </c>
      <c r="AI131" s="122">
        <f t="shared" si="68"/>
        <v>0</v>
      </c>
      <c r="AJ131" s="122">
        <f t="shared" si="69"/>
        <v>0</v>
      </c>
      <c r="AK131" s="122">
        <f t="shared" si="70"/>
        <v>0</v>
      </c>
      <c r="AL131" s="122">
        <f t="shared" si="71"/>
        <v>0</v>
      </c>
      <c r="AM131" s="123">
        <f t="shared" si="72"/>
        <v>0</v>
      </c>
      <c r="AN131" s="123">
        <f t="shared" si="89"/>
        <v>0</v>
      </c>
      <c r="AO131" s="124">
        <f t="shared" si="74"/>
        <v>0</v>
      </c>
      <c r="AP131" s="125">
        <f t="shared" si="84"/>
        <v>0</v>
      </c>
      <c r="AU131" s="109">
        <f>IF(BA131=1,IF(AU130=MiscData!$F$1,EOMONTH(AU130,-11),EOMONTH(AU130,1)),AU130)</f>
        <v>42490</v>
      </c>
      <c r="AV131" s="108" t="str">
        <f t="shared" si="85"/>
        <v>20140101LGCME650</v>
      </c>
      <c r="AW131" s="126" t="str">
        <f t="shared" si="86"/>
        <v>20140101GS3</v>
      </c>
      <c r="AX131">
        <f>MiscData!$X$5</f>
        <v>20140101</v>
      </c>
      <c r="BA131" s="98">
        <f>IF(BA130+1&gt;MiscData!$Z$42,1,BA130+1)</f>
        <v>14</v>
      </c>
      <c r="BB131" s="98" t="str">
        <f>VLOOKUP(BA131,MiscData!$Z$5:$AB$46,2,FALSE)</f>
        <v>LGCME650</v>
      </c>
      <c r="BC131" s="98" t="str">
        <f>VLOOKUP(BA131,MiscData!$Z$5:$AB$46,3,FALSE)</f>
        <v>GS3</v>
      </c>
    </row>
    <row r="132" spans="1:55">
      <c r="A132" s="108">
        <v>123</v>
      </c>
      <c r="B132" s="109" t="str">
        <f t="shared" si="75"/>
        <v>Apr 2016</v>
      </c>
      <c r="C132" s="110" t="str">
        <f t="shared" si="76"/>
        <v>GS3</v>
      </c>
      <c r="D132" s="110" t="str">
        <f t="shared" si="77"/>
        <v>LGCME651</v>
      </c>
      <c r="E132" s="111">
        <f t="shared" ref="E132:E195" si="92">SUMIFS(L_1022_Count,L_1022_Revenue_Month,$B132,L_1022_Rate_Category,$D132)</f>
        <v>16404</v>
      </c>
      <c r="F132" s="112">
        <v>0</v>
      </c>
      <c r="G132" s="111">
        <f t="shared" ref="G132:G195" si="93">SUMIFS(L_1022_KWH_P1,L_1022_Revenue_Month,$B132,L_1022_Rate_Category,$D132)</f>
        <v>0</v>
      </c>
      <c r="H132" s="111">
        <f t="shared" ref="H132:H195" si="94">SUMIFS(L_1022_KWH_P2,L_1022_Revenue_Month,$B132,L_1022_Rate_Category,$D132)</f>
        <v>0</v>
      </c>
      <c r="I132" s="111">
        <f t="shared" ref="I132:I195" si="95">SUMIFS(L_1022_KWH_P3,L_1022_Revenue_Month,$B132,L_1022_Rate_Category,$D132)</f>
        <v>0</v>
      </c>
      <c r="J132" s="111">
        <f t="shared" ref="J132:J195" si="96">SUMIFS(L_1022_KWH_Total,L_1022_Revenue_Month,$B132,L_1022_Rate_Category,$D132)</f>
        <v>71967151</v>
      </c>
      <c r="K132" s="113">
        <f t="shared" ref="K132:K195" si="97">SUMIFS(L_1022_Demand_Base_Measured,L_1022_Revenue_Month,$B132,L_1022_Rate_Category,$D132)</f>
        <v>214875</v>
      </c>
      <c r="L132" s="113">
        <f t="shared" ref="L132:L195" si="98">SUMIFS(L_1022_Demand_Inter_Measured,L_1022_Revenue_Month,$B132,L_1022_Rate_Category,$D132)</f>
        <v>0</v>
      </c>
      <c r="M132" s="113">
        <f t="shared" ref="M132:M195" si="99">SUMIFS(L_1022_Demand_Peak_Measured,L_1022_Revenue_Month,$B132,L_1022_Rate_Category,$D132)</f>
        <v>0</v>
      </c>
      <c r="N132" s="116">
        <f t="shared" ref="N132:N195" si="100">SUMIF(L_Rates_Tariff_Rate_Category,AV132,L_Rates_BSC)</f>
        <v>35</v>
      </c>
      <c r="O132" s="117">
        <f t="shared" si="88"/>
        <v>9.1340000000000005E-2</v>
      </c>
      <c r="P132" s="117">
        <f t="shared" ref="P132:P195" si="101">SUMIF(L_Rates_Tariff_Rate_Category,$AV132,L_Rates_Energy_P2)</f>
        <v>0</v>
      </c>
      <c r="Q132" s="117">
        <f t="shared" ref="Q132:Q195" si="102">SUMIF(L_Rates_Tariff_Rate_Category,$AV132,L_Rates_Energy_P3)</f>
        <v>0</v>
      </c>
      <c r="R132" s="117">
        <f t="shared" ref="R132:R195" si="103">SUMIF(L_Rates_Tariff_Rate_Category,$AV132,L_Rates_Energy_Base_Fuel)</f>
        <v>2.725E-2</v>
      </c>
      <c r="S132" s="116">
        <f t="shared" ref="S132:S195" si="104">SUMIF(L_Rates_Tariff_Rate_Category,$AV132,L_Rates_Demand_Base)</f>
        <v>0</v>
      </c>
      <c r="T132" s="116">
        <f t="shared" ref="T132:T195" si="105">SUMIF(L_Rates_Tariff_Rate_Category,$AV132,L_Rates_Demand_Intermediate)</f>
        <v>0</v>
      </c>
      <c r="U132" s="116">
        <f t="shared" ref="U132:U195" si="106">SUMIF(L_Rates_Tariff_Rate_Category,$AV132,L_Rates_Demand_Peak)</f>
        <v>0</v>
      </c>
      <c r="V132" s="118">
        <f t="shared" ref="V132:V195" si="107">ROUND(($E132+$F132)*$N132,2)</f>
        <v>574140</v>
      </c>
      <c r="W132" s="118">
        <f t="shared" si="78"/>
        <v>6573479.5700000003</v>
      </c>
      <c r="X132" s="118">
        <f t="shared" si="79"/>
        <v>0</v>
      </c>
      <c r="Y132" s="118">
        <f t="shared" si="80"/>
        <v>0</v>
      </c>
      <c r="Z132" s="118">
        <f t="shared" si="81"/>
        <v>0</v>
      </c>
      <c r="AA132" s="119">
        <v>0</v>
      </c>
      <c r="AB132" s="120">
        <f t="shared" ref="AB132:AB195" si="108">SUMIFS(L_1022_Revenue_Power_Factor,L_1022_Revenue_Month,$B132,L_1022_Rate_Category,$D132)</f>
        <v>0</v>
      </c>
      <c r="AC132" s="118">
        <f t="shared" ref="AC132:AC195" si="109">SUM(X132:AB132)</f>
        <v>0</v>
      </c>
      <c r="AD132" s="118">
        <f t="shared" si="82"/>
        <v>7147619.5700000003</v>
      </c>
      <c r="AE132" s="118">
        <f t="shared" ref="AE132:AE195" si="110">AL132-SUM(AG132:AK132)</f>
        <v>7147637</v>
      </c>
      <c r="AF132" s="121">
        <f t="shared" si="83"/>
        <v>1.0000020000000001</v>
      </c>
      <c r="AG132" s="122">
        <f t="shared" ref="AG132:AG195" si="111">SUMIFS(L_SBR_FAC,L_SBR_Revenue_Month,$B132,L_SBR_Rate_Category,$D132)</f>
        <v>-62699</v>
      </c>
      <c r="AH132" s="122">
        <f t="shared" ref="AH132:AH195" si="112">SUMIFS(L_SBR_DSM,L_SBR_Revenue_Month,$B132,L_SBR_Rate_Category,$D132)</f>
        <v>120784</v>
      </c>
      <c r="AI132" s="122">
        <f t="shared" ref="AI132:AI195" si="113">SUMIFS(L_SBR_ECR,L_SBR_Revenue_Month,$B132,L_SBR_Rate_Category,$D132)</f>
        <v>796686</v>
      </c>
      <c r="AJ132" s="122">
        <f t="shared" ref="AJ132:AJ195" si="114">SUMIFS(L_SBR_MSR,L_SBR_Revenue_Month,$B132,L_SBR_Rate_Category,$D132)</f>
        <v>0</v>
      </c>
      <c r="AK132" s="122">
        <f t="shared" ref="AK132:AK195" si="115">SUMIFS(L_SBR_CSR,L_SBR_Revenue_Month,$B132,L_SBR_Rate_Category,$D132)</f>
        <v>0</v>
      </c>
      <c r="AL132" s="122">
        <f t="shared" ref="AL132:AL195" si="116">SUMIFS(L_SBR_Revenue_Total,L_SBR_Revenue_Month,$B132,L_SBR_Rate_Category,$D132)</f>
        <v>8002408</v>
      </c>
      <c r="AM132" s="123">
        <f t="shared" ref="AM132:AM195" si="117">SUM(AD132,AG132:AK132)</f>
        <v>8002390.5700000003</v>
      </c>
      <c r="AN132" s="123">
        <f t="shared" si="89"/>
        <v>17.429999999701977</v>
      </c>
      <c r="AO132" s="124">
        <f t="shared" ref="AO132:AO195" si="118">ROUND(J132*R132,2)</f>
        <v>1961104.86</v>
      </c>
      <c r="AP132" s="125">
        <f t="shared" si="84"/>
        <v>4612374.71</v>
      </c>
      <c r="AU132" s="109">
        <f>IF(BA132=1,IF(AU131=MiscData!$F$1,EOMONTH(AU131,-11),EOMONTH(AU131,1)),AU131)</f>
        <v>42490</v>
      </c>
      <c r="AV132" s="108" t="str">
        <f t="shared" si="85"/>
        <v>20140101LGCME651</v>
      </c>
      <c r="AW132" s="126" t="str">
        <f t="shared" si="86"/>
        <v>20140101GS3</v>
      </c>
      <c r="AX132">
        <f>MiscData!$X$5</f>
        <v>20140101</v>
      </c>
      <c r="BA132" s="98">
        <f>IF(BA131+1&gt;MiscData!$Z$42,1,BA131+1)</f>
        <v>15</v>
      </c>
      <c r="BB132" s="98" t="str">
        <f>VLOOKUP(BA132,MiscData!$Z$5:$AB$46,2,FALSE)</f>
        <v>LGCME651</v>
      </c>
      <c r="BC132" s="98" t="str">
        <f>VLOOKUP(BA132,MiscData!$Z$5:$AB$46,3,FALSE)</f>
        <v>GS3</v>
      </c>
    </row>
    <row r="133" spans="1:55">
      <c r="A133" s="108">
        <v>124</v>
      </c>
      <c r="B133" s="109" t="str">
        <f t="shared" ref="B133:B196" si="119">TEXT(AU133,"mmm yyyy")</f>
        <v>Apr 2016</v>
      </c>
      <c r="C133" s="110" t="str">
        <f t="shared" ref="C133:C195" si="120">BC133</f>
        <v>GS3</v>
      </c>
      <c r="D133" s="110" t="str">
        <f t="shared" ref="D133:D196" si="121">BB133</f>
        <v>LGCME652</v>
      </c>
      <c r="E133" s="111">
        <f t="shared" si="92"/>
        <v>0</v>
      </c>
      <c r="F133" s="112">
        <v>0</v>
      </c>
      <c r="G133" s="111">
        <f t="shared" si="93"/>
        <v>0</v>
      </c>
      <c r="H133" s="111">
        <f t="shared" si="94"/>
        <v>0</v>
      </c>
      <c r="I133" s="111">
        <f t="shared" si="95"/>
        <v>0</v>
      </c>
      <c r="J133" s="111">
        <f t="shared" si="96"/>
        <v>0</v>
      </c>
      <c r="K133" s="113">
        <f t="shared" si="97"/>
        <v>0</v>
      </c>
      <c r="L133" s="113">
        <f t="shared" si="98"/>
        <v>0</v>
      </c>
      <c r="M133" s="113">
        <f t="shared" si="99"/>
        <v>0</v>
      </c>
      <c r="N133" s="116">
        <f t="shared" si="100"/>
        <v>0</v>
      </c>
      <c r="O133" s="117">
        <f t="shared" si="88"/>
        <v>9.1340000000000005E-2</v>
      </c>
      <c r="P133" s="117">
        <f t="shared" si="101"/>
        <v>0</v>
      </c>
      <c r="Q133" s="117">
        <f t="shared" si="102"/>
        <v>0</v>
      </c>
      <c r="R133" s="117">
        <f t="shared" si="103"/>
        <v>2.725E-2</v>
      </c>
      <c r="S133" s="116">
        <f t="shared" si="104"/>
        <v>0</v>
      </c>
      <c r="T133" s="116">
        <f t="shared" si="105"/>
        <v>0</v>
      </c>
      <c r="U133" s="116">
        <f t="shared" si="106"/>
        <v>0</v>
      </c>
      <c r="V133" s="118">
        <f t="shared" si="107"/>
        <v>0</v>
      </c>
      <c r="W133" s="118">
        <f t="shared" ref="W133:W196" si="122">ROUND(IF(G133=0,J133*O133,SUMPRODUCT(G133:I133,O133:Q133)),2)</f>
        <v>0</v>
      </c>
      <c r="X133" s="118">
        <f t="shared" ref="X133:X196" si="123">ROUND(K133*S133,2)</f>
        <v>0</v>
      </c>
      <c r="Y133" s="118">
        <f t="shared" ref="Y133:Y196" si="124">ROUND(L133*T133,2)</f>
        <v>0</v>
      </c>
      <c r="Z133" s="118">
        <f t="shared" ref="Z133:Z196" si="125">ROUND(M133*U133,2)</f>
        <v>0</v>
      </c>
      <c r="AA133" s="119">
        <v>0</v>
      </c>
      <c r="AB133" s="120">
        <f t="shared" si="108"/>
        <v>0</v>
      </c>
      <c r="AC133" s="118">
        <f t="shared" si="109"/>
        <v>0</v>
      </c>
      <c r="AD133" s="118">
        <f t="shared" ref="AD133:AD196" si="126">SUM(V133:AB133)</f>
        <v>0</v>
      </c>
      <c r="AE133" s="118">
        <f t="shared" si="110"/>
        <v>0</v>
      </c>
      <c r="AF133" s="121">
        <f t="shared" ref="AF133:AF196" si="127">IF(AND(AD133=0,AE133=0),1,IF(AD133=0,0,ROUND(AE133/AD133,6)))</f>
        <v>1</v>
      </c>
      <c r="AG133" s="122">
        <f t="shared" si="111"/>
        <v>0</v>
      </c>
      <c r="AH133" s="122">
        <f t="shared" si="112"/>
        <v>0</v>
      </c>
      <c r="AI133" s="122">
        <f t="shared" si="113"/>
        <v>0</v>
      </c>
      <c r="AJ133" s="122">
        <f t="shared" si="114"/>
        <v>0</v>
      </c>
      <c r="AK133" s="122">
        <f t="shared" si="115"/>
        <v>0</v>
      </c>
      <c r="AL133" s="122">
        <f t="shared" si="116"/>
        <v>0</v>
      </c>
      <c r="AM133" s="123">
        <f t="shared" si="117"/>
        <v>0</v>
      </c>
      <c r="AN133" s="123">
        <f t="shared" si="89"/>
        <v>0</v>
      </c>
      <c r="AO133" s="124">
        <f t="shared" si="118"/>
        <v>0</v>
      </c>
      <c r="AP133" s="125">
        <f t="shared" ref="AP133:AP196" si="128">W133-AO133</f>
        <v>0</v>
      </c>
      <c r="AU133" s="109">
        <f>IF(BA133=1,IF(AU132=MiscData!$F$1,EOMONTH(AU132,-11),EOMONTH(AU132,1)),AU132)</f>
        <v>42490</v>
      </c>
      <c r="AV133" s="108" t="str">
        <f t="shared" ref="AV133:AV196" si="129">CONCATENATE(AX133&amp;BB133)</f>
        <v>20140101LGCME652</v>
      </c>
      <c r="AW133" s="126" t="str">
        <f t="shared" ref="AW133:AW196" si="130">CONCATENATE(AX133&amp;BC133)</f>
        <v>20140101GS3</v>
      </c>
      <c r="AX133">
        <f>MiscData!$X$5</f>
        <v>20140101</v>
      </c>
      <c r="BA133" s="98">
        <f>IF(BA132+1&gt;MiscData!$Z$42,1,BA132+1)</f>
        <v>16</v>
      </c>
      <c r="BB133" s="98" t="str">
        <f>VLOOKUP(BA133,MiscData!$Z$5:$AB$46,2,FALSE)</f>
        <v>LGCME652</v>
      </c>
      <c r="BC133" s="98" t="str">
        <f>VLOOKUP(BA133,MiscData!$Z$5:$AB$46,3,FALSE)</f>
        <v>GS3</v>
      </c>
    </row>
    <row r="134" spans="1:55">
      <c r="A134" s="108">
        <v>125</v>
      </c>
      <c r="B134" s="109" t="str">
        <f t="shared" si="119"/>
        <v>Apr 2016</v>
      </c>
      <c r="C134" s="110" t="str">
        <f t="shared" si="120"/>
        <v>GS3</v>
      </c>
      <c r="D134" s="110" t="str">
        <f t="shared" si="121"/>
        <v>LGCME657</v>
      </c>
      <c r="E134" s="111">
        <f t="shared" si="92"/>
        <v>0</v>
      </c>
      <c r="F134" s="112">
        <v>0</v>
      </c>
      <c r="G134" s="111">
        <f t="shared" si="93"/>
        <v>0</v>
      </c>
      <c r="H134" s="111">
        <f t="shared" si="94"/>
        <v>0</v>
      </c>
      <c r="I134" s="111">
        <f t="shared" si="95"/>
        <v>0</v>
      </c>
      <c r="J134" s="111">
        <f t="shared" si="96"/>
        <v>0</v>
      </c>
      <c r="K134" s="113">
        <f t="shared" si="97"/>
        <v>0</v>
      </c>
      <c r="L134" s="113">
        <f t="shared" si="98"/>
        <v>0</v>
      </c>
      <c r="M134" s="113">
        <f t="shared" si="99"/>
        <v>0</v>
      </c>
      <c r="N134" s="116">
        <f t="shared" si="100"/>
        <v>35</v>
      </c>
      <c r="O134" s="117">
        <f t="shared" si="88"/>
        <v>9.1340000000000005E-2</v>
      </c>
      <c r="P134" s="117">
        <f t="shared" si="101"/>
        <v>0</v>
      </c>
      <c r="Q134" s="117">
        <f t="shared" si="102"/>
        <v>0</v>
      </c>
      <c r="R134" s="117">
        <f t="shared" si="103"/>
        <v>2.725E-2</v>
      </c>
      <c r="S134" s="116">
        <f t="shared" si="104"/>
        <v>0</v>
      </c>
      <c r="T134" s="116">
        <f t="shared" si="105"/>
        <v>0</v>
      </c>
      <c r="U134" s="116">
        <f t="shared" si="106"/>
        <v>0</v>
      </c>
      <c r="V134" s="118">
        <f t="shared" si="107"/>
        <v>0</v>
      </c>
      <c r="W134" s="118">
        <f t="shared" si="122"/>
        <v>0</v>
      </c>
      <c r="X134" s="118">
        <f t="shared" si="123"/>
        <v>0</v>
      </c>
      <c r="Y134" s="118">
        <f t="shared" si="124"/>
        <v>0</v>
      </c>
      <c r="Z134" s="118">
        <f t="shared" si="125"/>
        <v>0</v>
      </c>
      <c r="AA134" s="119">
        <v>0</v>
      </c>
      <c r="AB134" s="120">
        <f t="shared" si="108"/>
        <v>0</v>
      </c>
      <c r="AC134" s="118">
        <f t="shared" si="109"/>
        <v>0</v>
      </c>
      <c r="AD134" s="118">
        <f t="shared" si="126"/>
        <v>0</v>
      </c>
      <c r="AE134" s="118">
        <f t="shared" si="110"/>
        <v>0</v>
      </c>
      <c r="AF134" s="121">
        <f t="shared" si="127"/>
        <v>1</v>
      </c>
      <c r="AG134" s="122">
        <f t="shared" si="111"/>
        <v>0</v>
      </c>
      <c r="AH134" s="122">
        <f t="shared" si="112"/>
        <v>0</v>
      </c>
      <c r="AI134" s="122">
        <f t="shared" si="113"/>
        <v>0</v>
      </c>
      <c r="AJ134" s="122">
        <f t="shared" si="114"/>
        <v>0</v>
      </c>
      <c r="AK134" s="122">
        <f t="shared" si="115"/>
        <v>0</v>
      </c>
      <c r="AL134" s="122">
        <f t="shared" si="116"/>
        <v>0</v>
      </c>
      <c r="AM134" s="123">
        <f t="shared" si="117"/>
        <v>0</v>
      </c>
      <c r="AN134" s="123">
        <f t="shared" si="89"/>
        <v>0</v>
      </c>
      <c r="AO134" s="124">
        <f t="shared" si="118"/>
        <v>0</v>
      </c>
      <c r="AP134" s="125">
        <f t="shared" si="128"/>
        <v>0</v>
      </c>
      <c r="AU134" s="109">
        <f>IF(BA134=1,IF(AU133=MiscData!$F$1,EOMONTH(AU133,-11),EOMONTH(AU133,1)),AU133)</f>
        <v>42490</v>
      </c>
      <c r="AV134" s="108" t="str">
        <f t="shared" si="129"/>
        <v>20140101LGCME657</v>
      </c>
      <c r="AW134" s="126" t="str">
        <f t="shared" si="130"/>
        <v>20140101GS3</v>
      </c>
      <c r="AX134">
        <f>MiscData!$X$5</f>
        <v>20140101</v>
      </c>
      <c r="BA134" s="98">
        <f>IF(BA133+1&gt;MiscData!$Z$42,1,BA133+1)</f>
        <v>17</v>
      </c>
      <c r="BB134" s="98" t="str">
        <f>VLOOKUP(BA134,MiscData!$Z$5:$AB$46,2,FALSE)</f>
        <v>LGCME657</v>
      </c>
      <c r="BC134" s="98" t="str">
        <f>VLOOKUP(BA134,MiscData!$Z$5:$AB$46,3,FALSE)</f>
        <v>GS3</v>
      </c>
    </row>
    <row r="135" spans="1:55">
      <c r="A135" s="108">
        <v>126</v>
      </c>
      <c r="B135" s="109" t="str">
        <f t="shared" si="119"/>
        <v>Apr 2016</v>
      </c>
      <c r="C135" s="110" t="str">
        <f t="shared" si="120"/>
        <v>LWC</v>
      </c>
      <c r="D135" s="110" t="str">
        <f t="shared" si="121"/>
        <v>LGCME671</v>
      </c>
      <c r="E135" s="111">
        <f t="shared" si="92"/>
        <v>2</v>
      </c>
      <c r="F135" s="112">
        <v>0</v>
      </c>
      <c r="G135" s="111">
        <f t="shared" si="93"/>
        <v>0</v>
      </c>
      <c r="H135" s="111">
        <f t="shared" si="94"/>
        <v>0</v>
      </c>
      <c r="I135" s="111">
        <f t="shared" si="95"/>
        <v>0</v>
      </c>
      <c r="J135" s="111">
        <f t="shared" si="96"/>
        <v>4414320</v>
      </c>
      <c r="K135" s="113">
        <f t="shared" si="97"/>
        <v>0</v>
      </c>
      <c r="L135" s="113">
        <f t="shared" si="98"/>
        <v>9307</v>
      </c>
      <c r="M135" s="113">
        <f t="shared" si="99"/>
        <v>0</v>
      </c>
      <c r="N135" s="116">
        <f t="shared" si="100"/>
        <v>0</v>
      </c>
      <c r="O135" s="117">
        <f t="shared" si="88"/>
        <v>3.7019999999999997E-2</v>
      </c>
      <c r="P135" s="117">
        <f t="shared" si="101"/>
        <v>0</v>
      </c>
      <c r="Q135" s="117">
        <f t="shared" si="102"/>
        <v>0</v>
      </c>
      <c r="R135" s="117">
        <f t="shared" si="103"/>
        <v>2.725E-2</v>
      </c>
      <c r="S135" s="116">
        <f t="shared" si="104"/>
        <v>0</v>
      </c>
      <c r="T135" s="116">
        <f t="shared" si="105"/>
        <v>10.35</v>
      </c>
      <c r="U135" s="116">
        <f t="shared" si="106"/>
        <v>10.35</v>
      </c>
      <c r="V135" s="118">
        <f t="shared" si="107"/>
        <v>0</v>
      </c>
      <c r="W135" s="118">
        <f t="shared" si="122"/>
        <v>163418.13</v>
      </c>
      <c r="X135" s="118">
        <f t="shared" si="123"/>
        <v>0</v>
      </c>
      <c r="Y135" s="118">
        <f t="shared" si="124"/>
        <v>96327.45</v>
      </c>
      <c r="Z135" s="118">
        <f t="shared" si="125"/>
        <v>0</v>
      </c>
      <c r="AA135" s="119">
        <v>0</v>
      </c>
      <c r="AB135" s="120">
        <f t="shared" si="108"/>
        <v>0</v>
      </c>
      <c r="AC135" s="118">
        <f t="shared" si="109"/>
        <v>96327.45</v>
      </c>
      <c r="AD135" s="118">
        <f t="shared" si="126"/>
        <v>259745.58000000002</v>
      </c>
      <c r="AE135" s="118">
        <f t="shared" si="110"/>
        <v>259748</v>
      </c>
      <c r="AF135" s="121">
        <f t="shared" si="127"/>
        <v>1.0000089999999999</v>
      </c>
      <c r="AG135" s="122">
        <f t="shared" si="111"/>
        <v>-3846</v>
      </c>
      <c r="AH135" s="122">
        <f t="shared" si="112"/>
        <v>0</v>
      </c>
      <c r="AI135" s="122">
        <f t="shared" si="113"/>
        <v>48867</v>
      </c>
      <c r="AJ135" s="122">
        <f t="shared" si="114"/>
        <v>0</v>
      </c>
      <c r="AK135" s="122">
        <f t="shared" si="115"/>
        <v>0</v>
      </c>
      <c r="AL135" s="122">
        <f t="shared" si="116"/>
        <v>304769</v>
      </c>
      <c r="AM135" s="123">
        <f t="shared" si="117"/>
        <v>304766.58</v>
      </c>
      <c r="AN135" s="123">
        <f t="shared" si="89"/>
        <v>2.4199999999837019</v>
      </c>
      <c r="AO135" s="124">
        <f t="shared" si="118"/>
        <v>120290.22</v>
      </c>
      <c r="AP135" s="125">
        <f t="shared" si="128"/>
        <v>43127.91</v>
      </c>
      <c r="AU135" s="109">
        <f>IF(BA135=1,IF(AU134=MiscData!$F$1,EOMONTH(AU134,-11),EOMONTH(AU134,1)),AU134)</f>
        <v>42490</v>
      </c>
      <c r="AV135" s="108" t="str">
        <f t="shared" si="129"/>
        <v>20140101LGCME671</v>
      </c>
      <c r="AW135" s="126" t="str">
        <f t="shared" si="130"/>
        <v>20140101LWC</v>
      </c>
      <c r="AX135">
        <f>MiscData!$X$5</f>
        <v>20140101</v>
      </c>
      <c r="BA135" s="98">
        <f>IF(BA134+1&gt;MiscData!$Z$42,1,BA134+1)</f>
        <v>18</v>
      </c>
      <c r="BB135" s="98" t="str">
        <f>VLOOKUP(BA135,MiscData!$Z$5:$AB$46,2,FALSE)</f>
        <v>LGCME671</v>
      </c>
      <c r="BC135" s="98" t="str">
        <f>VLOOKUP(BA135,MiscData!$Z$5:$AB$46,3,FALSE)</f>
        <v>LWC</v>
      </c>
    </row>
    <row r="136" spans="1:55">
      <c r="A136" s="108">
        <v>127</v>
      </c>
      <c r="B136" s="109" t="str">
        <f t="shared" si="119"/>
        <v>Apr 2016</v>
      </c>
      <c r="C136" s="110" t="str">
        <f t="shared" si="120"/>
        <v>CSR</v>
      </c>
      <c r="D136" s="110" t="str">
        <f t="shared" si="121"/>
        <v>LGCSR760</v>
      </c>
      <c r="E136" s="111">
        <f t="shared" si="92"/>
        <v>0</v>
      </c>
      <c r="F136" s="112">
        <v>0</v>
      </c>
      <c r="G136" s="111">
        <f t="shared" si="93"/>
        <v>0</v>
      </c>
      <c r="H136" s="111">
        <f t="shared" si="94"/>
        <v>0</v>
      </c>
      <c r="I136" s="111">
        <f t="shared" si="95"/>
        <v>0</v>
      </c>
      <c r="J136" s="111">
        <f t="shared" si="96"/>
        <v>0</v>
      </c>
      <c r="K136" s="113">
        <f t="shared" si="97"/>
        <v>0</v>
      </c>
      <c r="L136" s="113">
        <f t="shared" si="98"/>
        <v>0</v>
      </c>
      <c r="M136" s="113">
        <f t="shared" si="99"/>
        <v>0</v>
      </c>
      <c r="N136" s="116">
        <f t="shared" si="100"/>
        <v>0</v>
      </c>
      <c r="O136" s="117">
        <f t="shared" si="88"/>
        <v>0</v>
      </c>
      <c r="P136" s="117">
        <f t="shared" si="101"/>
        <v>0</v>
      </c>
      <c r="Q136" s="117">
        <f t="shared" si="102"/>
        <v>0</v>
      </c>
      <c r="R136" s="117">
        <f t="shared" si="103"/>
        <v>0</v>
      </c>
      <c r="S136" s="116">
        <f t="shared" si="104"/>
        <v>0</v>
      </c>
      <c r="T136" s="116">
        <f t="shared" si="105"/>
        <v>0</v>
      </c>
      <c r="U136" s="116">
        <f t="shared" si="106"/>
        <v>0</v>
      </c>
      <c r="V136" s="118">
        <f t="shared" si="107"/>
        <v>0</v>
      </c>
      <c r="W136" s="118">
        <f t="shared" si="122"/>
        <v>0</v>
      </c>
      <c r="X136" s="118">
        <f t="shared" si="123"/>
        <v>0</v>
      </c>
      <c r="Y136" s="118">
        <f t="shared" si="124"/>
        <v>0</v>
      </c>
      <c r="Z136" s="118">
        <f t="shared" si="125"/>
        <v>0</v>
      </c>
      <c r="AA136" s="119">
        <v>0</v>
      </c>
      <c r="AB136" s="120">
        <f t="shared" si="108"/>
        <v>0</v>
      </c>
      <c r="AC136" s="118">
        <f t="shared" si="109"/>
        <v>0</v>
      </c>
      <c r="AD136" s="118">
        <f t="shared" si="126"/>
        <v>0</v>
      </c>
      <c r="AE136" s="118">
        <f t="shared" si="110"/>
        <v>0</v>
      </c>
      <c r="AF136" s="121">
        <f t="shared" si="127"/>
        <v>1</v>
      </c>
      <c r="AG136" s="122">
        <f t="shared" si="111"/>
        <v>0</v>
      </c>
      <c r="AH136" s="122">
        <f t="shared" si="112"/>
        <v>0</v>
      </c>
      <c r="AI136" s="122">
        <f t="shared" si="113"/>
        <v>0</v>
      </c>
      <c r="AJ136" s="122">
        <f t="shared" si="114"/>
        <v>0</v>
      </c>
      <c r="AK136" s="122">
        <f t="shared" si="115"/>
        <v>-286526</v>
      </c>
      <c r="AL136" s="122">
        <f t="shared" si="116"/>
        <v>-286526</v>
      </c>
      <c r="AM136" s="123">
        <f t="shared" si="117"/>
        <v>-286526</v>
      </c>
      <c r="AN136" s="123">
        <f t="shared" si="89"/>
        <v>0</v>
      </c>
      <c r="AO136" s="124">
        <f t="shared" si="118"/>
        <v>0</v>
      </c>
      <c r="AP136" s="125">
        <f t="shared" si="128"/>
        <v>0</v>
      </c>
      <c r="AU136" s="109">
        <f>IF(BA136=1,IF(AU135=MiscData!$F$1,EOMONTH(AU135,-11),EOMONTH(AU135,1)),AU135)</f>
        <v>42490</v>
      </c>
      <c r="AV136" s="108" t="str">
        <f t="shared" si="129"/>
        <v>20140101LGCSR760</v>
      </c>
      <c r="AW136" s="126" t="str">
        <f t="shared" si="130"/>
        <v>20140101CSR</v>
      </c>
      <c r="AX136">
        <f>MiscData!$X$5</f>
        <v>20140101</v>
      </c>
      <c r="BA136" s="98">
        <f>IF(BA135+1&gt;MiscData!$Z$42,1,BA135+1)</f>
        <v>19</v>
      </c>
      <c r="BB136" s="98" t="str">
        <f>VLOOKUP(BA136,MiscData!$Z$5:$AB$46,2,FALSE)</f>
        <v>LGCSR760</v>
      </c>
      <c r="BC136" s="98" t="str">
        <f>VLOOKUP(BA136,MiscData!$Z$5:$AB$46,3,FALSE)</f>
        <v>CSR</v>
      </c>
    </row>
    <row r="137" spans="1:55">
      <c r="A137" s="108">
        <v>128</v>
      </c>
      <c r="B137" s="109" t="str">
        <f t="shared" si="119"/>
        <v>Apr 2016</v>
      </c>
      <c r="C137" s="110" t="str">
        <f t="shared" si="120"/>
        <v>CSR</v>
      </c>
      <c r="D137" s="110" t="str">
        <f t="shared" si="121"/>
        <v>LGCSR780</v>
      </c>
      <c r="E137" s="111">
        <f t="shared" si="92"/>
        <v>0</v>
      </c>
      <c r="F137" s="112">
        <v>0</v>
      </c>
      <c r="G137" s="111">
        <f t="shared" si="93"/>
        <v>0</v>
      </c>
      <c r="H137" s="111">
        <f t="shared" si="94"/>
        <v>0</v>
      </c>
      <c r="I137" s="111">
        <f t="shared" si="95"/>
        <v>0</v>
      </c>
      <c r="J137" s="111">
        <f t="shared" si="96"/>
        <v>0</v>
      </c>
      <c r="K137" s="113">
        <f t="shared" si="97"/>
        <v>0</v>
      </c>
      <c r="L137" s="113">
        <f t="shared" si="98"/>
        <v>0</v>
      </c>
      <c r="M137" s="113">
        <f t="shared" si="99"/>
        <v>0</v>
      </c>
      <c r="N137" s="116">
        <f t="shared" si="100"/>
        <v>0</v>
      </c>
      <c r="O137" s="117">
        <f t="shared" si="88"/>
        <v>0</v>
      </c>
      <c r="P137" s="117">
        <f t="shared" si="101"/>
        <v>0</v>
      </c>
      <c r="Q137" s="117">
        <f t="shared" si="102"/>
        <v>0</v>
      </c>
      <c r="R137" s="117">
        <f t="shared" si="103"/>
        <v>0</v>
      </c>
      <c r="S137" s="116">
        <f t="shared" si="104"/>
        <v>0</v>
      </c>
      <c r="T137" s="116">
        <f t="shared" si="105"/>
        <v>0</v>
      </c>
      <c r="U137" s="116">
        <f t="shared" si="106"/>
        <v>0</v>
      </c>
      <c r="V137" s="118">
        <f t="shared" si="107"/>
        <v>0</v>
      </c>
      <c r="W137" s="118">
        <f t="shared" si="122"/>
        <v>0</v>
      </c>
      <c r="X137" s="118">
        <f t="shared" si="123"/>
        <v>0</v>
      </c>
      <c r="Y137" s="118">
        <f t="shared" si="124"/>
        <v>0</v>
      </c>
      <c r="Z137" s="118">
        <f t="shared" si="125"/>
        <v>0</v>
      </c>
      <c r="AA137" s="119">
        <v>0</v>
      </c>
      <c r="AB137" s="120">
        <f t="shared" si="108"/>
        <v>0</v>
      </c>
      <c r="AC137" s="118">
        <f t="shared" si="109"/>
        <v>0</v>
      </c>
      <c r="AD137" s="118">
        <f t="shared" si="126"/>
        <v>0</v>
      </c>
      <c r="AE137" s="118">
        <f t="shared" si="110"/>
        <v>0</v>
      </c>
      <c r="AF137" s="121">
        <f t="shared" si="127"/>
        <v>1</v>
      </c>
      <c r="AG137" s="122">
        <f t="shared" si="111"/>
        <v>0</v>
      </c>
      <c r="AH137" s="122">
        <f t="shared" si="112"/>
        <v>0</v>
      </c>
      <c r="AI137" s="122">
        <f t="shared" si="113"/>
        <v>0</v>
      </c>
      <c r="AJ137" s="122">
        <f t="shared" si="114"/>
        <v>0</v>
      </c>
      <c r="AK137" s="122">
        <f t="shared" si="115"/>
        <v>0</v>
      </c>
      <c r="AL137" s="122">
        <f t="shared" si="116"/>
        <v>0</v>
      </c>
      <c r="AM137" s="123">
        <f t="shared" si="117"/>
        <v>0</v>
      </c>
      <c r="AN137" s="123">
        <f t="shared" ref="AN137:AN141" si="131">ROUND(AL137-AM137,2)</f>
        <v>0</v>
      </c>
      <c r="AO137" s="124">
        <f t="shared" si="118"/>
        <v>0</v>
      </c>
      <c r="AP137" s="125">
        <f t="shared" si="128"/>
        <v>0</v>
      </c>
      <c r="AU137" s="109">
        <f>IF(BA137=1,IF(AU136=MiscData!$F$1,EOMONTH(AU136,-11),EOMONTH(AU136,1)),AU136)</f>
        <v>42490</v>
      </c>
      <c r="AV137" s="108" t="str">
        <f t="shared" si="129"/>
        <v>20140101LGCSR780</v>
      </c>
      <c r="AW137" s="126" t="str">
        <f t="shared" si="130"/>
        <v>20140101CSR</v>
      </c>
      <c r="AX137">
        <f>MiscData!$X$5</f>
        <v>20140101</v>
      </c>
      <c r="BA137" s="98">
        <f>IF(BA136+1&gt;MiscData!$Z$42,1,BA136+1)</f>
        <v>20</v>
      </c>
      <c r="BB137" s="98" t="str">
        <f>VLOOKUP(BA137,MiscData!$Z$5:$AB$46,2,FALSE)</f>
        <v>LGCSR780</v>
      </c>
      <c r="BC137" s="98" t="str">
        <f>VLOOKUP(BA137,MiscData!$Z$5:$AB$46,3,FALSE)</f>
        <v>CSR</v>
      </c>
    </row>
    <row r="138" spans="1:55">
      <c r="A138" s="108">
        <v>129</v>
      </c>
      <c r="B138" s="109" t="str">
        <f t="shared" si="119"/>
        <v>Apr 2016</v>
      </c>
      <c r="C138" s="110" t="str">
        <f t="shared" si="120"/>
        <v>FK</v>
      </c>
      <c r="D138" s="110" t="str">
        <f t="shared" si="121"/>
        <v>LGINE599</v>
      </c>
      <c r="E138" s="111">
        <f t="shared" si="92"/>
        <v>1</v>
      </c>
      <c r="F138" s="112">
        <v>0</v>
      </c>
      <c r="G138" s="111">
        <f t="shared" si="93"/>
        <v>0</v>
      </c>
      <c r="H138" s="111">
        <f t="shared" si="94"/>
        <v>0</v>
      </c>
      <c r="I138" s="111">
        <f t="shared" si="95"/>
        <v>0</v>
      </c>
      <c r="J138" s="111">
        <f t="shared" si="96"/>
        <v>7236500</v>
      </c>
      <c r="K138" s="113">
        <f t="shared" si="97"/>
        <v>0</v>
      </c>
      <c r="L138" s="113">
        <f t="shared" si="98"/>
        <v>7072</v>
      </c>
      <c r="M138" s="113">
        <f t="shared" si="99"/>
        <v>0</v>
      </c>
      <c r="N138" s="116">
        <f>SUMIF(L_Rates_Tariff_Rate_Category,AV138,L_Rates_BSC)</f>
        <v>0</v>
      </c>
      <c r="O138" s="117">
        <f t="shared" si="88"/>
        <v>3.7400000000000003E-2</v>
      </c>
      <c r="P138" s="117">
        <f t="shared" si="101"/>
        <v>0</v>
      </c>
      <c r="Q138" s="117">
        <f t="shared" si="102"/>
        <v>0</v>
      </c>
      <c r="R138" s="117">
        <f t="shared" si="103"/>
        <v>2.725E-2</v>
      </c>
      <c r="S138" s="116">
        <f t="shared" si="104"/>
        <v>0</v>
      </c>
      <c r="T138" s="116">
        <f t="shared" si="105"/>
        <v>12.72</v>
      </c>
      <c r="U138" s="116">
        <f t="shared" si="106"/>
        <v>15.040000000000001</v>
      </c>
      <c r="V138" s="118">
        <f t="shared" si="107"/>
        <v>0</v>
      </c>
      <c r="W138" s="118">
        <f t="shared" si="122"/>
        <v>270645.09999999998</v>
      </c>
      <c r="X138" s="118">
        <f t="shared" si="123"/>
        <v>0</v>
      </c>
      <c r="Y138" s="118">
        <f t="shared" si="124"/>
        <v>89955.839999999997</v>
      </c>
      <c r="Z138" s="118">
        <f t="shared" si="125"/>
        <v>0</v>
      </c>
      <c r="AA138" s="119">
        <v>0</v>
      </c>
      <c r="AB138" s="120">
        <f t="shared" si="108"/>
        <v>0</v>
      </c>
      <c r="AC138" s="118">
        <f t="shared" si="109"/>
        <v>89955.839999999997</v>
      </c>
      <c r="AD138" s="118">
        <f>SUM(V138:AB138)</f>
        <v>360600.93999999994</v>
      </c>
      <c r="AE138" s="118">
        <f t="shared" si="110"/>
        <v>360601</v>
      </c>
      <c r="AF138" s="121">
        <f t="shared" si="127"/>
        <v>1</v>
      </c>
      <c r="AG138" s="122">
        <f t="shared" si="111"/>
        <v>-6305</v>
      </c>
      <c r="AH138" s="122">
        <f t="shared" si="112"/>
        <v>0</v>
      </c>
      <c r="AI138" s="122">
        <f t="shared" si="113"/>
        <v>80109</v>
      </c>
      <c r="AJ138" s="122">
        <f t="shared" si="114"/>
        <v>0</v>
      </c>
      <c r="AK138" s="122">
        <f t="shared" si="115"/>
        <v>0</v>
      </c>
      <c r="AL138" s="122">
        <f t="shared" si="116"/>
        <v>434405</v>
      </c>
      <c r="AM138" s="123">
        <f t="shared" si="117"/>
        <v>434404.93999999994</v>
      </c>
      <c r="AN138" s="123">
        <f t="shared" si="131"/>
        <v>0.06</v>
      </c>
      <c r="AO138" s="124">
        <f t="shared" si="118"/>
        <v>197194.63</v>
      </c>
      <c r="AP138" s="125">
        <f t="shared" si="128"/>
        <v>73450.469999999972</v>
      </c>
      <c r="AU138" s="109">
        <f>IF(BA138=1,IF(AU137=MiscData!$F$1,EOMONTH(AU137,-11),EOMONTH(AU137,1)),AU137)</f>
        <v>42490</v>
      </c>
      <c r="AV138" s="108" t="str">
        <f t="shared" si="129"/>
        <v>20140101LGINE599</v>
      </c>
      <c r="AW138" s="126" t="str">
        <f t="shared" si="130"/>
        <v>20140101FK</v>
      </c>
      <c r="AX138">
        <f>MiscData!$X$5</f>
        <v>20140101</v>
      </c>
      <c r="BA138" s="98">
        <f>IF(BA137+1&gt;MiscData!$Z$42,1,BA137+1)</f>
        <v>21</v>
      </c>
      <c r="BB138" s="98" t="str">
        <f>VLOOKUP(BA138,MiscData!$Z$5:$AB$46,2,FALSE)</f>
        <v>LGINE599</v>
      </c>
      <c r="BC138" s="98" t="str">
        <f>VLOOKUP(BA138,MiscData!$Z$5:$AB$46,3,FALSE)</f>
        <v>FK</v>
      </c>
    </row>
    <row r="139" spans="1:55">
      <c r="A139" s="108">
        <v>130</v>
      </c>
      <c r="B139" s="109" t="str">
        <f t="shared" si="119"/>
        <v>Apr 2016</v>
      </c>
      <c r="C139" s="110" t="str">
        <f t="shared" si="120"/>
        <v>RTS</v>
      </c>
      <c r="D139" s="110" t="str">
        <f t="shared" si="121"/>
        <v>LGINE643</v>
      </c>
      <c r="E139" s="111">
        <f t="shared" si="92"/>
        <v>12</v>
      </c>
      <c r="F139" s="112">
        <v>0</v>
      </c>
      <c r="G139" s="111">
        <f t="shared" si="93"/>
        <v>0</v>
      </c>
      <c r="H139" s="111">
        <f t="shared" si="94"/>
        <v>0</v>
      </c>
      <c r="I139" s="111">
        <f t="shared" si="95"/>
        <v>0</v>
      </c>
      <c r="J139" s="111">
        <f t="shared" si="96"/>
        <v>78019986</v>
      </c>
      <c r="K139" s="113">
        <f t="shared" si="97"/>
        <v>171798</v>
      </c>
      <c r="L139" s="113">
        <f t="shared" si="98"/>
        <v>168988</v>
      </c>
      <c r="M139" s="113">
        <f t="shared" si="99"/>
        <v>106853</v>
      </c>
      <c r="N139" s="116">
        <f t="shared" si="100"/>
        <v>750</v>
      </c>
      <c r="O139" s="117">
        <f t="shared" si="88"/>
        <v>3.61E-2</v>
      </c>
      <c r="P139" s="117">
        <f t="shared" si="101"/>
        <v>0</v>
      </c>
      <c r="Q139" s="117">
        <f t="shared" si="102"/>
        <v>0</v>
      </c>
      <c r="R139" s="117">
        <f t="shared" si="103"/>
        <v>2.725E-2</v>
      </c>
      <c r="S139" s="116">
        <f t="shared" si="104"/>
        <v>2.75</v>
      </c>
      <c r="T139" s="116">
        <f t="shared" si="105"/>
        <v>3</v>
      </c>
      <c r="U139" s="116">
        <f t="shared" si="106"/>
        <v>4.5500000000000007</v>
      </c>
      <c r="V139" s="118">
        <f t="shared" si="107"/>
        <v>9000</v>
      </c>
      <c r="W139" s="118">
        <f t="shared" si="122"/>
        <v>2816521.49</v>
      </c>
      <c r="X139" s="118">
        <f t="shared" si="123"/>
        <v>472444.5</v>
      </c>
      <c r="Y139" s="118">
        <f t="shared" si="124"/>
        <v>506964</v>
      </c>
      <c r="Z139" s="118">
        <f t="shared" si="125"/>
        <v>486181.15</v>
      </c>
      <c r="AA139" s="119">
        <v>0</v>
      </c>
      <c r="AB139" s="120">
        <f t="shared" si="108"/>
        <v>0</v>
      </c>
      <c r="AC139" s="118">
        <f t="shared" si="109"/>
        <v>1465589.65</v>
      </c>
      <c r="AD139" s="118">
        <f t="shared" si="126"/>
        <v>4291111.1400000006</v>
      </c>
      <c r="AE139" s="118">
        <f t="shared" si="110"/>
        <v>4291112</v>
      </c>
      <c r="AF139" s="121">
        <f t="shared" si="127"/>
        <v>1</v>
      </c>
      <c r="AG139" s="122">
        <f t="shared" si="111"/>
        <v>-67972</v>
      </c>
      <c r="AH139" s="122">
        <f t="shared" si="112"/>
        <v>0</v>
      </c>
      <c r="AI139" s="122">
        <f t="shared" si="113"/>
        <v>863692</v>
      </c>
      <c r="AJ139" s="122">
        <f t="shared" si="114"/>
        <v>0</v>
      </c>
      <c r="AK139" s="122">
        <f t="shared" si="115"/>
        <v>0</v>
      </c>
      <c r="AL139" s="122">
        <f>SUMIFS(L_SBR_Revenue_Total,L_SBR_Revenue_Month,$B139,L_SBR_Rate_Category,$D139)</f>
        <v>5086832</v>
      </c>
      <c r="AM139" s="123">
        <f t="shared" si="117"/>
        <v>5086831.1400000006</v>
      </c>
      <c r="AN139" s="123">
        <f t="shared" si="131"/>
        <v>0.86</v>
      </c>
      <c r="AO139" s="124">
        <f t="shared" si="118"/>
        <v>2126044.62</v>
      </c>
      <c r="AP139" s="125">
        <f t="shared" si="128"/>
        <v>690476.87000000011</v>
      </c>
      <c r="AU139" s="109">
        <f>IF(BA139=1,IF(AU138=MiscData!$F$1,EOMONTH(AU138,-11),EOMONTH(AU138,1)),AU138)</f>
        <v>42490</v>
      </c>
      <c r="AV139" s="108" t="str">
        <f t="shared" si="129"/>
        <v>20140101LGINE643</v>
      </c>
      <c r="AW139" s="126" t="str">
        <f t="shared" si="130"/>
        <v>20140101RTS</v>
      </c>
      <c r="AX139">
        <f>MiscData!$X$5</f>
        <v>20140101</v>
      </c>
      <c r="BA139" s="98">
        <f>IF(BA138+1&gt;MiscData!$Z$42,1,BA138+1)</f>
        <v>22</v>
      </c>
      <c r="BB139" s="98" t="str">
        <f>VLOOKUP(BA139,MiscData!$Z$5:$AB$46,2,FALSE)</f>
        <v>LGINE643</v>
      </c>
      <c r="BC139" s="98" t="str">
        <f>VLOOKUP(BA139,MiscData!$Z$5:$AB$46,3,FALSE)</f>
        <v>RTS</v>
      </c>
    </row>
    <row r="140" spans="1:55">
      <c r="A140" s="108">
        <v>131</v>
      </c>
      <c r="B140" s="109" t="str">
        <f t="shared" si="119"/>
        <v>Apr 2016</v>
      </c>
      <c r="C140" s="110" t="str">
        <f t="shared" si="120"/>
        <v>PSS</v>
      </c>
      <c r="D140" s="110" t="str">
        <f t="shared" si="121"/>
        <v>LGINE661</v>
      </c>
      <c r="E140" s="111">
        <f t="shared" si="92"/>
        <v>212</v>
      </c>
      <c r="F140" s="112">
        <v>0</v>
      </c>
      <c r="G140" s="111">
        <f t="shared" si="93"/>
        <v>0</v>
      </c>
      <c r="H140" s="111">
        <f t="shared" si="94"/>
        <v>0</v>
      </c>
      <c r="I140" s="111">
        <f t="shared" si="95"/>
        <v>0</v>
      </c>
      <c r="J140" s="111">
        <f t="shared" si="96"/>
        <v>17964058</v>
      </c>
      <c r="K140" s="113">
        <f t="shared" si="97"/>
        <v>0</v>
      </c>
      <c r="L140" s="113">
        <f t="shared" si="98"/>
        <v>58664</v>
      </c>
      <c r="M140" s="113">
        <f t="shared" si="99"/>
        <v>0</v>
      </c>
      <c r="N140" s="116">
        <f t="shared" si="100"/>
        <v>90</v>
      </c>
      <c r="O140" s="117">
        <f t="shared" si="88"/>
        <v>4.0599999999999997E-2</v>
      </c>
      <c r="P140" s="117">
        <f t="shared" si="101"/>
        <v>0</v>
      </c>
      <c r="Q140" s="117">
        <f t="shared" si="102"/>
        <v>0</v>
      </c>
      <c r="R140" s="117">
        <f t="shared" si="103"/>
        <v>2.725E-2</v>
      </c>
      <c r="S140" s="116">
        <f t="shared" si="104"/>
        <v>0</v>
      </c>
      <c r="T140" s="116">
        <f t="shared" si="105"/>
        <v>14.010000000000002</v>
      </c>
      <c r="U140" s="116">
        <f t="shared" si="106"/>
        <v>16.399999999999999</v>
      </c>
      <c r="V140" s="118">
        <f t="shared" si="107"/>
        <v>19080</v>
      </c>
      <c r="W140" s="118">
        <f t="shared" si="122"/>
        <v>729340.75</v>
      </c>
      <c r="X140" s="118">
        <f t="shared" si="123"/>
        <v>0</v>
      </c>
      <c r="Y140" s="118">
        <f t="shared" si="124"/>
        <v>821882.64</v>
      </c>
      <c r="Z140" s="118">
        <f t="shared" si="125"/>
        <v>0</v>
      </c>
      <c r="AA140" s="119">
        <v>0</v>
      </c>
      <c r="AB140" s="120">
        <f t="shared" si="108"/>
        <v>0</v>
      </c>
      <c r="AC140" s="118">
        <f t="shared" si="109"/>
        <v>821882.64</v>
      </c>
      <c r="AD140" s="118">
        <f t="shared" si="126"/>
        <v>1570303.3900000001</v>
      </c>
      <c r="AE140" s="118">
        <f t="shared" si="110"/>
        <v>1570298</v>
      </c>
      <c r="AF140" s="121">
        <f t="shared" si="127"/>
        <v>0.99999700000000002</v>
      </c>
      <c r="AG140" s="122">
        <f t="shared" si="111"/>
        <v>-15651</v>
      </c>
      <c r="AH140" s="122">
        <f t="shared" si="112"/>
        <v>30149</v>
      </c>
      <c r="AI140" s="122">
        <f t="shared" si="113"/>
        <v>198865</v>
      </c>
      <c r="AJ140" s="122">
        <f t="shared" si="114"/>
        <v>0</v>
      </c>
      <c r="AK140" s="122">
        <f t="shared" si="115"/>
        <v>0</v>
      </c>
      <c r="AL140" s="122">
        <f t="shared" si="116"/>
        <v>1783661</v>
      </c>
      <c r="AM140" s="123">
        <f t="shared" si="117"/>
        <v>1783666.3900000001</v>
      </c>
      <c r="AN140" s="123">
        <f t="shared" si="131"/>
        <v>-5.39</v>
      </c>
      <c r="AO140" s="124">
        <f t="shared" si="118"/>
        <v>489520.58</v>
      </c>
      <c r="AP140" s="125">
        <f t="shared" si="128"/>
        <v>239820.16999999998</v>
      </c>
      <c r="AU140" s="109">
        <f>IF(BA140=1,IF(AU139=MiscData!$F$1,EOMONTH(AU139,-11),EOMONTH(AU139,1)),AU139)</f>
        <v>42490</v>
      </c>
      <c r="AV140" s="108" t="str">
        <f t="shared" si="129"/>
        <v>20140101LGINE661</v>
      </c>
      <c r="AW140" s="126" t="str">
        <f t="shared" si="130"/>
        <v>20140101PSS</v>
      </c>
      <c r="AX140">
        <f>MiscData!$X$5</f>
        <v>20140101</v>
      </c>
      <c r="BA140" s="98">
        <f>IF(BA139+1&gt;MiscData!$Z$42,1,BA139+1)</f>
        <v>23</v>
      </c>
      <c r="BB140" s="98" t="str">
        <f>VLOOKUP(BA140,MiscData!$Z$5:$AB$46,2,FALSE)</f>
        <v>LGINE661</v>
      </c>
      <c r="BC140" s="98" t="str">
        <f>VLOOKUP(BA140,MiscData!$Z$5:$AB$46,3,FALSE)</f>
        <v>PSS</v>
      </c>
    </row>
    <row r="141" spans="1:55">
      <c r="A141" s="108">
        <v>132</v>
      </c>
      <c r="B141" s="109" t="str">
        <f t="shared" si="119"/>
        <v>Apr 2016</v>
      </c>
      <c r="C141" s="110" t="str">
        <f t="shared" si="120"/>
        <v>PSP</v>
      </c>
      <c r="D141" s="110" t="str">
        <f t="shared" si="121"/>
        <v>LGINE663</v>
      </c>
      <c r="E141" s="111">
        <f t="shared" si="92"/>
        <v>21</v>
      </c>
      <c r="F141" s="112">
        <v>0</v>
      </c>
      <c r="G141" s="111">
        <f t="shared" si="93"/>
        <v>0</v>
      </c>
      <c r="H141" s="111">
        <f t="shared" si="94"/>
        <v>0</v>
      </c>
      <c r="I141" s="111">
        <f t="shared" si="95"/>
        <v>0</v>
      </c>
      <c r="J141" s="111">
        <f t="shared" si="96"/>
        <v>1038168</v>
      </c>
      <c r="K141" s="113">
        <f t="shared" si="97"/>
        <v>0</v>
      </c>
      <c r="L141" s="113">
        <f t="shared" si="98"/>
        <v>3900</v>
      </c>
      <c r="M141" s="113">
        <f t="shared" si="99"/>
        <v>0</v>
      </c>
      <c r="N141" s="116">
        <f t="shared" si="100"/>
        <v>170</v>
      </c>
      <c r="O141" s="117">
        <f t="shared" si="88"/>
        <v>3.9260000000000003E-2</v>
      </c>
      <c r="P141" s="117">
        <f t="shared" si="101"/>
        <v>0</v>
      </c>
      <c r="Q141" s="117">
        <f t="shared" si="102"/>
        <v>0</v>
      </c>
      <c r="R141" s="117">
        <f t="shared" si="103"/>
        <v>2.725E-2</v>
      </c>
      <c r="S141" s="116">
        <f t="shared" si="104"/>
        <v>0</v>
      </c>
      <c r="T141" s="116">
        <f t="shared" si="105"/>
        <v>11.660000000000002</v>
      </c>
      <c r="U141" s="116">
        <f t="shared" si="106"/>
        <v>13.950000000000001</v>
      </c>
      <c r="V141" s="118">
        <f t="shared" si="107"/>
        <v>3570</v>
      </c>
      <c r="W141" s="118">
        <f t="shared" si="122"/>
        <v>40758.480000000003</v>
      </c>
      <c r="X141" s="118">
        <f t="shared" si="123"/>
        <v>0</v>
      </c>
      <c r="Y141" s="118">
        <f t="shared" si="124"/>
        <v>45474</v>
      </c>
      <c r="Z141" s="118">
        <f t="shared" si="125"/>
        <v>0</v>
      </c>
      <c r="AA141" s="119">
        <v>0</v>
      </c>
      <c r="AB141" s="120">
        <f t="shared" si="108"/>
        <v>0</v>
      </c>
      <c r="AC141" s="118">
        <f t="shared" si="109"/>
        <v>45474</v>
      </c>
      <c r="AD141" s="118">
        <f t="shared" si="126"/>
        <v>89802.48000000001</v>
      </c>
      <c r="AE141" s="118">
        <f t="shared" si="110"/>
        <v>89801</v>
      </c>
      <c r="AF141" s="121">
        <f t="shared" si="127"/>
        <v>0.99998399999999998</v>
      </c>
      <c r="AG141" s="122">
        <f t="shared" si="111"/>
        <v>-904</v>
      </c>
      <c r="AH141" s="122">
        <f t="shared" si="112"/>
        <v>1742</v>
      </c>
      <c r="AI141" s="122">
        <f t="shared" si="113"/>
        <v>11493</v>
      </c>
      <c r="AJ141" s="122">
        <f t="shared" si="114"/>
        <v>0</v>
      </c>
      <c r="AK141" s="122">
        <f t="shared" si="115"/>
        <v>0</v>
      </c>
      <c r="AL141" s="122">
        <f t="shared" si="116"/>
        <v>102132</v>
      </c>
      <c r="AM141" s="123">
        <f t="shared" si="117"/>
        <v>102133.48000000001</v>
      </c>
      <c r="AN141" s="123">
        <f t="shared" si="131"/>
        <v>-1.48</v>
      </c>
      <c r="AO141" s="124">
        <f t="shared" si="118"/>
        <v>28290.080000000002</v>
      </c>
      <c r="AP141" s="125">
        <f t="shared" si="128"/>
        <v>12468.400000000001</v>
      </c>
      <c r="AU141" s="109">
        <f>IF(BA141=1,IF(AU140=MiscData!$F$1,EOMONTH(AU140,-11),EOMONTH(AU140,1)),AU140)</f>
        <v>42490</v>
      </c>
      <c r="AV141" s="108" t="str">
        <f t="shared" si="129"/>
        <v>20140101LGINE663</v>
      </c>
      <c r="AW141" s="126" t="str">
        <f t="shared" si="130"/>
        <v>20140101PSP</v>
      </c>
      <c r="AX141">
        <f>MiscData!$X$5</f>
        <v>20140101</v>
      </c>
      <c r="BA141" s="98">
        <f>IF(BA140+1&gt;MiscData!$Z$42,1,BA140+1)</f>
        <v>24</v>
      </c>
      <c r="BB141" s="98" t="str">
        <f>VLOOKUP(BA141,MiscData!$Z$5:$AB$46,2,FALSE)</f>
        <v>LGINE663</v>
      </c>
      <c r="BC141" s="98" t="str">
        <f>VLOOKUP(BA141,MiscData!$Z$5:$AB$46,3,FALSE)</f>
        <v>PSP</v>
      </c>
    </row>
    <row r="142" spans="1:55">
      <c r="A142" s="108">
        <v>133</v>
      </c>
      <c r="B142" s="109" t="str">
        <f t="shared" si="119"/>
        <v>Apr 2016</v>
      </c>
      <c r="C142" s="110" t="str">
        <f t="shared" si="120"/>
        <v>TODS</v>
      </c>
      <c r="D142" s="110" t="str">
        <f t="shared" si="121"/>
        <v>LGINE691</v>
      </c>
      <c r="E142" s="111">
        <f t="shared" si="92"/>
        <v>100</v>
      </c>
      <c r="F142" s="112">
        <v>0</v>
      </c>
      <c r="G142" s="111">
        <f t="shared" si="93"/>
        <v>0</v>
      </c>
      <c r="H142" s="111">
        <f t="shared" si="94"/>
        <v>0</v>
      </c>
      <c r="I142" s="111">
        <f t="shared" si="95"/>
        <v>0</v>
      </c>
      <c r="J142" s="111">
        <f t="shared" si="96"/>
        <v>20494105</v>
      </c>
      <c r="K142" s="113">
        <f t="shared" si="97"/>
        <v>53481</v>
      </c>
      <c r="L142" s="113">
        <f t="shared" si="98"/>
        <v>50360</v>
      </c>
      <c r="M142" s="113">
        <f t="shared" si="99"/>
        <v>48966</v>
      </c>
      <c r="N142" s="116">
        <f t="shared" si="100"/>
        <v>200</v>
      </c>
      <c r="O142" s="117">
        <f t="shared" si="88"/>
        <v>3.9899999999999998E-2</v>
      </c>
      <c r="P142" s="117">
        <f t="shared" si="101"/>
        <v>0</v>
      </c>
      <c r="Q142" s="117">
        <f t="shared" si="102"/>
        <v>0</v>
      </c>
      <c r="R142" s="117">
        <f t="shared" si="103"/>
        <v>2.725E-2</v>
      </c>
      <c r="S142" s="116">
        <f t="shared" si="104"/>
        <v>4</v>
      </c>
      <c r="T142" s="116">
        <f t="shared" si="105"/>
        <v>4.5100000000000007</v>
      </c>
      <c r="U142" s="116">
        <f t="shared" si="106"/>
        <v>6.11</v>
      </c>
      <c r="V142" s="118">
        <f t="shared" si="107"/>
        <v>20000</v>
      </c>
      <c r="W142" s="118">
        <f t="shared" si="122"/>
        <v>817714.79</v>
      </c>
      <c r="X142" s="118">
        <f t="shared" si="123"/>
        <v>213924</v>
      </c>
      <c r="Y142" s="118">
        <f t="shared" si="124"/>
        <v>227123.6</v>
      </c>
      <c r="Z142" s="118">
        <f t="shared" si="125"/>
        <v>299182.26</v>
      </c>
      <c r="AA142" s="119">
        <v>0</v>
      </c>
      <c r="AB142" s="120">
        <f t="shared" si="108"/>
        <v>0</v>
      </c>
      <c r="AC142" s="118">
        <f t="shared" si="109"/>
        <v>740229.86</v>
      </c>
      <c r="AD142" s="118">
        <f t="shared" si="126"/>
        <v>1577944.6500000001</v>
      </c>
      <c r="AE142" s="118">
        <f t="shared" si="110"/>
        <v>1577945</v>
      </c>
      <c r="AF142" s="121">
        <f t="shared" si="127"/>
        <v>1</v>
      </c>
      <c r="AG142" s="122">
        <f t="shared" si="111"/>
        <v>-17855</v>
      </c>
      <c r="AH142" s="122">
        <f t="shared" si="112"/>
        <v>34396</v>
      </c>
      <c r="AI142" s="122">
        <f t="shared" si="113"/>
        <v>226873</v>
      </c>
      <c r="AJ142" s="122">
        <f t="shared" si="114"/>
        <v>0</v>
      </c>
      <c r="AK142" s="122">
        <f t="shared" si="115"/>
        <v>0</v>
      </c>
      <c r="AL142" s="122">
        <f t="shared" si="116"/>
        <v>1821359</v>
      </c>
      <c r="AM142" s="123">
        <f t="shared" si="117"/>
        <v>1821358.6500000001</v>
      </c>
      <c r="AN142" s="123">
        <f t="shared" si="89"/>
        <v>0.34999999986030161</v>
      </c>
      <c r="AO142" s="124">
        <f t="shared" si="118"/>
        <v>558464.36</v>
      </c>
      <c r="AP142" s="125">
        <f t="shared" si="128"/>
        <v>259250.43000000005</v>
      </c>
      <c r="AU142" s="109">
        <f>IF(BA142=1,IF(AU141=MiscData!$F$1,EOMONTH(AU141,-11),EOMONTH(AU141,1)),AU141)</f>
        <v>42490</v>
      </c>
      <c r="AV142" s="108" t="str">
        <f t="shared" si="129"/>
        <v>20140101LGINE691</v>
      </c>
      <c r="AW142" s="126" t="str">
        <f t="shared" si="130"/>
        <v>20140101TODS</v>
      </c>
      <c r="AX142">
        <f>MiscData!$X$5</f>
        <v>20140101</v>
      </c>
      <c r="BA142" s="98">
        <f>IF(BA141+1&gt;MiscData!$Z$42,1,BA141+1)</f>
        <v>25</v>
      </c>
      <c r="BB142" s="98" t="str">
        <f>VLOOKUP(BA142,MiscData!$Z$5:$AB$46,2,FALSE)</f>
        <v>LGINE691</v>
      </c>
      <c r="BC142" s="98" t="str">
        <f>VLOOKUP(BA142,MiscData!$Z$5:$AB$46,3,FALSE)</f>
        <v>TODS</v>
      </c>
    </row>
    <row r="143" spans="1:55">
      <c r="A143" s="108">
        <v>134</v>
      </c>
      <c r="B143" s="109" t="str">
        <f t="shared" si="119"/>
        <v>Apr 2016</v>
      </c>
      <c r="C143" s="110" t="str">
        <f t="shared" si="120"/>
        <v>ITODP</v>
      </c>
      <c r="D143" s="110" t="str">
        <f t="shared" si="121"/>
        <v>LGINE693</v>
      </c>
      <c r="E143" s="111">
        <f t="shared" si="92"/>
        <v>71</v>
      </c>
      <c r="F143" s="112">
        <v>0</v>
      </c>
      <c r="G143" s="111">
        <f t="shared" si="93"/>
        <v>0</v>
      </c>
      <c r="H143" s="111">
        <f t="shared" si="94"/>
        <v>0</v>
      </c>
      <c r="I143" s="111">
        <f t="shared" si="95"/>
        <v>0</v>
      </c>
      <c r="J143" s="111">
        <f t="shared" si="96"/>
        <v>130912123</v>
      </c>
      <c r="K143" s="113">
        <f t="shared" si="97"/>
        <v>333045</v>
      </c>
      <c r="L143" s="113">
        <f t="shared" si="98"/>
        <v>302359</v>
      </c>
      <c r="M143" s="113">
        <f t="shared" si="99"/>
        <v>298342</v>
      </c>
      <c r="N143" s="116">
        <f t="shared" si="100"/>
        <v>300</v>
      </c>
      <c r="O143" s="117">
        <f t="shared" si="88"/>
        <v>3.5380000000000002E-2</v>
      </c>
      <c r="P143" s="117">
        <f t="shared" si="101"/>
        <v>0</v>
      </c>
      <c r="Q143" s="117">
        <f t="shared" si="102"/>
        <v>0</v>
      </c>
      <c r="R143" s="117">
        <f t="shared" si="103"/>
        <v>2.725E-2</v>
      </c>
      <c r="S143" s="116">
        <f t="shared" si="104"/>
        <v>3.6300000000000003</v>
      </c>
      <c r="T143" s="116">
        <f t="shared" si="105"/>
        <v>3.7900000000000005</v>
      </c>
      <c r="U143" s="116">
        <f t="shared" si="106"/>
        <v>4.63</v>
      </c>
      <c r="V143" s="118">
        <f t="shared" si="107"/>
        <v>21300</v>
      </c>
      <c r="W143" s="118">
        <f t="shared" si="122"/>
        <v>4631670.91</v>
      </c>
      <c r="X143" s="118">
        <f t="shared" si="123"/>
        <v>1208953.3500000001</v>
      </c>
      <c r="Y143" s="118">
        <f t="shared" si="124"/>
        <v>1145940.6100000001</v>
      </c>
      <c r="Z143" s="118">
        <f t="shared" si="125"/>
        <v>1381323.46</v>
      </c>
      <c r="AA143" s="119">
        <v>0</v>
      </c>
      <c r="AB143" s="120">
        <f t="shared" si="108"/>
        <v>0</v>
      </c>
      <c r="AC143" s="118">
        <f t="shared" si="109"/>
        <v>3736217.42</v>
      </c>
      <c r="AD143" s="118">
        <f t="shared" si="126"/>
        <v>8389188.3300000001</v>
      </c>
      <c r="AE143" s="118">
        <f t="shared" si="110"/>
        <v>8389188</v>
      </c>
      <c r="AF143" s="121">
        <f t="shared" si="127"/>
        <v>1</v>
      </c>
      <c r="AG143" s="122">
        <f t="shared" si="111"/>
        <v>-114052</v>
      </c>
      <c r="AH143" s="122">
        <f t="shared" si="112"/>
        <v>219713</v>
      </c>
      <c r="AI143" s="122">
        <f t="shared" si="113"/>
        <v>1449216</v>
      </c>
      <c r="AJ143" s="122">
        <f t="shared" si="114"/>
        <v>0</v>
      </c>
      <c r="AK143" s="122">
        <f t="shared" si="115"/>
        <v>0</v>
      </c>
      <c r="AL143" s="122">
        <f t="shared" si="116"/>
        <v>9944065</v>
      </c>
      <c r="AM143" s="123">
        <f t="shared" si="117"/>
        <v>9944065.3300000001</v>
      </c>
      <c r="AN143" s="123">
        <f t="shared" si="89"/>
        <v>-0.33000000007450581</v>
      </c>
      <c r="AO143" s="124">
        <f t="shared" si="118"/>
        <v>3567355.35</v>
      </c>
      <c r="AP143" s="125">
        <f t="shared" si="128"/>
        <v>1064315.56</v>
      </c>
      <c r="AU143" s="109">
        <f>IF(BA143=1,IF(AU142=MiscData!$F$1,EOMONTH(AU142,-11),EOMONTH(AU142,1)),AU142)</f>
        <v>42490</v>
      </c>
      <c r="AV143" s="108" t="str">
        <f t="shared" si="129"/>
        <v>20140101LGINE693</v>
      </c>
      <c r="AW143" s="126" t="str">
        <f t="shared" si="130"/>
        <v>20140101ITODP</v>
      </c>
      <c r="AX143">
        <f>MiscData!$X$5</f>
        <v>20140101</v>
      </c>
      <c r="BA143" s="98">
        <f>IF(BA142+1&gt;MiscData!$Z$42,1,BA142+1)</f>
        <v>26</v>
      </c>
      <c r="BB143" s="98" t="str">
        <f>VLOOKUP(BA143,MiscData!$Z$5:$AB$46,2,FALSE)</f>
        <v>LGINE693</v>
      </c>
      <c r="BC143" s="98" t="str">
        <f>VLOOKUP(BA143,MiscData!$Z$5:$AB$46,3,FALSE)</f>
        <v>ITODP</v>
      </c>
    </row>
    <row r="144" spans="1:55">
      <c r="A144" s="108">
        <v>135</v>
      </c>
      <c r="B144" s="109" t="str">
        <f t="shared" si="119"/>
        <v>Apr 2016</v>
      </c>
      <c r="C144" s="110" t="str">
        <f t="shared" si="120"/>
        <v>ITODP</v>
      </c>
      <c r="D144" s="110" t="str">
        <f t="shared" si="121"/>
        <v>LGINE694</v>
      </c>
      <c r="E144" s="111">
        <f t="shared" si="92"/>
        <v>0</v>
      </c>
      <c r="F144" s="112">
        <v>0</v>
      </c>
      <c r="G144" s="111">
        <f t="shared" si="93"/>
        <v>0</v>
      </c>
      <c r="H144" s="111">
        <f t="shared" si="94"/>
        <v>0</v>
      </c>
      <c r="I144" s="111">
        <f t="shared" si="95"/>
        <v>0</v>
      </c>
      <c r="J144" s="111">
        <f t="shared" si="96"/>
        <v>0</v>
      </c>
      <c r="K144" s="113">
        <f t="shared" si="97"/>
        <v>0</v>
      </c>
      <c r="L144" s="113">
        <f t="shared" si="98"/>
        <v>0</v>
      </c>
      <c r="M144" s="113">
        <f t="shared" si="99"/>
        <v>0</v>
      </c>
      <c r="N144" s="116">
        <f t="shared" si="100"/>
        <v>300</v>
      </c>
      <c r="O144" s="117">
        <f t="shared" si="88"/>
        <v>3.5380000000000002E-2</v>
      </c>
      <c r="P144" s="117">
        <f t="shared" si="101"/>
        <v>0</v>
      </c>
      <c r="Q144" s="117">
        <f t="shared" si="102"/>
        <v>0</v>
      </c>
      <c r="R144" s="117">
        <f t="shared" si="103"/>
        <v>2.725E-2</v>
      </c>
      <c r="S144" s="116">
        <f t="shared" si="104"/>
        <v>3.6300000000000003</v>
      </c>
      <c r="T144" s="116">
        <f t="shared" si="105"/>
        <v>3.7900000000000005</v>
      </c>
      <c r="U144" s="116">
        <f t="shared" si="106"/>
        <v>4.63</v>
      </c>
      <c r="V144" s="118">
        <f t="shared" si="107"/>
        <v>0</v>
      </c>
      <c r="W144" s="118">
        <f t="shared" si="122"/>
        <v>0</v>
      </c>
      <c r="X144" s="118">
        <f t="shared" si="123"/>
        <v>0</v>
      </c>
      <c r="Y144" s="118">
        <f t="shared" si="124"/>
        <v>0</v>
      </c>
      <c r="Z144" s="118">
        <f t="shared" si="125"/>
        <v>0</v>
      </c>
      <c r="AA144" s="119">
        <v>0</v>
      </c>
      <c r="AB144" s="120">
        <f t="shared" si="108"/>
        <v>0</v>
      </c>
      <c r="AC144" s="118">
        <f t="shared" si="109"/>
        <v>0</v>
      </c>
      <c r="AD144" s="118">
        <f t="shared" si="126"/>
        <v>0</v>
      </c>
      <c r="AE144" s="118">
        <f t="shared" si="110"/>
        <v>0</v>
      </c>
      <c r="AF144" s="121">
        <f t="shared" si="127"/>
        <v>1</v>
      </c>
      <c r="AG144" s="122">
        <f t="shared" si="111"/>
        <v>0</v>
      </c>
      <c r="AH144" s="122">
        <f t="shared" si="112"/>
        <v>0</v>
      </c>
      <c r="AI144" s="122">
        <f t="shared" si="113"/>
        <v>0</v>
      </c>
      <c r="AJ144" s="122">
        <f t="shared" si="114"/>
        <v>0</v>
      </c>
      <c r="AK144" s="122">
        <f t="shared" si="115"/>
        <v>0</v>
      </c>
      <c r="AL144" s="122">
        <f t="shared" si="116"/>
        <v>0</v>
      </c>
      <c r="AM144" s="123">
        <f t="shared" si="117"/>
        <v>0</v>
      </c>
      <c r="AN144" s="123">
        <f t="shared" si="89"/>
        <v>0</v>
      </c>
      <c r="AO144" s="124">
        <f t="shared" si="118"/>
        <v>0</v>
      </c>
      <c r="AP144" s="125">
        <f t="shared" si="128"/>
        <v>0</v>
      </c>
      <c r="AU144" s="109">
        <f>IF(BA144=1,IF(AU143=MiscData!$F$1,EOMONTH(AU143,-11),EOMONTH(AU143,1)),AU143)</f>
        <v>42490</v>
      </c>
      <c r="AV144" s="108" t="str">
        <f t="shared" si="129"/>
        <v>20140101LGINE694</v>
      </c>
      <c r="AW144" s="126" t="str">
        <f t="shared" si="130"/>
        <v>20140101ITODP</v>
      </c>
      <c r="AX144">
        <f>MiscData!$X$5</f>
        <v>20140101</v>
      </c>
      <c r="BA144" s="98">
        <f>IF(BA143+1&gt;MiscData!$Z$42,1,BA143+1)</f>
        <v>27</v>
      </c>
      <c r="BB144" s="98" t="str">
        <f>VLOOKUP(BA144,MiscData!$Z$5:$AB$46,2,FALSE)</f>
        <v>LGINE694</v>
      </c>
      <c r="BC144" s="98" t="str">
        <f>VLOOKUP(BA144,MiscData!$Z$5:$AB$46,3,FALSE)</f>
        <v>ITODP</v>
      </c>
    </row>
    <row r="145" spans="1:55">
      <c r="A145" s="108">
        <v>136</v>
      </c>
      <c r="B145" s="109" t="str">
        <f t="shared" si="119"/>
        <v>Apr 2016</v>
      </c>
      <c r="C145" s="110" t="str">
        <f t="shared" si="120"/>
        <v>LE</v>
      </c>
      <c r="D145" s="110" t="str">
        <f t="shared" si="121"/>
        <v>LGMLE570</v>
      </c>
      <c r="E145" s="111">
        <f t="shared" si="92"/>
        <v>0</v>
      </c>
      <c r="F145" s="112">
        <v>0</v>
      </c>
      <c r="G145" s="111">
        <f t="shared" si="93"/>
        <v>0</v>
      </c>
      <c r="H145" s="111">
        <f t="shared" si="94"/>
        <v>0</v>
      </c>
      <c r="I145" s="111">
        <f t="shared" si="95"/>
        <v>0</v>
      </c>
      <c r="J145" s="111">
        <f t="shared" si="96"/>
        <v>0</v>
      </c>
      <c r="K145" s="113">
        <f t="shared" si="97"/>
        <v>0</v>
      </c>
      <c r="L145" s="113">
        <f t="shared" si="98"/>
        <v>0</v>
      </c>
      <c r="M145" s="113">
        <f t="shared" si="99"/>
        <v>0</v>
      </c>
      <c r="N145" s="116">
        <f t="shared" si="100"/>
        <v>0</v>
      </c>
      <c r="O145" s="117">
        <f t="shared" si="88"/>
        <v>6.4610000000000001E-2</v>
      </c>
      <c r="P145" s="117">
        <f t="shared" si="101"/>
        <v>0</v>
      </c>
      <c r="Q145" s="117">
        <f t="shared" si="102"/>
        <v>0</v>
      </c>
      <c r="R145" s="117">
        <f t="shared" si="103"/>
        <v>2.725E-2</v>
      </c>
      <c r="S145" s="116">
        <f t="shared" si="104"/>
        <v>0</v>
      </c>
      <c r="T145" s="116">
        <f t="shared" si="105"/>
        <v>0</v>
      </c>
      <c r="U145" s="116">
        <f t="shared" si="106"/>
        <v>0</v>
      </c>
      <c r="V145" s="118">
        <f t="shared" si="107"/>
        <v>0</v>
      </c>
      <c r="W145" s="118">
        <f t="shared" si="122"/>
        <v>0</v>
      </c>
      <c r="X145" s="118">
        <f t="shared" si="123"/>
        <v>0</v>
      </c>
      <c r="Y145" s="118">
        <f t="shared" si="124"/>
        <v>0</v>
      </c>
      <c r="Z145" s="118">
        <f t="shared" si="125"/>
        <v>0</v>
      </c>
      <c r="AA145" s="119">
        <v>0</v>
      </c>
      <c r="AB145" s="120">
        <f t="shared" si="108"/>
        <v>0</v>
      </c>
      <c r="AC145" s="118">
        <f t="shared" si="109"/>
        <v>0</v>
      </c>
      <c r="AD145" s="118">
        <f t="shared" si="126"/>
        <v>0</v>
      </c>
      <c r="AE145" s="118">
        <f t="shared" si="110"/>
        <v>0</v>
      </c>
      <c r="AF145" s="121">
        <f t="shared" si="127"/>
        <v>1</v>
      </c>
      <c r="AG145" s="122">
        <f t="shared" si="111"/>
        <v>0</v>
      </c>
      <c r="AH145" s="122">
        <f t="shared" si="112"/>
        <v>0</v>
      </c>
      <c r="AI145" s="122">
        <f t="shared" si="113"/>
        <v>0</v>
      </c>
      <c r="AJ145" s="122">
        <f t="shared" si="114"/>
        <v>0</v>
      </c>
      <c r="AK145" s="122">
        <f t="shared" si="115"/>
        <v>0</v>
      </c>
      <c r="AL145" s="122">
        <f t="shared" si="116"/>
        <v>0</v>
      </c>
      <c r="AM145" s="123">
        <f t="shared" si="117"/>
        <v>0</v>
      </c>
      <c r="AN145" s="123">
        <f t="shared" si="89"/>
        <v>0</v>
      </c>
      <c r="AO145" s="124">
        <f t="shared" si="118"/>
        <v>0</v>
      </c>
      <c r="AP145" s="125">
        <f t="shared" si="128"/>
        <v>0</v>
      </c>
      <c r="AU145" s="109">
        <f>IF(BA145=1,IF(AU144=MiscData!$F$1,EOMONTH(AU144,-11),EOMONTH(AU144,1)),AU144)</f>
        <v>42490</v>
      </c>
      <c r="AV145" s="108" t="str">
        <f t="shared" si="129"/>
        <v>20140101LGMLE570</v>
      </c>
      <c r="AW145" s="126" t="str">
        <f t="shared" si="130"/>
        <v>20140101LE</v>
      </c>
      <c r="AX145">
        <f>MiscData!$X$5</f>
        <v>20140101</v>
      </c>
      <c r="BA145" s="98">
        <f>IF(BA144+1&gt;MiscData!$Z$42,1,BA144+1)</f>
        <v>28</v>
      </c>
      <c r="BB145" s="98" t="str">
        <f>VLOOKUP(BA145,MiscData!$Z$5:$AB$46,2,FALSE)</f>
        <v>LGMLE570</v>
      </c>
      <c r="BC145" s="98" t="str">
        <f>VLOOKUP(BA145,MiscData!$Z$5:$AB$46,3,FALSE)</f>
        <v>LE</v>
      </c>
    </row>
    <row r="146" spans="1:55">
      <c r="A146" s="108">
        <v>137</v>
      </c>
      <c r="B146" s="109" t="str">
        <f t="shared" si="119"/>
        <v>Apr 2016</v>
      </c>
      <c r="C146" s="110" t="str">
        <f t="shared" si="120"/>
        <v>LE</v>
      </c>
      <c r="D146" s="110" t="str">
        <f t="shared" si="121"/>
        <v>LGMLE571</v>
      </c>
      <c r="E146" s="111">
        <f t="shared" si="92"/>
        <v>156</v>
      </c>
      <c r="F146" s="112">
        <v>0</v>
      </c>
      <c r="G146" s="111">
        <f t="shared" si="93"/>
        <v>0</v>
      </c>
      <c r="H146" s="111">
        <f t="shared" si="94"/>
        <v>0</v>
      </c>
      <c r="I146" s="111">
        <f t="shared" si="95"/>
        <v>0</v>
      </c>
      <c r="J146" s="111">
        <f t="shared" si="96"/>
        <v>272304</v>
      </c>
      <c r="K146" s="113">
        <f t="shared" si="97"/>
        <v>0</v>
      </c>
      <c r="L146" s="113">
        <f t="shared" si="98"/>
        <v>0</v>
      </c>
      <c r="M146" s="113">
        <f t="shared" si="99"/>
        <v>0</v>
      </c>
      <c r="N146" s="116">
        <f t="shared" si="100"/>
        <v>0</v>
      </c>
      <c r="O146" s="117">
        <f t="shared" si="88"/>
        <v>6.4610000000000001E-2</v>
      </c>
      <c r="P146" s="117">
        <f t="shared" si="101"/>
        <v>0</v>
      </c>
      <c r="Q146" s="117">
        <f t="shared" si="102"/>
        <v>0</v>
      </c>
      <c r="R146" s="117">
        <f t="shared" si="103"/>
        <v>2.725E-2</v>
      </c>
      <c r="S146" s="116">
        <f t="shared" si="104"/>
        <v>0</v>
      </c>
      <c r="T146" s="116">
        <f t="shared" si="105"/>
        <v>0</v>
      </c>
      <c r="U146" s="116">
        <f t="shared" si="106"/>
        <v>0</v>
      </c>
      <c r="V146" s="118">
        <f t="shared" si="107"/>
        <v>0</v>
      </c>
      <c r="W146" s="118">
        <f t="shared" si="122"/>
        <v>17593.560000000001</v>
      </c>
      <c r="X146" s="118">
        <f t="shared" si="123"/>
        <v>0</v>
      </c>
      <c r="Y146" s="118">
        <f t="shared" si="124"/>
        <v>0</v>
      </c>
      <c r="Z146" s="118">
        <f t="shared" si="125"/>
        <v>0</v>
      </c>
      <c r="AA146" s="119">
        <v>0</v>
      </c>
      <c r="AB146" s="120">
        <f t="shared" si="108"/>
        <v>0</v>
      </c>
      <c r="AC146" s="118">
        <f t="shared" si="109"/>
        <v>0</v>
      </c>
      <c r="AD146" s="118">
        <f t="shared" si="126"/>
        <v>17593.560000000001</v>
      </c>
      <c r="AE146" s="118">
        <f t="shared" si="110"/>
        <v>0</v>
      </c>
      <c r="AF146" s="121">
        <f t="shared" si="127"/>
        <v>0</v>
      </c>
      <c r="AG146" s="122">
        <f t="shared" si="111"/>
        <v>0</v>
      </c>
      <c r="AH146" s="122">
        <f t="shared" si="112"/>
        <v>0</v>
      </c>
      <c r="AI146" s="122">
        <f t="shared" si="113"/>
        <v>0</v>
      </c>
      <c r="AJ146" s="122">
        <f t="shared" si="114"/>
        <v>0</v>
      </c>
      <c r="AK146" s="122">
        <f t="shared" si="115"/>
        <v>0</v>
      </c>
      <c r="AL146" s="122">
        <f t="shared" si="116"/>
        <v>0</v>
      </c>
      <c r="AM146" s="123">
        <f t="shared" si="117"/>
        <v>17593.560000000001</v>
      </c>
      <c r="AN146" s="123">
        <f t="shared" si="89"/>
        <v>-17593.560000000001</v>
      </c>
      <c r="AO146" s="124">
        <f t="shared" si="118"/>
        <v>7420.28</v>
      </c>
      <c r="AP146" s="125">
        <f t="shared" si="128"/>
        <v>10173.280000000002</v>
      </c>
      <c r="AU146" s="109">
        <f>IF(BA146=1,IF(AU145=MiscData!$F$1,EOMONTH(AU145,-11),EOMONTH(AU145,1)),AU145)</f>
        <v>42490</v>
      </c>
      <c r="AV146" s="108" t="str">
        <f t="shared" si="129"/>
        <v>20140101LGMLE571</v>
      </c>
      <c r="AW146" s="126" t="str">
        <f t="shared" si="130"/>
        <v>20140101LE</v>
      </c>
      <c r="AX146">
        <f>MiscData!$X$5</f>
        <v>20140101</v>
      </c>
      <c r="BA146" s="98">
        <f>IF(BA145+1&gt;MiscData!$Z$42,1,BA145+1)</f>
        <v>29</v>
      </c>
      <c r="BB146" s="98" t="str">
        <f>VLOOKUP(BA146,MiscData!$Z$5:$AB$46,2,FALSE)</f>
        <v>LGMLE571</v>
      </c>
      <c r="BC146" s="98" t="str">
        <f>VLOOKUP(BA146,MiscData!$Z$5:$AB$46,3,FALSE)</f>
        <v>LE</v>
      </c>
    </row>
    <row r="147" spans="1:55">
      <c r="A147" s="108">
        <v>138</v>
      </c>
      <c r="B147" s="109" t="str">
        <f t="shared" si="119"/>
        <v>Apr 2016</v>
      </c>
      <c r="C147" s="110" t="str">
        <f t="shared" si="120"/>
        <v>LE</v>
      </c>
      <c r="D147" s="110" t="str">
        <f t="shared" si="121"/>
        <v>LGMLE572</v>
      </c>
      <c r="E147" s="111">
        <f t="shared" si="92"/>
        <v>0</v>
      </c>
      <c r="F147" s="112">
        <v>0</v>
      </c>
      <c r="G147" s="111">
        <f t="shared" si="93"/>
        <v>0</v>
      </c>
      <c r="H147" s="111">
        <f t="shared" si="94"/>
        <v>0</v>
      </c>
      <c r="I147" s="111">
        <f t="shared" si="95"/>
        <v>0</v>
      </c>
      <c r="J147" s="111">
        <f t="shared" si="96"/>
        <v>0</v>
      </c>
      <c r="K147" s="113">
        <f t="shared" si="97"/>
        <v>0</v>
      </c>
      <c r="L147" s="113">
        <f t="shared" si="98"/>
        <v>0</v>
      </c>
      <c r="M147" s="113">
        <f t="shared" si="99"/>
        <v>0</v>
      </c>
      <c r="N147" s="116">
        <f t="shared" si="100"/>
        <v>0</v>
      </c>
      <c r="O147" s="117">
        <f t="shared" si="88"/>
        <v>6.4610000000000001E-2</v>
      </c>
      <c r="P147" s="117">
        <f t="shared" si="101"/>
        <v>0</v>
      </c>
      <c r="Q147" s="117">
        <f t="shared" si="102"/>
        <v>0</v>
      </c>
      <c r="R147" s="117">
        <f t="shared" si="103"/>
        <v>2.725E-2</v>
      </c>
      <c r="S147" s="116">
        <f t="shared" si="104"/>
        <v>0</v>
      </c>
      <c r="T147" s="116">
        <f t="shared" si="105"/>
        <v>0</v>
      </c>
      <c r="U147" s="116">
        <f t="shared" si="106"/>
        <v>0</v>
      </c>
      <c r="V147" s="118">
        <f t="shared" si="107"/>
        <v>0</v>
      </c>
      <c r="W147" s="118">
        <f t="shared" si="122"/>
        <v>0</v>
      </c>
      <c r="X147" s="118">
        <f t="shared" si="123"/>
        <v>0</v>
      </c>
      <c r="Y147" s="118">
        <f t="shared" si="124"/>
        <v>0</v>
      </c>
      <c r="Z147" s="118">
        <f t="shared" si="125"/>
        <v>0</v>
      </c>
      <c r="AA147" s="119">
        <v>0</v>
      </c>
      <c r="AB147" s="120">
        <f t="shared" si="108"/>
        <v>0</v>
      </c>
      <c r="AC147" s="118">
        <f t="shared" si="109"/>
        <v>0</v>
      </c>
      <c r="AD147" s="118">
        <f t="shared" si="126"/>
        <v>0</v>
      </c>
      <c r="AE147" s="118">
        <f t="shared" si="110"/>
        <v>0</v>
      </c>
      <c r="AF147" s="121">
        <f t="shared" si="127"/>
        <v>1</v>
      </c>
      <c r="AG147" s="122">
        <f t="shared" si="111"/>
        <v>0</v>
      </c>
      <c r="AH147" s="122">
        <f t="shared" si="112"/>
        <v>0</v>
      </c>
      <c r="AI147" s="122">
        <f t="shared" si="113"/>
        <v>0</v>
      </c>
      <c r="AJ147" s="122">
        <f t="shared" si="114"/>
        <v>0</v>
      </c>
      <c r="AK147" s="122">
        <f t="shared" si="115"/>
        <v>0</v>
      </c>
      <c r="AL147" s="122">
        <f t="shared" si="116"/>
        <v>0</v>
      </c>
      <c r="AM147" s="123">
        <f t="shared" si="117"/>
        <v>0</v>
      </c>
      <c r="AN147" s="123">
        <f>ROUND(AL147-AM147,2)</f>
        <v>0</v>
      </c>
      <c r="AO147" s="124">
        <f t="shared" si="118"/>
        <v>0</v>
      </c>
      <c r="AP147" s="125">
        <f t="shared" si="128"/>
        <v>0</v>
      </c>
      <c r="AU147" s="109">
        <f>IF(BA147=1,IF(AU146=MiscData!$F$1,EOMONTH(AU146,-11),EOMONTH(AU146,1)),AU146)</f>
        <v>42490</v>
      </c>
      <c r="AV147" s="108" t="str">
        <f t="shared" si="129"/>
        <v>20140101LGMLE572</v>
      </c>
      <c r="AW147" s="126" t="str">
        <f t="shared" si="130"/>
        <v>20140101LE</v>
      </c>
      <c r="AX147">
        <f>MiscData!$X$5</f>
        <v>20140101</v>
      </c>
      <c r="BA147" s="98">
        <f>IF(BA146+1&gt;MiscData!$Z$42,1,BA146+1)</f>
        <v>30</v>
      </c>
      <c r="BB147" s="98" t="str">
        <f>VLOOKUP(BA147,MiscData!$Z$5:$AB$46,2,FALSE)</f>
        <v>LGMLE572</v>
      </c>
      <c r="BC147" s="98" t="str">
        <f>VLOOKUP(BA147,MiscData!$Z$5:$AB$46,3,FALSE)</f>
        <v>LE</v>
      </c>
    </row>
    <row r="148" spans="1:55">
      <c r="A148" s="108">
        <v>139</v>
      </c>
      <c r="B148" s="109" t="str">
        <f t="shared" si="119"/>
        <v>Apr 2016</v>
      </c>
      <c r="C148" s="110" t="str">
        <f t="shared" si="120"/>
        <v>TE</v>
      </c>
      <c r="D148" s="110" t="str">
        <f t="shared" si="121"/>
        <v>LGMLE573</v>
      </c>
      <c r="E148" s="111">
        <f t="shared" si="92"/>
        <v>905</v>
      </c>
      <c r="F148" s="112">
        <v>0</v>
      </c>
      <c r="G148" s="111">
        <f t="shared" si="93"/>
        <v>0</v>
      </c>
      <c r="H148" s="111">
        <f t="shared" si="94"/>
        <v>0</v>
      </c>
      <c r="I148" s="111">
        <f t="shared" si="95"/>
        <v>0</v>
      </c>
      <c r="J148" s="111">
        <f t="shared" si="96"/>
        <v>241661</v>
      </c>
      <c r="K148" s="113">
        <f t="shared" si="97"/>
        <v>0</v>
      </c>
      <c r="L148" s="113">
        <f t="shared" si="98"/>
        <v>0</v>
      </c>
      <c r="M148" s="113">
        <f t="shared" si="99"/>
        <v>0</v>
      </c>
      <c r="N148" s="116">
        <f t="shared" si="100"/>
        <v>3.25</v>
      </c>
      <c r="O148" s="117">
        <f t="shared" si="88"/>
        <v>7.6579999999999995E-2</v>
      </c>
      <c r="P148" s="117">
        <f t="shared" si="101"/>
        <v>0</v>
      </c>
      <c r="Q148" s="117">
        <f t="shared" si="102"/>
        <v>0</v>
      </c>
      <c r="R148" s="117">
        <f t="shared" si="103"/>
        <v>2.725E-2</v>
      </c>
      <c r="S148" s="116">
        <f t="shared" si="104"/>
        <v>0</v>
      </c>
      <c r="T148" s="116">
        <f t="shared" si="105"/>
        <v>0</v>
      </c>
      <c r="U148" s="116">
        <f t="shared" si="106"/>
        <v>0</v>
      </c>
      <c r="V148" s="118">
        <f t="shared" si="107"/>
        <v>2941.25</v>
      </c>
      <c r="W148" s="683">
        <f t="shared" si="122"/>
        <v>18506.400000000001</v>
      </c>
      <c r="X148" s="118">
        <f t="shared" si="123"/>
        <v>0</v>
      </c>
      <c r="Y148" s="118">
        <f t="shared" si="124"/>
        <v>0</v>
      </c>
      <c r="Z148" s="118">
        <f t="shared" si="125"/>
        <v>0</v>
      </c>
      <c r="AA148" s="119">
        <v>0</v>
      </c>
      <c r="AB148" s="120">
        <f t="shared" si="108"/>
        <v>0</v>
      </c>
      <c r="AC148" s="118">
        <f t="shared" si="109"/>
        <v>0</v>
      </c>
      <c r="AD148" s="118">
        <f t="shared" si="126"/>
        <v>21447.65</v>
      </c>
      <c r="AE148" s="118">
        <f t="shared" si="110"/>
        <v>0</v>
      </c>
      <c r="AF148" s="121">
        <f t="shared" si="127"/>
        <v>0</v>
      </c>
      <c r="AG148" s="122">
        <f t="shared" si="111"/>
        <v>0</v>
      </c>
      <c r="AH148" s="122">
        <f t="shared" si="112"/>
        <v>0</v>
      </c>
      <c r="AI148" s="122">
        <f t="shared" si="113"/>
        <v>0</v>
      </c>
      <c r="AJ148" s="122">
        <f t="shared" si="114"/>
        <v>0</v>
      </c>
      <c r="AK148" s="122">
        <f t="shared" si="115"/>
        <v>0</v>
      </c>
      <c r="AL148" s="122">
        <f t="shared" si="116"/>
        <v>0</v>
      </c>
      <c r="AM148" s="123">
        <f t="shared" si="117"/>
        <v>21447.65</v>
      </c>
      <c r="AN148" s="123">
        <f t="shared" si="89"/>
        <v>-21447.65</v>
      </c>
      <c r="AO148" s="124">
        <f t="shared" si="118"/>
        <v>6585.26</v>
      </c>
      <c r="AP148" s="125">
        <f t="shared" si="128"/>
        <v>11921.140000000001</v>
      </c>
      <c r="AU148" s="109">
        <f>IF(BA148=1,IF(AU147=MiscData!$F$1,EOMONTH(AU147,-11),EOMONTH(AU147,1)),AU147)</f>
        <v>42490</v>
      </c>
      <c r="AV148" s="108" t="str">
        <f t="shared" si="129"/>
        <v>20140101LGMLE573</v>
      </c>
      <c r="AW148" s="126" t="str">
        <f t="shared" si="130"/>
        <v>20140101TE</v>
      </c>
      <c r="AX148">
        <f>MiscData!$X$5</f>
        <v>20140101</v>
      </c>
      <c r="BA148" s="98">
        <f>IF(BA147+1&gt;MiscData!$Z$42,1,BA147+1)</f>
        <v>31</v>
      </c>
      <c r="BB148" s="98" t="str">
        <f>VLOOKUP(BA148,MiscData!$Z$5:$AB$46,2,FALSE)</f>
        <v>LGMLE573</v>
      </c>
      <c r="BC148" s="98" t="str">
        <f>VLOOKUP(BA148,MiscData!$Z$5:$AB$46,3,FALSE)</f>
        <v>TE</v>
      </c>
    </row>
    <row r="149" spans="1:55">
      <c r="A149" s="108">
        <v>140</v>
      </c>
      <c r="B149" s="109" t="str">
        <f t="shared" si="119"/>
        <v>Apr 2016</v>
      </c>
      <c r="C149" s="110" t="str">
        <f t="shared" si="120"/>
        <v>TE</v>
      </c>
      <c r="D149" s="110" t="str">
        <f t="shared" si="121"/>
        <v>LGMLE574</v>
      </c>
      <c r="E149" s="111">
        <f t="shared" si="92"/>
        <v>0</v>
      </c>
      <c r="F149" s="112">
        <v>0</v>
      </c>
      <c r="G149" s="111">
        <f t="shared" si="93"/>
        <v>0</v>
      </c>
      <c r="H149" s="111">
        <f t="shared" si="94"/>
        <v>0</v>
      </c>
      <c r="I149" s="111">
        <f t="shared" si="95"/>
        <v>0</v>
      </c>
      <c r="J149" s="111">
        <f t="shared" si="96"/>
        <v>0</v>
      </c>
      <c r="K149" s="113">
        <f t="shared" si="97"/>
        <v>0</v>
      </c>
      <c r="L149" s="113">
        <f t="shared" si="98"/>
        <v>0</v>
      </c>
      <c r="M149" s="113">
        <f t="shared" si="99"/>
        <v>0</v>
      </c>
      <c r="N149" s="116">
        <f t="shared" si="100"/>
        <v>3.25</v>
      </c>
      <c r="O149" s="117">
        <f t="shared" si="88"/>
        <v>7.6579999999999995E-2</v>
      </c>
      <c r="P149" s="117">
        <f t="shared" si="101"/>
        <v>0</v>
      </c>
      <c r="Q149" s="117">
        <f t="shared" si="102"/>
        <v>0</v>
      </c>
      <c r="R149" s="117">
        <f t="shared" si="103"/>
        <v>2.725E-2</v>
      </c>
      <c r="S149" s="116">
        <f t="shared" si="104"/>
        <v>0</v>
      </c>
      <c r="T149" s="116">
        <f t="shared" si="105"/>
        <v>0</v>
      </c>
      <c r="U149" s="116">
        <f t="shared" si="106"/>
        <v>0</v>
      </c>
      <c r="V149" s="118">
        <f t="shared" si="107"/>
        <v>0</v>
      </c>
      <c r="W149" s="683">
        <f t="shared" si="122"/>
        <v>0</v>
      </c>
      <c r="X149" s="118">
        <f t="shared" si="123"/>
        <v>0</v>
      </c>
      <c r="Y149" s="118">
        <f t="shared" si="124"/>
        <v>0</v>
      </c>
      <c r="Z149" s="118">
        <f t="shared" si="125"/>
        <v>0</v>
      </c>
      <c r="AA149" s="119">
        <v>0</v>
      </c>
      <c r="AB149" s="120">
        <f t="shared" si="108"/>
        <v>0</v>
      </c>
      <c r="AC149" s="118">
        <f t="shared" si="109"/>
        <v>0</v>
      </c>
      <c r="AD149" s="118">
        <f t="shared" si="126"/>
        <v>0</v>
      </c>
      <c r="AE149" s="118">
        <f t="shared" si="110"/>
        <v>0</v>
      </c>
      <c r="AF149" s="121">
        <f t="shared" si="127"/>
        <v>1</v>
      </c>
      <c r="AG149" s="122">
        <f t="shared" si="111"/>
        <v>0</v>
      </c>
      <c r="AH149" s="122">
        <f t="shared" si="112"/>
        <v>0</v>
      </c>
      <c r="AI149" s="122">
        <f t="shared" si="113"/>
        <v>0</v>
      </c>
      <c r="AJ149" s="122">
        <f t="shared" si="114"/>
        <v>0</v>
      </c>
      <c r="AK149" s="122">
        <f t="shared" si="115"/>
        <v>0</v>
      </c>
      <c r="AL149" s="122">
        <f t="shared" si="116"/>
        <v>0</v>
      </c>
      <c r="AM149" s="123">
        <f t="shared" si="117"/>
        <v>0</v>
      </c>
      <c r="AN149" s="123">
        <f t="shared" si="89"/>
        <v>0</v>
      </c>
      <c r="AO149" s="124">
        <f t="shared" si="118"/>
        <v>0</v>
      </c>
      <c r="AP149" s="125">
        <f t="shared" si="128"/>
        <v>0</v>
      </c>
      <c r="AU149" s="109">
        <f>IF(BA149=1,IF(AU148=MiscData!$F$1,EOMONTH(AU148,-11),EOMONTH(AU148,1)),AU148)</f>
        <v>42490</v>
      </c>
      <c r="AV149" s="108" t="str">
        <f t="shared" si="129"/>
        <v>20140101LGMLE574</v>
      </c>
      <c r="AW149" s="126" t="str">
        <f t="shared" si="130"/>
        <v>20140101TE</v>
      </c>
      <c r="AX149">
        <f>MiscData!$X$5</f>
        <v>20140101</v>
      </c>
      <c r="BA149" s="98">
        <f>IF(BA148+1&gt;MiscData!$Z$42,1,BA148+1)</f>
        <v>32</v>
      </c>
      <c r="BB149" s="98" t="str">
        <f>VLOOKUP(BA149,MiscData!$Z$5:$AB$46,2,FALSE)</f>
        <v>LGMLE574</v>
      </c>
      <c r="BC149" s="98" t="str">
        <f>VLOOKUP(BA149,MiscData!$Z$5:$AB$46,3,FALSE)</f>
        <v>TE</v>
      </c>
    </row>
    <row r="150" spans="1:55">
      <c r="A150" s="108">
        <v>141</v>
      </c>
      <c r="B150" s="109" t="str">
        <f t="shared" si="119"/>
        <v>Apr 2016</v>
      </c>
      <c r="C150" s="110" t="str">
        <f t="shared" si="120"/>
        <v>RS</v>
      </c>
      <c r="D150" s="110" t="str">
        <f t="shared" si="121"/>
        <v>LGRSE411</v>
      </c>
      <c r="E150" s="111">
        <f t="shared" si="92"/>
        <v>0</v>
      </c>
      <c r="F150" s="112">
        <v>0</v>
      </c>
      <c r="G150" s="111">
        <f t="shared" si="93"/>
        <v>0</v>
      </c>
      <c r="H150" s="111">
        <f t="shared" si="94"/>
        <v>0</v>
      </c>
      <c r="I150" s="111">
        <f t="shared" si="95"/>
        <v>0</v>
      </c>
      <c r="J150" s="111">
        <f t="shared" si="96"/>
        <v>0</v>
      </c>
      <c r="K150" s="113">
        <f t="shared" si="97"/>
        <v>0</v>
      </c>
      <c r="L150" s="113">
        <f t="shared" si="98"/>
        <v>0</v>
      </c>
      <c r="M150" s="113">
        <f t="shared" si="99"/>
        <v>0</v>
      </c>
      <c r="N150" s="116">
        <f t="shared" si="100"/>
        <v>0</v>
      </c>
      <c r="O150" s="117">
        <f t="shared" si="88"/>
        <v>8.0760000000000012E-2</v>
      </c>
      <c r="P150" s="117">
        <f t="shared" si="101"/>
        <v>0</v>
      </c>
      <c r="Q150" s="117">
        <f t="shared" si="102"/>
        <v>0</v>
      </c>
      <c r="R150" s="117">
        <f t="shared" si="103"/>
        <v>2.725E-2</v>
      </c>
      <c r="S150" s="116">
        <f t="shared" si="104"/>
        <v>0</v>
      </c>
      <c r="T150" s="116">
        <f t="shared" si="105"/>
        <v>0</v>
      </c>
      <c r="U150" s="116">
        <f t="shared" si="106"/>
        <v>0</v>
      </c>
      <c r="V150" s="118">
        <f t="shared" si="107"/>
        <v>0</v>
      </c>
      <c r="W150" s="118">
        <f t="shared" si="122"/>
        <v>0</v>
      </c>
      <c r="X150" s="118">
        <f t="shared" si="123"/>
        <v>0</v>
      </c>
      <c r="Y150" s="118">
        <f t="shared" si="124"/>
        <v>0</v>
      </c>
      <c r="Z150" s="118">
        <f t="shared" si="125"/>
        <v>0</v>
      </c>
      <c r="AA150" s="119">
        <v>0</v>
      </c>
      <c r="AB150" s="120">
        <f t="shared" si="108"/>
        <v>0</v>
      </c>
      <c r="AC150" s="118">
        <f t="shared" si="109"/>
        <v>0</v>
      </c>
      <c r="AD150" s="118">
        <f t="shared" si="126"/>
        <v>0</v>
      </c>
      <c r="AE150" s="118">
        <f t="shared" si="110"/>
        <v>0</v>
      </c>
      <c r="AF150" s="121">
        <f t="shared" si="127"/>
        <v>1</v>
      </c>
      <c r="AG150" s="122">
        <f t="shared" si="111"/>
        <v>0</v>
      </c>
      <c r="AH150" s="122">
        <f t="shared" si="112"/>
        <v>0</v>
      </c>
      <c r="AI150" s="122">
        <f t="shared" si="113"/>
        <v>0</v>
      </c>
      <c r="AJ150" s="122">
        <f t="shared" si="114"/>
        <v>0</v>
      </c>
      <c r="AK150" s="122">
        <f t="shared" si="115"/>
        <v>0</v>
      </c>
      <c r="AL150" s="122">
        <f t="shared" si="116"/>
        <v>0</v>
      </c>
      <c r="AM150" s="123">
        <f t="shared" si="117"/>
        <v>0</v>
      </c>
      <c r="AN150" s="123">
        <f t="shared" ref="AN150:AN156" si="132">ROUND(AL150-AM150,2)</f>
        <v>0</v>
      </c>
      <c r="AO150" s="124">
        <f t="shared" si="118"/>
        <v>0</v>
      </c>
      <c r="AP150" s="125">
        <f t="shared" si="128"/>
        <v>0</v>
      </c>
      <c r="AU150" s="109">
        <f>IF(BA150=1,IF(AU149=MiscData!$F$1,EOMONTH(AU149,-11),EOMONTH(AU149,1)),AU149)</f>
        <v>42490</v>
      </c>
      <c r="AV150" s="108" t="str">
        <f t="shared" si="129"/>
        <v>20140101LGRSE411</v>
      </c>
      <c r="AW150" s="126" t="str">
        <f t="shared" si="130"/>
        <v>20140101RS</v>
      </c>
      <c r="AX150">
        <f>MiscData!$X$5</f>
        <v>20140101</v>
      </c>
      <c r="BA150" s="98">
        <f>IF(BA149+1&gt;MiscData!$Z$42,1,BA149+1)</f>
        <v>33</v>
      </c>
      <c r="BB150" s="98" t="str">
        <f>VLOOKUP(BA150,MiscData!$Z$5:$AB$46,2,FALSE)</f>
        <v>LGRSE411</v>
      </c>
      <c r="BC150" s="98" t="str">
        <f>VLOOKUP(BA150,MiscData!$Z$5:$AB$46,3,FALSE)</f>
        <v>RS</v>
      </c>
    </row>
    <row r="151" spans="1:55" s="151" customFormat="1">
      <c r="A151" s="137">
        <v>142</v>
      </c>
      <c r="B151" s="138" t="str">
        <f t="shared" si="119"/>
        <v>Apr 2016</v>
      </c>
      <c r="C151" s="139" t="str">
        <f t="shared" si="120"/>
        <v>RS</v>
      </c>
      <c r="D151" s="139" t="str">
        <f t="shared" si="121"/>
        <v>LGRSE511</v>
      </c>
      <c r="E151" s="140">
        <f t="shared" si="92"/>
        <v>362211</v>
      </c>
      <c r="F151" s="112">
        <v>0</v>
      </c>
      <c r="G151" s="140">
        <f t="shared" si="93"/>
        <v>0</v>
      </c>
      <c r="H151" s="140">
        <f t="shared" si="94"/>
        <v>0</v>
      </c>
      <c r="I151" s="140">
        <f t="shared" si="95"/>
        <v>0</v>
      </c>
      <c r="J151" s="140">
        <f t="shared" si="96"/>
        <v>258316933</v>
      </c>
      <c r="K151" s="141">
        <f t="shared" si="97"/>
        <v>0</v>
      </c>
      <c r="L151" s="141">
        <f t="shared" si="98"/>
        <v>0</v>
      </c>
      <c r="M151" s="141">
        <f t="shared" si="99"/>
        <v>0</v>
      </c>
      <c r="N151" s="142">
        <f t="shared" si="100"/>
        <v>10.75</v>
      </c>
      <c r="O151" s="143">
        <f t="shared" si="88"/>
        <v>8.0760000000000012E-2</v>
      </c>
      <c r="P151" s="143">
        <f t="shared" si="101"/>
        <v>0</v>
      </c>
      <c r="Q151" s="143">
        <f t="shared" si="102"/>
        <v>0</v>
      </c>
      <c r="R151" s="143">
        <f t="shared" si="103"/>
        <v>2.725E-2</v>
      </c>
      <c r="S151" s="142">
        <f t="shared" si="104"/>
        <v>0</v>
      </c>
      <c r="T151" s="142">
        <f t="shared" si="105"/>
        <v>0</v>
      </c>
      <c r="U151" s="142">
        <f t="shared" si="106"/>
        <v>0</v>
      </c>
      <c r="V151" s="144">
        <f t="shared" si="107"/>
        <v>3893768.25</v>
      </c>
      <c r="W151" s="118">
        <f t="shared" si="122"/>
        <v>20861675.510000002</v>
      </c>
      <c r="X151" s="118">
        <f t="shared" si="123"/>
        <v>0</v>
      </c>
      <c r="Y151" s="118">
        <f t="shared" si="124"/>
        <v>0</v>
      </c>
      <c r="Z151" s="118">
        <f t="shared" si="125"/>
        <v>0</v>
      </c>
      <c r="AA151" s="119">
        <v>0</v>
      </c>
      <c r="AB151" s="146">
        <f t="shared" si="108"/>
        <v>0</v>
      </c>
      <c r="AC151" s="144">
        <f t="shared" si="109"/>
        <v>0</v>
      </c>
      <c r="AD151" s="118">
        <f t="shared" si="126"/>
        <v>24755443.760000002</v>
      </c>
      <c r="AE151" s="144">
        <f t="shared" si="110"/>
        <v>24758248</v>
      </c>
      <c r="AF151" s="147">
        <f t="shared" si="127"/>
        <v>1.000113</v>
      </c>
      <c r="AG151" s="148">
        <f t="shared" si="111"/>
        <v>-225077</v>
      </c>
      <c r="AH151" s="148">
        <f t="shared" si="112"/>
        <v>433592</v>
      </c>
      <c r="AI151" s="148">
        <f t="shared" si="113"/>
        <v>2859958</v>
      </c>
      <c r="AJ151" s="148">
        <f t="shared" si="114"/>
        <v>0</v>
      </c>
      <c r="AK151" s="122">
        <f t="shared" si="115"/>
        <v>0</v>
      </c>
      <c r="AL151" s="148">
        <f t="shared" si="116"/>
        <v>27826721</v>
      </c>
      <c r="AM151" s="149">
        <f t="shared" si="117"/>
        <v>27823916.760000002</v>
      </c>
      <c r="AN151" s="149">
        <f t="shared" si="132"/>
        <v>2804.24</v>
      </c>
      <c r="AO151" s="150">
        <f t="shared" si="118"/>
        <v>7039136.4199999999</v>
      </c>
      <c r="AP151" s="125">
        <f t="shared" si="128"/>
        <v>13822539.090000002</v>
      </c>
      <c r="AU151" s="138">
        <f>IF(BA151=1,IF(AU150=MiscData!$F$1,EOMONTH(AU150,-11),EOMONTH(AU150,1)),AU150)</f>
        <v>42490</v>
      </c>
      <c r="AV151" s="137" t="str">
        <f t="shared" si="129"/>
        <v>20140101LGRSE511</v>
      </c>
      <c r="AW151" s="152" t="str">
        <f t="shared" si="130"/>
        <v>20140101RS</v>
      </c>
      <c r="AX151">
        <f>MiscData!$X$5</f>
        <v>20140101</v>
      </c>
      <c r="BA151" s="151">
        <f>IF(BA150+1&gt;MiscData!$Z$42,1,BA150+1)</f>
        <v>34</v>
      </c>
      <c r="BB151" s="151" t="str">
        <f>VLOOKUP(BA151,MiscData!$Z$5:$AB$46,2,FALSE)</f>
        <v>LGRSE511</v>
      </c>
      <c r="BC151" s="151" t="str">
        <f>VLOOKUP(BA151,MiscData!$Z$5:$AB$46,3,FALSE)</f>
        <v>RS</v>
      </c>
    </row>
    <row r="152" spans="1:55">
      <c r="A152" s="108">
        <v>143</v>
      </c>
      <c r="B152" s="109" t="str">
        <f t="shared" si="119"/>
        <v>Apr 2016</v>
      </c>
      <c r="C152" s="110" t="str">
        <f t="shared" si="120"/>
        <v>RS</v>
      </c>
      <c r="D152" s="110" t="str">
        <f t="shared" si="121"/>
        <v>LGRSE519</v>
      </c>
      <c r="E152" s="111">
        <f t="shared" si="92"/>
        <v>0</v>
      </c>
      <c r="F152" s="112">
        <v>0</v>
      </c>
      <c r="G152" s="111">
        <f t="shared" si="93"/>
        <v>0</v>
      </c>
      <c r="H152" s="111">
        <f t="shared" si="94"/>
        <v>0</v>
      </c>
      <c r="I152" s="111">
        <f t="shared" si="95"/>
        <v>0</v>
      </c>
      <c r="J152" s="111">
        <f t="shared" si="96"/>
        <v>0</v>
      </c>
      <c r="K152" s="113">
        <f t="shared" si="97"/>
        <v>0</v>
      </c>
      <c r="L152" s="113">
        <f t="shared" si="98"/>
        <v>0</v>
      </c>
      <c r="M152" s="113">
        <f t="shared" si="99"/>
        <v>0</v>
      </c>
      <c r="N152" s="116">
        <f t="shared" si="100"/>
        <v>10.75</v>
      </c>
      <c r="O152" s="117">
        <f t="shared" si="88"/>
        <v>8.0760000000000012E-2</v>
      </c>
      <c r="P152" s="117">
        <f t="shared" si="101"/>
        <v>0</v>
      </c>
      <c r="Q152" s="117">
        <f t="shared" si="102"/>
        <v>0</v>
      </c>
      <c r="R152" s="117">
        <f t="shared" si="103"/>
        <v>2.725E-2</v>
      </c>
      <c r="S152" s="116">
        <f t="shared" si="104"/>
        <v>0</v>
      </c>
      <c r="T152" s="116">
        <f t="shared" si="105"/>
        <v>0</v>
      </c>
      <c r="U152" s="116">
        <f t="shared" si="106"/>
        <v>0</v>
      </c>
      <c r="V152" s="118">
        <f t="shared" si="107"/>
        <v>0</v>
      </c>
      <c r="W152" s="118">
        <f t="shared" si="122"/>
        <v>0</v>
      </c>
      <c r="X152" s="118">
        <f t="shared" si="123"/>
        <v>0</v>
      </c>
      <c r="Y152" s="118">
        <f t="shared" si="124"/>
        <v>0</v>
      </c>
      <c r="Z152" s="118">
        <f t="shared" si="125"/>
        <v>0</v>
      </c>
      <c r="AA152" s="119">
        <v>0</v>
      </c>
      <c r="AB152" s="120">
        <f t="shared" si="108"/>
        <v>0</v>
      </c>
      <c r="AC152" s="118">
        <f t="shared" si="109"/>
        <v>0</v>
      </c>
      <c r="AD152" s="118">
        <f t="shared" si="126"/>
        <v>0</v>
      </c>
      <c r="AE152" s="118">
        <f t="shared" si="110"/>
        <v>0</v>
      </c>
      <c r="AF152" s="121">
        <f t="shared" si="127"/>
        <v>1</v>
      </c>
      <c r="AG152" s="122">
        <f t="shared" si="111"/>
        <v>0</v>
      </c>
      <c r="AH152" s="122">
        <f t="shared" si="112"/>
        <v>0</v>
      </c>
      <c r="AI152" s="122">
        <f t="shared" si="113"/>
        <v>0</v>
      </c>
      <c r="AJ152" s="122">
        <f t="shared" si="114"/>
        <v>0</v>
      </c>
      <c r="AK152" s="122">
        <f t="shared" si="115"/>
        <v>0</v>
      </c>
      <c r="AL152" s="122">
        <f t="shared" si="116"/>
        <v>0</v>
      </c>
      <c r="AM152" s="123">
        <f t="shared" si="117"/>
        <v>0</v>
      </c>
      <c r="AN152" s="123">
        <f t="shared" si="132"/>
        <v>0</v>
      </c>
      <c r="AO152" s="124">
        <f t="shared" si="118"/>
        <v>0</v>
      </c>
      <c r="AP152" s="125">
        <f t="shared" si="128"/>
        <v>0</v>
      </c>
      <c r="AU152" s="109">
        <f>IF(BA152=1,IF(AU151=MiscData!$F$1,EOMONTH(AU151,-11),EOMONTH(AU151,1)),AU151)</f>
        <v>42490</v>
      </c>
      <c r="AV152" s="108" t="str">
        <f t="shared" si="129"/>
        <v>20140101LGRSE519</v>
      </c>
      <c r="AW152" s="126" t="str">
        <f t="shared" si="130"/>
        <v>20140101RS</v>
      </c>
      <c r="AX152">
        <f>MiscData!$X$5</f>
        <v>20140101</v>
      </c>
      <c r="BA152" s="98">
        <f>IF(BA151+1&gt;MiscData!$Z$42,1,BA151+1)</f>
        <v>35</v>
      </c>
      <c r="BB152" s="98" t="str">
        <f>VLOOKUP(BA152,MiscData!$Z$5:$AB$46,2,FALSE)</f>
        <v>LGRSE519</v>
      </c>
      <c r="BC152" s="98" t="str">
        <f>VLOOKUP(BA152,MiscData!$Z$5:$AB$46,3,FALSE)</f>
        <v>RS</v>
      </c>
    </row>
    <row r="153" spans="1:55">
      <c r="A153" s="108">
        <v>144</v>
      </c>
      <c r="B153" s="109" t="str">
        <f t="shared" si="119"/>
        <v>Apr 2016</v>
      </c>
      <c r="C153" s="110" t="s">
        <v>13</v>
      </c>
      <c r="D153" s="110" t="str">
        <f t="shared" si="121"/>
        <v>LGRSE540</v>
      </c>
      <c r="E153" s="111">
        <f t="shared" si="92"/>
        <v>0</v>
      </c>
      <c r="F153" s="112">
        <v>0</v>
      </c>
      <c r="G153" s="111">
        <f t="shared" si="93"/>
        <v>0</v>
      </c>
      <c r="H153" s="111">
        <f t="shared" si="94"/>
        <v>0</v>
      </c>
      <c r="I153" s="111">
        <f t="shared" si="95"/>
        <v>0</v>
      </c>
      <c r="J153" s="111">
        <f t="shared" si="96"/>
        <v>0</v>
      </c>
      <c r="K153" s="113">
        <f t="shared" si="97"/>
        <v>0</v>
      </c>
      <c r="L153" s="113">
        <f t="shared" si="98"/>
        <v>0</v>
      </c>
      <c r="M153" s="113">
        <f t="shared" si="99"/>
        <v>0</v>
      </c>
      <c r="N153" s="116">
        <f t="shared" si="100"/>
        <v>10.75</v>
      </c>
      <c r="O153" s="117">
        <f t="shared" si="88"/>
        <v>8.0760000000000012E-2</v>
      </c>
      <c r="P153" s="117">
        <f t="shared" si="101"/>
        <v>0</v>
      </c>
      <c r="Q153" s="117">
        <f t="shared" si="102"/>
        <v>0</v>
      </c>
      <c r="R153" s="117">
        <f t="shared" si="103"/>
        <v>2.725E-2</v>
      </c>
      <c r="S153" s="116">
        <f t="shared" si="104"/>
        <v>0</v>
      </c>
      <c r="T153" s="116">
        <f t="shared" si="105"/>
        <v>0</v>
      </c>
      <c r="U153" s="116">
        <f t="shared" si="106"/>
        <v>0</v>
      </c>
      <c r="V153" s="118">
        <f t="shared" si="107"/>
        <v>0</v>
      </c>
      <c r="W153" s="118">
        <f t="shared" si="122"/>
        <v>0</v>
      </c>
      <c r="X153" s="118">
        <f t="shared" si="123"/>
        <v>0</v>
      </c>
      <c r="Y153" s="118">
        <f t="shared" si="124"/>
        <v>0</v>
      </c>
      <c r="Z153" s="118">
        <f t="shared" si="125"/>
        <v>0</v>
      </c>
      <c r="AA153" s="119">
        <v>0</v>
      </c>
      <c r="AB153" s="120">
        <f t="shared" si="108"/>
        <v>0</v>
      </c>
      <c r="AC153" s="118">
        <f t="shared" si="109"/>
        <v>0</v>
      </c>
      <c r="AD153" s="118">
        <f t="shared" si="126"/>
        <v>0</v>
      </c>
      <c r="AE153" s="118">
        <f t="shared" si="110"/>
        <v>0</v>
      </c>
      <c r="AF153" s="121">
        <f t="shared" si="127"/>
        <v>1</v>
      </c>
      <c r="AG153" s="122">
        <f t="shared" si="111"/>
        <v>0</v>
      </c>
      <c r="AH153" s="122">
        <f t="shared" si="112"/>
        <v>0</v>
      </c>
      <c r="AI153" s="122">
        <f t="shared" si="113"/>
        <v>0</v>
      </c>
      <c r="AJ153" s="122">
        <f t="shared" si="114"/>
        <v>0</v>
      </c>
      <c r="AK153" s="122">
        <f t="shared" si="115"/>
        <v>0</v>
      </c>
      <c r="AL153" s="122">
        <f t="shared" si="116"/>
        <v>0</v>
      </c>
      <c r="AM153" s="123">
        <f t="shared" si="117"/>
        <v>0</v>
      </c>
      <c r="AN153" s="123">
        <f t="shared" si="132"/>
        <v>0</v>
      </c>
      <c r="AO153" s="124">
        <f t="shared" si="118"/>
        <v>0</v>
      </c>
      <c r="AP153" s="125">
        <f t="shared" si="128"/>
        <v>0</v>
      </c>
      <c r="AU153" s="109">
        <f>IF(BA153=1,IF(AU152=MiscData!$F$1,EOMONTH(AU152,-11),EOMONTH(AU152,1)),AU152)</f>
        <v>42490</v>
      </c>
      <c r="AV153" s="108" t="str">
        <f t="shared" si="129"/>
        <v>20140101LGRSE540</v>
      </c>
      <c r="AW153" s="126" t="str">
        <f t="shared" si="130"/>
        <v>20140101VFD</v>
      </c>
      <c r="AX153">
        <f>MiscData!$X$5</f>
        <v>20140101</v>
      </c>
      <c r="BA153" s="98">
        <f>IF(BA152+1&gt;MiscData!$Z$42,1,BA152+1)</f>
        <v>36</v>
      </c>
      <c r="BB153" s="98" t="str">
        <f>VLOOKUP(BA153,MiscData!$Z$5:$AB$46,2,FALSE)</f>
        <v>LGRSE540</v>
      </c>
      <c r="BC153" s="98" t="str">
        <f>VLOOKUP(BA153,MiscData!$Z$5:$AB$46,3,FALSE)</f>
        <v>VFD</v>
      </c>
    </row>
    <row r="154" spans="1:55">
      <c r="A154" s="108">
        <v>145</v>
      </c>
      <c r="B154" s="109" t="str">
        <f t="shared" si="119"/>
        <v>Apr 2016</v>
      </c>
      <c r="C154" s="110" t="str">
        <f t="shared" si="120"/>
        <v>LEV</v>
      </c>
      <c r="D154" s="110" t="str">
        <f t="shared" si="121"/>
        <v>LGRSE543</v>
      </c>
      <c r="E154" s="111">
        <f t="shared" si="92"/>
        <v>21</v>
      </c>
      <c r="F154" s="112">
        <v>0</v>
      </c>
      <c r="G154" s="111">
        <f t="shared" si="93"/>
        <v>18583</v>
      </c>
      <c r="H154" s="111">
        <f t="shared" si="94"/>
        <v>6886</v>
      </c>
      <c r="I154" s="111">
        <f t="shared" si="95"/>
        <v>6455</v>
      </c>
      <c r="J154" s="111">
        <f t="shared" si="96"/>
        <v>31924</v>
      </c>
      <c r="K154" s="113">
        <f t="shared" si="97"/>
        <v>0</v>
      </c>
      <c r="L154" s="113">
        <f t="shared" si="98"/>
        <v>0</v>
      </c>
      <c r="M154" s="113">
        <f t="shared" si="99"/>
        <v>0</v>
      </c>
      <c r="N154" s="116">
        <f t="shared" si="100"/>
        <v>10.75</v>
      </c>
      <c r="O154" s="117">
        <f t="shared" si="88"/>
        <v>5.8200000000000002E-2</v>
      </c>
      <c r="P154" s="117">
        <f t="shared" si="101"/>
        <v>7.8990000000000005E-2</v>
      </c>
      <c r="Q154" s="117">
        <f t="shared" si="102"/>
        <v>0.14451000000000003</v>
      </c>
      <c r="R154" s="117">
        <f t="shared" si="103"/>
        <v>2.725E-2</v>
      </c>
      <c r="S154" s="116">
        <f t="shared" si="104"/>
        <v>0</v>
      </c>
      <c r="T154" s="116">
        <f t="shared" si="105"/>
        <v>0</v>
      </c>
      <c r="U154" s="116">
        <f t="shared" si="106"/>
        <v>0</v>
      </c>
      <c r="V154" s="118">
        <f t="shared" si="107"/>
        <v>225.75</v>
      </c>
      <c r="W154" s="118">
        <f t="shared" si="122"/>
        <v>2558.27</v>
      </c>
      <c r="X154" s="118">
        <f t="shared" si="123"/>
        <v>0</v>
      </c>
      <c r="Y154" s="118">
        <f t="shared" si="124"/>
        <v>0</v>
      </c>
      <c r="Z154" s="118">
        <f t="shared" si="125"/>
        <v>0</v>
      </c>
      <c r="AA154" s="145">
        <v>0</v>
      </c>
      <c r="AB154" s="120">
        <f t="shared" si="108"/>
        <v>0</v>
      </c>
      <c r="AC154" s="118">
        <f t="shared" si="109"/>
        <v>0</v>
      </c>
      <c r="AD154" s="118">
        <f t="shared" si="126"/>
        <v>2784.02</v>
      </c>
      <c r="AE154" s="118">
        <f t="shared" si="110"/>
        <v>0</v>
      </c>
      <c r="AF154" s="121">
        <f t="shared" si="127"/>
        <v>0</v>
      </c>
      <c r="AG154" s="122">
        <f t="shared" si="111"/>
        <v>0</v>
      </c>
      <c r="AH154" s="122">
        <f t="shared" si="112"/>
        <v>0</v>
      </c>
      <c r="AI154" s="122">
        <f t="shared" si="113"/>
        <v>0</v>
      </c>
      <c r="AJ154" s="122">
        <f t="shared" si="114"/>
        <v>0</v>
      </c>
      <c r="AK154" s="122">
        <f t="shared" si="115"/>
        <v>0</v>
      </c>
      <c r="AL154" s="122">
        <f t="shared" si="116"/>
        <v>0</v>
      </c>
      <c r="AM154" s="123">
        <f t="shared" si="117"/>
        <v>2784.02</v>
      </c>
      <c r="AN154" s="123">
        <f t="shared" si="132"/>
        <v>-2784.02</v>
      </c>
      <c r="AO154" s="124">
        <f t="shared" si="118"/>
        <v>869.93</v>
      </c>
      <c r="AP154" s="125">
        <f t="shared" si="128"/>
        <v>1688.3400000000001</v>
      </c>
      <c r="AU154" s="109">
        <f>IF(BA154=1,IF(AU153=MiscData!$F$1,EOMONTH(AU153,-11),EOMONTH(AU153,1)),AU153)</f>
        <v>42490</v>
      </c>
      <c r="AV154" s="108" t="str">
        <f t="shared" si="129"/>
        <v>20140101LGRSE543</v>
      </c>
      <c r="AW154" s="126" t="str">
        <f t="shared" si="130"/>
        <v>20140101LEV</v>
      </c>
      <c r="AX154">
        <f>MiscData!$X$5</f>
        <v>20140101</v>
      </c>
      <c r="BA154" s="98">
        <f>IF(BA153+1&gt;MiscData!$Z$42,1,BA153+1)</f>
        <v>37</v>
      </c>
      <c r="BB154" s="98" t="str">
        <f>VLOOKUP(BA154,MiscData!$Z$5:$AB$46,2,FALSE)</f>
        <v>LGRSE543</v>
      </c>
      <c r="BC154" s="98" t="str">
        <f>VLOOKUP(BA154,MiscData!$Z$5:$AB$46,3,FALSE)</f>
        <v>LEV</v>
      </c>
    </row>
    <row r="155" spans="1:55">
      <c r="A155" s="108">
        <v>146</v>
      </c>
      <c r="B155" s="109" t="str">
        <f t="shared" si="119"/>
        <v>Apr 2016</v>
      </c>
      <c r="C155" s="110" t="str">
        <f t="shared" si="120"/>
        <v>LEV</v>
      </c>
      <c r="D155" s="110" t="str">
        <f t="shared" si="121"/>
        <v>LGRSE547</v>
      </c>
      <c r="E155" s="111">
        <f t="shared" si="92"/>
        <v>0</v>
      </c>
      <c r="F155" s="112">
        <v>0</v>
      </c>
      <c r="G155" s="111">
        <f t="shared" si="93"/>
        <v>0</v>
      </c>
      <c r="H155" s="111">
        <f t="shared" si="94"/>
        <v>0</v>
      </c>
      <c r="I155" s="111">
        <f t="shared" si="95"/>
        <v>0</v>
      </c>
      <c r="J155" s="111">
        <f t="shared" si="96"/>
        <v>0</v>
      </c>
      <c r="K155" s="113">
        <f t="shared" si="97"/>
        <v>0</v>
      </c>
      <c r="L155" s="113">
        <f t="shared" si="98"/>
        <v>0</v>
      </c>
      <c r="M155" s="113">
        <f t="shared" si="99"/>
        <v>0</v>
      </c>
      <c r="N155" s="116">
        <f t="shared" si="100"/>
        <v>10.75</v>
      </c>
      <c r="O155" s="117">
        <f t="shared" si="88"/>
        <v>5.8200000000000002E-2</v>
      </c>
      <c r="P155" s="117">
        <f t="shared" si="101"/>
        <v>7.8990000000000005E-2</v>
      </c>
      <c r="Q155" s="117">
        <f t="shared" si="102"/>
        <v>0.14451000000000003</v>
      </c>
      <c r="R155" s="117">
        <f t="shared" si="103"/>
        <v>2.725E-2</v>
      </c>
      <c r="S155" s="116">
        <f t="shared" si="104"/>
        <v>0</v>
      </c>
      <c r="T155" s="116">
        <f t="shared" si="105"/>
        <v>0</v>
      </c>
      <c r="U155" s="116">
        <f t="shared" si="106"/>
        <v>0</v>
      </c>
      <c r="V155" s="118">
        <f t="shared" si="107"/>
        <v>0</v>
      </c>
      <c r="W155" s="118">
        <f t="shared" si="122"/>
        <v>0</v>
      </c>
      <c r="X155" s="118">
        <f t="shared" si="123"/>
        <v>0</v>
      </c>
      <c r="Y155" s="118">
        <f t="shared" si="124"/>
        <v>0</v>
      </c>
      <c r="Z155" s="118">
        <f t="shared" si="125"/>
        <v>0</v>
      </c>
      <c r="AA155" s="119">
        <v>0</v>
      </c>
      <c r="AB155" s="120">
        <f t="shared" si="108"/>
        <v>0</v>
      </c>
      <c r="AC155" s="118">
        <f t="shared" si="109"/>
        <v>0</v>
      </c>
      <c r="AD155" s="118">
        <f t="shared" si="126"/>
        <v>0</v>
      </c>
      <c r="AE155" s="118">
        <f t="shared" si="110"/>
        <v>0</v>
      </c>
      <c r="AF155" s="121">
        <f t="shared" si="127"/>
        <v>1</v>
      </c>
      <c r="AG155" s="122">
        <f t="shared" si="111"/>
        <v>0</v>
      </c>
      <c r="AH155" s="122">
        <f t="shared" si="112"/>
        <v>0</v>
      </c>
      <c r="AI155" s="122">
        <f t="shared" si="113"/>
        <v>0</v>
      </c>
      <c r="AJ155" s="122">
        <f t="shared" si="114"/>
        <v>0</v>
      </c>
      <c r="AK155" s="122">
        <f t="shared" si="115"/>
        <v>0</v>
      </c>
      <c r="AL155" s="122">
        <f t="shared" si="116"/>
        <v>0</v>
      </c>
      <c r="AM155" s="123">
        <f t="shared" si="117"/>
        <v>0</v>
      </c>
      <c r="AN155" s="123">
        <f t="shared" si="132"/>
        <v>0</v>
      </c>
      <c r="AO155" s="124">
        <f t="shared" si="118"/>
        <v>0</v>
      </c>
      <c r="AP155" s="125">
        <f t="shared" si="128"/>
        <v>0</v>
      </c>
      <c r="AU155" s="109">
        <f>IF(BA155=1,IF(AU154=MiscData!$F$1,EOMONTH(AU154,-11),EOMONTH(AU154,1)),AU154)</f>
        <v>42490</v>
      </c>
      <c r="AV155" s="108" t="str">
        <f t="shared" si="129"/>
        <v>20140101LGRSE547</v>
      </c>
      <c r="AW155" s="126" t="str">
        <f t="shared" si="130"/>
        <v>20140101LEV</v>
      </c>
      <c r="AX155">
        <f>MiscData!$X$5</f>
        <v>20140101</v>
      </c>
      <c r="BA155" s="98">
        <f>IF(BA154+1&gt;MiscData!$Z$42,1,BA154+1)</f>
        <v>38</v>
      </c>
      <c r="BB155" s="98" t="str">
        <f>VLOOKUP(BA155,MiscData!$Z$5:$AB$46,2,FALSE)</f>
        <v>LGRSE547</v>
      </c>
      <c r="BC155" s="98" t="str">
        <f>VLOOKUP(BA155,MiscData!$Z$5:$AB$46,3,FALSE)</f>
        <v>LEV</v>
      </c>
    </row>
    <row r="156" spans="1:55">
      <c r="A156" s="108">
        <v>147</v>
      </c>
      <c r="B156" s="109" t="str">
        <f t="shared" si="119"/>
        <v>May 2016</v>
      </c>
      <c r="C156" s="110" t="str">
        <f t="shared" si="120"/>
        <v>FLSP</v>
      </c>
      <c r="D156" s="110" t="str">
        <f t="shared" si="121"/>
        <v>LGINE682</v>
      </c>
      <c r="E156" s="111">
        <f t="shared" si="92"/>
        <v>0</v>
      </c>
      <c r="F156" s="112">
        <v>0</v>
      </c>
      <c r="G156" s="111">
        <f t="shared" si="93"/>
        <v>0</v>
      </c>
      <c r="H156" s="111">
        <f t="shared" si="94"/>
        <v>0</v>
      </c>
      <c r="I156" s="111">
        <f t="shared" si="95"/>
        <v>0</v>
      </c>
      <c r="J156" s="111">
        <f t="shared" si="96"/>
        <v>0</v>
      </c>
      <c r="K156" s="113">
        <f t="shared" si="97"/>
        <v>0</v>
      </c>
      <c r="L156" s="113">
        <f t="shared" si="98"/>
        <v>0</v>
      </c>
      <c r="M156" s="113">
        <f t="shared" si="99"/>
        <v>0</v>
      </c>
      <c r="N156" s="116">
        <f t="shared" si="100"/>
        <v>750</v>
      </c>
      <c r="O156" s="117">
        <f t="shared" si="88"/>
        <v>3.61E-2</v>
      </c>
      <c r="P156" s="117">
        <f t="shared" si="101"/>
        <v>0</v>
      </c>
      <c r="Q156" s="117">
        <f t="shared" si="102"/>
        <v>0</v>
      </c>
      <c r="R156" s="117">
        <f t="shared" si="103"/>
        <v>2.725E-2</v>
      </c>
      <c r="S156" s="116">
        <f t="shared" si="104"/>
        <v>1.8900000000000001</v>
      </c>
      <c r="T156" s="116">
        <f t="shared" si="105"/>
        <v>1.8900000000000001</v>
      </c>
      <c r="U156" s="116">
        <f t="shared" si="106"/>
        <v>2.94</v>
      </c>
      <c r="V156" s="118">
        <f t="shared" si="107"/>
        <v>0</v>
      </c>
      <c r="W156" s="118">
        <f t="shared" si="122"/>
        <v>0</v>
      </c>
      <c r="X156" s="118">
        <f t="shared" si="123"/>
        <v>0</v>
      </c>
      <c r="Y156" s="118">
        <f t="shared" si="124"/>
        <v>0</v>
      </c>
      <c r="Z156" s="118">
        <f t="shared" si="125"/>
        <v>0</v>
      </c>
      <c r="AA156" s="119">
        <v>0</v>
      </c>
      <c r="AB156" s="120">
        <f t="shared" si="108"/>
        <v>0</v>
      </c>
      <c r="AC156" s="118">
        <f t="shared" si="109"/>
        <v>0</v>
      </c>
      <c r="AD156" s="118">
        <f t="shared" si="126"/>
        <v>0</v>
      </c>
      <c r="AE156" s="118">
        <f t="shared" si="110"/>
        <v>0</v>
      </c>
      <c r="AF156" s="121">
        <f t="shared" si="127"/>
        <v>1</v>
      </c>
      <c r="AG156" s="122">
        <f t="shared" si="111"/>
        <v>0</v>
      </c>
      <c r="AH156" s="122">
        <f t="shared" si="112"/>
        <v>0</v>
      </c>
      <c r="AI156" s="122">
        <f t="shared" si="113"/>
        <v>0</v>
      </c>
      <c r="AJ156" s="122">
        <f t="shared" si="114"/>
        <v>0</v>
      </c>
      <c r="AK156" s="122">
        <f t="shared" si="115"/>
        <v>0</v>
      </c>
      <c r="AL156" s="122">
        <f t="shared" si="116"/>
        <v>0</v>
      </c>
      <c r="AM156" s="123">
        <f t="shared" si="117"/>
        <v>0</v>
      </c>
      <c r="AN156" s="123">
        <f t="shared" si="132"/>
        <v>0</v>
      </c>
      <c r="AO156" s="124">
        <f t="shared" si="118"/>
        <v>0</v>
      </c>
      <c r="AP156" s="125">
        <f t="shared" si="128"/>
        <v>0</v>
      </c>
      <c r="AU156" s="109">
        <f>IF(BA156=1,IF(AU155=MiscData!$F$1,EOMONTH(AU155,-11),EOMONTH(AU155,1)),AU155)</f>
        <v>42521</v>
      </c>
      <c r="AV156" s="108" t="str">
        <f t="shared" si="129"/>
        <v>20140101LGINE682</v>
      </c>
      <c r="AW156" s="126" t="str">
        <f t="shared" si="130"/>
        <v>20140101FLSP</v>
      </c>
      <c r="AX156">
        <f>MiscData!$X$5</f>
        <v>20140101</v>
      </c>
      <c r="BA156" s="98">
        <f>IF(BA155+1&gt;MiscData!$Z$42,1,BA155+1)</f>
        <v>1</v>
      </c>
      <c r="BB156" s="98" t="str">
        <f>VLOOKUP(BA156,MiscData!$Z$5:$AB$46,2,FALSE)</f>
        <v>LGINE682</v>
      </c>
      <c r="BC156" s="98" t="str">
        <f>VLOOKUP(BA156,MiscData!$Z$5:$AB$46,3,FALSE)</f>
        <v>FLSP</v>
      </c>
    </row>
    <row r="157" spans="1:55">
      <c r="A157" s="108">
        <v>148</v>
      </c>
      <c r="B157" s="109" t="str">
        <f t="shared" si="119"/>
        <v>May 2016</v>
      </c>
      <c r="C157" s="110" t="str">
        <f t="shared" si="120"/>
        <v>FLST</v>
      </c>
      <c r="D157" s="110" t="str">
        <f t="shared" si="121"/>
        <v>LGINE683</v>
      </c>
      <c r="E157" s="111">
        <f t="shared" si="92"/>
        <v>0</v>
      </c>
      <c r="F157" s="112">
        <v>0</v>
      </c>
      <c r="G157" s="111">
        <f t="shared" si="93"/>
        <v>0</v>
      </c>
      <c r="H157" s="111">
        <f t="shared" si="94"/>
        <v>0</v>
      </c>
      <c r="I157" s="111">
        <f t="shared" si="95"/>
        <v>0</v>
      </c>
      <c r="J157" s="111">
        <f t="shared" si="96"/>
        <v>0</v>
      </c>
      <c r="K157" s="113">
        <f t="shared" si="97"/>
        <v>0</v>
      </c>
      <c r="L157" s="113">
        <f t="shared" si="98"/>
        <v>0</v>
      </c>
      <c r="M157" s="113">
        <f t="shared" si="99"/>
        <v>0</v>
      </c>
      <c r="N157" s="116">
        <f t="shared" si="100"/>
        <v>750</v>
      </c>
      <c r="O157" s="117">
        <f t="shared" si="88"/>
        <v>3.61E-2</v>
      </c>
      <c r="P157" s="117">
        <f t="shared" si="101"/>
        <v>0</v>
      </c>
      <c r="Q157" s="117">
        <f t="shared" si="102"/>
        <v>0</v>
      </c>
      <c r="R157" s="117">
        <f t="shared" si="103"/>
        <v>2.725E-2</v>
      </c>
      <c r="S157" s="116">
        <f t="shared" si="104"/>
        <v>1.1400000000000001</v>
      </c>
      <c r="T157" s="116">
        <f t="shared" si="105"/>
        <v>1.8900000000000001</v>
      </c>
      <c r="U157" s="116">
        <f t="shared" si="106"/>
        <v>2.94</v>
      </c>
      <c r="V157" s="118">
        <f t="shared" si="107"/>
        <v>0</v>
      </c>
      <c r="W157" s="118">
        <f t="shared" si="122"/>
        <v>0</v>
      </c>
      <c r="X157" s="118">
        <f t="shared" si="123"/>
        <v>0</v>
      </c>
      <c r="Y157" s="118">
        <f t="shared" si="124"/>
        <v>0</v>
      </c>
      <c r="Z157" s="118">
        <f t="shared" si="125"/>
        <v>0</v>
      </c>
      <c r="AA157" s="119">
        <v>0</v>
      </c>
      <c r="AB157" s="120">
        <f t="shared" si="108"/>
        <v>0</v>
      </c>
      <c r="AC157" s="118">
        <f t="shared" si="109"/>
        <v>0</v>
      </c>
      <c r="AD157" s="118">
        <f t="shared" si="126"/>
        <v>0</v>
      </c>
      <c r="AE157" s="118">
        <f t="shared" si="110"/>
        <v>0</v>
      </c>
      <c r="AF157" s="121">
        <f t="shared" si="127"/>
        <v>1</v>
      </c>
      <c r="AG157" s="122">
        <f t="shared" si="111"/>
        <v>0</v>
      </c>
      <c r="AH157" s="122">
        <f t="shared" si="112"/>
        <v>0</v>
      </c>
      <c r="AI157" s="122">
        <f t="shared" si="113"/>
        <v>0</v>
      </c>
      <c r="AJ157" s="122">
        <f t="shared" si="114"/>
        <v>0</v>
      </c>
      <c r="AK157" s="122">
        <f t="shared" si="115"/>
        <v>0</v>
      </c>
      <c r="AL157" s="122">
        <f t="shared" si="116"/>
        <v>0</v>
      </c>
      <c r="AM157" s="123">
        <f t="shared" si="117"/>
        <v>0</v>
      </c>
      <c r="AN157" s="123">
        <f t="shared" si="89"/>
        <v>0</v>
      </c>
      <c r="AO157" s="124">
        <f t="shared" si="118"/>
        <v>0</v>
      </c>
      <c r="AP157" s="125">
        <f t="shared" si="128"/>
        <v>0</v>
      </c>
      <c r="AU157" s="109">
        <f>IF(BA157=1,IF(AU156=MiscData!$F$1,EOMONTH(AU156,-11),EOMONTH(AU156,1)),AU156)</f>
        <v>42521</v>
      </c>
      <c r="AV157" s="108" t="str">
        <f t="shared" si="129"/>
        <v>20140101LGINE683</v>
      </c>
      <c r="AW157" s="126" t="str">
        <f t="shared" si="130"/>
        <v>20140101FLST</v>
      </c>
      <c r="AX157">
        <f>MiscData!$X$5</f>
        <v>20140101</v>
      </c>
      <c r="BA157" s="98">
        <f>IF(BA156+1&gt;MiscData!$Z$42,1,BA156+1)</f>
        <v>2</v>
      </c>
      <c r="BB157" s="98" t="str">
        <f>VLOOKUP(BA157,MiscData!$Z$5:$AB$46,2,FALSE)</f>
        <v>LGINE683</v>
      </c>
      <c r="BC157" s="98" t="str">
        <f>VLOOKUP(BA157,MiscData!$Z$5:$AB$46,3,FALSE)</f>
        <v>FLST</v>
      </c>
    </row>
    <row r="158" spans="1:55">
      <c r="A158" s="108">
        <v>149</v>
      </c>
      <c r="B158" s="109" t="str">
        <f t="shared" si="119"/>
        <v>May 2016</v>
      </c>
      <c r="C158" s="110" t="s">
        <v>902</v>
      </c>
      <c r="D158" s="110" t="str">
        <f t="shared" si="121"/>
        <v>LGCME451</v>
      </c>
      <c r="E158" s="111">
        <f t="shared" si="92"/>
        <v>0</v>
      </c>
      <c r="F158" s="112">
        <v>0</v>
      </c>
      <c r="G158" s="111">
        <f t="shared" si="93"/>
        <v>0</v>
      </c>
      <c r="H158" s="111">
        <f t="shared" si="94"/>
        <v>0</v>
      </c>
      <c r="I158" s="111">
        <f t="shared" si="95"/>
        <v>0</v>
      </c>
      <c r="J158" s="111">
        <f t="shared" si="96"/>
        <v>0</v>
      </c>
      <c r="K158" s="113">
        <f t="shared" si="97"/>
        <v>0</v>
      </c>
      <c r="L158" s="113">
        <f t="shared" si="98"/>
        <v>0</v>
      </c>
      <c r="M158" s="113">
        <f t="shared" si="99"/>
        <v>0</v>
      </c>
      <c r="N158" s="116">
        <f t="shared" si="100"/>
        <v>0</v>
      </c>
      <c r="O158" s="117">
        <f t="shared" si="88"/>
        <v>9.1340000000000005E-2</v>
      </c>
      <c r="P158" s="117">
        <f t="shared" si="101"/>
        <v>0</v>
      </c>
      <c r="Q158" s="117">
        <f t="shared" si="102"/>
        <v>0</v>
      </c>
      <c r="R158" s="117">
        <f t="shared" si="103"/>
        <v>2.725E-2</v>
      </c>
      <c r="S158" s="116">
        <f t="shared" si="104"/>
        <v>0</v>
      </c>
      <c r="T158" s="116">
        <f t="shared" si="105"/>
        <v>0</v>
      </c>
      <c r="U158" s="116">
        <f t="shared" si="106"/>
        <v>0</v>
      </c>
      <c r="V158" s="118">
        <f t="shared" si="107"/>
        <v>0</v>
      </c>
      <c r="W158" s="118">
        <f t="shared" si="122"/>
        <v>0</v>
      </c>
      <c r="X158" s="118">
        <f t="shared" si="123"/>
        <v>0</v>
      </c>
      <c r="Y158" s="118">
        <f t="shared" si="124"/>
        <v>0</v>
      </c>
      <c r="Z158" s="118">
        <f t="shared" si="125"/>
        <v>0</v>
      </c>
      <c r="AA158" s="119">
        <v>0</v>
      </c>
      <c r="AB158" s="120">
        <f t="shared" si="108"/>
        <v>0</v>
      </c>
      <c r="AC158" s="118">
        <f t="shared" si="109"/>
        <v>0</v>
      </c>
      <c r="AD158" s="118">
        <f t="shared" si="126"/>
        <v>0</v>
      </c>
      <c r="AE158" s="118">
        <f t="shared" si="110"/>
        <v>0</v>
      </c>
      <c r="AF158" s="121">
        <f t="shared" si="127"/>
        <v>1</v>
      </c>
      <c r="AG158" s="122">
        <f t="shared" si="111"/>
        <v>0</v>
      </c>
      <c r="AH158" s="122">
        <f t="shared" si="112"/>
        <v>0</v>
      </c>
      <c r="AI158" s="122">
        <f t="shared" si="113"/>
        <v>0</v>
      </c>
      <c r="AJ158" s="122">
        <f t="shared" si="114"/>
        <v>0</v>
      </c>
      <c r="AK158" s="122">
        <f t="shared" si="115"/>
        <v>0</v>
      </c>
      <c r="AL158" s="122">
        <f t="shared" si="116"/>
        <v>0</v>
      </c>
      <c r="AM158" s="123">
        <f t="shared" si="117"/>
        <v>0</v>
      </c>
      <c r="AN158" s="123">
        <f t="shared" si="89"/>
        <v>0</v>
      </c>
      <c r="AO158" s="124">
        <f t="shared" si="118"/>
        <v>0</v>
      </c>
      <c r="AP158" s="125">
        <f t="shared" si="128"/>
        <v>0</v>
      </c>
      <c r="AU158" s="109">
        <f>IF(BA158=1,IF(AU157=MiscData!$F$1,EOMONTH(AU157,-11),EOMONTH(AU157,1)),AU157)</f>
        <v>42521</v>
      </c>
      <c r="AV158" s="108" t="str">
        <f t="shared" si="129"/>
        <v>20140101LGCME451</v>
      </c>
      <c r="AW158" s="126" t="str">
        <f t="shared" si="130"/>
        <v>20140101GSS</v>
      </c>
      <c r="AX158">
        <f>MiscData!$X$5</f>
        <v>20140101</v>
      </c>
      <c r="BA158" s="98">
        <f>IF(BA157+1&gt;MiscData!$Z$42,1,BA157+1)</f>
        <v>3</v>
      </c>
      <c r="BB158" s="98" t="str">
        <f>VLOOKUP(BA158,MiscData!$Z$5:$AB$46,2,FALSE)</f>
        <v>LGCME451</v>
      </c>
      <c r="BC158" s="98" t="str">
        <f>VLOOKUP(BA158,MiscData!$Z$5:$AB$46,3,FALSE)</f>
        <v>GSS</v>
      </c>
    </row>
    <row r="159" spans="1:55">
      <c r="A159" s="108">
        <v>150</v>
      </c>
      <c r="B159" s="109" t="str">
        <f t="shared" si="119"/>
        <v>May 2016</v>
      </c>
      <c r="C159" s="110" t="s">
        <v>902</v>
      </c>
      <c r="D159" s="110" t="str">
        <f t="shared" si="121"/>
        <v>LGCME550</v>
      </c>
      <c r="E159" s="111">
        <f t="shared" si="92"/>
        <v>0</v>
      </c>
      <c r="F159" s="112">
        <v>0</v>
      </c>
      <c r="G159" s="111">
        <f t="shared" si="93"/>
        <v>0</v>
      </c>
      <c r="H159" s="111">
        <f t="shared" si="94"/>
        <v>0</v>
      </c>
      <c r="I159" s="111">
        <f t="shared" si="95"/>
        <v>0</v>
      </c>
      <c r="J159" s="111">
        <f t="shared" si="96"/>
        <v>0</v>
      </c>
      <c r="K159" s="113">
        <f t="shared" si="97"/>
        <v>0</v>
      </c>
      <c r="L159" s="113">
        <f t="shared" si="98"/>
        <v>0</v>
      </c>
      <c r="M159" s="113">
        <f t="shared" si="99"/>
        <v>0</v>
      </c>
      <c r="N159" s="116">
        <f t="shared" si="100"/>
        <v>20</v>
      </c>
      <c r="O159" s="117">
        <f t="shared" si="88"/>
        <v>9.1340000000000005E-2</v>
      </c>
      <c r="P159" s="117">
        <f t="shared" si="101"/>
        <v>0</v>
      </c>
      <c r="Q159" s="117">
        <f t="shared" si="102"/>
        <v>0</v>
      </c>
      <c r="R159" s="117">
        <f t="shared" si="103"/>
        <v>2.725E-2</v>
      </c>
      <c r="S159" s="116">
        <f t="shared" si="104"/>
        <v>0</v>
      </c>
      <c r="T159" s="116">
        <f t="shared" si="105"/>
        <v>0</v>
      </c>
      <c r="U159" s="116">
        <f t="shared" si="106"/>
        <v>0</v>
      </c>
      <c r="V159" s="118">
        <f t="shared" si="107"/>
        <v>0</v>
      </c>
      <c r="W159" s="118">
        <f t="shared" si="122"/>
        <v>0</v>
      </c>
      <c r="X159" s="118">
        <f t="shared" si="123"/>
        <v>0</v>
      </c>
      <c r="Y159" s="118">
        <f t="shared" si="124"/>
        <v>0</v>
      </c>
      <c r="Z159" s="118">
        <f t="shared" si="125"/>
        <v>0</v>
      </c>
      <c r="AA159" s="119">
        <v>0</v>
      </c>
      <c r="AB159" s="120">
        <f t="shared" si="108"/>
        <v>0</v>
      </c>
      <c r="AC159" s="118">
        <f t="shared" si="109"/>
        <v>0</v>
      </c>
      <c r="AD159" s="118">
        <f t="shared" si="126"/>
        <v>0</v>
      </c>
      <c r="AE159" s="118">
        <f t="shared" si="110"/>
        <v>0</v>
      </c>
      <c r="AF159" s="121">
        <f t="shared" si="127"/>
        <v>1</v>
      </c>
      <c r="AG159" s="122">
        <f t="shared" si="111"/>
        <v>0</v>
      </c>
      <c r="AH159" s="122">
        <f t="shared" si="112"/>
        <v>0</v>
      </c>
      <c r="AI159" s="122">
        <f t="shared" si="113"/>
        <v>0</v>
      </c>
      <c r="AJ159" s="122">
        <f t="shared" si="114"/>
        <v>0</v>
      </c>
      <c r="AK159" s="122">
        <f t="shared" si="115"/>
        <v>0</v>
      </c>
      <c r="AL159" s="122">
        <f t="shared" si="116"/>
        <v>0</v>
      </c>
      <c r="AM159" s="123">
        <f t="shared" si="117"/>
        <v>0</v>
      </c>
      <c r="AN159" s="123">
        <f t="shared" si="89"/>
        <v>0</v>
      </c>
      <c r="AO159" s="124">
        <f t="shared" si="118"/>
        <v>0</v>
      </c>
      <c r="AP159" s="125">
        <f t="shared" si="128"/>
        <v>0</v>
      </c>
      <c r="AU159" s="109">
        <f>IF(BA159=1,IF(AU158=MiscData!$F$1,EOMONTH(AU158,-11),EOMONTH(AU158,1)),AU158)</f>
        <v>42521</v>
      </c>
      <c r="AV159" s="108" t="str">
        <f t="shared" si="129"/>
        <v>20140101LGCME550</v>
      </c>
      <c r="AW159" s="126" t="str">
        <f t="shared" si="130"/>
        <v>20140101GSS</v>
      </c>
      <c r="AX159">
        <f>MiscData!$X$5</f>
        <v>20140101</v>
      </c>
      <c r="BA159" s="98">
        <f>IF(BA158+1&gt;MiscData!$Z$42,1,BA158+1)</f>
        <v>4</v>
      </c>
      <c r="BB159" s="98" t="str">
        <f>VLOOKUP(BA159,MiscData!$Z$5:$AB$46,2,FALSE)</f>
        <v>LGCME550</v>
      </c>
      <c r="BC159" s="98" t="str">
        <f>VLOOKUP(BA159,MiscData!$Z$5:$AB$46,3,FALSE)</f>
        <v>GSS</v>
      </c>
    </row>
    <row r="160" spans="1:55">
      <c r="A160" s="108">
        <v>151</v>
      </c>
      <c r="B160" s="109" t="str">
        <f t="shared" si="119"/>
        <v>May 2016</v>
      </c>
      <c r="C160" s="110" t="s">
        <v>902</v>
      </c>
      <c r="D160" s="110" t="str">
        <f t="shared" si="121"/>
        <v>LGCME551</v>
      </c>
      <c r="E160" s="111">
        <f t="shared" si="92"/>
        <v>28263</v>
      </c>
      <c r="F160" s="112">
        <v>0</v>
      </c>
      <c r="G160" s="111">
        <f t="shared" si="93"/>
        <v>0</v>
      </c>
      <c r="H160" s="111">
        <f t="shared" si="94"/>
        <v>0</v>
      </c>
      <c r="I160" s="111">
        <f t="shared" si="95"/>
        <v>0</v>
      </c>
      <c r="J160" s="111">
        <f t="shared" si="96"/>
        <v>31985395</v>
      </c>
      <c r="K160" s="113">
        <f t="shared" si="97"/>
        <v>0</v>
      </c>
      <c r="L160" s="113">
        <f t="shared" si="98"/>
        <v>0</v>
      </c>
      <c r="M160" s="113">
        <f t="shared" si="99"/>
        <v>0</v>
      </c>
      <c r="N160" s="116">
        <f t="shared" si="100"/>
        <v>20</v>
      </c>
      <c r="O160" s="117">
        <f t="shared" si="88"/>
        <v>9.1340000000000005E-2</v>
      </c>
      <c r="P160" s="117">
        <f t="shared" si="101"/>
        <v>0</v>
      </c>
      <c r="Q160" s="117">
        <f t="shared" si="102"/>
        <v>0</v>
      </c>
      <c r="R160" s="117">
        <f t="shared" si="103"/>
        <v>2.725E-2</v>
      </c>
      <c r="S160" s="116">
        <f t="shared" si="104"/>
        <v>0</v>
      </c>
      <c r="T160" s="116">
        <f t="shared" si="105"/>
        <v>0</v>
      </c>
      <c r="U160" s="116">
        <f t="shared" si="106"/>
        <v>0</v>
      </c>
      <c r="V160" s="118">
        <f t="shared" si="107"/>
        <v>565260</v>
      </c>
      <c r="W160" s="118">
        <f t="shared" si="122"/>
        <v>2921545.98</v>
      </c>
      <c r="X160" s="118">
        <f t="shared" si="123"/>
        <v>0</v>
      </c>
      <c r="Y160" s="118">
        <f t="shared" si="124"/>
        <v>0</v>
      </c>
      <c r="Z160" s="118">
        <f t="shared" si="125"/>
        <v>0</v>
      </c>
      <c r="AA160" s="119">
        <v>0</v>
      </c>
      <c r="AB160" s="120">
        <f t="shared" si="108"/>
        <v>0</v>
      </c>
      <c r="AC160" s="118">
        <f t="shared" si="109"/>
        <v>0</v>
      </c>
      <c r="AD160" s="118">
        <f t="shared" si="126"/>
        <v>3486805.98</v>
      </c>
      <c r="AE160" s="118">
        <f t="shared" si="110"/>
        <v>3486811</v>
      </c>
      <c r="AF160" s="121">
        <f t="shared" si="127"/>
        <v>1.0000009999999999</v>
      </c>
      <c r="AG160" s="122">
        <f t="shared" si="111"/>
        <v>6170</v>
      </c>
      <c r="AH160" s="122">
        <f t="shared" si="112"/>
        <v>66952</v>
      </c>
      <c r="AI160" s="122">
        <f t="shared" si="113"/>
        <v>334807</v>
      </c>
      <c r="AJ160" s="122">
        <f t="shared" si="114"/>
        <v>0</v>
      </c>
      <c r="AK160" s="122">
        <f t="shared" si="115"/>
        <v>0</v>
      </c>
      <c r="AL160" s="122">
        <f t="shared" si="116"/>
        <v>3894740</v>
      </c>
      <c r="AM160" s="123">
        <f t="shared" si="117"/>
        <v>3894734.98</v>
      </c>
      <c r="AN160" s="123">
        <f t="shared" si="89"/>
        <v>5.0200000000186265</v>
      </c>
      <c r="AO160" s="124">
        <f t="shared" si="118"/>
        <v>871602.01</v>
      </c>
      <c r="AP160" s="125">
        <f t="shared" si="128"/>
        <v>2049943.97</v>
      </c>
      <c r="AU160" s="109">
        <f>IF(BA160=1,IF(AU159=MiscData!$F$1,EOMONTH(AU159,-11),EOMONTH(AU159,1)),AU159)</f>
        <v>42521</v>
      </c>
      <c r="AV160" s="108" t="str">
        <f t="shared" si="129"/>
        <v>20140101LGCME551</v>
      </c>
      <c r="AW160" s="126" t="str">
        <f t="shared" si="130"/>
        <v>20140101GSS</v>
      </c>
      <c r="AX160">
        <f>MiscData!$X$5</f>
        <v>20140101</v>
      </c>
      <c r="BA160" s="98">
        <f>IF(BA159+1&gt;MiscData!$Z$42,1,BA159+1)</f>
        <v>5</v>
      </c>
      <c r="BB160" s="98" t="str">
        <f>VLOOKUP(BA160,MiscData!$Z$5:$AB$46,2,FALSE)</f>
        <v>LGCME551</v>
      </c>
      <c r="BC160" s="98" t="str">
        <f>VLOOKUP(BA160,MiscData!$Z$5:$AB$46,3,FALSE)</f>
        <v>GSS</v>
      </c>
    </row>
    <row r="161" spans="1:55">
      <c r="A161" s="108">
        <v>152</v>
      </c>
      <c r="B161" s="109" t="str">
        <f t="shared" si="119"/>
        <v>May 2016</v>
      </c>
      <c r="C161" s="110" t="s">
        <v>902</v>
      </c>
      <c r="D161" s="110" t="str">
        <f t="shared" si="121"/>
        <v>LGCME551UM</v>
      </c>
      <c r="E161" s="111">
        <f t="shared" si="92"/>
        <v>0</v>
      </c>
      <c r="F161" s="112">
        <v>0</v>
      </c>
      <c r="G161" s="111">
        <f t="shared" si="93"/>
        <v>0</v>
      </c>
      <c r="H161" s="111">
        <f t="shared" si="94"/>
        <v>0</v>
      </c>
      <c r="I161" s="111">
        <f t="shared" si="95"/>
        <v>0</v>
      </c>
      <c r="J161" s="111">
        <f t="shared" si="96"/>
        <v>0</v>
      </c>
      <c r="K161" s="113">
        <f t="shared" si="97"/>
        <v>0</v>
      </c>
      <c r="L161" s="113">
        <f t="shared" si="98"/>
        <v>0</v>
      </c>
      <c r="M161" s="113">
        <f t="shared" si="99"/>
        <v>0</v>
      </c>
      <c r="N161" s="116">
        <f t="shared" si="100"/>
        <v>20</v>
      </c>
      <c r="O161" s="117">
        <f t="shared" si="88"/>
        <v>9.1340000000000005E-2</v>
      </c>
      <c r="P161" s="117">
        <f t="shared" si="101"/>
        <v>0</v>
      </c>
      <c r="Q161" s="117">
        <f t="shared" si="102"/>
        <v>0</v>
      </c>
      <c r="R161" s="117">
        <f t="shared" si="103"/>
        <v>2.725E-2</v>
      </c>
      <c r="S161" s="116">
        <f t="shared" si="104"/>
        <v>0</v>
      </c>
      <c r="T161" s="116">
        <f t="shared" si="105"/>
        <v>0</v>
      </c>
      <c r="U161" s="116">
        <f t="shared" si="106"/>
        <v>0</v>
      </c>
      <c r="V161" s="118">
        <f t="shared" si="107"/>
        <v>0</v>
      </c>
      <c r="W161" s="118">
        <f t="shared" si="122"/>
        <v>0</v>
      </c>
      <c r="X161" s="118">
        <f t="shared" si="123"/>
        <v>0</v>
      </c>
      <c r="Y161" s="118">
        <f t="shared" si="124"/>
        <v>0</v>
      </c>
      <c r="Z161" s="118">
        <f t="shared" si="125"/>
        <v>0</v>
      </c>
      <c r="AA161" s="119">
        <v>0</v>
      </c>
      <c r="AB161" s="120">
        <f t="shared" si="108"/>
        <v>0</v>
      </c>
      <c r="AC161" s="118">
        <f t="shared" si="109"/>
        <v>0</v>
      </c>
      <c r="AD161" s="118">
        <f t="shared" si="126"/>
        <v>0</v>
      </c>
      <c r="AE161" s="118">
        <f t="shared" si="110"/>
        <v>0</v>
      </c>
      <c r="AF161" s="121">
        <f t="shared" si="127"/>
        <v>1</v>
      </c>
      <c r="AG161" s="122">
        <f t="shared" si="111"/>
        <v>0</v>
      </c>
      <c r="AH161" s="122">
        <f t="shared" si="112"/>
        <v>0</v>
      </c>
      <c r="AI161" s="122">
        <f t="shared" si="113"/>
        <v>0</v>
      </c>
      <c r="AJ161" s="122">
        <f t="shared" si="114"/>
        <v>0</v>
      </c>
      <c r="AK161" s="122">
        <f t="shared" si="115"/>
        <v>0</v>
      </c>
      <c r="AL161" s="122">
        <f t="shared" si="116"/>
        <v>0</v>
      </c>
      <c r="AM161" s="123">
        <f t="shared" si="117"/>
        <v>0</v>
      </c>
      <c r="AN161" s="123">
        <f t="shared" si="89"/>
        <v>0</v>
      </c>
      <c r="AO161" s="124">
        <f t="shared" si="118"/>
        <v>0</v>
      </c>
      <c r="AP161" s="125">
        <f t="shared" si="128"/>
        <v>0</v>
      </c>
      <c r="AU161" s="109">
        <f>IF(BA161=1,IF(AU160=MiscData!$F$1,EOMONTH(AU160,-11),EOMONTH(AU160,1)),AU160)</f>
        <v>42521</v>
      </c>
      <c r="AV161" s="108" t="str">
        <f t="shared" si="129"/>
        <v>20140101LGCME551UM</v>
      </c>
      <c r="AW161" s="126" t="str">
        <f t="shared" si="130"/>
        <v>20140101GSS</v>
      </c>
      <c r="AX161">
        <f>MiscData!$X$5</f>
        <v>20140101</v>
      </c>
      <c r="BA161" s="98">
        <f>IF(BA160+1&gt;MiscData!$Z$42,1,BA160+1)</f>
        <v>6</v>
      </c>
      <c r="BB161" s="98" t="str">
        <f>VLOOKUP(BA161,MiscData!$Z$5:$AB$46,2,FALSE)</f>
        <v>LGCME551UM</v>
      </c>
      <c r="BC161" s="98" t="str">
        <f>VLOOKUP(BA161,MiscData!$Z$5:$AB$46,3,FALSE)</f>
        <v>GSS</v>
      </c>
    </row>
    <row r="162" spans="1:55">
      <c r="A162" s="108">
        <v>153</v>
      </c>
      <c r="B162" s="109" t="str">
        <f t="shared" si="119"/>
        <v>May 2016</v>
      </c>
      <c r="C162" s="110" t="s">
        <v>902</v>
      </c>
      <c r="D162" s="110" t="str">
        <f t="shared" si="121"/>
        <v>LGCME552</v>
      </c>
      <c r="E162" s="111">
        <f t="shared" si="92"/>
        <v>0</v>
      </c>
      <c r="F162" s="112">
        <v>0</v>
      </c>
      <c r="G162" s="111">
        <f t="shared" si="93"/>
        <v>0</v>
      </c>
      <c r="H162" s="111">
        <f t="shared" si="94"/>
        <v>0</v>
      </c>
      <c r="I162" s="111">
        <f t="shared" si="95"/>
        <v>0</v>
      </c>
      <c r="J162" s="111">
        <f t="shared" si="96"/>
        <v>0</v>
      </c>
      <c r="K162" s="113">
        <f t="shared" si="97"/>
        <v>0</v>
      </c>
      <c r="L162" s="113">
        <f t="shared" si="98"/>
        <v>0</v>
      </c>
      <c r="M162" s="113">
        <f t="shared" si="99"/>
        <v>0</v>
      </c>
      <c r="N162" s="116">
        <f t="shared" si="100"/>
        <v>0</v>
      </c>
      <c r="O162" s="117">
        <f t="shared" si="88"/>
        <v>9.1340000000000005E-2</v>
      </c>
      <c r="P162" s="117">
        <f t="shared" si="101"/>
        <v>0</v>
      </c>
      <c r="Q162" s="117">
        <f t="shared" si="102"/>
        <v>0</v>
      </c>
      <c r="R162" s="117">
        <f t="shared" si="103"/>
        <v>2.725E-2</v>
      </c>
      <c r="S162" s="116">
        <f t="shared" si="104"/>
        <v>0</v>
      </c>
      <c r="T162" s="116">
        <f t="shared" si="105"/>
        <v>0</v>
      </c>
      <c r="U162" s="116">
        <f t="shared" si="106"/>
        <v>0</v>
      </c>
      <c r="V162" s="118">
        <f t="shared" si="107"/>
        <v>0</v>
      </c>
      <c r="W162" s="118">
        <f t="shared" si="122"/>
        <v>0</v>
      </c>
      <c r="X162" s="118">
        <f t="shared" si="123"/>
        <v>0</v>
      </c>
      <c r="Y162" s="118">
        <f t="shared" si="124"/>
        <v>0</v>
      </c>
      <c r="Z162" s="118">
        <f t="shared" si="125"/>
        <v>0</v>
      </c>
      <c r="AA162" s="119">
        <v>0</v>
      </c>
      <c r="AB162" s="120">
        <f t="shared" si="108"/>
        <v>0</v>
      </c>
      <c r="AC162" s="118">
        <f t="shared" si="109"/>
        <v>0</v>
      </c>
      <c r="AD162" s="118">
        <f t="shared" si="126"/>
        <v>0</v>
      </c>
      <c r="AE162" s="118">
        <f t="shared" si="110"/>
        <v>0</v>
      </c>
      <c r="AF162" s="121">
        <f t="shared" si="127"/>
        <v>1</v>
      </c>
      <c r="AG162" s="122">
        <f t="shared" si="111"/>
        <v>0</v>
      </c>
      <c r="AH162" s="122">
        <f t="shared" si="112"/>
        <v>0</v>
      </c>
      <c r="AI162" s="122">
        <f t="shared" si="113"/>
        <v>0</v>
      </c>
      <c r="AJ162" s="122">
        <f t="shared" si="114"/>
        <v>0</v>
      </c>
      <c r="AK162" s="122">
        <f t="shared" si="115"/>
        <v>0</v>
      </c>
      <c r="AL162" s="122">
        <f t="shared" si="116"/>
        <v>0</v>
      </c>
      <c r="AM162" s="123">
        <f t="shared" si="117"/>
        <v>0</v>
      </c>
      <c r="AN162" s="123">
        <f t="shared" si="89"/>
        <v>0</v>
      </c>
      <c r="AO162" s="124">
        <f t="shared" si="118"/>
        <v>0</v>
      </c>
      <c r="AP162" s="125">
        <f t="shared" si="128"/>
        <v>0</v>
      </c>
      <c r="AU162" s="109">
        <f>IF(BA162=1,IF(AU161=MiscData!$F$1,EOMONTH(AU161,-11),EOMONTH(AU161,1)),AU161)</f>
        <v>42521</v>
      </c>
      <c r="AV162" s="108" t="str">
        <f t="shared" si="129"/>
        <v>20140101LGCME552</v>
      </c>
      <c r="AW162" s="126" t="str">
        <f t="shared" si="130"/>
        <v>20140101GSS</v>
      </c>
      <c r="AX162">
        <f>MiscData!$X$5</f>
        <v>20140101</v>
      </c>
      <c r="BA162" s="98">
        <f>IF(BA161+1&gt;MiscData!$Z$42,1,BA161+1)</f>
        <v>7</v>
      </c>
      <c r="BB162" s="98" t="str">
        <f>VLOOKUP(BA162,MiscData!$Z$5:$AB$46,2,FALSE)</f>
        <v>LGCME552</v>
      </c>
      <c r="BC162" s="98" t="str">
        <f>VLOOKUP(BA162,MiscData!$Z$5:$AB$46,3,FALSE)</f>
        <v>GSS</v>
      </c>
    </row>
    <row r="163" spans="1:55">
      <c r="A163" s="108">
        <v>154</v>
      </c>
      <c r="B163" s="109" t="str">
        <f t="shared" si="119"/>
        <v>May 2016</v>
      </c>
      <c r="C163" s="110" t="s">
        <v>902</v>
      </c>
      <c r="D163" s="110" t="str">
        <f t="shared" si="121"/>
        <v>LGCME557</v>
      </c>
      <c r="E163" s="111">
        <f t="shared" si="92"/>
        <v>0</v>
      </c>
      <c r="F163" s="112">
        <v>0</v>
      </c>
      <c r="G163" s="111">
        <f t="shared" si="93"/>
        <v>0</v>
      </c>
      <c r="H163" s="111">
        <f t="shared" si="94"/>
        <v>0</v>
      </c>
      <c r="I163" s="111">
        <f t="shared" si="95"/>
        <v>0</v>
      </c>
      <c r="J163" s="111">
        <f t="shared" si="96"/>
        <v>0</v>
      </c>
      <c r="K163" s="113">
        <f t="shared" si="97"/>
        <v>0</v>
      </c>
      <c r="L163" s="113">
        <f t="shared" si="98"/>
        <v>0</v>
      </c>
      <c r="M163" s="113">
        <f t="shared" si="99"/>
        <v>0</v>
      </c>
      <c r="N163" s="116">
        <f t="shared" si="100"/>
        <v>20</v>
      </c>
      <c r="O163" s="117">
        <f t="shared" si="88"/>
        <v>9.1340000000000005E-2</v>
      </c>
      <c r="P163" s="117">
        <f t="shared" si="101"/>
        <v>0</v>
      </c>
      <c r="Q163" s="117">
        <f t="shared" si="102"/>
        <v>0</v>
      </c>
      <c r="R163" s="117">
        <f t="shared" si="103"/>
        <v>2.725E-2</v>
      </c>
      <c r="S163" s="116">
        <f t="shared" si="104"/>
        <v>0</v>
      </c>
      <c r="T163" s="116">
        <f t="shared" si="105"/>
        <v>0</v>
      </c>
      <c r="U163" s="116">
        <f t="shared" si="106"/>
        <v>0</v>
      </c>
      <c r="V163" s="118">
        <f t="shared" si="107"/>
        <v>0</v>
      </c>
      <c r="W163" s="118">
        <f t="shared" si="122"/>
        <v>0</v>
      </c>
      <c r="X163" s="118">
        <f t="shared" si="123"/>
        <v>0</v>
      </c>
      <c r="Y163" s="118">
        <f t="shared" si="124"/>
        <v>0</v>
      </c>
      <c r="Z163" s="118">
        <f t="shared" si="125"/>
        <v>0</v>
      </c>
      <c r="AA163" s="119">
        <v>0</v>
      </c>
      <c r="AB163" s="120">
        <f t="shared" si="108"/>
        <v>0</v>
      </c>
      <c r="AC163" s="118">
        <f t="shared" si="109"/>
        <v>0</v>
      </c>
      <c r="AD163" s="118">
        <f t="shared" si="126"/>
        <v>0</v>
      </c>
      <c r="AE163" s="118">
        <f t="shared" si="110"/>
        <v>0</v>
      </c>
      <c r="AF163" s="121">
        <f t="shared" si="127"/>
        <v>1</v>
      </c>
      <c r="AG163" s="122">
        <f t="shared" si="111"/>
        <v>0</v>
      </c>
      <c r="AH163" s="122">
        <f t="shared" si="112"/>
        <v>0</v>
      </c>
      <c r="AI163" s="122">
        <f t="shared" si="113"/>
        <v>0</v>
      </c>
      <c r="AJ163" s="122">
        <f t="shared" si="114"/>
        <v>0</v>
      </c>
      <c r="AK163" s="122">
        <f t="shared" si="115"/>
        <v>0</v>
      </c>
      <c r="AL163" s="122">
        <f t="shared" si="116"/>
        <v>0</v>
      </c>
      <c r="AM163" s="123">
        <f t="shared" si="117"/>
        <v>0</v>
      </c>
      <c r="AN163" s="123">
        <f t="shared" si="89"/>
        <v>0</v>
      </c>
      <c r="AO163" s="124">
        <f t="shared" si="118"/>
        <v>0</v>
      </c>
      <c r="AP163" s="125">
        <f t="shared" si="128"/>
        <v>0</v>
      </c>
      <c r="AU163" s="109">
        <f>IF(BA163=1,IF(AU162=MiscData!$F$1,EOMONTH(AU162,-11),EOMONTH(AU162,1)),AU162)</f>
        <v>42521</v>
      </c>
      <c r="AV163" s="108" t="str">
        <f t="shared" si="129"/>
        <v>20140101LGCME557</v>
      </c>
      <c r="AW163" s="126" t="str">
        <f t="shared" si="130"/>
        <v>20140101GSS</v>
      </c>
      <c r="AX163">
        <f>MiscData!$X$5</f>
        <v>20140101</v>
      </c>
      <c r="BA163" s="98">
        <f>IF(BA162+1&gt;MiscData!$Z$42,1,BA162+1)</f>
        <v>8</v>
      </c>
      <c r="BB163" s="98" t="str">
        <f>VLOOKUP(BA163,MiscData!$Z$5:$AB$46,2,FALSE)</f>
        <v>LGCME557</v>
      </c>
      <c r="BC163" s="98" t="str">
        <f>VLOOKUP(BA163,MiscData!$Z$5:$AB$46,3,FALSE)</f>
        <v>GSS</v>
      </c>
    </row>
    <row r="164" spans="1:55">
      <c r="A164" s="108">
        <v>155</v>
      </c>
      <c r="B164" s="109" t="str">
        <f t="shared" si="119"/>
        <v>May 2016</v>
      </c>
      <c r="C164" s="110" t="str">
        <f t="shared" si="120"/>
        <v>PSS</v>
      </c>
      <c r="D164" s="110" t="str">
        <f t="shared" si="121"/>
        <v>LGCME561</v>
      </c>
      <c r="E164" s="111">
        <f t="shared" si="92"/>
        <v>2585</v>
      </c>
      <c r="F164" s="112">
        <v>0</v>
      </c>
      <c r="G164" s="111">
        <f t="shared" si="93"/>
        <v>0</v>
      </c>
      <c r="H164" s="111">
        <f t="shared" si="94"/>
        <v>0</v>
      </c>
      <c r="I164" s="111">
        <f t="shared" si="95"/>
        <v>0</v>
      </c>
      <c r="J164" s="111">
        <f t="shared" si="96"/>
        <v>151860056</v>
      </c>
      <c r="K164" s="113">
        <f t="shared" si="97"/>
        <v>0</v>
      </c>
      <c r="L164" s="113">
        <f t="shared" si="98"/>
        <v>0</v>
      </c>
      <c r="M164" s="113">
        <f t="shared" si="99"/>
        <v>338104</v>
      </c>
      <c r="N164" s="116">
        <f t="shared" si="100"/>
        <v>90</v>
      </c>
      <c r="O164" s="117">
        <f t="shared" si="88"/>
        <v>4.0599999999999997E-2</v>
      </c>
      <c r="P164" s="117">
        <f t="shared" si="101"/>
        <v>0</v>
      </c>
      <c r="Q164" s="117">
        <f t="shared" si="102"/>
        <v>0</v>
      </c>
      <c r="R164" s="117">
        <f t="shared" si="103"/>
        <v>2.725E-2</v>
      </c>
      <c r="S164" s="116">
        <f t="shared" si="104"/>
        <v>0</v>
      </c>
      <c r="T164" s="116">
        <f t="shared" si="105"/>
        <v>14.010000000000002</v>
      </c>
      <c r="U164" s="116">
        <f t="shared" si="106"/>
        <v>16.399999999999999</v>
      </c>
      <c r="V164" s="118">
        <f t="shared" si="107"/>
        <v>232650</v>
      </c>
      <c r="W164" s="118">
        <f t="shared" si="122"/>
        <v>6165518.2699999996</v>
      </c>
      <c r="X164" s="118">
        <f t="shared" si="123"/>
        <v>0</v>
      </c>
      <c r="Y164" s="118">
        <f t="shared" si="124"/>
        <v>0</v>
      </c>
      <c r="Z164" s="118">
        <f t="shared" si="125"/>
        <v>5544905.5999999996</v>
      </c>
      <c r="AA164" s="119">
        <v>0</v>
      </c>
      <c r="AB164" s="120">
        <f t="shared" si="108"/>
        <v>0</v>
      </c>
      <c r="AC164" s="118">
        <f t="shared" si="109"/>
        <v>5544905.5999999996</v>
      </c>
      <c r="AD164" s="118">
        <f t="shared" si="126"/>
        <v>11943073.869999999</v>
      </c>
      <c r="AE164" s="118">
        <f t="shared" si="110"/>
        <v>11943072</v>
      </c>
      <c r="AF164" s="121">
        <f t="shared" si="127"/>
        <v>1</v>
      </c>
      <c r="AG164" s="122">
        <f t="shared" si="111"/>
        <v>29296</v>
      </c>
      <c r="AH164" s="122">
        <f t="shared" si="112"/>
        <v>317872</v>
      </c>
      <c r="AI164" s="122">
        <f t="shared" si="113"/>
        <v>1589592</v>
      </c>
      <c r="AJ164" s="122">
        <f t="shared" si="114"/>
        <v>0</v>
      </c>
      <c r="AK164" s="122">
        <f t="shared" si="115"/>
        <v>0</v>
      </c>
      <c r="AL164" s="122">
        <f t="shared" si="116"/>
        <v>13879832</v>
      </c>
      <c r="AM164" s="123">
        <f t="shared" si="117"/>
        <v>13879833.869999999</v>
      </c>
      <c r="AN164" s="123">
        <f t="shared" si="89"/>
        <v>-1.8699999991804361</v>
      </c>
      <c r="AO164" s="124">
        <f t="shared" si="118"/>
        <v>4138186.53</v>
      </c>
      <c r="AP164" s="125">
        <f t="shared" si="128"/>
        <v>2027331.7399999998</v>
      </c>
      <c r="AU164" s="109">
        <f>IF(BA164=1,IF(AU163=MiscData!$F$1,EOMONTH(AU163,-11),EOMONTH(AU163,1)),AU163)</f>
        <v>42521</v>
      </c>
      <c r="AV164" s="108" t="str">
        <f t="shared" si="129"/>
        <v>20140101LGCME561</v>
      </c>
      <c r="AW164" s="126" t="str">
        <f t="shared" si="130"/>
        <v>20140101PSS</v>
      </c>
      <c r="AX164">
        <f>MiscData!$X$5</f>
        <v>20140101</v>
      </c>
      <c r="BA164" s="98">
        <f>IF(BA163+1&gt;MiscData!$Z$42,1,BA163+1)</f>
        <v>9</v>
      </c>
      <c r="BB164" s="98" t="str">
        <f>VLOOKUP(BA164,MiscData!$Z$5:$AB$46,2,FALSE)</f>
        <v>LGCME561</v>
      </c>
      <c r="BC164" s="98" t="str">
        <f>VLOOKUP(BA164,MiscData!$Z$5:$AB$46,3,FALSE)</f>
        <v>PSS</v>
      </c>
    </row>
    <row r="165" spans="1:55">
      <c r="A165" s="108">
        <v>155</v>
      </c>
      <c r="B165" s="109" t="str">
        <f t="shared" si="119"/>
        <v>May 2016</v>
      </c>
      <c r="C165" s="110" t="str">
        <f t="shared" si="120"/>
        <v>PSP</v>
      </c>
      <c r="D165" s="110" t="str">
        <f t="shared" si="121"/>
        <v>LGCME563</v>
      </c>
      <c r="E165" s="111">
        <f t="shared" si="92"/>
        <v>52</v>
      </c>
      <c r="F165" s="112">
        <v>0</v>
      </c>
      <c r="G165" s="111">
        <f t="shared" si="93"/>
        <v>0</v>
      </c>
      <c r="H165" s="111">
        <f t="shared" si="94"/>
        <v>0</v>
      </c>
      <c r="I165" s="111">
        <f t="shared" si="95"/>
        <v>0</v>
      </c>
      <c r="J165" s="111">
        <f t="shared" si="96"/>
        <v>13088103</v>
      </c>
      <c r="K165" s="113">
        <f t="shared" si="97"/>
        <v>0</v>
      </c>
      <c r="L165" s="113">
        <f t="shared" si="98"/>
        <v>0</v>
      </c>
      <c r="M165" s="113">
        <f t="shared" si="99"/>
        <v>28296</v>
      </c>
      <c r="N165" s="116">
        <f t="shared" si="100"/>
        <v>170</v>
      </c>
      <c r="O165" s="117">
        <f t="shared" si="88"/>
        <v>3.9260000000000003E-2</v>
      </c>
      <c r="P165" s="117">
        <f t="shared" si="101"/>
        <v>0</v>
      </c>
      <c r="Q165" s="117">
        <f t="shared" si="102"/>
        <v>0</v>
      </c>
      <c r="R165" s="117">
        <f t="shared" si="103"/>
        <v>2.725E-2</v>
      </c>
      <c r="S165" s="116">
        <f t="shared" si="104"/>
        <v>0</v>
      </c>
      <c r="T165" s="116">
        <f t="shared" si="105"/>
        <v>11.660000000000002</v>
      </c>
      <c r="U165" s="116">
        <f t="shared" si="106"/>
        <v>13.950000000000001</v>
      </c>
      <c r="V165" s="118">
        <f t="shared" si="107"/>
        <v>8840</v>
      </c>
      <c r="W165" s="118">
        <f t="shared" si="122"/>
        <v>513838.92</v>
      </c>
      <c r="X165" s="118">
        <f t="shared" si="123"/>
        <v>0</v>
      </c>
      <c r="Y165" s="118">
        <f t="shared" si="124"/>
        <v>0</v>
      </c>
      <c r="Z165" s="118">
        <f t="shared" si="125"/>
        <v>394729.2</v>
      </c>
      <c r="AA165" s="119">
        <v>0</v>
      </c>
      <c r="AB165" s="120">
        <f t="shared" si="108"/>
        <v>0</v>
      </c>
      <c r="AC165" s="118">
        <f t="shared" si="109"/>
        <v>394729.2</v>
      </c>
      <c r="AD165" s="118">
        <f t="shared" si="126"/>
        <v>917408.12</v>
      </c>
      <c r="AE165" s="118">
        <f t="shared" si="110"/>
        <v>917403</v>
      </c>
      <c r="AF165" s="121">
        <f t="shared" si="127"/>
        <v>0.99999400000000005</v>
      </c>
      <c r="AG165" s="122">
        <f t="shared" si="111"/>
        <v>2525</v>
      </c>
      <c r="AH165" s="122">
        <f t="shared" si="112"/>
        <v>27396</v>
      </c>
      <c r="AI165" s="122">
        <f t="shared" si="113"/>
        <v>136999</v>
      </c>
      <c r="AJ165" s="122">
        <f t="shared" si="114"/>
        <v>0</v>
      </c>
      <c r="AK165" s="122">
        <f t="shared" si="115"/>
        <v>0</v>
      </c>
      <c r="AL165" s="122">
        <f t="shared" si="116"/>
        <v>1084323</v>
      </c>
      <c r="AM165" s="123">
        <f t="shared" si="117"/>
        <v>1084328.1200000001</v>
      </c>
      <c r="AN165" s="123">
        <f t="shared" si="89"/>
        <v>-5.1200000001117587</v>
      </c>
      <c r="AO165" s="124">
        <f t="shared" si="118"/>
        <v>356650.81</v>
      </c>
      <c r="AP165" s="125">
        <f t="shared" si="128"/>
        <v>157188.10999999999</v>
      </c>
      <c r="AU165" s="109">
        <f>IF(BA165=1,IF(AU164=MiscData!$F$1,EOMONTH(AU164,-11),EOMONTH(AU164,1)),AU164)</f>
        <v>42521</v>
      </c>
      <c r="AV165" s="108" t="str">
        <f t="shared" si="129"/>
        <v>20140101LGCME563</v>
      </c>
      <c r="AW165" s="126" t="str">
        <f t="shared" si="130"/>
        <v>20140101PSP</v>
      </c>
      <c r="AX165">
        <f>MiscData!$X$5</f>
        <v>20140101</v>
      </c>
      <c r="BA165" s="98">
        <f>IF(BA164+1&gt;MiscData!$Z$42,1,BA164+1)</f>
        <v>10</v>
      </c>
      <c r="BB165" s="98" t="str">
        <f>VLOOKUP(BA165,MiscData!$Z$5:$AB$46,2,FALSE)</f>
        <v>LGCME563</v>
      </c>
      <c r="BC165" s="98" t="str">
        <f>VLOOKUP(BA165,MiscData!$Z$5:$AB$46,3,FALSE)</f>
        <v>PSP</v>
      </c>
    </row>
    <row r="166" spans="1:55">
      <c r="A166" s="108">
        <v>156</v>
      </c>
      <c r="B166" s="109" t="str">
        <f t="shared" si="119"/>
        <v>May 2016</v>
      </c>
      <c r="C166" s="110" t="str">
        <f t="shared" si="120"/>
        <v>PSS</v>
      </c>
      <c r="D166" s="110" t="str">
        <f t="shared" si="121"/>
        <v>LGCME567</v>
      </c>
      <c r="E166" s="111">
        <f t="shared" si="92"/>
        <v>0</v>
      </c>
      <c r="F166" s="112">
        <v>0</v>
      </c>
      <c r="G166" s="111">
        <f t="shared" si="93"/>
        <v>0</v>
      </c>
      <c r="H166" s="111">
        <f t="shared" si="94"/>
        <v>0</v>
      </c>
      <c r="I166" s="111">
        <f t="shared" si="95"/>
        <v>0</v>
      </c>
      <c r="J166" s="111">
        <f t="shared" si="96"/>
        <v>0</v>
      </c>
      <c r="K166" s="113">
        <f t="shared" si="97"/>
        <v>0</v>
      </c>
      <c r="L166" s="113">
        <f t="shared" si="98"/>
        <v>0</v>
      </c>
      <c r="M166" s="113">
        <f t="shared" si="99"/>
        <v>0</v>
      </c>
      <c r="N166" s="116">
        <f t="shared" si="100"/>
        <v>90</v>
      </c>
      <c r="O166" s="117">
        <f t="shared" si="88"/>
        <v>4.0599999999999997E-2</v>
      </c>
      <c r="P166" s="117">
        <f t="shared" si="101"/>
        <v>0</v>
      </c>
      <c r="Q166" s="117">
        <f t="shared" si="102"/>
        <v>0</v>
      </c>
      <c r="R166" s="117">
        <f t="shared" si="103"/>
        <v>2.725E-2</v>
      </c>
      <c r="S166" s="116">
        <f t="shared" si="104"/>
        <v>0</v>
      </c>
      <c r="T166" s="116">
        <f t="shared" si="105"/>
        <v>14.010000000000002</v>
      </c>
      <c r="U166" s="116">
        <f t="shared" si="106"/>
        <v>16.399999999999999</v>
      </c>
      <c r="V166" s="118">
        <f t="shared" si="107"/>
        <v>0</v>
      </c>
      <c r="W166" s="118">
        <f t="shared" si="122"/>
        <v>0</v>
      </c>
      <c r="X166" s="118">
        <f t="shared" si="123"/>
        <v>0</v>
      </c>
      <c r="Y166" s="118">
        <f t="shared" si="124"/>
        <v>0</v>
      </c>
      <c r="Z166" s="118">
        <f t="shared" si="125"/>
        <v>0</v>
      </c>
      <c r="AA166" s="119">
        <v>0</v>
      </c>
      <c r="AB166" s="120">
        <f t="shared" si="108"/>
        <v>0</v>
      </c>
      <c r="AC166" s="118">
        <f t="shared" si="109"/>
        <v>0</v>
      </c>
      <c r="AD166" s="118">
        <f t="shared" si="126"/>
        <v>0</v>
      </c>
      <c r="AE166" s="118">
        <f t="shared" si="110"/>
        <v>0</v>
      </c>
      <c r="AF166" s="121">
        <f t="shared" si="127"/>
        <v>1</v>
      </c>
      <c r="AG166" s="122">
        <f t="shared" si="111"/>
        <v>0</v>
      </c>
      <c r="AH166" s="122">
        <f t="shared" si="112"/>
        <v>0</v>
      </c>
      <c r="AI166" s="122">
        <f t="shared" si="113"/>
        <v>0</v>
      </c>
      <c r="AJ166" s="122">
        <f t="shared" si="114"/>
        <v>0</v>
      </c>
      <c r="AK166" s="122">
        <f t="shared" si="115"/>
        <v>0</v>
      </c>
      <c r="AL166" s="122">
        <f t="shared" si="116"/>
        <v>0</v>
      </c>
      <c r="AM166" s="123">
        <f t="shared" si="117"/>
        <v>0</v>
      </c>
      <c r="AN166" s="123">
        <f t="shared" si="89"/>
        <v>0</v>
      </c>
      <c r="AO166" s="124">
        <f t="shared" si="118"/>
        <v>0</v>
      </c>
      <c r="AP166" s="125">
        <f t="shared" si="128"/>
        <v>0</v>
      </c>
      <c r="AU166" s="109">
        <f>IF(BA166=1,IF(AU165=MiscData!$F$1,EOMONTH(AU165,-11),EOMONTH(AU165,1)),AU165)</f>
        <v>42521</v>
      </c>
      <c r="AV166" s="108" t="str">
        <f t="shared" si="129"/>
        <v>20140101LGCME567</v>
      </c>
      <c r="AW166" s="126" t="str">
        <f t="shared" si="130"/>
        <v>20140101PSS</v>
      </c>
      <c r="AX166">
        <f>MiscData!$X$5</f>
        <v>20140101</v>
      </c>
      <c r="BA166" s="98">
        <f>IF(BA165+1&gt;MiscData!$Z$42,1,BA165+1)</f>
        <v>11</v>
      </c>
      <c r="BB166" s="98" t="str">
        <f>VLOOKUP(BA166,MiscData!$Z$5:$AB$46,2,FALSE)</f>
        <v>LGCME567</v>
      </c>
      <c r="BC166" s="98" t="str">
        <f>VLOOKUP(BA166,MiscData!$Z$5:$AB$46,3,FALSE)</f>
        <v>PSS</v>
      </c>
    </row>
    <row r="167" spans="1:55">
      <c r="A167" s="108">
        <v>156</v>
      </c>
      <c r="B167" s="109" t="str">
        <f t="shared" si="119"/>
        <v>May 2016</v>
      </c>
      <c r="C167" s="110" t="str">
        <f t="shared" si="120"/>
        <v>TODS</v>
      </c>
      <c r="D167" s="110" t="str">
        <f t="shared" si="121"/>
        <v>LGCME591</v>
      </c>
      <c r="E167" s="111">
        <f t="shared" si="92"/>
        <v>226</v>
      </c>
      <c r="F167" s="112">
        <v>0</v>
      </c>
      <c r="G167" s="111">
        <f t="shared" si="93"/>
        <v>0</v>
      </c>
      <c r="H167" s="111">
        <f t="shared" si="94"/>
        <v>0</v>
      </c>
      <c r="I167" s="111">
        <f t="shared" si="95"/>
        <v>0</v>
      </c>
      <c r="J167" s="111">
        <f t="shared" si="96"/>
        <v>67792801</v>
      </c>
      <c r="K167" s="113">
        <f t="shared" si="97"/>
        <v>139944</v>
      </c>
      <c r="L167" s="113">
        <f t="shared" si="98"/>
        <v>132252</v>
      </c>
      <c r="M167" s="113">
        <f t="shared" si="99"/>
        <v>130554</v>
      </c>
      <c r="N167" s="116">
        <f t="shared" si="100"/>
        <v>200</v>
      </c>
      <c r="O167" s="117">
        <f t="shared" si="88"/>
        <v>3.9899999999999998E-2</v>
      </c>
      <c r="P167" s="117">
        <f t="shared" si="101"/>
        <v>0</v>
      </c>
      <c r="Q167" s="117">
        <f t="shared" si="102"/>
        <v>0</v>
      </c>
      <c r="R167" s="117">
        <f t="shared" si="103"/>
        <v>2.725E-2</v>
      </c>
      <c r="S167" s="116">
        <f t="shared" si="104"/>
        <v>4</v>
      </c>
      <c r="T167" s="116">
        <f t="shared" si="105"/>
        <v>4.5100000000000007</v>
      </c>
      <c r="U167" s="116">
        <f t="shared" si="106"/>
        <v>6.11</v>
      </c>
      <c r="V167" s="118">
        <f t="shared" si="107"/>
        <v>45200</v>
      </c>
      <c r="W167" s="118">
        <f t="shared" si="122"/>
        <v>2704932.76</v>
      </c>
      <c r="X167" s="118">
        <f t="shared" si="123"/>
        <v>559776</v>
      </c>
      <c r="Y167" s="118">
        <f t="shared" si="124"/>
        <v>596456.52</v>
      </c>
      <c r="Z167" s="118">
        <f t="shared" si="125"/>
        <v>797684.94</v>
      </c>
      <c r="AA167" s="119">
        <v>0</v>
      </c>
      <c r="AB167" s="120">
        <f t="shared" si="108"/>
        <v>0</v>
      </c>
      <c r="AC167" s="118">
        <f t="shared" si="109"/>
        <v>1953917.46</v>
      </c>
      <c r="AD167" s="118">
        <f t="shared" si="126"/>
        <v>4704050.22</v>
      </c>
      <c r="AE167" s="118">
        <f t="shared" si="110"/>
        <v>4704047</v>
      </c>
      <c r="AF167" s="121">
        <f t="shared" si="127"/>
        <v>0.99999899999999997</v>
      </c>
      <c r="AG167" s="122">
        <f t="shared" si="111"/>
        <v>13078</v>
      </c>
      <c r="AH167" s="122">
        <f t="shared" si="112"/>
        <v>141903</v>
      </c>
      <c r="AI167" s="122">
        <f t="shared" si="113"/>
        <v>709620</v>
      </c>
      <c r="AJ167" s="122">
        <f t="shared" si="114"/>
        <v>0</v>
      </c>
      <c r="AK167" s="122">
        <f t="shared" si="115"/>
        <v>0</v>
      </c>
      <c r="AL167" s="122">
        <f t="shared" si="116"/>
        <v>5568648</v>
      </c>
      <c r="AM167" s="123">
        <f t="shared" si="117"/>
        <v>5568651.2199999997</v>
      </c>
      <c r="AN167" s="123">
        <f t="shared" si="89"/>
        <v>-3.2199999997392297</v>
      </c>
      <c r="AO167" s="124">
        <f t="shared" si="118"/>
        <v>1847353.83</v>
      </c>
      <c r="AP167" s="125">
        <f t="shared" si="128"/>
        <v>857578.9299999997</v>
      </c>
      <c r="AU167" s="109">
        <f>IF(BA167=1,IF(AU166=MiscData!$F$1,EOMONTH(AU166,-11),EOMONTH(AU166,1)),AU166)</f>
        <v>42521</v>
      </c>
      <c r="AV167" s="108" t="str">
        <f t="shared" si="129"/>
        <v>20140101LGCME591</v>
      </c>
      <c r="AW167" s="126" t="str">
        <f t="shared" si="130"/>
        <v>20140101TODS</v>
      </c>
      <c r="AX167">
        <f>MiscData!$X$5</f>
        <v>20140101</v>
      </c>
      <c r="BA167" s="98">
        <f>IF(BA166+1&gt;MiscData!$Z$42,1,BA166+1)</f>
        <v>12</v>
      </c>
      <c r="BB167" s="98" t="str">
        <f>VLOOKUP(BA167,MiscData!$Z$5:$AB$46,2,FALSE)</f>
        <v>LGCME591</v>
      </c>
      <c r="BC167" s="98" t="str">
        <f>VLOOKUP(BA167,MiscData!$Z$5:$AB$46,3,FALSE)</f>
        <v>TODS</v>
      </c>
    </row>
    <row r="168" spans="1:55">
      <c r="A168" s="108">
        <v>156</v>
      </c>
      <c r="B168" s="109" t="str">
        <f t="shared" si="119"/>
        <v>May 2016</v>
      </c>
      <c r="C168" s="110" t="str">
        <f t="shared" si="120"/>
        <v>CTODP</v>
      </c>
      <c r="D168" s="110" t="str">
        <f t="shared" si="121"/>
        <v>LGCME593</v>
      </c>
      <c r="E168" s="111">
        <f t="shared" si="92"/>
        <v>41</v>
      </c>
      <c r="F168" s="112">
        <v>0</v>
      </c>
      <c r="G168" s="111">
        <f t="shared" si="93"/>
        <v>0</v>
      </c>
      <c r="H168" s="111">
        <f t="shared" si="94"/>
        <v>0</v>
      </c>
      <c r="I168" s="111">
        <f t="shared" si="95"/>
        <v>0</v>
      </c>
      <c r="J168" s="111">
        <f t="shared" si="96"/>
        <v>32484574</v>
      </c>
      <c r="K168" s="113">
        <f t="shared" si="97"/>
        <v>69868</v>
      </c>
      <c r="L168" s="113">
        <f t="shared" si="98"/>
        <v>65445</v>
      </c>
      <c r="M168" s="113">
        <f t="shared" si="99"/>
        <v>64848</v>
      </c>
      <c r="N168" s="116">
        <f t="shared" si="100"/>
        <v>300</v>
      </c>
      <c r="O168" s="117">
        <f t="shared" si="88"/>
        <v>3.8100000000000002E-2</v>
      </c>
      <c r="P168" s="117">
        <f t="shared" si="101"/>
        <v>0</v>
      </c>
      <c r="Q168" s="117">
        <f t="shared" si="102"/>
        <v>0</v>
      </c>
      <c r="R168" s="117">
        <f t="shared" si="103"/>
        <v>2.725E-2</v>
      </c>
      <c r="S168" s="116">
        <f t="shared" si="104"/>
        <v>3.9800000000000004</v>
      </c>
      <c r="T168" s="116">
        <f t="shared" si="105"/>
        <v>4.13</v>
      </c>
      <c r="U168" s="116">
        <f t="shared" si="106"/>
        <v>5.83</v>
      </c>
      <c r="V168" s="118">
        <f t="shared" si="107"/>
        <v>12300</v>
      </c>
      <c r="W168" s="118">
        <f t="shared" si="122"/>
        <v>1237662.27</v>
      </c>
      <c r="X168" s="118">
        <f t="shared" si="123"/>
        <v>278074.64</v>
      </c>
      <c r="Y168" s="118">
        <f t="shared" si="124"/>
        <v>270287.84999999998</v>
      </c>
      <c r="Z168" s="118">
        <f t="shared" si="125"/>
        <v>378063.84</v>
      </c>
      <c r="AA168" s="119">
        <v>0</v>
      </c>
      <c r="AB168" s="120">
        <f t="shared" si="108"/>
        <v>0</v>
      </c>
      <c r="AC168" s="118">
        <f t="shared" si="109"/>
        <v>926426.33000000007</v>
      </c>
      <c r="AD168" s="118">
        <f t="shared" si="126"/>
        <v>2176388.6</v>
      </c>
      <c r="AE168" s="118">
        <f t="shared" si="110"/>
        <v>2176385</v>
      </c>
      <c r="AF168" s="121">
        <f t="shared" si="127"/>
        <v>0.99999800000000005</v>
      </c>
      <c r="AG168" s="122">
        <f t="shared" si="111"/>
        <v>6267</v>
      </c>
      <c r="AH168" s="122">
        <f t="shared" si="112"/>
        <v>67996</v>
      </c>
      <c r="AI168" s="122">
        <f t="shared" si="113"/>
        <v>340032</v>
      </c>
      <c r="AJ168" s="122">
        <f t="shared" si="114"/>
        <v>0</v>
      </c>
      <c r="AK168" s="122">
        <f t="shared" si="115"/>
        <v>0</v>
      </c>
      <c r="AL168" s="122">
        <f t="shared" si="116"/>
        <v>2590680</v>
      </c>
      <c r="AM168" s="123">
        <f t="shared" si="117"/>
        <v>2590683.6</v>
      </c>
      <c r="AN168" s="123">
        <f t="shared" si="89"/>
        <v>-3.6000000000931323</v>
      </c>
      <c r="AO168" s="124">
        <f t="shared" si="118"/>
        <v>885204.64</v>
      </c>
      <c r="AP168" s="125">
        <f t="shared" si="128"/>
        <v>352457.63</v>
      </c>
      <c r="AU168" s="109">
        <f>IF(BA168=1,IF(AU167=MiscData!$F$1,EOMONTH(AU167,-11),EOMONTH(AU167,1)),AU167)</f>
        <v>42521</v>
      </c>
      <c r="AV168" s="108" t="str">
        <f t="shared" si="129"/>
        <v>20140101LGCME593</v>
      </c>
      <c r="AW168" s="126" t="str">
        <f t="shared" si="130"/>
        <v>20140101CTODP</v>
      </c>
      <c r="AX168">
        <f>MiscData!$X$5</f>
        <v>20140101</v>
      </c>
      <c r="BA168" s="98">
        <f>IF(BA167+1&gt;MiscData!$Z$42,1,BA167+1)</f>
        <v>13</v>
      </c>
      <c r="BB168" s="98" t="str">
        <f>VLOOKUP(BA168,MiscData!$Z$5:$AB$46,2,FALSE)</f>
        <v>LGCME593</v>
      </c>
      <c r="BC168" s="98" t="str">
        <f>VLOOKUP(BA168,MiscData!$Z$5:$AB$46,3,FALSE)</f>
        <v>CTODP</v>
      </c>
    </row>
    <row r="169" spans="1:55">
      <c r="A169" s="108">
        <v>157</v>
      </c>
      <c r="B169" s="109" t="str">
        <f t="shared" si="119"/>
        <v>May 2016</v>
      </c>
      <c r="C169" s="110" t="str">
        <f t="shared" si="120"/>
        <v>GS3</v>
      </c>
      <c r="D169" s="110" t="str">
        <f t="shared" si="121"/>
        <v>LGCME650</v>
      </c>
      <c r="E169" s="111">
        <f t="shared" si="92"/>
        <v>0</v>
      </c>
      <c r="F169" s="112">
        <v>0</v>
      </c>
      <c r="G169" s="111">
        <f t="shared" si="93"/>
        <v>0</v>
      </c>
      <c r="H169" s="111">
        <f t="shared" si="94"/>
        <v>0</v>
      </c>
      <c r="I169" s="111">
        <f t="shared" si="95"/>
        <v>0</v>
      </c>
      <c r="J169" s="111">
        <f t="shared" si="96"/>
        <v>0</v>
      </c>
      <c r="K169" s="113">
        <f t="shared" si="97"/>
        <v>0</v>
      </c>
      <c r="L169" s="113">
        <f t="shared" si="98"/>
        <v>0</v>
      </c>
      <c r="M169" s="113">
        <f t="shared" si="99"/>
        <v>0</v>
      </c>
      <c r="N169" s="116">
        <f t="shared" si="100"/>
        <v>35</v>
      </c>
      <c r="O169" s="117">
        <f t="shared" ref="O169:O232" si="133">SUMIF(L_Rates_Tariff_Rate_Category,$AV169,L_Rates_Energy)</f>
        <v>9.1340000000000005E-2</v>
      </c>
      <c r="P169" s="117">
        <f t="shared" si="101"/>
        <v>0</v>
      </c>
      <c r="Q169" s="117">
        <f t="shared" si="102"/>
        <v>0</v>
      </c>
      <c r="R169" s="117">
        <f t="shared" si="103"/>
        <v>2.725E-2</v>
      </c>
      <c r="S169" s="116">
        <f t="shared" si="104"/>
        <v>0</v>
      </c>
      <c r="T169" s="116">
        <f t="shared" si="105"/>
        <v>0</v>
      </c>
      <c r="U169" s="116">
        <f t="shared" si="106"/>
        <v>0</v>
      </c>
      <c r="V169" s="118">
        <f t="shared" si="107"/>
        <v>0</v>
      </c>
      <c r="W169" s="118">
        <f t="shared" si="122"/>
        <v>0</v>
      </c>
      <c r="X169" s="118">
        <f t="shared" si="123"/>
        <v>0</v>
      </c>
      <c r="Y169" s="118">
        <f t="shared" si="124"/>
        <v>0</v>
      </c>
      <c r="Z169" s="118">
        <f t="shared" si="125"/>
        <v>0</v>
      </c>
      <c r="AA169" s="119">
        <v>0</v>
      </c>
      <c r="AB169" s="120">
        <f t="shared" si="108"/>
        <v>0</v>
      </c>
      <c r="AC169" s="118">
        <f t="shared" si="109"/>
        <v>0</v>
      </c>
      <c r="AD169" s="118">
        <f t="shared" si="126"/>
        <v>0</v>
      </c>
      <c r="AE169" s="118">
        <f t="shared" si="110"/>
        <v>0</v>
      </c>
      <c r="AF169" s="121">
        <f t="shared" si="127"/>
        <v>1</v>
      </c>
      <c r="AG169" s="122">
        <f t="shared" si="111"/>
        <v>0</v>
      </c>
      <c r="AH169" s="122">
        <f t="shared" si="112"/>
        <v>0</v>
      </c>
      <c r="AI169" s="122">
        <f t="shared" si="113"/>
        <v>0</v>
      </c>
      <c r="AJ169" s="122">
        <f t="shared" si="114"/>
        <v>0</v>
      </c>
      <c r="AK169" s="122">
        <f t="shared" si="115"/>
        <v>0</v>
      </c>
      <c r="AL169" s="122">
        <f t="shared" si="116"/>
        <v>0</v>
      </c>
      <c r="AM169" s="123">
        <f t="shared" si="117"/>
        <v>0</v>
      </c>
      <c r="AN169" s="123">
        <f t="shared" si="89"/>
        <v>0</v>
      </c>
      <c r="AO169" s="124">
        <f t="shared" si="118"/>
        <v>0</v>
      </c>
      <c r="AP169" s="125">
        <f t="shared" si="128"/>
        <v>0</v>
      </c>
      <c r="AU169" s="109">
        <f>IF(BA169=1,IF(AU168=MiscData!$F$1,EOMONTH(AU168,-11),EOMONTH(AU168,1)),AU168)</f>
        <v>42521</v>
      </c>
      <c r="AV169" s="108" t="str">
        <f t="shared" si="129"/>
        <v>20140101LGCME650</v>
      </c>
      <c r="AW169" s="126" t="str">
        <f t="shared" si="130"/>
        <v>20140101GS3</v>
      </c>
      <c r="AX169">
        <f>MiscData!$X$5</f>
        <v>20140101</v>
      </c>
      <c r="BA169" s="98">
        <f>IF(BA168+1&gt;MiscData!$Z$42,1,BA168+1)</f>
        <v>14</v>
      </c>
      <c r="BB169" s="98" t="str">
        <f>VLOOKUP(BA169,MiscData!$Z$5:$AB$46,2,FALSE)</f>
        <v>LGCME650</v>
      </c>
      <c r="BC169" s="98" t="str">
        <f>VLOOKUP(BA169,MiscData!$Z$5:$AB$46,3,FALSE)</f>
        <v>GS3</v>
      </c>
    </row>
    <row r="170" spans="1:55">
      <c r="A170" s="108">
        <v>157</v>
      </c>
      <c r="B170" s="109" t="str">
        <f t="shared" si="119"/>
        <v>May 2016</v>
      </c>
      <c r="C170" s="110" t="str">
        <f t="shared" si="120"/>
        <v>GS3</v>
      </c>
      <c r="D170" s="110" t="str">
        <f t="shared" si="121"/>
        <v>LGCME651</v>
      </c>
      <c r="E170" s="111">
        <f t="shared" si="92"/>
        <v>16411</v>
      </c>
      <c r="F170" s="112">
        <v>0</v>
      </c>
      <c r="G170" s="111">
        <f t="shared" si="93"/>
        <v>0</v>
      </c>
      <c r="H170" s="111">
        <f t="shared" si="94"/>
        <v>0</v>
      </c>
      <c r="I170" s="111">
        <f t="shared" si="95"/>
        <v>0</v>
      </c>
      <c r="J170" s="111">
        <f t="shared" si="96"/>
        <v>81600963</v>
      </c>
      <c r="K170" s="113">
        <f t="shared" si="97"/>
        <v>220979</v>
      </c>
      <c r="L170" s="113">
        <f t="shared" si="98"/>
        <v>0</v>
      </c>
      <c r="M170" s="113">
        <f t="shared" si="99"/>
        <v>0</v>
      </c>
      <c r="N170" s="116">
        <f t="shared" si="100"/>
        <v>35</v>
      </c>
      <c r="O170" s="117">
        <f t="shared" si="133"/>
        <v>9.1340000000000005E-2</v>
      </c>
      <c r="P170" s="117">
        <f t="shared" si="101"/>
        <v>0</v>
      </c>
      <c r="Q170" s="117">
        <f t="shared" si="102"/>
        <v>0</v>
      </c>
      <c r="R170" s="117">
        <f t="shared" si="103"/>
        <v>2.725E-2</v>
      </c>
      <c r="S170" s="116">
        <f t="shared" si="104"/>
        <v>0</v>
      </c>
      <c r="T170" s="116">
        <f t="shared" si="105"/>
        <v>0</v>
      </c>
      <c r="U170" s="116">
        <f t="shared" si="106"/>
        <v>0</v>
      </c>
      <c r="V170" s="118">
        <f t="shared" si="107"/>
        <v>574385</v>
      </c>
      <c r="W170" s="118">
        <f t="shared" si="122"/>
        <v>7453431.96</v>
      </c>
      <c r="X170" s="118">
        <f t="shared" si="123"/>
        <v>0</v>
      </c>
      <c r="Y170" s="118">
        <f t="shared" si="124"/>
        <v>0</v>
      </c>
      <c r="Z170" s="118">
        <f t="shared" si="125"/>
        <v>0</v>
      </c>
      <c r="AA170" s="119">
        <v>0</v>
      </c>
      <c r="AB170" s="120">
        <f t="shared" si="108"/>
        <v>0</v>
      </c>
      <c r="AC170" s="118">
        <f t="shared" si="109"/>
        <v>0</v>
      </c>
      <c r="AD170" s="118">
        <f t="shared" si="126"/>
        <v>8027816.96</v>
      </c>
      <c r="AE170" s="118">
        <f t="shared" si="110"/>
        <v>8027807</v>
      </c>
      <c r="AF170" s="121">
        <f t="shared" si="127"/>
        <v>0.99999899999999997</v>
      </c>
      <c r="AG170" s="122">
        <f t="shared" si="111"/>
        <v>15742</v>
      </c>
      <c r="AH170" s="122">
        <f t="shared" si="112"/>
        <v>170806</v>
      </c>
      <c r="AI170" s="122">
        <f t="shared" si="113"/>
        <v>854157</v>
      </c>
      <c r="AJ170" s="122">
        <f t="shared" si="114"/>
        <v>0</v>
      </c>
      <c r="AK170" s="122">
        <f t="shared" si="115"/>
        <v>0</v>
      </c>
      <c r="AL170" s="122">
        <f t="shared" si="116"/>
        <v>9068512</v>
      </c>
      <c r="AM170" s="123">
        <f t="shared" si="117"/>
        <v>9068521.9600000009</v>
      </c>
      <c r="AN170" s="123">
        <f t="shared" si="89"/>
        <v>-9.9600000008940697</v>
      </c>
      <c r="AO170" s="124">
        <f t="shared" si="118"/>
        <v>2223626.2400000002</v>
      </c>
      <c r="AP170" s="125">
        <f t="shared" si="128"/>
        <v>5229805.72</v>
      </c>
      <c r="AU170" s="109">
        <f>IF(BA170=1,IF(AU169=MiscData!$F$1,EOMONTH(AU169,-11),EOMONTH(AU169,1)),AU169)</f>
        <v>42521</v>
      </c>
      <c r="AV170" s="108" t="str">
        <f t="shared" si="129"/>
        <v>20140101LGCME651</v>
      </c>
      <c r="AW170" s="126" t="str">
        <f t="shared" si="130"/>
        <v>20140101GS3</v>
      </c>
      <c r="AX170">
        <f>MiscData!$X$5</f>
        <v>20140101</v>
      </c>
      <c r="BA170" s="98">
        <f>IF(BA169+1&gt;MiscData!$Z$42,1,BA169+1)</f>
        <v>15</v>
      </c>
      <c r="BB170" s="98" t="str">
        <f>VLOOKUP(BA170,MiscData!$Z$5:$AB$46,2,FALSE)</f>
        <v>LGCME651</v>
      </c>
      <c r="BC170" s="98" t="str">
        <f>VLOOKUP(BA170,MiscData!$Z$5:$AB$46,3,FALSE)</f>
        <v>GS3</v>
      </c>
    </row>
    <row r="171" spans="1:55">
      <c r="A171" s="108">
        <v>158</v>
      </c>
      <c r="B171" s="109" t="str">
        <f t="shared" si="119"/>
        <v>May 2016</v>
      </c>
      <c r="C171" s="110" t="str">
        <f t="shared" si="120"/>
        <v>GS3</v>
      </c>
      <c r="D171" s="110" t="str">
        <f t="shared" si="121"/>
        <v>LGCME652</v>
      </c>
      <c r="E171" s="111">
        <f t="shared" si="92"/>
        <v>0</v>
      </c>
      <c r="F171" s="112">
        <v>0</v>
      </c>
      <c r="G171" s="111">
        <f t="shared" si="93"/>
        <v>0</v>
      </c>
      <c r="H171" s="111">
        <f t="shared" si="94"/>
        <v>0</v>
      </c>
      <c r="I171" s="111">
        <f t="shared" si="95"/>
        <v>0</v>
      </c>
      <c r="J171" s="111">
        <f t="shared" si="96"/>
        <v>0</v>
      </c>
      <c r="K171" s="113">
        <f t="shared" si="97"/>
        <v>0</v>
      </c>
      <c r="L171" s="113">
        <f t="shared" si="98"/>
        <v>0</v>
      </c>
      <c r="M171" s="113">
        <f t="shared" si="99"/>
        <v>0</v>
      </c>
      <c r="N171" s="116">
        <f t="shared" si="100"/>
        <v>0</v>
      </c>
      <c r="O171" s="117">
        <f t="shared" si="133"/>
        <v>9.1340000000000005E-2</v>
      </c>
      <c r="P171" s="117">
        <f t="shared" si="101"/>
        <v>0</v>
      </c>
      <c r="Q171" s="117">
        <f t="shared" si="102"/>
        <v>0</v>
      </c>
      <c r="R171" s="117">
        <f t="shared" si="103"/>
        <v>2.725E-2</v>
      </c>
      <c r="S171" s="116">
        <f t="shared" si="104"/>
        <v>0</v>
      </c>
      <c r="T171" s="116">
        <f t="shared" si="105"/>
        <v>0</v>
      </c>
      <c r="U171" s="116">
        <f t="shared" si="106"/>
        <v>0</v>
      </c>
      <c r="V171" s="118">
        <f t="shared" si="107"/>
        <v>0</v>
      </c>
      <c r="W171" s="118">
        <f t="shared" si="122"/>
        <v>0</v>
      </c>
      <c r="X171" s="118">
        <f t="shared" si="123"/>
        <v>0</v>
      </c>
      <c r="Y171" s="118">
        <f t="shared" si="124"/>
        <v>0</v>
      </c>
      <c r="Z171" s="118">
        <f t="shared" si="125"/>
        <v>0</v>
      </c>
      <c r="AA171" s="119">
        <v>0</v>
      </c>
      <c r="AB171" s="120">
        <f t="shared" si="108"/>
        <v>0</v>
      </c>
      <c r="AC171" s="118">
        <f t="shared" si="109"/>
        <v>0</v>
      </c>
      <c r="AD171" s="118">
        <f t="shared" si="126"/>
        <v>0</v>
      </c>
      <c r="AE171" s="118">
        <f t="shared" si="110"/>
        <v>0</v>
      </c>
      <c r="AF171" s="121">
        <f t="shared" si="127"/>
        <v>1</v>
      </c>
      <c r="AG171" s="122">
        <f t="shared" si="111"/>
        <v>0</v>
      </c>
      <c r="AH171" s="122">
        <f t="shared" si="112"/>
        <v>0</v>
      </c>
      <c r="AI171" s="122">
        <f t="shared" si="113"/>
        <v>0</v>
      </c>
      <c r="AJ171" s="122">
        <f t="shared" si="114"/>
        <v>0</v>
      </c>
      <c r="AK171" s="122">
        <f t="shared" si="115"/>
        <v>0</v>
      </c>
      <c r="AL171" s="122">
        <f t="shared" si="116"/>
        <v>0</v>
      </c>
      <c r="AM171" s="123">
        <f t="shared" si="117"/>
        <v>0</v>
      </c>
      <c r="AN171" s="123">
        <f t="shared" si="89"/>
        <v>0</v>
      </c>
      <c r="AO171" s="124">
        <f t="shared" si="118"/>
        <v>0</v>
      </c>
      <c r="AP171" s="125">
        <f t="shared" si="128"/>
        <v>0</v>
      </c>
      <c r="AU171" s="109">
        <f>IF(BA171=1,IF(AU170=MiscData!$F$1,EOMONTH(AU170,-11),EOMONTH(AU170,1)),AU170)</f>
        <v>42521</v>
      </c>
      <c r="AV171" s="108" t="str">
        <f t="shared" si="129"/>
        <v>20140101LGCME652</v>
      </c>
      <c r="AW171" s="126" t="str">
        <f t="shared" si="130"/>
        <v>20140101GS3</v>
      </c>
      <c r="AX171">
        <f>MiscData!$X$5</f>
        <v>20140101</v>
      </c>
      <c r="BA171" s="98">
        <f>IF(BA170+1&gt;MiscData!$Z$42,1,BA170+1)</f>
        <v>16</v>
      </c>
      <c r="BB171" s="98" t="str">
        <f>VLOOKUP(BA171,MiscData!$Z$5:$AB$46,2,FALSE)</f>
        <v>LGCME652</v>
      </c>
      <c r="BC171" s="98" t="str">
        <f>VLOOKUP(BA171,MiscData!$Z$5:$AB$46,3,FALSE)</f>
        <v>GS3</v>
      </c>
    </row>
    <row r="172" spans="1:55">
      <c r="A172" s="108">
        <v>159</v>
      </c>
      <c r="B172" s="109" t="str">
        <f t="shared" si="119"/>
        <v>May 2016</v>
      </c>
      <c r="C172" s="110" t="str">
        <f t="shared" si="120"/>
        <v>GS3</v>
      </c>
      <c r="D172" s="110" t="str">
        <f t="shared" si="121"/>
        <v>LGCME657</v>
      </c>
      <c r="E172" s="111">
        <f t="shared" si="92"/>
        <v>0</v>
      </c>
      <c r="F172" s="112">
        <v>0</v>
      </c>
      <c r="G172" s="111">
        <f t="shared" si="93"/>
        <v>0</v>
      </c>
      <c r="H172" s="111">
        <f t="shared" si="94"/>
        <v>0</v>
      </c>
      <c r="I172" s="111">
        <f t="shared" si="95"/>
        <v>0</v>
      </c>
      <c r="J172" s="111">
        <f t="shared" si="96"/>
        <v>0</v>
      </c>
      <c r="K172" s="113">
        <f t="shared" si="97"/>
        <v>0</v>
      </c>
      <c r="L172" s="113">
        <f t="shared" si="98"/>
        <v>0</v>
      </c>
      <c r="M172" s="113">
        <f t="shared" si="99"/>
        <v>0</v>
      </c>
      <c r="N172" s="116">
        <f t="shared" si="100"/>
        <v>35</v>
      </c>
      <c r="O172" s="117">
        <f t="shared" si="133"/>
        <v>9.1340000000000005E-2</v>
      </c>
      <c r="P172" s="117">
        <f t="shared" si="101"/>
        <v>0</v>
      </c>
      <c r="Q172" s="117">
        <f t="shared" si="102"/>
        <v>0</v>
      </c>
      <c r="R172" s="117">
        <f t="shared" si="103"/>
        <v>2.725E-2</v>
      </c>
      <c r="S172" s="116">
        <f t="shared" si="104"/>
        <v>0</v>
      </c>
      <c r="T172" s="116">
        <f t="shared" si="105"/>
        <v>0</v>
      </c>
      <c r="U172" s="116">
        <f t="shared" si="106"/>
        <v>0</v>
      </c>
      <c r="V172" s="118">
        <f t="shared" si="107"/>
        <v>0</v>
      </c>
      <c r="W172" s="118">
        <f t="shared" si="122"/>
        <v>0</v>
      </c>
      <c r="X172" s="118">
        <f t="shared" si="123"/>
        <v>0</v>
      </c>
      <c r="Y172" s="118">
        <f t="shared" si="124"/>
        <v>0</v>
      </c>
      <c r="Z172" s="118">
        <f t="shared" si="125"/>
        <v>0</v>
      </c>
      <c r="AA172" s="119">
        <v>0</v>
      </c>
      <c r="AB172" s="120">
        <f t="shared" si="108"/>
        <v>0</v>
      </c>
      <c r="AC172" s="118">
        <f t="shared" si="109"/>
        <v>0</v>
      </c>
      <c r="AD172" s="118">
        <f t="shared" si="126"/>
        <v>0</v>
      </c>
      <c r="AE172" s="118">
        <f t="shared" si="110"/>
        <v>0</v>
      </c>
      <c r="AF172" s="121">
        <f t="shared" si="127"/>
        <v>1</v>
      </c>
      <c r="AG172" s="122">
        <f t="shared" si="111"/>
        <v>0</v>
      </c>
      <c r="AH172" s="122">
        <f t="shared" si="112"/>
        <v>0</v>
      </c>
      <c r="AI172" s="122">
        <f t="shared" si="113"/>
        <v>0</v>
      </c>
      <c r="AJ172" s="122">
        <f t="shared" si="114"/>
        <v>0</v>
      </c>
      <c r="AK172" s="122">
        <f t="shared" si="115"/>
        <v>0</v>
      </c>
      <c r="AL172" s="122">
        <f t="shared" si="116"/>
        <v>0</v>
      </c>
      <c r="AM172" s="123">
        <f t="shared" si="117"/>
        <v>0</v>
      </c>
      <c r="AN172" s="123">
        <f t="shared" ref="AN172:AN231" si="134">AL172-AM172</f>
        <v>0</v>
      </c>
      <c r="AO172" s="124">
        <f t="shared" si="118"/>
        <v>0</v>
      </c>
      <c r="AP172" s="125">
        <f t="shared" si="128"/>
        <v>0</v>
      </c>
      <c r="AU172" s="109">
        <f>IF(BA172=1,IF(AU171=MiscData!$F$1,EOMONTH(AU171,-11),EOMONTH(AU171,1)),AU171)</f>
        <v>42521</v>
      </c>
      <c r="AV172" s="108" t="str">
        <f t="shared" si="129"/>
        <v>20140101LGCME657</v>
      </c>
      <c r="AW172" s="126" t="str">
        <f t="shared" si="130"/>
        <v>20140101GS3</v>
      </c>
      <c r="AX172">
        <f>MiscData!$X$5</f>
        <v>20140101</v>
      </c>
      <c r="BA172" s="98">
        <f>IF(BA171+1&gt;MiscData!$Z$42,1,BA171+1)</f>
        <v>17</v>
      </c>
      <c r="BB172" s="98" t="str">
        <f>VLOOKUP(BA172,MiscData!$Z$5:$AB$46,2,FALSE)</f>
        <v>LGCME657</v>
      </c>
      <c r="BC172" s="98" t="str">
        <f>VLOOKUP(BA172,MiscData!$Z$5:$AB$46,3,FALSE)</f>
        <v>GS3</v>
      </c>
    </row>
    <row r="173" spans="1:55">
      <c r="A173" s="108">
        <v>160</v>
      </c>
      <c r="B173" s="109" t="str">
        <f t="shared" si="119"/>
        <v>May 2016</v>
      </c>
      <c r="C173" s="110" t="str">
        <f t="shared" si="120"/>
        <v>LWC</v>
      </c>
      <c r="D173" s="110" t="str">
        <f t="shared" si="121"/>
        <v>LGCME671</v>
      </c>
      <c r="E173" s="111">
        <f t="shared" si="92"/>
        <v>2</v>
      </c>
      <c r="F173" s="112">
        <v>0</v>
      </c>
      <c r="G173" s="111">
        <f t="shared" si="93"/>
        <v>0</v>
      </c>
      <c r="H173" s="111">
        <f t="shared" si="94"/>
        <v>0</v>
      </c>
      <c r="I173" s="111">
        <f t="shared" si="95"/>
        <v>0</v>
      </c>
      <c r="J173" s="111">
        <f t="shared" si="96"/>
        <v>4343400</v>
      </c>
      <c r="K173" s="113">
        <f t="shared" si="97"/>
        <v>0</v>
      </c>
      <c r="L173" s="113">
        <f t="shared" si="98"/>
        <v>0</v>
      </c>
      <c r="M173" s="113">
        <f t="shared" si="99"/>
        <v>9429</v>
      </c>
      <c r="N173" s="116">
        <f t="shared" si="100"/>
        <v>0</v>
      </c>
      <c r="O173" s="117">
        <f t="shared" si="133"/>
        <v>3.7019999999999997E-2</v>
      </c>
      <c r="P173" s="117">
        <f t="shared" si="101"/>
        <v>0</v>
      </c>
      <c r="Q173" s="117">
        <f t="shared" si="102"/>
        <v>0</v>
      </c>
      <c r="R173" s="117">
        <f t="shared" si="103"/>
        <v>2.725E-2</v>
      </c>
      <c r="S173" s="116">
        <f t="shared" si="104"/>
        <v>0</v>
      </c>
      <c r="T173" s="116">
        <f t="shared" si="105"/>
        <v>10.35</v>
      </c>
      <c r="U173" s="116">
        <f t="shared" si="106"/>
        <v>10.35</v>
      </c>
      <c r="V173" s="118">
        <f t="shared" si="107"/>
        <v>0</v>
      </c>
      <c r="W173" s="118">
        <f t="shared" si="122"/>
        <v>160792.67000000001</v>
      </c>
      <c r="X173" s="118">
        <f t="shared" si="123"/>
        <v>0</v>
      </c>
      <c r="Y173" s="118">
        <f t="shared" si="124"/>
        <v>0</v>
      </c>
      <c r="Z173" s="118">
        <f t="shared" si="125"/>
        <v>97590.15</v>
      </c>
      <c r="AA173" s="119">
        <v>0</v>
      </c>
      <c r="AB173" s="120">
        <f t="shared" si="108"/>
        <v>0</v>
      </c>
      <c r="AC173" s="118">
        <f t="shared" si="109"/>
        <v>97590.15</v>
      </c>
      <c r="AD173" s="118">
        <f t="shared" si="126"/>
        <v>258382.82</v>
      </c>
      <c r="AE173" s="118">
        <f t="shared" si="110"/>
        <v>258384</v>
      </c>
      <c r="AF173" s="121">
        <f t="shared" si="127"/>
        <v>1.000005</v>
      </c>
      <c r="AG173" s="122">
        <f t="shared" si="111"/>
        <v>838</v>
      </c>
      <c r="AH173" s="122">
        <f t="shared" si="112"/>
        <v>0</v>
      </c>
      <c r="AI173" s="122">
        <f t="shared" si="113"/>
        <v>45464</v>
      </c>
      <c r="AJ173" s="122">
        <f t="shared" si="114"/>
        <v>0</v>
      </c>
      <c r="AK173" s="122">
        <f t="shared" si="115"/>
        <v>0</v>
      </c>
      <c r="AL173" s="122">
        <f t="shared" si="116"/>
        <v>304686</v>
      </c>
      <c r="AM173" s="123">
        <f t="shared" si="117"/>
        <v>304684.82</v>
      </c>
      <c r="AN173" s="123">
        <f t="shared" si="134"/>
        <v>1.1799999999930151</v>
      </c>
      <c r="AO173" s="124">
        <f t="shared" si="118"/>
        <v>118357.65</v>
      </c>
      <c r="AP173" s="125">
        <f t="shared" si="128"/>
        <v>42435.020000000019</v>
      </c>
      <c r="AU173" s="109">
        <f>IF(BA173=1,IF(AU172=MiscData!$F$1,EOMONTH(AU172,-11),EOMONTH(AU172,1)),AU172)</f>
        <v>42521</v>
      </c>
      <c r="AV173" s="108" t="str">
        <f t="shared" si="129"/>
        <v>20140101LGCME671</v>
      </c>
      <c r="AW173" s="126" t="str">
        <f t="shared" si="130"/>
        <v>20140101LWC</v>
      </c>
      <c r="AX173">
        <f>MiscData!$X$5</f>
        <v>20140101</v>
      </c>
      <c r="BA173" s="98">
        <f>IF(BA172+1&gt;MiscData!$Z$42,1,BA172+1)</f>
        <v>18</v>
      </c>
      <c r="BB173" s="98" t="str">
        <f>VLOOKUP(BA173,MiscData!$Z$5:$AB$46,2,FALSE)</f>
        <v>LGCME671</v>
      </c>
      <c r="BC173" s="98" t="str">
        <f>VLOOKUP(BA173,MiscData!$Z$5:$AB$46,3,FALSE)</f>
        <v>LWC</v>
      </c>
    </row>
    <row r="174" spans="1:55">
      <c r="A174" s="108">
        <v>161</v>
      </c>
      <c r="B174" s="109" t="str">
        <f t="shared" si="119"/>
        <v>May 2016</v>
      </c>
      <c r="C174" s="110" t="str">
        <f t="shared" si="120"/>
        <v>CSR</v>
      </c>
      <c r="D174" s="110" t="str">
        <f t="shared" si="121"/>
        <v>LGCSR760</v>
      </c>
      <c r="E174" s="111">
        <f t="shared" si="92"/>
        <v>0</v>
      </c>
      <c r="F174" s="112">
        <v>0</v>
      </c>
      <c r="G174" s="111">
        <f t="shared" si="93"/>
        <v>0</v>
      </c>
      <c r="H174" s="111">
        <f t="shared" si="94"/>
        <v>0</v>
      </c>
      <c r="I174" s="111">
        <f t="shared" si="95"/>
        <v>0</v>
      </c>
      <c r="J174" s="111">
        <f t="shared" si="96"/>
        <v>0</v>
      </c>
      <c r="K174" s="113">
        <f t="shared" si="97"/>
        <v>0</v>
      </c>
      <c r="L174" s="113">
        <f t="shared" si="98"/>
        <v>0</v>
      </c>
      <c r="M174" s="113">
        <f t="shared" si="99"/>
        <v>0</v>
      </c>
      <c r="N174" s="116">
        <f t="shared" si="100"/>
        <v>0</v>
      </c>
      <c r="O174" s="117">
        <f t="shared" si="133"/>
        <v>0</v>
      </c>
      <c r="P174" s="117">
        <f t="shared" si="101"/>
        <v>0</v>
      </c>
      <c r="Q174" s="117">
        <f t="shared" si="102"/>
        <v>0</v>
      </c>
      <c r="R174" s="117">
        <f t="shared" si="103"/>
        <v>0</v>
      </c>
      <c r="S174" s="116">
        <f t="shared" si="104"/>
        <v>0</v>
      </c>
      <c r="T174" s="116">
        <f t="shared" si="105"/>
        <v>0</v>
      </c>
      <c r="U174" s="116">
        <f t="shared" si="106"/>
        <v>0</v>
      </c>
      <c r="V174" s="118">
        <f t="shared" si="107"/>
        <v>0</v>
      </c>
      <c r="W174" s="118">
        <f t="shared" si="122"/>
        <v>0</v>
      </c>
      <c r="X174" s="118">
        <f t="shared" si="123"/>
        <v>0</v>
      </c>
      <c r="Y174" s="118">
        <f t="shared" si="124"/>
        <v>0</v>
      </c>
      <c r="Z174" s="118">
        <f t="shared" si="125"/>
        <v>0</v>
      </c>
      <c r="AA174" s="119">
        <v>0</v>
      </c>
      <c r="AB174" s="120">
        <f t="shared" si="108"/>
        <v>0</v>
      </c>
      <c r="AC174" s="118">
        <f t="shared" si="109"/>
        <v>0</v>
      </c>
      <c r="AD174" s="118">
        <f t="shared" si="126"/>
        <v>0</v>
      </c>
      <c r="AE174" s="118">
        <f t="shared" si="110"/>
        <v>0</v>
      </c>
      <c r="AF174" s="121">
        <f t="shared" si="127"/>
        <v>1</v>
      </c>
      <c r="AG174" s="122">
        <f t="shared" si="111"/>
        <v>0</v>
      </c>
      <c r="AH174" s="122">
        <f t="shared" si="112"/>
        <v>0</v>
      </c>
      <c r="AI174" s="122">
        <f t="shared" si="113"/>
        <v>0</v>
      </c>
      <c r="AJ174" s="122">
        <f t="shared" si="114"/>
        <v>0</v>
      </c>
      <c r="AK174" s="122">
        <f t="shared" si="115"/>
        <v>-286526</v>
      </c>
      <c r="AL174" s="122">
        <f t="shared" si="116"/>
        <v>-286526</v>
      </c>
      <c r="AM174" s="123">
        <f t="shared" si="117"/>
        <v>-286526</v>
      </c>
      <c r="AN174" s="123">
        <f t="shared" si="134"/>
        <v>0</v>
      </c>
      <c r="AO174" s="124">
        <f t="shared" si="118"/>
        <v>0</v>
      </c>
      <c r="AP174" s="125">
        <f t="shared" si="128"/>
        <v>0</v>
      </c>
      <c r="AU174" s="109">
        <f>IF(BA174=1,IF(AU173=MiscData!$F$1,EOMONTH(AU173,-11),EOMONTH(AU173,1)),AU173)</f>
        <v>42521</v>
      </c>
      <c r="AV174" s="108" t="str">
        <f t="shared" si="129"/>
        <v>20140101LGCSR760</v>
      </c>
      <c r="AW174" s="126" t="str">
        <f t="shared" si="130"/>
        <v>20140101CSR</v>
      </c>
      <c r="AX174">
        <f>MiscData!$X$5</f>
        <v>20140101</v>
      </c>
      <c r="BA174" s="98">
        <f>IF(BA173+1&gt;MiscData!$Z$42,1,BA173+1)</f>
        <v>19</v>
      </c>
      <c r="BB174" s="98" t="str">
        <f>VLOOKUP(BA174,MiscData!$Z$5:$AB$46,2,FALSE)</f>
        <v>LGCSR760</v>
      </c>
      <c r="BC174" s="98" t="str">
        <f>VLOOKUP(BA174,MiscData!$Z$5:$AB$46,3,FALSE)</f>
        <v>CSR</v>
      </c>
    </row>
    <row r="175" spans="1:55">
      <c r="A175" s="108">
        <v>162</v>
      </c>
      <c r="B175" s="109" t="str">
        <f t="shared" si="119"/>
        <v>May 2016</v>
      </c>
      <c r="C175" s="110" t="str">
        <f t="shared" si="120"/>
        <v>CSR</v>
      </c>
      <c r="D175" s="110" t="str">
        <f t="shared" si="121"/>
        <v>LGCSR780</v>
      </c>
      <c r="E175" s="111">
        <f t="shared" si="92"/>
        <v>0</v>
      </c>
      <c r="F175" s="112">
        <v>0</v>
      </c>
      <c r="G175" s="111">
        <f t="shared" si="93"/>
        <v>0</v>
      </c>
      <c r="H175" s="111">
        <f t="shared" si="94"/>
        <v>0</v>
      </c>
      <c r="I175" s="111">
        <f t="shared" si="95"/>
        <v>0</v>
      </c>
      <c r="J175" s="111">
        <f t="shared" si="96"/>
        <v>0</v>
      </c>
      <c r="K175" s="113">
        <f t="shared" si="97"/>
        <v>0</v>
      </c>
      <c r="L175" s="113">
        <f t="shared" si="98"/>
        <v>0</v>
      </c>
      <c r="M175" s="113">
        <f t="shared" si="99"/>
        <v>0</v>
      </c>
      <c r="N175" s="116">
        <f t="shared" si="100"/>
        <v>0</v>
      </c>
      <c r="O175" s="117">
        <f t="shared" si="133"/>
        <v>0</v>
      </c>
      <c r="P175" s="117">
        <f t="shared" si="101"/>
        <v>0</v>
      </c>
      <c r="Q175" s="117">
        <f t="shared" si="102"/>
        <v>0</v>
      </c>
      <c r="R175" s="117">
        <f t="shared" si="103"/>
        <v>0</v>
      </c>
      <c r="S175" s="116">
        <f t="shared" si="104"/>
        <v>0</v>
      </c>
      <c r="T175" s="116">
        <f t="shared" si="105"/>
        <v>0</v>
      </c>
      <c r="U175" s="116">
        <f t="shared" si="106"/>
        <v>0</v>
      </c>
      <c r="V175" s="118">
        <f t="shared" si="107"/>
        <v>0</v>
      </c>
      <c r="W175" s="118">
        <f t="shared" si="122"/>
        <v>0</v>
      </c>
      <c r="X175" s="118">
        <f t="shared" si="123"/>
        <v>0</v>
      </c>
      <c r="Y175" s="118">
        <f t="shared" si="124"/>
        <v>0</v>
      </c>
      <c r="Z175" s="118">
        <f t="shared" si="125"/>
        <v>0</v>
      </c>
      <c r="AA175" s="119">
        <v>0</v>
      </c>
      <c r="AB175" s="120">
        <f t="shared" si="108"/>
        <v>0</v>
      </c>
      <c r="AC175" s="118">
        <f t="shared" si="109"/>
        <v>0</v>
      </c>
      <c r="AD175" s="118">
        <f t="shared" si="126"/>
        <v>0</v>
      </c>
      <c r="AE175" s="118">
        <f t="shared" si="110"/>
        <v>0</v>
      </c>
      <c r="AF175" s="121">
        <f t="shared" si="127"/>
        <v>1</v>
      </c>
      <c r="AG175" s="122">
        <f t="shared" si="111"/>
        <v>0</v>
      </c>
      <c r="AH175" s="122">
        <f t="shared" si="112"/>
        <v>0</v>
      </c>
      <c r="AI175" s="122">
        <f t="shared" si="113"/>
        <v>0</v>
      </c>
      <c r="AJ175" s="122">
        <f t="shared" si="114"/>
        <v>0</v>
      </c>
      <c r="AK175" s="122">
        <f t="shared" si="115"/>
        <v>0</v>
      </c>
      <c r="AL175" s="122">
        <f t="shared" si="116"/>
        <v>0</v>
      </c>
      <c r="AM175" s="123">
        <f t="shared" si="117"/>
        <v>0</v>
      </c>
      <c r="AN175" s="123">
        <f t="shared" si="134"/>
        <v>0</v>
      </c>
      <c r="AO175" s="124">
        <f t="shared" si="118"/>
        <v>0</v>
      </c>
      <c r="AP175" s="125">
        <f t="shared" si="128"/>
        <v>0</v>
      </c>
      <c r="AU175" s="109">
        <f>IF(BA175=1,IF(AU174=MiscData!$F$1,EOMONTH(AU174,-11),EOMONTH(AU174,1)),AU174)</f>
        <v>42521</v>
      </c>
      <c r="AV175" s="108" t="str">
        <f t="shared" si="129"/>
        <v>20140101LGCSR780</v>
      </c>
      <c r="AW175" s="126" t="str">
        <f t="shared" si="130"/>
        <v>20140101CSR</v>
      </c>
      <c r="AX175">
        <f>MiscData!$X$5</f>
        <v>20140101</v>
      </c>
      <c r="BA175" s="98">
        <f>IF(BA174+1&gt;MiscData!$Z$42,1,BA174+1)</f>
        <v>20</v>
      </c>
      <c r="BB175" s="98" t="str">
        <f>VLOOKUP(BA175,MiscData!$Z$5:$AB$46,2,FALSE)</f>
        <v>LGCSR780</v>
      </c>
      <c r="BC175" s="98" t="str">
        <f>VLOOKUP(BA175,MiscData!$Z$5:$AB$46,3,FALSE)</f>
        <v>CSR</v>
      </c>
    </row>
    <row r="176" spans="1:55">
      <c r="A176" s="108">
        <v>163</v>
      </c>
      <c r="B176" s="109" t="str">
        <f t="shared" si="119"/>
        <v>May 2016</v>
      </c>
      <c r="C176" s="110" t="str">
        <f t="shared" si="120"/>
        <v>FK</v>
      </c>
      <c r="D176" s="110" t="str">
        <f t="shared" si="121"/>
        <v>LGINE599</v>
      </c>
      <c r="E176" s="111">
        <f t="shared" si="92"/>
        <v>1</v>
      </c>
      <c r="F176" s="112">
        <v>0</v>
      </c>
      <c r="G176" s="111">
        <f t="shared" si="93"/>
        <v>0</v>
      </c>
      <c r="H176" s="111">
        <f t="shared" si="94"/>
        <v>0</v>
      </c>
      <c r="I176" s="111">
        <f t="shared" si="95"/>
        <v>0</v>
      </c>
      <c r="J176" s="111">
        <f t="shared" si="96"/>
        <v>8289000</v>
      </c>
      <c r="K176" s="113">
        <f t="shared" si="97"/>
        <v>0</v>
      </c>
      <c r="L176" s="113">
        <f t="shared" si="98"/>
        <v>12946</v>
      </c>
      <c r="M176" s="113">
        <f t="shared" si="99"/>
        <v>0</v>
      </c>
      <c r="N176" s="116">
        <f t="shared" si="100"/>
        <v>0</v>
      </c>
      <c r="O176" s="117">
        <f t="shared" si="133"/>
        <v>3.7400000000000003E-2</v>
      </c>
      <c r="P176" s="117">
        <f t="shared" si="101"/>
        <v>0</v>
      </c>
      <c r="Q176" s="117">
        <f t="shared" si="102"/>
        <v>0</v>
      </c>
      <c r="R176" s="117">
        <f t="shared" si="103"/>
        <v>2.725E-2</v>
      </c>
      <c r="S176" s="116">
        <f t="shared" si="104"/>
        <v>0</v>
      </c>
      <c r="T176" s="116">
        <f t="shared" si="105"/>
        <v>12.72</v>
      </c>
      <c r="U176" s="116">
        <f t="shared" si="106"/>
        <v>15.040000000000001</v>
      </c>
      <c r="V176" s="118">
        <f t="shared" si="107"/>
        <v>0</v>
      </c>
      <c r="W176" s="118">
        <f t="shared" si="122"/>
        <v>310008.59999999998</v>
      </c>
      <c r="X176" s="118">
        <f t="shared" si="123"/>
        <v>0</v>
      </c>
      <c r="Y176" s="118">
        <f t="shared" si="124"/>
        <v>164673.12</v>
      </c>
      <c r="Z176" s="118">
        <f t="shared" si="125"/>
        <v>0</v>
      </c>
      <c r="AA176" s="119">
        <v>0</v>
      </c>
      <c r="AB176" s="120">
        <f t="shared" si="108"/>
        <v>0</v>
      </c>
      <c r="AC176" s="118">
        <f t="shared" si="109"/>
        <v>164673.12</v>
      </c>
      <c r="AD176" s="118">
        <f>SUM(V176:AB176)</f>
        <v>474681.72</v>
      </c>
      <c r="AE176" s="118">
        <f t="shared" si="110"/>
        <v>474682</v>
      </c>
      <c r="AF176" s="121">
        <f t="shared" si="127"/>
        <v>1.0000009999999999</v>
      </c>
      <c r="AG176" s="122">
        <f t="shared" si="111"/>
        <v>1599</v>
      </c>
      <c r="AH176" s="122">
        <f t="shared" si="112"/>
        <v>0</v>
      </c>
      <c r="AI176" s="122">
        <f t="shared" si="113"/>
        <v>86765</v>
      </c>
      <c r="AJ176" s="122">
        <f t="shared" si="114"/>
        <v>0</v>
      </c>
      <c r="AK176" s="122">
        <f t="shared" si="115"/>
        <v>0</v>
      </c>
      <c r="AL176" s="122">
        <f t="shared" si="116"/>
        <v>563046</v>
      </c>
      <c r="AM176" s="123">
        <f t="shared" si="117"/>
        <v>563045.72</v>
      </c>
      <c r="AN176" s="123">
        <f t="shared" si="134"/>
        <v>0.28000000002793968</v>
      </c>
      <c r="AO176" s="124">
        <f t="shared" si="118"/>
        <v>225875.25</v>
      </c>
      <c r="AP176" s="125">
        <f t="shared" si="128"/>
        <v>84133.349999999977</v>
      </c>
      <c r="AU176" s="109">
        <f>IF(BA176=1,IF(AU175=MiscData!$F$1,EOMONTH(AU175,-11),EOMONTH(AU175,1)),AU175)</f>
        <v>42521</v>
      </c>
      <c r="AV176" s="108" t="str">
        <f t="shared" si="129"/>
        <v>20140101LGINE599</v>
      </c>
      <c r="AW176" s="126" t="str">
        <f t="shared" si="130"/>
        <v>20140101FK</v>
      </c>
      <c r="AX176">
        <f>MiscData!$X$5</f>
        <v>20140101</v>
      </c>
      <c r="BA176" s="98">
        <f>IF(BA175+1&gt;MiscData!$Z$42,1,BA175+1)</f>
        <v>21</v>
      </c>
      <c r="BB176" s="98" t="str">
        <f>VLOOKUP(BA176,MiscData!$Z$5:$AB$46,2,FALSE)</f>
        <v>LGINE599</v>
      </c>
      <c r="BC176" s="98" t="str">
        <f>VLOOKUP(BA176,MiscData!$Z$5:$AB$46,3,FALSE)</f>
        <v>FK</v>
      </c>
    </row>
    <row r="177" spans="1:55">
      <c r="A177" s="108">
        <v>164</v>
      </c>
      <c r="B177" s="109" t="str">
        <f t="shared" si="119"/>
        <v>May 2016</v>
      </c>
      <c r="C177" s="110" t="str">
        <f t="shared" si="120"/>
        <v>RTS</v>
      </c>
      <c r="D177" s="110" t="str">
        <f t="shared" si="121"/>
        <v>LGINE643</v>
      </c>
      <c r="E177" s="111">
        <f t="shared" si="92"/>
        <v>12</v>
      </c>
      <c r="F177" s="112">
        <v>0</v>
      </c>
      <c r="G177" s="111">
        <f t="shared" si="93"/>
        <v>0</v>
      </c>
      <c r="H177" s="111">
        <f t="shared" si="94"/>
        <v>0</v>
      </c>
      <c r="I177" s="111">
        <f t="shared" si="95"/>
        <v>0</v>
      </c>
      <c r="J177" s="111">
        <f t="shared" si="96"/>
        <v>88780755</v>
      </c>
      <c r="K177" s="113">
        <f t="shared" si="97"/>
        <v>164840</v>
      </c>
      <c r="L177" s="113">
        <f t="shared" si="98"/>
        <v>163262</v>
      </c>
      <c r="M177" s="113">
        <f t="shared" si="99"/>
        <v>105280</v>
      </c>
      <c r="N177" s="116">
        <f t="shared" si="100"/>
        <v>750</v>
      </c>
      <c r="O177" s="117">
        <f t="shared" si="133"/>
        <v>3.61E-2</v>
      </c>
      <c r="P177" s="117">
        <f t="shared" si="101"/>
        <v>0</v>
      </c>
      <c r="Q177" s="117">
        <f t="shared" si="102"/>
        <v>0</v>
      </c>
      <c r="R177" s="117">
        <f t="shared" si="103"/>
        <v>2.725E-2</v>
      </c>
      <c r="S177" s="116">
        <f t="shared" si="104"/>
        <v>2.75</v>
      </c>
      <c r="T177" s="116">
        <f t="shared" si="105"/>
        <v>3</v>
      </c>
      <c r="U177" s="116">
        <f t="shared" si="106"/>
        <v>4.5500000000000007</v>
      </c>
      <c r="V177" s="118">
        <f t="shared" si="107"/>
        <v>9000</v>
      </c>
      <c r="W177" s="118">
        <f t="shared" si="122"/>
        <v>3204985.26</v>
      </c>
      <c r="X177" s="118">
        <f t="shared" si="123"/>
        <v>453310</v>
      </c>
      <c r="Y177" s="118">
        <f t="shared" si="124"/>
        <v>489786</v>
      </c>
      <c r="Z177" s="118">
        <f t="shared" si="125"/>
        <v>479024</v>
      </c>
      <c r="AA177" s="119">
        <v>0</v>
      </c>
      <c r="AB177" s="120">
        <f t="shared" si="108"/>
        <v>0</v>
      </c>
      <c r="AC177" s="118">
        <f t="shared" si="109"/>
        <v>1422120</v>
      </c>
      <c r="AD177" s="118">
        <f t="shared" si="126"/>
        <v>4636105.26</v>
      </c>
      <c r="AE177" s="118">
        <f t="shared" si="110"/>
        <v>4636104</v>
      </c>
      <c r="AF177" s="121">
        <f t="shared" si="127"/>
        <v>1</v>
      </c>
      <c r="AG177" s="122">
        <f t="shared" si="111"/>
        <v>17127</v>
      </c>
      <c r="AH177" s="122">
        <f t="shared" si="112"/>
        <v>0</v>
      </c>
      <c r="AI177" s="122">
        <f t="shared" si="113"/>
        <v>929311</v>
      </c>
      <c r="AJ177" s="122">
        <f t="shared" si="114"/>
        <v>0</v>
      </c>
      <c r="AK177" s="122">
        <f t="shared" si="115"/>
        <v>0</v>
      </c>
      <c r="AL177" s="122">
        <f t="shared" si="116"/>
        <v>5582542</v>
      </c>
      <c r="AM177" s="123">
        <f t="shared" si="117"/>
        <v>5582543.2599999998</v>
      </c>
      <c r="AN177" s="123">
        <f t="shared" si="134"/>
        <v>-1.2599999997764826</v>
      </c>
      <c r="AO177" s="124">
        <f t="shared" si="118"/>
        <v>2419275.5699999998</v>
      </c>
      <c r="AP177" s="125">
        <f t="shared" si="128"/>
        <v>785709.69</v>
      </c>
      <c r="AU177" s="109">
        <f>IF(BA177=1,IF(AU176=MiscData!$F$1,EOMONTH(AU176,-11),EOMONTH(AU176,1)),AU176)</f>
        <v>42521</v>
      </c>
      <c r="AV177" s="108" t="str">
        <f t="shared" si="129"/>
        <v>20140101LGINE643</v>
      </c>
      <c r="AW177" s="126" t="str">
        <f t="shared" si="130"/>
        <v>20140101RTS</v>
      </c>
      <c r="AX177">
        <f>MiscData!$X$5</f>
        <v>20140101</v>
      </c>
      <c r="BA177" s="98">
        <f>IF(BA176+1&gt;MiscData!$Z$42,1,BA176+1)</f>
        <v>22</v>
      </c>
      <c r="BB177" s="98" t="str">
        <f>VLOOKUP(BA177,MiscData!$Z$5:$AB$46,2,FALSE)</f>
        <v>LGINE643</v>
      </c>
      <c r="BC177" s="98" t="str">
        <f>VLOOKUP(BA177,MiscData!$Z$5:$AB$46,3,FALSE)</f>
        <v>RTS</v>
      </c>
    </row>
    <row r="178" spans="1:55">
      <c r="A178" s="108">
        <v>165</v>
      </c>
      <c r="B178" s="109" t="str">
        <f t="shared" si="119"/>
        <v>May 2016</v>
      </c>
      <c r="C178" s="110" t="str">
        <f t="shared" si="120"/>
        <v>PSS</v>
      </c>
      <c r="D178" s="110" t="str">
        <f t="shared" si="121"/>
        <v>LGINE661</v>
      </c>
      <c r="E178" s="111">
        <f t="shared" si="92"/>
        <v>211</v>
      </c>
      <c r="F178" s="112">
        <v>0</v>
      </c>
      <c r="G178" s="111">
        <f t="shared" si="93"/>
        <v>0</v>
      </c>
      <c r="H178" s="111">
        <f t="shared" si="94"/>
        <v>0</v>
      </c>
      <c r="I178" s="111">
        <f t="shared" si="95"/>
        <v>0</v>
      </c>
      <c r="J178" s="111">
        <f t="shared" si="96"/>
        <v>20979803</v>
      </c>
      <c r="K178" s="113">
        <f t="shared" si="97"/>
        <v>0</v>
      </c>
      <c r="L178" s="113">
        <f t="shared" si="98"/>
        <v>0</v>
      </c>
      <c r="M178" s="113">
        <f t="shared" si="99"/>
        <v>58644</v>
      </c>
      <c r="N178" s="116">
        <f t="shared" si="100"/>
        <v>90</v>
      </c>
      <c r="O178" s="117">
        <f t="shared" si="133"/>
        <v>4.0599999999999997E-2</v>
      </c>
      <c r="P178" s="117">
        <f t="shared" si="101"/>
        <v>0</v>
      </c>
      <c r="Q178" s="117">
        <f t="shared" si="102"/>
        <v>0</v>
      </c>
      <c r="R178" s="117">
        <f t="shared" si="103"/>
        <v>2.725E-2</v>
      </c>
      <c r="S178" s="116">
        <f t="shared" si="104"/>
        <v>0</v>
      </c>
      <c r="T178" s="116">
        <f t="shared" si="105"/>
        <v>14.010000000000002</v>
      </c>
      <c r="U178" s="116">
        <f t="shared" si="106"/>
        <v>16.399999999999999</v>
      </c>
      <c r="V178" s="118">
        <f t="shared" si="107"/>
        <v>18990</v>
      </c>
      <c r="W178" s="118">
        <f t="shared" si="122"/>
        <v>851780</v>
      </c>
      <c r="X178" s="118">
        <f t="shared" si="123"/>
        <v>0</v>
      </c>
      <c r="Y178" s="118">
        <f t="shared" si="124"/>
        <v>0</v>
      </c>
      <c r="Z178" s="118">
        <f t="shared" si="125"/>
        <v>961761.6</v>
      </c>
      <c r="AA178" s="119">
        <v>0</v>
      </c>
      <c r="AB178" s="120">
        <f t="shared" si="108"/>
        <v>0</v>
      </c>
      <c r="AC178" s="118">
        <f t="shared" si="109"/>
        <v>961761.6</v>
      </c>
      <c r="AD178" s="118">
        <f t="shared" si="126"/>
        <v>1832531.6</v>
      </c>
      <c r="AE178" s="118">
        <f t="shared" si="110"/>
        <v>1832529</v>
      </c>
      <c r="AF178" s="121">
        <f t="shared" si="127"/>
        <v>0.99999899999999997</v>
      </c>
      <c r="AG178" s="122">
        <f t="shared" si="111"/>
        <v>4047</v>
      </c>
      <c r="AH178" s="122">
        <f t="shared" si="112"/>
        <v>43915</v>
      </c>
      <c r="AI178" s="122">
        <f t="shared" si="113"/>
        <v>219606</v>
      </c>
      <c r="AJ178" s="122">
        <f t="shared" si="114"/>
        <v>0</v>
      </c>
      <c r="AK178" s="122">
        <f t="shared" si="115"/>
        <v>0</v>
      </c>
      <c r="AL178" s="122">
        <f t="shared" si="116"/>
        <v>2100097</v>
      </c>
      <c r="AM178" s="123">
        <f t="shared" si="117"/>
        <v>2100099.6</v>
      </c>
      <c r="AN178" s="123">
        <f t="shared" ref="AN178:AN182" si="135">ROUND(AL178-AM178,2)</f>
        <v>-2.6</v>
      </c>
      <c r="AO178" s="124">
        <f t="shared" si="118"/>
        <v>571699.63</v>
      </c>
      <c r="AP178" s="125">
        <f t="shared" si="128"/>
        <v>280080.37</v>
      </c>
      <c r="AU178" s="109">
        <f>IF(BA178=1,IF(AU177=MiscData!$F$1,EOMONTH(AU177,-11),EOMONTH(AU177,1)),AU177)</f>
        <v>42521</v>
      </c>
      <c r="AV178" s="108" t="str">
        <f t="shared" si="129"/>
        <v>20140101LGINE661</v>
      </c>
      <c r="AW178" s="126" t="str">
        <f t="shared" si="130"/>
        <v>20140101PSS</v>
      </c>
      <c r="AX178">
        <f>MiscData!$X$5</f>
        <v>20140101</v>
      </c>
      <c r="BA178" s="98">
        <f>IF(BA177+1&gt;MiscData!$Z$42,1,BA177+1)</f>
        <v>23</v>
      </c>
      <c r="BB178" s="98" t="str">
        <f>VLOOKUP(BA178,MiscData!$Z$5:$AB$46,2,FALSE)</f>
        <v>LGINE661</v>
      </c>
      <c r="BC178" s="98" t="str">
        <f>VLOOKUP(BA178,MiscData!$Z$5:$AB$46,3,FALSE)</f>
        <v>PSS</v>
      </c>
    </row>
    <row r="179" spans="1:55">
      <c r="A179" s="108">
        <v>166</v>
      </c>
      <c r="B179" s="109" t="str">
        <f t="shared" si="119"/>
        <v>May 2016</v>
      </c>
      <c r="C179" s="110" t="str">
        <f t="shared" si="120"/>
        <v>PSP</v>
      </c>
      <c r="D179" s="110" t="str">
        <f t="shared" si="121"/>
        <v>LGINE663</v>
      </c>
      <c r="E179" s="111">
        <f t="shared" si="92"/>
        <v>21</v>
      </c>
      <c r="F179" s="112">
        <v>0</v>
      </c>
      <c r="G179" s="111">
        <f t="shared" si="93"/>
        <v>0</v>
      </c>
      <c r="H179" s="111">
        <f t="shared" si="94"/>
        <v>0</v>
      </c>
      <c r="I179" s="111">
        <f t="shared" si="95"/>
        <v>0</v>
      </c>
      <c r="J179" s="111">
        <f t="shared" si="96"/>
        <v>1232786</v>
      </c>
      <c r="K179" s="113">
        <f t="shared" si="97"/>
        <v>0</v>
      </c>
      <c r="L179" s="113">
        <f t="shared" si="98"/>
        <v>0</v>
      </c>
      <c r="M179" s="113">
        <f t="shared" si="99"/>
        <v>4010</v>
      </c>
      <c r="N179" s="116">
        <f t="shared" si="100"/>
        <v>170</v>
      </c>
      <c r="O179" s="117">
        <f t="shared" si="133"/>
        <v>3.9260000000000003E-2</v>
      </c>
      <c r="P179" s="117">
        <f t="shared" si="101"/>
        <v>0</v>
      </c>
      <c r="Q179" s="117">
        <f t="shared" si="102"/>
        <v>0</v>
      </c>
      <c r="R179" s="117">
        <f t="shared" si="103"/>
        <v>2.725E-2</v>
      </c>
      <c r="S179" s="116">
        <f t="shared" si="104"/>
        <v>0</v>
      </c>
      <c r="T179" s="116">
        <f t="shared" si="105"/>
        <v>11.660000000000002</v>
      </c>
      <c r="U179" s="116">
        <f t="shared" si="106"/>
        <v>13.950000000000001</v>
      </c>
      <c r="V179" s="118">
        <f t="shared" si="107"/>
        <v>3570</v>
      </c>
      <c r="W179" s="118">
        <f t="shared" si="122"/>
        <v>48399.18</v>
      </c>
      <c r="X179" s="118">
        <f t="shared" si="123"/>
        <v>0</v>
      </c>
      <c r="Y179" s="118">
        <f t="shared" si="124"/>
        <v>0</v>
      </c>
      <c r="Z179" s="118">
        <f t="shared" si="125"/>
        <v>55939.5</v>
      </c>
      <c r="AA179" s="119">
        <v>0</v>
      </c>
      <c r="AB179" s="120">
        <f t="shared" si="108"/>
        <v>0</v>
      </c>
      <c r="AC179" s="118">
        <f t="shared" si="109"/>
        <v>55939.5</v>
      </c>
      <c r="AD179" s="118">
        <f t="shared" si="126"/>
        <v>107908.68</v>
      </c>
      <c r="AE179" s="118">
        <f t="shared" si="110"/>
        <v>107905</v>
      </c>
      <c r="AF179" s="121">
        <f t="shared" si="127"/>
        <v>0.99996600000000002</v>
      </c>
      <c r="AG179" s="122">
        <f t="shared" si="111"/>
        <v>238</v>
      </c>
      <c r="AH179" s="122">
        <f t="shared" si="112"/>
        <v>2580</v>
      </c>
      <c r="AI179" s="122">
        <f t="shared" si="113"/>
        <v>12904</v>
      </c>
      <c r="AJ179" s="122">
        <f t="shared" si="114"/>
        <v>0</v>
      </c>
      <c r="AK179" s="122">
        <f t="shared" si="115"/>
        <v>0</v>
      </c>
      <c r="AL179" s="122">
        <f t="shared" si="116"/>
        <v>123627</v>
      </c>
      <c r="AM179" s="123">
        <f t="shared" si="117"/>
        <v>123630.68</v>
      </c>
      <c r="AN179" s="123">
        <f t="shared" si="135"/>
        <v>-3.68</v>
      </c>
      <c r="AO179" s="124">
        <f t="shared" si="118"/>
        <v>33593.42</v>
      </c>
      <c r="AP179" s="125">
        <f t="shared" si="128"/>
        <v>14805.760000000002</v>
      </c>
      <c r="AU179" s="109">
        <f>IF(BA179=1,IF(AU178=MiscData!$F$1,EOMONTH(AU178,-11),EOMONTH(AU178,1)),AU178)</f>
        <v>42521</v>
      </c>
      <c r="AV179" s="108" t="str">
        <f t="shared" si="129"/>
        <v>20140101LGINE663</v>
      </c>
      <c r="AW179" s="126" t="str">
        <f t="shared" si="130"/>
        <v>20140101PSP</v>
      </c>
      <c r="AX179">
        <f>MiscData!$X$5</f>
        <v>20140101</v>
      </c>
      <c r="BA179" s="98">
        <f>IF(BA178+1&gt;MiscData!$Z$42,1,BA178+1)</f>
        <v>24</v>
      </c>
      <c r="BB179" s="98" t="str">
        <f>VLOOKUP(BA179,MiscData!$Z$5:$AB$46,2,FALSE)</f>
        <v>LGINE663</v>
      </c>
      <c r="BC179" s="98" t="str">
        <f>VLOOKUP(BA179,MiscData!$Z$5:$AB$46,3,FALSE)</f>
        <v>PSP</v>
      </c>
    </row>
    <row r="180" spans="1:55">
      <c r="A180" s="108">
        <v>167</v>
      </c>
      <c r="B180" s="109" t="str">
        <f t="shared" si="119"/>
        <v>May 2016</v>
      </c>
      <c r="C180" s="110" t="str">
        <f t="shared" si="120"/>
        <v>TODS</v>
      </c>
      <c r="D180" s="110" t="str">
        <f t="shared" si="121"/>
        <v>LGINE691</v>
      </c>
      <c r="E180" s="111">
        <f t="shared" si="92"/>
        <v>100</v>
      </c>
      <c r="F180" s="112">
        <v>0</v>
      </c>
      <c r="G180" s="111">
        <f t="shared" si="93"/>
        <v>0</v>
      </c>
      <c r="H180" s="111">
        <f t="shared" si="94"/>
        <v>0</v>
      </c>
      <c r="I180" s="111">
        <f t="shared" si="95"/>
        <v>0</v>
      </c>
      <c r="J180" s="111">
        <f t="shared" si="96"/>
        <v>24315210</v>
      </c>
      <c r="K180" s="113">
        <f t="shared" si="97"/>
        <v>55168</v>
      </c>
      <c r="L180" s="113">
        <f t="shared" si="98"/>
        <v>52124</v>
      </c>
      <c r="M180" s="113">
        <f t="shared" si="99"/>
        <v>50849</v>
      </c>
      <c r="N180" s="116">
        <f t="shared" si="100"/>
        <v>200</v>
      </c>
      <c r="O180" s="117">
        <f t="shared" si="133"/>
        <v>3.9899999999999998E-2</v>
      </c>
      <c r="P180" s="117">
        <f t="shared" si="101"/>
        <v>0</v>
      </c>
      <c r="Q180" s="117">
        <f t="shared" si="102"/>
        <v>0</v>
      </c>
      <c r="R180" s="117">
        <f t="shared" si="103"/>
        <v>2.725E-2</v>
      </c>
      <c r="S180" s="116">
        <f t="shared" si="104"/>
        <v>4</v>
      </c>
      <c r="T180" s="116">
        <f t="shared" si="105"/>
        <v>4.5100000000000007</v>
      </c>
      <c r="U180" s="116">
        <f t="shared" si="106"/>
        <v>6.11</v>
      </c>
      <c r="V180" s="118">
        <f t="shared" si="107"/>
        <v>20000</v>
      </c>
      <c r="W180" s="118">
        <f t="shared" si="122"/>
        <v>970176.88</v>
      </c>
      <c r="X180" s="118">
        <f t="shared" si="123"/>
        <v>220672</v>
      </c>
      <c r="Y180" s="118">
        <f t="shared" si="124"/>
        <v>235079.24</v>
      </c>
      <c r="Z180" s="118">
        <f t="shared" si="125"/>
        <v>310687.39</v>
      </c>
      <c r="AA180" s="119">
        <v>0</v>
      </c>
      <c r="AB180" s="120">
        <f t="shared" si="108"/>
        <v>0</v>
      </c>
      <c r="AC180" s="118">
        <f t="shared" si="109"/>
        <v>766438.63</v>
      </c>
      <c r="AD180" s="118">
        <f t="shared" si="126"/>
        <v>1756615.5099999998</v>
      </c>
      <c r="AE180" s="118">
        <f t="shared" si="110"/>
        <v>1756615</v>
      </c>
      <c r="AF180" s="121">
        <f t="shared" si="127"/>
        <v>1</v>
      </c>
      <c r="AG180" s="122">
        <f t="shared" si="111"/>
        <v>4691</v>
      </c>
      <c r="AH180" s="122">
        <f t="shared" si="112"/>
        <v>50896</v>
      </c>
      <c r="AI180" s="122">
        <f t="shared" si="113"/>
        <v>254519</v>
      </c>
      <c r="AJ180" s="122">
        <f t="shared" si="114"/>
        <v>0</v>
      </c>
      <c r="AK180" s="122">
        <f t="shared" si="115"/>
        <v>0</v>
      </c>
      <c r="AL180" s="122">
        <f t="shared" si="116"/>
        <v>2066721</v>
      </c>
      <c r="AM180" s="123">
        <f t="shared" si="117"/>
        <v>2066721.5099999998</v>
      </c>
      <c r="AN180" s="123">
        <f t="shared" si="135"/>
        <v>-0.51</v>
      </c>
      <c r="AO180" s="124">
        <f t="shared" si="118"/>
        <v>662589.47</v>
      </c>
      <c r="AP180" s="125">
        <f t="shared" si="128"/>
        <v>307587.41000000003</v>
      </c>
      <c r="AU180" s="109">
        <f>IF(BA180=1,IF(AU179=MiscData!$F$1,EOMONTH(AU179,-11),EOMONTH(AU179,1)),AU179)</f>
        <v>42521</v>
      </c>
      <c r="AV180" s="108" t="str">
        <f t="shared" si="129"/>
        <v>20140101LGINE691</v>
      </c>
      <c r="AW180" s="126" t="str">
        <f t="shared" si="130"/>
        <v>20140101TODS</v>
      </c>
      <c r="AX180">
        <f>MiscData!$X$5</f>
        <v>20140101</v>
      </c>
      <c r="BA180" s="98">
        <f>IF(BA179+1&gt;MiscData!$Z$42,1,BA179+1)</f>
        <v>25</v>
      </c>
      <c r="BB180" s="98" t="str">
        <f>VLOOKUP(BA180,MiscData!$Z$5:$AB$46,2,FALSE)</f>
        <v>LGINE691</v>
      </c>
      <c r="BC180" s="98" t="str">
        <f>VLOOKUP(BA180,MiscData!$Z$5:$AB$46,3,FALSE)</f>
        <v>TODS</v>
      </c>
    </row>
    <row r="181" spans="1:55">
      <c r="A181" s="108">
        <v>168</v>
      </c>
      <c r="B181" s="109" t="str">
        <f t="shared" si="119"/>
        <v>May 2016</v>
      </c>
      <c r="C181" s="110" t="str">
        <f t="shared" si="120"/>
        <v>ITODP</v>
      </c>
      <c r="D181" s="110" t="str">
        <f t="shared" si="121"/>
        <v>LGINE693</v>
      </c>
      <c r="E181" s="111">
        <f t="shared" si="92"/>
        <v>72</v>
      </c>
      <c r="F181" s="112">
        <v>0</v>
      </c>
      <c r="G181" s="111">
        <f t="shared" si="93"/>
        <v>0</v>
      </c>
      <c r="H181" s="111">
        <f t="shared" si="94"/>
        <v>0</v>
      </c>
      <c r="I181" s="111">
        <f t="shared" si="95"/>
        <v>0</v>
      </c>
      <c r="J181" s="111">
        <f t="shared" si="96"/>
        <v>155453213</v>
      </c>
      <c r="K181" s="113">
        <f t="shared" si="97"/>
        <v>342427</v>
      </c>
      <c r="L181" s="113">
        <f t="shared" si="98"/>
        <v>310877</v>
      </c>
      <c r="M181" s="113">
        <f t="shared" si="99"/>
        <v>306747</v>
      </c>
      <c r="N181" s="116">
        <f t="shared" si="100"/>
        <v>300</v>
      </c>
      <c r="O181" s="117">
        <f t="shared" si="133"/>
        <v>3.5380000000000002E-2</v>
      </c>
      <c r="P181" s="117">
        <f t="shared" si="101"/>
        <v>0</v>
      </c>
      <c r="Q181" s="117">
        <f t="shared" si="102"/>
        <v>0</v>
      </c>
      <c r="R181" s="117">
        <f t="shared" si="103"/>
        <v>2.725E-2</v>
      </c>
      <c r="S181" s="116">
        <f t="shared" si="104"/>
        <v>3.6300000000000003</v>
      </c>
      <c r="T181" s="116">
        <f t="shared" si="105"/>
        <v>3.7900000000000005</v>
      </c>
      <c r="U181" s="116">
        <f t="shared" si="106"/>
        <v>4.63</v>
      </c>
      <c r="V181" s="118">
        <f t="shared" si="107"/>
        <v>21600</v>
      </c>
      <c r="W181" s="118">
        <f t="shared" si="122"/>
        <v>5499934.6799999997</v>
      </c>
      <c r="X181" s="118">
        <f t="shared" si="123"/>
        <v>1243010.01</v>
      </c>
      <c r="Y181" s="118">
        <f t="shared" si="124"/>
        <v>1178223.83</v>
      </c>
      <c r="Z181" s="118">
        <f t="shared" si="125"/>
        <v>1420238.61</v>
      </c>
      <c r="AA181" s="119">
        <v>0</v>
      </c>
      <c r="AB181" s="120">
        <f t="shared" si="108"/>
        <v>0</v>
      </c>
      <c r="AC181" s="118">
        <f t="shared" si="109"/>
        <v>3841472.45</v>
      </c>
      <c r="AD181" s="118">
        <f t="shared" si="126"/>
        <v>9363007.129999999</v>
      </c>
      <c r="AE181" s="118">
        <f t="shared" si="110"/>
        <v>9363006</v>
      </c>
      <c r="AF181" s="121">
        <f t="shared" si="127"/>
        <v>1</v>
      </c>
      <c r="AG181" s="122">
        <f t="shared" si="111"/>
        <v>29989</v>
      </c>
      <c r="AH181" s="122">
        <f t="shared" si="112"/>
        <v>325393</v>
      </c>
      <c r="AI181" s="122">
        <f t="shared" si="113"/>
        <v>1627204</v>
      </c>
      <c r="AJ181" s="122">
        <f t="shared" si="114"/>
        <v>0</v>
      </c>
      <c r="AK181" s="122">
        <f t="shared" si="115"/>
        <v>0</v>
      </c>
      <c r="AL181" s="122">
        <f t="shared" si="116"/>
        <v>11345592</v>
      </c>
      <c r="AM181" s="123">
        <f t="shared" si="117"/>
        <v>11345593.129999999</v>
      </c>
      <c r="AN181" s="123">
        <f t="shared" si="135"/>
        <v>-1.1299999999999999</v>
      </c>
      <c r="AO181" s="124">
        <f t="shared" si="118"/>
        <v>4236100.05</v>
      </c>
      <c r="AP181" s="125">
        <f t="shared" si="128"/>
        <v>1263834.6299999999</v>
      </c>
      <c r="AU181" s="109">
        <f>IF(BA181=1,IF(AU180=MiscData!$F$1,EOMONTH(AU180,-11),EOMONTH(AU180,1)),AU180)</f>
        <v>42521</v>
      </c>
      <c r="AV181" s="108" t="str">
        <f t="shared" si="129"/>
        <v>20140101LGINE693</v>
      </c>
      <c r="AW181" s="126" t="str">
        <f t="shared" si="130"/>
        <v>20140101ITODP</v>
      </c>
      <c r="AX181">
        <f>MiscData!$X$5</f>
        <v>20140101</v>
      </c>
      <c r="BA181" s="98">
        <f>IF(BA180+1&gt;MiscData!$Z$42,1,BA180+1)</f>
        <v>26</v>
      </c>
      <c r="BB181" s="98" t="str">
        <f>VLOOKUP(BA181,MiscData!$Z$5:$AB$46,2,FALSE)</f>
        <v>LGINE693</v>
      </c>
      <c r="BC181" s="98" t="str">
        <f>VLOOKUP(BA181,MiscData!$Z$5:$AB$46,3,FALSE)</f>
        <v>ITODP</v>
      </c>
    </row>
    <row r="182" spans="1:55">
      <c r="A182" s="108">
        <v>169</v>
      </c>
      <c r="B182" s="109" t="str">
        <f t="shared" si="119"/>
        <v>May 2016</v>
      </c>
      <c r="C182" s="110" t="str">
        <f t="shared" si="120"/>
        <v>ITODP</v>
      </c>
      <c r="D182" s="110" t="str">
        <f t="shared" si="121"/>
        <v>LGINE694</v>
      </c>
      <c r="E182" s="111">
        <f t="shared" si="92"/>
        <v>0</v>
      </c>
      <c r="F182" s="112">
        <v>0</v>
      </c>
      <c r="G182" s="111">
        <f t="shared" si="93"/>
        <v>0</v>
      </c>
      <c r="H182" s="111">
        <f t="shared" si="94"/>
        <v>0</v>
      </c>
      <c r="I182" s="111">
        <f t="shared" si="95"/>
        <v>0</v>
      </c>
      <c r="J182" s="111">
        <f t="shared" si="96"/>
        <v>0</v>
      </c>
      <c r="K182" s="113">
        <f t="shared" si="97"/>
        <v>0</v>
      </c>
      <c r="L182" s="113">
        <f t="shared" si="98"/>
        <v>0</v>
      </c>
      <c r="M182" s="113">
        <f t="shared" si="99"/>
        <v>0</v>
      </c>
      <c r="N182" s="116">
        <f t="shared" si="100"/>
        <v>300</v>
      </c>
      <c r="O182" s="117">
        <f t="shared" si="133"/>
        <v>3.5380000000000002E-2</v>
      </c>
      <c r="P182" s="117">
        <f t="shared" si="101"/>
        <v>0</v>
      </c>
      <c r="Q182" s="117">
        <f t="shared" si="102"/>
        <v>0</v>
      </c>
      <c r="R182" s="117">
        <f t="shared" si="103"/>
        <v>2.725E-2</v>
      </c>
      <c r="S182" s="116">
        <f t="shared" si="104"/>
        <v>3.6300000000000003</v>
      </c>
      <c r="T182" s="116">
        <f t="shared" si="105"/>
        <v>3.7900000000000005</v>
      </c>
      <c r="U182" s="116">
        <f t="shared" si="106"/>
        <v>4.63</v>
      </c>
      <c r="V182" s="118">
        <f t="shared" si="107"/>
        <v>0</v>
      </c>
      <c r="W182" s="118">
        <f t="shared" si="122"/>
        <v>0</v>
      </c>
      <c r="X182" s="118">
        <f t="shared" si="123"/>
        <v>0</v>
      </c>
      <c r="Y182" s="118">
        <f t="shared" si="124"/>
        <v>0</v>
      </c>
      <c r="Z182" s="118">
        <f t="shared" si="125"/>
        <v>0</v>
      </c>
      <c r="AA182" s="119">
        <v>0</v>
      </c>
      <c r="AB182" s="120">
        <f t="shared" si="108"/>
        <v>0</v>
      </c>
      <c r="AC182" s="118">
        <f t="shared" si="109"/>
        <v>0</v>
      </c>
      <c r="AD182" s="118">
        <f t="shared" si="126"/>
        <v>0</v>
      </c>
      <c r="AE182" s="118">
        <f t="shared" si="110"/>
        <v>0</v>
      </c>
      <c r="AF182" s="121">
        <f>IF(AND(AD182=0,AE182=0),1,IF(AD182=0,0,ROUND(AE182/AD182,6)))</f>
        <v>1</v>
      </c>
      <c r="AG182" s="122">
        <f t="shared" si="111"/>
        <v>0</v>
      </c>
      <c r="AH182" s="122">
        <f t="shared" si="112"/>
        <v>0</v>
      </c>
      <c r="AI182" s="122">
        <f t="shared" si="113"/>
        <v>0</v>
      </c>
      <c r="AJ182" s="122">
        <f t="shared" si="114"/>
        <v>0</v>
      </c>
      <c r="AK182" s="122">
        <f t="shared" si="115"/>
        <v>0</v>
      </c>
      <c r="AL182" s="122">
        <f t="shared" si="116"/>
        <v>0</v>
      </c>
      <c r="AM182" s="123">
        <f t="shared" si="117"/>
        <v>0</v>
      </c>
      <c r="AN182" s="123">
        <f t="shared" si="135"/>
        <v>0</v>
      </c>
      <c r="AO182" s="124">
        <f t="shared" si="118"/>
        <v>0</v>
      </c>
      <c r="AP182" s="125">
        <f t="shared" si="128"/>
        <v>0</v>
      </c>
      <c r="AU182" s="109">
        <f>IF(BA182=1,IF(AU181=MiscData!$F$1,EOMONTH(AU181,-11),EOMONTH(AU181,1)),AU181)</f>
        <v>42521</v>
      </c>
      <c r="AV182" s="108" t="str">
        <f t="shared" si="129"/>
        <v>20140101LGINE694</v>
      </c>
      <c r="AW182" s="126" t="str">
        <f t="shared" si="130"/>
        <v>20140101ITODP</v>
      </c>
      <c r="AX182">
        <f>MiscData!$X$5</f>
        <v>20140101</v>
      </c>
      <c r="BA182" s="98">
        <f>IF(BA181+1&gt;MiscData!$Z$42,1,BA181+1)</f>
        <v>27</v>
      </c>
      <c r="BB182" s="98" t="str">
        <f>VLOOKUP(BA182,MiscData!$Z$5:$AB$46,2,FALSE)</f>
        <v>LGINE694</v>
      </c>
      <c r="BC182" s="98" t="str">
        <f>VLOOKUP(BA182,MiscData!$Z$5:$AB$46,3,FALSE)</f>
        <v>ITODP</v>
      </c>
    </row>
    <row r="183" spans="1:55">
      <c r="A183" s="108">
        <v>170</v>
      </c>
      <c r="B183" s="109" t="str">
        <f t="shared" si="119"/>
        <v>May 2016</v>
      </c>
      <c r="C183" s="110" t="str">
        <f t="shared" si="120"/>
        <v>LE</v>
      </c>
      <c r="D183" s="110" t="str">
        <f t="shared" si="121"/>
        <v>LGMLE570</v>
      </c>
      <c r="E183" s="111">
        <f t="shared" si="92"/>
        <v>0</v>
      </c>
      <c r="F183" s="112">
        <v>0</v>
      </c>
      <c r="G183" s="111">
        <f t="shared" si="93"/>
        <v>0</v>
      </c>
      <c r="H183" s="111">
        <f t="shared" si="94"/>
        <v>0</v>
      </c>
      <c r="I183" s="111">
        <f t="shared" si="95"/>
        <v>0</v>
      </c>
      <c r="J183" s="111">
        <f t="shared" si="96"/>
        <v>0</v>
      </c>
      <c r="K183" s="113">
        <f t="shared" si="97"/>
        <v>0</v>
      </c>
      <c r="L183" s="113">
        <f t="shared" si="98"/>
        <v>0</v>
      </c>
      <c r="M183" s="113">
        <f t="shared" si="99"/>
        <v>0</v>
      </c>
      <c r="N183" s="116">
        <f t="shared" si="100"/>
        <v>0</v>
      </c>
      <c r="O183" s="117">
        <f t="shared" si="133"/>
        <v>6.4610000000000001E-2</v>
      </c>
      <c r="P183" s="117">
        <f t="shared" si="101"/>
        <v>0</v>
      </c>
      <c r="Q183" s="117">
        <f t="shared" si="102"/>
        <v>0</v>
      </c>
      <c r="R183" s="117">
        <f t="shared" si="103"/>
        <v>2.725E-2</v>
      </c>
      <c r="S183" s="116">
        <f t="shared" si="104"/>
        <v>0</v>
      </c>
      <c r="T183" s="116">
        <f t="shared" si="105"/>
        <v>0</v>
      </c>
      <c r="U183" s="116">
        <f t="shared" si="106"/>
        <v>0</v>
      </c>
      <c r="V183" s="118">
        <f t="shared" si="107"/>
        <v>0</v>
      </c>
      <c r="W183" s="118">
        <f t="shared" si="122"/>
        <v>0</v>
      </c>
      <c r="X183" s="118">
        <f t="shared" si="123"/>
        <v>0</v>
      </c>
      <c r="Y183" s="118">
        <f t="shared" si="124"/>
        <v>0</v>
      </c>
      <c r="Z183" s="118">
        <f t="shared" si="125"/>
        <v>0</v>
      </c>
      <c r="AA183" s="119">
        <v>0</v>
      </c>
      <c r="AB183" s="120">
        <f t="shared" si="108"/>
        <v>0</v>
      </c>
      <c r="AC183" s="118">
        <f t="shared" si="109"/>
        <v>0</v>
      </c>
      <c r="AD183" s="118">
        <f t="shared" si="126"/>
        <v>0</v>
      </c>
      <c r="AE183" s="118">
        <f t="shared" si="110"/>
        <v>0</v>
      </c>
      <c r="AF183" s="121">
        <f t="shared" si="127"/>
        <v>1</v>
      </c>
      <c r="AG183" s="122">
        <f t="shared" si="111"/>
        <v>0</v>
      </c>
      <c r="AH183" s="122">
        <f t="shared" si="112"/>
        <v>0</v>
      </c>
      <c r="AI183" s="122">
        <f t="shared" si="113"/>
        <v>0</v>
      </c>
      <c r="AJ183" s="122">
        <f t="shared" si="114"/>
        <v>0</v>
      </c>
      <c r="AK183" s="122">
        <f t="shared" si="115"/>
        <v>0</v>
      </c>
      <c r="AL183" s="122">
        <f t="shared" si="116"/>
        <v>0</v>
      </c>
      <c r="AM183" s="123">
        <f t="shared" si="117"/>
        <v>0</v>
      </c>
      <c r="AN183" s="123">
        <f t="shared" si="134"/>
        <v>0</v>
      </c>
      <c r="AO183" s="124">
        <f t="shared" si="118"/>
        <v>0</v>
      </c>
      <c r="AP183" s="125">
        <f t="shared" si="128"/>
        <v>0</v>
      </c>
      <c r="AU183" s="109">
        <f>IF(BA183=1,IF(AU182=MiscData!$F$1,EOMONTH(AU182,-11),EOMONTH(AU182,1)),AU182)</f>
        <v>42521</v>
      </c>
      <c r="AV183" s="108" t="str">
        <f t="shared" si="129"/>
        <v>20140101LGMLE570</v>
      </c>
      <c r="AW183" s="126" t="str">
        <f t="shared" si="130"/>
        <v>20140101LE</v>
      </c>
      <c r="AX183">
        <f>MiscData!$X$5</f>
        <v>20140101</v>
      </c>
      <c r="BA183" s="98">
        <f>IF(BA182+1&gt;MiscData!$Z$42,1,BA182+1)</f>
        <v>28</v>
      </c>
      <c r="BB183" s="98" t="str">
        <f>VLOOKUP(BA183,MiscData!$Z$5:$AB$46,2,FALSE)</f>
        <v>LGMLE570</v>
      </c>
      <c r="BC183" s="98" t="str">
        <f>VLOOKUP(BA183,MiscData!$Z$5:$AB$46,3,FALSE)</f>
        <v>LE</v>
      </c>
    </row>
    <row r="184" spans="1:55">
      <c r="A184" s="108">
        <v>171</v>
      </c>
      <c r="B184" s="109" t="str">
        <f t="shared" si="119"/>
        <v>May 2016</v>
      </c>
      <c r="C184" s="110" t="str">
        <f t="shared" si="120"/>
        <v>LE</v>
      </c>
      <c r="D184" s="110" t="str">
        <f t="shared" si="121"/>
        <v>LGMLE571</v>
      </c>
      <c r="E184" s="111">
        <f t="shared" si="92"/>
        <v>156</v>
      </c>
      <c r="F184" s="112">
        <v>0</v>
      </c>
      <c r="G184" s="111">
        <f t="shared" si="93"/>
        <v>0</v>
      </c>
      <c r="H184" s="111">
        <f t="shared" si="94"/>
        <v>0</v>
      </c>
      <c r="I184" s="111">
        <f t="shared" si="95"/>
        <v>0</v>
      </c>
      <c r="J184" s="111">
        <f t="shared" si="96"/>
        <v>306985</v>
      </c>
      <c r="K184" s="113">
        <f t="shared" si="97"/>
        <v>0</v>
      </c>
      <c r="L184" s="113">
        <f t="shared" si="98"/>
        <v>0</v>
      </c>
      <c r="M184" s="113">
        <f t="shared" si="99"/>
        <v>0</v>
      </c>
      <c r="N184" s="116">
        <f t="shared" si="100"/>
        <v>0</v>
      </c>
      <c r="O184" s="117">
        <f t="shared" si="133"/>
        <v>6.4610000000000001E-2</v>
      </c>
      <c r="P184" s="117">
        <f t="shared" si="101"/>
        <v>0</v>
      </c>
      <c r="Q184" s="117">
        <f t="shared" si="102"/>
        <v>0</v>
      </c>
      <c r="R184" s="117">
        <f t="shared" si="103"/>
        <v>2.725E-2</v>
      </c>
      <c r="S184" s="116">
        <f t="shared" si="104"/>
        <v>0</v>
      </c>
      <c r="T184" s="116">
        <f t="shared" si="105"/>
        <v>0</v>
      </c>
      <c r="U184" s="116">
        <f t="shared" si="106"/>
        <v>0</v>
      </c>
      <c r="V184" s="118">
        <f t="shared" si="107"/>
        <v>0</v>
      </c>
      <c r="W184" s="118">
        <f t="shared" si="122"/>
        <v>19834.3</v>
      </c>
      <c r="X184" s="118">
        <f t="shared" si="123"/>
        <v>0</v>
      </c>
      <c r="Y184" s="118">
        <f t="shared" si="124"/>
        <v>0</v>
      </c>
      <c r="Z184" s="118">
        <f t="shared" si="125"/>
        <v>0</v>
      </c>
      <c r="AA184" s="119">
        <v>0</v>
      </c>
      <c r="AB184" s="120">
        <f t="shared" si="108"/>
        <v>0</v>
      </c>
      <c r="AC184" s="118">
        <f t="shared" si="109"/>
        <v>0</v>
      </c>
      <c r="AD184" s="118">
        <f t="shared" si="126"/>
        <v>19834.3</v>
      </c>
      <c r="AE184" s="118">
        <f t="shared" si="110"/>
        <v>0</v>
      </c>
      <c r="AF184" s="121">
        <f t="shared" si="127"/>
        <v>0</v>
      </c>
      <c r="AG184" s="122">
        <f t="shared" si="111"/>
        <v>0</v>
      </c>
      <c r="AH184" s="122">
        <f t="shared" si="112"/>
        <v>0</v>
      </c>
      <c r="AI184" s="122">
        <f t="shared" si="113"/>
        <v>0</v>
      </c>
      <c r="AJ184" s="122">
        <f t="shared" si="114"/>
        <v>0</v>
      </c>
      <c r="AK184" s="122">
        <f t="shared" si="115"/>
        <v>0</v>
      </c>
      <c r="AL184" s="122">
        <f t="shared" si="116"/>
        <v>0</v>
      </c>
      <c r="AM184" s="123">
        <f t="shared" si="117"/>
        <v>19834.3</v>
      </c>
      <c r="AN184" s="123">
        <f t="shared" si="134"/>
        <v>-19834.3</v>
      </c>
      <c r="AO184" s="124">
        <f t="shared" si="118"/>
        <v>8365.34</v>
      </c>
      <c r="AP184" s="125">
        <f t="shared" si="128"/>
        <v>11468.96</v>
      </c>
      <c r="AU184" s="109">
        <f>IF(BA184=1,IF(AU183=MiscData!$F$1,EOMONTH(AU183,-11),EOMONTH(AU183,1)),AU183)</f>
        <v>42521</v>
      </c>
      <c r="AV184" s="108" t="str">
        <f t="shared" si="129"/>
        <v>20140101LGMLE571</v>
      </c>
      <c r="AW184" s="126" t="str">
        <f t="shared" si="130"/>
        <v>20140101LE</v>
      </c>
      <c r="AX184">
        <f>MiscData!$X$5</f>
        <v>20140101</v>
      </c>
      <c r="BA184" s="98">
        <f>IF(BA183+1&gt;MiscData!$Z$42,1,BA183+1)</f>
        <v>29</v>
      </c>
      <c r="BB184" s="98" t="str">
        <f>VLOOKUP(BA184,MiscData!$Z$5:$AB$46,2,FALSE)</f>
        <v>LGMLE571</v>
      </c>
      <c r="BC184" s="98" t="str">
        <f>VLOOKUP(BA184,MiscData!$Z$5:$AB$46,3,FALSE)</f>
        <v>LE</v>
      </c>
    </row>
    <row r="185" spans="1:55">
      <c r="A185" s="108">
        <v>172</v>
      </c>
      <c r="B185" s="109" t="str">
        <f t="shared" si="119"/>
        <v>May 2016</v>
      </c>
      <c r="C185" s="110" t="str">
        <f t="shared" si="120"/>
        <v>LE</v>
      </c>
      <c r="D185" s="110" t="str">
        <f t="shared" si="121"/>
        <v>LGMLE572</v>
      </c>
      <c r="E185" s="111">
        <f t="shared" si="92"/>
        <v>0</v>
      </c>
      <c r="F185" s="112">
        <v>0</v>
      </c>
      <c r="G185" s="111">
        <f t="shared" si="93"/>
        <v>0</v>
      </c>
      <c r="H185" s="111">
        <f t="shared" si="94"/>
        <v>0</v>
      </c>
      <c r="I185" s="111">
        <f t="shared" si="95"/>
        <v>0</v>
      </c>
      <c r="J185" s="111">
        <f t="shared" si="96"/>
        <v>0</v>
      </c>
      <c r="K185" s="113">
        <f t="shared" si="97"/>
        <v>0</v>
      </c>
      <c r="L185" s="113">
        <f t="shared" si="98"/>
        <v>0</v>
      </c>
      <c r="M185" s="113">
        <f t="shared" si="99"/>
        <v>0</v>
      </c>
      <c r="N185" s="116">
        <f t="shared" si="100"/>
        <v>0</v>
      </c>
      <c r="O185" s="117">
        <f t="shared" si="133"/>
        <v>6.4610000000000001E-2</v>
      </c>
      <c r="P185" s="117">
        <f t="shared" si="101"/>
        <v>0</v>
      </c>
      <c r="Q185" s="117">
        <f t="shared" si="102"/>
        <v>0</v>
      </c>
      <c r="R185" s="117">
        <f t="shared" si="103"/>
        <v>2.725E-2</v>
      </c>
      <c r="S185" s="116">
        <f t="shared" si="104"/>
        <v>0</v>
      </c>
      <c r="T185" s="116">
        <f t="shared" si="105"/>
        <v>0</v>
      </c>
      <c r="U185" s="116">
        <f t="shared" si="106"/>
        <v>0</v>
      </c>
      <c r="V185" s="118">
        <f t="shared" si="107"/>
        <v>0</v>
      </c>
      <c r="W185" s="118">
        <f t="shared" si="122"/>
        <v>0</v>
      </c>
      <c r="X185" s="118">
        <f t="shared" si="123"/>
        <v>0</v>
      </c>
      <c r="Y185" s="118">
        <f t="shared" si="124"/>
        <v>0</v>
      </c>
      <c r="Z185" s="118">
        <f t="shared" si="125"/>
        <v>0</v>
      </c>
      <c r="AA185" s="119">
        <v>0</v>
      </c>
      <c r="AB185" s="120">
        <f t="shared" si="108"/>
        <v>0</v>
      </c>
      <c r="AC185" s="118">
        <f t="shared" si="109"/>
        <v>0</v>
      </c>
      <c r="AD185" s="118">
        <f t="shared" si="126"/>
        <v>0</v>
      </c>
      <c r="AE185" s="118">
        <f t="shared" si="110"/>
        <v>0</v>
      </c>
      <c r="AF185" s="121">
        <f t="shared" si="127"/>
        <v>1</v>
      </c>
      <c r="AG185" s="122">
        <f t="shared" si="111"/>
        <v>0</v>
      </c>
      <c r="AH185" s="122">
        <f t="shared" si="112"/>
        <v>0</v>
      </c>
      <c r="AI185" s="122">
        <f t="shared" si="113"/>
        <v>0</v>
      </c>
      <c r="AJ185" s="122">
        <f t="shared" si="114"/>
        <v>0</v>
      </c>
      <c r="AK185" s="122">
        <f t="shared" si="115"/>
        <v>0</v>
      </c>
      <c r="AL185" s="122">
        <f t="shared" si="116"/>
        <v>0</v>
      </c>
      <c r="AM185" s="123">
        <f t="shared" si="117"/>
        <v>0</v>
      </c>
      <c r="AN185" s="123">
        <f t="shared" si="134"/>
        <v>0</v>
      </c>
      <c r="AO185" s="124">
        <f t="shared" si="118"/>
        <v>0</v>
      </c>
      <c r="AP185" s="125">
        <f t="shared" si="128"/>
        <v>0</v>
      </c>
      <c r="AU185" s="109">
        <f>IF(BA185=1,IF(AU184=MiscData!$F$1,EOMONTH(AU184,-11),EOMONTH(AU184,1)),AU184)</f>
        <v>42521</v>
      </c>
      <c r="AV185" s="108" t="str">
        <f t="shared" si="129"/>
        <v>20140101LGMLE572</v>
      </c>
      <c r="AW185" s="126" t="str">
        <f t="shared" si="130"/>
        <v>20140101LE</v>
      </c>
      <c r="AX185">
        <f>MiscData!$X$5</f>
        <v>20140101</v>
      </c>
      <c r="BA185" s="98">
        <f>IF(BA184+1&gt;MiscData!$Z$42,1,BA184+1)</f>
        <v>30</v>
      </c>
      <c r="BB185" s="98" t="str">
        <f>VLOOKUP(BA185,MiscData!$Z$5:$AB$46,2,FALSE)</f>
        <v>LGMLE572</v>
      </c>
      <c r="BC185" s="98" t="str">
        <f>VLOOKUP(BA185,MiscData!$Z$5:$AB$46,3,FALSE)</f>
        <v>LE</v>
      </c>
    </row>
    <row r="186" spans="1:55">
      <c r="A186" s="108">
        <v>173</v>
      </c>
      <c r="B186" s="109" t="str">
        <f t="shared" si="119"/>
        <v>May 2016</v>
      </c>
      <c r="C186" s="110" t="str">
        <f t="shared" si="120"/>
        <v>TE</v>
      </c>
      <c r="D186" s="110" t="str">
        <f t="shared" si="121"/>
        <v>LGMLE573</v>
      </c>
      <c r="E186" s="111">
        <f t="shared" si="92"/>
        <v>905</v>
      </c>
      <c r="F186" s="112">
        <v>0</v>
      </c>
      <c r="G186" s="111">
        <f t="shared" si="93"/>
        <v>0</v>
      </c>
      <c r="H186" s="111">
        <f t="shared" si="94"/>
        <v>0</v>
      </c>
      <c r="I186" s="111">
        <f t="shared" si="95"/>
        <v>0</v>
      </c>
      <c r="J186" s="111">
        <f t="shared" si="96"/>
        <v>274260</v>
      </c>
      <c r="K186" s="113">
        <f t="shared" si="97"/>
        <v>0</v>
      </c>
      <c r="L186" s="113">
        <f t="shared" si="98"/>
        <v>0</v>
      </c>
      <c r="M186" s="113">
        <f t="shared" si="99"/>
        <v>0</v>
      </c>
      <c r="N186" s="116">
        <f t="shared" si="100"/>
        <v>3.25</v>
      </c>
      <c r="O186" s="117">
        <f t="shared" si="133"/>
        <v>7.6579999999999995E-2</v>
      </c>
      <c r="P186" s="117">
        <f t="shared" si="101"/>
        <v>0</v>
      </c>
      <c r="Q186" s="117">
        <f t="shared" si="102"/>
        <v>0</v>
      </c>
      <c r="R186" s="117">
        <f t="shared" si="103"/>
        <v>2.725E-2</v>
      </c>
      <c r="S186" s="116">
        <f t="shared" si="104"/>
        <v>0</v>
      </c>
      <c r="T186" s="116">
        <f t="shared" si="105"/>
        <v>0</v>
      </c>
      <c r="U186" s="116">
        <f t="shared" si="106"/>
        <v>0</v>
      </c>
      <c r="V186" s="118">
        <f t="shared" si="107"/>
        <v>2941.25</v>
      </c>
      <c r="W186" s="683">
        <f t="shared" si="122"/>
        <v>21002.83</v>
      </c>
      <c r="X186" s="118">
        <f t="shared" si="123"/>
        <v>0</v>
      </c>
      <c r="Y186" s="118">
        <f t="shared" si="124"/>
        <v>0</v>
      </c>
      <c r="Z186" s="118">
        <f t="shared" si="125"/>
        <v>0</v>
      </c>
      <c r="AA186" s="119">
        <v>0</v>
      </c>
      <c r="AB186" s="120">
        <f t="shared" si="108"/>
        <v>0</v>
      </c>
      <c r="AC186" s="118">
        <f t="shared" si="109"/>
        <v>0</v>
      </c>
      <c r="AD186" s="118">
        <f t="shared" si="126"/>
        <v>23944.080000000002</v>
      </c>
      <c r="AE186" s="118">
        <f t="shared" si="110"/>
        <v>0</v>
      </c>
      <c r="AF186" s="121">
        <f t="shared" si="127"/>
        <v>0</v>
      </c>
      <c r="AG186" s="122">
        <f t="shared" si="111"/>
        <v>0</v>
      </c>
      <c r="AH186" s="122">
        <f t="shared" si="112"/>
        <v>0</v>
      </c>
      <c r="AI186" s="122">
        <f t="shared" si="113"/>
        <v>0</v>
      </c>
      <c r="AJ186" s="122">
        <f t="shared" si="114"/>
        <v>0</v>
      </c>
      <c r="AK186" s="122">
        <f t="shared" si="115"/>
        <v>0</v>
      </c>
      <c r="AL186" s="122">
        <f t="shared" si="116"/>
        <v>0</v>
      </c>
      <c r="AM186" s="123">
        <f t="shared" si="117"/>
        <v>23944.080000000002</v>
      </c>
      <c r="AN186" s="123">
        <f t="shared" si="134"/>
        <v>-23944.080000000002</v>
      </c>
      <c r="AO186" s="124">
        <f t="shared" si="118"/>
        <v>7473.59</v>
      </c>
      <c r="AP186" s="125">
        <f t="shared" si="128"/>
        <v>13529.240000000002</v>
      </c>
      <c r="AU186" s="109">
        <f>IF(BA186=1,IF(AU185=MiscData!$F$1,EOMONTH(AU185,-11),EOMONTH(AU185,1)),AU185)</f>
        <v>42521</v>
      </c>
      <c r="AV186" s="108" t="str">
        <f t="shared" si="129"/>
        <v>20140101LGMLE573</v>
      </c>
      <c r="AW186" s="126" t="str">
        <f t="shared" si="130"/>
        <v>20140101TE</v>
      </c>
      <c r="AX186">
        <f>MiscData!$X$5</f>
        <v>20140101</v>
      </c>
      <c r="BA186" s="98">
        <f>IF(BA185+1&gt;MiscData!$Z$42,1,BA185+1)</f>
        <v>31</v>
      </c>
      <c r="BB186" s="98" t="str">
        <f>VLOOKUP(BA186,MiscData!$Z$5:$AB$46,2,FALSE)</f>
        <v>LGMLE573</v>
      </c>
      <c r="BC186" s="98" t="str">
        <f>VLOOKUP(BA186,MiscData!$Z$5:$AB$46,3,FALSE)</f>
        <v>TE</v>
      </c>
    </row>
    <row r="187" spans="1:55">
      <c r="A187" s="108">
        <v>174</v>
      </c>
      <c r="B187" s="109" t="str">
        <f t="shared" si="119"/>
        <v>May 2016</v>
      </c>
      <c r="C187" s="110" t="str">
        <f t="shared" si="120"/>
        <v>TE</v>
      </c>
      <c r="D187" s="110" t="str">
        <f t="shared" si="121"/>
        <v>LGMLE574</v>
      </c>
      <c r="E187" s="111">
        <f t="shared" si="92"/>
        <v>0</v>
      </c>
      <c r="F187" s="112">
        <v>0</v>
      </c>
      <c r="G187" s="111">
        <f t="shared" si="93"/>
        <v>0</v>
      </c>
      <c r="H187" s="111">
        <f t="shared" si="94"/>
        <v>0</v>
      </c>
      <c r="I187" s="111">
        <f t="shared" si="95"/>
        <v>0</v>
      </c>
      <c r="J187" s="111">
        <f t="shared" si="96"/>
        <v>0</v>
      </c>
      <c r="K187" s="113">
        <f t="shared" si="97"/>
        <v>0</v>
      </c>
      <c r="L187" s="113">
        <f t="shared" si="98"/>
        <v>0</v>
      </c>
      <c r="M187" s="113">
        <f t="shared" si="99"/>
        <v>0</v>
      </c>
      <c r="N187" s="116">
        <f t="shared" si="100"/>
        <v>3.25</v>
      </c>
      <c r="O187" s="117">
        <f t="shared" si="133"/>
        <v>7.6579999999999995E-2</v>
      </c>
      <c r="P187" s="117">
        <f t="shared" si="101"/>
        <v>0</v>
      </c>
      <c r="Q187" s="117">
        <f t="shared" si="102"/>
        <v>0</v>
      </c>
      <c r="R187" s="117">
        <f t="shared" si="103"/>
        <v>2.725E-2</v>
      </c>
      <c r="S187" s="116">
        <f t="shared" si="104"/>
        <v>0</v>
      </c>
      <c r="T187" s="116">
        <f t="shared" si="105"/>
        <v>0</v>
      </c>
      <c r="U187" s="116">
        <f t="shared" si="106"/>
        <v>0</v>
      </c>
      <c r="V187" s="118">
        <f t="shared" si="107"/>
        <v>0</v>
      </c>
      <c r="W187" s="683">
        <f t="shared" si="122"/>
        <v>0</v>
      </c>
      <c r="X187" s="118">
        <f t="shared" si="123"/>
        <v>0</v>
      </c>
      <c r="Y187" s="118">
        <f t="shared" si="124"/>
        <v>0</v>
      </c>
      <c r="Z187" s="118">
        <f t="shared" si="125"/>
        <v>0</v>
      </c>
      <c r="AA187" s="119">
        <v>0</v>
      </c>
      <c r="AB187" s="120">
        <f t="shared" si="108"/>
        <v>0</v>
      </c>
      <c r="AC187" s="118">
        <f t="shared" si="109"/>
        <v>0</v>
      </c>
      <c r="AD187" s="118">
        <f t="shared" si="126"/>
        <v>0</v>
      </c>
      <c r="AE187" s="118">
        <f t="shared" si="110"/>
        <v>0</v>
      </c>
      <c r="AF187" s="121">
        <f t="shared" si="127"/>
        <v>1</v>
      </c>
      <c r="AG187" s="122">
        <f t="shared" si="111"/>
        <v>0</v>
      </c>
      <c r="AH187" s="122">
        <f t="shared" si="112"/>
        <v>0</v>
      </c>
      <c r="AI187" s="122">
        <f t="shared" si="113"/>
        <v>0</v>
      </c>
      <c r="AJ187" s="122">
        <f t="shared" si="114"/>
        <v>0</v>
      </c>
      <c r="AK187" s="122">
        <f t="shared" si="115"/>
        <v>0</v>
      </c>
      <c r="AL187" s="122">
        <f t="shared" si="116"/>
        <v>0</v>
      </c>
      <c r="AM187" s="123">
        <f t="shared" si="117"/>
        <v>0</v>
      </c>
      <c r="AN187" s="123">
        <f t="shared" si="134"/>
        <v>0</v>
      </c>
      <c r="AO187" s="124">
        <f t="shared" si="118"/>
        <v>0</v>
      </c>
      <c r="AP187" s="125">
        <f t="shared" si="128"/>
        <v>0</v>
      </c>
      <c r="AU187" s="109">
        <f>IF(BA187=1,IF(AU186=MiscData!$F$1,EOMONTH(AU186,-11),EOMONTH(AU186,1)),AU186)</f>
        <v>42521</v>
      </c>
      <c r="AV187" s="108" t="str">
        <f t="shared" si="129"/>
        <v>20140101LGMLE574</v>
      </c>
      <c r="AW187" s="126" t="str">
        <f t="shared" si="130"/>
        <v>20140101TE</v>
      </c>
      <c r="AX187">
        <f>MiscData!$X$5</f>
        <v>20140101</v>
      </c>
      <c r="BA187" s="98">
        <f>IF(BA186+1&gt;MiscData!$Z$42,1,BA186+1)</f>
        <v>32</v>
      </c>
      <c r="BB187" s="98" t="str">
        <f>VLOOKUP(BA187,MiscData!$Z$5:$AB$46,2,FALSE)</f>
        <v>LGMLE574</v>
      </c>
      <c r="BC187" s="98" t="str">
        <f>VLOOKUP(BA187,MiscData!$Z$5:$AB$46,3,FALSE)</f>
        <v>TE</v>
      </c>
    </row>
    <row r="188" spans="1:55">
      <c r="A188" s="108">
        <v>175</v>
      </c>
      <c r="B188" s="109" t="str">
        <f t="shared" si="119"/>
        <v>May 2016</v>
      </c>
      <c r="C188" s="110" t="str">
        <f t="shared" si="120"/>
        <v>RS</v>
      </c>
      <c r="D188" s="110" t="str">
        <f t="shared" si="121"/>
        <v>LGRSE411</v>
      </c>
      <c r="E188" s="111">
        <f t="shared" si="92"/>
        <v>0</v>
      </c>
      <c r="F188" s="112">
        <v>0</v>
      </c>
      <c r="G188" s="111">
        <f t="shared" si="93"/>
        <v>0</v>
      </c>
      <c r="H188" s="111">
        <f t="shared" si="94"/>
        <v>0</v>
      </c>
      <c r="I188" s="111">
        <f t="shared" si="95"/>
        <v>0</v>
      </c>
      <c r="J188" s="111">
        <f t="shared" si="96"/>
        <v>0</v>
      </c>
      <c r="K188" s="113">
        <f t="shared" si="97"/>
        <v>0</v>
      </c>
      <c r="L188" s="113">
        <f t="shared" si="98"/>
        <v>0</v>
      </c>
      <c r="M188" s="113">
        <f t="shared" si="99"/>
        <v>0</v>
      </c>
      <c r="N188" s="116">
        <f t="shared" si="100"/>
        <v>0</v>
      </c>
      <c r="O188" s="117">
        <f t="shared" si="133"/>
        <v>8.0760000000000012E-2</v>
      </c>
      <c r="P188" s="117">
        <f t="shared" si="101"/>
        <v>0</v>
      </c>
      <c r="Q188" s="117">
        <f t="shared" si="102"/>
        <v>0</v>
      </c>
      <c r="R188" s="117">
        <f t="shared" si="103"/>
        <v>2.725E-2</v>
      </c>
      <c r="S188" s="116">
        <f t="shared" si="104"/>
        <v>0</v>
      </c>
      <c r="T188" s="116">
        <f t="shared" si="105"/>
        <v>0</v>
      </c>
      <c r="U188" s="116">
        <f t="shared" si="106"/>
        <v>0</v>
      </c>
      <c r="V188" s="118">
        <f t="shared" si="107"/>
        <v>0</v>
      </c>
      <c r="W188" s="118">
        <f t="shared" si="122"/>
        <v>0</v>
      </c>
      <c r="X188" s="118">
        <f t="shared" si="123"/>
        <v>0</v>
      </c>
      <c r="Y188" s="118">
        <f t="shared" si="124"/>
        <v>0</v>
      </c>
      <c r="Z188" s="118">
        <f t="shared" si="125"/>
        <v>0</v>
      </c>
      <c r="AA188" s="119">
        <v>0</v>
      </c>
      <c r="AB188" s="120">
        <f t="shared" si="108"/>
        <v>0</v>
      </c>
      <c r="AC188" s="118">
        <f t="shared" si="109"/>
        <v>0</v>
      </c>
      <c r="AD188" s="118">
        <f t="shared" si="126"/>
        <v>0</v>
      </c>
      <c r="AE188" s="118">
        <f t="shared" si="110"/>
        <v>0</v>
      </c>
      <c r="AF188" s="121">
        <f t="shared" si="127"/>
        <v>1</v>
      </c>
      <c r="AG188" s="122">
        <f t="shared" si="111"/>
        <v>0</v>
      </c>
      <c r="AH188" s="122">
        <f t="shared" si="112"/>
        <v>0</v>
      </c>
      <c r="AI188" s="122">
        <f t="shared" si="113"/>
        <v>0</v>
      </c>
      <c r="AJ188" s="122">
        <f t="shared" si="114"/>
        <v>0</v>
      </c>
      <c r="AK188" s="122">
        <f t="shared" si="115"/>
        <v>0</v>
      </c>
      <c r="AL188" s="122">
        <f t="shared" si="116"/>
        <v>0</v>
      </c>
      <c r="AM188" s="123">
        <f t="shared" si="117"/>
        <v>0</v>
      </c>
      <c r="AN188" s="123">
        <f>ROUND(AL188-AM188,2)</f>
        <v>0</v>
      </c>
      <c r="AO188" s="124">
        <f t="shared" si="118"/>
        <v>0</v>
      </c>
      <c r="AP188" s="125">
        <f t="shared" si="128"/>
        <v>0</v>
      </c>
      <c r="AU188" s="109">
        <f>IF(BA188=1,IF(AU187=MiscData!$F$1,EOMONTH(AU187,-11),EOMONTH(AU187,1)),AU187)</f>
        <v>42521</v>
      </c>
      <c r="AV188" s="108" t="str">
        <f t="shared" si="129"/>
        <v>20140101LGRSE411</v>
      </c>
      <c r="AW188" s="126" t="str">
        <f t="shared" si="130"/>
        <v>20140101RS</v>
      </c>
      <c r="AX188">
        <f>MiscData!$X$5</f>
        <v>20140101</v>
      </c>
      <c r="BA188" s="98">
        <f>IF(BA187+1&gt;MiscData!$Z$42,1,BA187+1)</f>
        <v>33</v>
      </c>
      <c r="BB188" s="98" t="str">
        <f>VLOOKUP(BA188,MiscData!$Z$5:$AB$46,2,FALSE)</f>
        <v>LGRSE411</v>
      </c>
      <c r="BC188" s="98" t="str">
        <f>VLOOKUP(BA188,MiscData!$Z$5:$AB$46,3,FALSE)</f>
        <v>RS</v>
      </c>
    </row>
    <row r="189" spans="1:55">
      <c r="A189" s="108">
        <v>176</v>
      </c>
      <c r="B189" s="109" t="str">
        <f t="shared" si="119"/>
        <v>May 2016</v>
      </c>
      <c r="C189" s="110" t="str">
        <f t="shared" si="120"/>
        <v>RS</v>
      </c>
      <c r="D189" s="110" t="str">
        <f t="shared" si="121"/>
        <v>LGRSE511</v>
      </c>
      <c r="E189" s="111">
        <f t="shared" si="92"/>
        <v>362413</v>
      </c>
      <c r="F189" s="112">
        <v>0</v>
      </c>
      <c r="G189" s="111">
        <f t="shared" si="93"/>
        <v>0</v>
      </c>
      <c r="H189" s="111">
        <f t="shared" si="94"/>
        <v>0</v>
      </c>
      <c r="I189" s="111">
        <f t="shared" si="95"/>
        <v>0</v>
      </c>
      <c r="J189" s="111">
        <f t="shared" si="96"/>
        <v>295355367</v>
      </c>
      <c r="K189" s="113">
        <f t="shared" si="97"/>
        <v>0</v>
      </c>
      <c r="L189" s="113">
        <f t="shared" si="98"/>
        <v>0</v>
      </c>
      <c r="M189" s="113">
        <f t="shared" si="99"/>
        <v>0</v>
      </c>
      <c r="N189" s="116">
        <f t="shared" si="100"/>
        <v>10.75</v>
      </c>
      <c r="O189" s="117">
        <f t="shared" si="133"/>
        <v>8.0760000000000012E-2</v>
      </c>
      <c r="P189" s="117">
        <f t="shared" si="101"/>
        <v>0</v>
      </c>
      <c r="Q189" s="117">
        <f t="shared" si="102"/>
        <v>0</v>
      </c>
      <c r="R189" s="117">
        <f t="shared" si="103"/>
        <v>2.725E-2</v>
      </c>
      <c r="S189" s="116">
        <f t="shared" si="104"/>
        <v>0</v>
      </c>
      <c r="T189" s="116">
        <f t="shared" si="105"/>
        <v>0</v>
      </c>
      <c r="U189" s="116">
        <f t="shared" si="106"/>
        <v>0</v>
      </c>
      <c r="V189" s="118">
        <f t="shared" si="107"/>
        <v>3895939.75</v>
      </c>
      <c r="W189" s="118">
        <f t="shared" si="122"/>
        <v>23852899.440000001</v>
      </c>
      <c r="X189" s="118">
        <f t="shared" si="123"/>
        <v>0</v>
      </c>
      <c r="Y189" s="118">
        <f t="shared" si="124"/>
        <v>0</v>
      </c>
      <c r="Z189" s="118">
        <f t="shared" si="125"/>
        <v>0</v>
      </c>
      <c r="AA189" s="119">
        <v>0</v>
      </c>
      <c r="AB189" s="120">
        <f t="shared" si="108"/>
        <v>0</v>
      </c>
      <c r="AC189" s="118">
        <f t="shared" si="109"/>
        <v>0</v>
      </c>
      <c r="AD189" s="118">
        <f t="shared" si="126"/>
        <v>27748839.190000001</v>
      </c>
      <c r="AE189" s="118">
        <f t="shared" si="110"/>
        <v>27752309</v>
      </c>
      <c r="AF189" s="121">
        <f t="shared" si="127"/>
        <v>1.0001249999999999</v>
      </c>
      <c r="AG189" s="122">
        <f t="shared" si="111"/>
        <v>56986</v>
      </c>
      <c r="AH189" s="122">
        <f t="shared" si="112"/>
        <v>618320</v>
      </c>
      <c r="AI189" s="122">
        <f t="shared" si="113"/>
        <v>3092047</v>
      </c>
      <c r="AJ189" s="122">
        <f t="shared" si="114"/>
        <v>0</v>
      </c>
      <c r="AK189" s="122">
        <f t="shared" si="115"/>
        <v>0</v>
      </c>
      <c r="AL189" s="122">
        <f t="shared" si="116"/>
        <v>31519662</v>
      </c>
      <c r="AM189" s="123">
        <f t="shared" si="117"/>
        <v>31516192.190000001</v>
      </c>
      <c r="AN189" s="123">
        <f t="shared" si="134"/>
        <v>3469.8099999986589</v>
      </c>
      <c r="AO189" s="124">
        <f t="shared" si="118"/>
        <v>8048433.75</v>
      </c>
      <c r="AP189" s="125">
        <f t="shared" si="128"/>
        <v>15804465.690000001</v>
      </c>
      <c r="AU189" s="109">
        <f>IF(BA189=1,IF(AU188=MiscData!$F$1,EOMONTH(AU188,-11),EOMONTH(AU188,1)),AU188)</f>
        <v>42521</v>
      </c>
      <c r="AV189" s="108" t="str">
        <f t="shared" si="129"/>
        <v>20140101LGRSE511</v>
      </c>
      <c r="AW189" s="126" t="str">
        <f t="shared" si="130"/>
        <v>20140101RS</v>
      </c>
      <c r="AX189">
        <f>MiscData!$X$5</f>
        <v>20140101</v>
      </c>
      <c r="BA189" s="98">
        <f>IF(BA188+1&gt;MiscData!$Z$42,1,BA188+1)</f>
        <v>34</v>
      </c>
      <c r="BB189" s="98" t="str">
        <f>VLOOKUP(BA189,MiscData!$Z$5:$AB$46,2,FALSE)</f>
        <v>LGRSE511</v>
      </c>
      <c r="BC189" s="98" t="str">
        <f>VLOOKUP(BA189,MiscData!$Z$5:$AB$46,3,FALSE)</f>
        <v>RS</v>
      </c>
    </row>
    <row r="190" spans="1:55">
      <c r="A190" s="108">
        <v>177</v>
      </c>
      <c r="B190" s="109" t="str">
        <f t="shared" si="119"/>
        <v>May 2016</v>
      </c>
      <c r="C190" s="110" t="str">
        <f t="shared" si="120"/>
        <v>RS</v>
      </c>
      <c r="D190" s="110" t="str">
        <f t="shared" si="121"/>
        <v>LGRSE519</v>
      </c>
      <c r="E190" s="111">
        <f t="shared" si="92"/>
        <v>0</v>
      </c>
      <c r="F190" s="112">
        <v>0</v>
      </c>
      <c r="G190" s="111">
        <f t="shared" si="93"/>
        <v>0</v>
      </c>
      <c r="H190" s="111">
        <f t="shared" si="94"/>
        <v>0</v>
      </c>
      <c r="I190" s="111">
        <f t="shared" si="95"/>
        <v>0</v>
      </c>
      <c r="J190" s="111">
        <f t="shared" si="96"/>
        <v>0</v>
      </c>
      <c r="K190" s="113">
        <f t="shared" si="97"/>
        <v>0</v>
      </c>
      <c r="L190" s="113">
        <f t="shared" si="98"/>
        <v>0</v>
      </c>
      <c r="M190" s="113">
        <f t="shared" si="99"/>
        <v>0</v>
      </c>
      <c r="N190" s="116">
        <f t="shared" si="100"/>
        <v>10.75</v>
      </c>
      <c r="O190" s="117">
        <f t="shared" si="133"/>
        <v>8.0760000000000012E-2</v>
      </c>
      <c r="P190" s="117">
        <f t="shared" si="101"/>
        <v>0</v>
      </c>
      <c r="Q190" s="117">
        <f t="shared" si="102"/>
        <v>0</v>
      </c>
      <c r="R190" s="117">
        <f t="shared" si="103"/>
        <v>2.725E-2</v>
      </c>
      <c r="S190" s="116">
        <f t="shared" si="104"/>
        <v>0</v>
      </c>
      <c r="T190" s="116">
        <f t="shared" si="105"/>
        <v>0</v>
      </c>
      <c r="U190" s="116">
        <f t="shared" si="106"/>
        <v>0</v>
      </c>
      <c r="V190" s="118">
        <f t="shared" si="107"/>
        <v>0</v>
      </c>
      <c r="W190" s="118">
        <f t="shared" si="122"/>
        <v>0</v>
      </c>
      <c r="X190" s="118">
        <f t="shared" si="123"/>
        <v>0</v>
      </c>
      <c r="Y190" s="118">
        <f t="shared" si="124"/>
        <v>0</v>
      </c>
      <c r="Z190" s="118">
        <f t="shared" si="125"/>
        <v>0</v>
      </c>
      <c r="AA190" s="119">
        <v>0</v>
      </c>
      <c r="AB190" s="120">
        <f t="shared" si="108"/>
        <v>0</v>
      </c>
      <c r="AC190" s="118">
        <f t="shared" si="109"/>
        <v>0</v>
      </c>
      <c r="AD190" s="118">
        <f t="shared" si="126"/>
        <v>0</v>
      </c>
      <c r="AE190" s="118">
        <f t="shared" si="110"/>
        <v>0</v>
      </c>
      <c r="AF190" s="121">
        <f t="shared" si="127"/>
        <v>1</v>
      </c>
      <c r="AG190" s="122">
        <f t="shared" si="111"/>
        <v>0</v>
      </c>
      <c r="AH190" s="122">
        <f t="shared" si="112"/>
        <v>0</v>
      </c>
      <c r="AI190" s="122">
        <f t="shared" si="113"/>
        <v>0</v>
      </c>
      <c r="AJ190" s="122">
        <f t="shared" si="114"/>
        <v>0</v>
      </c>
      <c r="AK190" s="122">
        <f t="shared" si="115"/>
        <v>0</v>
      </c>
      <c r="AL190" s="122">
        <f t="shared" si="116"/>
        <v>0</v>
      </c>
      <c r="AM190" s="123">
        <f t="shared" si="117"/>
        <v>0</v>
      </c>
      <c r="AN190" s="123">
        <f t="shared" si="134"/>
        <v>0</v>
      </c>
      <c r="AO190" s="124">
        <f t="shared" si="118"/>
        <v>0</v>
      </c>
      <c r="AP190" s="125">
        <f t="shared" si="128"/>
        <v>0</v>
      </c>
      <c r="AU190" s="109">
        <f>IF(BA190=1,IF(AU189=MiscData!$F$1,EOMONTH(AU189,-11),EOMONTH(AU189,1)),AU189)</f>
        <v>42521</v>
      </c>
      <c r="AV190" s="108" t="str">
        <f t="shared" si="129"/>
        <v>20140101LGRSE519</v>
      </c>
      <c r="AW190" s="126" t="str">
        <f t="shared" si="130"/>
        <v>20140101RS</v>
      </c>
      <c r="AX190">
        <f>MiscData!$X$5</f>
        <v>20140101</v>
      </c>
      <c r="BA190" s="98">
        <f>IF(BA189+1&gt;MiscData!$Z$42,1,BA189+1)</f>
        <v>35</v>
      </c>
      <c r="BB190" s="98" t="str">
        <f>VLOOKUP(BA190,MiscData!$Z$5:$AB$46,2,FALSE)</f>
        <v>LGRSE519</v>
      </c>
      <c r="BC190" s="98" t="str">
        <f>VLOOKUP(BA190,MiscData!$Z$5:$AB$46,3,FALSE)</f>
        <v>RS</v>
      </c>
    </row>
    <row r="191" spans="1:55">
      <c r="A191" s="108">
        <v>178</v>
      </c>
      <c r="B191" s="109" t="str">
        <f t="shared" si="119"/>
        <v>May 2016</v>
      </c>
      <c r="C191" s="110" t="s">
        <v>13</v>
      </c>
      <c r="D191" s="110" t="str">
        <f t="shared" si="121"/>
        <v>LGRSE540</v>
      </c>
      <c r="E191" s="111">
        <f t="shared" si="92"/>
        <v>0</v>
      </c>
      <c r="F191" s="112">
        <v>0</v>
      </c>
      <c r="G191" s="111">
        <f t="shared" si="93"/>
        <v>0</v>
      </c>
      <c r="H191" s="111">
        <f t="shared" si="94"/>
        <v>0</v>
      </c>
      <c r="I191" s="111">
        <f t="shared" si="95"/>
        <v>0</v>
      </c>
      <c r="J191" s="111">
        <f t="shared" si="96"/>
        <v>0</v>
      </c>
      <c r="K191" s="113">
        <f t="shared" si="97"/>
        <v>0</v>
      </c>
      <c r="L191" s="113">
        <f t="shared" si="98"/>
        <v>0</v>
      </c>
      <c r="M191" s="113">
        <f t="shared" si="99"/>
        <v>0</v>
      </c>
      <c r="N191" s="116">
        <f t="shared" si="100"/>
        <v>10.75</v>
      </c>
      <c r="O191" s="117">
        <f t="shared" si="133"/>
        <v>8.0760000000000012E-2</v>
      </c>
      <c r="P191" s="117">
        <f t="shared" si="101"/>
        <v>0</v>
      </c>
      <c r="Q191" s="117">
        <f t="shared" si="102"/>
        <v>0</v>
      </c>
      <c r="R191" s="117">
        <f t="shared" si="103"/>
        <v>2.725E-2</v>
      </c>
      <c r="S191" s="116">
        <f t="shared" si="104"/>
        <v>0</v>
      </c>
      <c r="T191" s="116">
        <f t="shared" si="105"/>
        <v>0</v>
      </c>
      <c r="U191" s="116">
        <f t="shared" si="106"/>
        <v>0</v>
      </c>
      <c r="V191" s="118">
        <f t="shared" si="107"/>
        <v>0</v>
      </c>
      <c r="W191" s="118">
        <f t="shared" si="122"/>
        <v>0</v>
      </c>
      <c r="X191" s="118">
        <f t="shared" si="123"/>
        <v>0</v>
      </c>
      <c r="Y191" s="118">
        <f t="shared" si="124"/>
        <v>0</v>
      </c>
      <c r="Z191" s="118">
        <f t="shared" si="125"/>
        <v>0</v>
      </c>
      <c r="AA191" s="119">
        <v>0</v>
      </c>
      <c r="AB191" s="120">
        <f t="shared" si="108"/>
        <v>0</v>
      </c>
      <c r="AC191" s="118">
        <f t="shared" si="109"/>
        <v>0</v>
      </c>
      <c r="AD191" s="118">
        <f t="shared" si="126"/>
        <v>0</v>
      </c>
      <c r="AE191" s="118">
        <f t="shared" si="110"/>
        <v>0</v>
      </c>
      <c r="AF191" s="121">
        <f t="shared" si="127"/>
        <v>1</v>
      </c>
      <c r="AG191" s="122">
        <f t="shared" si="111"/>
        <v>0</v>
      </c>
      <c r="AH191" s="122">
        <f t="shared" si="112"/>
        <v>0</v>
      </c>
      <c r="AI191" s="122">
        <f t="shared" si="113"/>
        <v>0</v>
      </c>
      <c r="AJ191" s="122">
        <f t="shared" si="114"/>
        <v>0</v>
      </c>
      <c r="AK191" s="122">
        <f t="shared" si="115"/>
        <v>0</v>
      </c>
      <c r="AL191" s="122">
        <f t="shared" si="116"/>
        <v>0</v>
      </c>
      <c r="AM191" s="123">
        <f t="shared" si="117"/>
        <v>0</v>
      </c>
      <c r="AN191" s="123">
        <f t="shared" ref="AN191:AN197" si="136">ROUND(AL191-AM191,2)</f>
        <v>0</v>
      </c>
      <c r="AO191" s="124">
        <f t="shared" si="118"/>
        <v>0</v>
      </c>
      <c r="AP191" s="125">
        <f t="shared" si="128"/>
        <v>0</v>
      </c>
      <c r="AU191" s="109">
        <f>IF(BA191=1,IF(AU190=MiscData!$F$1,EOMONTH(AU190,-11),EOMONTH(AU190,1)),AU190)</f>
        <v>42521</v>
      </c>
      <c r="AV191" s="108" t="str">
        <f t="shared" si="129"/>
        <v>20140101LGRSE540</v>
      </c>
      <c r="AW191" s="126" t="str">
        <f t="shared" si="130"/>
        <v>20140101VFD</v>
      </c>
      <c r="AX191">
        <f>MiscData!$X$5</f>
        <v>20140101</v>
      </c>
      <c r="BA191" s="98">
        <f>IF(BA190+1&gt;MiscData!$Z$42,1,BA190+1)</f>
        <v>36</v>
      </c>
      <c r="BB191" s="98" t="str">
        <f>VLOOKUP(BA191,MiscData!$Z$5:$AB$46,2,FALSE)</f>
        <v>LGRSE540</v>
      </c>
      <c r="BC191" s="98" t="str">
        <f>VLOOKUP(BA191,MiscData!$Z$5:$AB$46,3,FALSE)</f>
        <v>VFD</v>
      </c>
    </row>
    <row r="192" spans="1:55">
      <c r="A192" s="108">
        <v>179</v>
      </c>
      <c r="B192" s="109" t="str">
        <f t="shared" si="119"/>
        <v>May 2016</v>
      </c>
      <c r="C192" s="110" t="str">
        <f t="shared" si="120"/>
        <v>LEV</v>
      </c>
      <c r="D192" s="110" t="str">
        <f t="shared" si="121"/>
        <v>LGRSE543</v>
      </c>
      <c r="E192" s="111">
        <f t="shared" si="92"/>
        <v>21</v>
      </c>
      <c r="F192" s="112">
        <v>0</v>
      </c>
      <c r="G192" s="111">
        <f t="shared" si="93"/>
        <v>23432</v>
      </c>
      <c r="H192" s="111">
        <f t="shared" si="94"/>
        <v>8205</v>
      </c>
      <c r="I192" s="111">
        <f t="shared" si="95"/>
        <v>8534</v>
      </c>
      <c r="J192" s="111">
        <f t="shared" si="96"/>
        <v>40171</v>
      </c>
      <c r="K192" s="113">
        <f t="shared" si="97"/>
        <v>0</v>
      </c>
      <c r="L192" s="113">
        <f t="shared" si="98"/>
        <v>0</v>
      </c>
      <c r="M192" s="113">
        <f t="shared" si="99"/>
        <v>0</v>
      </c>
      <c r="N192" s="116">
        <f t="shared" si="100"/>
        <v>10.75</v>
      </c>
      <c r="O192" s="117">
        <f t="shared" si="133"/>
        <v>5.8200000000000002E-2</v>
      </c>
      <c r="P192" s="117">
        <f t="shared" si="101"/>
        <v>7.8990000000000005E-2</v>
      </c>
      <c r="Q192" s="117">
        <f t="shared" si="102"/>
        <v>0.14451000000000003</v>
      </c>
      <c r="R192" s="117">
        <f t="shared" si="103"/>
        <v>2.725E-2</v>
      </c>
      <c r="S192" s="116">
        <f t="shared" si="104"/>
        <v>0</v>
      </c>
      <c r="T192" s="116">
        <f t="shared" si="105"/>
        <v>0</v>
      </c>
      <c r="U192" s="116">
        <f t="shared" si="106"/>
        <v>0</v>
      </c>
      <c r="V192" s="118">
        <f t="shared" si="107"/>
        <v>225.75</v>
      </c>
      <c r="W192" s="118">
        <f t="shared" si="122"/>
        <v>3245.1</v>
      </c>
      <c r="X192" s="118">
        <f t="shared" si="123"/>
        <v>0</v>
      </c>
      <c r="Y192" s="118">
        <f t="shared" si="124"/>
        <v>0</v>
      </c>
      <c r="Z192" s="118">
        <f t="shared" si="125"/>
        <v>0</v>
      </c>
      <c r="AA192" s="119">
        <v>0</v>
      </c>
      <c r="AB192" s="120">
        <f t="shared" si="108"/>
        <v>0</v>
      </c>
      <c r="AC192" s="118">
        <f t="shared" si="109"/>
        <v>0</v>
      </c>
      <c r="AD192" s="118">
        <f t="shared" si="126"/>
        <v>3470.85</v>
      </c>
      <c r="AE192" s="118">
        <f t="shared" si="110"/>
        <v>0</v>
      </c>
      <c r="AF192" s="121">
        <f t="shared" si="127"/>
        <v>0</v>
      </c>
      <c r="AG192" s="122">
        <f t="shared" si="111"/>
        <v>0</v>
      </c>
      <c r="AH192" s="122">
        <f t="shared" si="112"/>
        <v>0</v>
      </c>
      <c r="AI192" s="122">
        <f t="shared" si="113"/>
        <v>0</v>
      </c>
      <c r="AJ192" s="122">
        <f t="shared" si="114"/>
        <v>0</v>
      </c>
      <c r="AK192" s="122">
        <f t="shared" si="115"/>
        <v>0</v>
      </c>
      <c r="AL192" s="122">
        <f t="shared" si="116"/>
        <v>0</v>
      </c>
      <c r="AM192" s="123">
        <f t="shared" si="117"/>
        <v>3470.85</v>
      </c>
      <c r="AN192" s="123">
        <f t="shared" si="136"/>
        <v>-3470.85</v>
      </c>
      <c r="AO192" s="124">
        <f t="shared" si="118"/>
        <v>1094.6600000000001</v>
      </c>
      <c r="AP192" s="125">
        <f t="shared" si="128"/>
        <v>2150.4399999999996</v>
      </c>
      <c r="AU192" s="109">
        <f>IF(BA192=1,IF(AU191=MiscData!$F$1,EOMONTH(AU191,-11),EOMONTH(AU191,1)),AU191)</f>
        <v>42521</v>
      </c>
      <c r="AV192" s="108" t="str">
        <f t="shared" si="129"/>
        <v>20140101LGRSE543</v>
      </c>
      <c r="AW192" s="126" t="str">
        <f t="shared" si="130"/>
        <v>20140101LEV</v>
      </c>
      <c r="AX192">
        <f>MiscData!$X$5</f>
        <v>20140101</v>
      </c>
      <c r="BA192" s="98">
        <f>IF(BA191+1&gt;MiscData!$Z$42,1,BA191+1)</f>
        <v>37</v>
      </c>
      <c r="BB192" s="98" t="str">
        <f>VLOOKUP(BA192,MiscData!$Z$5:$AB$46,2,FALSE)</f>
        <v>LGRSE543</v>
      </c>
      <c r="BC192" s="98" t="str">
        <f>VLOOKUP(BA192,MiscData!$Z$5:$AB$46,3,FALSE)</f>
        <v>LEV</v>
      </c>
    </row>
    <row r="193" spans="1:55">
      <c r="A193" s="108">
        <v>180</v>
      </c>
      <c r="B193" s="109" t="str">
        <f t="shared" si="119"/>
        <v>May 2016</v>
      </c>
      <c r="C193" s="110" t="str">
        <f t="shared" si="120"/>
        <v>LEV</v>
      </c>
      <c r="D193" s="110" t="str">
        <f t="shared" si="121"/>
        <v>LGRSE547</v>
      </c>
      <c r="E193" s="111">
        <f t="shared" si="92"/>
        <v>0</v>
      </c>
      <c r="F193" s="112">
        <v>0</v>
      </c>
      <c r="G193" s="111">
        <f t="shared" si="93"/>
        <v>0</v>
      </c>
      <c r="H193" s="111">
        <f t="shared" si="94"/>
        <v>0</v>
      </c>
      <c r="I193" s="111">
        <f t="shared" si="95"/>
        <v>0</v>
      </c>
      <c r="J193" s="111">
        <f t="shared" si="96"/>
        <v>0</v>
      </c>
      <c r="K193" s="113">
        <f t="shared" si="97"/>
        <v>0</v>
      </c>
      <c r="L193" s="113">
        <f t="shared" si="98"/>
        <v>0</v>
      </c>
      <c r="M193" s="113">
        <f t="shared" si="99"/>
        <v>0</v>
      </c>
      <c r="N193" s="116">
        <f t="shared" si="100"/>
        <v>10.75</v>
      </c>
      <c r="O193" s="117">
        <f t="shared" si="133"/>
        <v>5.8200000000000002E-2</v>
      </c>
      <c r="P193" s="117">
        <f t="shared" si="101"/>
        <v>7.8990000000000005E-2</v>
      </c>
      <c r="Q193" s="117">
        <f t="shared" si="102"/>
        <v>0.14451000000000003</v>
      </c>
      <c r="R193" s="117">
        <f t="shared" si="103"/>
        <v>2.725E-2</v>
      </c>
      <c r="S193" s="116">
        <f t="shared" si="104"/>
        <v>0</v>
      </c>
      <c r="T193" s="116">
        <f t="shared" si="105"/>
        <v>0</v>
      </c>
      <c r="U193" s="116">
        <f t="shared" si="106"/>
        <v>0</v>
      </c>
      <c r="V193" s="118">
        <f t="shared" si="107"/>
        <v>0</v>
      </c>
      <c r="W193" s="118">
        <f t="shared" si="122"/>
        <v>0</v>
      </c>
      <c r="X193" s="118">
        <f t="shared" si="123"/>
        <v>0</v>
      </c>
      <c r="Y193" s="118">
        <f t="shared" si="124"/>
        <v>0</v>
      </c>
      <c r="Z193" s="118">
        <f t="shared" si="125"/>
        <v>0</v>
      </c>
      <c r="AA193" s="119">
        <v>0</v>
      </c>
      <c r="AB193" s="120">
        <f t="shared" si="108"/>
        <v>0</v>
      </c>
      <c r="AC193" s="118">
        <f t="shared" si="109"/>
        <v>0</v>
      </c>
      <c r="AD193" s="118">
        <f t="shared" si="126"/>
        <v>0</v>
      </c>
      <c r="AE193" s="118">
        <f t="shared" si="110"/>
        <v>0</v>
      </c>
      <c r="AF193" s="121">
        <f t="shared" si="127"/>
        <v>1</v>
      </c>
      <c r="AG193" s="122">
        <f t="shared" si="111"/>
        <v>0</v>
      </c>
      <c r="AH193" s="122">
        <f t="shared" si="112"/>
        <v>0</v>
      </c>
      <c r="AI193" s="122">
        <f t="shared" si="113"/>
        <v>0</v>
      </c>
      <c r="AJ193" s="122">
        <f t="shared" si="114"/>
        <v>0</v>
      </c>
      <c r="AK193" s="122">
        <f t="shared" si="115"/>
        <v>0</v>
      </c>
      <c r="AL193" s="122">
        <f t="shared" si="116"/>
        <v>0</v>
      </c>
      <c r="AM193" s="123">
        <f t="shared" si="117"/>
        <v>0</v>
      </c>
      <c r="AN193" s="123">
        <f t="shared" si="136"/>
        <v>0</v>
      </c>
      <c r="AO193" s="124">
        <f t="shared" si="118"/>
        <v>0</v>
      </c>
      <c r="AP193" s="125">
        <f t="shared" si="128"/>
        <v>0</v>
      </c>
      <c r="AU193" s="109">
        <f>IF(BA193=1,IF(AU192=MiscData!$F$1,EOMONTH(AU192,-11),EOMONTH(AU192,1)),AU192)</f>
        <v>42521</v>
      </c>
      <c r="AV193" s="108" t="str">
        <f t="shared" si="129"/>
        <v>20140101LGRSE547</v>
      </c>
      <c r="AW193" s="126" t="str">
        <f t="shared" si="130"/>
        <v>20140101LEV</v>
      </c>
      <c r="AX193">
        <f>MiscData!$X$5</f>
        <v>20140101</v>
      </c>
      <c r="BA193" s="98">
        <f>IF(BA192+1&gt;MiscData!$Z$42,1,BA192+1)</f>
        <v>38</v>
      </c>
      <c r="BB193" s="98" t="str">
        <f>VLOOKUP(BA193,MiscData!$Z$5:$AB$46,2,FALSE)</f>
        <v>LGRSE547</v>
      </c>
      <c r="BC193" s="98" t="str">
        <f>VLOOKUP(BA193,MiscData!$Z$5:$AB$46,3,FALSE)</f>
        <v>LEV</v>
      </c>
    </row>
    <row r="194" spans="1:55">
      <c r="A194" s="108">
        <v>181</v>
      </c>
      <c r="B194" s="109" t="str">
        <f t="shared" si="119"/>
        <v>Jun 2016</v>
      </c>
      <c r="C194" s="110" t="str">
        <f t="shared" si="120"/>
        <v>FLSP</v>
      </c>
      <c r="D194" s="110" t="str">
        <f t="shared" si="121"/>
        <v>LGINE682</v>
      </c>
      <c r="E194" s="111">
        <f t="shared" si="92"/>
        <v>0</v>
      </c>
      <c r="F194" s="112">
        <v>0</v>
      </c>
      <c r="G194" s="111">
        <f t="shared" si="93"/>
        <v>0</v>
      </c>
      <c r="H194" s="111">
        <f t="shared" si="94"/>
        <v>0</v>
      </c>
      <c r="I194" s="111">
        <f t="shared" si="95"/>
        <v>0</v>
      </c>
      <c r="J194" s="111">
        <f t="shared" si="96"/>
        <v>0</v>
      </c>
      <c r="K194" s="113">
        <f t="shared" si="97"/>
        <v>0</v>
      </c>
      <c r="L194" s="113">
        <f t="shared" si="98"/>
        <v>0</v>
      </c>
      <c r="M194" s="113">
        <f t="shared" si="99"/>
        <v>0</v>
      </c>
      <c r="N194" s="116">
        <f t="shared" si="100"/>
        <v>750</v>
      </c>
      <c r="O194" s="117">
        <f t="shared" si="133"/>
        <v>3.61E-2</v>
      </c>
      <c r="P194" s="117">
        <f t="shared" si="101"/>
        <v>0</v>
      </c>
      <c r="Q194" s="117">
        <f t="shared" si="102"/>
        <v>0</v>
      </c>
      <c r="R194" s="117">
        <f t="shared" si="103"/>
        <v>2.725E-2</v>
      </c>
      <c r="S194" s="116">
        <f t="shared" si="104"/>
        <v>1.8900000000000001</v>
      </c>
      <c r="T194" s="116">
        <f t="shared" si="105"/>
        <v>1.8900000000000001</v>
      </c>
      <c r="U194" s="116">
        <f t="shared" si="106"/>
        <v>2.94</v>
      </c>
      <c r="V194" s="118">
        <f t="shared" si="107"/>
        <v>0</v>
      </c>
      <c r="W194" s="118">
        <f t="shared" si="122"/>
        <v>0</v>
      </c>
      <c r="X194" s="118">
        <f t="shared" si="123"/>
        <v>0</v>
      </c>
      <c r="Y194" s="118">
        <f t="shared" si="124"/>
        <v>0</v>
      </c>
      <c r="Z194" s="118">
        <f t="shared" si="125"/>
        <v>0</v>
      </c>
      <c r="AA194" s="119">
        <v>0</v>
      </c>
      <c r="AB194" s="120">
        <f t="shared" si="108"/>
        <v>0</v>
      </c>
      <c r="AC194" s="118">
        <f t="shared" si="109"/>
        <v>0</v>
      </c>
      <c r="AD194" s="118">
        <f t="shared" si="126"/>
        <v>0</v>
      </c>
      <c r="AE194" s="118">
        <f t="shared" si="110"/>
        <v>0</v>
      </c>
      <c r="AF194" s="121">
        <f t="shared" si="127"/>
        <v>1</v>
      </c>
      <c r="AG194" s="122">
        <f t="shared" si="111"/>
        <v>0</v>
      </c>
      <c r="AH194" s="122">
        <f t="shared" si="112"/>
        <v>0</v>
      </c>
      <c r="AI194" s="122">
        <f t="shared" si="113"/>
        <v>0</v>
      </c>
      <c r="AJ194" s="122">
        <f t="shared" si="114"/>
        <v>0</v>
      </c>
      <c r="AK194" s="122">
        <f t="shared" si="115"/>
        <v>0</v>
      </c>
      <c r="AL194" s="122">
        <f t="shared" si="116"/>
        <v>0</v>
      </c>
      <c r="AM194" s="123">
        <f t="shared" si="117"/>
        <v>0</v>
      </c>
      <c r="AN194" s="123">
        <f t="shared" si="136"/>
        <v>0</v>
      </c>
      <c r="AO194" s="124">
        <f t="shared" si="118"/>
        <v>0</v>
      </c>
      <c r="AP194" s="125">
        <f t="shared" si="128"/>
        <v>0</v>
      </c>
      <c r="AU194" s="109">
        <f>IF(BA194=1,IF(AU193=MiscData!$F$1,EOMONTH(AU193,-11),EOMONTH(AU193,1)),AU193)</f>
        <v>42551</v>
      </c>
      <c r="AV194" s="108" t="str">
        <f t="shared" si="129"/>
        <v>20140101LGINE682</v>
      </c>
      <c r="AW194" s="126" t="str">
        <f t="shared" si="130"/>
        <v>20140101FLSP</v>
      </c>
      <c r="AX194">
        <f>MiscData!$X$5</f>
        <v>20140101</v>
      </c>
      <c r="BA194" s="98">
        <f>IF(BA193+1&gt;MiscData!$Z$42,1,BA193+1)</f>
        <v>1</v>
      </c>
      <c r="BB194" s="98" t="str">
        <f>VLOOKUP(BA194,MiscData!$Z$5:$AB$46,2,FALSE)</f>
        <v>LGINE682</v>
      </c>
      <c r="BC194" s="98" t="str">
        <f>VLOOKUP(BA194,MiscData!$Z$5:$AB$46,3,FALSE)</f>
        <v>FLSP</v>
      </c>
    </row>
    <row r="195" spans="1:55">
      <c r="A195" s="108">
        <v>182</v>
      </c>
      <c r="B195" s="109" t="str">
        <f t="shared" si="119"/>
        <v>Jun 2016</v>
      </c>
      <c r="C195" s="110" t="str">
        <f t="shared" si="120"/>
        <v>FLST</v>
      </c>
      <c r="D195" s="110" t="str">
        <f t="shared" si="121"/>
        <v>LGINE683</v>
      </c>
      <c r="E195" s="111">
        <f t="shared" si="92"/>
        <v>0</v>
      </c>
      <c r="F195" s="112">
        <v>0</v>
      </c>
      <c r="G195" s="111">
        <f t="shared" si="93"/>
        <v>0</v>
      </c>
      <c r="H195" s="111">
        <f t="shared" si="94"/>
        <v>0</v>
      </c>
      <c r="I195" s="111">
        <f t="shared" si="95"/>
        <v>0</v>
      </c>
      <c r="J195" s="111">
        <f t="shared" si="96"/>
        <v>0</v>
      </c>
      <c r="K195" s="113">
        <f t="shared" si="97"/>
        <v>0</v>
      </c>
      <c r="L195" s="113">
        <f t="shared" si="98"/>
        <v>0</v>
      </c>
      <c r="M195" s="113">
        <f t="shared" si="99"/>
        <v>0</v>
      </c>
      <c r="N195" s="116">
        <f t="shared" si="100"/>
        <v>750</v>
      </c>
      <c r="O195" s="117">
        <f t="shared" si="133"/>
        <v>3.61E-2</v>
      </c>
      <c r="P195" s="117">
        <f t="shared" si="101"/>
        <v>0</v>
      </c>
      <c r="Q195" s="117">
        <f t="shared" si="102"/>
        <v>0</v>
      </c>
      <c r="R195" s="117">
        <f t="shared" si="103"/>
        <v>2.725E-2</v>
      </c>
      <c r="S195" s="116">
        <f t="shared" si="104"/>
        <v>1.1400000000000001</v>
      </c>
      <c r="T195" s="116">
        <f t="shared" si="105"/>
        <v>1.8900000000000001</v>
      </c>
      <c r="U195" s="116">
        <f t="shared" si="106"/>
        <v>2.94</v>
      </c>
      <c r="V195" s="118">
        <f t="shared" si="107"/>
        <v>0</v>
      </c>
      <c r="W195" s="118">
        <f t="shared" si="122"/>
        <v>0</v>
      </c>
      <c r="X195" s="118">
        <f t="shared" si="123"/>
        <v>0</v>
      </c>
      <c r="Y195" s="118">
        <f t="shared" si="124"/>
        <v>0</v>
      </c>
      <c r="Z195" s="118">
        <f t="shared" si="125"/>
        <v>0</v>
      </c>
      <c r="AA195" s="119">
        <v>0</v>
      </c>
      <c r="AB195" s="120">
        <f t="shared" si="108"/>
        <v>0</v>
      </c>
      <c r="AC195" s="118">
        <f t="shared" si="109"/>
        <v>0</v>
      </c>
      <c r="AD195" s="118">
        <f t="shared" si="126"/>
        <v>0</v>
      </c>
      <c r="AE195" s="118">
        <f t="shared" si="110"/>
        <v>0</v>
      </c>
      <c r="AF195" s="121">
        <f t="shared" si="127"/>
        <v>1</v>
      </c>
      <c r="AG195" s="122">
        <f t="shared" si="111"/>
        <v>0</v>
      </c>
      <c r="AH195" s="122">
        <f t="shared" si="112"/>
        <v>0</v>
      </c>
      <c r="AI195" s="122">
        <f t="shared" si="113"/>
        <v>0</v>
      </c>
      <c r="AJ195" s="122">
        <f t="shared" si="114"/>
        <v>0</v>
      </c>
      <c r="AK195" s="122">
        <f t="shared" si="115"/>
        <v>0</v>
      </c>
      <c r="AL195" s="122">
        <f t="shared" si="116"/>
        <v>0</v>
      </c>
      <c r="AM195" s="123">
        <f t="shared" si="117"/>
        <v>0</v>
      </c>
      <c r="AN195" s="123">
        <f t="shared" si="136"/>
        <v>0</v>
      </c>
      <c r="AO195" s="124">
        <f t="shared" si="118"/>
        <v>0</v>
      </c>
      <c r="AP195" s="125">
        <f t="shared" si="128"/>
        <v>0</v>
      </c>
      <c r="AU195" s="109">
        <f>IF(BA195=1,IF(AU194=MiscData!$F$1,EOMONTH(AU194,-11),EOMONTH(AU194,1)),AU194)</f>
        <v>42551</v>
      </c>
      <c r="AV195" s="108" t="str">
        <f t="shared" si="129"/>
        <v>20140101LGINE683</v>
      </c>
      <c r="AW195" s="126" t="str">
        <f t="shared" si="130"/>
        <v>20140101FLST</v>
      </c>
      <c r="AX195">
        <f>MiscData!$X$5</f>
        <v>20140101</v>
      </c>
      <c r="BA195" s="98">
        <f>IF(BA194+1&gt;MiscData!$Z$42,1,BA194+1)</f>
        <v>2</v>
      </c>
      <c r="BB195" s="98" t="str">
        <f>VLOOKUP(BA195,MiscData!$Z$5:$AB$46,2,FALSE)</f>
        <v>LGINE683</v>
      </c>
      <c r="BC195" s="98" t="str">
        <f>VLOOKUP(BA195,MiscData!$Z$5:$AB$46,3,FALSE)</f>
        <v>FLST</v>
      </c>
    </row>
    <row r="196" spans="1:55">
      <c r="A196" s="108">
        <v>183</v>
      </c>
      <c r="B196" s="109" t="str">
        <f t="shared" si="119"/>
        <v>Jun 2016</v>
      </c>
      <c r="C196" s="110" t="s">
        <v>902</v>
      </c>
      <c r="D196" s="110" t="str">
        <f t="shared" si="121"/>
        <v>LGCME451</v>
      </c>
      <c r="E196" s="111">
        <f t="shared" ref="E196:E259" si="137">SUMIFS(L_1022_Count,L_1022_Revenue_Month,$B196,L_1022_Rate_Category,$D196)</f>
        <v>0</v>
      </c>
      <c r="F196" s="112">
        <v>0</v>
      </c>
      <c r="G196" s="111">
        <f t="shared" ref="G196:G259" si="138">SUMIFS(L_1022_KWH_P1,L_1022_Revenue_Month,$B196,L_1022_Rate_Category,$D196)</f>
        <v>0</v>
      </c>
      <c r="H196" s="111">
        <f t="shared" ref="H196:H259" si="139">SUMIFS(L_1022_KWH_P2,L_1022_Revenue_Month,$B196,L_1022_Rate_Category,$D196)</f>
        <v>0</v>
      </c>
      <c r="I196" s="111">
        <f t="shared" ref="I196:I259" si="140">SUMIFS(L_1022_KWH_P3,L_1022_Revenue_Month,$B196,L_1022_Rate_Category,$D196)</f>
        <v>0</v>
      </c>
      <c r="J196" s="111">
        <f t="shared" ref="J196:J259" si="141">SUMIFS(L_1022_KWH_Total,L_1022_Revenue_Month,$B196,L_1022_Rate_Category,$D196)</f>
        <v>0</v>
      </c>
      <c r="K196" s="113">
        <f t="shared" ref="K196:K259" si="142">SUMIFS(L_1022_Demand_Base_Measured,L_1022_Revenue_Month,$B196,L_1022_Rate_Category,$D196)</f>
        <v>0</v>
      </c>
      <c r="L196" s="113">
        <f t="shared" ref="L196:L259" si="143">SUMIFS(L_1022_Demand_Inter_Measured,L_1022_Revenue_Month,$B196,L_1022_Rate_Category,$D196)</f>
        <v>0</v>
      </c>
      <c r="M196" s="113">
        <f t="shared" ref="M196:M259" si="144">SUMIFS(L_1022_Demand_Peak_Measured,L_1022_Revenue_Month,$B196,L_1022_Rate_Category,$D196)</f>
        <v>0</v>
      </c>
      <c r="N196" s="116">
        <f t="shared" ref="N196:N259" si="145">SUMIF(L_Rates_Tariff_Rate_Category,AV196,L_Rates_BSC)</f>
        <v>0</v>
      </c>
      <c r="O196" s="117">
        <f t="shared" si="133"/>
        <v>9.1340000000000005E-2</v>
      </c>
      <c r="P196" s="117">
        <f t="shared" ref="P196:P259" si="146">SUMIF(L_Rates_Tariff_Rate_Category,$AV196,L_Rates_Energy_P2)</f>
        <v>0</v>
      </c>
      <c r="Q196" s="117">
        <f t="shared" ref="Q196:Q259" si="147">SUMIF(L_Rates_Tariff_Rate_Category,$AV196,L_Rates_Energy_P3)</f>
        <v>0</v>
      </c>
      <c r="R196" s="117">
        <f t="shared" ref="R196:R259" si="148">SUMIF(L_Rates_Tariff_Rate_Category,$AV196,L_Rates_Energy_Base_Fuel)</f>
        <v>2.725E-2</v>
      </c>
      <c r="S196" s="116">
        <f t="shared" ref="S196:S259" si="149">SUMIF(L_Rates_Tariff_Rate_Category,$AV196,L_Rates_Demand_Base)</f>
        <v>0</v>
      </c>
      <c r="T196" s="116">
        <f t="shared" ref="T196:T259" si="150">SUMIF(L_Rates_Tariff_Rate_Category,$AV196,L_Rates_Demand_Intermediate)</f>
        <v>0</v>
      </c>
      <c r="U196" s="116">
        <f t="shared" ref="U196:U259" si="151">SUMIF(L_Rates_Tariff_Rate_Category,$AV196,L_Rates_Demand_Peak)</f>
        <v>0</v>
      </c>
      <c r="V196" s="118">
        <f t="shared" ref="V196:V259" si="152">ROUND(($E196+$F196)*$N196,2)</f>
        <v>0</v>
      </c>
      <c r="W196" s="118">
        <f t="shared" si="122"/>
        <v>0</v>
      </c>
      <c r="X196" s="118">
        <f t="shared" si="123"/>
        <v>0</v>
      </c>
      <c r="Y196" s="118">
        <f t="shared" si="124"/>
        <v>0</v>
      </c>
      <c r="Z196" s="118">
        <f t="shared" si="125"/>
        <v>0</v>
      </c>
      <c r="AA196" s="119">
        <v>0</v>
      </c>
      <c r="AB196" s="120">
        <f t="shared" ref="AB196:AB259" si="153">SUMIFS(L_1022_Revenue_Power_Factor,L_1022_Revenue_Month,$B196,L_1022_Rate_Category,$D196)</f>
        <v>0</v>
      </c>
      <c r="AC196" s="118">
        <f t="shared" ref="AC196:AC259" si="154">SUM(X196:AB196)</f>
        <v>0</v>
      </c>
      <c r="AD196" s="118">
        <f t="shared" si="126"/>
        <v>0</v>
      </c>
      <c r="AE196" s="118">
        <f t="shared" ref="AE196:AE259" si="155">AL196-SUM(AG196:AK196)</f>
        <v>0</v>
      </c>
      <c r="AF196" s="121">
        <f t="shared" si="127"/>
        <v>1</v>
      </c>
      <c r="AG196" s="122">
        <f t="shared" ref="AG196:AG259" si="156">SUMIFS(L_SBR_FAC,L_SBR_Revenue_Month,$B196,L_SBR_Rate_Category,$D196)</f>
        <v>0</v>
      </c>
      <c r="AH196" s="122">
        <f t="shared" ref="AH196:AH259" si="157">SUMIFS(L_SBR_DSM,L_SBR_Revenue_Month,$B196,L_SBR_Rate_Category,$D196)</f>
        <v>0</v>
      </c>
      <c r="AI196" s="122">
        <f t="shared" ref="AI196:AI259" si="158">SUMIFS(L_SBR_ECR,L_SBR_Revenue_Month,$B196,L_SBR_Rate_Category,$D196)</f>
        <v>0</v>
      </c>
      <c r="AJ196" s="122">
        <f t="shared" ref="AJ196:AJ259" si="159">SUMIFS(L_SBR_MSR,L_SBR_Revenue_Month,$B196,L_SBR_Rate_Category,$D196)</f>
        <v>0</v>
      </c>
      <c r="AK196" s="122">
        <f t="shared" ref="AK196:AK259" si="160">SUMIFS(L_SBR_CSR,L_SBR_Revenue_Month,$B196,L_SBR_Rate_Category,$D196)</f>
        <v>0</v>
      </c>
      <c r="AL196" s="122">
        <f t="shared" ref="AL196:AL259" si="161">SUMIFS(L_SBR_Revenue_Total,L_SBR_Revenue_Month,$B196,L_SBR_Rate_Category,$D196)</f>
        <v>0</v>
      </c>
      <c r="AM196" s="123">
        <f t="shared" ref="AM196:AM259" si="162">SUM(AD196,AG196:AK196)</f>
        <v>0</v>
      </c>
      <c r="AN196" s="123">
        <f t="shared" si="136"/>
        <v>0</v>
      </c>
      <c r="AO196" s="124">
        <f t="shared" ref="AO196:AO259" si="163">ROUND(J196*R196,2)</f>
        <v>0</v>
      </c>
      <c r="AP196" s="125">
        <f t="shared" si="128"/>
        <v>0</v>
      </c>
      <c r="AU196" s="109">
        <f>IF(BA196=1,IF(AU195=MiscData!$F$1,EOMONTH(AU195,-11),EOMONTH(AU195,1)),AU195)</f>
        <v>42551</v>
      </c>
      <c r="AV196" s="108" t="str">
        <f t="shared" si="129"/>
        <v>20140101LGCME451</v>
      </c>
      <c r="AW196" s="126" t="str">
        <f t="shared" si="130"/>
        <v>20140101GSS</v>
      </c>
      <c r="AX196">
        <f>MiscData!$X$5</f>
        <v>20140101</v>
      </c>
      <c r="BA196" s="98">
        <f>IF(BA195+1&gt;MiscData!$Z$42,1,BA195+1)</f>
        <v>3</v>
      </c>
      <c r="BB196" s="98" t="str">
        <f>VLOOKUP(BA196,MiscData!$Z$5:$AB$46,2,FALSE)</f>
        <v>LGCME451</v>
      </c>
      <c r="BC196" s="98" t="str">
        <f>VLOOKUP(BA196,MiscData!$Z$5:$AB$46,3,FALSE)</f>
        <v>GSS</v>
      </c>
    </row>
    <row r="197" spans="1:55">
      <c r="A197" s="108">
        <v>184</v>
      </c>
      <c r="B197" s="109" t="str">
        <f t="shared" ref="B197:B260" si="164">TEXT(AU197,"mmm yyyy")</f>
        <v>Jun 2016</v>
      </c>
      <c r="C197" s="110" t="s">
        <v>902</v>
      </c>
      <c r="D197" s="110" t="str">
        <f t="shared" ref="D197:D260" si="165">BB197</f>
        <v>LGCME550</v>
      </c>
      <c r="E197" s="111">
        <f t="shared" si="137"/>
        <v>0</v>
      </c>
      <c r="F197" s="112">
        <v>0</v>
      </c>
      <c r="G197" s="111">
        <f t="shared" si="138"/>
        <v>0</v>
      </c>
      <c r="H197" s="111">
        <f t="shared" si="139"/>
        <v>0</v>
      </c>
      <c r="I197" s="111">
        <f t="shared" si="140"/>
        <v>0</v>
      </c>
      <c r="J197" s="111">
        <f t="shared" si="141"/>
        <v>0</v>
      </c>
      <c r="K197" s="113">
        <f t="shared" si="142"/>
        <v>0</v>
      </c>
      <c r="L197" s="113">
        <f t="shared" si="143"/>
        <v>0</v>
      </c>
      <c r="M197" s="113">
        <f t="shared" si="144"/>
        <v>0</v>
      </c>
      <c r="N197" s="116">
        <f t="shared" si="145"/>
        <v>20</v>
      </c>
      <c r="O197" s="117">
        <f t="shared" si="133"/>
        <v>9.1340000000000005E-2</v>
      </c>
      <c r="P197" s="117">
        <f t="shared" si="146"/>
        <v>0</v>
      </c>
      <c r="Q197" s="117">
        <f t="shared" si="147"/>
        <v>0</v>
      </c>
      <c r="R197" s="117">
        <f t="shared" si="148"/>
        <v>2.725E-2</v>
      </c>
      <c r="S197" s="116">
        <f t="shared" si="149"/>
        <v>0</v>
      </c>
      <c r="T197" s="116">
        <f t="shared" si="150"/>
        <v>0</v>
      </c>
      <c r="U197" s="116">
        <f t="shared" si="151"/>
        <v>0</v>
      </c>
      <c r="V197" s="118">
        <f t="shared" si="152"/>
        <v>0</v>
      </c>
      <c r="W197" s="118">
        <f t="shared" ref="W197:W260" si="166">ROUND(IF(G197=0,J197*O197,SUMPRODUCT(G197:I197,O197:Q197)),2)</f>
        <v>0</v>
      </c>
      <c r="X197" s="118">
        <f t="shared" ref="X197:X260" si="167">ROUND(K197*S197,2)</f>
        <v>0</v>
      </c>
      <c r="Y197" s="118">
        <f t="shared" ref="Y197:Y260" si="168">ROUND(L197*T197,2)</f>
        <v>0</v>
      </c>
      <c r="Z197" s="118">
        <f t="shared" ref="Z197:Z260" si="169">ROUND(M197*U197,2)</f>
        <v>0</v>
      </c>
      <c r="AA197" s="119">
        <v>0</v>
      </c>
      <c r="AB197" s="120">
        <f t="shared" si="153"/>
        <v>0</v>
      </c>
      <c r="AC197" s="118">
        <f t="shared" si="154"/>
        <v>0</v>
      </c>
      <c r="AD197" s="118">
        <f t="shared" ref="AD197:AD260" si="170">SUM(V197:AB197)</f>
        <v>0</v>
      </c>
      <c r="AE197" s="118">
        <f t="shared" si="155"/>
        <v>0</v>
      </c>
      <c r="AF197" s="121">
        <f t="shared" ref="AF197:AF260" si="171">IF(AND(AD197=0,AE197=0),1,IF(AD197=0,0,ROUND(AE197/AD197,6)))</f>
        <v>1</v>
      </c>
      <c r="AG197" s="122">
        <f t="shared" si="156"/>
        <v>0</v>
      </c>
      <c r="AH197" s="122">
        <f t="shared" si="157"/>
        <v>0</v>
      </c>
      <c r="AI197" s="122">
        <f t="shared" si="158"/>
        <v>0</v>
      </c>
      <c r="AJ197" s="122">
        <f t="shared" si="159"/>
        <v>0</v>
      </c>
      <c r="AK197" s="122">
        <f t="shared" si="160"/>
        <v>0</v>
      </c>
      <c r="AL197" s="122">
        <f t="shared" si="161"/>
        <v>0</v>
      </c>
      <c r="AM197" s="123">
        <f t="shared" si="162"/>
        <v>0</v>
      </c>
      <c r="AN197" s="123">
        <f t="shared" si="136"/>
        <v>0</v>
      </c>
      <c r="AO197" s="124">
        <f t="shared" si="163"/>
        <v>0</v>
      </c>
      <c r="AP197" s="125">
        <f t="shared" ref="AP197:AP260" si="172">W197-AO197</f>
        <v>0</v>
      </c>
      <c r="AU197" s="109">
        <f>IF(BA197=1,IF(AU196=MiscData!$F$1,EOMONTH(AU196,-11),EOMONTH(AU196,1)),AU196)</f>
        <v>42551</v>
      </c>
      <c r="AV197" s="108" t="str">
        <f t="shared" ref="AV197:AV260" si="173">CONCATENATE(AX197&amp;BB197)</f>
        <v>20140101LGCME550</v>
      </c>
      <c r="AW197" s="126" t="str">
        <f t="shared" ref="AW197:AW260" si="174">CONCATENATE(AX197&amp;BC197)</f>
        <v>20140101GSS</v>
      </c>
      <c r="AX197">
        <f>MiscData!$X$5</f>
        <v>20140101</v>
      </c>
      <c r="BA197" s="98">
        <f>IF(BA196+1&gt;MiscData!$Z$42,1,BA196+1)</f>
        <v>4</v>
      </c>
      <c r="BB197" s="98" t="str">
        <f>VLOOKUP(BA197,MiscData!$Z$5:$AB$46,2,FALSE)</f>
        <v>LGCME550</v>
      </c>
      <c r="BC197" s="98" t="str">
        <f>VLOOKUP(BA197,MiscData!$Z$5:$AB$46,3,FALSE)</f>
        <v>GSS</v>
      </c>
    </row>
    <row r="198" spans="1:55">
      <c r="A198" s="108">
        <v>185</v>
      </c>
      <c r="B198" s="109" t="str">
        <f t="shared" si="164"/>
        <v>Jun 2016</v>
      </c>
      <c r="C198" s="110" t="s">
        <v>902</v>
      </c>
      <c r="D198" s="110" t="str">
        <f t="shared" si="165"/>
        <v>LGCME551</v>
      </c>
      <c r="E198" s="111">
        <f t="shared" si="137"/>
        <v>28274</v>
      </c>
      <c r="F198" s="112">
        <v>0</v>
      </c>
      <c r="G198" s="111">
        <f t="shared" si="138"/>
        <v>0</v>
      </c>
      <c r="H198" s="111">
        <f t="shared" si="139"/>
        <v>0</v>
      </c>
      <c r="I198" s="111">
        <f t="shared" si="140"/>
        <v>0</v>
      </c>
      <c r="J198" s="111">
        <f t="shared" si="141"/>
        <v>36031760</v>
      </c>
      <c r="K198" s="113">
        <f t="shared" si="142"/>
        <v>0</v>
      </c>
      <c r="L198" s="113">
        <f t="shared" si="143"/>
        <v>0</v>
      </c>
      <c r="M198" s="113">
        <f t="shared" si="144"/>
        <v>0</v>
      </c>
      <c r="N198" s="116">
        <f t="shared" si="145"/>
        <v>20</v>
      </c>
      <c r="O198" s="117">
        <f t="shared" si="133"/>
        <v>9.1340000000000005E-2</v>
      </c>
      <c r="P198" s="117">
        <f t="shared" si="146"/>
        <v>0</v>
      </c>
      <c r="Q198" s="117">
        <f t="shared" si="147"/>
        <v>0</v>
      </c>
      <c r="R198" s="117">
        <f t="shared" si="148"/>
        <v>2.725E-2</v>
      </c>
      <c r="S198" s="116">
        <f t="shared" si="149"/>
        <v>0</v>
      </c>
      <c r="T198" s="116">
        <f t="shared" si="150"/>
        <v>0</v>
      </c>
      <c r="U198" s="116">
        <f t="shared" si="151"/>
        <v>0</v>
      </c>
      <c r="V198" s="118">
        <f t="shared" si="152"/>
        <v>565480</v>
      </c>
      <c r="W198" s="118">
        <f t="shared" si="166"/>
        <v>3291140.96</v>
      </c>
      <c r="X198" s="118">
        <f t="shared" si="167"/>
        <v>0</v>
      </c>
      <c r="Y198" s="118">
        <f t="shared" si="168"/>
        <v>0</v>
      </c>
      <c r="Z198" s="118">
        <f t="shared" si="169"/>
        <v>0</v>
      </c>
      <c r="AA198" s="119">
        <v>0</v>
      </c>
      <c r="AB198" s="120">
        <f t="shared" si="153"/>
        <v>0</v>
      </c>
      <c r="AC198" s="118">
        <f t="shared" si="154"/>
        <v>0</v>
      </c>
      <c r="AD198" s="118">
        <f t="shared" si="170"/>
        <v>3856620.96</v>
      </c>
      <c r="AE198" s="118">
        <f t="shared" si="155"/>
        <v>3856622</v>
      </c>
      <c r="AF198" s="121">
        <f t="shared" si="171"/>
        <v>1</v>
      </c>
      <c r="AG198" s="122">
        <f t="shared" si="156"/>
        <v>54588</v>
      </c>
      <c r="AH198" s="122">
        <f t="shared" si="157"/>
        <v>59241</v>
      </c>
      <c r="AI198" s="122">
        <f t="shared" si="158"/>
        <v>332547</v>
      </c>
      <c r="AJ198" s="122">
        <f t="shared" si="159"/>
        <v>0</v>
      </c>
      <c r="AK198" s="122">
        <f t="shared" si="160"/>
        <v>0</v>
      </c>
      <c r="AL198" s="122">
        <f t="shared" si="161"/>
        <v>4302998</v>
      </c>
      <c r="AM198" s="123">
        <f t="shared" si="162"/>
        <v>4302996.96</v>
      </c>
      <c r="AN198" s="123">
        <f t="shared" si="134"/>
        <v>1.0400000000372529</v>
      </c>
      <c r="AO198" s="124">
        <f t="shared" si="163"/>
        <v>981865.46</v>
      </c>
      <c r="AP198" s="125">
        <f t="shared" si="172"/>
        <v>2309275.5</v>
      </c>
      <c r="AU198" s="109">
        <f>IF(BA198=1,IF(AU197=MiscData!$F$1,EOMONTH(AU197,-11),EOMONTH(AU197,1)),AU197)</f>
        <v>42551</v>
      </c>
      <c r="AV198" s="108" t="str">
        <f t="shared" si="173"/>
        <v>20140101LGCME551</v>
      </c>
      <c r="AW198" s="126" t="str">
        <f t="shared" si="174"/>
        <v>20140101GSS</v>
      </c>
      <c r="AX198">
        <f>MiscData!$X$5</f>
        <v>20140101</v>
      </c>
      <c r="BA198" s="98">
        <f>IF(BA197+1&gt;MiscData!$Z$42,1,BA197+1)</f>
        <v>5</v>
      </c>
      <c r="BB198" s="98" t="str">
        <f>VLOOKUP(BA198,MiscData!$Z$5:$AB$46,2,FALSE)</f>
        <v>LGCME551</v>
      </c>
      <c r="BC198" s="98" t="str">
        <f>VLOOKUP(BA198,MiscData!$Z$5:$AB$46,3,FALSE)</f>
        <v>GSS</v>
      </c>
    </row>
    <row r="199" spans="1:55">
      <c r="A199" s="108">
        <v>186</v>
      </c>
      <c r="B199" s="109" t="str">
        <f t="shared" si="164"/>
        <v>Jun 2016</v>
      </c>
      <c r="C199" s="110" t="s">
        <v>902</v>
      </c>
      <c r="D199" s="110" t="str">
        <f t="shared" si="165"/>
        <v>LGCME551UM</v>
      </c>
      <c r="E199" s="111">
        <f t="shared" si="137"/>
        <v>0</v>
      </c>
      <c r="F199" s="112">
        <v>0</v>
      </c>
      <c r="G199" s="111">
        <f t="shared" si="138"/>
        <v>0</v>
      </c>
      <c r="H199" s="111">
        <f t="shared" si="139"/>
        <v>0</v>
      </c>
      <c r="I199" s="111">
        <f t="shared" si="140"/>
        <v>0</v>
      </c>
      <c r="J199" s="111">
        <f t="shared" si="141"/>
        <v>0</v>
      </c>
      <c r="K199" s="113">
        <f t="shared" si="142"/>
        <v>0</v>
      </c>
      <c r="L199" s="113">
        <f t="shared" si="143"/>
        <v>0</v>
      </c>
      <c r="M199" s="113">
        <f t="shared" si="144"/>
        <v>0</v>
      </c>
      <c r="N199" s="116">
        <f t="shared" si="145"/>
        <v>20</v>
      </c>
      <c r="O199" s="117">
        <f t="shared" si="133"/>
        <v>9.1340000000000005E-2</v>
      </c>
      <c r="P199" s="117">
        <f t="shared" si="146"/>
        <v>0</v>
      </c>
      <c r="Q199" s="117">
        <f t="shared" si="147"/>
        <v>0</v>
      </c>
      <c r="R199" s="117">
        <f t="shared" si="148"/>
        <v>2.725E-2</v>
      </c>
      <c r="S199" s="116">
        <f t="shared" si="149"/>
        <v>0</v>
      </c>
      <c r="T199" s="116">
        <f t="shared" si="150"/>
        <v>0</v>
      </c>
      <c r="U199" s="116">
        <f t="shared" si="151"/>
        <v>0</v>
      </c>
      <c r="V199" s="118">
        <f t="shared" si="152"/>
        <v>0</v>
      </c>
      <c r="W199" s="118">
        <f t="shared" si="166"/>
        <v>0</v>
      </c>
      <c r="X199" s="118">
        <f t="shared" si="167"/>
        <v>0</v>
      </c>
      <c r="Y199" s="118">
        <f t="shared" si="168"/>
        <v>0</v>
      </c>
      <c r="Z199" s="118">
        <f t="shared" si="169"/>
        <v>0</v>
      </c>
      <c r="AA199" s="119">
        <v>0</v>
      </c>
      <c r="AB199" s="120">
        <f t="shared" si="153"/>
        <v>0</v>
      </c>
      <c r="AC199" s="118">
        <f t="shared" si="154"/>
        <v>0</v>
      </c>
      <c r="AD199" s="118">
        <f t="shared" si="170"/>
        <v>0</v>
      </c>
      <c r="AE199" s="118">
        <f t="shared" si="155"/>
        <v>0</v>
      </c>
      <c r="AF199" s="121">
        <f t="shared" si="171"/>
        <v>1</v>
      </c>
      <c r="AG199" s="122">
        <f t="shared" si="156"/>
        <v>0</v>
      </c>
      <c r="AH199" s="122">
        <f t="shared" si="157"/>
        <v>0</v>
      </c>
      <c r="AI199" s="122">
        <f t="shared" si="158"/>
        <v>0</v>
      </c>
      <c r="AJ199" s="122">
        <f t="shared" si="159"/>
        <v>0</v>
      </c>
      <c r="AK199" s="122">
        <f t="shared" si="160"/>
        <v>0</v>
      </c>
      <c r="AL199" s="122">
        <f t="shared" si="161"/>
        <v>0</v>
      </c>
      <c r="AM199" s="123">
        <f t="shared" si="162"/>
        <v>0</v>
      </c>
      <c r="AN199" s="123">
        <f t="shared" si="134"/>
        <v>0</v>
      </c>
      <c r="AO199" s="124">
        <f t="shared" si="163"/>
        <v>0</v>
      </c>
      <c r="AP199" s="125">
        <f t="shared" si="172"/>
        <v>0</v>
      </c>
      <c r="AU199" s="109">
        <f>IF(BA199=1,IF(AU198=MiscData!$F$1,EOMONTH(AU198,-11),EOMONTH(AU198,1)),AU198)</f>
        <v>42551</v>
      </c>
      <c r="AV199" s="108" t="str">
        <f t="shared" si="173"/>
        <v>20140101LGCME551UM</v>
      </c>
      <c r="AW199" s="126" t="str">
        <f t="shared" si="174"/>
        <v>20140101GSS</v>
      </c>
      <c r="AX199">
        <f>MiscData!$X$5</f>
        <v>20140101</v>
      </c>
      <c r="BA199" s="98">
        <f>IF(BA198+1&gt;MiscData!$Z$42,1,BA198+1)</f>
        <v>6</v>
      </c>
      <c r="BB199" s="98" t="str">
        <f>VLOOKUP(BA199,MiscData!$Z$5:$AB$46,2,FALSE)</f>
        <v>LGCME551UM</v>
      </c>
      <c r="BC199" s="98" t="str">
        <f>VLOOKUP(BA199,MiscData!$Z$5:$AB$46,3,FALSE)</f>
        <v>GSS</v>
      </c>
    </row>
    <row r="200" spans="1:55">
      <c r="A200" s="108">
        <v>187</v>
      </c>
      <c r="B200" s="109" t="str">
        <f t="shared" si="164"/>
        <v>Jun 2016</v>
      </c>
      <c r="C200" s="110" t="s">
        <v>902</v>
      </c>
      <c r="D200" s="110" t="str">
        <f t="shared" si="165"/>
        <v>LGCME552</v>
      </c>
      <c r="E200" s="111">
        <f t="shared" si="137"/>
        <v>0</v>
      </c>
      <c r="F200" s="112">
        <v>0</v>
      </c>
      <c r="G200" s="111">
        <f t="shared" si="138"/>
        <v>0</v>
      </c>
      <c r="H200" s="111">
        <f t="shared" si="139"/>
        <v>0</v>
      </c>
      <c r="I200" s="111">
        <f t="shared" si="140"/>
        <v>0</v>
      </c>
      <c r="J200" s="111">
        <f t="shared" si="141"/>
        <v>0</v>
      </c>
      <c r="K200" s="113">
        <f>SUMIFS(L_1022_Demand_Base_Measured,L_1022_Revenue_Month,$B200,L_1022_Rate_Category,$D200)</f>
        <v>0</v>
      </c>
      <c r="L200" s="113">
        <f>SUMIFS(L_1022_Demand_Inter_Measured,L_1022_Revenue_Month,$B200,L_1022_Rate_Category,$D200)</f>
        <v>0</v>
      </c>
      <c r="M200" s="113">
        <f t="shared" si="144"/>
        <v>0</v>
      </c>
      <c r="N200" s="116">
        <f t="shared" si="145"/>
        <v>0</v>
      </c>
      <c r="O200" s="117">
        <f t="shared" si="133"/>
        <v>9.1340000000000005E-2</v>
      </c>
      <c r="P200" s="117">
        <f t="shared" si="146"/>
        <v>0</v>
      </c>
      <c r="Q200" s="117">
        <f t="shared" si="147"/>
        <v>0</v>
      </c>
      <c r="R200" s="117">
        <f t="shared" si="148"/>
        <v>2.725E-2</v>
      </c>
      <c r="S200" s="116">
        <f t="shared" si="149"/>
        <v>0</v>
      </c>
      <c r="T200" s="116">
        <f t="shared" si="150"/>
        <v>0</v>
      </c>
      <c r="U200" s="116">
        <f t="shared" si="151"/>
        <v>0</v>
      </c>
      <c r="V200" s="118">
        <f t="shared" si="152"/>
        <v>0</v>
      </c>
      <c r="W200" s="118">
        <f t="shared" si="166"/>
        <v>0</v>
      </c>
      <c r="X200" s="118">
        <f t="shared" si="167"/>
        <v>0</v>
      </c>
      <c r="Y200" s="118">
        <f t="shared" si="168"/>
        <v>0</v>
      </c>
      <c r="Z200" s="118">
        <f t="shared" si="169"/>
        <v>0</v>
      </c>
      <c r="AA200" s="119">
        <v>0</v>
      </c>
      <c r="AB200" s="120">
        <f t="shared" si="153"/>
        <v>0</v>
      </c>
      <c r="AC200" s="118">
        <f t="shared" si="154"/>
        <v>0</v>
      </c>
      <c r="AD200" s="118">
        <f t="shared" si="170"/>
        <v>0</v>
      </c>
      <c r="AE200" s="118">
        <f t="shared" si="155"/>
        <v>0</v>
      </c>
      <c r="AF200" s="121">
        <f t="shared" si="171"/>
        <v>1</v>
      </c>
      <c r="AG200" s="122">
        <f t="shared" si="156"/>
        <v>0</v>
      </c>
      <c r="AH200" s="122">
        <f t="shared" si="157"/>
        <v>0</v>
      </c>
      <c r="AI200" s="122">
        <f t="shared" si="158"/>
        <v>0</v>
      </c>
      <c r="AJ200" s="122">
        <f t="shared" si="159"/>
        <v>0</v>
      </c>
      <c r="AK200" s="122">
        <f t="shared" si="160"/>
        <v>0</v>
      </c>
      <c r="AL200" s="122">
        <f t="shared" si="161"/>
        <v>0</v>
      </c>
      <c r="AM200" s="123">
        <f t="shared" si="162"/>
        <v>0</v>
      </c>
      <c r="AN200" s="123">
        <f t="shared" si="134"/>
        <v>0</v>
      </c>
      <c r="AO200" s="124">
        <f t="shared" si="163"/>
        <v>0</v>
      </c>
      <c r="AP200" s="125">
        <f t="shared" si="172"/>
        <v>0</v>
      </c>
      <c r="AU200" s="109">
        <f>IF(BA200=1,IF(AU199=MiscData!$F$1,EOMONTH(AU199,-11),EOMONTH(AU199,1)),AU199)</f>
        <v>42551</v>
      </c>
      <c r="AV200" s="108" t="str">
        <f t="shared" si="173"/>
        <v>20140101LGCME552</v>
      </c>
      <c r="AW200" s="126" t="str">
        <f t="shared" si="174"/>
        <v>20140101GSS</v>
      </c>
      <c r="AX200">
        <f>MiscData!$X$5</f>
        <v>20140101</v>
      </c>
      <c r="BA200" s="98">
        <f>IF(BA199+1&gt;MiscData!$Z$42,1,BA199+1)</f>
        <v>7</v>
      </c>
      <c r="BB200" s="98" t="str">
        <f>VLOOKUP(BA200,MiscData!$Z$5:$AB$46,2,FALSE)</f>
        <v>LGCME552</v>
      </c>
      <c r="BC200" s="98" t="str">
        <f>VLOOKUP(BA200,MiscData!$Z$5:$AB$46,3,FALSE)</f>
        <v>GSS</v>
      </c>
    </row>
    <row r="201" spans="1:55">
      <c r="A201" s="108">
        <v>188</v>
      </c>
      <c r="B201" s="109" t="str">
        <f t="shared" si="164"/>
        <v>Jun 2016</v>
      </c>
      <c r="C201" s="110" t="s">
        <v>902</v>
      </c>
      <c r="D201" s="110" t="str">
        <f t="shared" si="165"/>
        <v>LGCME557</v>
      </c>
      <c r="E201" s="111">
        <f t="shared" si="137"/>
        <v>0</v>
      </c>
      <c r="F201" s="112">
        <v>0</v>
      </c>
      <c r="G201" s="111">
        <f t="shared" si="138"/>
        <v>0</v>
      </c>
      <c r="H201" s="111">
        <f t="shared" si="139"/>
        <v>0</v>
      </c>
      <c r="I201" s="111">
        <f t="shared" si="140"/>
        <v>0</v>
      </c>
      <c r="J201" s="111">
        <f t="shared" si="141"/>
        <v>0</v>
      </c>
      <c r="K201" s="113">
        <f t="shared" si="142"/>
        <v>0</v>
      </c>
      <c r="L201" s="113">
        <f t="shared" si="143"/>
        <v>0</v>
      </c>
      <c r="M201" s="113">
        <f t="shared" si="144"/>
        <v>0</v>
      </c>
      <c r="N201" s="116">
        <f t="shared" si="145"/>
        <v>20</v>
      </c>
      <c r="O201" s="117">
        <f t="shared" si="133"/>
        <v>9.1340000000000005E-2</v>
      </c>
      <c r="P201" s="117">
        <f t="shared" si="146"/>
        <v>0</v>
      </c>
      <c r="Q201" s="117">
        <f t="shared" si="147"/>
        <v>0</v>
      </c>
      <c r="R201" s="117">
        <f t="shared" si="148"/>
        <v>2.725E-2</v>
      </c>
      <c r="S201" s="116">
        <f t="shared" si="149"/>
        <v>0</v>
      </c>
      <c r="T201" s="116">
        <f t="shared" si="150"/>
        <v>0</v>
      </c>
      <c r="U201" s="116">
        <f t="shared" si="151"/>
        <v>0</v>
      </c>
      <c r="V201" s="118">
        <f t="shared" si="152"/>
        <v>0</v>
      </c>
      <c r="W201" s="118">
        <f t="shared" si="166"/>
        <v>0</v>
      </c>
      <c r="X201" s="118">
        <f t="shared" si="167"/>
        <v>0</v>
      </c>
      <c r="Y201" s="118">
        <f t="shared" si="168"/>
        <v>0</v>
      </c>
      <c r="Z201" s="118">
        <f t="shared" si="169"/>
        <v>0</v>
      </c>
      <c r="AA201" s="119">
        <v>0</v>
      </c>
      <c r="AB201" s="120">
        <f t="shared" si="153"/>
        <v>0</v>
      </c>
      <c r="AC201" s="118">
        <f t="shared" si="154"/>
        <v>0</v>
      </c>
      <c r="AD201" s="118">
        <f t="shared" si="170"/>
        <v>0</v>
      </c>
      <c r="AE201" s="118">
        <f t="shared" si="155"/>
        <v>0</v>
      </c>
      <c r="AF201" s="121">
        <f t="shared" si="171"/>
        <v>1</v>
      </c>
      <c r="AG201" s="122">
        <f t="shared" si="156"/>
        <v>0</v>
      </c>
      <c r="AH201" s="122">
        <f t="shared" si="157"/>
        <v>0</v>
      </c>
      <c r="AI201" s="122">
        <f t="shared" si="158"/>
        <v>0</v>
      </c>
      <c r="AJ201" s="122">
        <f t="shared" si="159"/>
        <v>0</v>
      </c>
      <c r="AK201" s="122">
        <f t="shared" si="160"/>
        <v>0</v>
      </c>
      <c r="AL201" s="122">
        <f t="shared" si="161"/>
        <v>0</v>
      </c>
      <c r="AM201" s="123">
        <f t="shared" si="162"/>
        <v>0</v>
      </c>
      <c r="AN201" s="123">
        <f t="shared" si="134"/>
        <v>0</v>
      </c>
      <c r="AO201" s="124">
        <f t="shared" si="163"/>
        <v>0</v>
      </c>
      <c r="AP201" s="125">
        <f t="shared" si="172"/>
        <v>0</v>
      </c>
      <c r="AU201" s="109">
        <f>IF(BA201=1,IF(AU200=MiscData!$F$1,EOMONTH(AU200,-11),EOMONTH(AU200,1)),AU200)</f>
        <v>42551</v>
      </c>
      <c r="AV201" s="108" t="str">
        <f t="shared" si="173"/>
        <v>20140101LGCME557</v>
      </c>
      <c r="AW201" s="126" t="str">
        <f t="shared" si="174"/>
        <v>20140101GSS</v>
      </c>
      <c r="AX201">
        <f>MiscData!$X$5</f>
        <v>20140101</v>
      </c>
      <c r="BA201" s="98">
        <f>IF(BA200+1&gt;MiscData!$Z$42,1,BA200+1)</f>
        <v>8</v>
      </c>
      <c r="BB201" s="98" t="str">
        <f>VLOOKUP(BA201,MiscData!$Z$5:$AB$46,2,FALSE)</f>
        <v>LGCME557</v>
      </c>
      <c r="BC201" s="98" t="str">
        <f>VLOOKUP(BA201,MiscData!$Z$5:$AB$46,3,FALSE)</f>
        <v>GSS</v>
      </c>
    </row>
    <row r="202" spans="1:55">
      <c r="A202" s="108">
        <v>189</v>
      </c>
      <c r="B202" s="109" t="str">
        <f t="shared" si="164"/>
        <v>Jun 2016</v>
      </c>
      <c r="C202" s="110" t="str">
        <f t="shared" ref="C202:C260" si="175">BC202</f>
        <v>PSS</v>
      </c>
      <c r="D202" s="110" t="str">
        <f t="shared" si="165"/>
        <v>LGCME561</v>
      </c>
      <c r="E202" s="111">
        <f t="shared" si="137"/>
        <v>2585</v>
      </c>
      <c r="F202" s="112">
        <v>0</v>
      </c>
      <c r="G202" s="111">
        <f t="shared" si="138"/>
        <v>0</v>
      </c>
      <c r="H202" s="111">
        <f t="shared" si="139"/>
        <v>0</v>
      </c>
      <c r="I202" s="111">
        <f t="shared" si="140"/>
        <v>0</v>
      </c>
      <c r="J202" s="111">
        <f t="shared" si="141"/>
        <v>170619420</v>
      </c>
      <c r="K202" s="113">
        <f t="shared" si="142"/>
        <v>0</v>
      </c>
      <c r="L202" s="113">
        <f t="shared" si="143"/>
        <v>0</v>
      </c>
      <c r="M202" s="113">
        <f t="shared" si="144"/>
        <v>389231</v>
      </c>
      <c r="N202" s="116">
        <f t="shared" si="145"/>
        <v>90</v>
      </c>
      <c r="O202" s="117">
        <f t="shared" si="133"/>
        <v>4.0599999999999997E-2</v>
      </c>
      <c r="P202" s="117">
        <f t="shared" si="146"/>
        <v>0</v>
      </c>
      <c r="Q202" s="117">
        <f t="shared" si="147"/>
        <v>0</v>
      </c>
      <c r="R202" s="117">
        <f t="shared" si="148"/>
        <v>2.725E-2</v>
      </c>
      <c r="S202" s="116">
        <f t="shared" si="149"/>
        <v>0</v>
      </c>
      <c r="T202" s="116">
        <f t="shared" si="150"/>
        <v>14.010000000000002</v>
      </c>
      <c r="U202" s="116">
        <f t="shared" si="151"/>
        <v>16.399999999999999</v>
      </c>
      <c r="V202" s="118">
        <f t="shared" si="152"/>
        <v>232650</v>
      </c>
      <c r="W202" s="118">
        <f t="shared" si="166"/>
        <v>6927148.4500000002</v>
      </c>
      <c r="X202" s="118">
        <f t="shared" si="167"/>
        <v>0</v>
      </c>
      <c r="Y202" s="118">
        <f t="shared" si="168"/>
        <v>0</v>
      </c>
      <c r="Z202" s="118">
        <f t="shared" si="169"/>
        <v>6383388.4000000004</v>
      </c>
      <c r="AA202" s="119">
        <v>0</v>
      </c>
      <c r="AB202" s="120">
        <f t="shared" si="153"/>
        <v>0</v>
      </c>
      <c r="AC202" s="118">
        <f t="shared" si="154"/>
        <v>6383388.4000000004</v>
      </c>
      <c r="AD202" s="118">
        <f t="shared" si="170"/>
        <v>13543186.850000001</v>
      </c>
      <c r="AE202" s="118">
        <f t="shared" si="155"/>
        <v>13543179</v>
      </c>
      <c r="AF202" s="121">
        <f t="shared" si="171"/>
        <v>0.99999899999999997</v>
      </c>
      <c r="AG202" s="122">
        <f t="shared" si="156"/>
        <v>258487</v>
      </c>
      <c r="AH202" s="122">
        <f t="shared" si="157"/>
        <v>280522</v>
      </c>
      <c r="AI202" s="122">
        <f t="shared" si="158"/>
        <v>1574695</v>
      </c>
      <c r="AJ202" s="122">
        <f t="shared" si="159"/>
        <v>0</v>
      </c>
      <c r="AK202" s="122">
        <f t="shared" si="160"/>
        <v>0</v>
      </c>
      <c r="AL202" s="122">
        <f t="shared" si="161"/>
        <v>15656883</v>
      </c>
      <c r="AM202" s="123">
        <f t="shared" si="162"/>
        <v>15656890.850000001</v>
      </c>
      <c r="AN202" s="123">
        <f t="shared" si="134"/>
        <v>-7.8500000014901161</v>
      </c>
      <c r="AO202" s="124">
        <f t="shared" si="163"/>
        <v>4649379.2</v>
      </c>
      <c r="AP202" s="125">
        <f t="shared" si="172"/>
        <v>2277769.25</v>
      </c>
      <c r="AU202" s="109">
        <f>IF(BA202=1,IF(AU201=MiscData!$F$1,EOMONTH(AU201,-11),EOMONTH(AU201,1)),AU201)</f>
        <v>42551</v>
      </c>
      <c r="AV202" s="108" t="str">
        <f t="shared" si="173"/>
        <v>20140101LGCME561</v>
      </c>
      <c r="AW202" s="126" t="str">
        <f t="shared" si="174"/>
        <v>20140101PSS</v>
      </c>
      <c r="AX202">
        <f>MiscData!$X$5</f>
        <v>20140101</v>
      </c>
      <c r="BA202" s="98">
        <f>IF(BA201+1&gt;MiscData!$Z$42,1,BA201+1)</f>
        <v>9</v>
      </c>
      <c r="BB202" s="98" t="str">
        <f>VLOOKUP(BA202,MiscData!$Z$5:$AB$46,2,FALSE)</f>
        <v>LGCME561</v>
      </c>
      <c r="BC202" s="98" t="str">
        <f>VLOOKUP(BA202,MiscData!$Z$5:$AB$46,3,FALSE)</f>
        <v>PSS</v>
      </c>
    </row>
    <row r="203" spans="1:55">
      <c r="A203" s="108">
        <v>190</v>
      </c>
      <c r="B203" s="109" t="str">
        <f t="shared" si="164"/>
        <v>Jun 2016</v>
      </c>
      <c r="C203" s="110" t="str">
        <f t="shared" si="175"/>
        <v>PSP</v>
      </c>
      <c r="D203" s="110" t="str">
        <f t="shared" si="165"/>
        <v>LGCME563</v>
      </c>
      <c r="E203" s="111">
        <f t="shared" si="137"/>
        <v>52</v>
      </c>
      <c r="F203" s="112">
        <v>0</v>
      </c>
      <c r="G203" s="111">
        <f t="shared" si="138"/>
        <v>0</v>
      </c>
      <c r="H203" s="111">
        <f t="shared" si="139"/>
        <v>0</v>
      </c>
      <c r="I203" s="111">
        <f t="shared" si="140"/>
        <v>0</v>
      </c>
      <c r="J203" s="111">
        <f t="shared" si="141"/>
        <v>14473039</v>
      </c>
      <c r="K203" s="113">
        <f t="shared" si="142"/>
        <v>0</v>
      </c>
      <c r="L203" s="113">
        <f t="shared" si="143"/>
        <v>0</v>
      </c>
      <c r="M203" s="113">
        <f t="shared" si="144"/>
        <v>32085</v>
      </c>
      <c r="N203" s="116">
        <f t="shared" si="145"/>
        <v>170</v>
      </c>
      <c r="O203" s="117">
        <f t="shared" si="133"/>
        <v>3.9260000000000003E-2</v>
      </c>
      <c r="P203" s="117">
        <f t="shared" si="146"/>
        <v>0</v>
      </c>
      <c r="Q203" s="117">
        <f t="shared" si="147"/>
        <v>0</v>
      </c>
      <c r="R203" s="117">
        <f t="shared" si="148"/>
        <v>2.725E-2</v>
      </c>
      <c r="S203" s="116">
        <f t="shared" si="149"/>
        <v>0</v>
      </c>
      <c r="T203" s="116">
        <f t="shared" si="150"/>
        <v>11.660000000000002</v>
      </c>
      <c r="U203" s="116">
        <f t="shared" si="151"/>
        <v>13.950000000000001</v>
      </c>
      <c r="V203" s="118">
        <f t="shared" si="152"/>
        <v>8840</v>
      </c>
      <c r="W203" s="118">
        <f t="shared" si="166"/>
        <v>568211.51</v>
      </c>
      <c r="X203" s="118">
        <f t="shared" si="167"/>
        <v>0</v>
      </c>
      <c r="Y203" s="118">
        <f t="shared" si="168"/>
        <v>0</v>
      </c>
      <c r="Z203" s="118">
        <f t="shared" si="169"/>
        <v>447585.75</v>
      </c>
      <c r="AA203" s="119">
        <v>0</v>
      </c>
      <c r="AB203" s="120">
        <f t="shared" si="153"/>
        <v>0</v>
      </c>
      <c r="AC203" s="118">
        <f t="shared" si="154"/>
        <v>447585.75</v>
      </c>
      <c r="AD203" s="118">
        <f t="shared" si="170"/>
        <v>1024637.26</v>
      </c>
      <c r="AE203" s="118">
        <f t="shared" si="155"/>
        <v>1024638</v>
      </c>
      <c r="AF203" s="121">
        <f t="shared" si="171"/>
        <v>1.0000009999999999</v>
      </c>
      <c r="AG203" s="122">
        <f t="shared" si="156"/>
        <v>21927</v>
      </c>
      <c r="AH203" s="122">
        <f t="shared" si="157"/>
        <v>23796</v>
      </c>
      <c r="AI203" s="122">
        <f t="shared" si="158"/>
        <v>133576</v>
      </c>
      <c r="AJ203" s="122">
        <f t="shared" si="159"/>
        <v>0</v>
      </c>
      <c r="AK203" s="122">
        <f t="shared" si="160"/>
        <v>0</v>
      </c>
      <c r="AL203" s="122">
        <f t="shared" si="161"/>
        <v>1203937</v>
      </c>
      <c r="AM203" s="123">
        <f t="shared" si="162"/>
        <v>1203936.26</v>
      </c>
      <c r="AN203" s="123">
        <f t="shared" si="134"/>
        <v>0.73999999999068677</v>
      </c>
      <c r="AO203" s="124">
        <f t="shared" si="163"/>
        <v>394390.31</v>
      </c>
      <c r="AP203" s="125">
        <f t="shared" si="172"/>
        <v>173821.2</v>
      </c>
      <c r="AU203" s="109">
        <f>IF(BA203=1,IF(AU202=MiscData!$F$1,EOMONTH(AU202,-11),EOMONTH(AU202,1)),AU202)</f>
        <v>42551</v>
      </c>
      <c r="AV203" s="108" t="str">
        <f t="shared" si="173"/>
        <v>20140101LGCME563</v>
      </c>
      <c r="AW203" s="126" t="str">
        <f t="shared" si="174"/>
        <v>20140101PSP</v>
      </c>
      <c r="AX203">
        <f>MiscData!$X$5</f>
        <v>20140101</v>
      </c>
      <c r="BA203" s="98">
        <f>IF(BA202+1&gt;MiscData!$Z$42,1,BA202+1)</f>
        <v>10</v>
      </c>
      <c r="BB203" s="98" t="str">
        <f>VLOOKUP(BA203,MiscData!$Z$5:$AB$46,2,FALSE)</f>
        <v>LGCME563</v>
      </c>
      <c r="BC203" s="98" t="str">
        <f>VLOOKUP(BA203,MiscData!$Z$5:$AB$46,3,FALSE)</f>
        <v>PSP</v>
      </c>
    </row>
    <row r="204" spans="1:55">
      <c r="A204" s="108">
        <v>191</v>
      </c>
      <c r="B204" s="109" t="str">
        <f t="shared" si="164"/>
        <v>Jun 2016</v>
      </c>
      <c r="C204" s="110" t="str">
        <f t="shared" si="175"/>
        <v>PSS</v>
      </c>
      <c r="D204" s="110" t="str">
        <f t="shared" si="165"/>
        <v>LGCME567</v>
      </c>
      <c r="E204" s="111">
        <f t="shared" si="137"/>
        <v>0</v>
      </c>
      <c r="F204" s="112">
        <v>0</v>
      </c>
      <c r="G204" s="111">
        <f t="shared" si="138"/>
        <v>0</v>
      </c>
      <c r="H204" s="111">
        <f t="shared" si="139"/>
        <v>0</v>
      </c>
      <c r="I204" s="111">
        <f t="shared" si="140"/>
        <v>0</v>
      </c>
      <c r="J204" s="111">
        <f t="shared" si="141"/>
        <v>0</v>
      </c>
      <c r="K204" s="113">
        <f t="shared" si="142"/>
        <v>0</v>
      </c>
      <c r="L204" s="113">
        <f t="shared" si="143"/>
        <v>0</v>
      </c>
      <c r="M204" s="113">
        <f t="shared" si="144"/>
        <v>0</v>
      </c>
      <c r="N204" s="116">
        <f t="shared" si="145"/>
        <v>90</v>
      </c>
      <c r="O204" s="117">
        <f t="shared" si="133"/>
        <v>4.0599999999999997E-2</v>
      </c>
      <c r="P204" s="117">
        <f t="shared" si="146"/>
        <v>0</v>
      </c>
      <c r="Q204" s="117">
        <f t="shared" si="147"/>
        <v>0</v>
      </c>
      <c r="R204" s="117">
        <f t="shared" si="148"/>
        <v>2.725E-2</v>
      </c>
      <c r="S204" s="116">
        <f t="shared" si="149"/>
        <v>0</v>
      </c>
      <c r="T204" s="116">
        <f t="shared" si="150"/>
        <v>14.010000000000002</v>
      </c>
      <c r="U204" s="116">
        <f t="shared" si="151"/>
        <v>16.399999999999999</v>
      </c>
      <c r="V204" s="118">
        <f t="shared" si="152"/>
        <v>0</v>
      </c>
      <c r="W204" s="118">
        <f t="shared" si="166"/>
        <v>0</v>
      </c>
      <c r="X204" s="118">
        <f t="shared" si="167"/>
        <v>0</v>
      </c>
      <c r="Y204" s="118">
        <f t="shared" si="168"/>
        <v>0</v>
      </c>
      <c r="Z204" s="118">
        <f t="shared" si="169"/>
        <v>0</v>
      </c>
      <c r="AA204" s="119">
        <v>0</v>
      </c>
      <c r="AB204" s="120">
        <f t="shared" si="153"/>
        <v>0</v>
      </c>
      <c r="AC204" s="118">
        <f t="shared" si="154"/>
        <v>0</v>
      </c>
      <c r="AD204" s="118">
        <f t="shared" si="170"/>
        <v>0</v>
      </c>
      <c r="AE204" s="118">
        <f t="shared" si="155"/>
        <v>0</v>
      </c>
      <c r="AF204" s="121">
        <f t="shared" si="171"/>
        <v>1</v>
      </c>
      <c r="AG204" s="122">
        <f t="shared" si="156"/>
        <v>0</v>
      </c>
      <c r="AH204" s="122">
        <f t="shared" si="157"/>
        <v>0</v>
      </c>
      <c r="AI204" s="122">
        <f t="shared" si="158"/>
        <v>0</v>
      </c>
      <c r="AJ204" s="122">
        <f t="shared" si="159"/>
        <v>0</v>
      </c>
      <c r="AK204" s="122">
        <f t="shared" si="160"/>
        <v>0</v>
      </c>
      <c r="AL204" s="122">
        <f t="shared" si="161"/>
        <v>0</v>
      </c>
      <c r="AM204" s="123">
        <f t="shared" si="162"/>
        <v>0</v>
      </c>
      <c r="AN204" s="123">
        <f t="shared" si="134"/>
        <v>0</v>
      </c>
      <c r="AO204" s="124">
        <f t="shared" si="163"/>
        <v>0</v>
      </c>
      <c r="AP204" s="125">
        <f t="shared" si="172"/>
        <v>0</v>
      </c>
      <c r="AU204" s="109">
        <f>IF(BA204=1,IF(AU203=MiscData!$F$1,EOMONTH(AU203,-11),EOMONTH(AU203,1)),AU203)</f>
        <v>42551</v>
      </c>
      <c r="AV204" s="108" t="str">
        <f t="shared" si="173"/>
        <v>20140101LGCME567</v>
      </c>
      <c r="AW204" s="126" t="str">
        <f t="shared" si="174"/>
        <v>20140101PSS</v>
      </c>
      <c r="AX204">
        <f>MiscData!$X$5</f>
        <v>20140101</v>
      </c>
      <c r="BA204" s="98">
        <f>IF(BA203+1&gt;MiscData!$Z$42,1,BA203+1)</f>
        <v>11</v>
      </c>
      <c r="BB204" s="98" t="str">
        <f>VLOOKUP(BA204,MiscData!$Z$5:$AB$46,2,FALSE)</f>
        <v>LGCME567</v>
      </c>
      <c r="BC204" s="98" t="str">
        <f>VLOOKUP(BA204,MiscData!$Z$5:$AB$46,3,FALSE)</f>
        <v>PSS</v>
      </c>
    </row>
    <row r="205" spans="1:55">
      <c r="A205" s="108">
        <v>192</v>
      </c>
      <c r="B205" s="109" t="str">
        <f t="shared" si="164"/>
        <v>Jun 2016</v>
      </c>
      <c r="C205" s="110" t="str">
        <f t="shared" si="175"/>
        <v>TODS</v>
      </c>
      <c r="D205" s="110" t="str">
        <f t="shared" si="165"/>
        <v>LGCME591</v>
      </c>
      <c r="E205" s="111">
        <f t="shared" si="137"/>
        <v>227</v>
      </c>
      <c r="F205" s="112">
        <v>0</v>
      </c>
      <c r="G205" s="111">
        <f t="shared" si="138"/>
        <v>0</v>
      </c>
      <c r="H205" s="111">
        <f t="shared" si="139"/>
        <v>0</v>
      </c>
      <c r="I205" s="111">
        <f t="shared" si="140"/>
        <v>0</v>
      </c>
      <c r="J205" s="111">
        <f t="shared" si="141"/>
        <v>76748015</v>
      </c>
      <c r="K205" s="113">
        <f t="shared" si="142"/>
        <v>155338</v>
      </c>
      <c r="L205" s="113">
        <f t="shared" si="143"/>
        <v>149375</v>
      </c>
      <c r="M205" s="113">
        <f t="shared" si="144"/>
        <v>147579</v>
      </c>
      <c r="N205" s="116">
        <f t="shared" si="145"/>
        <v>200</v>
      </c>
      <c r="O205" s="117">
        <f t="shared" si="133"/>
        <v>3.9899999999999998E-2</v>
      </c>
      <c r="P205" s="117">
        <f t="shared" si="146"/>
        <v>0</v>
      </c>
      <c r="Q205" s="117">
        <f t="shared" si="147"/>
        <v>0</v>
      </c>
      <c r="R205" s="117">
        <f t="shared" si="148"/>
        <v>2.725E-2</v>
      </c>
      <c r="S205" s="116">
        <f t="shared" si="149"/>
        <v>4</v>
      </c>
      <c r="T205" s="116">
        <f t="shared" si="150"/>
        <v>4.5100000000000007</v>
      </c>
      <c r="U205" s="116">
        <f t="shared" si="151"/>
        <v>6.11</v>
      </c>
      <c r="V205" s="118">
        <f t="shared" si="152"/>
        <v>45400</v>
      </c>
      <c r="W205" s="118">
        <f t="shared" si="166"/>
        <v>3062245.8</v>
      </c>
      <c r="X205" s="118">
        <f t="shared" si="167"/>
        <v>621352</v>
      </c>
      <c r="Y205" s="118">
        <f t="shared" si="168"/>
        <v>673681.25</v>
      </c>
      <c r="Z205" s="118">
        <f t="shared" si="169"/>
        <v>901707.69</v>
      </c>
      <c r="AA205" s="119">
        <v>0</v>
      </c>
      <c r="AB205" s="120">
        <f t="shared" si="153"/>
        <v>0</v>
      </c>
      <c r="AC205" s="118">
        <f t="shared" si="154"/>
        <v>2196740.94</v>
      </c>
      <c r="AD205" s="118">
        <f t="shared" si="170"/>
        <v>5304386.74</v>
      </c>
      <c r="AE205" s="118">
        <f t="shared" si="155"/>
        <v>5304388</v>
      </c>
      <c r="AF205" s="121">
        <f t="shared" si="171"/>
        <v>1</v>
      </c>
      <c r="AG205" s="122">
        <f t="shared" si="156"/>
        <v>116272</v>
      </c>
      <c r="AH205" s="122">
        <f t="shared" si="157"/>
        <v>126184</v>
      </c>
      <c r="AI205" s="122">
        <f t="shared" si="158"/>
        <v>708329</v>
      </c>
      <c r="AJ205" s="122">
        <f t="shared" si="159"/>
        <v>0</v>
      </c>
      <c r="AK205" s="122">
        <f t="shared" si="160"/>
        <v>0</v>
      </c>
      <c r="AL205" s="122">
        <f t="shared" si="161"/>
        <v>6255173</v>
      </c>
      <c r="AM205" s="123">
        <f t="shared" si="162"/>
        <v>6255171.7400000002</v>
      </c>
      <c r="AN205" s="123">
        <f t="shared" si="134"/>
        <v>1.2599999997764826</v>
      </c>
      <c r="AO205" s="124">
        <f t="shared" si="163"/>
        <v>2091383.41</v>
      </c>
      <c r="AP205" s="125">
        <f t="shared" si="172"/>
        <v>970862.3899999999</v>
      </c>
      <c r="AU205" s="109">
        <f>IF(BA205=1,IF(AU204=MiscData!$F$1,EOMONTH(AU204,-11),EOMONTH(AU204,1)),AU204)</f>
        <v>42551</v>
      </c>
      <c r="AV205" s="108" t="str">
        <f t="shared" si="173"/>
        <v>20140101LGCME591</v>
      </c>
      <c r="AW205" s="126" t="str">
        <f t="shared" si="174"/>
        <v>20140101TODS</v>
      </c>
      <c r="AX205">
        <f>MiscData!$X$5</f>
        <v>20140101</v>
      </c>
      <c r="BA205" s="98">
        <f>IF(BA204+1&gt;MiscData!$Z$42,1,BA204+1)</f>
        <v>12</v>
      </c>
      <c r="BB205" s="98" t="str">
        <f>VLOOKUP(BA205,MiscData!$Z$5:$AB$46,2,FALSE)</f>
        <v>LGCME591</v>
      </c>
      <c r="BC205" s="98" t="str">
        <f>VLOOKUP(BA205,MiscData!$Z$5:$AB$46,3,FALSE)</f>
        <v>TODS</v>
      </c>
    </row>
    <row r="206" spans="1:55">
      <c r="A206" s="108">
        <v>193</v>
      </c>
      <c r="B206" s="109" t="str">
        <f t="shared" si="164"/>
        <v>Jun 2016</v>
      </c>
      <c r="C206" s="110" t="str">
        <f t="shared" si="175"/>
        <v>CTODP</v>
      </c>
      <c r="D206" s="110" t="str">
        <f t="shared" si="165"/>
        <v>LGCME593</v>
      </c>
      <c r="E206" s="111">
        <f t="shared" si="137"/>
        <v>41</v>
      </c>
      <c r="F206" s="112">
        <v>0</v>
      </c>
      <c r="G206" s="111">
        <f t="shared" si="138"/>
        <v>0</v>
      </c>
      <c r="H206" s="111">
        <f t="shared" si="139"/>
        <v>0</v>
      </c>
      <c r="I206" s="111">
        <f t="shared" si="140"/>
        <v>0</v>
      </c>
      <c r="J206" s="111">
        <f t="shared" si="141"/>
        <v>35716090</v>
      </c>
      <c r="K206" s="113">
        <f t="shared" si="142"/>
        <v>80665</v>
      </c>
      <c r="L206" s="113">
        <f t="shared" si="143"/>
        <v>74590</v>
      </c>
      <c r="M206" s="113">
        <f t="shared" si="144"/>
        <v>73984</v>
      </c>
      <c r="N206" s="116">
        <f t="shared" si="145"/>
        <v>300</v>
      </c>
      <c r="O206" s="117">
        <f t="shared" si="133"/>
        <v>3.8100000000000002E-2</v>
      </c>
      <c r="P206" s="117">
        <f t="shared" si="146"/>
        <v>0</v>
      </c>
      <c r="Q206" s="117">
        <f t="shared" si="147"/>
        <v>0</v>
      </c>
      <c r="R206" s="117">
        <f t="shared" si="148"/>
        <v>2.725E-2</v>
      </c>
      <c r="S206" s="116">
        <f t="shared" si="149"/>
        <v>3.9800000000000004</v>
      </c>
      <c r="T206" s="116">
        <f t="shared" si="150"/>
        <v>4.13</v>
      </c>
      <c r="U206" s="116">
        <f t="shared" si="151"/>
        <v>5.83</v>
      </c>
      <c r="V206" s="118">
        <f t="shared" si="152"/>
        <v>12300</v>
      </c>
      <c r="W206" s="118">
        <f t="shared" si="166"/>
        <v>1360783.03</v>
      </c>
      <c r="X206" s="118">
        <f t="shared" si="167"/>
        <v>321046.7</v>
      </c>
      <c r="Y206" s="118">
        <f t="shared" si="168"/>
        <v>308056.7</v>
      </c>
      <c r="Z206" s="118">
        <f t="shared" si="169"/>
        <v>431326.71999999997</v>
      </c>
      <c r="AA206" s="119">
        <v>0</v>
      </c>
      <c r="AB206" s="120">
        <f t="shared" si="153"/>
        <v>0</v>
      </c>
      <c r="AC206" s="118">
        <f t="shared" si="154"/>
        <v>1060430.1200000001</v>
      </c>
      <c r="AD206" s="118">
        <f t="shared" si="170"/>
        <v>2433513.15</v>
      </c>
      <c r="AE206" s="118">
        <f t="shared" si="155"/>
        <v>2433513</v>
      </c>
      <c r="AF206" s="121">
        <f t="shared" si="171"/>
        <v>1</v>
      </c>
      <c r="AG206" s="122">
        <f t="shared" si="156"/>
        <v>54110</v>
      </c>
      <c r="AH206" s="122">
        <f t="shared" si="157"/>
        <v>58722</v>
      </c>
      <c r="AI206" s="122">
        <f t="shared" si="158"/>
        <v>329634</v>
      </c>
      <c r="AJ206" s="122">
        <f t="shared" si="159"/>
        <v>0</v>
      </c>
      <c r="AK206" s="122">
        <f t="shared" si="160"/>
        <v>0</v>
      </c>
      <c r="AL206" s="122">
        <f t="shared" si="161"/>
        <v>2875979</v>
      </c>
      <c r="AM206" s="123">
        <f t="shared" si="162"/>
        <v>2875979.15</v>
      </c>
      <c r="AN206" s="123">
        <f t="shared" si="134"/>
        <v>-0.14999999990686774</v>
      </c>
      <c r="AO206" s="124">
        <f t="shared" si="163"/>
        <v>973263.45</v>
      </c>
      <c r="AP206" s="125">
        <f t="shared" si="172"/>
        <v>387519.58000000007</v>
      </c>
      <c r="AU206" s="109">
        <f>IF(BA206=1,IF(AU205=MiscData!$F$1,EOMONTH(AU205,-11),EOMONTH(AU205,1)),AU205)</f>
        <v>42551</v>
      </c>
      <c r="AV206" s="108" t="str">
        <f t="shared" si="173"/>
        <v>20140101LGCME593</v>
      </c>
      <c r="AW206" s="126" t="str">
        <f t="shared" si="174"/>
        <v>20140101CTODP</v>
      </c>
      <c r="AX206">
        <f>MiscData!$X$5</f>
        <v>20140101</v>
      </c>
      <c r="BA206" s="98">
        <f>IF(BA205+1&gt;MiscData!$Z$42,1,BA205+1)</f>
        <v>13</v>
      </c>
      <c r="BB206" s="98" t="str">
        <f>VLOOKUP(BA206,MiscData!$Z$5:$AB$46,2,FALSE)</f>
        <v>LGCME593</v>
      </c>
      <c r="BC206" s="98" t="str">
        <f>VLOOKUP(BA206,MiscData!$Z$5:$AB$46,3,FALSE)</f>
        <v>CTODP</v>
      </c>
    </row>
    <row r="207" spans="1:55">
      <c r="A207" s="108">
        <v>194</v>
      </c>
      <c r="B207" s="109" t="str">
        <f t="shared" si="164"/>
        <v>Jun 2016</v>
      </c>
      <c r="C207" s="110" t="str">
        <f t="shared" si="175"/>
        <v>GS3</v>
      </c>
      <c r="D207" s="110" t="str">
        <f t="shared" si="165"/>
        <v>LGCME650</v>
      </c>
      <c r="E207" s="111">
        <f t="shared" si="137"/>
        <v>0</v>
      </c>
      <c r="F207" s="112">
        <v>0</v>
      </c>
      <c r="G207" s="111">
        <f t="shared" si="138"/>
        <v>0</v>
      </c>
      <c r="H207" s="111">
        <f t="shared" si="139"/>
        <v>0</v>
      </c>
      <c r="I207" s="111">
        <f t="shared" si="140"/>
        <v>0</v>
      </c>
      <c r="J207" s="111">
        <f t="shared" si="141"/>
        <v>0</v>
      </c>
      <c r="K207" s="113">
        <f t="shared" si="142"/>
        <v>0</v>
      </c>
      <c r="L207" s="113">
        <f t="shared" si="143"/>
        <v>0</v>
      </c>
      <c r="M207" s="113">
        <f t="shared" si="144"/>
        <v>0</v>
      </c>
      <c r="N207" s="116">
        <f t="shared" si="145"/>
        <v>35</v>
      </c>
      <c r="O207" s="117">
        <f t="shared" si="133"/>
        <v>9.1340000000000005E-2</v>
      </c>
      <c r="P207" s="117">
        <f t="shared" si="146"/>
        <v>0</v>
      </c>
      <c r="Q207" s="117">
        <f t="shared" si="147"/>
        <v>0</v>
      </c>
      <c r="R207" s="117">
        <f t="shared" si="148"/>
        <v>2.725E-2</v>
      </c>
      <c r="S207" s="116">
        <f t="shared" si="149"/>
        <v>0</v>
      </c>
      <c r="T207" s="116">
        <f t="shared" si="150"/>
        <v>0</v>
      </c>
      <c r="U207" s="116">
        <f t="shared" si="151"/>
        <v>0</v>
      </c>
      <c r="V207" s="118">
        <f t="shared" si="152"/>
        <v>0</v>
      </c>
      <c r="W207" s="118">
        <f t="shared" si="166"/>
        <v>0</v>
      </c>
      <c r="X207" s="118">
        <f t="shared" si="167"/>
        <v>0</v>
      </c>
      <c r="Y207" s="118">
        <f t="shared" si="168"/>
        <v>0</v>
      </c>
      <c r="Z207" s="118">
        <f t="shared" si="169"/>
        <v>0</v>
      </c>
      <c r="AA207" s="119">
        <v>0</v>
      </c>
      <c r="AB207" s="120">
        <f t="shared" si="153"/>
        <v>0</v>
      </c>
      <c r="AC207" s="118">
        <f t="shared" si="154"/>
        <v>0</v>
      </c>
      <c r="AD207" s="118">
        <f t="shared" si="170"/>
        <v>0</v>
      </c>
      <c r="AE207" s="118">
        <f t="shared" si="155"/>
        <v>0</v>
      </c>
      <c r="AF207" s="121">
        <f t="shared" si="171"/>
        <v>1</v>
      </c>
      <c r="AG207" s="122">
        <f t="shared" si="156"/>
        <v>0</v>
      </c>
      <c r="AH207" s="122">
        <f t="shared" si="157"/>
        <v>0</v>
      </c>
      <c r="AI207" s="122">
        <f t="shared" si="158"/>
        <v>0</v>
      </c>
      <c r="AJ207" s="122">
        <f t="shared" si="159"/>
        <v>0</v>
      </c>
      <c r="AK207" s="122">
        <f t="shared" si="160"/>
        <v>0</v>
      </c>
      <c r="AL207" s="122">
        <f t="shared" si="161"/>
        <v>0</v>
      </c>
      <c r="AM207" s="123">
        <f t="shared" si="162"/>
        <v>0</v>
      </c>
      <c r="AN207" s="123">
        <f t="shared" si="134"/>
        <v>0</v>
      </c>
      <c r="AO207" s="124">
        <f t="shared" si="163"/>
        <v>0</v>
      </c>
      <c r="AP207" s="125">
        <f t="shared" si="172"/>
        <v>0</v>
      </c>
      <c r="AU207" s="109">
        <f>IF(BA207=1,IF(AU206=MiscData!$F$1,EOMONTH(AU206,-11),EOMONTH(AU206,1)),AU206)</f>
        <v>42551</v>
      </c>
      <c r="AV207" s="108" t="str">
        <f t="shared" si="173"/>
        <v>20140101LGCME650</v>
      </c>
      <c r="AW207" s="126" t="str">
        <f t="shared" si="174"/>
        <v>20140101GS3</v>
      </c>
      <c r="AX207">
        <f>MiscData!$X$5</f>
        <v>20140101</v>
      </c>
      <c r="BA207" s="98">
        <f>IF(BA206+1&gt;MiscData!$Z$42,1,BA206+1)</f>
        <v>14</v>
      </c>
      <c r="BB207" s="98" t="str">
        <f>VLOOKUP(BA207,MiscData!$Z$5:$AB$46,2,FALSE)</f>
        <v>LGCME650</v>
      </c>
      <c r="BC207" s="98" t="str">
        <f>VLOOKUP(BA207,MiscData!$Z$5:$AB$46,3,FALSE)</f>
        <v>GS3</v>
      </c>
    </row>
    <row r="208" spans="1:55">
      <c r="A208" s="108">
        <v>195</v>
      </c>
      <c r="B208" s="109" t="str">
        <f t="shared" si="164"/>
        <v>Jun 2016</v>
      </c>
      <c r="C208" s="110" t="str">
        <f t="shared" si="175"/>
        <v>GS3</v>
      </c>
      <c r="D208" s="110" t="str">
        <f t="shared" si="165"/>
        <v>LGCME651</v>
      </c>
      <c r="E208" s="111">
        <f t="shared" si="137"/>
        <v>16417</v>
      </c>
      <c r="F208" s="112">
        <v>0</v>
      </c>
      <c r="G208" s="111">
        <f t="shared" si="138"/>
        <v>0</v>
      </c>
      <c r="H208" s="111">
        <f t="shared" si="139"/>
        <v>0</v>
      </c>
      <c r="I208" s="111">
        <f t="shared" si="140"/>
        <v>0</v>
      </c>
      <c r="J208" s="111">
        <f t="shared" si="141"/>
        <v>92005903</v>
      </c>
      <c r="K208" s="113">
        <f t="shared" si="142"/>
        <v>216926</v>
      </c>
      <c r="L208" s="113">
        <f t="shared" si="143"/>
        <v>0</v>
      </c>
      <c r="M208" s="113">
        <f t="shared" si="144"/>
        <v>0</v>
      </c>
      <c r="N208" s="116">
        <f t="shared" si="145"/>
        <v>35</v>
      </c>
      <c r="O208" s="117">
        <f t="shared" si="133"/>
        <v>9.1340000000000005E-2</v>
      </c>
      <c r="P208" s="117">
        <f t="shared" si="146"/>
        <v>0</v>
      </c>
      <c r="Q208" s="117">
        <f t="shared" si="147"/>
        <v>0</v>
      </c>
      <c r="R208" s="117">
        <f t="shared" si="148"/>
        <v>2.725E-2</v>
      </c>
      <c r="S208" s="116">
        <f t="shared" si="149"/>
        <v>0</v>
      </c>
      <c r="T208" s="116">
        <f t="shared" si="150"/>
        <v>0</v>
      </c>
      <c r="U208" s="116">
        <f t="shared" si="151"/>
        <v>0</v>
      </c>
      <c r="V208" s="118">
        <f t="shared" si="152"/>
        <v>574595</v>
      </c>
      <c r="W208" s="118">
        <f t="shared" si="166"/>
        <v>8403819.1799999997</v>
      </c>
      <c r="X208" s="118">
        <f t="shared" si="167"/>
        <v>0</v>
      </c>
      <c r="Y208" s="118">
        <f t="shared" si="168"/>
        <v>0</v>
      </c>
      <c r="Z208" s="118">
        <f t="shared" si="169"/>
        <v>0</v>
      </c>
      <c r="AA208" s="119">
        <v>0</v>
      </c>
      <c r="AB208" s="120">
        <f t="shared" si="153"/>
        <v>0</v>
      </c>
      <c r="AC208" s="118">
        <f t="shared" si="154"/>
        <v>0</v>
      </c>
      <c r="AD208" s="118">
        <f t="shared" si="170"/>
        <v>8978414.1799999997</v>
      </c>
      <c r="AE208" s="118">
        <f t="shared" si="155"/>
        <v>8978414</v>
      </c>
      <c r="AF208" s="121">
        <f t="shared" si="171"/>
        <v>1</v>
      </c>
      <c r="AG208" s="122">
        <f t="shared" si="156"/>
        <v>139388</v>
      </c>
      <c r="AH208" s="122">
        <f t="shared" si="157"/>
        <v>151270</v>
      </c>
      <c r="AI208" s="122">
        <f t="shared" si="158"/>
        <v>849148</v>
      </c>
      <c r="AJ208" s="122">
        <f t="shared" si="159"/>
        <v>0</v>
      </c>
      <c r="AK208" s="122">
        <f t="shared" si="160"/>
        <v>0</v>
      </c>
      <c r="AL208" s="122">
        <f t="shared" si="161"/>
        <v>10118220</v>
      </c>
      <c r="AM208" s="123">
        <f t="shared" si="162"/>
        <v>10118220.18</v>
      </c>
      <c r="AN208" s="123">
        <f t="shared" si="134"/>
        <v>-0.17999999970197678</v>
      </c>
      <c r="AO208" s="124">
        <f t="shared" si="163"/>
        <v>2507160.86</v>
      </c>
      <c r="AP208" s="125">
        <f t="shared" si="172"/>
        <v>5896658.3200000003</v>
      </c>
      <c r="AU208" s="109">
        <f>IF(BA208=1,IF(AU207=MiscData!$F$1,EOMONTH(AU207,-11),EOMONTH(AU207,1)),AU207)</f>
        <v>42551</v>
      </c>
      <c r="AV208" s="108" t="str">
        <f t="shared" si="173"/>
        <v>20140101LGCME651</v>
      </c>
      <c r="AW208" s="126" t="str">
        <f t="shared" si="174"/>
        <v>20140101GS3</v>
      </c>
      <c r="AX208">
        <f>MiscData!$X$5</f>
        <v>20140101</v>
      </c>
      <c r="BA208" s="98">
        <f>IF(BA207+1&gt;MiscData!$Z$42,1,BA207+1)</f>
        <v>15</v>
      </c>
      <c r="BB208" s="98" t="str">
        <f>VLOOKUP(BA208,MiscData!$Z$5:$AB$46,2,FALSE)</f>
        <v>LGCME651</v>
      </c>
      <c r="BC208" s="98" t="str">
        <f>VLOOKUP(BA208,MiscData!$Z$5:$AB$46,3,FALSE)</f>
        <v>GS3</v>
      </c>
    </row>
    <row r="209" spans="1:55">
      <c r="A209" s="108">
        <v>194</v>
      </c>
      <c r="B209" s="109" t="str">
        <f t="shared" si="164"/>
        <v>Jun 2016</v>
      </c>
      <c r="C209" s="110" t="str">
        <f t="shared" si="175"/>
        <v>GS3</v>
      </c>
      <c r="D209" s="110" t="str">
        <f t="shared" si="165"/>
        <v>LGCME652</v>
      </c>
      <c r="E209" s="111">
        <f t="shared" si="137"/>
        <v>0</v>
      </c>
      <c r="F209" s="112">
        <v>0</v>
      </c>
      <c r="G209" s="111">
        <f t="shared" si="138"/>
        <v>0</v>
      </c>
      <c r="H209" s="111">
        <f t="shared" si="139"/>
        <v>0</v>
      </c>
      <c r="I209" s="111">
        <f t="shared" si="140"/>
        <v>0</v>
      </c>
      <c r="J209" s="111">
        <f t="shared" si="141"/>
        <v>0</v>
      </c>
      <c r="K209" s="113">
        <f t="shared" si="142"/>
        <v>0</v>
      </c>
      <c r="L209" s="113">
        <f t="shared" si="143"/>
        <v>0</v>
      </c>
      <c r="M209" s="113">
        <f t="shared" si="144"/>
        <v>0</v>
      </c>
      <c r="N209" s="116">
        <f t="shared" si="145"/>
        <v>0</v>
      </c>
      <c r="O209" s="117">
        <f t="shared" si="133"/>
        <v>9.1340000000000005E-2</v>
      </c>
      <c r="P209" s="117">
        <f t="shared" si="146"/>
        <v>0</v>
      </c>
      <c r="Q209" s="117">
        <f t="shared" si="147"/>
        <v>0</v>
      </c>
      <c r="R209" s="117">
        <f t="shared" si="148"/>
        <v>2.725E-2</v>
      </c>
      <c r="S209" s="116">
        <f t="shared" si="149"/>
        <v>0</v>
      </c>
      <c r="T209" s="116">
        <f t="shared" si="150"/>
        <v>0</v>
      </c>
      <c r="U209" s="116">
        <f t="shared" si="151"/>
        <v>0</v>
      </c>
      <c r="V209" s="118">
        <f t="shared" si="152"/>
        <v>0</v>
      </c>
      <c r="W209" s="118">
        <f t="shared" si="166"/>
        <v>0</v>
      </c>
      <c r="X209" s="118">
        <f t="shared" si="167"/>
        <v>0</v>
      </c>
      <c r="Y209" s="118">
        <f t="shared" si="168"/>
        <v>0</v>
      </c>
      <c r="Z209" s="118">
        <f t="shared" si="169"/>
        <v>0</v>
      </c>
      <c r="AA209" s="119">
        <v>0</v>
      </c>
      <c r="AB209" s="120">
        <f t="shared" si="153"/>
        <v>0</v>
      </c>
      <c r="AC209" s="118">
        <f t="shared" si="154"/>
        <v>0</v>
      </c>
      <c r="AD209" s="118">
        <f t="shared" si="170"/>
        <v>0</v>
      </c>
      <c r="AE209" s="118">
        <f t="shared" si="155"/>
        <v>0</v>
      </c>
      <c r="AF209" s="121">
        <f t="shared" si="171"/>
        <v>1</v>
      </c>
      <c r="AG209" s="122">
        <f t="shared" si="156"/>
        <v>0</v>
      </c>
      <c r="AH209" s="122">
        <f t="shared" si="157"/>
        <v>0</v>
      </c>
      <c r="AI209" s="122">
        <f t="shared" si="158"/>
        <v>0</v>
      </c>
      <c r="AJ209" s="122">
        <f t="shared" si="159"/>
        <v>0</v>
      </c>
      <c r="AK209" s="122">
        <f t="shared" si="160"/>
        <v>0</v>
      </c>
      <c r="AL209" s="122">
        <f t="shared" si="161"/>
        <v>0</v>
      </c>
      <c r="AM209" s="123">
        <f t="shared" si="162"/>
        <v>0</v>
      </c>
      <c r="AN209" s="123">
        <f t="shared" si="134"/>
        <v>0</v>
      </c>
      <c r="AO209" s="124">
        <f t="shared" si="163"/>
        <v>0</v>
      </c>
      <c r="AP209" s="125">
        <f t="shared" si="172"/>
        <v>0</v>
      </c>
      <c r="AU209" s="109">
        <f>IF(BA209=1,IF(AU208=MiscData!$F$1,EOMONTH(AU208,-11),EOMONTH(AU208,1)),AU208)</f>
        <v>42551</v>
      </c>
      <c r="AV209" s="108" t="str">
        <f t="shared" si="173"/>
        <v>20140101LGCME652</v>
      </c>
      <c r="AW209" s="126" t="str">
        <f t="shared" si="174"/>
        <v>20140101GS3</v>
      </c>
      <c r="AX209">
        <f>MiscData!$X$5</f>
        <v>20140101</v>
      </c>
      <c r="BA209" s="98">
        <f>IF(BA208+1&gt;MiscData!$Z$42,1,BA208+1)</f>
        <v>16</v>
      </c>
      <c r="BB209" s="98" t="str">
        <f>VLOOKUP(BA209,MiscData!$Z$5:$AB$46,2,FALSE)</f>
        <v>LGCME652</v>
      </c>
      <c r="BC209" s="98" t="str">
        <f>VLOOKUP(BA209,MiscData!$Z$5:$AB$46,3,FALSE)</f>
        <v>GS3</v>
      </c>
    </row>
    <row r="210" spans="1:55">
      <c r="A210" s="108">
        <v>195</v>
      </c>
      <c r="B210" s="109" t="str">
        <f t="shared" si="164"/>
        <v>Jun 2016</v>
      </c>
      <c r="C210" s="110" t="str">
        <f t="shared" si="175"/>
        <v>GS3</v>
      </c>
      <c r="D210" s="110" t="str">
        <f t="shared" si="165"/>
        <v>LGCME657</v>
      </c>
      <c r="E210" s="111">
        <f t="shared" si="137"/>
        <v>0</v>
      </c>
      <c r="F210" s="112">
        <v>0</v>
      </c>
      <c r="G210" s="111">
        <f t="shared" si="138"/>
        <v>0</v>
      </c>
      <c r="H210" s="111">
        <f t="shared" si="139"/>
        <v>0</v>
      </c>
      <c r="I210" s="111">
        <f t="shared" si="140"/>
        <v>0</v>
      </c>
      <c r="J210" s="111">
        <f t="shared" si="141"/>
        <v>0</v>
      </c>
      <c r="K210" s="113">
        <f t="shared" si="142"/>
        <v>0</v>
      </c>
      <c r="L210" s="113">
        <f t="shared" si="143"/>
        <v>0</v>
      </c>
      <c r="M210" s="113">
        <f t="shared" si="144"/>
        <v>0</v>
      </c>
      <c r="N210" s="116">
        <f t="shared" si="145"/>
        <v>35</v>
      </c>
      <c r="O210" s="117">
        <f t="shared" si="133"/>
        <v>9.1340000000000005E-2</v>
      </c>
      <c r="P210" s="117">
        <f t="shared" si="146"/>
        <v>0</v>
      </c>
      <c r="Q210" s="117">
        <f t="shared" si="147"/>
        <v>0</v>
      </c>
      <c r="R210" s="117">
        <f t="shared" si="148"/>
        <v>2.725E-2</v>
      </c>
      <c r="S210" s="116">
        <f t="shared" si="149"/>
        <v>0</v>
      </c>
      <c r="T210" s="116">
        <f t="shared" si="150"/>
        <v>0</v>
      </c>
      <c r="U210" s="116">
        <f t="shared" si="151"/>
        <v>0</v>
      </c>
      <c r="V210" s="118">
        <f t="shared" si="152"/>
        <v>0</v>
      </c>
      <c r="W210" s="118">
        <f t="shared" si="166"/>
        <v>0</v>
      </c>
      <c r="X210" s="118">
        <f t="shared" si="167"/>
        <v>0</v>
      </c>
      <c r="Y210" s="118">
        <f t="shared" si="168"/>
        <v>0</v>
      </c>
      <c r="Z210" s="118">
        <f t="shared" si="169"/>
        <v>0</v>
      </c>
      <c r="AA210" s="119">
        <v>0</v>
      </c>
      <c r="AB210" s="120">
        <f t="shared" si="153"/>
        <v>0</v>
      </c>
      <c r="AC210" s="118">
        <f t="shared" si="154"/>
        <v>0</v>
      </c>
      <c r="AD210" s="118">
        <f t="shared" si="170"/>
        <v>0</v>
      </c>
      <c r="AE210" s="118">
        <f t="shared" si="155"/>
        <v>0</v>
      </c>
      <c r="AF210" s="121">
        <f t="shared" si="171"/>
        <v>1</v>
      </c>
      <c r="AG210" s="122">
        <f t="shared" si="156"/>
        <v>0</v>
      </c>
      <c r="AH210" s="122">
        <f t="shared" si="157"/>
        <v>0</v>
      </c>
      <c r="AI210" s="122">
        <f t="shared" si="158"/>
        <v>0</v>
      </c>
      <c r="AJ210" s="122">
        <f t="shared" si="159"/>
        <v>0</v>
      </c>
      <c r="AK210" s="122">
        <f t="shared" si="160"/>
        <v>0</v>
      </c>
      <c r="AL210" s="122">
        <f t="shared" si="161"/>
        <v>0</v>
      </c>
      <c r="AM210" s="123">
        <f t="shared" si="162"/>
        <v>0</v>
      </c>
      <c r="AN210" s="123">
        <f t="shared" si="134"/>
        <v>0</v>
      </c>
      <c r="AO210" s="124">
        <f t="shared" si="163"/>
        <v>0</v>
      </c>
      <c r="AP210" s="125">
        <f t="shared" si="172"/>
        <v>0</v>
      </c>
      <c r="AU210" s="109">
        <f>IF(BA210=1,IF(AU209=MiscData!$F$1,EOMONTH(AU209,-11),EOMONTH(AU209,1)),AU209)</f>
        <v>42551</v>
      </c>
      <c r="AV210" s="108" t="str">
        <f t="shared" si="173"/>
        <v>20140101LGCME657</v>
      </c>
      <c r="AW210" s="126" t="str">
        <f t="shared" si="174"/>
        <v>20140101GS3</v>
      </c>
      <c r="AX210">
        <f>MiscData!$X$5</f>
        <v>20140101</v>
      </c>
      <c r="BA210" s="98">
        <f>IF(BA209+1&gt;MiscData!$Z$42,1,BA209+1)</f>
        <v>17</v>
      </c>
      <c r="BB210" s="98" t="str">
        <f>VLOOKUP(BA210,MiscData!$Z$5:$AB$46,2,FALSE)</f>
        <v>LGCME657</v>
      </c>
      <c r="BC210" s="98" t="str">
        <f>VLOOKUP(BA210,MiscData!$Z$5:$AB$46,3,FALSE)</f>
        <v>GS3</v>
      </c>
    </row>
    <row r="211" spans="1:55">
      <c r="A211" s="108">
        <v>196</v>
      </c>
      <c r="B211" s="109" t="str">
        <f t="shared" si="164"/>
        <v>Jun 2016</v>
      </c>
      <c r="C211" s="110" t="str">
        <f t="shared" si="175"/>
        <v>LWC</v>
      </c>
      <c r="D211" s="110" t="str">
        <f t="shared" si="165"/>
        <v>LGCME671</v>
      </c>
      <c r="E211" s="111">
        <f t="shared" si="137"/>
        <v>2</v>
      </c>
      <c r="F211" s="112">
        <v>0</v>
      </c>
      <c r="G211" s="111">
        <f t="shared" si="138"/>
        <v>0</v>
      </c>
      <c r="H211" s="111">
        <f t="shared" si="139"/>
        <v>0</v>
      </c>
      <c r="I211" s="111">
        <f t="shared" si="140"/>
        <v>0</v>
      </c>
      <c r="J211" s="111">
        <f t="shared" si="141"/>
        <v>4921800</v>
      </c>
      <c r="K211" s="113">
        <f t="shared" si="142"/>
        <v>0</v>
      </c>
      <c r="L211" s="113">
        <f t="shared" si="143"/>
        <v>0</v>
      </c>
      <c r="M211" s="113">
        <f t="shared" si="144"/>
        <v>9435</v>
      </c>
      <c r="N211" s="116">
        <f t="shared" si="145"/>
        <v>0</v>
      </c>
      <c r="O211" s="117">
        <f t="shared" si="133"/>
        <v>3.7019999999999997E-2</v>
      </c>
      <c r="P211" s="117">
        <f t="shared" si="146"/>
        <v>0</v>
      </c>
      <c r="Q211" s="117">
        <f t="shared" si="147"/>
        <v>0</v>
      </c>
      <c r="R211" s="117">
        <f t="shared" si="148"/>
        <v>2.725E-2</v>
      </c>
      <c r="S211" s="116">
        <f t="shared" si="149"/>
        <v>0</v>
      </c>
      <c r="T211" s="116">
        <f t="shared" si="150"/>
        <v>10.35</v>
      </c>
      <c r="U211" s="116">
        <f t="shared" si="151"/>
        <v>10.35</v>
      </c>
      <c r="V211" s="118">
        <f t="shared" si="152"/>
        <v>0</v>
      </c>
      <c r="W211" s="118">
        <f t="shared" si="166"/>
        <v>182205.04</v>
      </c>
      <c r="X211" s="118">
        <f t="shared" si="167"/>
        <v>0</v>
      </c>
      <c r="Y211" s="118">
        <f t="shared" si="168"/>
        <v>0</v>
      </c>
      <c r="Z211" s="118">
        <f t="shared" si="169"/>
        <v>97652.25</v>
      </c>
      <c r="AA211" s="119">
        <v>0</v>
      </c>
      <c r="AB211" s="120">
        <f t="shared" si="153"/>
        <v>0</v>
      </c>
      <c r="AC211" s="118">
        <f t="shared" si="154"/>
        <v>97652.25</v>
      </c>
      <c r="AD211" s="118">
        <f t="shared" si="170"/>
        <v>279857.29000000004</v>
      </c>
      <c r="AE211" s="118">
        <f t="shared" si="155"/>
        <v>279857</v>
      </c>
      <c r="AF211" s="121">
        <f t="shared" si="171"/>
        <v>0.99999899999999997</v>
      </c>
      <c r="AG211" s="122">
        <f t="shared" si="156"/>
        <v>7456</v>
      </c>
      <c r="AH211" s="122">
        <f t="shared" si="157"/>
        <v>0</v>
      </c>
      <c r="AI211" s="122">
        <f t="shared" si="158"/>
        <v>45425</v>
      </c>
      <c r="AJ211" s="122">
        <f t="shared" si="159"/>
        <v>0</v>
      </c>
      <c r="AK211" s="122">
        <f t="shared" si="160"/>
        <v>0</v>
      </c>
      <c r="AL211" s="122">
        <f t="shared" si="161"/>
        <v>332738</v>
      </c>
      <c r="AM211" s="123">
        <f t="shared" si="162"/>
        <v>332738.29000000004</v>
      </c>
      <c r="AN211" s="123">
        <f t="shared" si="134"/>
        <v>-0.2900000000372529</v>
      </c>
      <c r="AO211" s="124">
        <f t="shared" si="163"/>
        <v>134119.04999999999</v>
      </c>
      <c r="AP211" s="125">
        <f t="shared" si="172"/>
        <v>48085.99000000002</v>
      </c>
      <c r="AU211" s="109">
        <f>IF(BA211=1,IF(AU210=MiscData!$F$1,EOMONTH(AU210,-11),EOMONTH(AU210,1)),AU210)</f>
        <v>42551</v>
      </c>
      <c r="AV211" s="108" t="str">
        <f t="shared" si="173"/>
        <v>20140101LGCME671</v>
      </c>
      <c r="AW211" s="126" t="str">
        <f t="shared" si="174"/>
        <v>20140101LWC</v>
      </c>
      <c r="AX211">
        <f>MiscData!$X$5</f>
        <v>20140101</v>
      </c>
      <c r="BA211" s="98">
        <f>IF(BA210+1&gt;MiscData!$Z$42,1,BA210+1)</f>
        <v>18</v>
      </c>
      <c r="BB211" s="98" t="str">
        <f>VLOOKUP(BA211,MiscData!$Z$5:$AB$46,2,FALSE)</f>
        <v>LGCME671</v>
      </c>
      <c r="BC211" s="98" t="str">
        <f>VLOOKUP(BA211,MiscData!$Z$5:$AB$46,3,FALSE)</f>
        <v>LWC</v>
      </c>
    </row>
    <row r="212" spans="1:55">
      <c r="A212" s="108">
        <v>197</v>
      </c>
      <c r="B212" s="109" t="str">
        <f t="shared" si="164"/>
        <v>Jun 2016</v>
      </c>
      <c r="C212" s="110" t="str">
        <f t="shared" si="175"/>
        <v>CSR</v>
      </c>
      <c r="D212" s="110" t="str">
        <f t="shared" si="165"/>
        <v>LGCSR760</v>
      </c>
      <c r="E212" s="111">
        <f t="shared" si="137"/>
        <v>0</v>
      </c>
      <c r="F212" s="112">
        <v>0</v>
      </c>
      <c r="G212" s="111">
        <f t="shared" si="138"/>
        <v>0</v>
      </c>
      <c r="H212" s="111">
        <f t="shared" si="139"/>
        <v>0</v>
      </c>
      <c r="I212" s="111">
        <f t="shared" si="140"/>
        <v>0</v>
      </c>
      <c r="J212" s="111">
        <f t="shared" si="141"/>
        <v>0</v>
      </c>
      <c r="K212" s="113">
        <f t="shared" si="142"/>
        <v>0</v>
      </c>
      <c r="L212" s="113">
        <f t="shared" si="143"/>
        <v>0</v>
      </c>
      <c r="M212" s="113">
        <f t="shared" si="144"/>
        <v>0</v>
      </c>
      <c r="N212" s="116">
        <f t="shared" si="145"/>
        <v>0</v>
      </c>
      <c r="O212" s="117">
        <f t="shared" si="133"/>
        <v>0</v>
      </c>
      <c r="P212" s="117">
        <f t="shared" si="146"/>
        <v>0</v>
      </c>
      <c r="Q212" s="117">
        <f t="shared" si="147"/>
        <v>0</v>
      </c>
      <c r="R212" s="117">
        <f t="shared" si="148"/>
        <v>0</v>
      </c>
      <c r="S212" s="116">
        <f t="shared" si="149"/>
        <v>0</v>
      </c>
      <c r="T212" s="116">
        <f t="shared" si="150"/>
        <v>0</v>
      </c>
      <c r="U212" s="116">
        <f t="shared" si="151"/>
        <v>0</v>
      </c>
      <c r="V212" s="118">
        <f t="shared" si="152"/>
        <v>0</v>
      </c>
      <c r="W212" s="118">
        <f t="shared" si="166"/>
        <v>0</v>
      </c>
      <c r="X212" s="118">
        <f t="shared" si="167"/>
        <v>0</v>
      </c>
      <c r="Y212" s="118">
        <f t="shared" si="168"/>
        <v>0</v>
      </c>
      <c r="Z212" s="118">
        <f t="shared" si="169"/>
        <v>0</v>
      </c>
      <c r="AA212" s="119">
        <v>0</v>
      </c>
      <c r="AB212" s="120">
        <f t="shared" si="153"/>
        <v>0</v>
      </c>
      <c r="AC212" s="118">
        <f t="shared" si="154"/>
        <v>0</v>
      </c>
      <c r="AD212" s="118">
        <f t="shared" si="170"/>
        <v>0</v>
      </c>
      <c r="AE212" s="118">
        <f t="shared" si="155"/>
        <v>0</v>
      </c>
      <c r="AF212" s="121">
        <f t="shared" si="171"/>
        <v>1</v>
      </c>
      <c r="AG212" s="122">
        <f t="shared" si="156"/>
        <v>0</v>
      </c>
      <c r="AH212" s="122">
        <f t="shared" si="157"/>
        <v>0</v>
      </c>
      <c r="AI212" s="122">
        <f t="shared" si="158"/>
        <v>0</v>
      </c>
      <c r="AJ212" s="122">
        <f t="shared" si="159"/>
        <v>0</v>
      </c>
      <c r="AK212" s="122">
        <f t="shared" si="160"/>
        <v>-286526</v>
      </c>
      <c r="AL212" s="122">
        <f t="shared" si="161"/>
        <v>-286526</v>
      </c>
      <c r="AM212" s="123">
        <f t="shared" si="162"/>
        <v>-286526</v>
      </c>
      <c r="AN212" s="123">
        <f t="shared" si="134"/>
        <v>0</v>
      </c>
      <c r="AO212" s="124">
        <f t="shared" si="163"/>
        <v>0</v>
      </c>
      <c r="AP212" s="125">
        <f t="shared" si="172"/>
        <v>0</v>
      </c>
      <c r="AU212" s="109">
        <f>IF(BA212=1,IF(AU211=MiscData!$F$1,EOMONTH(AU211,-11),EOMONTH(AU211,1)),AU211)</f>
        <v>42551</v>
      </c>
      <c r="AV212" s="108" t="str">
        <f t="shared" si="173"/>
        <v>20140101LGCSR760</v>
      </c>
      <c r="AW212" s="126" t="str">
        <f t="shared" si="174"/>
        <v>20140101CSR</v>
      </c>
      <c r="AX212">
        <f>MiscData!$X$5</f>
        <v>20140101</v>
      </c>
      <c r="BA212" s="98">
        <f>IF(BA211+1&gt;MiscData!$Z$42,1,BA211+1)</f>
        <v>19</v>
      </c>
      <c r="BB212" s="98" t="str">
        <f>VLOOKUP(BA212,MiscData!$Z$5:$AB$46,2,FALSE)</f>
        <v>LGCSR760</v>
      </c>
      <c r="BC212" s="98" t="str">
        <f>VLOOKUP(BA212,MiscData!$Z$5:$AB$46,3,FALSE)</f>
        <v>CSR</v>
      </c>
    </row>
    <row r="213" spans="1:55">
      <c r="A213" s="108">
        <v>198</v>
      </c>
      <c r="B213" s="109" t="str">
        <f t="shared" si="164"/>
        <v>Jun 2016</v>
      </c>
      <c r="C213" s="110" t="str">
        <f t="shared" si="175"/>
        <v>CSR</v>
      </c>
      <c r="D213" s="110" t="str">
        <f t="shared" si="165"/>
        <v>LGCSR780</v>
      </c>
      <c r="E213" s="111">
        <f t="shared" si="137"/>
        <v>0</v>
      </c>
      <c r="F213" s="112">
        <v>0</v>
      </c>
      <c r="G213" s="111">
        <f t="shared" si="138"/>
        <v>0</v>
      </c>
      <c r="H213" s="111">
        <f t="shared" si="139"/>
        <v>0</v>
      </c>
      <c r="I213" s="111">
        <f t="shared" si="140"/>
        <v>0</v>
      </c>
      <c r="J213" s="111">
        <f t="shared" si="141"/>
        <v>0</v>
      </c>
      <c r="K213" s="113">
        <f t="shared" si="142"/>
        <v>0</v>
      </c>
      <c r="L213" s="113">
        <f t="shared" si="143"/>
        <v>0</v>
      </c>
      <c r="M213" s="113">
        <f t="shared" si="144"/>
        <v>0</v>
      </c>
      <c r="N213" s="116">
        <f t="shared" si="145"/>
        <v>0</v>
      </c>
      <c r="O213" s="117">
        <f t="shared" si="133"/>
        <v>0</v>
      </c>
      <c r="P213" s="117">
        <f t="shared" si="146"/>
        <v>0</v>
      </c>
      <c r="Q213" s="117">
        <f t="shared" si="147"/>
        <v>0</v>
      </c>
      <c r="R213" s="117">
        <f t="shared" si="148"/>
        <v>0</v>
      </c>
      <c r="S213" s="116">
        <f t="shared" si="149"/>
        <v>0</v>
      </c>
      <c r="T213" s="116">
        <f t="shared" si="150"/>
        <v>0</v>
      </c>
      <c r="U213" s="116">
        <f t="shared" si="151"/>
        <v>0</v>
      </c>
      <c r="V213" s="118">
        <f t="shared" si="152"/>
        <v>0</v>
      </c>
      <c r="W213" s="118">
        <f t="shared" si="166"/>
        <v>0</v>
      </c>
      <c r="X213" s="118">
        <f t="shared" si="167"/>
        <v>0</v>
      </c>
      <c r="Y213" s="118">
        <f t="shared" si="168"/>
        <v>0</v>
      </c>
      <c r="Z213" s="118">
        <f t="shared" si="169"/>
        <v>0</v>
      </c>
      <c r="AA213" s="119">
        <v>0</v>
      </c>
      <c r="AB213" s="120">
        <f t="shared" si="153"/>
        <v>0</v>
      </c>
      <c r="AC213" s="118">
        <f t="shared" si="154"/>
        <v>0</v>
      </c>
      <c r="AD213" s="118">
        <f t="shared" si="170"/>
        <v>0</v>
      </c>
      <c r="AE213" s="118">
        <f t="shared" si="155"/>
        <v>0</v>
      </c>
      <c r="AF213" s="121">
        <f t="shared" si="171"/>
        <v>1</v>
      </c>
      <c r="AG213" s="122">
        <f t="shared" si="156"/>
        <v>0</v>
      </c>
      <c r="AH213" s="122">
        <f t="shared" si="157"/>
        <v>0</v>
      </c>
      <c r="AI213" s="122">
        <f t="shared" si="158"/>
        <v>0</v>
      </c>
      <c r="AJ213" s="122">
        <f t="shared" si="159"/>
        <v>0</v>
      </c>
      <c r="AK213" s="122">
        <f t="shared" si="160"/>
        <v>0</v>
      </c>
      <c r="AL213" s="122">
        <f t="shared" si="161"/>
        <v>0</v>
      </c>
      <c r="AM213" s="123">
        <f t="shared" si="162"/>
        <v>0</v>
      </c>
      <c r="AN213" s="123">
        <f t="shared" si="134"/>
        <v>0</v>
      </c>
      <c r="AO213" s="124">
        <f t="shared" si="163"/>
        <v>0</v>
      </c>
      <c r="AP213" s="125">
        <f t="shared" si="172"/>
        <v>0</v>
      </c>
      <c r="AU213" s="109">
        <f>IF(BA213=1,IF(AU212=MiscData!$F$1,EOMONTH(AU212,-11),EOMONTH(AU212,1)),AU212)</f>
        <v>42551</v>
      </c>
      <c r="AV213" s="108" t="str">
        <f t="shared" si="173"/>
        <v>20140101LGCSR780</v>
      </c>
      <c r="AW213" s="126" t="str">
        <f t="shared" si="174"/>
        <v>20140101CSR</v>
      </c>
      <c r="AX213">
        <f>MiscData!$X$5</f>
        <v>20140101</v>
      </c>
      <c r="BA213" s="98">
        <f>IF(BA212+1&gt;MiscData!$Z$42,1,BA212+1)</f>
        <v>20</v>
      </c>
      <c r="BB213" s="98" t="str">
        <f>VLOOKUP(BA213,MiscData!$Z$5:$AB$46,2,FALSE)</f>
        <v>LGCSR780</v>
      </c>
      <c r="BC213" s="98" t="str">
        <f>VLOOKUP(BA213,MiscData!$Z$5:$AB$46,3,FALSE)</f>
        <v>CSR</v>
      </c>
    </row>
    <row r="214" spans="1:55">
      <c r="A214" s="108">
        <v>199</v>
      </c>
      <c r="B214" s="109" t="str">
        <f t="shared" si="164"/>
        <v>Jun 2016</v>
      </c>
      <c r="C214" s="110" t="str">
        <f t="shared" si="175"/>
        <v>FK</v>
      </c>
      <c r="D214" s="110" t="str">
        <f t="shared" si="165"/>
        <v>LGINE599</v>
      </c>
      <c r="E214" s="111">
        <f t="shared" si="137"/>
        <v>1</v>
      </c>
      <c r="F214" s="112">
        <v>0</v>
      </c>
      <c r="G214" s="111">
        <f t="shared" si="138"/>
        <v>0</v>
      </c>
      <c r="H214" s="111">
        <f t="shared" si="139"/>
        <v>0</v>
      </c>
      <c r="I214" s="111">
        <f t="shared" si="140"/>
        <v>0</v>
      </c>
      <c r="J214" s="111">
        <f t="shared" si="141"/>
        <v>10068000</v>
      </c>
      <c r="K214" s="113">
        <f t="shared" si="142"/>
        <v>0</v>
      </c>
      <c r="L214" s="113">
        <f t="shared" si="143"/>
        <v>0</v>
      </c>
      <c r="M214" s="113">
        <f t="shared" si="144"/>
        <v>16030</v>
      </c>
      <c r="N214" s="116">
        <f t="shared" si="145"/>
        <v>0</v>
      </c>
      <c r="O214" s="117">
        <f t="shared" si="133"/>
        <v>3.7400000000000003E-2</v>
      </c>
      <c r="P214" s="117">
        <f t="shared" si="146"/>
        <v>0</v>
      </c>
      <c r="Q214" s="117">
        <f t="shared" si="147"/>
        <v>0</v>
      </c>
      <c r="R214" s="117">
        <f t="shared" si="148"/>
        <v>2.725E-2</v>
      </c>
      <c r="S214" s="116">
        <f t="shared" si="149"/>
        <v>0</v>
      </c>
      <c r="T214" s="116">
        <f t="shared" si="150"/>
        <v>12.72</v>
      </c>
      <c r="U214" s="116">
        <f t="shared" si="151"/>
        <v>15.040000000000001</v>
      </c>
      <c r="V214" s="118">
        <f t="shared" si="152"/>
        <v>0</v>
      </c>
      <c r="W214" s="118">
        <f t="shared" si="166"/>
        <v>376543.2</v>
      </c>
      <c r="X214" s="118">
        <f t="shared" si="167"/>
        <v>0</v>
      </c>
      <c r="Y214" s="118">
        <f t="shared" si="168"/>
        <v>0</v>
      </c>
      <c r="Z214" s="118">
        <f t="shared" si="169"/>
        <v>241091.20000000001</v>
      </c>
      <c r="AA214" s="119">
        <v>0</v>
      </c>
      <c r="AB214" s="120">
        <f t="shared" si="153"/>
        <v>0</v>
      </c>
      <c r="AC214" s="118">
        <f t="shared" si="154"/>
        <v>241091.20000000001</v>
      </c>
      <c r="AD214" s="118">
        <f>SUM(V214:AB214)</f>
        <v>617634.4</v>
      </c>
      <c r="AE214" s="118">
        <f t="shared" si="155"/>
        <v>617635</v>
      </c>
      <c r="AF214" s="121">
        <f t="shared" si="171"/>
        <v>1.0000009999999999</v>
      </c>
      <c r="AG214" s="122">
        <f t="shared" si="156"/>
        <v>15253</v>
      </c>
      <c r="AH214" s="122">
        <f t="shared" si="157"/>
        <v>0</v>
      </c>
      <c r="AI214" s="122">
        <f t="shared" si="158"/>
        <v>92920</v>
      </c>
      <c r="AJ214" s="122">
        <f t="shared" si="159"/>
        <v>0</v>
      </c>
      <c r="AK214" s="122">
        <f t="shared" si="160"/>
        <v>0</v>
      </c>
      <c r="AL214" s="122">
        <f t="shared" si="161"/>
        <v>725808</v>
      </c>
      <c r="AM214" s="123">
        <f t="shared" si="162"/>
        <v>725807.4</v>
      </c>
      <c r="AN214" s="123">
        <f t="shared" si="134"/>
        <v>0.59999999997671694</v>
      </c>
      <c r="AO214" s="124">
        <f t="shared" si="163"/>
        <v>274353</v>
      </c>
      <c r="AP214" s="125">
        <f t="shared" si="172"/>
        <v>102190.20000000001</v>
      </c>
      <c r="AU214" s="109">
        <f>IF(BA214=1,IF(AU213=MiscData!$F$1,EOMONTH(AU213,-11),EOMONTH(AU213,1)),AU213)</f>
        <v>42551</v>
      </c>
      <c r="AV214" s="108" t="str">
        <f t="shared" si="173"/>
        <v>20140101LGINE599</v>
      </c>
      <c r="AW214" s="126" t="str">
        <f t="shared" si="174"/>
        <v>20140101FK</v>
      </c>
      <c r="AX214">
        <f>MiscData!$X$5</f>
        <v>20140101</v>
      </c>
      <c r="BA214" s="98">
        <f>IF(BA213+1&gt;MiscData!$Z$42,1,BA213+1)</f>
        <v>21</v>
      </c>
      <c r="BB214" s="98" t="str">
        <f>VLOOKUP(BA214,MiscData!$Z$5:$AB$46,2,FALSE)</f>
        <v>LGINE599</v>
      </c>
      <c r="BC214" s="98" t="str">
        <f>VLOOKUP(BA214,MiscData!$Z$5:$AB$46,3,FALSE)</f>
        <v>FK</v>
      </c>
    </row>
    <row r="215" spans="1:55">
      <c r="A215" s="108">
        <v>200</v>
      </c>
      <c r="B215" s="109" t="str">
        <f t="shared" si="164"/>
        <v>Jun 2016</v>
      </c>
      <c r="C215" s="110" t="str">
        <f t="shared" si="175"/>
        <v>RTS</v>
      </c>
      <c r="D215" s="110" t="str">
        <f t="shared" si="165"/>
        <v>LGINE643</v>
      </c>
      <c r="E215" s="111">
        <f t="shared" si="137"/>
        <v>12</v>
      </c>
      <c r="F215" s="112">
        <v>0</v>
      </c>
      <c r="G215" s="111">
        <f t="shared" si="138"/>
        <v>0</v>
      </c>
      <c r="H215" s="111">
        <f t="shared" si="139"/>
        <v>0</v>
      </c>
      <c r="I215" s="111">
        <f t="shared" si="140"/>
        <v>0</v>
      </c>
      <c r="J215" s="111">
        <f t="shared" si="141"/>
        <v>85948776</v>
      </c>
      <c r="K215" s="113">
        <f t="shared" si="142"/>
        <v>165068</v>
      </c>
      <c r="L215" s="113">
        <f t="shared" si="143"/>
        <v>162432</v>
      </c>
      <c r="M215" s="113">
        <f t="shared" si="144"/>
        <v>104436</v>
      </c>
      <c r="N215" s="116">
        <f t="shared" si="145"/>
        <v>750</v>
      </c>
      <c r="O215" s="117">
        <f t="shared" si="133"/>
        <v>3.61E-2</v>
      </c>
      <c r="P215" s="117">
        <f t="shared" si="146"/>
        <v>0</v>
      </c>
      <c r="Q215" s="117">
        <f t="shared" si="147"/>
        <v>0</v>
      </c>
      <c r="R215" s="117">
        <f t="shared" si="148"/>
        <v>2.725E-2</v>
      </c>
      <c r="S215" s="116">
        <f t="shared" si="149"/>
        <v>2.75</v>
      </c>
      <c r="T215" s="116">
        <f t="shared" si="150"/>
        <v>3</v>
      </c>
      <c r="U215" s="116">
        <f t="shared" si="151"/>
        <v>4.5500000000000007</v>
      </c>
      <c r="V215" s="118">
        <f t="shared" si="152"/>
        <v>9000</v>
      </c>
      <c r="W215" s="118">
        <f t="shared" si="166"/>
        <v>3102750.81</v>
      </c>
      <c r="X215" s="118">
        <f t="shared" si="167"/>
        <v>453937</v>
      </c>
      <c r="Y215" s="118">
        <f t="shared" si="168"/>
        <v>487296</v>
      </c>
      <c r="Z215" s="118">
        <f t="shared" si="169"/>
        <v>475183.8</v>
      </c>
      <c r="AA215" s="119">
        <v>0</v>
      </c>
      <c r="AB215" s="120">
        <f t="shared" si="153"/>
        <v>0</v>
      </c>
      <c r="AC215" s="118">
        <f t="shared" si="154"/>
        <v>1416416.8</v>
      </c>
      <c r="AD215" s="118">
        <f t="shared" si="170"/>
        <v>4528167.6100000003</v>
      </c>
      <c r="AE215" s="118">
        <f t="shared" si="155"/>
        <v>4528171</v>
      </c>
      <c r="AF215" s="121">
        <f t="shared" si="171"/>
        <v>1.0000009999999999</v>
      </c>
      <c r="AG215" s="122">
        <f t="shared" si="156"/>
        <v>130212</v>
      </c>
      <c r="AH215" s="122">
        <f t="shared" si="157"/>
        <v>0</v>
      </c>
      <c r="AI215" s="122">
        <f t="shared" si="158"/>
        <v>793246</v>
      </c>
      <c r="AJ215" s="122">
        <f t="shared" si="159"/>
        <v>0</v>
      </c>
      <c r="AK215" s="122">
        <f t="shared" si="160"/>
        <v>0</v>
      </c>
      <c r="AL215" s="122">
        <f t="shared" si="161"/>
        <v>5451629</v>
      </c>
      <c r="AM215" s="123">
        <f t="shared" si="162"/>
        <v>5451625.6100000003</v>
      </c>
      <c r="AN215" s="123">
        <f t="shared" si="134"/>
        <v>3.3899999996647239</v>
      </c>
      <c r="AO215" s="124">
        <f t="shared" si="163"/>
        <v>2342104.15</v>
      </c>
      <c r="AP215" s="125">
        <f t="shared" si="172"/>
        <v>760646.66000000015</v>
      </c>
      <c r="AU215" s="109">
        <f>IF(BA215=1,IF(AU214=MiscData!$F$1,EOMONTH(AU214,-11),EOMONTH(AU214,1)),AU214)</f>
        <v>42551</v>
      </c>
      <c r="AV215" s="108" t="str">
        <f t="shared" si="173"/>
        <v>20140101LGINE643</v>
      </c>
      <c r="AW215" s="126" t="str">
        <f t="shared" si="174"/>
        <v>20140101RTS</v>
      </c>
      <c r="AX215">
        <f>MiscData!$X$5</f>
        <v>20140101</v>
      </c>
      <c r="BA215" s="98">
        <f>IF(BA214+1&gt;MiscData!$Z$42,1,BA214+1)</f>
        <v>22</v>
      </c>
      <c r="BB215" s="98" t="str">
        <f>VLOOKUP(BA215,MiscData!$Z$5:$AB$46,2,FALSE)</f>
        <v>LGINE643</v>
      </c>
      <c r="BC215" s="98" t="str">
        <f>VLOOKUP(BA215,MiscData!$Z$5:$AB$46,3,FALSE)</f>
        <v>RTS</v>
      </c>
    </row>
    <row r="216" spans="1:55">
      <c r="A216" s="108">
        <v>201</v>
      </c>
      <c r="B216" s="109" t="str">
        <f t="shared" si="164"/>
        <v>Jun 2016</v>
      </c>
      <c r="C216" s="110" t="str">
        <f t="shared" si="175"/>
        <v>PSS</v>
      </c>
      <c r="D216" s="110" t="str">
        <f t="shared" si="165"/>
        <v>LGINE661</v>
      </c>
      <c r="E216" s="111">
        <f t="shared" si="137"/>
        <v>211</v>
      </c>
      <c r="F216" s="112">
        <v>0</v>
      </c>
      <c r="G216" s="111">
        <f t="shared" si="138"/>
        <v>0</v>
      </c>
      <c r="H216" s="111">
        <f t="shared" si="139"/>
        <v>0</v>
      </c>
      <c r="I216" s="111">
        <f t="shared" si="140"/>
        <v>0</v>
      </c>
      <c r="J216" s="111">
        <f t="shared" si="141"/>
        <v>21823098</v>
      </c>
      <c r="K216" s="113">
        <f t="shared" si="142"/>
        <v>0</v>
      </c>
      <c r="L216" s="113">
        <f t="shared" si="143"/>
        <v>0</v>
      </c>
      <c r="M216" s="113">
        <f t="shared" si="144"/>
        <v>62552</v>
      </c>
      <c r="N216" s="116">
        <f t="shared" si="145"/>
        <v>90</v>
      </c>
      <c r="O216" s="117">
        <f t="shared" si="133"/>
        <v>4.0599999999999997E-2</v>
      </c>
      <c r="P216" s="117">
        <f t="shared" si="146"/>
        <v>0</v>
      </c>
      <c r="Q216" s="117">
        <f t="shared" si="147"/>
        <v>0</v>
      </c>
      <c r="R216" s="117">
        <f t="shared" si="148"/>
        <v>2.725E-2</v>
      </c>
      <c r="S216" s="116">
        <f t="shared" si="149"/>
        <v>0</v>
      </c>
      <c r="T216" s="116">
        <f t="shared" si="150"/>
        <v>14.010000000000002</v>
      </c>
      <c r="U216" s="116">
        <f t="shared" si="151"/>
        <v>16.399999999999999</v>
      </c>
      <c r="V216" s="118">
        <f t="shared" si="152"/>
        <v>18990</v>
      </c>
      <c r="W216" s="118">
        <f t="shared" si="166"/>
        <v>886017.78</v>
      </c>
      <c r="X216" s="118">
        <f t="shared" si="167"/>
        <v>0</v>
      </c>
      <c r="Y216" s="118">
        <f t="shared" si="168"/>
        <v>0</v>
      </c>
      <c r="Z216" s="118">
        <f t="shared" si="169"/>
        <v>1025852.8</v>
      </c>
      <c r="AA216" s="119">
        <v>0</v>
      </c>
      <c r="AB216" s="120">
        <f t="shared" si="153"/>
        <v>0</v>
      </c>
      <c r="AC216" s="118">
        <f t="shared" si="154"/>
        <v>1025852.8</v>
      </c>
      <c r="AD216" s="118">
        <f t="shared" si="170"/>
        <v>1930860.58</v>
      </c>
      <c r="AE216" s="118">
        <f t="shared" si="155"/>
        <v>1930854</v>
      </c>
      <c r="AF216" s="121">
        <f t="shared" si="171"/>
        <v>0.99999700000000002</v>
      </c>
      <c r="AG216" s="122">
        <f t="shared" si="156"/>
        <v>33062</v>
      </c>
      <c r="AH216" s="122">
        <f t="shared" si="157"/>
        <v>35880</v>
      </c>
      <c r="AI216" s="122">
        <f t="shared" si="158"/>
        <v>201412</v>
      </c>
      <c r="AJ216" s="122">
        <f t="shared" si="159"/>
        <v>0</v>
      </c>
      <c r="AK216" s="122">
        <f t="shared" si="160"/>
        <v>0</v>
      </c>
      <c r="AL216" s="122">
        <f t="shared" si="161"/>
        <v>2201208</v>
      </c>
      <c r="AM216" s="123">
        <f t="shared" si="162"/>
        <v>2201214.58</v>
      </c>
      <c r="AN216" s="123">
        <f t="shared" si="134"/>
        <v>-6.5800000000745058</v>
      </c>
      <c r="AO216" s="124">
        <f t="shared" si="163"/>
        <v>594679.42000000004</v>
      </c>
      <c r="AP216" s="125">
        <f t="shared" si="172"/>
        <v>291338.36</v>
      </c>
      <c r="AU216" s="109">
        <f>IF(BA216=1,IF(AU215=MiscData!$F$1,EOMONTH(AU215,-11),EOMONTH(AU215,1)),AU215)</f>
        <v>42551</v>
      </c>
      <c r="AV216" s="108" t="str">
        <f t="shared" si="173"/>
        <v>20140101LGINE661</v>
      </c>
      <c r="AW216" s="126" t="str">
        <f t="shared" si="174"/>
        <v>20140101PSS</v>
      </c>
      <c r="AX216">
        <f>MiscData!$X$5</f>
        <v>20140101</v>
      </c>
      <c r="BA216" s="98">
        <f>IF(BA215+1&gt;MiscData!$Z$42,1,BA215+1)</f>
        <v>23</v>
      </c>
      <c r="BB216" s="98" t="str">
        <f>VLOOKUP(BA216,MiscData!$Z$5:$AB$46,2,FALSE)</f>
        <v>LGINE661</v>
      </c>
      <c r="BC216" s="98" t="str">
        <f>VLOOKUP(BA216,MiscData!$Z$5:$AB$46,3,FALSE)</f>
        <v>PSS</v>
      </c>
    </row>
    <row r="217" spans="1:55">
      <c r="A217" s="108">
        <v>202</v>
      </c>
      <c r="B217" s="109" t="str">
        <f t="shared" si="164"/>
        <v>Jun 2016</v>
      </c>
      <c r="C217" s="110" t="str">
        <f t="shared" si="175"/>
        <v>PSP</v>
      </c>
      <c r="D217" s="110" t="str">
        <f t="shared" si="165"/>
        <v>LGINE663</v>
      </c>
      <c r="E217" s="111">
        <f t="shared" si="137"/>
        <v>21</v>
      </c>
      <c r="F217" s="112">
        <v>0</v>
      </c>
      <c r="G217" s="111">
        <f t="shared" si="138"/>
        <v>0</v>
      </c>
      <c r="H217" s="111">
        <f t="shared" si="139"/>
        <v>0</v>
      </c>
      <c r="I217" s="111">
        <f t="shared" si="140"/>
        <v>0</v>
      </c>
      <c r="J217" s="111">
        <f t="shared" si="141"/>
        <v>1298252</v>
      </c>
      <c r="K217" s="113">
        <f t="shared" si="142"/>
        <v>0</v>
      </c>
      <c r="L217" s="113">
        <f t="shared" si="143"/>
        <v>0</v>
      </c>
      <c r="M217" s="113">
        <f t="shared" si="144"/>
        <v>4327</v>
      </c>
      <c r="N217" s="116">
        <f t="shared" si="145"/>
        <v>170</v>
      </c>
      <c r="O217" s="117">
        <f t="shared" si="133"/>
        <v>3.9260000000000003E-2</v>
      </c>
      <c r="P217" s="117">
        <f t="shared" si="146"/>
        <v>0</v>
      </c>
      <c r="Q217" s="117">
        <f t="shared" si="147"/>
        <v>0</v>
      </c>
      <c r="R217" s="117">
        <f t="shared" si="148"/>
        <v>2.725E-2</v>
      </c>
      <c r="S217" s="116">
        <f t="shared" si="149"/>
        <v>0</v>
      </c>
      <c r="T217" s="116">
        <f t="shared" si="150"/>
        <v>11.660000000000002</v>
      </c>
      <c r="U217" s="116">
        <f t="shared" si="151"/>
        <v>13.950000000000001</v>
      </c>
      <c r="V217" s="118">
        <f t="shared" si="152"/>
        <v>3570</v>
      </c>
      <c r="W217" s="118">
        <f t="shared" si="166"/>
        <v>50969.37</v>
      </c>
      <c r="X217" s="118">
        <f t="shared" si="167"/>
        <v>0</v>
      </c>
      <c r="Y217" s="118">
        <f t="shared" si="168"/>
        <v>0</v>
      </c>
      <c r="Z217" s="118">
        <f t="shared" si="169"/>
        <v>60361.65</v>
      </c>
      <c r="AA217" s="119">
        <v>0</v>
      </c>
      <c r="AB217" s="120">
        <f t="shared" si="153"/>
        <v>0</v>
      </c>
      <c r="AC217" s="118">
        <f t="shared" si="154"/>
        <v>60361.65</v>
      </c>
      <c r="AD217" s="118">
        <f t="shared" si="170"/>
        <v>114901.02</v>
      </c>
      <c r="AE217" s="118">
        <f t="shared" si="155"/>
        <v>114898</v>
      </c>
      <c r="AF217" s="121">
        <f t="shared" si="171"/>
        <v>0.99997400000000003</v>
      </c>
      <c r="AG217" s="122">
        <f t="shared" si="156"/>
        <v>1967</v>
      </c>
      <c r="AH217" s="122">
        <f t="shared" si="157"/>
        <v>2135</v>
      </c>
      <c r="AI217" s="122">
        <f t="shared" si="158"/>
        <v>11982</v>
      </c>
      <c r="AJ217" s="122">
        <f t="shared" si="159"/>
        <v>0</v>
      </c>
      <c r="AK217" s="122">
        <f t="shared" si="160"/>
        <v>0</v>
      </c>
      <c r="AL217" s="122">
        <f t="shared" si="161"/>
        <v>130982</v>
      </c>
      <c r="AM217" s="123">
        <f t="shared" si="162"/>
        <v>130985.02</v>
      </c>
      <c r="AN217" s="123">
        <f t="shared" si="134"/>
        <v>-3.0200000000040745</v>
      </c>
      <c r="AO217" s="124">
        <f t="shared" si="163"/>
        <v>35377.370000000003</v>
      </c>
      <c r="AP217" s="125">
        <f t="shared" si="172"/>
        <v>15592</v>
      </c>
      <c r="AU217" s="109">
        <f>IF(BA217=1,IF(AU216=MiscData!$F$1,EOMONTH(AU216,-11),EOMONTH(AU216,1)),AU216)</f>
        <v>42551</v>
      </c>
      <c r="AV217" s="108" t="str">
        <f t="shared" si="173"/>
        <v>20140101LGINE663</v>
      </c>
      <c r="AW217" s="126" t="str">
        <f t="shared" si="174"/>
        <v>20140101PSP</v>
      </c>
      <c r="AX217">
        <f>MiscData!$X$5</f>
        <v>20140101</v>
      </c>
      <c r="BA217" s="98">
        <f>IF(BA216+1&gt;MiscData!$Z$42,1,BA216+1)</f>
        <v>24</v>
      </c>
      <c r="BB217" s="98" t="str">
        <f>VLOOKUP(BA217,MiscData!$Z$5:$AB$46,2,FALSE)</f>
        <v>LGINE663</v>
      </c>
      <c r="BC217" s="98" t="str">
        <f>VLOOKUP(BA217,MiscData!$Z$5:$AB$46,3,FALSE)</f>
        <v>PSP</v>
      </c>
    </row>
    <row r="218" spans="1:55">
      <c r="A218" s="108">
        <v>203</v>
      </c>
      <c r="B218" s="109" t="str">
        <f t="shared" si="164"/>
        <v>Jun 2016</v>
      </c>
      <c r="C218" s="110" t="str">
        <f t="shared" si="175"/>
        <v>TODS</v>
      </c>
      <c r="D218" s="110" t="str">
        <f t="shared" si="165"/>
        <v>LGINE691</v>
      </c>
      <c r="E218" s="111">
        <f t="shared" si="137"/>
        <v>100</v>
      </c>
      <c r="F218" s="112">
        <v>0</v>
      </c>
      <c r="G218" s="111">
        <f t="shared" si="138"/>
        <v>0</v>
      </c>
      <c r="H218" s="111">
        <f t="shared" si="139"/>
        <v>0</v>
      </c>
      <c r="I218" s="111">
        <f t="shared" si="140"/>
        <v>0</v>
      </c>
      <c r="J218" s="111">
        <f t="shared" si="141"/>
        <v>25167481</v>
      </c>
      <c r="K218" s="113">
        <f t="shared" si="142"/>
        <v>58439</v>
      </c>
      <c r="L218" s="113">
        <f t="shared" si="143"/>
        <v>54724</v>
      </c>
      <c r="M218" s="113">
        <f t="shared" si="144"/>
        <v>52686</v>
      </c>
      <c r="N218" s="116">
        <f t="shared" si="145"/>
        <v>200</v>
      </c>
      <c r="O218" s="117">
        <f t="shared" si="133"/>
        <v>3.9899999999999998E-2</v>
      </c>
      <c r="P218" s="117">
        <f t="shared" si="146"/>
        <v>0</v>
      </c>
      <c r="Q218" s="117">
        <f t="shared" si="147"/>
        <v>0</v>
      </c>
      <c r="R218" s="117">
        <f t="shared" si="148"/>
        <v>2.725E-2</v>
      </c>
      <c r="S218" s="116">
        <f t="shared" si="149"/>
        <v>4</v>
      </c>
      <c r="T218" s="116">
        <f t="shared" si="150"/>
        <v>4.5100000000000007</v>
      </c>
      <c r="U218" s="116">
        <f t="shared" si="151"/>
        <v>6.11</v>
      </c>
      <c r="V218" s="118">
        <f t="shared" si="152"/>
        <v>20000</v>
      </c>
      <c r="W218" s="118">
        <f t="shared" si="166"/>
        <v>1004182.49</v>
      </c>
      <c r="X218" s="118">
        <f t="shared" si="167"/>
        <v>233756</v>
      </c>
      <c r="Y218" s="118">
        <f t="shared" si="168"/>
        <v>246805.24</v>
      </c>
      <c r="Z218" s="118">
        <f t="shared" si="169"/>
        <v>321911.46000000002</v>
      </c>
      <c r="AA218" s="119">
        <v>0</v>
      </c>
      <c r="AB218" s="120">
        <f t="shared" si="153"/>
        <v>0</v>
      </c>
      <c r="AC218" s="118">
        <f t="shared" si="154"/>
        <v>802472.7</v>
      </c>
      <c r="AD218" s="118">
        <f t="shared" si="170"/>
        <v>1826655.19</v>
      </c>
      <c r="AE218" s="118">
        <f t="shared" si="155"/>
        <v>1826656</v>
      </c>
      <c r="AF218" s="121">
        <f t="shared" si="171"/>
        <v>1</v>
      </c>
      <c r="AG218" s="122">
        <f t="shared" si="156"/>
        <v>38128</v>
      </c>
      <c r="AH218" s="122">
        <f t="shared" si="157"/>
        <v>41379</v>
      </c>
      <c r="AI218" s="122">
        <f t="shared" si="158"/>
        <v>232278</v>
      </c>
      <c r="AJ218" s="122">
        <f t="shared" si="159"/>
        <v>0</v>
      </c>
      <c r="AK218" s="122">
        <f t="shared" si="160"/>
        <v>0</v>
      </c>
      <c r="AL218" s="122">
        <f t="shared" si="161"/>
        <v>2138441</v>
      </c>
      <c r="AM218" s="123">
        <f t="shared" si="162"/>
        <v>2138440.19</v>
      </c>
      <c r="AN218" s="123">
        <f t="shared" si="134"/>
        <v>0.81000000005587935</v>
      </c>
      <c r="AO218" s="124">
        <f t="shared" si="163"/>
        <v>685813.86</v>
      </c>
      <c r="AP218" s="125">
        <f t="shared" si="172"/>
        <v>318368.63</v>
      </c>
      <c r="AU218" s="109">
        <f>IF(BA218=1,IF(AU217=MiscData!$F$1,EOMONTH(AU217,-11),EOMONTH(AU217,1)),AU217)</f>
        <v>42551</v>
      </c>
      <c r="AV218" s="108" t="str">
        <f t="shared" si="173"/>
        <v>20140101LGINE691</v>
      </c>
      <c r="AW218" s="126" t="str">
        <f t="shared" si="174"/>
        <v>20140101TODS</v>
      </c>
      <c r="AX218">
        <f>MiscData!$X$5</f>
        <v>20140101</v>
      </c>
      <c r="BA218" s="98">
        <f>IF(BA217+1&gt;MiscData!$Z$42,1,BA217+1)</f>
        <v>25</v>
      </c>
      <c r="BB218" s="98" t="str">
        <f>VLOOKUP(BA218,MiscData!$Z$5:$AB$46,2,FALSE)</f>
        <v>LGINE691</v>
      </c>
      <c r="BC218" s="98" t="str">
        <f>VLOOKUP(BA218,MiscData!$Z$5:$AB$46,3,FALSE)</f>
        <v>TODS</v>
      </c>
    </row>
    <row r="219" spans="1:55">
      <c r="A219" s="108">
        <v>204</v>
      </c>
      <c r="B219" s="109" t="str">
        <f t="shared" si="164"/>
        <v>Jun 2016</v>
      </c>
      <c r="C219" s="110" t="str">
        <f t="shared" si="175"/>
        <v>ITODP</v>
      </c>
      <c r="D219" s="110" t="str">
        <f t="shared" si="165"/>
        <v>LGINE693</v>
      </c>
      <c r="E219" s="111">
        <f t="shared" si="137"/>
        <v>72</v>
      </c>
      <c r="F219" s="112">
        <v>0</v>
      </c>
      <c r="G219" s="111">
        <f t="shared" si="138"/>
        <v>0</v>
      </c>
      <c r="H219" s="111">
        <f t="shared" si="139"/>
        <v>0</v>
      </c>
      <c r="I219" s="111">
        <f t="shared" si="140"/>
        <v>0</v>
      </c>
      <c r="J219" s="111">
        <f t="shared" si="141"/>
        <v>163708445</v>
      </c>
      <c r="K219" s="113">
        <f t="shared" si="142"/>
        <v>369509</v>
      </c>
      <c r="L219" s="113">
        <f t="shared" si="143"/>
        <v>335463</v>
      </c>
      <c r="M219" s="113">
        <f t="shared" si="144"/>
        <v>331007</v>
      </c>
      <c r="N219" s="116">
        <f t="shared" si="145"/>
        <v>300</v>
      </c>
      <c r="O219" s="117">
        <f t="shared" si="133"/>
        <v>3.5380000000000002E-2</v>
      </c>
      <c r="P219" s="117">
        <f t="shared" si="146"/>
        <v>0</v>
      </c>
      <c r="Q219" s="117">
        <f t="shared" si="147"/>
        <v>0</v>
      </c>
      <c r="R219" s="117">
        <f t="shared" si="148"/>
        <v>2.725E-2</v>
      </c>
      <c r="S219" s="116">
        <f t="shared" si="149"/>
        <v>3.6300000000000003</v>
      </c>
      <c r="T219" s="116">
        <f t="shared" si="150"/>
        <v>3.7900000000000005</v>
      </c>
      <c r="U219" s="116">
        <f t="shared" si="151"/>
        <v>4.63</v>
      </c>
      <c r="V219" s="118">
        <f t="shared" si="152"/>
        <v>21600</v>
      </c>
      <c r="W219" s="118">
        <f t="shared" si="166"/>
        <v>5792004.7800000003</v>
      </c>
      <c r="X219" s="118">
        <f t="shared" si="167"/>
        <v>1341317.67</v>
      </c>
      <c r="Y219" s="118">
        <f t="shared" si="168"/>
        <v>1271404.77</v>
      </c>
      <c r="Z219" s="118">
        <f t="shared" si="169"/>
        <v>1532562.41</v>
      </c>
      <c r="AA219" s="119">
        <v>0</v>
      </c>
      <c r="AB219" s="120">
        <f t="shared" si="153"/>
        <v>0</v>
      </c>
      <c r="AC219" s="118">
        <f t="shared" si="154"/>
        <v>4145284.8499999996</v>
      </c>
      <c r="AD219" s="118">
        <f t="shared" si="170"/>
        <v>9958889.6300000008</v>
      </c>
      <c r="AE219" s="118">
        <f t="shared" si="155"/>
        <v>9958889</v>
      </c>
      <c r="AF219" s="121">
        <f t="shared" si="171"/>
        <v>1</v>
      </c>
      <c r="AG219" s="122">
        <f t="shared" si="156"/>
        <v>248017</v>
      </c>
      <c r="AH219" s="122">
        <f t="shared" si="157"/>
        <v>269159</v>
      </c>
      <c r="AI219" s="122">
        <f t="shared" si="158"/>
        <v>1510911</v>
      </c>
      <c r="AJ219" s="122">
        <f t="shared" si="159"/>
        <v>0</v>
      </c>
      <c r="AK219" s="122">
        <f t="shared" si="160"/>
        <v>0</v>
      </c>
      <c r="AL219" s="122">
        <f t="shared" si="161"/>
        <v>11986976</v>
      </c>
      <c r="AM219" s="123">
        <f t="shared" si="162"/>
        <v>11986976.630000001</v>
      </c>
      <c r="AN219" s="123">
        <f t="shared" ref="AN219:AN223" si="176">ROUND(AL219-AM219,2)</f>
        <v>-0.63</v>
      </c>
      <c r="AO219" s="124">
        <f t="shared" si="163"/>
        <v>4461055.13</v>
      </c>
      <c r="AP219" s="125">
        <f t="shared" si="172"/>
        <v>1330949.6500000004</v>
      </c>
      <c r="AU219" s="109">
        <f>IF(BA219=1,IF(AU218=MiscData!$F$1,EOMONTH(AU218,-11),EOMONTH(AU218,1)),AU218)</f>
        <v>42551</v>
      </c>
      <c r="AV219" s="108" t="str">
        <f t="shared" si="173"/>
        <v>20140101LGINE693</v>
      </c>
      <c r="AW219" s="126" t="str">
        <f t="shared" si="174"/>
        <v>20140101ITODP</v>
      </c>
      <c r="AX219">
        <f>MiscData!$X$5</f>
        <v>20140101</v>
      </c>
      <c r="BA219" s="98">
        <f>IF(BA218+1&gt;MiscData!$Z$42,1,BA218+1)</f>
        <v>26</v>
      </c>
      <c r="BB219" s="98" t="str">
        <f>VLOOKUP(BA219,MiscData!$Z$5:$AB$46,2,FALSE)</f>
        <v>LGINE693</v>
      </c>
      <c r="BC219" s="98" t="str">
        <f>VLOOKUP(BA219,MiscData!$Z$5:$AB$46,3,FALSE)</f>
        <v>ITODP</v>
      </c>
    </row>
    <row r="220" spans="1:55">
      <c r="A220" s="108">
        <v>205</v>
      </c>
      <c r="B220" s="109" t="str">
        <f t="shared" si="164"/>
        <v>Jun 2016</v>
      </c>
      <c r="C220" s="110" t="str">
        <f t="shared" si="175"/>
        <v>ITODP</v>
      </c>
      <c r="D220" s="110" t="str">
        <f t="shared" si="165"/>
        <v>LGINE694</v>
      </c>
      <c r="E220" s="111">
        <f t="shared" si="137"/>
        <v>0</v>
      </c>
      <c r="F220" s="112">
        <v>0</v>
      </c>
      <c r="G220" s="111">
        <f t="shared" si="138"/>
        <v>0</v>
      </c>
      <c r="H220" s="111">
        <f t="shared" si="139"/>
        <v>0</v>
      </c>
      <c r="I220" s="111">
        <f t="shared" si="140"/>
        <v>0</v>
      </c>
      <c r="J220" s="111">
        <f t="shared" si="141"/>
        <v>0</v>
      </c>
      <c r="K220" s="113">
        <f t="shared" si="142"/>
        <v>0</v>
      </c>
      <c r="L220" s="113">
        <f t="shared" si="143"/>
        <v>0</v>
      </c>
      <c r="M220" s="113">
        <f t="shared" si="144"/>
        <v>0</v>
      </c>
      <c r="N220" s="116">
        <f t="shared" si="145"/>
        <v>300</v>
      </c>
      <c r="O220" s="117">
        <f t="shared" si="133"/>
        <v>3.5380000000000002E-2</v>
      </c>
      <c r="P220" s="117">
        <f t="shared" si="146"/>
        <v>0</v>
      </c>
      <c r="Q220" s="117">
        <f t="shared" si="147"/>
        <v>0</v>
      </c>
      <c r="R220" s="117">
        <f t="shared" si="148"/>
        <v>2.725E-2</v>
      </c>
      <c r="S220" s="116">
        <f t="shared" si="149"/>
        <v>3.6300000000000003</v>
      </c>
      <c r="T220" s="116">
        <f t="shared" si="150"/>
        <v>3.7900000000000005</v>
      </c>
      <c r="U220" s="116">
        <f t="shared" si="151"/>
        <v>4.63</v>
      </c>
      <c r="V220" s="118">
        <f t="shared" si="152"/>
        <v>0</v>
      </c>
      <c r="W220" s="118">
        <f t="shared" si="166"/>
        <v>0</v>
      </c>
      <c r="X220" s="118">
        <f t="shared" si="167"/>
        <v>0</v>
      </c>
      <c r="Y220" s="118">
        <f t="shared" si="168"/>
        <v>0</v>
      </c>
      <c r="Z220" s="118">
        <f t="shared" si="169"/>
        <v>0</v>
      </c>
      <c r="AA220" s="119">
        <v>0</v>
      </c>
      <c r="AB220" s="120">
        <f t="shared" si="153"/>
        <v>0</v>
      </c>
      <c r="AC220" s="118">
        <f t="shared" si="154"/>
        <v>0</v>
      </c>
      <c r="AD220" s="118">
        <f t="shared" si="170"/>
        <v>0</v>
      </c>
      <c r="AE220" s="118">
        <f t="shared" si="155"/>
        <v>0</v>
      </c>
      <c r="AF220" s="121">
        <f t="shared" si="171"/>
        <v>1</v>
      </c>
      <c r="AG220" s="122">
        <f t="shared" si="156"/>
        <v>0</v>
      </c>
      <c r="AH220" s="122">
        <f t="shared" si="157"/>
        <v>0</v>
      </c>
      <c r="AI220" s="122">
        <f t="shared" si="158"/>
        <v>0</v>
      </c>
      <c r="AJ220" s="122">
        <f t="shared" si="159"/>
        <v>0</v>
      </c>
      <c r="AK220" s="122">
        <f t="shared" si="160"/>
        <v>0</v>
      </c>
      <c r="AL220" s="122">
        <f t="shared" si="161"/>
        <v>0</v>
      </c>
      <c r="AM220" s="123">
        <f t="shared" si="162"/>
        <v>0</v>
      </c>
      <c r="AN220" s="123">
        <f t="shared" si="176"/>
        <v>0</v>
      </c>
      <c r="AO220" s="124">
        <f t="shared" si="163"/>
        <v>0</v>
      </c>
      <c r="AP220" s="125">
        <f t="shared" si="172"/>
        <v>0</v>
      </c>
      <c r="AU220" s="109">
        <f>IF(BA220=1,IF(AU219=MiscData!$F$1,EOMONTH(AU219,-11),EOMONTH(AU219,1)),AU219)</f>
        <v>42551</v>
      </c>
      <c r="AV220" s="108" t="str">
        <f t="shared" si="173"/>
        <v>20140101LGINE694</v>
      </c>
      <c r="AW220" s="126" t="str">
        <f t="shared" si="174"/>
        <v>20140101ITODP</v>
      </c>
      <c r="AX220">
        <f>MiscData!$X$5</f>
        <v>20140101</v>
      </c>
      <c r="BA220" s="98">
        <f>IF(BA219+1&gt;MiscData!$Z$42,1,BA219+1)</f>
        <v>27</v>
      </c>
      <c r="BB220" s="98" t="str">
        <f>VLOOKUP(BA220,MiscData!$Z$5:$AB$46,2,FALSE)</f>
        <v>LGINE694</v>
      </c>
      <c r="BC220" s="98" t="str">
        <f>VLOOKUP(BA220,MiscData!$Z$5:$AB$46,3,FALSE)</f>
        <v>ITODP</v>
      </c>
    </row>
    <row r="221" spans="1:55">
      <c r="A221" s="108">
        <v>206</v>
      </c>
      <c r="B221" s="109" t="str">
        <f t="shared" si="164"/>
        <v>Jun 2016</v>
      </c>
      <c r="C221" s="110" t="str">
        <f t="shared" si="175"/>
        <v>LE</v>
      </c>
      <c r="D221" s="110" t="str">
        <f t="shared" si="165"/>
        <v>LGMLE570</v>
      </c>
      <c r="E221" s="111">
        <f t="shared" si="137"/>
        <v>0</v>
      </c>
      <c r="F221" s="112">
        <v>0</v>
      </c>
      <c r="G221" s="111">
        <f t="shared" si="138"/>
        <v>0</v>
      </c>
      <c r="H221" s="111">
        <f t="shared" si="139"/>
        <v>0</v>
      </c>
      <c r="I221" s="111">
        <f t="shared" si="140"/>
        <v>0</v>
      </c>
      <c r="J221" s="111">
        <f t="shared" si="141"/>
        <v>0</v>
      </c>
      <c r="K221" s="113">
        <f t="shared" si="142"/>
        <v>0</v>
      </c>
      <c r="L221" s="113">
        <f t="shared" si="143"/>
        <v>0</v>
      </c>
      <c r="M221" s="113">
        <f t="shared" si="144"/>
        <v>0</v>
      </c>
      <c r="N221" s="116">
        <f t="shared" si="145"/>
        <v>0</v>
      </c>
      <c r="O221" s="117">
        <f t="shared" si="133"/>
        <v>6.4610000000000001E-2</v>
      </c>
      <c r="P221" s="117">
        <f t="shared" si="146"/>
        <v>0</v>
      </c>
      <c r="Q221" s="117">
        <f t="shared" si="147"/>
        <v>0</v>
      </c>
      <c r="R221" s="117">
        <f t="shared" si="148"/>
        <v>2.725E-2</v>
      </c>
      <c r="S221" s="116">
        <f t="shared" si="149"/>
        <v>0</v>
      </c>
      <c r="T221" s="116">
        <f t="shared" si="150"/>
        <v>0</v>
      </c>
      <c r="U221" s="116">
        <f t="shared" si="151"/>
        <v>0</v>
      </c>
      <c r="V221" s="118">
        <f t="shared" si="152"/>
        <v>0</v>
      </c>
      <c r="W221" s="118">
        <f t="shared" si="166"/>
        <v>0</v>
      </c>
      <c r="X221" s="118">
        <f t="shared" si="167"/>
        <v>0</v>
      </c>
      <c r="Y221" s="118">
        <f t="shared" si="168"/>
        <v>0</v>
      </c>
      <c r="Z221" s="118">
        <f t="shared" si="169"/>
        <v>0</v>
      </c>
      <c r="AA221" s="119">
        <v>0</v>
      </c>
      <c r="AB221" s="120">
        <f t="shared" si="153"/>
        <v>0</v>
      </c>
      <c r="AC221" s="118">
        <f t="shared" si="154"/>
        <v>0</v>
      </c>
      <c r="AD221" s="118">
        <f t="shared" si="170"/>
        <v>0</v>
      </c>
      <c r="AE221" s="118">
        <f t="shared" si="155"/>
        <v>0</v>
      </c>
      <c r="AF221" s="121">
        <f t="shared" si="171"/>
        <v>1</v>
      </c>
      <c r="AG221" s="122">
        <f t="shared" si="156"/>
        <v>0</v>
      </c>
      <c r="AH221" s="122">
        <f t="shared" si="157"/>
        <v>0</v>
      </c>
      <c r="AI221" s="122">
        <f t="shared" si="158"/>
        <v>0</v>
      </c>
      <c r="AJ221" s="122">
        <f t="shared" si="159"/>
        <v>0</v>
      </c>
      <c r="AK221" s="122">
        <f t="shared" si="160"/>
        <v>0</v>
      </c>
      <c r="AL221" s="122">
        <f t="shared" si="161"/>
        <v>0</v>
      </c>
      <c r="AM221" s="123">
        <f t="shared" si="162"/>
        <v>0</v>
      </c>
      <c r="AN221" s="123">
        <f t="shared" si="176"/>
        <v>0</v>
      </c>
      <c r="AO221" s="124">
        <f t="shared" si="163"/>
        <v>0</v>
      </c>
      <c r="AP221" s="125">
        <f t="shared" si="172"/>
        <v>0</v>
      </c>
      <c r="AU221" s="109">
        <f>IF(BA221=1,IF(AU220=MiscData!$F$1,EOMONTH(AU220,-11),EOMONTH(AU220,1)),AU220)</f>
        <v>42551</v>
      </c>
      <c r="AV221" s="108" t="str">
        <f t="shared" si="173"/>
        <v>20140101LGMLE570</v>
      </c>
      <c r="AW221" s="126" t="str">
        <f t="shared" si="174"/>
        <v>20140101LE</v>
      </c>
      <c r="AX221">
        <f>MiscData!$X$5</f>
        <v>20140101</v>
      </c>
      <c r="BA221" s="98">
        <f>IF(BA220+1&gt;MiscData!$Z$42,1,BA220+1)</f>
        <v>28</v>
      </c>
      <c r="BB221" s="98" t="str">
        <f>VLOOKUP(BA221,MiscData!$Z$5:$AB$46,2,FALSE)</f>
        <v>LGMLE570</v>
      </c>
      <c r="BC221" s="98" t="str">
        <f>VLOOKUP(BA221,MiscData!$Z$5:$AB$46,3,FALSE)</f>
        <v>LE</v>
      </c>
    </row>
    <row r="222" spans="1:55">
      <c r="A222" s="108">
        <v>207</v>
      </c>
      <c r="B222" s="109" t="str">
        <f t="shared" si="164"/>
        <v>Jun 2016</v>
      </c>
      <c r="C222" s="110" t="str">
        <f t="shared" si="175"/>
        <v>LE</v>
      </c>
      <c r="D222" s="110" t="str">
        <f t="shared" si="165"/>
        <v>LGMLE571</v>
      </c>
      <c r="E222" s="111">
        <f t="shared" si="137"/>
        <v>156</v>
      </c>
      <c r="F222" s="112">
        <v>0</v>
      </c>
      <c r="G222" s="111">
        <f t="shared" si="138"/>
        <v>0</v>
      </c>
      <c r="H222" s="111">
        <f t="shared" si="139"/>
        <v>0</v>
      </c>
      <c r="I222" s="111">
        <f t="shared" si="140"/>
        <v>0</v>
      </c>
      <c r="J222" s="111">
        <f t="shared" si="141"/>
        <v>281310</v>
      </c>
      <c r="K222" s="113">
        <f t="shared" si="142"/>
        <v>0</v>
      </c>
      <c r="L222" s="113">
        <f t="shared" si="143"/>
        <v>0</v>
      </c>
      <c r="M222" s="113">
        <f t="shared" si="144"/>
        <v>0</v>
      </c>
      <c r="N222" s="116">
        <f t="shared" si="145"/>
        <v>0</v>
      </c>
      <c r="O222" s="117">
        <f t="shared" si="133"/>
        <v>6.4610000000000001E-2</v>
      </c>
      <c r="P222" s="117">
        <f t="shared" si="146"/>
        <v>0</v>
      </c>
      <c r="Q222" s="117">
        <f t="shared" si="147"/>
        <v>0</v>
      </c>
      <c r="R222" s="117">
        <f t="shared" si="148"/>
        <v>2.725E-2</v>
      </c>
      <c r="S222" s="116">
        <f t="shared" si="149"/>
        <v>0</v>
      </c>
      <c r="T222" s="116">
        <f t="shared" si="150"/>
        <v>0</v>
      </c>
      <c r="U222" s="116">
        <f t="shared" si="151"/>
        <v>0</v>
      </c>
      <c r="V222" s="118">
        <f t="shared" si="152"/>
        <v>0</v>
      </c>
      <c r="W222" s="118">
        <f t="shared" si="166"/>
        <v>18175.439999999999</v>
      </c>
      <c r="X222" s="118">
        <f t="shared" si="167"/>
        <v>0</v>
      </c>
      <c r="Y222" s="118">
        <f t="shared" si="168"/>
        <v>0</v>
      </c>
      <c r="Z222" s="118">
        <f t="shared" si="169"/>
        <v>0</v>
      </c>
      <c r="AA222" s="119">
        <v>0</v>
      </c>
      <c r="AB222" s="120">
        <f t="shared" si="153"/>
        <v>0</v>
      </c>
      <c r="AC222" s="118">
        <f t="shared" si="154"/>
        <v>0</v>
      </c>
      <c r="AD222" s="118">
        <f t="shared" si="170"/>
        <v>18175.439999999999</v>
      </c>
      <c r="AE222" s="118">
        <f t="shared" si="155"/>
        <v>0</v>
      </c>
      <c r="AF222" s="121">
        <f t="shared" si="171"/>
        <v>0</v>
      </c>
      <c r="AG222" s="122">
        <f t="shared" si="156"/>
        <v>0</v>
      </c>
      <c r="AH222" s="122">
        <f t="shared" si="157"/>
        <v>0</v>
      </c>
      <c r="AI222" s="122">
        <f t="shared" si="158"/>
        <v>0</v>
      </c>
      <c r="AJ222" s="122">
        <f t="shared" si="159"/>
        <v>0</v>
      </c>
      <c r="AK222" s="122">
        <f t="shared" si="160"/>
        <v>0</v>
      </c>
      <c r="AL222" s="122">
        <f t="shared" si="161"/>
        <v>0</v>
      </c>
      <c r="AM222" s="123">
        <f t="shared" si="162"/>
        <v>18175.439999999999</v>
      </c>
      <c r="AN222" s="123">
        <f t="shared" si="176"/>
        <v>-18175.439999999999</v>
      </c>
      <c r="AO222" s="124">
        <f t="shared" si="163"/>
        <v>7665.7</v>
      </c>
      <c r="AP222" s="125">
        <f t="shared" si="172"/>
        <v>10509.739999999998</v>
      </c>
      <c r="AU222" s="109">
        <f>IF(BA222=1,IF(AU221=MiscData!$F$1,EOMONTH(AU221,-11),EOMONTH(AU221,1)),AU221)</f>
        <v>42551</v>
      </c>
      <c r="AV222" s="108" t="str">
        <f t="shared" si="173"/>
        <v>20140101LGMLE571</v>
      </c>
      <c r="AW222" s="126" t="str">
        <f t="shared" si="174"/>
        <v>20140101LE</v>
      </c>
      <c r="AX222">
        <f>MiscData!$X$5</f>
        <v>20140101</v>
      </c>
      <c r="BA222" s="98">
        <f>IF(BA221+1&gt;MiscData!$Z$42,1,BA221+1)</f>
        <v>29</v>
      </c>
      <c r="BB222" s="98" t="str">
        <f>VLOOKUP(BA222,MiscData!$Z$5:$AB$46,2,FALSE)</f>
        <v>LGMLE571</v>
      </c>
      <c r="BC222" s="98" t="str">
        <f>VLOOKUP(BA222,MiscData!$Z$5:$AB$46,3,FALSE)</f>
        <v>LE</v>
      </c>
    </row>
    <row r="223" spans="1:55">
      <c r="A223" s="108">
        <v>208</v>
      </c>
      <c r="B223" s="109" t="str">
        <f t="shared" si="164"/>
        <v>Jun 2016</v>
      </c>
      <c r="C223" s="110" t="str">
        <f t="shared" si="175"/>
        <v>LE</v>
      </c>
      <c r="D223" s="110" t="str">
        <f t="shared" si="165"/>
        <v>LGMLE572</v>
      </c>
      <c r="E223" s="111">
        <f t="shared" si="137"/>
        <v>0</v>
      </c>
      <c r="F223" s="112">
        <v>0</v>
      </c>
      <c r="G223" s="111">
        <f t="shared" si="138"/>
        <v>0</v>
      </c>
      <c r="H223" s="111">
        <f t="shared" si="139"/>
        <v>0</v>
      </c>
      <c r="I223" s="111">
        <f t="shared" si="140"/>
        <v>0</v>
      </c>
      <c r="J223" s="111">
        <f t="shared" si="141"/>
        <v>0</v>
      </c>
      <c r="K223" s="113">
        <f t="shared" si="142"/>
        <v>0</v>
      </c>
      <c r="L223" s="113">
        <f t="shared" si="143"/>
        <v>0</v>
      </c>
      <c r="M223" s="113">
        <f t="shared" si="144"/>
        <v>0</v>
      </c>
      <c r="N223" s="116">
        <f t="shared" si="145"/>
        <v>0</v>
      </c>
      <c r="O223" s="117">
        <f t="shared" si="133"/>
        <v>6.4610000000000001E-2</v>
      </c>
      <c r="P223" s="117">
        <f t="shared" si="146"/>
        <v>0</v>
      </c>
      <c r="Q223" s="117">
        <f t="shared" si="147"/>
        <v>0</v>
      </c>
      <c r="R223" s="117">
        <f t="shared" si="148"/>
        <v>2.725E-2</v>
      </c>
      <c r="S223" s="116">
        <f t="shared" si="149"/>
        <v>0</v>
      </c>
      <c r="T223" s="116">
        <f t="shared" si="150"/>
        <v>0</v>
      </c>
      <c r="U223" s="116">
        <f t="shared" si="151"/>
        <v>0</v>
      </c>
      <c r="V223" s="118">
        <f t="shared" si="152"/>
        <v>0</v>
      </c>
      <c r="W223" s="118">
        <f t="shared" si="166"/>
        <v>0</v>
      </c>
      <c r="X223" s="118">
        <f t="shared" si="167"/>
        <v>0</v>
      </c>
      <c r="Y223" s="118">
        <f t="shared" si="168"/>
        <v>0</v>
      </c>
      <c r="Z223" s="118">
        <f t="shared" si="169"/>
        <v>0</v>
      </c>
      <c r="AA223" s="119">
        <v>0</v>
      </c>
      <c r="AB223" s="120">
        <f t="shared" si="153"/>
        <v>0</v>
      </c>
      <c r="AC223" s="118">
        <f t="shared" si="154"/>
        <v>0</v>
      </c>
      <c r="AD223" s="118">
        <f t="shared" si="170"/>
        <v>0</v>
      </c>
      <c r="AE223" s="118">
        <f t="shared" si="155"/>
        <v>0</v>
      </c>
      <c r="AF223" s="121">
        <f t="shared" si="171"/>
        <v>1</v>
      </c>
      <c r="AG223" s="122">
        <f t="shared" si="156"/>
        <v>0</v>
      </c>
      <c r="AH223" s="122">
        <f t="shared" si="157"/>
        <v>0</v>
      </c>
      <c r="AI223" s="122">
        <f t="shared" si="158"/>
        <v>0</v>
      </c>
      <c r="AJ223" s="122">
        <f t="shared" si="159"/>
        <v>0</v>
      </c>
      <c r="AK223" s="122">
        <f t="shared" si="160"/>
        <v>0</v>
      </c>
      <c r="AL223" s="122">
        <f t="shared" si="161"/>
        <v>0</v>
      </c>
      <c r="AM223" s="123">
        <f t="shared" si="162"/>
        <v>0</v>
      </c>
      <c r="AN223" s="123">
        <f t="shared" si="176"/>
        <v>0</v>
      </c>
      <c r="AO223" s="124">
        <f t="shared" si="163"/>
        <v>0</v>
      </c>
      <c r="AP223" s="125">
        <f t="shared" si="172"/>
        <v>0</v>
      </c>
      <c r="AU223" s="109">
        <f>IF(BA223=1,IF(AU222=MiscData!$F$1,EOMONTH(AU222,-11),EOMONTH(AU222,1)),AU222)</f>
        <v>42551</v>
      </c>
      <c r="AV223" s="108" t="str">
        <f t="shared" si="173"/>
        <v>20140101LGMLE572</v>
      </c>
      <c r="AW223" s="126" t="str">
        <f t="shared" si="174"/>
        <v>20140101LE</v>
      </c>
      <c r="AX223">
        <f>MiscData!$X$5</f>
        <v>20140101</v>
      </c>
      <c r="BA223" s="98">
        <f>IF(BA222+1&gt;MiscData!$Z$42,1,BA222+1)</f>
        <v>30</v>
      </c>
      <c r="BB223" s="98" t="str">
        <f>VLOOKUP(BA223,MiscData!$Z$5:$AB$46,2,FALSE)</f>
        <v>LGMLE572</v>
      </c>
      <c r="BC223" s="98" t="str">
        <f>VLOOKUP(BA223,MiscData!$Z$5:$AB$46,3,FALSE)</f>
        <v>LE</v>
      </c>
    </row>
    <row r="224" spans="1:55">
      <c r="A224" s="108">
        <v>209</v>
      </c>
      <c r="B224" s="109" t="str">
        <f t="shared" si="164"/>
        <v>Jun 2016</v>
      </c>
      <c r="C224" s="110" t="str">
        <f t="shared" si="175"/>
        <v>TE</v>
      </c>
      <c r="D224" s="110" t="str">
        <f t="shared" si="165"/>
        <v>LGMLE573</v>
      </c>
      <c r="E224" s="111">
        <f t="shared" si="137"/>
        <v>905</v>
      </c>
      <c r="F224" s="112">
        <v>0</v>
      </c>
      <c r="G224" s="111">
        <f t="shared" si="138"/>
        <v>0</v>
      </c>
      <c r="H224" s="111">
        <f t="shared" si="139"/>
        <v>0</v>
      </c>
      <c r="I224" s="111">
        <f t="shared" si="140"/>
        <v>0</v>
      </c>
      <c r="J224" s="111">
        <f t="shared" si="141"/>
        <v>277659</v>
      </c>
      <c r="K224" s="113">
        <f t="shared" si="142"/>
        <v>0</v>
      </c>
      <c r="L224" s="113">
        <f t="shared" si="143"/>
        <v>0</v>
      </c>
      <c r="M224" s="113">
        <f t="shared" si="144"/>
        <v>0</v>
      </c>
      <c r="N224" s="116">
        <f t="shared" si="145"/>
        <v>3.25</v>
      </c>
      <c r="O224" s="117">
        <f t="shared" si="133"/>
        <v>7.6579999999999995E-2</v>
      </c>
      <c r="P224" s="117">
        <f t="shared" si="146"/>
        <v>0</v>
      </c>
      <c r="Q224" s="117">
        <f t="shared" si="147"/>
        <v>0</v>
      </c>
      <c r="R224" s="117">
        <f t="shared" si="148"/>
        <v>2.725E-2</v>
      </c>
      <c r="S224" s="116">
        <f t="shared" si="149"/>
        <v>0</v>
      </c>
      <c r="T224" s="116">
        <f t="shared" si="150"/>
        <v>0</v>
      </c>
      <c r="U224" s="116">
        <f t="shared" si="151"/>
        <v>0</v>
      </c>
      <c r="V224" s="118">
        <f t="shared" si="152"/>
        <v>2941.25</v>
      </c>
      <c r="W224" s="683">
        <f t="shared" si="166"/>
        <v>21263.13</v>
      </c>
      <c r="X224" s="118">
        <f t="shared" si="167"/>
        <v>0</v>
      </c>
      <c r="Y224" s="118">
        <f t="shared" si="168"/>
        <v>0</v>
      </c>
      <c r="Z224" s="118">
        <f t="shared" si="169"/>
        <v>0</v>
      </c>
      <c r="AA224" s="119">
        <v>0</v>
      </c>
      <c r="AB224" s="120">
        <f t="shared" si="153"/>
        <v>0</v>
      </c>
      <c r="AC224" s="118">
        <f t="shared" si="154"/>
        <v>0</v>
      </c>
      <c r="AD224" s="118">
        <f t="shared" si="170"/>
        <v>24204.38</v>
      </c>
      <c r="AE224" s="118">
        <f t="shared" si="155"/>
        <v>0</v>
      </c>
      <c r="AF224" s="121">
        <f t="shared" si="171"/>
        <v>0</v>
      </c>
      <c r="AG224" s="122">
        <f t="shared" si="156"/>
        <v>0</v>
      </c>
      <c r="AH224" s="122">
        <f t="shared" si="157"/>
        <v>0</v>
      </c>
      <c r="AI224" s="122">
        <f t="shared" si="158"/>
        <v>0</v>
      </c>
      <c r="AJ224" s="122">
        <f t="shared" si="159"/>
        <v>0</v>
      </c>
      <c r="AK224" s="122">
        <f t="shared" si="160"/>
        <v>0</v>
      </c>
      <c r="AL224" s="122">
        <f t="shared" si="161"/>
        <v>0</v>
      </c>
      <c r="AM224" s="123">
        <f t="shared" si="162"/>
        <v>24204.38</v>
      </c>
      <c r="AN224" s="123">
        <f t="shared" si="134"/>
        <v>-24204.38</v>
      </c>
      <c r="AO224" s="124">
        <f t="shared" si="163"/>
        <v>7566.21</v>
      </c>
      <c r="AP224" s="125">
        <f t="shared" si="172"/>
        <v>13696.920000000002</v>
      </c>
      <c r="AU224" s="109">
        <f>IF(BA224=1,IF(AU223=MiscData!$F$1,EOMONTH(AU223,-11),EOMONTH(AU223,1)),AU223)</f>
        <v>42551</v>
      </c>
      <c r="AV224" s="108" t="str">
        <f t="shared" si="173"/>
        <v>20140101LGMLE573</v>
      </c>
      <c r="AW224" s="126" t="str">
        <f t="shared" si="174"/>
        <v>20140101TE</v>
      </c>
      <c r="AX224">
        <f>MiscData!$X$5</f>
        <v>20140101</v>
      </c>
      <c r="BA224" s="98">
        <f>IF(BA223+1&gt;MiscData!$Z$42,1,BA223+1)</f>
        <v>31</v>
      </c>
      <c r="BB224" s="98" t="str">
        <f>VLOOKUP(BA224,MiscData!$Z$5:$AB$46,2,FALSE)</f>
        <v>LGMLE573</v>
      </c>
      <c r="BC224" s="98" t="str">
        <f>VLOOKUP(BA224,MiscData!$Z$5:$AB$46,3,FALSE)</f>
        <v>TE</v>
      </c>
    </row>
    <row r="225" spans="1:55">
      <c r="A225" s="108">
        <v>210</v>
      </c>
      <c r="B225" s="109" t="str">
        <f t="shared" si="164"/>
        <v>Jun 2016</v>
      </c>
      <c r="C225" s="110" t="str">
        <f t="shared" si="175"/>
        <v>TE</v>
      </c>
      <c r="D225" s="110" t="str">
        <f t="shared" si="165"/>
        <v>LGMLE574</v>
      </c>
      <c r="E225" s="111">
        <f t="shared" si="137"/>
        <v>0</v>
      </c>
      <c r="F225" s="112">
        <v>0</v>
      </c>
      <c r="G225" s="111">
        <f t="shared" si="138"/>
        <v>0</v>
      </c>
      <c r="H225" s="111">
        <f t="shared" si="139"/>
        <v>0</v>
      </c>
      <c r="I225" s="111">
        <f t="shared" si="140"/>
        <v>0</v>
      </c>
      <c r="J225" s="111">
        <f t="shared" si="141"/>
        <v>0</v>
      </c>
      <c r="K225" s="113">
        <f t="shared" si="142"/>
        <v>0</v>
      </c>
      <c r="L225" s="113">
        <f t="shared" si="143"/>
        <v>0</v>
      </c>
      <c r="M225" s="113">
        <f t="shared" si="144"/>
        <v>0</v>
      </c>
      <c r="N225" s="116">
        <f t="shared" si="145"/>
        <v>3.25</v>
      </c>
      <c r="O225" s="117">
        <f t="shared" si="133"/>
        <v>7.6579999999999995E-2</v>
      </c>
      <c r="P225" s="117">
        <f t="shared" si="146"/>
        <v>0</v>
      </c>
      <c r="Q225" s="117">
        <f t="shared" si="147"/>
        <v>0</v>
      </c>
      <c r="R225" s="117">
        <f t="shared" si="148"/>
        <v>2.725E-2</v>
      </c>
      <c r="S225" s="116">
        <f t="shared" si="149"/>
        <v>0</v>
      </c>
      <c r="T225" s="116">
        <f t="shared" si="150"/>
        <v>0</v>
      </c>
      <c r="U225" s="116">
        <f t="shared" si="151"/>
        <v>0</v>
      </c>
      <c r="V225" s="118">
        <f t="shared" si="152"/>
        <v>0</v>
      </c>
      <c r="W225" s="683">
        <f t="shared" si="166"/>
        <v>0</v>
      </c>
      <c r="X225" s="118">
        <f t="shared" si="167"/>
        <v>0</v>
      </c>
      <c r="Y225" s="118">
        <f t="shared" si="168"/>
        <v>0</v>
      </c>
      <c r="Z225" s="118">
        <f t="shared" si="169"/>
        <v>0</v>
      </c>
      <c r="AA225" s="119">
        <v>0</v>
      </c>
      <c r="AB225" s="120">
        <f t="shared" si="153"/>
        <v>0</v>
      </c>
      <c r="AC225" s="118">
        <f t="shared" si="154"/>
        <v>0</v>
      </c>
      <c r="AD225" s="118">
        <f t="shared" si="170"/>
        <v>0</v>
      </c>
      <c r="AE225" s="118">
        <f t="shared" si="155"/>
        <v>0</v>
      </c>
      <c r="AF225" s="121">
        <f t="shared" si="171"/>
        <v>1</v>
      </c>
      <c r="AG225" s="122">
        <f t="shared" si="156"/>
        <v>0</v>
      </c>
      <c r="AH225" s="122">
        <f t="shared" si="157"/>
        <v>0</v>
      </c>
      <c r="AI225" s="122">
        <f t="shared" si="158"/>
        <v>0</v>
      </c>
      <c r="AJ225" s="122">
        <f t="shared" si="159"/>
        <v>0</v>
      </c>
      <c r="AK225" s="122">
        <f t="shared" si="160"/>
        <v>0</v>
      </c>
      <c r="AL225" s="122">
        <f t="shared" si="161"/>
        <v>0</v>
      </c>
      <c r="AM225" s="123">
        <f t="shared" si="162"/>
        <v>0</v>
      </c>
      <c r="AN225" s="123">
        <f t="shared" si="134"/>
        <v>0</v>
      </c>
      <c r="AO225" s="124">
        <f t="shared" si="163"/>
        <v>0</v>
      </c>
      <c r="AP225" s="125">
        <f t="shared" si="172"/>
        <v>0</v>
      </c>
      <c r="AU225" s="109">
        <f>IF(BA225=1,IF(AU224=MiscData!$F$1,EOMONTH(AU224,-11),EOMONTH(AU224,1)),AU224)</f>
        <v>42551</v>
      </c>
      <c r="AV225" s="108" t="str">
        <f t="shared" si="173"/>
        <v>20140101LGMLE574</v>
      </c>
      <c r="AW225" s="126" t="str">
        <f t="shared" si="174"/>
        <v>20140101TE</v>
      </c>
      <c r="AX225">
        <f>MiscData!$X$5</f>
        <v>20140101</v>
      </c>
      <c r="BA225" s="98">
        <f>IF(BA224+1&gt;MiscData!$Z$42,1,BA224+1)</f>
        <v>32</v>
      </c>
      <c r="BB225" s="98" t="str">
        <f>VLOOKUP(BA225,MiscData!$Z$5:$AB$46,2,FALSE)</f>
        <v>LGMLE574</v>
      </c>
      <c r="BC225" s="98" t="str">
        <f>VLOOKUP(BA225,MiscData!$Z$5:$AB$46,3,FALSE)</f>
        <v>TE</v>
      </c>
    </row>
    <row r="226" spans="1:55">
      <c r="A226" s="108">
        <v>211</v>
      </c>
      <c r="B226" s="109" t="str">
        <f t="shared" si="164"/>
        <v>Jun 2016</v>
      </c>
      <c r="C226" s="110" t="str">
        <f t="shared" si="175"/>
        <v>RS</v>
      </c>
      <c r="D226" s="110" t="str">
        <f t="shared" si="165"/>
        <v>LGRSE411</v>
      </c>
      <c r="E226" s="111">
        <f t="shared" si="137"/>
        <v>0</v>
      </c>
      <c r="F226" s="112">
        <v>0</v>
      </c>
      <c r="G226" s="111">
        <f t="shared" si="138"/>
        <v>0</v>
      </c>
      <c r="H226" s="111">
        <f t="shared" si="139"/>
        <v>0</v>
      </c>
      <c r="I226" s="111">
        <f t="shared" si="140"/>
        <v>0</v>
      </c>
      <c r="J226" s="111">
        <f t="shared" si="141"/>
        <v>0</v>
      </c>
      <c r="K226" s="113">
        <f t="shared" si="142"/>
        <v>0</v>
      </c>
      <c r="L226" s="113">
        <f t="shared" si="143"/>
        <v>0</v>
      </c>
      <c r="M226" s="113">
        <f t="shared" si="144"/>
        <v>0</v>
      </c>
      <c r="N226" s="116">
        <f t="shared" si="145"/>
        <v>0</v>
      </c>
      <c r="O226" s="117">
        <f t="shared" si="133"/>
        <v>8.0760000000000012E-2</v>
      </c>
      <c r="P226" s="117">
        <f t="shared" si="146"/>
        <v>0</v>
      </c>
      <c r="Q226" s="117">
        <f t="shared" si="147"/>
        <v>0</v>
      </c>
      <c r="R226" s="117">
        <f t="shared" si="148"/>
        <v>2.725E-2</v>
      </c>
      <c r="S226" s="116">
        <f t="shared" si="149"/>
        <v>0</v>
      </c>
      <c r="T226" s="116">
        <f t="shared" si="150"/>
        <v>0</v>
      </c>
      <c r="U226" s="116">
        <f t="shared" si="151"/>
        <v>0</v>
      </c>
      <c r="V226" s="118">
        <f t="shared" si="152"/>
        <v>0</v>
      </c>
      <c r="W226" s="118">
        <f t="shared" si="166"/>
        <v>0</v>
      </c>
      <c r="X226" s="118">
        <f t="shared" si="167"/>
        <v>0</v>
      </c>
      <c r="Y226" s="118">
        <f t="shared" si="168"/>
        <v>0</v>
      </c>
      <c r="Z226" s="118">
        <f t="shared" si="169"/>
        <v>0</v>
      </c>
      <c r="AA226" s="119">
        <v>0</v>
      </c>
      <c r="AB226" s="120">
        <f t="shared" si="153"/>
        <v>0</v>
      </c>
      <c r="AC226" s="118">
        <f t="shared" si="154"/>
        <v>0</v>
      </c>
      <c r="AD226" s="118">
        <f t="shared" si="170"/>
        <v>0</v>
      </c>
      <c r="AE226" s="118">
        <f t="shared" si="155"/>
        <v>0</v>
      </c>
      <c r="AF226" s="121">
        <f t="shared" si="171"/>
        <v>1</v>
      </c>
      <c r="AG226" s="122">
        <f t="shared" si="156"/>
        <v>0</v>
      </c>
      <c r="AH226" s="122">
        <f t="shared" si="157"/>
        <v>0</v>
      </c>
      <c r="AI226" s="122">
        <f t="shared" si="158"/>
        <v>0</v>
      </c>
      <c r="AJ226" s="122">
        <f t="shared" si="159"/>
        <v>0</v>
      </c>
      <c r="AK226" s="122">
        <f t="shared" si="160"/>
        <v>0</v>
      </c>
      <c r="AL226" s="122">
        <f t="shared" si="161"/>
        <v>0</v>
      </c>
      <c r="AM226" s="123">
        <f t="shared" si="162"/>
        <v>0</v>
      </c>
      <c r="AN226" s="123">
        <f t="shared" si="134"/>
        <v>0</v>
      </c>
      <c r="AO226" s="124">
        <f t="shared" si="163"/>
        <v>0</v>
      </c>
      <c r="AP226" s="125">
        <f t="shared" si="172"/>
        <v>0</v>
      </c>
      <c r="AU226" s="109">
        <f>IF(BA226=1,IF(AU225=MiscData!$F$1,EOMONTH(AU225,-11),EOMONTH(AU225,1)),AU225)</f>
        <v>42551</v>
      </c>
      <c r="AV226" s="108" t="str">
        <f t="shared" si="173"/>
        <v>20140101LGRSE411</v>
      </c>
      <c r="AW226" s="126" t="str">
        <f t="shared" si="174"/>
        <v>20140101RS</v>
      </c>
      <c r="AX226">
        <f>MiscData!$X$5</f>
        <v>20140101</v>
      </c>
      <c r="BA226" s="98">
        <f>IF(BA225+1&gt;MiscData!$Z$42,1,BA225+1)</f>
        <v>33</v>
      </c>
      <c r="BB226" s="98" t="str">
        <f>VLOOKUP(BA226,MiscData!$Z$5:$AB$46,2,FALSE)</f>
        <v>LGRSE411</v>
      </c>
      <c r="BC226" s="98" t="str">
        <f>VLOOKUP(BA226,MiscData!$Z$5:$AB$46,3,FALSE)</f>
        <v>RS</v>
      </c>
    </row>
    <row r="227" spans="1:55">
      <c r="A227" s="108">
        <v>212</v>
      </c>
      <c r="B227" s="109" t="str">
        <f t="shared" si="164"/>
        <v>Jun 2016</v>
      </c>
      <c r="C227" s="110" t="str">
        <f t="shared" si="175"/>
        <v>RS</v>
      </c>
      <c r="D227" s="110" t="str">
        <f t="shared" si="165"/>
        <v>LGRSE511</v>
      </c>
      <c r="E227" s="111">
        <f t="shared" si="137"/>
        <v>362615</v>
      </c>
      <c r="F227" s="112">
        <v>0</v>
      </c>
      <c r="G227" s="111">
        <f t="shared" si="138"/>
        <v>0</v>
      </c>
      <c r="H227" s="111">
        <f t="shared" si="139"/>
        <v>0</v>
      </c>
      <c r="I227" s="111">
        <f t="shared" si="140"/>
        <v>0</v>
      </c>
      <c r="J227" s="111">
        <f t="shared" si="141"/>
        <v>411072623</v>
      </c>
      <c r="K227" s="113">
        <f t="shared" si="142"/>
        <v>0</v>
      </c>
      <c r="L227" s="113">
        <f t="shared" si="143"/>
        <v>0</v>
      </c>
      <c r="M227" s="113">
        <f t="shared" si="144"/>
        <v>0</v>
      </c>
      <c r="N227" s="116">
        <f t="shared" si="145"/>
        <v>10.75</v>
      </c>
      <c r="O227" s="117">
        <f t="shared" si="133"/>
        <v>8.0760000000000012E-2</v>
      </c>
      <c r="P227" s="117">
        <f t="shared" si="146"/>
        <v>0</v>
      </c>
      <c r="Q227" s="117">
        <f t="shared" si="147"/>
        <v>0</v>
      </c>
      <c r="R227" s="117">
        <f t="shared" si="148"/>
        <v>2.725E-2</v>
      </c>
      <c r="S227" s="116">
        <f t="shared" si="149"/>
        <v>0</v>
      </c>
      <c r="T227" s="116">
        <f t="shared" si="150"/>
        <v>0</v>
      </c>
      <c r="U227" s="116">
        <f t="shared" si="151"/>
        <v>0</v>
      </c>
      <c r="V227" s="118">
        <f t="shared" si="152"/>
        <v>3898111.25</v>
      </c>
      <c r="W227" s="118">
        <f t="shared" si="166"/>
        <v>33198225.030000001</v>
      </c>
      <c r="X227" s="118">
        <f t="shared" si="167"/>
        <v>0</v>
      </c>
      <c r="Y227" s="118">
        <f t="shared" si="168"/>
        <v>0</v>
      </c>
      <c r="Z227" s="118">
        <f t="shared" si="169"/>
        <v>0</v>
      </c>
      <c r="AA227" s="119">
        <v>0</v>
      </c>
      <c r="AB227" s="120">
        <f t="shared" si="153"/>
        <v>0</v>
      </c>
      <c r="AC227" s="118">
        <f t="shared" si="154"/>
        <v>0</v>
      </c>
      <c r="AD227" s="118">
        <f t="shared" si="170"/>
        <v>37096336.280000001</v>
      </c>
      <c r="AE227" s="118">
        <f t="shared" si="155"/>
        <v>37099802</v>
      </c>
      <c r="AF227" s="121">
        <f t="shared" si="171"/>
        <v>1.0000929999999999</v>
      </c>
      <c r="AG227" s="122">
        <f t="shared" si="156"/>
        <v>622832</v>
      </c>
      <c r="AH227" s="122">
        <f t="shared" si="157"/>
        <v>675926</v>
      </c>
      <c r="AI227" s="122">
        <f t="shared" si="158"/>
        <v>3794276</v>
      </c>
      <c r="AJ227" s="122">
        <f t="shared" si="159"/>
        <v>0</v>
      </c>
      <c r="AK227" s="122">
        <f t="shared" si="160"/>
        <v>0</v>
      </c>
      <c r="AL227" s="122">
        <f t="shared" si="161"/>
        <v>42192836</v>
      </c>
      <c r="AM227" s="123">
        <f t="shared" si="162"/>
        <v>42189370.280000001</v>
      </c>
      <c r="AN227" s="123">
        <f t="shared" si="134"/>
        <v>3465.7199999988079</v>
      </c>
      <c r="AO227" s="124">
        <f t="shared" si="163"/>
        <v>11201728.98</v>
      </c>
      <c r="AP227" s="125">
        <f t="shared" si="172"/>
        <v>21996496.050000001</v>
      </c>
      <c r="AU227" s="109">
        <f>IF(BA227=1,IF(AU226=MiscData!$F$1,EOMONTH(AU226,-11),EOMONTH(AU226,1)),AU226)</f>
        <v>42551</v>
      </c>
      <c r="AV227" s="108" t="str">
        <f t="shared" si="173"/>
        <v>20140101LGRSE511</v>
      </c>
      <c r="AW227" s="126" t="str">
        <f t="shared" si="174"/>
        <v>20140101RS</v>
      </c>
      <c r="AX227">
        <f>MiscData!$X$5</f>
        <v>20140101</v>
      </c>
      <c r="BA227" s="98">
        <f>IF(BA226+1&gt;MiscData!$Z$42,1,BA226+1)</f>
        <v>34</v>
      </c>
      <c r="BB227" s="98" t="str">
        <f>VLOOKUP(BA227,MiscData!$Z$5:$AB$46,2,FALSE)</f>
        <v>LGRSE511</v>
      </c>
      <c r="BC227" s="98" t="str">
        <f>VLOOKUP(BA227,MiscData!$Z$5:$AB$46,3,FALSE)</f>
        <v>RS</v>
      </c>
    </row>
    <row r="228" spans="1:55">
      <c r="A228" s="108">
        <v>213</v>
      </c>
      <c r="B228" s="109" t="str">
        <f t="shared" si="164"/>
        <v>Jun 2016</v>
      </c>
      <c r="C228" s="110" t="str">
        <f t="shared" si="175"/>
        <v>RS</v>
      </c>
      <c r="D228" s="110" t="str">
        <f t="shared" si="165"/>
        <v>LGRSE519</v>
      </c>
      <c r="E228" s="111">
        <f t="shared" si="137"/>
        <v>0</v>
      </c>
      <c r="F228" s="112">
        <v>0</v>
      </c>
      <c r="G228" s="111">
        <f t="shared" si="138"/>
        <v>0</v>
      </c>
      <c r="H228" s="111">
        <f t="shared" si="139"/>
        <v>0</v>
      </c>
      <c r="I228" s="111">
        <f t="shared" si="140"/>
        <v>0</v>
      </c>
      <c r="J228" s="111">
        <f t="shared" si="141"/>
        <v>0</v>
      </c>
      <c r="K228" s="113">
        <f t="shared" si="142"/>
        <v>0</v>
      </c>
      <c r="L228" s="113">
        <f t="shared" si="143"/>
        <v>0</v>
      </c>
      <c r="M228" s="113">
        <f t="shared" si="144"/>
        <v>0</v>
      </c>
      <c r="N228" s="116">
        <f t="shared" si="145"/>
        <v>10.75</v>
      </c>
      <c r="O228" s="117">
        <f t="shared" si="133"/>
        <v>8.0760000000000012E-2</v>
      </c>
      <c r="P228" s="117">
        <f t="shared" si="146"/>
        <v>0</v>
      </c>
      <c r="Q228" s="117">
        <f t="shared" si="147"/>
        <v>0</v>
      </c>
      <c r="R228" s="117">
        <f t="shared" si="148"/>
        <v>2.725E-2</v>
      </c>
      <c r="S228" s="116">
        <f t="shared" si="149"/>
        <v>0</v>
      </c>
      <c r="T228" s="116">
        <f t="shared" si="150"/>
        <v>0</v>
      </c>
      <c r="U228" s="116">
        <f t="shared" si="151"/>
        <v>0</v>
      </c>
      <c r="V228" s="118">
        <f t="shared" si="152"/>
        <v>0</v>
      </c>
      <c r="W228" s="118">
        <f t="shared" si="166"/>
        <v>0</v>
      </c>
      <c r="X228" s="118">
        <f t="shared" si="167"/>
        <v>0</v>
      </c>
      <c r="Y228" s="118">
        <f t="shared" si="168"/>
        <v>0</v>
      </c>
      <c r="Z228" s="118">
        <f t="shared" si="169"/>
        <v>0</v>
      </c>
      <c r="AA228" s="119">
        <v>0</v>
      </c>
      <c r="AB228" s="120">
        <f t="shared" si="153"/>
        <v>0</v>
      </c>
      <c r="AC228" s="118">
        <f t="shared" si="154"/>
        <v>0</v>
      </c>
      <c r="AD228" s="118">
        <f t="shared" si="170"/>
        <v>0</v>
      </c>
      <c r="AE228" s="118">
        <f t="shared" si="155"/>
        <v>0</v>
      </c>
      <c r="AF228" s="121">
        <f t="shared" si="171"/>
        <v>1</v>
      </c>
      <c r="AG228" s="122">
        <f t="shared" si="156"/>
        <v>0</v>
      </c>
      <c r="AH228" s="122">
        <f t="shared" si="157"/>
        <v>0</v>
      </c>
      <c r="AI228" s="122">
        <f t="shared" si="158"/>
        <v>0</v>
      </c>
      <c r="AJ228" s="122">
        <f t="shared" si="159"/>
        <v>0</v>
      </c>
      <c r="AK228" s="122">
        <f t="shared" si="160"/>
        <v>0</v>
      </c>
      <c r="AL228" s="122">
        <f t="shared" si="161"/>
        <v>0</v>
      </c>
      <c r="AM228" s="123">
        <f t="shared" si="162"/>
        <v>0</v>
      </c>
      <c r="AN228" s="123">
        <f t="shared" si="134"/>
        <v>0</v>
      </c>
      <c r="AO228" s="124">
        <f t="shared" si="163"/>
        <v>0</v>
      </c>
      <c r="AP228" s="125">
        <f t="shared" si="172"/>
        <v>0</v>
      </c>
      <c r="AU228" s="109">
        <f>IF(BA228=1,IF(AU227=MiscData!$F$1,EOMONTH(AU227,-11),EOMONTH(AU227,1)),AU227)</f>
        <v>42551</v>
      </c>
      <c r="AV228" s="108" t="str">
        <f t="shared" si="173"/>
        <v>20140101LGRSE519</v>
      </c>
      <c r="AW228" s="126" t="str">
        <f t="shared" si="174"/>
        <v>20140101RS</v>
      </c>
      <c r="AX228">
        <f>MiscData!$X$5</f>
        <v>20140101</v>
      </c>
      <c r="BA228" s="98">
        <f>IF(BA227+1&gt;MiscData!$Z$42,1,BA227+1)</f>
        <v>35</v>
      </c>
      <c r="BB228" s="98" t="str">
        <f>VLOOKUP(BA228,MiscData!$Z$5:$AB$46,2,FALSE)</f>
        <v>LGRSE519</v>
      </c>
      <c r="BC228" s="98" t="str">
        <f>VLOOKUP(BA228,MiscData!$Z$5:$AB$46,3,FALSE)</f>
        <v>RS</v>
      </c>
    </row>
    <row r="229" spans="1:55">
      <c r="A229" s="108">
        <v>214</v>
      </c>
      <c r="B229" s="109" t="str">
        <f t="shared" si="164"/>
        <v>Jun 2016</v>
      </c>
      <c r="C229" s="110" t="s">
        <v>13</v>
      </c>
      <c r="D229" s="110" t="str">
        <f t="shared" si="165"/>
        <v>LGRSE540</v>
      </c>
      <c r="E229" s="111">
        <f t="shared" si="137"/>
        <v>0</v>
      </c>
      <c r="F229" s="112">
        <v>0</v>
      </c>
      <c r="G229" s="111">
        <f t="shared" si="138"/>
        <v>0</v>
      </c>
      <c r="H229" s="111">
        <f t="shared" si="139"/>
        <v>0</v>
      </c>
      <c r="I229" s="111">
        <f t="shared" si="140"/>
        <v>0</v>
      </c>
      <c r="J229" s="111">
        <f t="shared" si="141"/>
        <v>0</v>
      </c>
      <c r="K229" s="113">
        <f t="shared" si="142"/>
        <v>0</v>
      </c>
      <c r="L229" s="113">
        <f t="shared" si="143"/>
        <v>0</v>
      </c>
      <c r="M229" s="113">
        <f t="shared" si="144"/>
        <v>0</v>
      </c>
      <c r="N229" s="116">
        <f t="shared" si="145"/>
        <v>10.75</v>
      </c>
      <c r="O229" s="117">
        <f t="shared" si="133"/>
        <v>8.0760000000000012E-2</v>
      </c>
      <c r="P229" s="117">
        <f t="shared" si="146"/>
        <v>0</v>
      </c>
      <c r="Q229" s="117">
        <f t="shared" si="147"/>
        <v>0</v>
      </c>
      <c r="R229" s="117">
        <f t="shared" si="148"/>
        <v>2.725E-2</v>
      </c>
      <c r="S229" s="116">
        <f t="shared" si="149"/>
        <v>0</v>
      </c>
      <c r="T229" s="116">
        <f t="shared" si="150"/>
        <v>0</v>
      </c>
      <c r="U229" s="116">
        <f t="shared" si="151"/>
        <v>0</v>
      </c>
      <c r="V229" s="118">
        <f t="shared" si="152"/>
        <v>0</v>
      </c>
      <c r="W229" s="118">
        <f t="shared" si="166"/>
        <v>0</v>
      </c>
      <c r="X229" s="118">
        <f t="shared" si="167"/>
        <v>0</v>
      </c>
      <c r="Y229" s="118">
        <f t="shared" si="168"/>
        <v>0</v>
      </c>
      <c r="Z229" s="118">
        <f t="shared" si="169"/>
        <v>0</v>
      </c>
      <c r="AA229" s="119">
        <v>0</v>
      </c>
      <c r="AB229" s="120">
        <f t="shared" si="153"/>
        <v>0</v>
      </c>
      <c r="AC229" s="118">
        <f t="shared" si="154"/>
        <v>0</v>
      </c>
      <c r="AD229" s="118">
        <f t="shared" si="170"/>
        <v>0</v>
      </c>
      <c r="AE229" s="118">
        <f t="shared" si="155"/>
        <v>0</v>
      </c>
      <c r="AF229" s="121">
        <f t="shared" si="171"/>
        <v>1</v>
      </c>
      <c r="AG229" s="122">
        <f t="shared" si="156"/>
        <v>0</v>
      </c>
      <c r="AH229" s="122">
        <f t="shared" si="157"/>
        <v>0</v>
      </c>
      <c r="AI229" s="122">
        <f t="shared" si="158"/>
        <v>0</v>
      </c>
      <c r="AJ229" s="122">
        <f t="shared" si="159"/>
        <v>0</v>
      </c>
      <c r="AK229" s="122">
        <f t="shared" si="160"/>
        <v>0</v>
      </c>
      <c r="AL229" s="122">
        <f t="shared" si="161"/>
        <v>0</v>
      </c>
      <c r="AM229" s="123">
        <f t="shared" si="162"/>
        <v>0</v>
      </c>
      <c r="AN229" s="123">
        <f>ROUND(AL229-AM229,2)</f>
        <v>0</v>
      </c>
      <c r="AO229" s="124">
        <f t="shared" si="163"/>
        <v>0</v>
      </c>
      <c r="AP229" s="125">
        <f t="shared" si="172"/>
        <v>0</v>
      </c>
      <c r="AU229" s="109">
        <f>IF(BA229=1,IF(AU228=MiscData!$F$1,EOMONTH(AU228,-11),EOMONTH(AU228,1)),AU228)</f>
        <v>42551</v>
      </c>
      <c r="AV229" s="108" t="str">
        <f t="shared" si="173"/>
        <v>20140101LGRSE540</v>
      </c>
      <c r="AW229" s="126" t="str">
        <f t="shared" si="174"/>
        <v>20140101VFD</v>
      </c>
      <c r="AX229">
        <f>MiscData!$X$5</f>
        <v>20140101</v>
      </c>
      <c r="BA229" s="98">
        <f>IF(BA228+1&gt;MiscData!$Z$42,1,BA228+1)</f>
        <v>36</v>
      </c>
      <c r="BB229" s="98" t="str">
        <f>VLOOKUP(BA229,MiscData!$Z$5:$AB$46,2,FALSE)</f>
        <v>LGRSE540</v>
      </c>
      <c r="BC229" s="98" t="str">
        <f>VLOOKUP(BA229,MiscData!$Z$5:$AB$46,3,FALSE)</f>
        <v>VFD</v>
      </c>
    </row>
    <row r="230" spans="1:55">
      <c r="A230" s="108">
        <v>215</v>
      </c>
      <c r="B230" s="109" t="str">
        <f t="shared" si="164"/>
        <v>Jun 2016</v>
      </c>
      <c r="C230" s="110" t="str">
        <f t="shared" si="175"/>
        <v>LEV</v>
      </c>
      <c r="D230" s="110" t="str">
        <f t="shared" si="165"/>
        <v>LGRSE543</v>
      </c>
      <c r="E230" s="111">
        <f t="shared" si="137"/>
        <v>21</v>
      </c>
      <c r="F230" s="112">
        <v>0</v>
      </c>
      <c r="G230" s="111">
        <f t="shared" si="138"/>
        <v>23293</v>
      </c>
      <c r="H230" s="111">
        <f t="shared" si="139"/>
        <v>8637</v>
      </c>
      <c r="I230" s="111">
        <f t="shared" si="140"/>
        <v>8200</v>
      </c>
      <c r="J230" s="111">
        <f t="shared" si="141"/>
        <v>40130</v>
      </c>
      <c r="K230" s="113">
        <f t="shared" si="142"/>
        <v>0</v>
      </c>
      <c r="L230" s="113">
        <f t="shared" si="143"/>
        <v>0</v>
      </c>
      <c r="M230" s="113">
        <f t="shared" si="144"/>
        <v>0</v>
      </c>
      <c r="N230" s="116">
        <f t="shared" si="145"/>
        <v>10.75</v>
      </c>
      <c r="O230" s="117">
        <f t="shared" si="133"/>
        <v>5.8200000000000002E-2</v>
      </c>
      <c r="P230" s="117">
        <f t="shared" si="146"/>
        <v>7.8990000000000005E-2</v>
      </c>
      <c r="Q230" s="117">
        <f t="shared" si="147"/>
        <v>0.14451000000000003</v>
      </c>
      <c r="R230" s="117">
        <f t="shared" si="148"/>
        <v>2.725E-2</v>
      </c>
      <c r="S230" s="116">
        <f t="shared" si="149"/>
        <v>0</v>
      </c>
      <c r="T230" s="116">
        <f t="shared" si="150"/>
        <v>0</v>
      </c>
      <c r="U230" s="116">
        <f t="shared" si="151"/>
        <v>0</v>
      </c>
      <c r="V230" s="118">
        <f t="shared" si="152"/>
        <v>225.75</v>
      </c>
      <c r="W230" s="118">
        <f t="shared" si="166"/>
        <v>3222.87</v>
      </c>
      <c r="X230" s="118">
        <f t="shared" si="167"/>
        <v>0</v>
      </c>
      <c r="Y230" s="118">
        <f t="shared" si="168"/>
        <v>0</v>
      </c>
      <c r="Z230" s="118">
        <f t="shared" si="169"/>
        <v>0</v>
      </c>
      <c r="AA230" s="119">
        <v>0</v>
      </c>
      <c r="AB230" s="120">
        <f t="shared" si="153"/>
        <v>0</v>
      </c>
      <c r="AC230" s="118">
        <f t="shared" si="154"/>
        <v>0</v>
      </c>
      <c r="AD230" s="118">
        <f t="shared" si="170"/>
        <v>3448.62</v>
      </c>
      <c r="AE230" s="118">
        <f t="shared" si="155"/>
        <v>0</v>
      </c>
      <c r="AF230" s="121">
        <f t="shared" si="171"/>
        <v>0</v>
      </c>
      <c r="AG230" s="122">
        <f t="shared" si="156"/>
        <v>0</v>
      </c>
      <c r="AH230" s="122">
        <f t="shared" si="157"/>
        <v>0</v>
      </c>
      <c r="AI230" s="122">
        <f t="shared" si="158"/>
        <v>0</v>
      </c>
      <c r="AJ230" s="122">
        <f t="shared" si="159"/>
        <v>0</v>
      </c>
      <c r="AK230" s="122">
        <f t="shared" si="160"/>
        <v>0</v>
      </c>
      <c r="AL230" s="122">
        <f t="shared" si="161"/>
        <v>0</v>
      </c>
      <c r="AM230" s="123">
        <f t="shared" si="162"/>
        <v>3448.62</v>
      </c>
      <c r="AN230" s="123">
        <f t="shared" si="134"/>
        <v>-3448.62</v>
      </c>
      <c r="AO230" s="124">
        <f t="shared" si="163"/>
        <v>1093.54</v>
      </c>
      <c r="AP230" s="125">
        <f t="shared" si="172"/>
        <v>2129.33</v>
      </c>
      <c r="AU230" s="109">
        <f>IF(BA230=1,IF(AU229=MiscData!$F$1,EOMONTH(AU229,-11),EOMONTH(AU229,1)),AU229)</f>
        <v>42551</v>
      </c>
      <c r="AV230" s="108" t="str">
        <f t="shared" si="173"/>
        <v>20140101LGRSE543</v>
      </c>
      <c r="AW230" s="126" t="str">
        <f t="shared" si="174"/>
        <v>20140101LEV</v>
      </c>
      <c r="AX230">
        <f>MiscData!$X$5</f>
        <v>20140101</v>
      </c>
      <c r="BA230" s="98">
        <f>IF(BA229+1&gt;MiscData!$Z$42,1,BA229+1)</f>
        <v>37</v>
      </c>
      <c r="BB230" s="98" t="str">
        <f>VLOOKUP(BA230,MiscData!$Z$5:$AB$46,2,FALSE)</f>
        <v>LGRSE543</v>
      </c>
      <c r="BC230" s="98" t="str">
        <f>VLOOKUP(BA230,MiscData!$Z$5:$AB$46,3,FALSE)</f>
        <v>LEV</v>
      </c>
    </row>
    <row r="231" spans="1:55">
      <c r="A231" s="108">
        <v>216</v>
      </c>
      <c r="B231" s="109" t="str">
        <f t="shared" si="164"/>
        <v>Jun 2016</v>
      </c>
      <c r="C231" s="110" t="str">
        <f t="shared" si="175"/>
        <v>LEV</v>
      </c>
      <c r="D231" s="110" t="str">
        <f t="shared" si="165"/>
        <v>LGRSE547</v>
      </c>
      <c r="E231" s="111">
        <f t="shared" si="137"/>
        <v>0</v>
      </c>
      <c r="F231" s="112">
        <v>0</v>
      </c>
      <c r="G231" s="111">
        <f t="shared" si="138"/>
        <v>0</v>
      </c>
      <c r="H231" s="111">
        <f t="shared" si="139"/>
        <v>0</v>
      </c>
      <c r="I231" s="111">
        <f t="shared" si="140"/>
        <v>0</v>
      </c>
      <c r="J231" s="111">
        <f t="shared" si="141"/>
        <v>0</v>
      </c>
      <c r="K231" s="113">
        <f t="shared" si="142"/>
        <v>0</v>
      </c>
      <c r="L231" s="113">
        <f t="shared" si="143"/>
        <v>0</v>
      </c>
      <c r="M231" s="113">
        <f t="shared" si="144"/>
        <v>0</v>
      </c>
      <c r="N231" s="116">
        <f t="shared" si="145"/>
        <v>10.75</v>
      </c>
      <c r="O231" s="117">
        <f t="shared" si="133"/>
        <v>5.8200000000000002E-2</v>
      </c>
      <c r="P231" s="117">
        <f t="shared" si="146"/>
        <v>7.8990000000000005E-2</v>
      </c>
      <c r="Q231" s="117">
        <f t="shared" si="147"/>
        <v>0.14451000000000003</v>
      </c>
      <c r="R231" s="117">
        <f t="shared" si="148"/>
        <v>2.725E-2</v>
      </c>
      <c r="S231" s="116">
        <f t="shared" si="149"/>
        <v>0</v>
      </c>
      <c r="T231" s="116">
        <f t="shared" si="150"/>
        <v>0</v>
      </c>
      <c r="U231" s="116">
        <f t="shared" si="151"/>
        <v>0</v>
      </c>
      <c r="V231" s="118">
        <f t="shared" si="152"/>
        <v>0</v>
      </c>
      <c r="W231" s="118">
        <f t="shared" si="166"/>
        <v>0</v>
      </c>
      <c r="X231" s="118">
        <f t="shared" si="167"/>
        <v>0</v>
      </c>
      <c r="Y231" s="118">
        <f t="shared" si="168"/>
        <v>0</v>
      </c>
      <c r="Z231" s="118">
        <f t="shared" si="169"/>
        <v>0</v>
      </c>
      <c r="AA231" s="119">
        <v>0</v>
      </c>
      <c r="AB231" s="120">
        <f t="shared" si="153"/>
        <v>0</v>
      </c>
      <c r="AC231" s="118">
        <f t="shared" si="154"/>
        <v>0</v>
      </c>
      <c r="AD231" s="118">
        <f t="shared" si="170"/>
        <v>0</v>
      </c>
      <c r="AE231" s="118">
        <f t="shared" si="155"/>
        <v>0</v>
      </c>
      <c r="AF231" s="121">
        <f t="shared" si="171"/>
        <v>1</v>
      </c>
      <c r="AG231" s="122">
        <f t="shared" si="156"/>
        <v>0</v>
      </c>
      <c r="AH231" s="122">
        <f t="shared" si="157"/>
        <v>0</v>
      </c>
      <c r="AI231" s="122">
        <f t="shared" si="158"/>
        <v>0</v>
      </c>
      <c r="AJ231" s="122">
        <f t="shared" si="159"/>
        <v>0</v>
      </c>
      <c r="AK231" s="122">
        <f t="shared" si="160"/>
        <v>0</v>
      </c>
      <c r="AL231" s="122">
        <f t="shared" si="161"/>
        <v>0</v>
      </c>
      <c r="AM231" s="123">
        <f t="shared" si="162"/>
        <v>0</v>
      </c>
      <c r="AN231" s="123">
        <f t="shared" si="134"/>
        <v>0</v>
      </c>
      <c r="AO231" s="124">
        <f t="shared" si="163"/>
        <v>0</v>
      </c>
      <c r="AP231" s="125">
        <f t="shared" si="172"/>
        <v>0</v>
      </c>
      <c r="AU231" s="109">
        <f>IF(BA231=1,IF(AU230=MiscData!$F$1,EOMONTH(AU230,-11),EOMONTH(AU230,1)),AU230)</f>
        <v>42551</v>
      </c>
      <c r="AV231" s="108" t="str">
        <f t="shared" si="173"/>
        <v>20140101LGRSE547</v>
      </c>
      <c r="AW231" s="126" t="str">
        <f t="shared" si="174"/>
        <v>20140101LEV</v>
      </c>
      <c r="AX231">
        <f>MiscData!$X$5</f>
        <v>20140101</v>
      </c>
      <c r="BA231" s="98">
        <f>IF(BA230+1&gt;MiscData!$Z$42,1,BA230+1)</f>
        <v>38</v>
      </c>
      <c r="BB231" s="98" t="str">
        <f>VLOOKUP(BA231,MiscData!$Z$5:$AB$46,2,FALSE)</f>
        <v>LGRSE547</v>
      </c>
      <c r="BC231" s="98" t="str">
        <f>VLOOKUP(BA231,MiscData!$Z$5:$AB$46,3,FALSE)</f>
        <v>LEV</v>
      </c>
    </row>
    <row r="232" spans="1:55">
      <c r="A232" s="108">
        <v>217</v>
      </c>
      <c r="B232" s="109" t="str">
        <f t="shared" si="164"/>
        <v>Jul 2015</v>
      </c>
      <c r="C232" s="110" t="str">
        <f t="shared" si="175"/>
        <v>FLSP</v>
      </c>
      <c r="D232" s="110" t="str">
        <f t="shared" si="165"/>
        <v>LGINE682</v>
      </c>
      <c r="E232" s="111">
        <f t="shared" si="137"/>
        <v>0</v>
      </c>
      <c r="F232" s="112">
        <v>0</v>
      </c>
      <c r="G232" s="111">
        <f t="shared" si="138"/>
        <v>0</v>
      </c>
      <c r="H232" s="111">
        <f t="shared" si="139"/>
        <v>0</v>
      </c>
      <c r="I232" s="111">
        <f t="shared" si="140"/>
        <v>0</v>
      </c>
      <c r="J232" s="111">
        <f t="shared" si="141"/>
        <v>0</v>
      </c>
      <c r="K232" s="113">
        <f t="shared" si="142"/>
        <v>0</v>
      </c>
      <c r="L232" s="113">
        <f t="shared" si="143"/>
        <v>0</v>
      </c>
      <c r="M232" s="113">
        <f t="shared" si="144"/>
        <v>0</v>
      </c>
      <c r="N232" s="116">
        <f t="shared" si="145"/>
        <v>750</v>
      </c>
      <c r="O232" s="117">
        <f t="shared" si="133"/>
        <v>3.61E-2</v>
      </c>
      <c r="P232" s="117">
        <f t="shared" si="146"/>
        <v>0</v>
      </c>
      <c r="Q232" s="117">
        <f t="shared" si="147"/>
        <v>0</v>
      </c>
      <c r="R232" s="117">
        <f t="shared" si="148"/>
        <v>2.725E-2</v>
      </c>
      <c r="S232" s="116">
        <f t="shared" si="149"/>
        <v>1.8900000000000001</v>
      </c>
      <c r="T232" s="116">
        <f t="shared" si="150"/>
        <v>1.8900000000000001</v>
      </c>
      <c r="U232" s="116">
        <f t="shared" si="151"/>
        <v>2.94</v>
      </c>
      <c r="V232" s="118">
        <f t="shared" si="152"/>
        <v>0</v>
      </c>
      <c r="W232" s="118">
        <f t="shared" si="166"/>
        <v>0</v>
      </c>
      <c r="X232" s="118">
        <f t="shared" si="167"/>
        <v>0</v>
      </c>
      <c r="Y232" s="118">
        <f t="shared" si="168"/>
        <v>0</v>
      </c>
      <c r="Z232" s="118">
        <f t="shared" si="169"/>
        <v>0</v>
      </c>
      <c r="AA232" s="119">
        <v>0</v>
      </c>
      <c r="AB232" s="120">
        <f t="shared" si="153"/>
        <v>0</v>
      </c>
      <c r="AC232" s="118">
        <f t="shared" si="154"/>
        <v>0</v>
      </c>
      <c r="AD232" s="118">
        <f t="shared" si="170"/>
        <v>0</v>
      </c>
      <c r="AE232" s="118">
        <f t="shared" si="155"/>
        <v>0</v>
      </c>
      <c r="AF232" s="121">
        <f t="shared" si="171"/>
        <v>1</v>
      </c>
      <c r="AG232" s="122">
        <f t="shared" si="156"/>
        <v>0</v>
      </c>
      <c r="AH232" s="122">
        <f t="shared" si="157"/>
        <v>0</v>
      </c>
      <c r="AI232" s="122">
        <f t="shared" si="158"/>
        <v>0</v>
      </c>
      <c r="AJ232" s="122">
        <f t="shared" si="159"/>
        <v>0</v>
      </c>
      <c r="AK232" s="122">
        <f t="shared" si="160"/>
        <v>0</v>
      </c>
      <c r="AL232" s="122">
        <f t="shared" si="161"/>
        <v>0</v>
      </c>
      <c r="AM232" s="123">
        <f t="shared" si="162"/>
        <v>0</v>
      </c>
      <c r="AN232" s="123">
        <f t="shared" ref="AN232:AN238" si="177">ROUND(AL232-AM232,2)</f>
        <v>0</v>
      </c>
      <c r="AO232" s="124">
        <f t="shared" si="163"/>
        <v>0</v>
      </c>
      <c r="AP232" s="125">
        <f t="shared" si="172"/>
        <v>0</v>
      </c>
      <c r="AU232" s="109">
        <f>IF(BA232=1,IF(AU231=MiscData!$F$1,EOMONTH(AU231,-11),EOMONTH(AU231,1)),AU231)</f>
        <v>42216</v>
      </c>
      <c r="AV232" s="108" t="str">
        <f t="shared" si="173"/>
        <v>20140101LGINE682</v>
      </c>
      <c r="AW232" s="126" t="str">
        <f t="shared" si="174"/>
        <v>20140101FLSP</v>
      </c>
      <c r="AX232">
        <f>MiscData!$X$5</f>
        <v>20140101</v>
      </c>
      <c r="BA232" s="98">
        <f>IF(BA231+1&gt;MiscData!$Z$42,1,BA231+1)</f>
        <v>1</v>
      </c>
      <c r="BB232" s="98" t="str">
        <f>VLOOKUP(BA232,MiscData!$Z$5:$AB$46,2,FALSE)</f>
        <v>LGINE682</v>
      </c>
      <c r="BC232" s="98" t="str">
        <f>VLOOKUP(BA232,MiscData!$Z$5:$AB$46,3,FALSE)</f>
        <v>FLSP</v>
      </c>
    </row>
    <row r="233" spans="1:55">
      <c r="A233" s="108">
        <v>218</v>
      </c>
      <c r="B233" s="109" t="str">
        <f t="shared" si="164"/>
        <v>Jul 2015</v>
      </c>
      <c r="C233" s="110" t="str">
        <f t="shared" si="175"/>
        <v>FLST</v>
      </c>
      <c r="D233" s="110" t="str">
        <f t="shared" si="165"/>
        <v>LGINE683</v>
      </c>
      <c r="E233" s="111">
        <f t="shared" si="137"/>
        <v>0</v>
      </c>
      <c r="F233" s="112">
        <v>0</v>
      </c>
      <c r="G233" s="111">
        <f t="shared" si="138"/>
        <v>0</v>
      </c>
      <c r="H233" s="111">
        <f t="shared" si="139"/>
        <v>0</v>
      </c>
      <c r="I233" s="111">
        <f t="shared" si="140"/>
        <v>0</v>
      </c>
      <c r="J233" s="111">
        <f t="shared" si="141"/>
        <v>0</v>
      </c>
      <c r="K233" s="113">
        <f t="shared" si="142"/>
        <v>0</v>
      </c>
      <c r="L233" s="113">
        <f t="shared" si="143"/>
        <v>0</v>
      </c>
      <c r="M233" s="113">
        <f t="shared" si="144"/>
        <v>0</v>
      </c>
      <c r="N233" s="116">
        <f t="shared" si="145"/>
        <v>750</v>
      </c>
      <c r="O233" s="117">
        <f t="shared" ref="O233:O296" si="178">SUMIF(L_Rates_Tariff_Rate_Category,$AV233,L_Rates_Energy)</f>
        <v>3.61E-2</v>
      </c>
      <c r="P233" s="117">
        <f t="shared" si="146"/>
        <v>0</v>
      </c>
      <c r="Q233" s="117">
        <f t="shared" si="147"/>
        <v>0</v>
      </c>
      <c r="R233" s="117">
        <f t="shared" si="148"/>
        <v>2.725E-2</v>
      </c>
      <c r="S233" s="116">
        <f t="shared" si="149"/>
        <v>1.1400000000000001</v>
      </c>
      <c r="T233" s="116">
        <f t="shared" si="150"/>
        <v>1.8900000000000001</v>
      </c>
      <c r="U233" s="116">
        <f t="shared" si="151"/>
        <v>2.94</v>
      </c>
      <c r="V233" s="118">
        <f t="shared" si="152"/>
        <v>0</v>
      </c>
      <c r="W233" s="118">
        <f t="shared" si="166"/>
        <v>0</v>
      </c>
      <c r="X233" s="118">
        <f t="shared" si="167"/>
        <v>0</v>
      </c>
      <c r="Y233" s="118">
        <f t="shared" si="168"/>
        <v>0</v>
      </c>
      <c r="Z233" s="118">
        <f t="shared" si="169"/>
        <v>0</v>
      </c>
      <c r="AA233" s="119">
        <v>0</v>
      </c>
      <c r="AB233" s="120">
        <f t="shared" si="153"/>
        <v>0</v>
      </c>
      <c r="AC233" s="118">
        <f t="shared" si="154"/>
        <v>0</v>
      </c>
      <c r="AD233" s="118">
        <f t="shared" si="170"/>
        <v>0</v>
      </c>
      <c r="AE233" s="118">
        <f t="shared" si="155"/>
        <v>0</v>
      </c>
      <c r="AF233" s="121">
        <f t="shared" si="171"/>
        <v>1</v>
      </c>
      <c r="AG233" s="122">
        <f t="shared" si="156"/>
        <v>0</v>
      </c>
      <c r="AH233" s="122">
        <f t="shared" si="157"/>
        <v>0</v>
      </c>
      <c r="AI233" s="122">
        <f t="shared" si="158"/>
        <v>0</v>
      </c>
      <c r="AJ233" s="122">
        <f t="shared" si="159"/>
        <v>0</v>
      </c>
      <c r="AK233" s="122">
        <f t="shared" si="160"/>
        <v>0</v>
      </c>
      <c r="AL233" s="122">
        <f t="shared" si="161"/>
        <v>0</v>
      </c>
      <c r="AM233" s="123">
        <f t="shared" si="162"/>
        <v>0</v>
      </c>
      <c r="AN233" s="123">
        <f t="shared" si="177"/>
        <v>0</v>
      </c>
      <c r="AO233" s="124">
        <f t="shared" si="163"/>
        <v>0</v>
      </c>
      <c r="AP233" s="125">
        <f t="shared" si="172"/>
        <v>0</v>
      </c>
      <c r="AU233" s="109">
        <f>IF(BA233=1,IF(AU232=MiscData!$F$1,EOMONTH(AU232,-11),EOMONTH(AU232,1)),AU232)</f>
        <v>42216</v>
      </c>
      <c r="AV233" s="108" t="str">
        <f t="shared" si="173"/>
        <v>20140101LGINE683</v>
      </c>
      <c r="AW233" s="126" t="str">
        <f t="shared" si="174"/>
        <v>20140101FLST</v>
      </c>
      <c r="AX233">
        <f>MiscData!$X$5</f>
        <v>20140101</v>
      </c>
      <c r="BA233" s="98">
        <f>IF(BA232+1&gt;MiscData!$Z$42,1,BA232+1)</f>
        <v>2</v>
      </c>
      <c r="BB233" s="98" t="str">
        <f>VLOOKUP(BA233,MiscData!$Z$5:$AB$46,2,FALSE)</f>
        <v>LGINE683</v>
      </c>
      <c r="BC233" s="98" t="str">
        <f>VLOOKUP(BA233,MiscData!$Z$5:$AB$46,3,FALSE)</f>
        <v>FLST</v>
      </c>
    </row>
    <row r="234" spans="1:55">
      <c r="A234" s="108">
        <v>219</v>
      </c>
      <c r="B234" s="109" t="str">
        <f t="shared" si="164"/>
        <v>Jul 2015</v>
      </c>
      <c r="C234" s="110" t="s">
        <v>902</v>
      </c>
      <c r="D234" s="110" t="str">
        <f t="shared" si="165"/>
        <v>LGCME451</v>
      </c>
      <c r="E234" s="111">
        <f t="shared" si="137"/>
        <v>0</v>
      </c>
      <c r="F234" s="112">
        <v>0</v>
      </c>
      <c r="G234" s="111">
        <f t="shared" si="138"/>
        <v>0</v>
      </c>
      <c r="H234" s="111">
        <f t="shared" si="139"/>
        <v>0</v>
      </c>
      <c r="I234" s="111">
        <f t="shared" si="140"/>
        <v>0</v>
      </c>
      <c r="J234" s="111">
        <f t="shared" si="141"/>
        <v>0</v>
      </c>
      <c r="K234" s="113">
        <f t="shared" si="142"/>
        <v>0</v>
      </c>
      <c r="L234" s="113">
        <f t="shared" si="143"/>
        <v>0</v>
      </c>
      <c r="M234" s="113">
        <f t="shared" si="144"/>
        <v>0</v>
      </c>
      <c r="N234" s="116">
        <f t="shared" si="145"/>
        <v>0</v>
      </c>
      <c r="O234" s="117">
        <f t="shared" si="178"/>
        <v>9.1340000000000005E-2</v>
      </c>
      <c r="P234" s="117">
        <f t="shared" si="146"/>
        <v>0</v>
      </c>
      <c r="Q234" s="117">
        <f t="shared" si="147"/>
        <v>0</v>
      </c>
      <c r="R234" s="117">
        <f t="shared" si="148"/>
        <v>2.725E-2</v>
      </c>
      <c r="S234" s="116">
        <f t="shared" si="149"/>
        <v>0</v>
      </c>
      <c r="T234" s="116">
        <f t="shared" si="150"/>
        <v>0</v>
      </c>
      <c r="U234" s="116">
        <f t="shared" si="151"/>
        <v>0</v>
      </c>
      <c r="V234" s="118">
        <f t="shared" si="152"/>
        <v>0</v>
      </c>
      <c r="W234" s="118">
        <f t="shared" si="166"/>
        <v>0</v>
      </c>
      <c r="X234" s="118">
        <f t="shared" si="167"/>
        <v>0</v>
      </c>
      <c r="Y234" s="118">
        <f t="shared" si="168"/>
        <v>0</v>
      </c>
      <c r="Z234" s="118">
        <f t="shared" si="169"/>
        <v>0</v>
      </c>
      <c r="AA234" s="119">
        <v>0</v>
      </c>
      <c r="AB234" s="120">
        <f t="shared" si="153"/>
        <v>0</v>
      </c>
      <c r="AC234" s="118">
        <f t="shared" si="154"/>
        <v>0</v>
      </c>
      <c r="AD234" s="118">
        <f t="shared" si="170"/>
        <v>0</v>
      </c>
      <c r="AE234" s="118">
        <f t="shared" si="155"/>
        <v>0</v>
      </c>
      <c r="AF234" s="121">
        <f t="shared" si="171"/>
        <v>1</v>
      </c>
      <c r="AG234" s="122">
        <f t="shared" si="156"/>
        <v>0</v>
      </c>
      <c r="AH234" s="122">
        <f t="shared" si="157"/>
        <v>0</v>
      </c>
      <c r="AI234" s="122">
        <f t="shared" si="158"/>
        <v>0</v>
      </c>
      <c r="AJ234" s="122">
        <f t="shared" si="159"/>
        <v>0</v>
      </c>
      <c r="AK234" s="122">
        <f t="shared" si="160"/>
        <v>0</v>
      </c>
      <c r="AL234" s="122">
        <f t="shared" si="161"/>
        <v>0</v>
      </c>
      <c r="AM234" s="123">
        <f t="shared" si="162"/>
        <v>0</v>
      </c>
      <c r="AN234" s="123">
        <f t="shared" si="177"/>
        <v>0</v>
      </c>
      <c r="AO234" s="124">
        <f t="shared" si="163"/>
        <v>0</v>
      </c>
      <c r="AP234" s="125">
        <f t="shared" si="172"/>
        <v>0</v>
      </c>
      <c r="AU234" s="109">
        <f>IF(BA234=1,IF(AU233=MiscData!$F$1,EOMONTH(AU233,-11),EOMONTH(AU233,1)),AU233)</f>
        <v>42216</v>
      </c>
      <c r="AV234" s="108" t="str">
        <f t="shared" si="173"/>
        <v>20140101LGCME451</v>
      </c>
      <c r="AW234" s="126" t="str">
        <f t="shared" si="174"/>
        <v>20140101GSS</v>
      </c>
      <c r="AX234">
        <f>MiscData!$X$5</f>
        <v>20140101</v>
      </c>
      <c r="BA234" s="98">
        <f>IF(BA233+1&gt;MiscData!$Z$42,1,BA233+1)</f>
        <v>3</v>
      </c>
      <c r="BB234" s="98" t="str">
        <f>VLOOKUP(BA234,MiscData!$Z$5:$AB$46,2,FALSE)</f>
        <v>LGCME451</v>
      </c>
      <c r="BC234" s="98" t="str">
        <f>VLOOKUP(BA234,MiscData!$Z$5:$AB$46,3,FALSE)</f>
        <v>GSS</v>
      </c>
    </row>
    <row r="235" spans="1:55">
      <c r="A235" s="108">
        <v>220</v>
      </c>
      <c r="B235" s="109" t="str">
        <f t="shared" si="164"/>
        <v>Jul 2015</v>
      </c>
      <c r="C235" s="110" t="s">
        <v>902</v>
      </c>
      <c r="D235" s="110" t="str">
        <f t="shared" si="165"/>
        <v>LGCME550</v>
      </c>
      <c r="E235" s="111">
        <f t="shared" si="137"/>
        <v>0</v>
      </c>
      <c r="F235" s="112">
        <v>0</v>
      </c>
      <c r="G235" s="111">
        <f t="shared" si="138"/>
        <v>0</v>
      </c>
      <c r="H235" s="111">
        <f t="shared" si="139"/>
        <v>0</v>
      </c>
      <c r="I235" s="111">
        <f t="shared" si="140"/>
        <v>0</v>
      </c>
      <c r="J235" s="111">
        <f t="shared" si="141"/>
        <v>0</v>
      </c>
      <c r="K235" s="113">
        <f t="shared" si="142"/>
        <v>0</v>
      </c>
      <c r="L235" s="113">
        <f t="shared" si="143"/>
        <v>0</v>
      </c>
      <c r="M235" s="113">
        <f t="shared" si="144"/>
        <v>0</v>
      </c>
      <c r="N235" s="116">
        <f t="shared" si="145"/>
        <v>20</v>
      </c>
      <c r="O235" s="117">
        <f t="shared" si="178"/>
        <v>9.1340000000000005E-2</v>
      </c>
      <c r="P235" s="117">
        <f t="shared" si="146"/>
        <v>0</v>
      </c>
      <c r="Q235" s="117">
        <f t="shared" si="147"/>
        <v>0</v>
      </c>
      <c r="R235" s="117">
        <f t="shared" si="148"/>
        <v>2.725E-2</v>
      </c>
      <c r="S235" s="116">
        <f t="shared" si="149"/>
        <v>0</v>
      </c>
      <c r="T235" s="116">
        <f t="shared" si="150"/>
        <v>0</v>
      </c>
      <c r="U235" s="116">
        <f t="shared" si="151"/>
        <v>0</v>
      </c>
      <c r="V235" s="118">
        <f t="shared" si="152"/>
        <v>0</v>
      </c>
      <c r="W235" s="118">
        <f t="shared" si="166"/>
        <v>0</v>
      </c>
      <c r="X235" s="118">
        <f t="shared" si="167"/>
        <v>0</v>
      </c>
      <c r="Y235" s="118">
        <f t="shared" si="168"/>
        <v>0</v>
      </c>
      <c r="Z235" s="118">
        <f t="shared" si="169"/>
        <v>0</v>
      </c>
      <c r="AA235" s="119">
        <v>0</v>
      </c>
      <c r="AB235" s="120">
        <f t="shared" si="153"/>
        <v>0</v>
      </c>
      <c r="AC235" s="118">
        <f t="shared" si="154"/>
        <v>0</v>
      </c>
      <c r="AD235" s="118">
        <f t="shared" si="170"/>
        <v>0</v>
      </c>
      <c r="AE235" s="118">
        <f t="shared" si="155"/>
        <v>0</v>
      </c>
      <c r="AF235" s="121">
        <f t="shared" si="171"/>
        <v>1</v>
      </c>
      <c r="AG235" s="122">
        <f t="shared" si="156"/>
        <v>0</v>
      </c>
      <c r="AH235" s="122">
        <f t="shared" si="157"/>
        <v>0</v>
      </c>
      <c r="AI235" s="122">
        <f t="shared" si="158"/>
        <v>0</v>
      </c>
      <c r="AJ235" s="122">
        <f t="shared" si="159"/>
        <v>0</v>
      </c>
      <c r="AK235" s="122">
        <f t="shared" si="160"/>
        <v>0</v>
      </c>
      <c r="AL235" s="122">
        <f t="shared" si="161"/>
        <v>0</v>
      </c>
      <c r="AM235" s="123">
        <f t="shared" si="162"/>
        <v>0</v>
      </c>
      <c r="AN235" s="123">
        <f t="shared" si="177"/>
        <v>0</v>
      </c>
      <c r="AO235" s="124">
        <f t="shared" si="163"/>
        <v>0</v>
      </c>
      <c r="AP235" s="125">
        <f t="shared" si="172"/>
        <v>0</v>
      </c>
      <c r="AU235" s="109">
        <f>IF(BA235=1,IF(AU234=MiscData!$F$1,EOMONTH(AU234,-11),EOMONTH(AU234,1)),AU234)</f>
        <v>42216</v>
      </c>
      <c r="AV235" s="108" t="str">
        <f t="shared" si="173"/>
        <v>20140101LGCME550</v>
      </c>
      <c r="AW235" s="126" t="str">
        <f t="shared" si="174"/>
        <v>20140101GSS</v>
      </c>
      <c r="AX235">
        <f>MiscData!$X$5</f>
        <v>20140101</v>
      </c>
      <c r="BA235" s="98">
        <f>IF(BA234+1&gt;MiscData!$Z$42,1,BA234+1)</f>
        <v>4</v>
      </c>
      <c r="BB235" s="98" t="str">
        <f>VLOOKUP(BA235,MiscData!$Z$5:$AB$46,2,FALSE)</f>
        <v>LGCME550</v>
      </c>
      <c r="BC235" s="98" t="str">
        <f>VLOOKUP(BA235,MiscData!$Z$5:$AB$46,3,FALSE)</f>
        <v>GSS</v>
      </c>
    </row>
    <row r="236" spans="1:55">
      <c r="A236" s="108">
        <v>221</v>
      </c>
      <c r="B236" s="109" t="str">
        <f t="shared" si="164"/>
        <v>Jul 2015</v>
      </c>
      <c r="C236" s="110" t="s">
        <v>902</v>
      </c>
      <c r="D236" s="110" t="str">
        <f t="shared" si="165"/>
        <v>LGCME551</v>
      </c>
      <c r="E236" s="111">
        <f t="shared" si="137"/>
        <v>28156</v>
      </c>
      <c r="F236" s="112">
        <v>0</v>
      </c>
      <c r="G236" s="111">
        <f t="shared" si="138"/>
        <v>0</v>
      </c>
      <c r="H236" s="111">
        <f t="shared" si="139"/>
        <v>0</v>
      </c>
      <c r="I236" s="111">
        <f t="shared" si="140"/>
        <v>0</v>
      </c>
      <c r="J236" s="111">
        <f t="shared" si="141"/>
        <v>40110981</v>
      </c>
      <c r="K236" s="113">
        <f t="shared" si="142"/>
        <v>0</v>
      </c>
      <c r="L236" s="113">
        <f t="shared" si="143"/>
        <v>0</v>
      </c>
      <c r="M236" s="113">
        <f t="shared" si="144"/>
        <v>0</v>
      </c>
      <c r="N236" s="116">
        <f t="shared" si="145"/>
        <v>20</v>
      </c>
      <c r="O236" s="117">
        <f t="shared" si="178"/>
        <v>9.1340000000000005E-2</v>
      </c>
      <c r="P236" s="117">
        <f t="shared" si="146"/>
        <v>0</v>
      </c>
      <c r="Q236" s="117">
        <f t="shared" si="147"/>
        <v>0</v>
      </c>
      <c r="R236" s="117">
        <f t="shared" si="148"/>
        <v>2.725E-2</v>
      </c>
      <c r="S236" s="116">
        <f t="shared" si="149"/>
        <v>0</v>
      </c>
      <c r="T236" s="116">
        <f t="shared" si="150"/>
        <v>0</v>
      </c>
      <c r="U236" s="116">
        <f t="shared" si="151"/>
        <v>0</v>
      </c>
      <c r="V236" s="118">
        <f t="shared" si="152"/>
        <v>563120</v>
      </c>
      <c r="W236" s="118">
        <f t="shared" si="166"/>
        <v>3663737</v>
      </c>
      <c r="X236" s="118">
        <f t="shared" si="167"/>
        <v>0</v>
      </c>
      <c r="Y236" s="118">
        <f t="shared" si="168"/>
        <v>0</v>
      </c>
      <c r="Z236" s="118">
        <f t="shared" si="169"/>
        <v>0</v>
      </c>
      <c r="AA236" s="119">
        <v>0</v>
      </c>
      <c r="AB236" s="120">
        <f t="shared" si="153"/>
        <v>0</v>
      </c>
      <c r="AC236" s="118">
        <f t="shared" si="154"/>
        <v>0</v>
      </c>
      <c r="AD236" s="118">
        <f t="shared" si="170"/>
        <v>4226857</v>
      </c>
      <c r="AE236" s="118">
        <f t="shared" si="155"/>
        <v>4226851</v>
      </c>
      <c r="AF236" s="121">
        <f t="shared" si="171"/>
        <v>0.99999899999999997</v>
      </c>
      <c r="AG236" s="122">
        <f t="shared" si="156"/>
        <v>78567</v>
      </c>
      <c r="AH236" s="122">
        <f t="shared" si="157"/>
        <v>66058</v>
      </c>
      <c r="AI236" s="122">
        <f t="shared" si="158"/>
        <v>253317</v>
      </c>
      <c r="AJ236" s="122">
        <f t="shared" si="159"/>
        <v>0</v>
      </c>
      <c r="AK236" s="122">
        <f t="shared" si="160"/>
        <v>0</v>
      </c>
      <c r="AL236" s="122">
        <f t="shared" si="161"/>
        <v>4624793</v>
      </c>
      <c r="AM236" s="123">
        <f t="shared" si="162"/>
        <v>4624799</v>
      </c>
      <c r="AN236" s="123">
        <f t="shared" si="177"/>
        <v>-6</v>
      </c>
      <c r="AO236" s="124">
        <f t="shared" si="163"/>
        <v>1093024.23</v>
      </c>
      <c r="AP236" s="125">
        <f t="shared" si="172"/>
        <v>2570712.77</v>
      </c>
      <c r="AU236" s="109">
        <f>IF(BA236=1,IF(AU235=MiscData!$F$1,EOMONTH(AU235,-11),EOMONTH(AU235,1)),AU235)</f>
        <v>42216</v>
      </c>
      <c r="AV236" s="108" t="str">
        <f t="shared" si="173"/>
        <v>20140101LGCME551</v>
      </c>
      <c r="AW236" s="126" t="str">
        <f t="shared" si="174"/>
        <v>20140101GSS</v>
      </c>
      <c r="AX236">
        <f>MiscData!$X$5</f>
        <v>20140101</v>
      </c>
      <c r="BA236" s="98">
        <f>IF(BA235+1&gt;MiscData!$Z$42,1,BA235+1)</f>
        <v>5</v>
      </c>
      <c r="BB236" s="98" t="str">
        <f>VLOOKUP(BA236,MiscData!$Z$5:$AB$46,2,FALSE)</f>
        <v>LGCME551</v>
      </c>
      <c r="BC236" s="98" t="str">
        <f>VLOOKUP(BA236,MiscData!$Z$5:$AB$46,3,FALSE)</f>
        <v>GSS</v>
      </c>
    </row>
    <row r="237" spans="1:55">
      <c r="A237" s="108">
        <v>222</v>
      </c>
      <c r="B237" s="109" t="str">
        <f t="shared" si="164"/>
        <v>Jul 2015</v>
      </c>
      <c r="C237" s="110" t="s">
        <v>902</v>
      </c>
      <c r="D237" s="110" t="str">
        <f t="shared" si="165"/>
        <v>LGCME551UM</v>
      </c>
      <c r="E237" s="111">
        <f t="shared" si="137"/>
        <v>0</v>
      </c>
      <c r="F237" s="112">
        <v>0</v>
      </c>
      <c r="G237" s="111">
        <f t="shared" si="138"/>
        <v>0</v>
      </c>
      <c r="H237" s="111">
        <f t="shared" si="139"/>
        <v>0</v>
      </c>
      <c r="I237" s="111">
        <f t="shared" si="140"/>
        <v>0</v>
      </c>
      <c r="J237" s="111">
        <f t="shared" si="141"/>
        <v>0</v>
      </c>
      <c r="K237" s="113">
        <f t="shared" si="142"/>
        <v>0</v>
      </c>
      <c r="L237" s="113">
        <f t="shared" si="143"/>
        <v>0</v>
      </c>
      <c r="M237" s="113">
        <f t="shared" si="144"/>
        <v>0</v>
      </c>
      <c r="N237" s="116">
        <f t="shared" si="145"/>
        <v>20</v>
      </c>
      <c r="O237" s="117">
        <f t="shared" si="178"/>
        <v>9.1340000000000005E-2</v>
      </c>
      <c r="P237" s="117">
        <f t="shared" si="146"/>
        <v>0</v>
      </c>
      <c r="Q237" s="117">
        <f t="shared" si="147"/>
        <v>0</v>
      </c>
      <c r="R237" s="117">
        <f t="shared" si="148"/>
        <v>2.725E-2</v>
      </c>
      <c r="S237" s="116">
        <f t="shared" si="149"/>
        <v>0</v>
      </c>
      <c r="T237" s="116">
        <f t="shared" si="150"/>
        <v>0</v>
      </c>
      <c r="U237" s="116">
        <f t="shared" si="151"/>
        <v>0</v>
      </c>
      <c r="V237" s="118">
        <f t="shared" si="152"/>
        <v>0</v>
      </c>
      <c r="W237" s="118">
        <f t="shared" si="166"/>
        <v>0</v>
      </c>
      <c r="X237" s="118">
        <f t="shared" si="167"/>
        <v>0</v>
      </c>
      <c r="Y237" s="118">
        <f t="shared" si="168"/>
        <v>0</v>
      </c>
      <c r="Z237" s="118">
        <f t="shared" si="169"/>
        <v>0</v>
      </c>
      <c r="AA237" s="119">
        <v>0</v>
      </c>
      <c r="AB237" s="120">
        <f t="shared" si="153"/>
        <v>0</v>
      </c>
      <c r="AC237" s="118">
        <f t="shared" si="154"/>
        <v>0</v>
      </c>
      <c r="AD237" s="118">
        <f t="shared" si="170"/>
        <v>0</v>
      </c>
      <c r="AE237" s="118">
        <f t="shared" si="155"/>
        <v>0</v>
      </c>
      <c r="AF237" s="121">
        <f t="shared" si="171"/>
        <v>1</v>
      </c>
      <c r="AG237" s="122">
        <f t="shared" si="156"/>
        <v>0</v>
      </c>
      <c r="AH237" s="122">
        <f t="shared" si="157"/>
        <v>0</v>
      </c>
      <c r="AI237" s="122">
        <f t="shared" si="158"/>
        <v>0</v>
      </c>
      <c r="AJ237" s="122">
        <f t="shared" si="159"/>
        <v>0</v>
      </c>
      <c r="AK237" s="122">
        <f t="shared" si="160"/>
        <v>0</v>
      </c>
      <c r="AL237" s="122">
        <f t="shared" si="161"/>
        <v>0</v>
      </c>
      <c r="AM237" s="123">
        <f t="shared" si="162"/>
        <v>0</v>
      </c>
      <c r="AN237" s="123">
        <f t="shared" si="177"/>
        <v>0</v>
      </c>
      <c r="AO237" s="124">
        <f t="shared" si="163"/>
        <v>0</v>
      </c>
      <c r="AP237" s="125">
        <f t="shared" si="172"/>
        <v>0</v>
      </c>
      <c r="AU237" s="109">
        <f>IF(BA237=1,IF(AU236=MiscData!$F$1,EOMONTH(AU236,-11),EOMONTH(AU236,1)),AU236)</f>
        <v>42216</v>
      </c>
      <c r="AV237" s="108" t="str">
        <f t="shared" si="173"/>
        <v>20140101LGCME551UM</v>
      </c>
      <c r="AW237" s="126" t="str">
        <f t="shared" si="174"/>
        <v>20140101GSS</v>
      </c>
      <c r="AX237">
        <f>MiscData!$X$5</f>
        <v>20140101</v>
      </c>
      <c r="BA237" s="98">
        <f>IF(BA236+1&gt;MiscData!$Z$42,1,BA236+1)</f>
        <v>6</v>
      </c>
      <c r="BB237" s="98" t="str">
        <f>VLOOKUP(BA237,MiscData!$Z$5:$AB$46,2,FALSE)</f>
        <v>LGCME551UM</v>
      </c>
      <c r="BC237" s="98" t="str">
        <f>VLOOKUP(BA237,MiscData!$Z$5:$AB$46,3,FALSE)</f>
        <v>GSS</v>
      </c>
    </row>
    <row r="238" spans="1:55">
      <c r="A238" s="108">
        <v>223</v>
      </c>
      <c r="B238" s="109" t="str">
        <f t="shared" si="164"/>
        <v>Jul 2015</v>
      </c>
      <c r="C238" s="110" t="s">
        <v>902</v>
      </c>
      <c r="D238" s="110" t="str">
        <f t="shared" si="165"/>
        <v>LGCME552</v>
      </c>
      <c r="E238" s="111">
        <f t="shared" si="137"/>
        <v>0</v>
      </c>
      <c r="F238" s="112">
        <v>0</v>
      </c>
      <c r="G238" s="111">
        <f t="shared" si="138"/>
        <v>0</v>
      </c>
      <c r="H238" s="111">
        <f t="shared" si="139"/>
        <v>0</v>
      </c>
      <c r="I238" s="111">
        <f t="shared" si="140"/>
        <v>0</v>
      </c>
      <c r="J238" s="111">
        <f t="shared" si="141"/>
        <v>0</v>
      </c>
      <c r="K238" s="113">
        <f t="shared" si="142"/>
        <v>0</v>
      </c>
      <c r="L238" s="113">
        <f t="shared" si="143"/>
        <v>0</v>
      </c>
      <c r="M238" s="113">
        <f t="shared" si="144"/>
        <v>0</v>
      </c>
      <c r="N238" s="116">
        <f t="shared" si="145"/>
        <v>0</v>
      </c>
      <c r="O238" s="117">
        <f t="shared" si="178"/>
        <v>9.1340000000000005E-2</v>
      </c>
      <c r="P238" s="117">
        <f t="shared" si="146"/>
        <v>0</v>
      </c>
      <c r="Q238" s="117">
        <f t="shared" si="147"/>
        <v>0</v>
      </c>
      <c r="R238" s="117">
        <f t="shared" si="148"/>
        <v>2.725E-2</v>
      </c>
      <c r="S238" s="116">
        <f t="shared" si="149"/>
        <v>0</v>
      </c>
      <c r="T238" s="116">
        <f t="shared" si="150"/>
        <v>0</v>
      </c>
      <c r="U238" s="116">
        <f t="shared" si="151"/>
        <v>0</v>
      </c>
      <c r="V238" s="118">
        <f t="shared" si="152"/>
        <v>0</v>
      </c>
      <c r="W238" s="118">
        <f t="shared" si="166"/>
        <v>0</v>
      </c>
      <c r="X238" s="118">
        <f t="shared" si="167"/>
        <v>0</v>
      </c>
      <c r="Y238" s="118">
        <f t="shared" si="168"/>
        <v>0</v>
      </c>
      <c r="Z238" s="118">
        <f t="shared" si="169"/>
        <v>0</v>
      </c>
      <c r="AA238" s="119">
        <v>0</v>
      </c>
      <c r="AB238" s="120">
        <f t="shared" si="153"/>
        <v>0</v>
      </c>
      <c r="AC238" s="118">
        <f t="shared" si="154"/>
        <v>0</v>
      </c>
      <c r="AD238" s="118">
        <f t="shared" si="170"/>
        <v>0</v>
      </c>
      <c r="AE238" s="118">
        <f t="shared" si="155"/>
        <v>0</v>
      </c>
      <c r="AF238" s="121">
        <f t="shared" si="171"/>
        <v>1</v>
      </c>
      <c r="AG238" s="122">
        <f t="shared" si="156"/>
        <v>0</v>
      </c>
      <c r="AH238" s="122">
        <f t="shared" si="157"/>
        <v>0</v>
      </c>
      <c r="AI238" s="122">
        <f t="shared" si="158"/>
        <v>0</v>
      </c>
      <c r="AJ238" s="122">
        <f t="shared" si="159"/>
        <v>0</v>
      </c>
      <c r="AK238" s="122">
        <f t="shared" si="160"/>
        <v>0</v>
      </c>
      <c r="AL238" s="122">
        <f t="shared" si="161"/>
        <v>0</v>
      </c>
      <c r="AM238" s="123">
        <f t="shared" si="162"/>
        <v>0</v>
      </c>
      <c r="AN238" s="123">
        <f t="shared" si="177"/>
        <v>0</v>
      </c>
      <c r="AO238" s="124">
        <f t="shared" si="163"/>
        <v>0</v>
      </c>
      <c r="AP238" s="125">
        <f t="shared" si="172"/>
        <v>0</v>
      </c>
      <c r="AU238" s="109">
        <f>IF(BA238=1,IF(AU237=MiscData!$F$1,EOMONTH(AU237,-11),EOMONTH(AU237,1)),AU237)</f>
        <v>42216</v>
      </c>
      <c r="AV238" s="108" t="str">
        <f t="shared" si="173"/>
        <v>20140101LGCME552</v>
      </c>
      <c r="AW238" s="126" t="str">
        <f t="shared" si="174"/>
        <v>20140101GSS</v>
      </c>
      <c r="AX238">
        <f>MiscData!$X$5</f>
        <v>20140101</v>
      </c>
      <c r="BA238" s="98">
        <f>IF(BA237+1&gt;MiscData!$Z$42,1,BA237+1)</f>
        <v>7</v>
      </c>
      <c r="BB238" s="98" t="str">
        <f>VLOOKUP(BA238,MiscData!$Z$5:$AB$46,2,FALSE)</f>
        <v>LGCME552</v>
      </c>
      <c r="BC238" s="98" t="str">
        <f>VLOOKUP(BA238,MiscData!$Z$5:$AB$46,3,FALSE)</f>
        <v>GSS</v>
      </c>
    </row>
    <row r="239" spans="1:55">
      <c r="A239" s="108">
        <v>224</v>
      </c>
      <c r="B239" s="109" t="str">
        <f t="shared" si="164"/>
        <v>Jul 2015</v>
      </c>
      <c r="C239" s="110" t="s">
        <v>902</v>
      </c>
      <c r="D239" s="110" t="str">
        <f t="shared" si="165"/>
        <v>LGCME557</v>
      </c>
      <c r="E239" s="111">
        <f t="shared" si="137"/>
        <v>0</v>
      </c>
      <c r="F239" s="112">
        <v>0</v>
      </c>
      <c r="G239" s="111">
        <f t="shared" si="138"/>
        <v>0</v>
      </c>
      <c r="H239" s="111">
        <f t="shared" si="139"/>
        <v>0</v>
      </c>
      <c r="I239" s="111">
        <f t="shared" si="140"/>
        <v>0</v>
      </c>
      <c r="J239" s="111">
        <f t="shared" si="141"/>
        <v>0</v>
      </c>
      <c r="K239" s="113">
        <f t="shared" si="142"/>
        <v>0</v>
      </c>
      <c r="L239" s="113">
        <f t="shared" si="143"/>
        <v>0</v>
      </c>
      <c r="M239" s="113">
        <f t="shared" si="144"/>
        <v>0</v>
      </c>
      <c r="N239" s="116">
        <f t="shared" si="145"/>
        <v>20</v>
      </c>
      <c r="O239" s="117">
        <f t="shared" si="178"/>
        <v>9.1340000000000005E-2</v>
      </c>
      <c r="P239" s="117">
        <f t="shared" si="146"/>
        <v>0</v>
      </c>
      <c r="Q239" s="117">
        <f t="shared" si="147"/>
        <v>0</v>
      </c>
      <c r="R239" s="117">
        <f t="shared" si="148"/>
        <v>2.725E-2</v>
      </c>
      <c r="S239" s="116">
        <f t="shared" si="149"/>
        <v>0</v>
      </c>
      <c r="T239" s="116">
        <f t="shared" si="150"/>
        <v>0</v>
      </c>
      <c r="U239" s="116">
        <f t="shared" si="151"/>
        <v>0</v>
      </c>
      <c r="V239" s="118">
        <f t="shared" si="152"/>
        <v>0</v>
      </c>
      <c r="W239" s="118">
        <f t="shared" si="166"/>
        <v>0</v>
      </c>
      <c r="X239" s="118">
        <f t="shared" si="167"/>
        <v>0</v>
      </c>
      <c r="Y239" s="118">
        <f t="shared" si="168"/>
        <v>0</v>
      </c>
      <c r="Z239" s="118">
        <f t="shared" si="169"/>
        <v>0</v>
      </c>
      <c r="AA239" s="119">
        <v>0</v>
      </c>
      <c r="AB239" s="120">
        <f t="shared" si="153"/>
        <v>0</v>
      </c>
      <c r="AC239" s="118">
        <f t="shared" si="154"/>
        <v>0</v>
      </c>
      <c r="AD239" s="118">
        <f t="shared" si="170"/>
        <v>0</v>
      </c>
      <c r="AE239" s="118">
        <f t="shared" si="155"/>
        <v>0</v>
      </c>
      <c r="AF239" s="121">
        <f t="shared" si="171"/>
        <v>1</v>
      </c>
      <c r="AG239" s="122">
        <f t="shared" si="156"/>
        <v>0</v>
      </c>
      <c r="AH239" s="122">
        <f t="shared" si="157"/>
        <v>0</v>
      </c>
      <c r="AI239" s="122">
        <f t="shared" si="158"/>
        <v>0</v>
      </c>
      <c r="AJ239" s="122">
        <f t="shared" si="159"/>
        <v>0</v>
      </c>
      <c r="AK239" s="122">
        <f t="shared" si="160"/>
        <v>0</v>
      </c>
      <c r="AL239" s="122">
        <f t="shared" si="161"/>
        <v>0</v>
      </c>
      <c r="AM239" s="123">
        <f t="shared" si="162"/>
        <v>0</v>
      </c>
      <c r="AN239" s="123">
        <f t="shared" ref="AN239:AN251" si="179">AL239-AM239</f>
        <v>0</v>
      </c>
      <c r="AO239" s="124">
        <f t="shared" si="163"/>
        <v>0</v>
      </c>
      <c r="AP239" s="125">
        <f t="shared" si="172"/>
        <v>0</v>
      </c>
      <c r="AU239" s="109">
        <f>IF(BA239=1,IF(AU238=MiscData!$F$1,EOMONTH(AU238,-11),EOMONTH(AU238,1)),AU238)</f>
        <v>42216</v>
      </c>
      <c r="AV239" s="108" t="str">
        <f t="shared" si="173"/>
        <v>20140101LGCME557</v>
      </c>
      <c r="AW239" s="126" t="str">
        <f t="shared" si="174"/>
        <v>20140101GSS</v>
      </c>
      <c r="AX239">
        <f>MiscData!$X$5</f>
        <v>20140101</v>
      </c>
      <c r="BA239" s="98">
        <f>IF(BA238+1&gt;MiscData!$Z$42,1,BA238+1)</f>
        <v>8</v>
      </c>
      <c r="BB239" s="98" t="str">
        <f>VLOOKUP(BA239,MiscData!$Z$5:$AB$46,2,FALSE)</f>
        <v>LGCME557</v>
      </c>
      <c r="BC239" s="98" t="str">
        <f>VLOOKUP(BA239,MiscData!$Z$5:$AB$46,3,FALSE)</f>
        <v>GSS</v>
      </c>
    </row>
    <row r="240" spans="1:55">
      <c r="A240" s="108">
        <v>225</v>
      </c>
      <c r="B240" s="109" t="str">
        <f t="shared" si="164"/>
        <v>Jul 2015</v>
      </c>
      <c r="C240" s="110" t="str">
        <f t="shared" si="175"/>
        <v>PSS</v>
      </c>
      <c r="D240" s="110" t="str">
        <f t="shared" si="165"/>
        <v>LGCME561</v>
      </c>
      <c r="E240" s="111">
        <f t="shared" si="137"/>
        <v>2579</v>
      </c>
      <c r="F240" s="112">
        <v>0</v>
      </c>
      <c r="G240" s="111">
        <f t="shared" si="138"/>
        <v>0</v>
      </c>
      <c r="H240" s="111">
        <f t="shared" si="139"/>
        <v>0</v>
      </c>
      <c r="I240" s="111">
        <f t="shared" si="140"/>
        <v>0</v>
      </c>
      <c r="J240" s="111">
        <f t="shared" si="141"/>
        <v>168924378</v>
      </c>
      <c r="K240" s="113">
        <f t="shared" si="142"/>
        <v>0</v>
      </c>
      <c r="L240" s="113">
        <f t="shared" si="143"/>
        <v>0</v>
      </c>
      <c r="M240" s="113">
        <f t="shared" si="144"/>
        <v>406609</v>
      </c>
      <c r="N240" s="116">
        <f t="shared" si="145"/>
        <v>90</v>
      </c>
      <c r="O240" s="117">
        <f t="shared" si="178"/>
        <v>4.0599999999999997E-2</v>
      </c>
      <c r="P240" s="117">
        <f t="shared" si="146"/>
        <v>0</v>
      </c>
      <c r="Q240" s="117">
        <f t="shared" si="147"/>
        <v>0</v>
      </c>
      <c r="R240" s="117">
        <f t="shared" si="148"/>
        <v>2.725E-2</v>
      </c>
      <c r="S240" s="116">
        <f t="shared" si="149"/>
        <v>0</v>
      </c>
      <c r="T240" s="116">
        <f t="shared" si="150"/>
        <v>14.010000000000002</v>
      </c>
      <c r="U240" s="116">
        <f t="shared" si="151"/>
        <v>16.399999999999999</v>
      </c>
      <c r="V240" s="118">
        <f t="shared" si="152"/>
        <v>232110</v>
      </c>
      <c r="W240" s="118">
        <f t="shared" si="166"/>
        <v>6858329.75</v>
      </c>
      <c r="X240" s="118">
        <f t="shared" si="167"/>
        <v>0</v>
      </c>
      <c r="Y240" s="118">
        <f t="shared" si="168"/>
        <v>0</v>
      </c>
      <c r="Z240" s="118">
        <f t="shared" si="169"/>
        <v>6668387.5999999996</v>
      </c>
      <c r="AA240" s="119">
        <v>0</v>
      </c>
      <c r="AB240" s="120">
        <f t="shared" si="153"/>
        <v>0</v>
      </c>
      <c r="AC240" s="118">
        <f t="shared" si="154"/>
        <v>6668387.5999999996</v>
      </c>
      <c r="AD240" s="118">
        <f t="shared" si="170"/>
        <v>13758827.35</v>
      </c>
      <c r="AE240" s="118">
        <f t="shared" si="155"/>
        <v>13758833</v>
      </c>
      <c r="AF240" s="121">
        <f t="shared" si="171"/>
        <v>1</v>
      </c>
      <c r="AG240" s="122">
        <f t="shared" si="156"/>
        <v>330880</v>
      </c>
      <c r="AH240" s="122">
        <f t="shared" si="157"/>
        <v>278198</v>
      </c>
      <c r="AI240" s="122">
        <f t="shared" si="158"/>
        <v>1066824</v>
      </c>
      <c r="AJ240" s="122">
        <f t="shared" si="159"/>
        <v>0</v>
      </c>
      <c r="AK240" s="122">
        <f t="shared" si="160"/>
        <v>0</v>
      </c>
      <c r="AL240" s="122">
        <f t="shared" si="161"/>
        <v>15434735</v>
      </c>
      <c r="AM240" s="123">
        <f t="shared" si="162"/>
        <v>15434729.35</v>
      </c>
      <c r="AN240" s="123">
        <f t="shared" si="179"/>
        <v>5.650000000372529</v>
      </c>
      <c r="AO240" s="124">
        <f t="shared" si="163"/>
        <v>4603189.3</v>
      </c>
      <c r="AP240" s="125">
        <f t="shared" si="172"/>
        <v>2255140.4500000002</v>
      </c>
      <c r="AU240" s="109">
        <f>IF(BA240=1,IF(AU239=MiscData!$F$1,EOMONTH(AU239,-11),EOMONTH(AU239,1)),AU239)</f>
        <v>42216</v>
      </c>
      <c r="AV240" s="108" t="str">
        <f t="shared" si="173"/>
        <v>20140101LGCME561</v>
      </c>
      <c r="AW240" s="126" t="str">
        <f t="shared" si="174"/>
        <v>20140101PSS</v>
      </c>
      <c r="AX240">
        <f>MiscData!$X$5</f>
        <v>20140101</v>
      </c>
      <c r="BA240" s="98">
        <f>IF(BA239+1&gt;MiscData!$Z$42,1,BA239+1)</f>
        <v>9</v>
      </c>
      <c r="BB240" s="98" t="str">
        <f>VLOOKUP(BA240,MiscData!$Z$5:$AB$46,2,FALSE)</f>
        <v>LGCME561</v>
      </c>
      <c r="BC240" s="98" t="str">
        <f>VLOOKUP(BA240,MiscData!$Z$5:$AB$46,3,FALSE)</f>
        <v>PSS</v>
      </c>
    </row>
    <row r="241" spans="1:55">
      <c r="A241" s="108">
        <v>226</v>
      </c>
      <c r="B241" s="109" t="str">
        <f t="shared" si="164"/>
        <v>Jul 2015</v>
      </c>
      <c r="C241" s="110" t="str">
        <f t="shared" si="175"/>
        <v>PSP</v>
      </c>
      <c r="D241" s="110" t="str">
        <f t="shared" si="165"/>
        <v>LGCME563</v>
      </c>
      <c r="E241" s="111">
        <f t="shared" si="137"/>
        <v>52</v>
      </c>
      <c r="F241" s="112">
        <v>0</v>
      </c>
      <c r="G241" s="111">
        <f t="shared" si="138"/>
        <v>0</v>
      </c>
      <c r="H241" s="111">
        <f t="shared" si="139"/>
        <v>0</v>
      </c>
      <c r="I241" s="111">
        <f t="shared" si="140"/>
        <v>0</v>
      </c>
      <c r="J241" s="111">
        <f t="shared" si="141"/>
        <v>14939406</v>
      </c>
      <c r="K241" s="113">
        <f t="shared" si="142"/>
        <v>0</v>
      </c>
      <c r="L241" s="113">
        <f t="shared" si="143"/>
        <v>0</v>
      </c>
      <c r="M241" s="113">
        <f t="shared" si="144"/>
        <v>35012</v>
      </c>
      <c r="N241" s="116">
        <f t="shared" si="145"/>
        <v>170</v>
      </c>
      <c r="O241" s="117">
        <f t="shared" si="178"/>
        <v>3.9260000000000003E-2</v>
      </c>
      <c r="P241" s="117">
        <f t="shared" si="146"/>
        <v>0</v>
      </c>
      <c r="Q241" s="117">
        <f t="shared" si="147"/>
        <v>0</v>
      </c>
      <c r="R241" s="117">
        <f t="shared" si="148"/>
        <v>2.725E-2</v>
      </c>
      <c r="S241" s="116">
        <f t="shared" si="149"/>
        <v>0</v>
      </c>
      <c r="T241" s="116">
        <f t="shared" si="150"/>
        <v>11.660000000000002</v>
      </c>
      <c r="U241" s="116">
        <f t="shared" si="151"/>
        <v>13.950000000000001</v>
      </c>
      <c r="V241" s="118">
        <f t="shared" si="152"/>
        <v>8840</v>
      </c>
      <c r="W241" s="118">
        <f t="shared" si="166"/>
        <v>586521.07999999996</v>
      </c>
      <c r="X241" s="118">
        <f t="shared" si="167"/>
        <v>0</v>
      </c>
      <c r="Y241" s="118">
        <f t="shared" si="168"/>
        <v>0</v>
      </c>
      <c r="Z241" s="118">
        <f t="shared" si="169"/>
        <v>488417.4</v>
      </c>
      <c r="AA241" s="119">
        <v>0</v>
      </c>
      <c r="AB241" s="120">
        <f t="shared" si="153"/>
        <v>0</v>
      </c>
      <c r="AC241" s="118">
        <f t="shared" si="154"/>
        <v>488417.4</v>
      </c>
      <c r="AD241" s="118">
        <f t="shared" si="170"/>
        <v>1083778.48</v>
      </c>
      <c r="AE241" s="118">
        <f t="shared" si="155"/>
        <v>1083783</v>
      </c>
      <c r="AF241" s="121">
        <f t="shared" si="171"/>
        <v>1.0000039999999999</v>
      </c>
      <c r="AG241" s="122">
        <f t="shared" si="156"/>
        <v>29263</v>
      </c>
      <c r="AH241" s="122">
        <f t="shared" si="157"/>
        <v>24603</v>
      </c>
      <c r="AI241" s="122">
        <f t="shared" si="158"/>
        <v>94348</v>
      </c>
      <c r="AJ241" s="122">
        <f t="shared" si="159"/>
        <v>0</v>
      </c>
      <c r="AK241" s="122">
        <f t="shared" si="160"/>
        <v>0</v>
      </c>
      <c r="AL241" s="122">
        <f t="shared" si="161"/>
        <v>1231997</v>
      </c>
      <c r="AM241" s="123">
        <f t="shared" si="162"/>
        <v>1231992.48</v>
      </c>
      <c r="AN241" s="123">
        <f t="shared" si="179"/>
        <v>4.5200000000186265</v>
      </c>
      <c r="AO241" s="124">
        <f t="shared" si="163"/>
        <v>407098.81</v>
      </c>
      <c r="AP241" s="125">
        <f t="shared" si="172"/>
        <v>179422.26999999996</v>
      </c>
      <c r="AU241" s="109">
        <f>IF(BA241=1,IF(AU240=MiscData!$F$1,EOMONTH(AU240,-11),EOMONTH(AU240,1)),AU240)</f>
        <v>42216</v>
      </c>
      <c r="AV241" s="108" t="str">
        <f t="shared" si="173"/>
        <v>20140101LGCME563</v>
      </c>
      <c r="AW241" s="126" t="str">
        <f t="shared" si="174"/>
        <v>20140101PSP</v>
      </c>
      <c r="AX241">
        <f>MiscData!$X$5</f>
        <v>20140101</v>
      </c>
      <c r="BA241" s="98">
        <f>IF(BA240+1&gt;MiscData!$Z$42,1,BA240+1)</f>
        <v>10</v>
      </c>
      <c r="BB241" s="98" t="str">
        <f>VLOOKUP(BA241,MiscData!$Z$5:$AB$46,2,FALSE)</f>
        <v>LGCME563</v>
      </c>
      <c r="BC241" s="98" t="str">
        <f>VLOOKUP(BA241,MiscData!$Z$5:$AB$46,3,FALSE)</f>
        <v>PSP</v>
      </c>
    </row>
    <row r="242" spans="1:55">
      <c r="A242" s="108">
        <v>227</v>
      </c>
      <c r="B242" s="109" t="str">
        <f t="shared" si="164"/>
        <v>Jul 2015</v>
      </c>
      <c r="C242" s="110" t="str">
        <f t="shared" si="175"/>
        <v>PSS</v>
      </c>
      <c r="D242" s="110" t="str">
        <f t="shared" si="165"/>
        <v>LGCME567</v>
      </c>
      <c r="E242" s="111">
        <f t="shared" si="137"/>
        <v>0</v>
      </c>
      <c r="F242" s="112">
        <v>0</v>
      </c>
      <c r="G242" s="111">
        <f t="shared" si="138"/>
        <v>0</v>
      </c>
      <c r="H242" s="111">
        <f t="shared" si="139"/>
        <v>0</v>
      </c>
      <c r="I242" s="111">
        <f t="shared" si="140"/>
        <v>0</v>
      </c>
      <c r="J242" s="111">
        <f t="shared" si="141"/>
        <v>0</v>
      </c>
      <c r="K242" s="113">
        <f t="shared" si="142"/>
        <v>0</v>
      </c>
      <c r="L242" s="113">
        <f t="shared" si="143"/>
        <v>0</v>
      </c>
      <c r="M242" s="113">
        <f t="shared" si="144"/>
        <v>0</v>
      </c>
      <c r="N242" s="116">
        <f t="shared" si="145"/>
        <v>90</v>
      </c>
      <c r="O242" s="117">
        <f t="shared" si="178"/>
        <v>4.0599999999999997E-2</v>
      </c>
      <c r="P242" s="117">
        <f t="shared" si="146"/>
        <v>0</v>
      </c>
      <c r="Q242" s="117">
        <f t="shared" si="147"/>
        <v>0</v>
      </c>
      <c r="R242" s="117">
        <f t="shared" si="148"/>
        <v>2.725E-2</v>
      </c>
      <c r="S242" s="116">
        <f t="shared" si="149"/>
        <v>0</v>
      </c>
      <c r="T242" s="116">
        <f t="shared" si="150"/>
        <v>14.010000000000002</v>
      </c>
      <c r="U242" s="116">
        <f t="shared" si="151"/>
        <v>16.399999999999999</v>
      </c>
      <c r="V242" s="118">
        <f t="shared" si="152"/>
        <v>0</v>
      </c>
      <c r="W242" s="118">
        <f t="shared" si="166"/>
        <v>0</v>
      </c>
      <c r="X242" s="118">
        <f t="shared" si="167"/>
        <v>0</v>
      </c>
      <c r="Y242" s="118">
        <f t="shared" si="168"/>
        <v>0</v>
      </c>
      <c r="Z242" s="118">
        <f t="shared" si="169"/>
        <v>0</v>
      </c>
      <c r="AA242" s="119">
        <v>0</v>
      </c>
      <c r="AB242" s="120">
        <f t="shared" si="153"/>
        <v>0</v>
      </c>
      <c r="AC242" s="118">
        <f t="shared" si="154"/>
        <v>0</v>
      </c>
      <c r="AD242" s="118">
        <f t="shared" si="170"/>
        <v>0</v>
      </c>
      <c r="AE242" s="118">
        <f t="shared" si="155"/>
        <v>0</v>
      </c>
      <c r="AF242" s="121">
        <f t="shared" si="171"/>
        <v>1</v>
      </c>
      <c r="AG242" s="122">
        <f t="shared" si="156"/>
        <v>0</v>
      </c>
      <c r="AH242" s="122">
        <f t="shared" si="157"/>
        <v>0</v>
      </c>
      <c r="AI242" s="122">
        <f t="shared" si="158"/>
        <v>0</v>
      </c>
      <c r="AJ242" s="122">
        <f t="shared" si="159"/>
        <v>0</v>
      </c>
      <c r="AK242" s="122">
        <f t="shared" si="160"/>
        <v>0</v>
      </c>
      <c r="AL242" s="122">
        <f t="shared" si="161"/>
        <v>0</v>
      </c>
      <c r="AM242" s="123">
        <f t="shared" si="162"/>
        <v>0</v>
      </c>
      <c r="AN242" s="123">
        <f t="shared" si="179"/>
        <v>0</v>
      </c>
      <c r="AO242" s="124">
        <f t="shared" si="163"/>
        <v>0</v>
      </c>
      <c r="AP242" s="125">
        <f t="shared" si="172"/>
        <v>0</v>
      </c>
      <c r="AU242" s="109">
        <f>IF(BA242=1,IF(AU241=MiscData!$F$1,EOMONTH(AU241,-11),EOMONTH(AU241,1)),AU241)</f>
        <v>42216</v>
      </c>
      <c r="AV242" s="108" t="str">
        <f t="shared" si="173"/>
        <v>20140101LGCME567</v>
      </c>
      <c r="AW242" s="126" t="str">
        <f t="shared" si="174"/>
        <v>20140101PSS</v>
      </c>
      <c r="AX242">
        <f>MiscData!$X$5</f>
        <v>20140101</v>
      </c>
      <c r="BA242" s="98">
        <f>IF(BA241+1&gt;MiscData!$Z$42,1,BA241+1)</f>
        <v>11</v>
      </c>
      <c r="BB242" s="98" t="str">
        <f>VLOOKUP(BA242,MiscData!$Z$5:$AB$46,2,FALSE)</f>
        <v>LGCME567</v>
      </c>
      <c r="BC242" s="98" t="str">
        <f>VLOOKUP(BA242,MiscData!$Z$5:$AB$46,3,FALSE)</f>
        <v>PSS</v>
      </c>
    </row>
    <row r="243" spans="1:55">
      <c r="A243" s="108">
        <v>228</v>
      </c>
      <c r="B243" s="109" t="str">
        <f t="shared" si="164"/>
        <v>Jul 2015</v>
      </c>
      <c r="C243" s="110" t="str">
        <f t="shared" si="175"/>
        <v>TODS</v>
      </c>
      <c r="D243" s="110" t="str">
        <f t="shared" si="165"/>
        <v>LGCME591</v>
      </c>
      <c r="E243" s="111">
        <f t="shared" si="137"/>
        <v>216</v>
      </c>
      <c r="F243" s="112">
        <v>0</v>
      </c>
      <c r="G243" s="111">
        <f t="shared" si="138"/>
        <v>0</v>
      </c>
      <c r="H243" s="111">
        <f t="shared" si="139"/>
        <v>0</v>
      </c>
      <c r="I243" s="111">
        <f t="shared" si="140"/>
        <v>0</v>
      </c>
      <c r="J243" s="111">
        <f t="shared" si="141"/>
        <v>76574431</v>
      </c>
      <c r="K243" s="113">
        <f t="shared" si="142"/>
        <v>156986</v>
      </c>
      <c r="L243" s="113">
        <f t="shared" si="143"/>
        <v>152069</v>
      </c>
      <c r="M243" s="113">
        <f t="shared" si="144"/>
        <v>150334</v>
      </c>
      <c r="N243" s="116">
        <f t="shared" si="145"/>
        <v>200</v>
      </c>
      <c r="O243" s="117">
        <f t="shared" si="178"/>
        <v>3.9899999999999998E-2</v>
      </c>
      <c r="P243" s="117">
        <f t="shared" si="146"/>
        <v>0</v>
      </c>
      <c r="Q243" s="117">
        <f t="shared" si="147"/>
        <v>0</v>
      </c>
      <c r="R243" s="117">
        <f t="shared" si="148"/>
        <v>2.725E-2</v>
      </c>
      <c r="S243" s="116">
        <f t="shared" si="149"/>
        <v>4</v>
      </c>
      <c r="T243" s="116">
        <f t="shared" si="150"/>
        <v>4.5100000000000007</v>
      </c>
      <c r="U243" s="116">
        <f t="shared" si="151"/>
        <v>6.11</v>
      </c>
      <c r="V243" s="118">
        <f t="shared" si="152"/>
        <v>43200</v>
      </c>
      <c r="W243" s="118">
        <f t="shared" si="166"/>
        <v>3055319.8</v>
      </c>
      <c r="X243" s="118">
        <f t="shared" si="167"/>
        <v>627944</v>
      </c>
      <c r="Y243" s="118">
        <f t="shared" si="168"/>
        <v>685831.19</v>
      </c>
      <c r="Z243" s="118">
        <f t="shared" si="169"/>
        <v>918540.74</v>
      </c>
      <c r="AA243" s="119">
        <v>0</v>
      </c>
      <c r="AB243" s="120">
        <f t="shared" si="153"/>
        <v>0</v>
      </c>
      <c r="AC243" s="118">
        <f t="shared" si="154"/>
        <v>2232315.9299999997</v>
      </c>
      <c r="AD243" s="118">
        <f t="shared" si="170"/>
        <v>5330835.7300000004</v>
      </c>
      <c r="AE243" s="118">
        <f t="shared" si="155"/>
        <v>5330838</v>
      </c>
      <c r="AF243" s="121">
        <f t="shared" si="171"/>
        <v>1</v>
      </c>
      <c r="AG243" s="122">
        <f t="shared" si="156"/>
        <v>149990</v>
      </c>
      <c r="AH243" s="122">
        <f t="shared" si="157"/>
        <v>126109</v>
      </c>
      <c r="AI243" s="122">
        <f t="shared" si="158"/>
        <v>483598</v>
      </c>
      <c r="AJ243" s="122">
        <f t="shared" si="159"/>
        <v>0</v>
      </c>
      <c r="AK243" s="122">
        <f t="shared" si="160"/>
        <v>0</v>
      </c>
      <c r="AL243" s="122">
        <f t="shared" si="161"/>
        <v>6090535</v>
      </c>
      <c r="AM243" s="123">
        <f t="shared" si="162"/>
        <v>6090532.7300000004</v>
      </c>
      <c r="AN243" s="123">
        <f t="shared" si="179"/>
        <v>2.2699999995529652</v>
      </c>
      <c r="AO243" s="124">
        <f t="shared" si="163"/>
        <v>2086653.24</v>
      </c>
      <c r="AP243" s="125">
        <f t="shared" si="172"/>
        <v>968666.55999999982</v>
      </c>
      <c r="AU243" s="109">
        <f>IF(BA243=1,IF(AU242=MiscData!$F$1,EOMONTH(AU242,-11),EOMONTH(AU242,1)),AU242)</f>
        <v>42216</v>
      </c>
      <c r="AV243" s="108" t="str">
        <f t="shared" si="173"/>
        <v>20140101LGCME591</v>
      </c>
      <c r="AW243" s="126" t="str">
        <f t="shared" si="174"/>
        <v>20140101TODS</v>
      </c>
      <c r="AX243">
        <f>MiscData!$X$5</f>
        <v>20140101</v>
      </c>
      <c r="BA243" s="98">
        <f>IF(BA242+1&gt;MiscData!$Z$42,1,BA242+1)</f>
        <v>12</v>
      </c>
      <c r="BB243" s="98" t="str">
        <f>VLOOKUP(BA243,MiscData!$Z$5:$AB$46,2,FALSE)</f>
        <v>LGCME591</v>
      </c>
      <c r="BC243" s="98" t="str">
        <f>VLOOKUP(BA243,MiscData!$Z$5:$AB$46,3,FALSE)</f>
        <v>TODS</v>
      </c>
    </row>
    <row r="244" spans="1:55">
      <c r="A244" s="108">
        <v>229</v>
      </c>
      <c r="B244" s="109" t="str">
        <f t="shared" si="164"/>
        <v>Jul 2015</v>
      </c>
      <c r="C244" s="110" t="str">
        <f t="shared" si="175"/>
        <v>CTODP</v>
      </c>
      <c r="D244" s="110" t="str">
        <f t="shared" si="165"/>
        <v>LGCME593</v>
      </c>
      <c r="E244" s="111">
        <f t="shared" si="137"/>
        <v>38</v>
      </c>
      <c r="F244" s="112">
        <v>0</v>
      </c>
      <c r="G244" s="111">
        <f t="shared" si="138"/>
        <v>0</v>
      </c>
      <c r="H244" s="111">
        <f t="shared" si="139"/>
        <v>0</v>
      </c>
      <c r="I244" s="111">
        <f t="shared" si="140"/>
        <v>0</v>
      </c>
      <c r="J244" s="111">
        <f t="shared" si="141"/>
        <v>36804280</v>
      </c>
      <c r="K244" s="113">
        <f t="shared" si="142"/>
        <v>85062</v>
      </c>
      <c r="L244" s="113">
        <f t="shared" si="143"/>
        <v>77957</v>
      </c>
      <c r="M244" s="113">
        <f t="shared" si="144"/>
        <v>76798</v>
      </c>
      <c r="N244" s="116">
        <f t="shared" si="145"/>
        <v>300</v>
      </c>
      <c r="O244" s="117">
        <f t="shared" si="178"/>
        <v>3.8100000000000002E-2</v>
      </c>
      <c r="P244" s="117">
        <f t="shared" si="146"/>
        <v>0</v>
      </c>
      <c r="Q244" s="117">
        <f t="shared" si="147"/>
        <v>0</v>
      </c>
      <c r="R244" s="117">
        <f t="shared" si="148"/>
        <v>2.725E-2</v>
      </c>
      <c r="S244" s="116">
        <f t="shared" si="149"/>
        <v>3.9800000000000004</v>
      </c>
      <c r="T244" s="116">
        <f t="shared" si="150"/>
        <v>4.13</v>
      </c>
      <c r="U244" s="116">
        <f t="shared" si="151"/>
        <v>5.83</v>
      </c>
      <c r="V244" s="118">
        <f t="shared" si="152"/>
        <v>11400</v>
      </c>
      <c r="W244" s="118">
        <f t="shared" si="166"/>
        <v>1402243.07</v>
      </c>
      <c r="X244" s="118">
        <f t="shared" si="167"/>
        <v>338546.76</v>
      </c>
      <c r="Y244" s="118">
        <f t="shared" si="168"/>
        <v>321962.40999999997</v>
      </c>
      <c r="Z244" s="118">
        <f t="shared" si="169"/>
        <v>447732.34</v>
      </c>
      <c r="AA244" s="119">
        <v>0</v>
      </c>
      <c r="AB244" s="120">
        <f t="shared" si="153"/>
        <v>0</v>
      </c>
      <c r="AC244" s="118">
        <f t="shared" si="154"/>
        <v>1108241.51</v>
      </c>
      <c r="AD244" s="118">
        <f t="shared" si="170"/>
        <v>2521884.58</v>
      </c>
      <c r="AE244" s="118">
        <f t="shared" si="155"/>
        <v>2521890</v>
      </c>
      <c r="AF244" s="121">
        <f t="shared" si="171"/>
        <v>1.0000020000000001</v>
      </c>
      <c r="AG244" s="122">
        <f t="shared" si="156"/>
        <v>72090</v>
      </c>
      <c r="AH244" s="122">
        <f t="shared" si="157"/>
        <v>60612</v>
      </c>
      <c r="AI244" s="122">
        <f t="shared" si="158"/>
        <v>232434</v>
      </c>
      <c r="AJ244" s="122">
        <f t="shared" si="159"/>
        <v>0</v>
      </c>
      <c r="AK244" s="122">
        <f t="shared" si="160"/>
        <v>0</v>
      </c>
      <c r="AL244" s="122">
        <f t="shared" si="161"/>
        <v>2887026</v>
      </c>
      <c r="AM244" s="123">
        <f t="shared" si="162"/>
        <v>2887020.58</v>
      </c>
      <c r="AN244" s="123">
        <f t="shared" si="179"/>
        <v>5.4199999999254942</v>
      </c>
      <c r="AO244" s="124">
        <f t="shared" si="163"/>
        <v>1002916.63</v>
      </c>
      <c r="AP244" s="125">
        <f t="shared" si="172"/>
        <v>399326.44000000006</v>
      </c>
      <c r="AU244" s="109">
        <f>IF(BA244=1,IF(AU243=MiscData!$F$1,EOMONTH(AU243,-11),EOMONTH(AU243,1)),AU243)</f>
        <v>42216</v>
      </c>
      <c r="AV244" s="108" t="str">
        <f t="shared" si="173"/>
        <v>20140101LGCME593</v>
      </c>
      <c r="AW244" s="126" t="str">
        <f t="shared" si="174"/>
        <v>20140101CTODP</v>
      </c>
      <c r="AX244">
        <f>MiscData!$X$5</f>
        <v>20140101</v>
      </c>
      <c r="BA244" s="98">
        <f>IF(BA243+1&gt;MiscData!$Z$42,1,BA243+1)</f>
        <v>13</v>
      </c>
      <c r="BB244" s="98" t="str">
        <f>VLOOKUP(BA244,MiscData!$Z$5:$AB$46,2,FALSE)</f>
        <v>LGCME593</v>
      </c>
      <c r="BC244" s="98" t="str">
        <f>VLOOKUP(BA244,MiscData!$Z$5:$AB$46,3,FALSE)</f>
        <v>CTODP</v>
      </c>
    </row>
    <row r="245" spans="1:55">
      <c r="A245" s="108">
        <v>230</v>
      </c>
      <c r="B245" s="109" t="str">
        <f t="shared" si="164"/>
        <v>Jul 2015</v>
      </c>
      <c r="C245" s="110" t="str">
        <f t="shared" si="175"/>
        <v>GS3</v>
      </c>
      <c r="D245" s="110" t="str">
        <f t="shared" si="165"/>
        <v>LGCME650</v>
      </c>
      <c r="E245" s="111">
        <f t="shared" si="137"/>
        <v>0</v>
      </c>
      <c r="F245" s="112">
        <v>0</v>
      </c>
      <c r="G245" s="111">
        <f t="shared" si="138"/>
        <v>0</v>
      </c>
      <c r="H245" s="111">
        <f t="shared" si="139"/>
        <v>0</v>
      </c>
      <c r="I245" s="111">
        <f t="shared" si="140"/>
        <v>0</v>
      </c>
      <c r="J245" s="111">
        <f t="shared" si="141"/>
        <v>0</v>
      </c>
      <c r="K245" s="113">
        <f t="shared" si="142"/>
        <v>0</v>
      </c>
      <c r="L245" s="113">
        <f t="shared" si="143"/>
        <v>0</v>
      </c>
      <c r="M245" s="113">
        <f t="shared" si="144"/>
        <v>0</v>
      </c>
      <c r="N245" s="116">
        <f t="shared" si="145"/>
        <v>35</v>
      </c>
      <c r="O245" s="117">
        <f t="shared" si="178"/>
        <v>9.1340000000000005E-2</v>
      </c>
      <c r="P245" s="117">
        <f t="shared" si="146"/>
        <v>0</v>
      </c>
      <c r="Q245" s="117">
        <f t="shared" si="147"/>
        <v>0</v>
      </c>
      <c r="R245" s="117">
        <f t="shared" si="148"/>
        <v>2.725E-2</v>
      </c>
      <c r="S245" s="116">
        <f t="shared" si="149"/>
        <v>0</v>
      </c>
      <c r="T245" s="116">
        <f t="shared" si="150"/>
        <v>0</v>
      </c>
      <c r="U245" s="116">
        <f t="shared" si="151"/>
        <v>0</v>
      </c>
      <c r="V245" s="118">
        <f t="shared" si="152"/>
        <v>0</v>
      </c>
      <c r="W245" s="118">
        <f t="shared" si="166"/>
        <v>0</v>
      </c>
      <c r="X245" s="118">
        <f t="shared" si="167"/>
        <v>0</v>
      </c>
      <c r="Y245" s="118">
        <f t="shared" si="168"/>
        <v>0</v>
      </c>
      <c r="Z245" s="118">
        <f t="shared" si="169"/>
        <v>0</v>
      </c>
      <c r="AA245" s="119">
        <v>0</v>
      </c>
      <c r="AB245" s="120">
        <f t="shared" si="153"/>
        <v>0</v>
      </c>
      <c r="AC245" s="118">
        <f t="shared" si="154"/>
        <v>0</v>
      </c>
      <c r="AD245" s="118">
        <f t="shared" si="170"/>
        <v>0</v>
      </c>
      <c r="AE245" s="118">
        <f t="shared" si="155"/>
        <v>0</v>
      </c>
      <c r="AF245" s="121">
        <f t="shared" si="171"/>
        <v>1</v>
      </c>
      <c r="AG245" s="122">
        <f t="shared" si="156"/>
        <v>0</v>
      </c>
      <c r="AH245" s="122">
        <f t="shared" si="157"/>
        <v>0</v>
      </c>
      <c r="AI245" s="122">
        <f t="shared" si="158"/>
        <v>0</v>
      </c>
      <c r="AJ245" s="122">
        <f t="shared" si="159"/>
        <v>0</v>
      </c>
      <c r="AK245" s="122">
        <f t="shared" si="160"/>
        <v>0</v>
      </c>
      <c r="AL245" s="122">
        <f t="shared" si="161"/>
        <v>0</v>
      </c>
      <c r="AM245" s="123">
        <f t="shared" si="162"/>
        <v>0</v>
      </c>
      <c r="AN245" s="123">
        <f t="shared" si="179"/>
        <v>0</v>
      </c>
      <c r="AO245" s="124">
        <f t="shared" si="163"/>
        <v>0</v>
      </c>
      <c r="AP245" s="125">
        <f t="shared" si="172"/>
        <v>0</v>
      </c>
      <c r="AU245" s="109">
        <f>IF(BA245=1,IF(AU244=MiscData!$F$1,EOMONTH(AU244,-11),EOMONTH(AU244,1)),AU244)</f>
        <v>42216</v>
      </c>
      <c r="AV245" s="108" t="str">
        <f t="shared" si="173"/>
        <v>20140101LGCME650</v>
      </c>
      <c r="AW245" s="126" t="str">
        <f t="shared" si="174"/>
        <v>20140101GS3</v>
      </c>
      <c r="AX245">
        <f>MiscData!$X$5</f>
        <v>20140101</v>
      </c>
      <c r="BA245" s="98">
        <f>IF(BA244+1&gt;MiscData!$Z$42,1,BA244+1)</f>
        <v>14</v>
      </c>
      <c r="BB245" s="98" t="str">
        <f>VLOOKUP(BA245,MiscData!$Z$5:$AB$46,2,FALSE)</f>
        <v>LGCME650</v>
      </c>
      <c r="BC245" s="98" t="str">
        <f>VLOOKUP(BA245,MiscData!$Z$5:$AB$46,3,FALSE)</f>
        <v>GS3</v>
      </c>
    </row>
    <row r="246" spans="1:55">
      <c r="A246" s="108">
        <v>231</v>
      </c>
      <c r="B246" s="109" t="str">
        <f t="shared" si="164"/>
        <v>Jul 2015</v>
      </c>
      <c r="C246" s="110" t="str">
        <f t="shared" si="175"/>
        <v>GS3</v>
      </c>
      <c r="D246" s="110" t="str">
        <f t="shared" si="165"/>
        <v>LGCME651</v>
      </c>
      <c r="E246" s="111">
        <f t="shared" si="137"/>
        <v>16348</v>
      </c>
      <c r="F246" s="112">
        <v>0</v>
      </c>
      <c r="G246" s="111">
        <f t="shared" si="138"/>
        <v>0</v>
      </c>
      <c r="H246" s="111">
        <f t="shared" si="139"/>
        <v>0</v>
      </c>
      <c r="I246" s="111">
        <f t="shared" si="140"/>
        <v>0</v>
      </c>
      <c r="J246" s="111">
        <f t="shared" si="141"/>
        <v>102495326</v>
      </c>
      <c r="K246" s="113">
        <f t="shared" si="142"/>
        <v>238335</v>
      </c>
      <c r="L246" s="113">
        <f t="shared" si="143"/>
        <v>0</v>
      </c>
      <c r="M246" s="113">
        <f t="shared" si="144"/>
        <v>0</v>
      </c>
      <c r="N246" s="116">
        <f t="shared" si="145"/>
        <v>35</v>
      </c>
      <c r="O246" s="117">
        <f t="shared" si="178"/>
        <v>9.1340000000000005E-2</v>
      </c>
      <c r="P246" s="117">
        <f t="shared" si="146"/>
        <v>0</v>
      </c>
      <c r="Q246" s="117">
        <f t="shared" si="147"/>
        <v>0</v>
      </c>
      <c r="R246" s="117">
        <f t="shared" si="148"/>
        <v>2.725E-2</v>
      </c>
      <c r="S246" s="116">
        <f t="shared" si="149"/>
        <v>0</v>
      </c>
      <c r="T246" s="116">
        <f t="shared" si="150"/>
        <v>0</v>
      </c>
      <c r="U246" s="116">
        <f t="shared" si="151"/>
        <v>0</v>
      </c>
      <c r="V246" s="118">
        <f t="shared" si="152"/>
        <v>572180</v>
      </c>
      <c r="W246" s="118">
        <f t="shared" si="166"/>
        <v>9361923.0800000001</v>
      </c>
      <c r="X246" s="118">
        <f t="shared" si="167"/>
        <v>0</v>
      </c>
      <c r="Y246" s="118">
        <f t="shared" si="168"/>
        <v>0</v>
      </c>
      <c r="Z246" s="118">
        <f t="shared" si="169"/>
        <v>0</v>
      </c>
      <c r="AA246" s="119">
        <v>0</v>
      </c>
      <c r="AB246" s="120">
        <f t="shared" si="153"/>
        <v>0</v>
      </c>
      <c r="AC246" s="118">
        <f t="shared" si="154"/>
        <v>0</v>
      </c>
      <c r="AD246" s="118">
        <f t="shared" si="170"/>
        <v>9934103.0800000001</v>
      </c>
      <c r="AE246" s="118">
        <f t="shared" si="155"/>
        <v>9934112</v>
      </c>
      <c r="AF246" s="121">
        <f t="shared" si="171"/>
        <v>1.0000009999999999</v>
      </c>
      <c r="AG246" s="122">
        <f t="shared" si="156"/>
        <v>200762</v>
      </c>
      <c r="AH246" s="122">
        <f t="shared" si="157"/>
        <v>168798</v>
      </c>
      <c r="AI246" s="122">
        <f t="shared" si="158"/>
        <v>647299</v>
      </c>
      <c r="AJ246" s="122">
        <f t="shared" si="159"/>
        <v>0</v>
      </c>
      <c r="AK246" s="122">
        <f t="shared" si="160"/>
        <v>0</v>
      </c>
      <c r="AL246" s="122">
        <f t="shared" si="161"/>
        <v>10950971</v>
      </c>
      <c r="AM246" s="123">
        <f t="shared" si="162"/>
        <v>10950962.08</v>
      </c>
      <c r="AN246" s="123">
        <f t="shared" si="179"/>
        <v>8.9199999999254942</v>
      </c>
      <c r="AO246" s="124">
        <f t="shared" si="163"/>
        <v>2792997.63</v>
      </c>
      <c r="AP246" s="125">
        <f t="shared" si="172"/>
        <v>6568925.4500000002</v>
      </c>
      <c r="AU246" s="109">
        <f>IF(BA246=1,IF(AU245=MiscData!$F$1,EOMONTH(AU245,-11),EOMONTH(AU245,1)),AU245)</f>
        <v>42216</v>
      </c>
      <c r="AV246" s="108" t="str">
        <f t="shared" si="173"/>
        <v>20140101LGCME651</v>
      </c>
      <c r="AW246" s="126" t="str">
        <f t="shared" si="174"/>
        <v>20140101GS3</v>
      </c>
      <c r="AX246">
        <f>MiscData!$X$5</f>
        <v>20140101</v>
      </c>
      <c r="BA246" s="98">
        <f>IF(BA245+1&gt;MiscData!$Z$42,1,BA245+1)</f>
        <v>15</v>
      </c>
      <c r="BB246" s="98" t="str">
        <f>VLOOKUP(BA246,MiscData!$Z$5:$AB$46,2,FALSE)</f>
        <v>LGCME651</v>
      </c>
      <c r="BC246" s="98" t="str">
        <f>VLOOKUP(BA246,MiscData!$Z$5:$AB$46,3,FALSE)</f>
        <v>GS3</v>
      </c>
    </row>
    <row r="247" spans="1:55">
      <c r="A247" s="108">
        <v>232</v>
      </c>
      <c r="B247" s="109" t="str">
        <f t="shared" si="164"/>
        <v>Jul 2015</v>
      </c>
      <c r="C247" s="110" t="str">
        <f t="shared" si="175"/>
        <v>GS3</v>
      </c>
      <c r="D247" s="110" t="str">
        <f t="shared" si="165"/>
        <v>LGCME652</v>
      </c>
      <c r="E247" s="111">
        <f t="shared" si="137"/>
        <v>0</v>
      </c>
      <c r="F247" s="112">
        <v>0</v>
      </c>
      <c r="G247" s="111">
        <f t="shared" si="138"/>
        <v>0</v>
      </c>
      <c r="H247" s="111">
        <f t="shared" si="139"/>
        <v>0</v>
      </c>
      <c r="I247" s="111">
        <f t="shared" si="140"/>
        <v>0</v>
      </c>
      <c r="J247" s="111">
        <f t="shared" si="141"/>
        <v>0</v>
      </c>
      <c r="K247" s="113">
        <f t="shared" si="142"/>
        <v>0</v>
      </c>
      <c r="L247" s="113">
        <f t="shared" si="143"/>
        <v>0</v>
      </c>
      <c r="M247" s="113">
        <f t="shared" si="144"/>
        <v>0</v>
      </c>
      <c r="N247" s="116">
        <f t="shared" si="145"/>
        <v>0</v>
      </c>
      <c r="O247" s="117">
        <f t="shared" si="178"/>
        <v>9.1340000000000005E-2</v>
      </c>
      <c r="P247" s="117">
        <f t="shared" si="146"/>
        <v>0</v>
      </c>
      <c r="Q247" s="117">
        <f t="shared" si="147"/>
        <v>0</v>
      </c>
      <c r="R247" s="117">
        <f t="shared" si="148"/>
        <v>2.725E-2</v>
      </c>
      <c r="S247" s="116">
        <f t="shared" si="149"/>
        <v>0</v>
      </c>
      <c r="T247" s="116">
        <f t="shared" si="150"/>
        <v>0</v>
      </c>
      <c r="U247" s="116">
        <f t="shared" si="151"/>
        <v>0</v>
      </c>
      <c r="V247" s="118">
        <f t="shared" si="152"/>
        <v>0</v>
      </c>
      <c r="W247" s="118">
        <f t="shared" si="166"/>
        <v>0</v>
      </c>
      <c r="X247" s="118">
        <f t="shared" si="167"/>
        <v>0</v>
      </c>
      <c r="Y247" s="118">
        <f t="shared" si="168"/>
        <v>0</v>
      </c>
      <c r="Z247" s="118">
        <f t="shared" si="169"/>
        <v>0</v>
      </c>
      <c r="AA247" s="119">
        <v>0</v>
      </c>
      <c r="AB247" s="120">
        <f t="shared" si="153"/>
        <v>0</v>
      </c>
      <c r="AC247" s="118">
        <f t="shared" si="154"/>
        <v>0</v>
      </c>
      <c r="AD247" s="118">
        <f t="shared" si="170"/>
        <v>0</v>
      </c>
      <c r="AE247" s="118">
        <f t="shared" si="155"/>
        <v>0</v>
      </c>
      <c r="AF247" s="121">
        <f t="shared" si="171"/>
        <v>1</v>
      </c>
      <c r="AG247" s="122">
        <f t="shared" si="156"/>
        <v>0</v>
      </c>
      <c r="AH247" s="122">
        <f t="shared" si="157"/>
        <v>0</v>
      </c>
      <c r="AI247" s="122">
        <f t="shared" si="158"/>
        <v>0</v>
      </c>
      <c r="AJ247" s="122">
        <f t="shared" si="159"/>
        <v>0</v>
      </c>
      <c r="AK247" s="122">
        <f t="shared" si="160"/>
        <v>0</v>
      </c>
      <c r="AL247" s="122">
        <f t="shared" si="161"/>
        <v>0</v>
      </c>
      <c r="AM247" s="123">
        <f t="shared" si="162"/>
        <v>0</v>
      </c>
      <c r="AN247" s="123">
        <f t="shared" si="179"/>
        <v>0</v>
      </c>
      <c r="AO247" s="124">
        <f t="shared" si="163"/>
        <v>0</v>
      </c>
      <c r="AP247" s="125">
        <f t="shared" si="172"/>
        <v>0</v>
      </c>
      <c r="AU247" s="109">
        <f>IF(BA247=1,IF(AU246=MiscData!$F$1,EOMONTH(AU246,-11),EOMONTH(AU246,1)),AU246)</f>
        <v>42216</v>
      </c>
      <c r="AV247" s="108" t="str">
        <f t="shared" si="173"/>
        <v>20140101LGCME652</v>
      </c>
      <c r="AW247" s="126" t="str">
        <f t="shared" si="174"/>
        <v>20140101GS3</v>
      </c>
      <c r="AX247">
        <f>MiscData!$X$5</f>
        <v>20140101</v>
      </c>
      <c r="BA247" s="98">
        <f>IF(BA246+1&gt;MiscData!$Z$42,1,BA246+1)</f>
        <v>16</v>
      </c>
      <c r="BB247" s="98" t="str">
        <f>VLOOKUP(BA247,MiscData!$Z$5:$AB$46,2,FALSE)</f>
        <v>LGCME652</v>
      </c>
      <c r="BC247" s="98" t="str">
        <f>VLOOKUP(BA247,MiscData!$Z$5:$AB$46,3,FALSE)</f>
        <v>GS3</v>
      </c>
    </row>
    <row r="248" spans="1:55">
      <c r="A248" s="108">
        <v>233</v>
      </c>
      <c r="B248" s="109" t="str">
        <f t="shared" si="164"/>
        <v>Jul 2015</v>
      </c>
      <c r="C248" s="110" t="str">
        <f t="shared" si="175"/>
        <v>GS3</v>
      </c>
      <c r="D248" s="110" t="str">
        <f t="shared" si="165"/>
        <v>LGCME657</v>
      </c>
      <c r="E248" s="111">
        <f t="shared" si="137"/>
        <v>0</v>
      </c>
      <c r="F248" s="112">
        <v>0</v>
      </c>
      <c r="G248" s="111">
        <f t="shared" si="138"/>
        <v>0</v>
      </c>
      <c r="H248" s="111">
        <f t="shared" si="139"/>
        <v>0</v>
      </c>
      <c r="I248" s="111">
        <f t="shared" si="140"/>
        <v>0</v>
      </c>
      <c r="J248" s="111">
        <f t="shared" si="141"/>
        <v>0</v>
      </c>
      <c r="K248" s="113">
        <f t="shared" si="142"/>
        <v>0</v>
      </c>
      <c r="L248" s="113">
        <f t="shared" si="143"/>
        <v>0</v>
      </c>
      <c r="M248" s="113">
        <f t="shared" si="144"/>
        <v>0</v>
      </c>
      <c r="N248" s="116">
        <f t="shared" si="145"/>
        <v>35</v>
      </c>
      <c r="O248" s="117">
        <f t="shared" si="178"/>
        <v>9.1340000000000005E-2</v>
      </c>
      <c r="P248" s="117">
        <f t="shared" si="146"/>
        <v>0</v>
      </c>
      <c r="Q248" s="117">
        <f t="shared" si="147"/>
        <v>0</v>
      </c>
      <c r="R248" s="117">
        <f t="shared" si="148"/>
        <v>2.725E-2</v>
      </c>
      <c r="S248" s="116">
        <f t="shared" si="149"/>
        <v>0</v>
      </c>
      <c r="T248" s="116">
        <f t="shared" si="150"/>
        <v>0</v>
      </c>
      <c r="U248" s="116">
        <f t="shared" si="151"/>
        <v>0</v>
      </c>
      <c r="V248" s="118">
        <f t="shared" si="152"/>
        <v>0</v>
      </c>
      <c r="W248" s="118">
        <f t="shared" si="166"/>
        <v>0</v>
      </c>
      <c r="X248" s="118">
        <f t="shared" si="167"/>
        <v>0</v>
      </c>
      <c r="Y248" s="118">
        <f t="shared" si="168"/>
        <v>0</v>
      </c>
      <c r="Z248" s="118">
        <f t="shared" si="169"/>
        <v>0</v>
      </c>
      <c r="AA248" s="119">
        <v>0</v>
      </c>
      <c r="AB248" s="120">
        <f t="shared" si="153"/>
        <v>0</v>
      </c>
      <c r="AC248" s="118">
        <f t="shared" si="154"/>
        <v>0</v>
      </c>
      <c r="AD248" s="118">
        <f t="shared" si="170"/>
        <v>0</v>
      </c>
      <c r="AE248" s="118">
        <f t="shared" si="155"/>
        <v>0</v>
      </c>
      <c r="AF248" s="121">
        <f t="shared" si="171"/>
        <v>1</v>
      </c>
      <c r="AG248" s="122">
        <f t="shared" si="156"/>
        <v>0</v>
      </c>
      <c r="AH248" s="122">
        <f t="shared" si="157"/>
        <v>0</v>
      </c>
      <c r="AI248" s="122">
        <f t="shared" si="158"/>
        <v>0</v>
      </c>
      <c r="AJ248" s="122">
        <f t="shared" si="159"/>
        <v>0</v>
      </c>
      <c r="AK248" s="122">
        <f t="shared" si="160"/>
        <v>0</v>
      </c>
      <c r="AL248" s="122">
        <f t="shared" si="161"/>
        <v>0</v>
      </c>
      <c r="AM248" s="123">
        <f t="shared" si="162"/>
        <v>0</v>
      </c>
      <c r="AN248" s="123">
        <f t="shared" si="179"/>
        <v>0</v>
      </c>
      <c r="AO248" s="124">
        <f t="shared" si="163"/>
        <v>0</v>
      </c>
      <c r="AP248" s="125">
        <f t="shared" si="172"/>
        <v>0</v>
      </c>
      <c r="AU248" s="109">
        <f>IF(BA248=1,IF(AU247=MiscData!$F$1,EOMONTH(AU247,-11),EOMONTH(AU247,1)),AU247)</f>
        <v>42216</v>
      </c>
      <c r="AV248" s="108" t="str">
        <f t="shared" si="173"/>
        <v>20140101LGCME657</v>
      </c>
      <c r="AW248" s="126" t="str">
        <f t="shared" si="174"/>
        <v>20140101GS3</v>
      </c>
      <c r="AX248">
        <f>MiscData!$X$5</f>
        <v>20140101</v>
      </c>
      <c r="BA248" s="98">
        <f>IF(BA247+1&gt;MiscData!$Z$42,1,BA247+1)</f>
        <v>17</v>
      </c>
      <c r="BB248" s="98" t="str">
        <f>VLOOKUP(BA248,MiscData!$Z$5:$AB$46,2,FALSE)</f>
        <v>LGCME657</v>
      </c>
      <c r="BC248" s="98" t="str">
        <f>VLOOKUP(BA248,MiscData!$Z$5:$AB$46,3,FALSE)</f>
        <v>GS3</v>
      </c>
    </row>
    <row r="249" spans="1:55">
      <c r="A249" s="108">
        <v>234</v>
      </c>
      <c r="B249" s="109" t="str">
        <f t="shared" si="164"/>
        <v>Jul 2015</v>
      </c>
      <c r="C249" s="110" t="str">
        <f t="shared" si="175"/>
        <v>LWC</v>
      </c>
      <c r="D249" s="110" t="str">
        <f t="shared" si="165"/>
        <v>LGCME671</v>
      </c>
      <c r="E249" s="111">
        <f t="shared" si="137"/>
        <v>2</v>
      </c>
      <c r="F249" s="112">
        <v>0</v>
      </c>
      <c r="G249" s="111">
        <f t="shared" si="138"/>
        <v>0</v>
      </c>
      <c r="H249" s="111">
        <f t="shared" si="139"/>
        <v>0</v>
      </c>
      <c r="I249" s="111">
        <f t="shared" si="140"/>
        <v>0</v>
      </c>
      <c r="J249" s="111">
        <f t="shared" si="141"/>
        <v>5252400</v>
      </c>
      <c r="K249" s="113">
        <f t="shared" si="142"/>
        <v>0</v>
      </c>
      <c r="L249" s="113">
        <f t="shared" si="143"/>
        <v>0</v>
      </c>
      <c r="M249" s="113">
        <f t="shared" si="144"/>
        <v>9450</v>
      </c>
      <c r="N249" s="116">
        <f t="shared" si="145"/>
        <v>0</v>
      </c>
      <c r="O249" s="117">
        <f t="shared" si="178"/>
        <v>3.7019999999999997E-2</v>
      </c>
      <c r="P249" s="117">
        <f t="shared" si="146"/>
        <v>0</v>
      </c>
      <c r="Q249" s="117">
        <f t="shared" si="147"/>
        <v>0</v>
      </c>
      <c r="R249" s="117">
        <f t="shared" si="148"/>
        <v>2.725E-2</v>
      </c>
      <c r="S249" s="116">
        <f t="shared" si="149"/>
        <v>0</v>
      </c>
      <c r="T249" s="116">
        <f t="shared" si="150"/>
        <v>10.35</v>
      </c>
      <c r="U249" s="116">
        <f t="shared" si="151"/>
        <v>10.35</v>
      </c>
      <c r="V249" s="118">
        <f t="shared" si="152"/>
        <v>0</v>
      </c>
      <c r="W249" s="118">
        <f t="shared" si="166"/>
        <v>194443.85</v>
      </c>
      <c r="X249" s="118">
        <f t="shared" si="167"/>
        <v>0</v>
      </c>
      <c r="Y249" s="118">
        <f t="shared" si="168"/>
        <v>0</v>
      </c>
      <c r="Z249" s="118">
        <f t="shared" si="169"/>
        <v>97807.5</v>
      </c>
      <c r="AA249" s="119">
        <v>0</v>
      </c>
      <c r="AB249" s="120">
        <f t="shared" si="153"/>
        <v>0</v>
      </c>
      <c r="AC249" s="118">
        <f t="shared" si="154"/>
        <v>97807.5</v>
      </c>
      <c r="AD249" s="118">
        <f t="shared" si="170"/>
        <v>292251.34999999998</v>
      </c>
      <c r="AE249" s="118">
        <f t="shared" si="155"/>
        <v>292255</v>
      </c>
      <c r="AF249" s="121">
        <f t="shared" si="171"/>
        <v>1.0000119999999999</v>
      </c>
      <c r="AG249" s="122">
        <f t="shared" si="156"/>
        <v>10288</v>
      </c>
      <c r="AH249" s="122">
        <f t="shared" si="157"/>
        <v>0</v>
      </c>
      <c r="AI249" s="122">
        <f t="shared" si="158"/>
        <v>33171</v>
      </c>
      <c r="AJ249" s="122">
        <f t="shared" si="159"/>
        <v>0</v>
      </c>
      <c r="AK249" s="122">
        <f t="shared" si="160"/>
        <v>0</v>
      </c>
      <c r="AL249" s="122">
        <f t="shared" si="161"/>
        <v>335714</v>
      </c>
      <c r="AM249" s="123">
        <f t="shared" si="162"/>
        <v>335710.35</v>
      </c>
      <c r="AN249" s="123">
        <f t="shared" si="179"/>
        <v>3.6500000000232831</v>
      </c>
      <c r="AO249" s="124">
        <f t="shared" si="163"/>
        <v>143127.9</v>
      </c>
      <c r="AP249" s="125">
        <f t="shared" si="172"/>
        <v>51315.950000000012</v>
      </c>
      <c r="AU249" s="109">
        <f>IF(BA249=1,IF(AU248=MiscData!$F$1,EOMONTH(AU248,-11),EOMONTH(AU248,1)),AU248)</f>
        <v>42216</v>
      </c>
      <c r="AV249" s="108" t="str">
        <f t="shared" si="173"/>
        <v>20140101LGCME671</v>
      </c>
      <c r="AW249" s="126" t="str">
        <f t="shared" si="174"/>
        <v>20140101LWC</v>
      </c>
      <c r="AX249">
        <f>MiscData!$X$5</f>
        <v>20140101</v>
      </c>
      <c r="BA249" s="98">
        <f>IF(BA248+1&gt;MiscData!$Z$42,1,BA248+1)</f>
        <v>18</v>
      </c>
      <c r="BB249" s="98" t="str">
        <f>VLOOKUP(BA249,MiscData!$Z$5:$AB$46,2,FALSE)</f>
        <v>LGCME671</v>
      </c>
      <c r="BC249" s="98" t="str">
        <f>VLOOKUP(BA249,MiscData!$Z$5:$AB$46,3,FALSE)</f>
        <v>LWC</v>
      </c>
    </row>
    <row r="250" spans="1:55">
      <c r="A250" s="108">
        <v>233</v>
      </c>
      <c r="B250" s="109" t="str">
        <f t="shared" si="164"/>
        <v>Jul 2015</v>
      </c>
      <c r="C250" s="110" t="str">
        <f t="shared" si="175"/>
        <v>CSR</v>
      </c>
      <c r="D250" s="110" t="str">
        <f t="shared" si="165"/>
        <v>LGCSR760</v>
      </c>
      <c r="E250" s="111">
        <f t="shared" si="137"/>
        <v>0</v>
      </c>
      <c r="F250" s="112">
        <v>0</v>
      </c>
      <c r="G250" s="111">
        <f t="shared" si="138"/>
        <v>0</v>
      </c>
      <c r="H250" s="111">
        <f t="shared" si="139"/>
        <v>0</v>
      </c>
      <c r="I250" s="111">
        <f t="shared" si="140"/>
        <v>0</v>
      </c>
      <c r="J250" s="111">
        <f t="shared" si="141"/>
        <v>0</v>
      </c>
      <c r="K250" s="113">
        <f t="shared" si="142"/>
        <v>0</v>
      </c>
      <c r="L250" s="113">
        <f t="shared" si="143"/>
        <v>0</v>
      </c>
      <c r="M250" s="113">
        <f t="shared" si="144"/>
        <v>0</v>
      </c>
      <c r="N250" s="116">
        <f t="shared" si="145"/>
        <v>0</v>
      </c>
      <c r="O250" s="117">
        <f t="shared" si="178"/>
        <v>0</v>
      </c>
      <c r="P250" s="117">
        <f t="shared" si="146"/>
        <v>0</v>
      </c>
      <c r="Q250" s="117">
        <f t="shared" si="147"/>
        <v>0</v>
      </c>
      <c r="R250" s="117">
        <f t="shared" si="148"/>
        <v>0</v>
      </c>
      <c r="S250" s="116">
        <f t="shared" si="149"/>
        <v>0</v>
      </c>
      <c r="T250" s="116">
        <f t="shared" si="150"/>
        <v>0</v>
      </c>
      <c r="U250" s="116">
        <f t="shared" si="151"/>
        <v>0</v>
      </c>
      <c r="V250" s="118">
        <f t="shared" si="152"/>
        <v>0</v>
      </c>
      <c r="W250" s="118">
        <f t="shared" si="166"/>
        <v>0</v>
      </c>
      <c r="X250" s="118">
        <f t="shared" si="167"/>
        <v>0</v>
      </c>
      <c r="Y250" s="118">
        <f t="shared" si="168"/>
        <v>0</v>
      </c>
      <c r="Z250" s="118">
        <f t="shared" si="169"/>
        <v>0</v>
      </c>
      <c r="AA250" s="119">
        <v>0</v>
      </c>
      <c r="AB250" s="120">
        <f t="shared" si="153"/>
        <v>0</v>
      </c>
      <c r="AC250" s="118">
        <f t="shared" si="154"/>
        <v>0</v>
      </c>
      <c r="AD250" s="118">
        <f t="shared" si="170"/>
        <v>0</v>
      </c>
      <c r="AE250" s="118">
        <f t="shared" si="155"/>
        <v>0</v>
      </c>
      <c r="AF250" s="121">
        <f t="shared" si="171"/>
        <v>1</v>
      </c>
      <c r="AG250" s="122">
        <f t="shared" si="156"/>
        <v>0</v>
      </c>
      <c r="AH250" s="122">
        <f t="shared" si="157"/>
        <v>0</v>
      </c>
      <c r="AI250" s="122">
        <f t="shared" si="158"/>
        <v>0</v>
      </c>
      <c r="AJ250" s="122">
        <f t="shared" si="159"/>
        <v>0</v>
      </c>
      <c r="AK250" s="122">
        <f t="shared" si="160"/>
        <v>-286526</v>
      </c>
      <c r="AL250" s="122">
        <f t="shared" si="161"/>
        <v>-286526</v>
      </c>
      <c r="AM250" s="123">
        <f t="shared" si="162"/>
        <v>-286526</v>
      </c>
      <c r="AN250" s="123">
        <f t="shared" si="179"/>
        <v>0</v>
      </c>
      <c r="AO250" s="124">
        <f t="shared" si="163"/>
        <v>0</v>
      </c>
      <c r="AP250" s="125">
        <f t="shared" si="172"/>
        <v>0</v>
      </c>
      <c r="AU250" s="109">
        <f>IF(BA250=1,IF(AU249=MiscData!$F$1,EOMONTH(AU249,-11),EOMONTH(AU249,1)),AU249)</f>
        <v>42216</v>
      </c>
      <c r="AV250" s="108" t="str">
        <f t="shared" si="173"/>
        <v>20140101LGCSR760</v>
      </c>
      <c r="AW250" s="126" t="str">
        <f t="shared" si="174"/>
        <v>20140101CSR</v>
      </c>
      <c r="AX250">
        <f>MiscData!$X$5</f>
        <v>20140101</v>
      </c>
      <c r="BA250" s="98">
        <f>IF(BA249+1&gt;MiscData!$Z$42,1,BA249+1)</f>
        <v>19</v>
      </c>
      <c r="BB250" s="98" t="str">
        <f>VLOOKUP(BA250,MiscData!$Z$5:$AB$46,2,FALSE)</f>
        <v>LGCSR760</v>
      </c>
      <c r="BC250" s="98" t="str">
        <f>VLOOKUP(BA250,MiscData!$Z$5:$AB$46,3,FALSE)</f>
        <v>CSR</v>
      </c>
    </row>
    <row r="251" spans="1:55">
      <c r="A251" s="108">
        <v>234</v>
      </c>
      <c r="B251" s="109" t="str">
        <f t="shared" si="164"/>
        <v>Jul 2015</v>
      </c>
      <c r="C251" s="110" t="str">
        <f t="shared" si="175"/>
        <v>CSR</v>
      </c>
      <c r="D251" s="110" t="str">
        <f t="shared" si="165"/>
        <v>LGCSR780</v>
      </c>
      <c r="E251" s="111">
        <f t="shared" si="137"/>
        <v>0</v>
      </c>
      <c r="F251" s="112">
        <v>0</v>
      </c>
      <c r="G251" s="111">
        <f t="shared" si="138"/>
        <v>0</v>
      </c>
      <c r="H251" s="111">
        <f t="shared" si="139"/>
        <v>0</v>
      </c>
      <c r="I251" s="111">
        <f t="shared" si="140"/>
        <v>0</v>
      </c>
      <c r="J251" s="111">
        <f t="shared" si="141"/>
        <v>0</v>
      </c>
      <c r="K251" s="113">
        <f t="shared" si="142"/>
        <v>0</v>
      </c>
      <c r="L251" s="113">
        <f t="shared" si="143"/>
        <v>0</v>
      </c>
      <c r="M251" s="113">
        <f t="shared" si="144"/>
        <v>0</v>
      </c>
      <c r="N251" s="116">
        <f t="shared" si="145"/>
        <v>0</v>
      </c>
      <c r="O251" s="117">
        <f t="shared" si="178"/>
        <v>0</v>
      </c>
      <c r="P251" s="117">
        <f t="shared" si="146"/>
        <v>0</v>
      </c>
      <c r="Q251" s="117">
        <f t="shared" si="147"/>
        <v>0</v>
      </c>
      <c r="R251" s="117">
        <f t="shared" si="148"/>
        <v>0</v>
      </c>
      <c r="S251" s="116">
        <f t="shared" si="149"/>
        <v>0</v>
      </c>
      <c r="T251" s="116">
        <f t="shared" si="150"/>
        <v>0</v>
      </c>
      <c r="U251" s="116">
        <f t="shared" si="151"/>
        <v>0</v>
      </c>
      <c r="V251" s="118">
        <f t="shared" si="152"/>
        <v>0</v>
      </c>
      <c r="W251" s="118">
        <f t="shared" si="166"/>
        <v>0</v>
      </c>
      <c r="X251" s="118">
        <f t="shared" si="167"/>
        <v>0</v>
      </c>
      <c r="Y251" s="118">
        <f t="shared" si="168"/>
        <v>0</v>
      </c>
      <c r="Z251" s="118">
        <f t="shared" si="169"/>
        <v>0</v>
      </c>
      <c r="AA251" s="119">
        <v>0</v>
      </c>
      <c r="AB251" s="120">
        <f t="shared" si="153"/>
        <v>0</v>
      </c>
      <c r="AC251" s="118">
        <f t="shared" si="154"/>
        <v>0</v>
      </c>
      <c r="AD251" s="118">
        <f t="shared" si="170"/>
        <v>0</v>
      </c>
      <c r="AE251" s="118">
        <f t="shared" si="155"/>
        <v>0</v>
      </c>
      <c r="AF251" s="121">
        <f t="shared" si="171"/>
        <v>1</v>
      </c>
      <c r="AG251" s="122">
        <f t="shared" si="156"/>
        <v>0</v>
      </c>
      <c r="AH251" s="122">
        <f t="shared" si="157"/>
        <v>0</v>
      </c>
      <c r="AI251" s="122">
        <f t="shared" si="158"/>
        <v>0</v>
      </c>
      <c r="AJ251" s="122">
        <f t="shared" si="159"/>
        <v>0</v>
      </c>
      <c r="AK251" s="122">
        <f t="shared" si="160"/>
        <v>0</v>
      </c>
      <c r="AL251" s="122">
        <f t="shared" si="161"/>
        <v>0</v>
      </c>
      <c r="AM251" s="123">
        <f t="shared" si="162"/>
        <v>0</v>
      </c>
      <c r="AN251" s="123">
        <f t="shared" si="179"/>
        <v>0</v>
      </c>
      <c r="AO251" s="124">
        <f t="shared" si="163"/>
        <v>0</v>
      </c>
      <c r="AP251" s="125">
        <f t="shared" si="172"/>
        <v>0</v>
      </c>
      <c r="AU251" s="109">
        <f>IF(BA251=1,IF(AU250=MiscData!$F$1,EOMONTH(AU250,-11),EOMONTH(AU250,1)),AU250)</f>
        <v>42216</v>
      </c>
      <c r="AV251" s="108" t="str">
        <f t="shared" si="173"/>
        <v>20140101LGCSR780</v>
      </c>
      <c r="AW251" s="126" t="str">
        <f t="shared" si="174"/>
        <v>20140101CSR</v>
      </c>
      <c r="AX251">
        <f>MiscData!$X$5</f>
        <v>20140101</v>
      </c>
      <c r="BA251" s="98">
        <f>IF(BA250+1&gt;MiscData!$Z$42,1,BA250+1)</f>
        <v>20</v>
      </c>
      <c r="BB251" s="98" t="str">
        <f>VLOOKUP(BA251,MiscData!$Z$5:$AB$46,2,FALSE)</f>
        <v>LGCSR780</v>
      </c>
      <c r="BC251" s="98" t="str">
        <f>VLOOKUP(BA251,MiscData!$Z$5:$AB$46,3,FALSE)</f>
        <v>CSR</v>
      </c>
    </row>
    <row r="252" spans="1:55">
      <c r="A252" s="108">
        <v>235</v>
      </c>
      <c r="B252" s="109" t="str">
        <f t="shared" si="164"/>
        <v>Jul 2015</v>
      </c>
      <c r="C252" s="110" t="str">
        <f t="shared" si="175"/>
        <v>FK</v>
      </c>
      <c r="D252" s="110" t="str">
        <f t="shared" si="165"/>
        <v>LGINE599</v>
      </c>
      <c r="E252" s="111">
        <f t="shared" si="137"/>
        <v>1</v>
      </c>
      <c r="F252" s="112">
        <v>0</v>
      </c>
      <c r="G252" s="111">
        <f t="shared" si="138"/>
        <v>0</v>
      </c>
      <c r="H252" s="111">
        <f t="shared" si="139"/>
        <v>0</v>
      </c>
      <c r="I252" s="111">
        <f t="shared" si="140"/>
        <v>0</v>
      </c>
      <c r="J252" s="111">
        <f t="shared" si="141"/>
        <v>10990000</v>
      </c>
      <c r="K252" s="113">
        <f t="shared" si="142"/>
        <v>0</v>
      </c>
      <c r="L252" s="113">
        <f t="shared" si="143"/>
        <v>0</v>
      </c>
      <c r="M252" s="113">
        <f t="shared" si="144"/>
        <v>20596</v>
      </c>
      <c r="N252" s="116">
        <f t="shared" si="145"/>
        <v>0</v>
      </c>
      <c r="O252" s="117">
        <f t="shared" si="178"/>
        <v>3.7400000000000003E-2</v>
      </c>
      <c r="P252" s="117">
        <f t="shared" si="146"/>
        <v>0</v>
      </c>
      <c r="Q252" s="117">
        <f t="shared" si="147"/>
        <v>0</v>
      </c>
      <c r="R252" s="117">
        <f t="shared" si="148"/>
        <v>2.725E-2</v>
      </c>
      <c r="S252" s="116">
        <f t="shared" si="149"/>
        <v>0</v>
      </c>
      <c r="T252" s="116">
        <f t="shared" si="150"/>
        <v>12.72</v>
      </c>
      <c r="U252" s="116">
        <f t="shared" si="151"/>
        <v>15.040000000000001</v>
      </c>
      <c r="V252" s="118">
        <f t="shared" si="152"/>
        <v>0</v>
      </c>
      <c r="W252" s="118">
        <f t="shared" si="166"/>
        <v>411026</v>
      </c>
      <c r="X252" s="118">
        <f t="shared" si="167"/>
        <v>0</v>
      </c>
      <c r="Y252" s="118">
        <f t="shared" si="168"/>
        <v>0</v>
      </c>
      <c r="Z252" s="118">
        <f t="shared" si="169"/>
        <v>309763.84000000003</v>
      </c>
      <c r="AA252" s="119">
        <v>0</v>
      </c>
      <c r="AB252" s="120">
        <f t="shared" si="153"/>
        <v>0</v>
      </c>
      <c r="AC252" s="118">
        <f t="shared" si="154"/>
        <v>309763.84000000003</v>
      </c>
      <c r="AD252" s="118">
        <f>SUM(V252:AB252)</f>
        <v>720789.84000000008</v>
      </c>
      <c r="AE252" s="118">
        <f t="shared" si="155"/>
        <v>720790</v>
      </c>
      <c r="AF252" s="121">
        <f t="shared" si="171"/>
        <v>1</v>
      </c>
      <c r="AG252" s="122">
        <f t="shared" si="156"/>
        <v>21527</v>
      </c>
      <c r="AH252" s="122">
        <f t="shared" si="157"/>
        <v>0</v>
      </c>
      <c r="AI252" s="122">
        <f t="shared" si="158"/>
        <v>69406</v>
      </c>
      <c r="AJ252" s="122">
        <f t="shared" si="159"/>
        <v>0</v>
      </c>
      <c r="AK252" s="122">
        <f t="shared" si="160"/>
        <v>0</v>
      </c>
      <c r="AL252" s="122">
        <f t="shared" si="161"/>
        <v>811723</v>
      </c>
      <c r="AM252" s="123">
        <f t="shared" si="162"/>
        <v>811722.84000000008</v>
      </c>
      <c r="AN252" s="123">
        <f t="shared" ref="AN252:AN258" si="180">AL252-AM252</f>
        <v>0.15999999991618097</v>
      </c>
      <c r="AO252" s="124">
        <f t="shared" si="163"/>
        <v>299477.5</v>
      </c>
      <c r="AP252" s="125">
        <f t="shared" si="172"/>
        <v>111548.5</v>
      </c>
      <c r="AU252" s="109">
        <f>IF(BA252=1,IF(AU251=MiscData!$F$1,EOMONTH(AU251,-11),EOMONTH(AU251,1)),AU251)</f>
        <v>42216</v>
      </c>
      <c r="AV252" s="108" t="str">
        <f t="shared" si="173"/>
        <v>20140101LGINE599</v>
      </c>
      <c r="AW252" s="126" t="str">
        <f t="shared" si="174"/>
        <v>20140101FK</v>
      </c>
      <c r="AX252">
        <f>MiscData!$X$5</f>
        <v>20140101</v>
      </c>
      <c r="BA252" s="98">
        <f>IF(BA251+1&gt;MiscData!$Z$42,1,BA251+1)</f>
        <v>21</v>
      </c>
      <c r="BB252" s="98" t="str">
        <f>VLOOKUP(BA252,MiscData!$Z$5:$AB$46,2,FALSE)</f>
        <v>LGINE599</v>
      </c>
      <c r="BC252" s="98" t="str">
        <f>VLOOKUP(BA252,MiscData!$Z$5:$AB$46,3,FALSE)</f>
        <v>FK</v>
      </c>
    </row>
    <row r="253" spans="1:55">
      <c r="A253" s="108">
        <v>236</v>
      </c>
      <c r="B253" s="109" t="str">
        <f t="shared" si="164"/>
        <v>Jul 2015</v>
      </c>
      <c r="C253" s="110" t="str">
        <f t="shared" si="175"/>
        <v>RTS</v>
      </c>
      <c r="D253" s="110" t="str">
        <f t="shared" si="165"/>
        <v>LGINE643</v>
      </c>
      <c r="E253" s="111">
        <f t="shared" si="137"/>
        <v>12</v>
      </c>
      <c r="F253" s="112">
        <v>0</v>
      </c>
      <c r="G253" s="111">
        <f t="shared" si="138"/>
        <v>0</v>
      </c>
      <c r="H253" s="111">
        <f t="shared" si="139"/>
        <v>0</v>
      </c>
      <c r="I253" s="111">
        <f t="shared" si="140"/>
        <v>0</v>
      </c>
      <c r="J253" s="111">
        <f t="shared" si="141"/>
        <v>71457686</v>
      </c>
      <c r="K253" s="113">
        <f t="shared" si="142"/>
        <v>148471</v>
      </c>
      <c r="L253" s="113">
        <f t="shared" si="143"/>
        <v>144617</v>
      </c>
      <c r="M253" s="113">
        <f t="shared" si="144"/>
        <v>91611</v>
      </c>
      <c r="N253" s="116">
        <f t="shared" si="145"/>
        <v>750</v>
      </c>
      <c r="O253" s="117">
        <f t="shared" si="178"/>
        <v>3.61E-2</v>
      </c>
      <c r="P253" s="117">
        <f t="shared" si="146"/>
        <v>0</v>
      </c>
      <c r="Q253" s="117">
        <f t="shared" si="147"/>
        <v>0</v>
      </c>
      <c r="R253" s="117">
        <f t="shared" si="148"/>
        <v>2.725E-2</v>
      </c>
      <c r="S253" s="116">
        <f t="shared" si="149"/>
        <v>2.75</v>
      </c>
      <c r="T253" s="116">
        <f t="shared" si="150"/>
        <v>3</v>
      </c>
      <c r="U253" s="116">
        <f t="shared" si="151"/>
        <v>4.5500000000000007</v>
      </c>
      <c r="V253" s="118">
        <f t="shared" si="152"/>
        <v>9000</v>
      </c>
      <c r="W253" s="118">
        <f t="shared" si="166"/>
        <v>2579622.46</v>
      </c>
      <c r="X253" s="118">
        <f t="shared" si="167"/>
        <v>408295.25</v>
      </c>
      <c r="Y253" s="118">
        <f t="shared" si="168"/>
        <v>433851</v>
      </c>
      <c r="Z253" s="118">
        <f t="shared" si="169"/>
        <v>416830.05</v>
      </c>
      <c r="AA253" s="119">
        <v>0</v>
      </c>
      <c r="AB253" s="120">
        <f t="shared" si="153"/>
        <v>0</v>
      </c>
      <c r="AC253" s="118">
        <f t="shared" si="154"/>
        <v>1258976.3</v>
      </c>
      <c r="AD253" s="118">
        <f t="shared" si="170"/>
        <v>3847598.76</v>
      </c>
      <c r="AE253" s="118">
        <f t="shared" si="155"/>
        <v>3847600</v>
      </c>
      <c r="AF253" s="121">
        <f t="shared" si="171"/>
        <v>1</v>
      </c>
      <c r="AG253" s="122">
        <f t="shared" si="156"/>
        <v>139967</v>
      </c>
      <c r="AH253" s="122">
        <f t="shared" si="157"/>
        <v>0</v>
      </c>
      <c r="AI253" s="122">
        <f t="shared" si="158"/>
        <v>451284</v>
      </c>
      <c r="AJ253" s="122">
        <f t="shared" si="159"/>
        <v>0</v>
      </c>
      <c r="AK253" s="122">
        <f t="shared" si="160"/>
        <v>0</v>
      </c>
      <c r="AL253" s="122">
        <f t="shared" si="161"/>
        <v>4438851</v>
      </c>
      <c r="AM253" s="123">
        <f t="shared" si="162"/>
        <v>4438849.76</v>
      </c>
      <c r="AN253" s="123">
        <f t="shared" si="180"/>
        <v>1.2400000002235174</v>
      </c>
      <c r="AO253" s="124">
        <f t="shared" si="163"/>
        <v>1947221.94</v>
      </c>
      <c r="AP253" s="125">
        <f t="shared" si="172"/>
        <v>632400.52</v>
      </c>
      <c r="AU253" s="109">
        <f>IF(BA253=1,IF(AU252=MiscData!$F$1,EOMONTH(AU252,-11),EOMONTH(AU252,1)),AU252)</f>
        <v>42216</v>
      </c>
      <c r="AV253" s="108" t="str">
        <f t="shared" si="173"/>
        <v>20140101LGINE643</v>
      </c>
      <c r="AW253" s="126" t="str">
        <f t="shared" si="174"/>
        <v>20140101RTS</v>
      </c>
      <c r="AX253">
        <f>MiscData!$X$5</f>
        <v>20140101</v>
      </c>
      <c r="BA253" s="98">
        <f>IF(BA252+1&gt;MiscData!$Z$42,1,BA252+1)</f>
        <v>22</v>
      </c>
      <c r="BB253" s="98" t="str">
        <f>VLOOKUP(BA253,MiscData!$Z$5:$AB$46,2,FALSE)</f>
        <v>LGINE643</v>
      </c>
      <c r="BC253" s="98" t="str">
        <f>VLOOKUP(BA253,MiscData!$Z$5:$AB$46,3,FALSE)</f>
        <v>RTS</v>
      </c>
    </row>
    <row r="254" spans="1:55">
      <c r="A254" s="108">
        <v>237</v>
      </c>
      <c r="B254" s="109" t="str">
        <f t="shared" si="164"/>
        <v>Jul 2015</v>
      </c>
      <c r="C254" s="110" t="str">
        <f t="shared" si="175"/>
        <v>PSS</v>
      </c>
      <c r="D254" s="110" t="str">
        <f t="shared" si="165"/>
        <v>LGINE661</v>
      </c>
      <c r="E254" s="111">
        <f t="shared" si="137"/>
        <v>216</v>
      </c>
      <c r="F254" s="112">
        <v>0</v>
      </c>
      <c r="G254" s="111">
        <f t="shared" si="138"/>
        <v>0</v>
      </c>
      <c r="H254" s="111">
        <f t="shared" si="139"/>
        <v>0</v>
      </c>
      <c r="I254" s="111">
        <f t="shared" si="140"/>
        <v>0</v>
      </c>
      <c r="J254" s="111">
        <f t="shared" si="141"/>
        <v>23496230</v>
      </c>
      <c r="K254" s="113">
        <f t="shared" si="142"/>
        <v>0</v>
      </c>
      <c r="L254" s="113">
        <f t="shared" si="143"/>
        <v>0</v>
      </c>
      <c r="M254" s="113">
        <f t="shared" si="144"/>
        <v>71167</v>
      </c>
      <c r="N254" s="116">
        <f t="shared" si="145"/>
        <v>90</v>
      </c>
      <c r="O254" s="117">
        <f t="shared" si="178"/>
        <v>4.0599999999999997E-2</v>
      </c>
      <c r="P254" s="117">
        <f t="shared" si="146"/>
        <v>0</v>
      </c>
      <c r="Q254" s="117">
        <f t="shared" si="147"/>
        <v>0</v>
      </c>
      <c r="R254" s="117">
        <f t="shared" si="148"/>
        <v>2.725E-2</v>
      </c>
      <c r="S254" s="116">
        <f t="shared" si="149"/>
        <v>0</v>
      </c>
      <c r="T254" s="116">
        <f t="shared" si="150"/>
        <v>14.010000000000002</v>
      </c>
      <c r="U254" s="116">
        <f t="shared" si="151"/>
        <v>16.399999999999999</v>
      </c>
      <c r="V254" s="118">
        <f t="shared" si="152"/>
        <v>19440</v>
      </c>
      <c r="W254" s="118">
        <f t="shared" si="166"/>
        <v>953946.94</v>
      </c>
      <c r="X254" s="118">
        <f t="shared" si="167"/>
        <v>0</v>
      </c>
      <c r="Y254" s="118">
        <f t="shared" si="168"/>
        <v>0</v>
      </c>
      <c r="Z254" s="118">
        <f t="shared" si="169"/>
        <v>1167138.8</v>
      </c>
      <c r="AA254" s="119">
        <v>0</v>
      </c>
      <c r="AB254" s="120">
        <f t="shared" si="153"/>
        <v>0</v>
      </c>
      <c r="AC254" s="118">
        <f t="shared" si="154"/>
        <v>1167138.8</v>
      </c>
      <c r="AD254" s="118">
        <f t="shared" si="170"/>
        <v>2140525.7400000002</v>
      </c>
      <c r="AE254" s="118">
        <f t="shared" si="155"/>
        <v>2140532</v>
      </c>
      <c r="AF254" s="121">
        <f t="shared" si="171"/>
        <v>1.000003</v>
      </c>
      <c r="AG254" s="122">
        <f t="shared" si="156"/>
        <v>46023</v>
      </c>
      <c r="AH254" s="122">
        <f t="shared" si="157"/>
        <v>38695</v>
      </c>
      <c r="AI254" s="122">
        <f t="shared" si="158"/>
        <v>148388</v>
      </c>
      <c r="AJ254" s="122">
        <f t="shared" si="159"/>
        <v>0</v>
      </c>
      <c r="AK254" s="122">
        <f t="shared" si="160"/>
        <v>0</v>
      </c>
      <c r="AL254" s="122">
        <f t="shared" si="161"/>
        <v>2373638</v>
      </c>
      <c r="AM254" s="123">
        <f t="shared" si="162"/>
        <v>2373631.7400000002</v>
      </c>
      <c r="AN254" s="123">
        <f t="shared" si="180"/>
        <v>6.2599999997764826</v>
      </c>
      <c r="AO254" s="124">
        <f t="shared" si="163"/>
        <v>640272.27</v>
      </c>
      <c r="AP254" s="125">
        <f t="shared" si="172"/>
        <v>313674.66999999993</v>
      </c>
      <c r="AU254" s="109">
        <f>IF(BA254=1,IF(AU253=MiscData!$F$1,EOMONTH(AU253,-11),EOMONTH(AU253,1)),AU253)</f>
        <v>42216</v>
      </c>
      <c r="AV254" s="108" t="str">
        <f t="shared" si="173"/>
        <v>20140101LGINE661</v>
      </c>
      <c r="AW254" s="126" t="str">
        <f t="shared" si="174"/>
        <v>20140101PSS</v>
      </c>
      <c r="AX254">
        <f>MiscData!$X$5</f>
        <v>20140101</v>
      </c>
      <c r="BA254" s="98">
        <f>IF(BA253+1&gt;MiscData!$Z$42,1,BA253+1)</f>
        <v>23</v>
      </c>
      <c r="BB254" s="98" t="str">
        <f>VLOOKUP(BA254,MiscData!$Z$5:$AB$46,2,FALSE)</f>
        <v>LGINE661</v>
      </c>
      <c r="BC254" s="98" t="str">
        <f>VLOOKUP(BA254,MiscData!$Z$5:$AB$46,3,FALSE)</f>
        <v>PSS</v>
      </c>
    </row>
    <row r="255" spans="1:55">
      <c r="A255" s="108">
        <v>238</v>
      </c>
      <c r="B255" s="109" t="str">
        <f t="shared" si="164"/>
        <v>Jul 2015</v>
      </c>
      <c r="C255" s="110" t="str">
        <f t="shared" si="175"/>
        <v>PSP</v>
      </c>
      <c r="D255" s="110" t="str">
        <f t="shared" si="165"/>
        <v>LGINE663</v>
      </c>
      <c r="E255" s="111">
        <f t="shared" si="137"/>
        <v>21</v>
      </c>
      <c r="F255" s="112">
        <v>0</v>
      </c>
      <c r="G255" s="111">
        <f t="shared" si="138"/>
        <v>0</v>
      </c>
      <c r="H255" s="111">
        <f t="shared" si="139"/>
        <v>0</v>
      </c>
      <c r="I255" s="111">
        <f t="shared" si="140"/>
        <v>0</v>
      </c>
      <c r="J255" s="111">
        <f t="shared" si="141"/>
        <v>1185295</v>
      </c>
      <c r="K255" s="113">
        <f t="shared" si="142"/>
        <v>0</v>
      </c>
      <c r="L255" s="113">
        <f t="shared" si="143"/>
        <v>0</v>
      </c>
      <c r="M255" s="113">
        <f t="shared" si="144"/>
        <v>4169</v>
      </c>
      <c r="N255" s="116">
        <f t="shared" si="145"/>
        <v>170</v>
      </c>
      <c r="O255" s="117">
        <f t="shared" si="178"/>
        <v>3.9260000000000003E-2</v>
      </c>
      <c r="P255" s="117">
        <f t="shared" si="146"/>
        <v>0</v>
      </c>
      <c r="Q255" s="117">
        <f t="shared" si="147"/>
        <v>0</v>
      </c>
      <c r="R255" s="117">
        <f t="shared" si="148"/>
        <v>2.725E-2</v>
      </c>
      <c r="S255" s="116">
        <f t="shared" si="149"/>
        <v>0</v>
      </c>
      <c r="T255" s="116">
        <f t="shared" si="150"/>
        <v>11.660000000000002</v>
      </c>
      <c r="U255" s="116">
        <f t="shared" si="151"/>
        <v>13.950000000000001</v>
      </c>
      <c r="V255" s="118">
        <f t="shared" si="152"/>
        <v>3570</v>
      </c>
      <c r="W255" s="118">
        <f t="shared" si="166"/>
        <v>46534.68</v>
      </c>
      <c r="X255" s="118">
        <f t="shared" si="167"/>
        <v>0</v>
      </c>
      <c r="Y255" s="118">
        <f t="shared" si="168"/>
        <v>0</v>
      </c>
      <c r="Z255" s="118">
        <f t="shared" si="169"/>
        <v>58157.55</v>
      </c>
      <c r="AA255" s="119">
        <v>0</v>
      </c>
      <c r="AB255" s="120">
        <f t="shared" si="153"/>
        <v>0</v>
      </c>
      <c r="AC255" s="118">
        <f t="shared" si="154"/>
        <v>58157.55</v>
      </c>
      <c r="AD255" s="118">
        <f t="shared" si="170"/>
        <v>108262.23000000001</v>
      </c>
      <c r="AE255" s="118">
        <f t="shared" si="155"/>
        <v>108257</v>
      </c>
      <c r="AF255" s="121">
        <f t="shared" si="171"/>
        <v>0.99995199999999995</v>
      </c>
      <c r="AG255" s="122">
        <f t="shared" si="156"/>
        <v>2322</v>
      </c>
      <c r="AH255" s="122">
        <f t="shared" si="157"/>
        <v>1952</v>
      </c>
      <c r="AI255" s="122">
        <f t="shared" si="158"/>
        <v>7486</v>
      </c>
      <c r="AJ255" s="122">
        <f t="shared" si="159"/>
        <v>0</v>
      </c>
      <c r="AK255" s="122">
        <f t="shared" si="160"/>
        <v>0</v>
      </c>
      <c r="AL255" s="122">
        <f t="shared" si="161"/>
        <v>120017</v>
      </c>
      <c r="AM255" s="123">
        <f t="shared" si="162"/>
        <v>120022.23000000001</v>
      </c>
      <c r="AN255" s="123">
        <f t="shared" si="180"/>
        <v>-5.2300000000104774</v>
      </c>
      <c r="AO255" s="124">
        <f t="shared" si="163"/>
        <v>32299.29</v>
      </c>
      <c r="AP255" s="125">
        <f t="shared" si="172"/>
        <v>14235.39</v>
      </c>
      <c r="AU255" s="109">
        <f>IF(BA255=1,IF(AU254=MiscData!$F$1,EOMONTH(AU254,-11),EOMONTH(AU254,1)),AU254)</f>
        <v>42216</v>
      </c>
      <c r="AV255" s="108" t="str">
        <f t="shared" si="173"/>
        <v>20140101LGINE663</v>
      </c>
      <c r="AW255" s="126" t="str">
        <f t="shared" si="174"/>
        <v>20140101PSP</v>
      </c>
      <c r="AX255">
        <f>MiscData!$X$5</f>
        <v>20140101</v>
      </c>
      <c r="BA255" s="98">
        <f>IF(BA254+1&gt;MiscData!$Z$42,1,BA254+1)</f>
        <v>24</v>
      </c>
      <c r="BB255" s="98" t="str">
        <f>VLOOKUP(BA255,MiscData!$Z$5:$AB$46,2,FALSE)</f>
        <v>LGINE663</v>
      </c>
      <c r="BC255" s="98" t="str">
        <f>VLOOKUP(BA255,MiscData!$Z$5:$AB$46,3,FALSE)</f>
        <v>PSP</v>
      </c>
    </row>
    <row r="256" spans="1:55">
      <c r="A256" s="108">
        <v>239</v>
      </c>
      <c r="B256" s="109" t="str">
        <f t="shared" si="164"/>
        <v>Jul 2015</v>
      </c>
      <c r="C256" s="110" t="str">
        <f t="shared" si="175"/>
        <v>TODS</v>
      </c>
      <c r="D256" s="110" t="str">
        <f t="shared" si="165"/>
        <v>LGINE691</v>
      </c>
      <c r="E256" s="111">
        <f t="shared" si="137"/>
        <v>93</v>
      </c>
      <c r="F256" s="112">
        <v>0</v>
      </c>
      <c r="G256" s="111">
        <f t="shared" si="138"/>
        <v>0</v>
      </c>
      <c r="H256" s="111">
        <f t="shared" si="139"/>
        <v>0</v>
      </c>
      <c r="I256" s="111">
        <f t="shared" si="140"/>
        <v>0</v>
      </c>
      <c r="J256" s="111">
        <f t="shared" si="141"/>
        <v>23109451</v>
      </c>
      <c r="K256" s="113">
        <f t="shared" si="142"/>
        <v>55144</v>
      </c>
      <c r="L256" s="113">
        <f t="shared" si="143"/>
        <v>51572</v>
      </c>
      <c r="M256" s="113">
        <f t="shared" si="144"/>
        <v>49890</v>
      </c>
      <c r="N256" s="116">
        <f t="shared" si="145"/>
        <v>200</v>
      </c>
      <c r="O256" s="117">
        <f t="shared" si="178"/>
        <v>3.9899999999999998E-2</v>
      </c>
      <c r="P256" s="117">
        <f t="shared" si="146"/>
        <v>0</v>
      </c>
      <c r="Q256" s="117">
        <f t="shared" si="147"/>
        <v>0</v>
      </c>
      <c r="R256" s="117">
        <f t="shared" si="148"/>
        <v>2.725E-2</v>
      </c>
      <c r="S256" s="116">
        <f t="shared" si="149"/>
        <v>4</v>
      </c>
      <c r="T256" s="116">
        <f t="shared" si="150"/>
        <v>4.5100000000000007</v>
      </c>
      <c r="U256" s="116">
        <f t="shared" si="151"/>
        <v>6.11</v>
      </c>
      <c r="V256" s="118">
        <f t="shared" si="152"/>
        <v>18600</v>
      </c>
      <c r="W256" s="118">
        <f t="shared" si="166"/>
        <v>922067.09</v>
      </c>
      <c r="X256" s="118">
        <f t="shared" si="167"/>
        <v>220576</v>
      </c>
      <c r="Y256" s="118">
        <f t="shared" si="168"/>
        <v>232589.72</v>
      </c>
      <c r="Z256" s="118">
        <f t="shared" si="169"/>
        <v>304827.90000000002</v>
      </c>
      <c r="AA256" s="119">
        <v>0</v>
      </c>
      <c r="AB256" s="120">
        <f t="shared" si="153"/>
        <v>0</v>
      </c>
      <c r="AC256" s="118">
        <f t="shared" si="154"/>
        <v>757993.62</v>
      </c>
      <c r="AD256" s="118">
        <f t="shared" si="170"/>
        <v>1698660.71</v>
      </c>
      <c r="AE256" s="118">
        <f t="shared" si="155"/>
        <v>1698657</v>
      </c>
      <c r="AF256" s="121">
        <f t="shared" si="171"/>
        <v>0.99999800000000005</v>
      </c>
      <c r="AG256" s="122">
        <f t="shared" si="156"/>
        <v>45266</v>
      </c>
      <c r="AH256" s="122">
        <f t="shared" si="157"/>
        <v>38059</v>
      </c>
      <c r="AI256" s="122">
        <f t="shared" si="158"/>
        <v>145945</v>
      </c>
      <c r="AJ256" s="122">
        <f t="shared" si="159"/>
        <v>0</v>
      </c>
      <c r="AK256" s="122">
        <f t="shared" si="160"/>
        <v>0</v>
      </c>
      <c r="AL256" s="122">
        <f t="shared" si="161"/>
        <v>1927927</v>
      </c>
      <c r="AM256" s="123">
        <f t="shared" si="162"/>
        <v>1927930.71</v>
      </c>
      <c r="AN256" s="123">
        <f>AL256-AM256</f>
        <v>-3.7099999999627471</v>
      </c>
      <c r="AO256" s="124">
        <f t="shared" si="163"/>
        <v>629732.54</v>
      </c>
      <c r="AP256" s="125">
        <f t="shared" si="172"/>
        <v>292334.54999999993</v>
      </c>
      <c r="AU256" s="109">
        <f>IF(BA256=1,IF(AU255=MiscData!$F$1,EOMONTH(AU255,-11),EOMONTH(AU255,1)),AU255)</f>
        <v>42216</v>
      </c>
      <c r="AV256" s="108" t="str">
        <f t="shared" si="173"/>
        <v>20140101LGINE691</v>
      </c>
      <c r="AW256" s="126" t="str">
        <f t="shared" si="174"/>
        <v>20140101TODS</v>
      </c>
      <c r="AX256">
        <f>MiscData!$X$5</f>
        <v>20140101</v>
      </c>
      <c r="BA256" s="98">
        <f>IF(BA255+1&gt;MiscData!$Z$42,1,BA255+1)</f>
        <v>25</v>
      </c>
      <c r="BB256" s="98" t="str">
        <f>VLOOKUP(BA256,MiscData!$Z$5:$AB$46,2,FALSE)</f>
        <v>LGINE691</v>
      </c>
      <c r="BC256" s="98" t="str">
        <f>VLOOKUP(BA256,MiscData!$Z$5:$AB$46,3,FALSE)</f>
        <v>TODS</v>
      </c>
    </row>
    <row r="257" spans="1:55">
      <c r="A257" s="108">
        <v>240</v>
      </c>
      <c r="B257" s="109" t="str">
        <f t="shared" si="164"/>
        <v>Jul 2015</v>
      </c>
      <c r="C257" s="110" t="str">
        <f t="shared" si="175"/>
        <v>ITODP</v>
      </c>
      <c r="D257" s="110" t="str">
        <f t="shared" si="165"/>
        <v>LGINE693</v>
      </c>
      <c r="E257" s="111">
        <f t="shared" si="137"/>
        <v>68</v>
      </c>
      <c r="F257" s="112">
        <v>0</v>
      </c>
      <c r="G257" s="111">
        <f t="shared" si="138"/>
        <v>0</v>
      </c>
      <c r="H257" s="111">
        <f t="shared" si="139"/>
        <v>0</v>
      </c>
      <c r="I257" s="111">
        <f t="shared" si="140"/>
        <v>0</v>
      </c>
      <c r="J257" s="111">
        <f t="shared" si="141"/>
        <v>149464743</v>
      </c>
      <c r="K257" s="113">
        <f t="shared" si="142"/>
        <v>355998</v>
      </c>
      <c r="L257" s="113">
        <f t="shared" si="143"/>
        <v>323197</v>
      </c>
      <c r="M257" s="113">
        <f t="shared" si="144"/>
        <v>318904</v>
      </c>
      <c r="N257" s="116">
        <f t="shared" si="145"/>
        <v>300</v>
      </c>
      <c r="O257" s="117">
        <f t="shared" si="178"/>
        <v>3.5380000000000002E-2</v>
      </c>
      <c r="P257" s="117">
        <f t="shared" si="146"/>
        <v>0</v>
      </c>
      <c r="Q257" s="117">
        <f t="shared" si="147"/>
        <v>0</v>
      </c>
      <c r="R257" s="117">
        <f t="shared" si="148"/>
        <v>2.725E-2</v>
      </c>
      <c r="S257" s="116">
        <f t="shared" si="149"/>
        <v>3.6300000000000003</v>
      </c>
      <c r="T257" s="116">
        <f t="shared" si="150"/>
        <v>3.7900000000000005</v>
      </c>
      <c r="U257" s="116">
        <f t="shared" si="151"/>
        <v>4.63</v>
      </c>
      <c r="V257" s="118">
        <f t="shared" si="152"/>
        <v>20400</v>
      </c>
      <c r="W257" s="118">
        <f t="shared" si="166"/>
        <v>5288062.6100000003</v>
      </c>
      <c r="X257" s="118">
        <f t="shared" si="167"/>
        <v>1292272.74</v>
      </c>
      <c r="Y257" s="118">
        <f t="shared" si="168"/>
        <v>1224916.6299999999</v>
      </c>
      <c r="Z257" s="118">
        <f t="shared" si="169"/>
        <v>1476525.52</v>
      </c>
      <c r="AA257" s="119">
        <v>0</v>
      </c>
      <c r="AB257" s="120">
        <f t="shared" si="153"/>
        <v>0</v>
      </c>
      <c r="AC257" s="118">
        <f t="shared" si="154"/>
        <v>3993714.89</v>
      </c>
      <c r="AD257" s="118">
        <f t="shared" si="170"/>
        <v>9302177.5</v>
      </c>
      <c r="AE257" s="118">
        <f t="shared" si="155"/>
        <v>9302182</v>
      </c>
      <c r="AF257" s="121">
        <f t="shared" si="171"/>
        <v>1</v>
      </c>
      <c r="AG257" s="122">
        <f t="shared" si="156"/>
        <v>292763</v>
      </c>
      <c r="AH257" s="122">
        <f t="shared" si="157"/>
        <v>246151</v>
      </c>
      <c r="AI257" s="122">
        <f t="shared" si="158"/>
        <v>943929</v>
      </c>
      <c r="AJ257" s="122">
        <f t="shared" si="159"/>
        <v>0</v>
      </c>
      <c r="AK257" s="122">
        <f t="shared" si="160"/>
        <v>0</v>
      </c>
      <c r="AL257" s="122">
        <f t="shared" si="161"/>
        <v>10785025</v>
      </c>
      <c r="AM257" s="123">
        <f t="shared" si="162"/>
        <v>10785020.5</v>
      </c>
      <c r="AN257" s="123">
        <f t="shared" si="180"/>
        <v>4.5</v>
      </c>
      <c r="AO257" s="124">
        <f t="shared" si="163"/>
        <v>4072914.25</v>
      </c>
      <c r="AP257" s="125">
        <f t="shared" si="172"/>
        <v>1215148.3600000003</v>
      </c>
      <c r="AU257" s="109">
        <f>IF(BA257=1,IF(AU256=MiscData!$F$1,EOMONTH(AU256,-11),EOMONTH(AU256,1)),AU256)</f>
        <v>42216</v>
      </c>
      <c r="AV257" s="108" t="str">
        <f t="shared" si="173"/>
        <v>20140101LGINE693</v>
      </c>
      <c r="AW257" s="126" t="str">
        <f t="shared" si="174"/>
        <v>20140101ITODP</v>
      </c>
      <c r="AX257">
        <f>MiscData!$X$5</f>
        <v>20140101</v>
      </c>
      <c r="BA257" s="98">
        <f>IF(BA256+1&gt;MiscData!$Z$42,1,BA256+1)</f>
        <v>26</v>
      </c>
      <c r="BB257" s="98" t="str">
        <f>VLOOKUP(BA257,MiscData!$Z$5:$AB$46,2,FALSE)</f>
        <v>LGINE693</v>
      </c>
      <c r="BC257" s="98" t="str">
        <f>VLOOKUP(BA257,MiscData!$Z$5:$AB$46,3,FALSE)</f>
        <v>ITODP</v>
      </c>
    </row>
    <row r="258" spans="1:55">
      <c r="A258" s="108">
        <v>241</v>
      </c>
      <c r="B258" s="109" t="str">
        <f t="shared" si="164"/>
        <v>Jul 2015</v>
      </c>
      <c r="C258" s="110" t="str">
        <f t="shared" si="175"/>
        <v>ITODP</v>
      </c>
      <c r="D258" s="110" t="str">
        <f t="shared" si="165"/>
        <v>LGINE694</v>
      </c>
      <c r="E258" s="111">
        <f t="shared" si="137"/>
        <v>0</v>
      </c>
      <c r="F258" s="112">
        <v>0</v>
      </c>
      <c r="G258" s="111">
        <f t="shared" si="138"/>
        <v>0</v>
      </c>
      <c r="H258" s="111">
        <f t="shared" si="139"/>
        <v>0</v>
      </c>
      <c r="I258" s="111">
        <f t="shared" si="140"/>
        <v>0</v>
      </c>
      <c r="J258" s="111">
        <f t="shared" si="141"/>
        <v>0</v>
      </c>
      <c r="K258" s="113">
        <f t="shared" si="142"/>
        <v>0</v>
      </c>
      <c r="L258" s="113">
        <f t="shared" si="143"/>
        <v>0</v>
      </c>
      <c r="M258" s="113">
        <f t="shared" si="144"/>
        <v>0</v>
      </c>
      <c r="N258" s="116">
        <f t="shared" si="145"/>
        <v>300</v>
      </c>
      <c r="O258" s="117">
        <f t="shared" si="178"/>
        <v>3.5380000000000002E-2</v>
      </c>
      <c r="P258" s="117">
        <f t="shared" si="146"/>
        <v>0</v>
      </c>
      <c r="Q258" s="117">
        <f t="shared" si="147"/>
        <v>0</v>
      </c>
      <c r="R258" s="117">
        <f t="shared" si="148"/>
        <v>2.725E-2</v>
      </c>
      <c r="S258" s="116">
        <f t="shared" si="149"/>
        <v>3.6300000000000003</v>
      </c>
      <c r="T258" s="116">
        <f t="shared" si="150"/>
        <v>3.7900000000000005</v>
      </c>
      <c r="U258" s="116">
        <f t="shared" si="151"/>
        <v>4.63</v>
      </c>
      <c r="V258" s="118">
        <f t="shared" si="152"/>
        <v>0</v>
      </c>
      <c r="W258" s="118">
        <f t="shared" si="166"/>
        <v>0</v>
      </c>
      <c r="X258" s="118">
        <f t="shared" si="167"/>
        <v>0</v>
      </c>
      <c r="Y258" s="118">
        <f t="shared" si="168"/>
        <v>0</v>
      </c>
      <c r="Z258" s="118">
        <f t="shared" si="169"/>
        <v>0</v>
      </c>
      <c r="AA258" s="119">
        <v>0</v>
      </c>
      <c r="AB258" s="120">
        <f t="shared" si="153"/>
        <v>0</v>
      </c>
      <c r="AC258" s="118">
        <f t="shared" si="154"/>
        <v>0</v>
      </c>
      <c r="AD258" s="118">
        <f t="shared" si="170"/>
        <v>0</v>
      </c>
      <c r="AE258" s="118">
        <f t="shared" si="155"/>
        <v>0</v>
      </c>
      <c r="AF258" s="121">
        <f t="shared" si="171"/>
        <v>1</v>
      </c>
      <c r="AG258" s="122">
        <f t="shared" si="156"/>
        <v>0</v>
      </c>
      <c r="AH258" s="122">
        <f t="shared" si="157"/>
        <v>0</v>
      </c>
      <c r="AI258" s="122">
        <f t="shared" si="158"/>
        <v>0</v>
      </c>
      <c r="AJ258" s="122">
        <f t="shared" si="159"/>
        <v>0</v>
      </c>
      <c r="AK258" s="122">
        <f t="shared" si="160"/>
        <v>0</v>
      </c>
      <c r="AL258" s="122">
        <f t="shared" si="161"/>
        <v>0</v>
      </c>
      <c r="AM258" s="123">
        <f t="shared" si="162"/>
        <v>0</v>
      </c>
      <c r="AN258" s="123">
        <f t="shared" si="180"/>
        <v>0</v>
      </c>
      <c r="AO258" s="124">
        <f t="shared" si="163"/>
        <v>0</v>
      </c>
      <c r="AP258" s="125">
        <f t="shared" si="172"/>
        <v>0</v>
      </c>
      <c r="AU258" s="109">
        <f>IF(BA258=1,IF(AU257=MiscData!$F$1,EOMONTH(AU257,-11),EOMONTH(AU257,1)),AU257)</f>
        <v>42216</v>
      </c>
      <c r="AV258" s="108" t="str">
        <f t="shared" si="173"/>
        <v>20140101LGINE694</v>
      </c>
      <c r="AW258" s="126" t="str">
        <f t="shared" si="174"/>
        <v>20140101ITODP</v>
      </c>
      <c r="AX258">
        <f>MiscData!$X$5</f>
        <v>20140101</v>
      </c>
      <c r="BA258" s="98">
        <f>IF(BA257+1&gt;MiscData!$Z$42,1,BA257+1)</f>
        <v>27</v>
      </c>
      <c r="BB258" s="98" t="str">
        <f>VLOOKUP(BA258,MiscData!$Z$5:$AB$46,2,FALSE)</f>
        <v>LGINE694</v>
      </c>
      <c r="BC258" s="98" t="str">
        <f>VLOOKUP(BA258,MiscData!$Z$5:$AB$46,3,FALSE)</f>
        <v>ITODP</v>
      </c>
    </row>
    <row r="259" spans="1:55">
      <c r="A259" s="108">
        <v>242</v>
      </c>
      <c r="B259" s="109" t="str">
        <f t="shared" si="164"/>
        <v>Jul 2015</v>
      </c>
      <c r="C259" s="110" t="str">
        <f t="shared" si="175"/>
        <v>LE</v>
      </c>
      <c r="D259" s="110" t="str">
        <f t="shared" si="165"/>
        <v>LGMLE570</v>
      </c>
      <c r="E259" s="111">
        <f t="shared" si="137"/>
        <v>0</v>
      </c>
      <c r="F259" s="112">
        <v>0</v>
      </c>
      <c r="G259" s="111">
        <f t="shared" si="138"/>
        <v>0</v>
      </c>
      <c r="H259" s="111">
        <f t="shared" si="139"/>
        <v>0</v>
      </c>
      <c r="I259" s="111">
        <f t="shared" si="140"/>
        <v>0</v>
      </c>
      <c r="J259" s="111">
        <f t="shared" si="141"/>
        <v>0</v>
      </c>
      <c r="K259" s="113">
        <f t="shared" si="142"/>
        <v>0</v>
      </c>
      <c r="L259" s="113">
        <f t="shared" si="143"/>
        <v>0</v>
      </c>
      <c r="M259" s="113">
        <f t="shared" si="144"/>
        <v>0</v>
      </c>
      <c r="N259" s="116">
        <f t="shared" si="145"/>
        <v>0</v>
      </c>
      <c r="O259" s="117">
        <f t="shared" si="178"/>
        <v>6.4610000000000001E-2</v>
      </c>
      <c r="P259" s="117">
        <f t="shared" si="146"/>
        <v>0</v>
      </c>
      <c r="Q259" s="117">
        <f t="shared" si="147"/>
        <v>0</v>
      </c>
      <c r="R259" s="117">
        <f t="shared" si="148"/>
        <v>2.725E-2</v>
      </c>
      <c r="S259" s="116">
        <f t="shared" si="149"/>
        <v>0</v>
      </c>
      <c r="T259" s="116">
        <f t="shared" si="150"/>
        <v>0</v>
      </c>
      <c r="U259" s="116">
        <f t="shared" si="151"/>
        <v>0</v>
      </c>
      <c r="V259" s="118">
        <f t="shared" si="152"/>
        <v>0</v>
      </c>
      <c r="W259" s="118">
        <f t="shared" si="166"/>
        <v>0</v>
      </c>
      <c r="X259" s="118">
        <f t="shared" si="167"/>
        <v>0</v>
      </c>
      <c r="Y259" s="118">
        <f t="shared" si="168"/>
        <v>0</v>
      </c>
      <c r="Z259" s="118">
        <f t="shared" si="169"/>
        <v>0</v>
      </c>
      <c r="AA259" s="119">
        <v>0</v>
      </c>
      <c r="AB259" s="120">
        <f t="shared" si="153"/>
        <v>0</v>
      </c>
      <c r="AC259" s="118">
        <f t="shared" si="154"/>
        <v>0</v>
      </c>
      <c r="AD259" s="118">
        <f t="shared" si="170"/>
        <v>0</v>
      </c>
      <c r="AE259" s="118">
        <f t="shared" si="155"/>
        <v>0</v>
      </c>
      <c r="AF259" s="121">
        <f t="shared" si="171"/>
        <v>1</v>
      </c>
      <c r="AG259" s="122">
        <f t="shared" si="156"/>
        <v>0</v>
      </c>
      <c r="AH259" s="122">
        <f t="shared" si="157"/>
        <v>0</v>
      </c>
      <c r="AI259" s="122">
        <f t="shared" si="158"/>
        <v>0</v>
      </c>
      <c r="AJ259" s="122">
        <f t="shared" si="159"/>
        <v>0</v>
      </c>
      <c r="AK259" s="122">
        <f t="shared" si="160"/>
        <v>0</v>
      </c>
      <c r="AL259" s="122">
        <f t="shared" si="161"/>
        <v>0</v>
      </c>
      <c r="AM259" s="123">
        <f t="shared" si="162"/>
        <v>0</v>
      </c>
      <c r="AN259" s="123">
        <f t="shared" ref="AN259:AN292" si="181">AL259-AM259</f>
        <v>0</v>
      </c>
      <c r="AO259" s="124">
        <f t="shared" si="163"/>
        <v>0</v>
      </c>
      <c r="AP259" s="125">
        <f t="shared" si="172"/>
        <v>0</v>
      </c>
      <c r="AU259" s="109">
        <f>IF(BA259=1,IF(AU258=MiscData!$F$1,EOMONTH(AU258,-11),EOMONTH(AU258,1)),AU258)</f>
        <v>42216</v>
      </c>
      <c r="AV259" s="108" t="str">
        <f t="shared" si="173"/>
        <v>20140101LGMLE570</v>
      </c>
      <c r="AW259" s="126" t="str">
        <f t="shared" si="174"/>
        <v>20140101LE</v>
      </c>
      <c r="AX259">
        <f>MiscData!$X$5</f>
        <v>20140101</v>
      </c>
      <c r="BA259" s="98">
        <f>IF(BA258+1&gt;MiscData!$Z$42,1,BA258+1)</f>
        <v>28</v>
      </c>
      <c r="BB259" s="98" t="str">
        <f>VLOOKUP(BA259,MiscData!$Z$5:$AB$46,2,FALSE)</f>
        <v>LGMLE570</v>
      </c>
      <c r="BC259" s="98" t="str">
        <f>VLOOKUP(BA259,MiscData!$Z$5:$AB$46,3,FALSE)</f>
        <v>LE</v>
      </c>
    </row>
    <row r="260" spans="1:55">
      <c r="A260" s="108">
        <v>243</v>
      </c>
      <c r="B260" s="109" t="str">
        <f t="shared" si="164"/>
        <v>Jul 2015</v>
      </c>
      <c r="C260" s="110" t="str">
        <f t="shared" si="175"/>
        <v>LE</v>
      </c>
      <c r="D260" s="110" t="str">
        <f t="shared" si="165"/>
        <v>LGMLE571</v>
      </c>
      <c r="E260" s="111">
        <f t="shared" ref="E260:E323" si="182">SUMIFS(L_1022_Count,L_1022_Revenue_Month,$B260,L_1022_Rate_Category,$D260)</f>
        <v>156</v>
      </c>
      <c r="F260" s="112">
        <v>0</v>
      </c>
      <c r="G260" s="111">
        <f t="shared" ref="G260:G323" si="183">SUMIFS(L_1022_KWH_P1,L_1022_Revenue_Month,$B260,L_1022_Rate_Category,$D260)</f>
        <v>0</v>
      </c>
      <c r="H260" s="111">
        <f t="shared" ref="H260:H323" si="184">SUMIFS(L_1022_KWH_P2,L_1022_Revenue_Month,$B260,L_1022_Rate_Category,$D260)</f>
        <v>0</v>
      </c>
      <c r="I260" s="111">
        <f t="shared" ref="I260:I323" si="185">SUMIFS(L_1022_KWH_P3,L_1022_Revenue_Month,$B260,L_1022_Rate_Category,$D260)</f>
        <v>0</v>
      </c>
      <c r="J260" s="111">
        <f t="shared" ref="J260:J323" si="186">SUMIFS(L_1022_KWH_Total,L_1022_Revenue_Month,$B260,L_1022_Rate_Category,$D260)</f>
        <v>264288</v>
      </c>
      <c r="K260" s="113">
        <f t="shared" ref="K260:K323" si="187">SUMIFS(L_1022_Demand_Base_Measured,L_1022_Revenue_Month,$B260,L_1022_Rate_Category,$D260)</f>
        <v>0</v>
      </c>
      <c r="L260" s="113">
        <f t="shared" ref="L260:L323" si="188">SUMIFS(L_1022_Demand_Inter_Measured,L_1022_Revenue_Month,$B260,L_1022_Rate_Category,$D260)</f>
        <v>0</v>
      </c>
      <c r="M260" s="113">
        <f t="shared" ref="M260:M323" si="189">SUMIFS(L_1022_Demand_Peak_Measured,L_1022_Revenue_Month,$B260,L_1022_Rate_Category,$D260)</f>
        <v>0</v>
      </c>
      <c r="N260" s="116">
        <f t="shared" ref="N260:N323" si="190">SUMIF(L_Rates_Tariff_Rate_Category,AV260,L_Rates_BSC)</f>
        <v>0</v>
      </c>
      <c r="O260" s="117">
        <f t="shared" si="178"/>
        <v>6.4610000000000001E-2</v>
      </c>
      <c r="P260" s="117">
        <f t="shared" ref="P260:P323" si="191">SUMIF(L_Rates_Tariff_Rate_Category,$AV260,L_Rates_Energy_P2)</f>
        <v>0</v>
      </c>
      <c r="Q260" s="117">
        <f t="shared" ref="Q260:Q323" si="192">SUMIF(L_Rates_Tariff_Rate_Category,$AV260,L_Rates_Energy_P3)</f>
        <v>0</v>
      </c>
      <c r="R260" s="117">
        <f t="shared" ref="R260:R323" si="193">SUMIF(L_Rates_Tariff_Rate_Category,$AV260,L_Rates_Energy_Base_Fuel)</f>
        <v>2.725E-2</v>
      </c>
      <c r="S260" s="116">
        <f t="shared" ref="S260:S323" si="194">SUMIF(L_Rates_Tariff_Rate_Category,$AV260,L_Rates_Demand_Base)</f>
        <v>0</v>
      </c>
      <c r="T260" s="116">
        <f t="shared" ref="T260:T323" si="195">SUMIF(L_Rates_Tariff_Rate_Category,$AV260,L_Rates_Demand_Intermediate)</f>
        <v>0</v>
      </c>
      <c r="U260" s="116">
        <f t="shared" ref="U260:U323" si="196">SUMIF(L_Rates_Tariff_Rate_Category,$AV260,L_Rates_Demand_Peak)</f>
        <v>0</v>
      </c>
      <c r="V260" s="118">
        <f t="shared" ref="V260:V323" si="197">ROUND(($E260+$F260)*$N260,2)</f>
        <v>0</v>
      </c>
      <c r="W260" s="118">
        <f t="shared" si="166"/>
        <v>17075.650000000001</v>
      </c>
      <c r="X260" s="118">
        <f t="shared" si="167"/>
        <v>0</v>
      </c>
      <c r="Y260" s="118">
        <f t="shared" si="168"/>
        <v>0</v>
      </c>
      <c r="Z260" s="118">
        <f t="shared" si="169"/>
        <v>0</v>
      </c>
      <c r="AA260" s="119">
        <v>0</v>
      </c>
      <c r="AB260" s="120">
        <f t="shared" ref="AB260:AB323" si="198">SUMIFS(L_1022_Revenue_Power_Factor,L_1022_Revenue_Month,$B260,L_1022_Rate_Category,$D260)</f>
        <v>0</v>
      </c>
      <c r="AC260" s="118">
        <f t="shared" ref="AC260:AC323" si="199">SUM(X260:AB260)</f>
        <v>0</v>
      </c>
      <c r="AD260" s="118">
        <f t="shared" si="170"/>
        <v>17075.650000000001</v>
      </c>
      <c r="AE260" s="118">
        <f t="shared" ref="AE260:AE323" si="200">AL260-SUM(AG260:AK260)</f>
        <v>0</v>
      </c>
      <c r="AF260" s="121">
        <f t="shared" si="171"/>
        <v>0</v>
      </c>
      <c r="AG260" s="122">
        <f t="shared" ref="AG260:AG323" si="201">SUMIFS(L_SBR_FAC,L_SBR_Revenue_Month,$B260,L_SBR_Rate_Category,$D260)</f>
        <v>0</v>
      </c>
      <c r="AH260" s="122">
        <f t="shared" ref="AH260:AH323" si="202">SUMIFS(L_SBR_DSM,L_SBR_Revenue_Month,$B260,L_SBR_Rate_Category,$D260)</f>
        <v>0</v>
      </c>
      <c r="AI260" s="122">
        <f t="shared" ref="AI260:AI323" si="203">SUMIFS(L_SBR_ECR,L_SBR_Revenue_Month,$B260,L_SBR_Rate_Category,$D260)</f>
        <v>0</v>
      </c>
      <c r="AJ260" s="122">
        <f t="shared" ref="AJ260:AJ323" si="204">SUMIFS(L_SBR_MSR,L_SBR_Revenue_Month,$B260,L_SBR_Rate_Category,$D260)</f>
        <v>0</v>
      </c>
      <c r="AK260" s="122">
        <f t="shared" ref="AK260:AK323" si="205">SUMIFS(L_SBR_CSR,L_SBR_Revenue_Month,$B260,L_SBR_Rate_Category,$D260)</f>
        <v>0</v>
      </c>
      <c r="AL260" s="122">
        <f t="shared" ref="AL260:AL323" si="206">SUMIFS(L_SBR_Revenue_Total,L_SBR_Revenue_Month,$B260,L_SBR_Rate_Category,$D260)</f>
        <v>0</v>
      </c>
      <c r="AM260" s="123">
        <f t="shared" ref="AM260:AM323" si="207">SUM(AD260,AG260:AK260)</f>
        <v>17075.650000000001</v>
      </c>
      <c r="AN260" s="123">
        <f t="shared" ref="AN260:AN264" si="208">ROUND(AL260-AM260,2)</f>
        <v>-17075.650000000001</v>
      </c>
      <c r="AO260" s="124">
        <f t="shared" ref="AO260:AO323" si="209">ROUND(J260*R260,2)</f>
        <v>7201.85</v>
      </c>
      <c r="AP260" s="125">
        <f t="shared" si="172"/>
        <v>9873.8000000000011</v>
      </c>
      <c r="AU260" s="109">
        <f>IF(BA260=1,IF(AU259=MiscData!$F$1,EOMONTH(AU259,-11),EOMONTH(AU259,1)),AU259)</f>
        <v>42216</v>
      </c>
      <c r="AV260" s="108" t="str">
        <f t="shared" si="173"/>
        <v>20140101LGMLE571</v>
      </c>
      <c r="AW260" s="126" t="str">
        <f t="shared" si="174"/>
        <v>20140101LE</v>
      </c>
      <c r="AX260">
        <f>MiscData!$X$5</f>
        <v>20140101</v>
      </c>
      <c r="BA260" s="98">
        <f>IF(BA259+1&gt;MiscData!$Z$42,1,BA259+1)</f>
        <v>29</v>
      </c>
      <c r="BB260" s="98" t="str">
        <f>VLOOKUP(BA260,MiscData!$Z$5:$AB$46,2,FALSE)</f>
        <v>LGMLE571</v>
      </c>
      <c r="BC260" s="98" t="str">
        <f>VLOOKUP(BA260,MiscData!$Z$5:$AB$46,3,FALSE)</f>
        <v>LE</v>
      </c>
    </row>
    <row r="261" spans="1:55">
      <c r="A261" s="108">
        <v>244</v>
      </c>
      <c r="B261" s="109" t="str">
        <f t="shared" ref="B261:B324" si="210">TEXT(AU261,"mmm yyyy")</f>
        <v>Jul 2015</v>
      </c>
      <c r="C261" s="110" t="str">
        <f t="shared" ref="C261:C324" si="211">BC261</f>
        <v>LE</v>
      </c>
      <c r="D261" s="110" t="str">
        <f t="shared" ref="D261:D324" si="212">BB261</f>
        <v>LGMLE572</v>
      </c>
      <c r="E261" s="111">
        <f t="shared" si="182"/>
        <v>0</v>
      </c>
      <c r="F261" s="112">
        <v>0</v>
      </c>
      <c r="G261" s="111">
        <f t="shared" si="183"/>
        <v>0</v>
      </c>
      <c r="H261" s="111">
        <f t="shared" si="184"/>
        <v>0</v>
      </c>
      <c r="I261" s="111">
        <f t="shared" si="185"/>
        <v>0</v>
      </c>
      <c r="J261" s="111">
        <f t="shared" si="186"/>
        <v>0</v>
      </c>
      <c r="K261" s="113">
        <f t="shared" si="187"/>
        <v>0</v>
      </c>
      <c r="L261" s="113">
        <f t="shared" si="188"/>
        <v>0</v>
      </c>
      <c r="M261" s="113">
        <f t="shared" si="189"/>
        <v>0</v>
      </c>
      <c r="N261" s="116">
        <f t="shared" si="190"/>
        <v>0</v>
      </c>
      <c r="O261" s="117">
        <f t="shared" si="178"/>
        <v>6.4610000000000001E-2</v>
      </c>
      <c r="P261" s="117">
        <f t="shared" si="191"/>
        <v>0</v>
      </c>
      <c r="Q261" s="117">
        <f t="shared" si="192"/>
        <v>0</v>
      </c>
      <c r="R261" s="117">
        <f t="shared" si="193"/>
        <v>2.725E-2</v>
      </c>
      <c r="S261" s="116">
        <f t="shared" si="194"/>
        <v>0</v>
      </c>
      <c r="T261" s="116">
        <f t="shared" si="195"/>
        <v>0</v>
      </c>
      <c r="U261" s="116">
        <f t="shared" si="196"/>
        <v>0</v>
      </c>
      <c r="V261" s="118">
        <f t="shared" si="197"/>
        <v>0</v>
      </c>
      <c r="W261" s="118">
        <f t="shared" ref="W261:W324" si="213">ROUND(IF(G261=0,J261*O261,SUMPRODUCT(G261:I261,O261:Q261)),2)</f>
        <v>0</v>
      </c>
      <c r="X261" s="118">
        <f t="shared" ref="X261:X324" si="214">ROUND(K261*S261,2)</f>
        <v>0</v>
      </c>
      <c r="Y261" s="118">
        <f t="shared" ref="Y261:Y324" si="215">ROUND(L261*T261,2)</f>
        <v>0</v>
      </c>
      <c r="Z261" s="118">
        <f t="shared" ref="Z261:Z324" si="216">ROUND(M261*U261,2)</f>
        <v>0</v>
      </c>
      <c r="AA261" s="119">
        <v>0</v>
      </c>
      <c r="AB261" s="120">
        <f t="shared" si="198"/>
        <v>0</v>
      </c>
      <c r="AC261" s="118">
        <f t="shared" si="199"/>
        <v>0</v>
      </c>
      <c r="AD261" s="118">
        <f t="shared" ref="AD261:AD324" si="217">SUM(V261:AB261)</f>
        <v>0</v>
      </c>
      <c r="AE261" s="118">
        <f t="shared" si="200"/>
        <v>0</v>
      </c>
      <c r="AF261" s="121">
        <f t="shared" ref="AF261:AF324" si="218">IF(AND(AD261=0,AE261=0),1,IF(AD261=0,0,ROUND(AE261/AD261,6)))</f>
        <v>1</v>
      </c>
      <c r="AG261" s="122">
        <f t="shared" si="201"/>
        <v>0</v>
      </c>
      <c r="AH261" s="122">
        <f t="shared" si="202"/>
        <v>0</v>
      </c>
      <c r="AI261" s="122">
        <f t="shared" si="203"/>
        <v>0</v>
      </c>
      <c r="AJ261" s="122">
        <f t="shared" si="204"/>
        <v>0</v>
      </c>
      <c r="AK261" s="122">
        <f t="shared" si="205"/>
        <v>0</v>
      </c>
      <c r="AL261" s="122">
        <f>SUMIFS(L_SBR_Revenue_Total,L_SBR_Revenue_Month,$B261,L_SBR_Rate_Category,$D261)</f>
        <v>0</v>
      </c>
      <c r="AM261" s="123">
        <f t="shared" si="207"/>
        <v>0</v>
      </c>
      <c r="AN261" s="123">
        <f t="shared" si="208"/>
        <v>0</v>
      </c>
      <c r="AO261" s="124">
        <f t="shared" si="209"/>
        <v>0</v>
      </c>
      <c r="AP261" s="125">
        <f t="shared" ref="AP261:AP324" si="219">W261-AO261</f>
        <v>0</v>
      </c>
      <c r="AU261" s="109">
        <f>IF(BA261=1,IF(AU260=MiscData!$F$1,EOMONTH(AU260,-11),EOMONTH(AU260,1)),AU260)</f>
        <v>42216</v>
      </c>
      <c r="AV261" s="108" t="str">
        <f t="shared" ref="AV261:AV324" si="220">CONCATENATE(AX261&amp;BB261)</f>
        <v>20140101LGMLE572</v>
      </c>
      <c r="AW261" s="126" t="str">
        <f t="shared" ref="AW261:AW324" si="221">CONCATENATE(AX261&amp;BC261)</f>
        <v>20140101LE</v>
      </c>
      <c r="AX261">
        <f>MiscData!$X$5</f>
        <v>20140101</v>
      </c>
      <c r="BA261" s="98">
        <f>IF(BA260+1&gt;MiscData!$Z$42,1,BA260+1)</f>
        <v>30</v>
      </c>
      <c r="BB261" s="98" t="str">
        <f>VLOOKUP(BA261,MiscData!$Z$5:$AB$46,2,FALSE)</f>
        <v>LGMLE572</v>
      </c>
      <c r="BC261" s="98" t="str">
        <f>VLOOKUP(BA261,MiscData!$Z$5:$AB$46,3,FALSE)</f>
        <v>LE</v>
      </c>
    </row>
    <row r="262" spans="1:55">
      <c r="A262" s="108">
        <v>245</v>
      </c>
      <c r="B262" s="109" t="str">
        <f t="shared" si="210"/>
        <v>Jul 2015</v>
      </c>
      <c r="C262" s="110" t="str">
        <f t="shared" si="211"/>
        <v>TE</v>
      </c>
      <c r="D262" s="110" t="str">
        <f t="shared" si="212"/>
        <v>LGMLE573</v>
      </c>
      <c r="E262" s="111">
        <f t="shared" si="182"/>
        <v>905</v>
      </c>
      <c r="F262" s="112">
        <v>0</v>
      </c>
      <c r="G262" s="111">
        <f t="shared" si="183"/>
        <v>0</v>
      </c>
      <c r="H262" s="111">
        <f t="shared" si="184"/>
        <v>0</v>
      </c>
      <c r="I262" s="111">
        <f t="shared" si="185"/>
        <v>0</v>
      </c>
      <c r="J262" s="111">
        <f t="shared" si="186"/>
        <v>256936</v>
      </c>
      <c r="K262" s="113">
        <f t="shared" si="187"/>
        <v>0</v>
      </c>
      <c r="L262" s="113">
        <f t="shared" si="188"/>
        <v>0</v>
      </c>
      <c r="M262" s="113">
        <f t="shared" si="189"/>
        <v>0</v>
      </c>
      <c r="N262" s="116">
        <f t="shared" si="190"/>
        <v>3.25</v>
      </c>
      <c r="O262" s="117">
        <f t="shared" si="178"/>
        <v>7.6579999999999995E-2</v>
      </c>
      <c r="P262" s="117">
        <f t="shared" si="191"/>
        <v>0</v>
      </c>
      <c r="Q262" s="117">
        <f t="shared" si="192"/>
        <v>0</v>
      </c>
      <c r="R262" s="117">
        <f t="shared" si="193"/>
        <v>2.725E-2</v>
      </c>
      <c r="S262" s="116">
        <f t="shared" si="194"/>
        <v>0</v>
      </c>
      <c r="T262" s="116">
        <f t="shared" si="195"/>
        <v>0</v>
      </c>
      <c r="U262" s="116">
        <f t="shared" si="196"/>
        <v>0</v>
      </c>
      <c r="V262" s="118">
        <f t="shared" si="197"/>
        <v>2941.25</v>
      </c>
      <c r="W262" s="683">
        <f t="shared" si="213"/>
        <v>19676.16</v>
      </c>
      <c r="X262" s="118">
        <f t="shared" si="214"/>
        <v>0</v>
      </c>
      <c r="Y262" s="118">
        <f t="shared" si="215"/>
        <v>0</v>
      </c>
      <c r="Z262" s="118">
        <f t="shared" si="216"/>
        <v>0</v>
      </c>
      <c r="AA262" s="119">
        <v>0</v>
      </c>
      <c r="AB262" s="120">
        <f t="shared" si="198"/>
        <v>0</v>
      </c>
      <c r="AC262" s="118">
        <f t="shared" si="199"/>
        <v>0</v>
      </c>
      <c r="AD262" s="118">
        <f t="shared" si="217"/>
        <v>22617.41</v>
      </c>
      <c r="AE262" s="118">
        <f t="shared" si="200"/>
        <v>0</v>
      </c>
      <c r="AF262" s="121">
        <f t="shared" si="218"/>
        <v>0</v>
      </c>
      <c r="AG262" s="122">
        <f t="shared" si="201"/>
        <v>0</v>
      </c>
      <c r="AH262" s="122">
        <f t="shared" si="202"/>
        <v>0</v>
      </c>
      <c r="AI262" s="122">
        <f t="shared" si="203"/>
        <v>0</v>
      </c>
      <c r="AJ262" s="122">
        <f t="shared" si="204"/>
        <v>0</v>
      </c>
      <c r="AK262" s="122">
        <f t="shared" si="205"/>
        <v>0</v>
      </c>
      <c r="AL262" s="122">
        <f t="shared" si="206"/>
        <v>0</v>
      </c>
      <c r="AM262" s="123">
        <f t="shared" si="207"/>
        <v>22617.41</v>
      </c>
      <c r="AN262" s="123">
        <f t="shared" si="208"/>
        <v>-22617.41</v>
      </c>
      <c r="AO262" s="124">
        <f t="shared" si="209"/>
        <v>7001.51</v>
      </c>
      <c r="AP262" s="125">
        <f t="shared" si="219"/>
        <v>12674.65</v>
      </c>
      <c r="AU262" s="109">
        <f>IF(BA262=1,IF(AU261=MiscData!$F$1,EOMONTH(AU261,-11),EOMONTH(AU261,1)),AU261)</f>
        <v>42216</v>
      </c>
      <c r="AV262" s="108" t="str">
        <f t="shared" si="220"/>
        <v>20140101LGMLE573</v>
      </c>
      <c r="AW262" s="126" t="str">
        <f t="shared" si="221"/>
        <v>20140101TE</v>
      </c>
      <c r="AX262">
        <f>MiscData!$X$5</f>
        <v>20140101</v>
      </c>
      <c r="BA262" s="98">
        <f>IF(BA261+1&gt;MiscData!$Z$42,1,BA261+1)</f>
        <v>31</v>
      </c>
      <c r="BB262" s="98" t="str">
        <f>VLOOKUP(BA262,MiscData!$Z$5:$AB$46,2,FALSE)</f>
        <v>LGMLE573</v>
      </c>
      <c r="BC262" s="98" t="str">
        <f>VLOOKUP(BA262,MiscData!$Z$5:$AB$46,3,FALSE)</f>
        <v>TE</v>
      </c>
    </row>
    <row r="263" spans="1:55">
      <c r="A263" s="108">
        <v>246</v>
      </c>
      <c r="B263" s="109" t="str">
        <f t="shared" si="210"/>
        <v>Jul 2015</v>
      </c>
      <c r="C263" s="110" t="str">
        <f t="shared" si="211"/>
        <v>TE</v>
      </c>
      <c r="D263" s="110" t="str">
        <f t="shared" si="212"/>
        <v>LGMLE574</v>
      </c>
      <c r="E263" s="111">
        <f t="shared" si="182"/>
        <v>0</v>
      </c>
      <c r="F263" s="112">
        <v>0</v>
      </c>
      <c r="G263" s="111">
        <f t="shared" si="183"/>
        <v>0</v>
      </c>
      <c r="H263" s="111">
        <f t="shared" si="184"/>
        <v>0</v>
      </c>
      <c r="I263" s="111">
        <f t="shared" si="185"/>
        <v>0</v>
      </c>
      <c r="J263" s="111">
        <f t="shared" si="186"/>
        <v>0</v>
      </c>
      <c r="K263" s="113">
        <f t="shared" si="187"/>
        <v>0</v>
      </c>
      <c r="L263" s="113">
        <f t="shared" si="188"/>
        <v>0</v>
      </c>
      <c r="M263" s="113">
        <f t="shared" si="189"/>
        <v>0</v>
      </c>
      <c r="N263" s="116">
        <f t="shared" si="190"/>
        <v>3.25</v>
      </c>
      <c r="O263" s="117">
        <f t="shared" si="178"/>
        <v>7.6579999999999995E-2</v>
      </c>
      <c r="P263" s="117">
        <f t="shared" si="191"/>
        <v>0</v>
      </c>
      <c r="Q263" s="117">
        <f t="shared" si="192"/>
        <v>0</v>
      </c>
      <c r="R263" s="117">
        <f t="shared" si="193"/>
        <v>2.725E-2</v>
      </c>
      <c r="S263" s="116">
        <f t="shared" si="194"/>
        <v>0</v>
      </c>
      <c r="T263" s="116">
        <f t="shared" si="195"/>
        <v>0</v>
      </c>
      <c r="U263" s="116">
        <f t="shared" si="196"/>
        <v>0</v>
      </c>
      <c r="V263" s="118">
        <f t="shared" si="197"/>
        <v>0</v>
      </c>
      <c r="W263" s="683">
        <f t="shared" si="213"/>
        <v>0</v>
      </c>
      <c r="X263" s="118">
        <f t="shared" si="214"/>
        <v>0</v>
      </c>
      <c r="Y263" s="118">
        <f t="shared" si="215"/>
        <v>0</v>
      </c>
      <c r="Z263" s="118">
        <f t="shared" si="216"/>
        <v>0</v>
      </c>
      <c r="AA263" s="119">
        <v>0</v>
      </c>
      <c r="AB263" s="120">
        <f t="shared" si="198"/>
        <v>0</v>
      </c>
      <c r="AC263" s="118">
        <f t="shared" si="199"/>
        <v>0</v>
      </c>
      <c r="AD263" s="118">
        <f t="shared" si="217"/>
        <v>0</v>
      </c>
      <c r="AE263" s="118">
        <f t="shared" si="200"/>
        <v>0</v>
      </c>
      <c r="AF263" s="121">
        <f t="shared" si="218"/>
        <v>1</v>
      </c>
      <c r="AG263" s="122">
        <f t="shared" si="201"/>
        <v>0</v>
      </c>
      <c r="AH263" s="122">
        <f t="shared" si="202"/>
        <v>0</v>
      </c>
      <c r="AI263" s="122">
        <f t="shared" si="203"/>
        <v>0</v>
      </c>
      <c r="AJ263" s="122">
        <f t="shared" si="204"/>
        <v>0</v>
      </c>
      <c r="AK263" s="122">
        <f t="shared" si="205"/>
        <v>0</v>
      </c>
      <c r="AL263" s="122">
        <f t="shared" si="206"/>
        <v>0</v>
      </c>
      <c r="AM263" s="123">
        <f t="shared" si="207"/>
        <v>0</v>
      </c>
      <c r="AN263" s="123">
        <f t="shared" si="208"/>
        <v>0</v>
      </c>
      <c r="AO263" s="124">
        <f t="shared" si="209"/>
        <v>0</v>
      </c>
      <c r="AP263" s="125">
        <f t="shared" si="219"/>
        <v>0</v>
      </c>
      <c r="AU263" s="109">
        <f>IF(BA263=1,IF(AU262=MiscData!$F$1,EOMONTH(AU262,-11),EOMONTH(AU262,1)),AU262)</f>
        <v>42216</v>
      </c>
      <c r="AV263" s="108" t="str">
        <f t="shared" si="220"/>
        <v>20140101LGMLE574</v>
      </c>
      <c r="AW263" s="126" t="str">
        <f t="shared" si="221"/>
        <v>20140101TE</v>
      </c>
      <c r="AX263">
        <f>MiscData!$X$5</f>
        <v>20140101</v>
      </c>
      <c r="BA263" s="98">
        <f>IF(BA262+1&gt;MiscData!$Z$42,1,BA262+1)</f>
        <v>32</v>
      </c>
      <c r="BB263" s="98" t="str">
        <f>VLOOKUP(BA263,MiscData!$Z$5:$AB$46,2,FALSE)</f>
        <v>LGMLE574</v>
      </c>
      <c r="BC263" s="98" t="str">
        <f>VLOOKUP(BA263,MiscData!$Z$5:$AB$46,3,FALSE)</f>
        <v>TE</v>
      </c>
    </row>
    <row r="264" spans="1:55">
      <c r="A264" s="108">
        <v>247</v>
      </c>
      <c r="B264" s="109" t="str">
        <f t="shared" si="210"/>
        <v>Jul 2015</v>
      </c>
      <c r="C264" s="110" t="str">
        <f t="shared" si="211"/>
        <v>RS</v>
      </c>
      <c r="D264" s="110" t="str">
        <f t="shared" si="212"/>
        <v>LGRSE411</v>
      </c>
      <c r="E264" s="111">
        <f t="shared" si="182"/>
        <v>0</v>
      </c>
      <c r="F264" s="112">
        <v>0</v>
      </c>
      <c r="G264" s="111">
        <f t="shared" si="183"/>
        <v>0</v>
      </c>
      <c r="H264" s="111">
        <f t="shared" si="184"/>
        <v>0</v>
      </c>
      <c r="I264" s="111">
        <f t="shared" si="185"/>
        <v>0</v>
      </c>
      <c r="J264" s="111">
        <f t="shared" si="186"/>
        <v>0</v>
      </c>
      <c r="K264" s="113">
        <f t="shared" si="187"/>
        <v>0</v>
      </c>
      <c r="L264" s="113">
        <f t="shared" si="188"/>
        <v>0</v>
      </c>
      <c r="M264" s="113">
        <f t="shared" si="189"/>
        <v>0</v>
      </c>
      <c r="N264" s="116">
        <f t="shared" si="190"/>
        <v>0</v>
      </c>
      <c r="O264" s="117">
        <f t="shared" si="178"/>
        <v>8.0760000000000012E-2</v>
      </c>
      <c r="P264" s="117">
        <f t="shared" si="191"/>
        <v>0</v>
      </c>
      <c r="Q264" s="117">
        <f t="shared" si="192"/>
        <v>0</v>
      </c>
      <c r="R264" s="117">
        <f t="shared" si="193"/>
        <v>2.725E-2</v>
      </c>
      <c r="S264" s="116">
        <f t="shared" si="194"/>
        <v>0</v>
      </c>
      <c r="T264" s="116">
        <f t="shared" si="195"/>
        <v>0</v>
      </c>
      <c r="U264" s="116">
        <f t="shared" si="196"/>
        <v>0</v>
      </c>
      <c r="V264" s="118">
        <f t="shared" si="197"/>
        <v>0</v>
      </c>
      <c r="W264" s="118">
        <f t="shared" si="213"/>
        <v>0</v>
      </c>
      <c r="X264" s="118">
        <f t="shared" si="214"/>
        <v>0</v>
      </c>
      <c r="Y264" s="118">
        <f t="shared" si="215"/>
        <v>0</v>
      </c>
      <c r="Z264" s="118">
        <f t="shared" si="216"/>
        <v>0</v>
      </c>
      <c r="AA264" s="119">
        <v>0</v>
      </c>
      <c r="AB264" s="120">
        <f t="shared" si="198"/>
        <v>0</v>
      </c>
      <c r="AC264" s="118">
        <f t="shared" si="199"/>
        <v>0</v>
      </c>
      <c r="AD264" s="118">
        <f t="shared" si="217"/>
        <v>0</v>
      </c>
      <c r="AE264" s="118">
        <f t="shared" si="200"/>
        <v>0</v>
      </c>
      <c r="AF264" s="121">
        <f t="shared" si="218"/>
        <v>1</v>
      </c>
      <c r="AG264" s="122">
        <f t="shared" si="201"/>
        <v>0</v>
      </c>
      <c r="AH264" s="122">
        <f t="shared" si="202"/>
        <v>0</v>
      </c>
      <c r="AI264" s="122">
        <f t="shared" si="203"/>
        <v>0</v>
      </c>
      <c r="AJ264" s="122">
        <f t="shared" si="204"/>
        <v>0</v>
      </c>
      <c r="AK264" s="122">
        <f t="shared" si="205"/>
        <v>0</v>
      </c>
      <c r="AL264" s="122">
        <f t="shared" si="206"/>
        <v>0</v>
      </c>
      <c r="AM264" s="123">
        <f t="shared" si="207"/>
        <v>0</v>
      </c>
      <c r="AN264" s="123">
        <f t="shared" si="208"/>
        <v>0</v>
      </c>
      <c r="AO264" s="124">
        <f t="shared" si="209"/>
        <v>0</v>
      </c>
      <c r="AP264" s="125">
        <f t="shared" si="219"/>
        <v>0</v>
      </c>
      <c r="AU264" s="109">
        <f>IF(BA264=1,IF(AU263=MiscData!$F$1,EOMONTH(AU263,-11),EOMONTH(AU263,1)),AU263)</f>
        <v>42216</v>
      </c>
      <c r="AV264" s="108" t="str">
        <f t="shared" si="220"/>
        <v>20140101LGRSE411</v>
      </c>
      <c r="AW264" s="126" t="str">
        <f t="shared" si="221"/>
        <v>20140101RS</v>
      </c>
      <c r="AX264">
        <f>MiscData!$X$5</f>
        <v>20140101</v>
      </c>
      <c r="BA264" s="98">
        <f>IF(BA263+1&gt;MiscData!$Z$42,1,BA263+1)</f>
        <v>33</v>
      </c>
      <c r="BB264" s="98" t="str">
        <f>VLOOKUP(BA264,MiscData!$Z$5:$AB$46,2,FALSE)</f>
        <v>LGRSE411</v>
      </c>
      <c r="BC264" s="98" t="str">
        <f>VLOOKUP(BA264,MiscData!$Z$5:$AB$46,3,FALSE)</f>
        <v>RS</v>
      </c>
    </row>
    <row r="265" spans="1:55">
      <c r="A265" s="108">
        <v>248</v>
      </c>
      <c r="B265" s="109" t="str">
        <f t="shared" si="210"/>
        <v>Jul 2015</v>
      </c>
      <c r="C265" s="110" t="str">
        <f t="shared" si="211"/>
        <v>RS</v>
      </c>
      <c r="D265" s="110" t="str">
        <f t="shared" si="212"/>
        <v>LGRSE511</v>
      </c>
      <c r="E265" s="111">
        <f t="shared" si="182"/>
        <v>360372</v>
      </c>
      <c r="F265" s="112">
        <v>0</v>
      </c>
      <c r="G265" s="111">
        <f t="shared" si="183"/>
        <v>0</v>
      </c>
      <c r="H265" s="111">
        <f t="shared" si="184"/>
        <v>0</v>
      </c>
      <c r="I265" s="111">
        <f t="shared" si="185"/>
        <v>0</v>
      </c>
      <c r="J265" s="111">
        <f t="shared" si="186"/>
        <v>517281280</v>
      </c>
      <c r="K265" s="113">
        <f t="shared" si="187"/>
        <v>0</v>
      </c>
      <c r="L265" s="113">
        <f t="shared" si="188"/>
        <v>0</v>
      </c>
      <c r="M265" s="113">
        <f t="shared" si="189"/>
        <v>0</v>
      </c>
      <c r="N265" s="116">
        <f t="shared" si="190"/>
        <v>10.75</v>
      </c>
      <c r="O265" s="117">
        <f t="shared" si="178"/>
        <v>8.0760000000000012E-2</v>
      </c>
      <c r="P265" s="117">
        <f t="shared" si="191"/>
        <v>0</v>
      </c>
      <c r="Q265" s="117">
        <f t="shared" si="192"/>
        <v>0</v>
      </c>
      <c r="R265" s="117">
        <f t="shared" si="193"/>
        <v>2.725E-2</v>
      </c>
      <c r="S265" s="116">
        <f t="shared" si="194"/>
        <v>0</v>
      </c>
      <c r="T265" s="116">
        <f t="shared" si="195"/>
        <v>0</v>
      </c>
      <c r="U265" s="116">
        <f t="shared" si="196"/>
        <v>0</v>
      </c>
      <c r="V265" s="118">
        <f t="shared" si="197"/>
        <v>3873999</v>
      </c>
      <c r="W265" s="118">
        <f t="shared" si="213"/>
        <v>41775636.170000002</v>
      </c>
      <c r="X265" s="118">
        <f t="shared" si="214"/>
        <v>0</v>
      </c>
      <c r="Y265" s="118">
        <f t="shared" si="215"/>
        <v>0</v>
      </c>
      <c r="Z265" s="118">
        <f t="shared" si="216"/>
        <v>0</v>
      </c>
      <c r="AA265" s="119">
        <v>0</v>
      </c>
      <c r="AB265" s="120">
        <f t="shared" si="198"/>
        <v>0</v>
      </c>
      <c r="AC265" s="118">
        <f t="shared" si="199"/>
        <v>0</v>
      </c>
      <c r="AD265" s="118">
        <f t="shared" si="217"/>
        <v>45649635.170000002</v>
      </c>
      <c r="AE265" s="118">
        <f t="shared" si="200"/>
        <v>45652280</v>
      </c>
      <c r="AF265" s="121">
        <f t="shared" si="218"/>
        <v>1.0000579999999999</v>
      </c>
      <c r="AG265" s="122">
        <f t="shared" si="201"/>
        <v>1013282</v>
      </c>
      <c r="AH265" s="122">
        <f t="shared" si="202"/>
        <v>851950</v>
      </c>
      <c r="AI265" s="122">
        <f t="shared" si="203"/>
        <v>3267026</v>
      </c>
      <c r="AJ265" s="122">
        <f t="shared" si="204"/>
        <v>0</v>
      </c>
      <c r="AK265" s="122">
        <f t="shared" si="205"/>
        <v>0</v>
      </c>
      <c r="AL265" s="122">
        <f t="shared" si="206"/>
        <v>50784538</v>
      </c>
      <c r="AM265" s="123">
        <f t="shared" si="207"/>
        <v>50781893.170000002</v>
      </c>
      <c r="AN265" s="123">
        <f t="shared" si="181"/>
        <v>2644.8299999982119</v>
      </c>
      <c r="AO265" s="124">
        <f t="shared" si="209"/>
        <v>14095914.880000001</v>
      </c>
      <c r="AP265" s="125">
        <f t="shared" si="219"/>
        <v>27679721.289999999</v>
      </c>
      <c r="AU265" s="109">
        <f>IF(BA265=1,IF(AU264=MiscData!$F$1,EOMONTH(AU264,-11),EOMONTH(AU264,1)),AU264)</f>
        <v>42216</v>
      </c>
      <c r="AV265" s="108" t="str">
        <f t="shared" si="220"/>
        <v>20140101LGRSE511</v>
      </c>
      <c r="AW265" s="126" t="str">
        <f t="shared" si="221"/>
        <v>20140101RS</v>
      </c>
      <c r="AX265">
        <f>MiscData!$X$5</f>
        <v>20140101</v>
      </c>
      <c r="BA265" s="98">
        <f>IF(BA264+1&gt;MiscData!$Z$42,1,BA264+1)</f>
        <v>34</v>
      </c>
      <c r="BB265" s="98" t="str">
        <f>VLOOKUP(BA265,MiscData!$Z$5:$AB$46,2,FALSE)</f>
        <v>LGRSE511</v>
      </c>
      <c r="BC265" s="98" t="str">
        <f>VLOOKUP(BA265,MiscData!$Z$5:$AB$46,3,FALSE)</f>
        <v>RS</v>
      </c>
    </row>
    <row r="266" spans="1:55">
      <c r="A266" s="108">
        <v>249</v>
      </c>
      <c r="B266" s="109" t="str">
        <f t="shared" si="210"/>
        <v>Jul 2015</v>
      </c>
      <c r="C266" s="110" t="str">
        <f t="shared" si="211"/>
        <v>RS</v>
      </c>
      <c r="D266" s="110" t="str">
        <f t="shared" si="212"/>
        <v>LGRSE519</v>
      </c>
      <c r="E266" s="111">
        <f t="shared" si="182"/>
        <v>0</v>
      </c>
      <c r="F266" s="112">
        <v>0</v>
      </c>
      <c r="G266" s="111">
        <f t="shared" si="183"/>
        <v>0</v>
      </c>
      <c r="H266" s="111">
        <f t="shared" si="184"/>
        <v>0</v>
      </c>
      <c r="I266" s="111">
        <f t="shared" si="185"/>
        <v>0</v>
      </c>
      <c r="J266" s="111">
        <f t="shared" si="186"/>
        <v>0</v>
      </c>
      <c r="K266" s="113">
        <f t="shared" si="187"/>
        <v>0</v>
      </c>
      <c r="L266" s="113">
        <f t="shared" si="188"/>
        <v>0</v>
      </c>
      <c r="M266" s="113">
        <f t="shared" si="189"/>
        <v>0</v>
      </c>
      <c r="N266" s="116">
        <f t="shared" si="190"/>
        <v>10.75</v>
      </c>
      <c r="O266" s="117">
        <f t="shared" si="178"/>
        <v>8.0760000000000012E-2</v>
      </c>
      <c r="P266" s="117">
        <f t="shared" si="191"/>
        <v>0</v>
      </c>
      <c r="Q266" s="117">
        <f t="shared" si="192"/>
        <v>0</v>
      </c>
      <c r="R266" s="117">
        <f t="shared" si="193"/>
        <v>2.725E-2</v>
      </c>
      <c r="S266" s="116">
        <f t="shared" si="194"/>
        <v>0</v>
      </c>
      <c r="T266" s="116">
        <f t="shared" si="195"/>
        <v>0</v>
      </c>
      <c r="U266" s="116">
        <f t="shared" si="196"/>
        <v>0</v>
      </c>
      <c r="V266" s="118">
        <f t="shared" si="197"/>
        <v>0</v>
      </c>
      <c r="W266" s="118">
        <f t="shared" si="213"/>
        <v>0</v>
      </c>
      <c r="X266" s="118">
        <f t="shared" si="214"/>
        <v>0</v>
      </c>
      <c r="Y266" s="118">
        <f t="shared" si="215"/>
        <v>0</v>
      </c>
      <c r="Z266" s="118">
        <f t="shared" si="216"/>
        <v>0</v>
      </c>
      <c r="AA266" s="119">
        <v>0</v>
      </c>
      <c r="AB266" s="120">
        <f t="shared" si="198"/>
        <v>0</v>
      </c>
      <c r="AC266" s="118">
        <f t="shared" si="199"/>
        <v>0</v>
      </c>
      <c r="AD266" s="118">
        <f t="shared" si="217"/>
        <v>0</v>
      </c>
      <c r="AE266" s="118">
        <f t="shared" si="200"/>
        <v>0</v>
      </c>
      <c r="AF266" s="121">
        <f t="shared" si="218"/>
        <v>1</v>
      </c>
      <c r="AG266" s="122">
        <f t="shared" si="201"/>
        <v>0</v>
      </c>
      <c r="AH266" s="122">
        <f t="shared" si="202"/>
        <v>0</v>
      </c>
      <c r="AI266" s="122">
        <f t="shared" si="203"/>
        <v>0</v>
      </c>
      <c r="AJ266" s="122">
        <f t="shared" si="204"/>
        <v>0</v>
      </c>
      <c r="AK266" s="122">
        <f t="shared" si="205"/>
        <v>0</v>
      </c>
      <c r="AL266" s="122">
        <f t="shared" si="206"/>
        <v>0</v>
      </c>
      <c r="AM266" s="123">
        <f t="shared" si="207"/>
        <v>0</v>
      </c>
      <c r="AN266" s="123">
        <f t="shared" si="181"/>
        <v>0</v>
      </c>
      <c r="AO266" s="124">
        <f t="shared" si="209"/>
        <v>0</v>
      </c>
      <c r="AP266" s="125">
        <f t="shared" si="219"/>
        <v>0</v>
      </c>
      <c r="AU266" s="109">
        <f>IF(BA266=1,IF(AU265=MiscData!$F$1,EOMONTH(AU265,-11),EOMONTH(AU265,1)),AU265)</f>
        <v>42216</v>
      </c>
      <c r="AV266" s="108" t="str">
        <f t="shared" si="220"/>
        <v>20140101LGRSE519</v>
      </c>
      <c r="AW266" s="126" t="str">
        <f t="shared" si="221"/>
        <v>20140101RS</v>
      </c>
      <c r="AX266">
        <f>MiscData!$X$5</f>
        <v>20140101</v>
      </c>
      <c r="BA266" s="98">
        <f>IF(BA265+1&gt;MiscData!$Z$42,1,BA265+1)</f>
        <v>35</v>
      </c>
      <c r="BB266" s="98" t="str">
        <f>VLOOKUP(BA266,MiscData!$Z$5:$AB$46,2,FALSE)</f>
        <v>LGRSE519</v>
      </c>
      <c r="BC266" s="98" t="str">
        <f>VLOOKUP(BA266,MiscData!$Z$5:$AB$46,3,FALSE)</f>
        <v>RS</v>
      </c>
    </row>
    <row r="267" spans="1:55">
      <c r="A267" s="108">
        <v>250</v>
      </c>
      <c r="B267" s="109" t="str">
        <f t="shared" si="210"/>
        <v>Jul 2015</v>
      </c>
      <c r="C267" s="110" t="s">
        <v>13</v>
      </c>
      <c r="D267" s="110" t="str">
        <f t="shared" si="212"/>
        <v>LGRSE540</v>
      </c>
      <c r="E267" s="111">
        <f t="shared" si="182"/>
        <v>0</v>
      </c>
      <c r="F267" s="112">
        <v>0</v>
      </c>
      <c r="G267" s="111">
        <f t="shared" si="183"/>
        <v>0</v>
      </c>
      <c r="H267" s="111">
        <f t="shared" si="184"/>
        <v>0</v>
      </c>
      <c r="I267" s="111">
        <f t="shared" si="185"/>
        <v>0</v>
      </c>
      <c r="J267" s="111">
        <f t="shared" si="186"/>
        <v>0</v>
      </c>
      <c r="K267" s="113">
        <f t="shared" si="187"/>
        <v>0</v>
      </c>
      <c r="L267" s="113">
        <f t="shared" si="188"/>
        <v>0</v>
      </c>
      <c r="M267" s="113">
        <f t="shared" si="189"/>
        <v>0</v>
      </c>
      <c r="N267" s="116">
        <f t="shared" si="190"/>
        <v>10.75</v>
      </c>
      <c r="O267" s="117">
        <f t="shared" si="178"/>
        <v>8.0760000000000012E-2</v>
      </c>
      <c r="P267" s="117">
        <f t="shared" si="191"/>
        <v>0</v>
      </c>
      <c r="Q267" s="117">
        <f t="shared" si="192"/>
        <v>0</v>
      </c>
      <c r="R267" s="117">
        <f t="shared" si="193"/>
        <v>2.725E-2</v>
      </c>
      <c r="S267" s="116">
        <f t="shared" si="194"/>
        <v>0</v>
      </c>
      <c r="T267" s="116">
        <f t="shared" si="195"/>
        <v>0</v>
      </c>
      <c r="U267" s="116">
        <f t="shared" si="196"/>
        <v>0</v>
      </c>
      <c r="V267" s="118">
        <f t="shared" si="197"/>
        <v>0</v>
      </c>
      <c r="W267" s="118">
        <f t="shared" si="213"/>
        <v>0</v>
      </c>
      <c r="X267" s="118">
        <f t="shared" si="214"/>
        <v>0</v>
      </c>
      <c r="Y267" s="118">
        <f t="shared" si="215"/>
        <v>0</v>
      </c>
      <c r="Z267" s="118">
        <f t="shared" si="216"/>
        <v>0</v>
      </c>
      <c r="AA267" s="119">
        <v>0</v>
      </c>
      <c r="AB267" s="120">
        <f t="shared" si="198"/>
        <v>0</v>
      </c>
      <c r="AC267" s="118">
        <f t="shared" si="199"/>
        <v>0</v>
      </c>
      <c r="AD267" s="118">
        <f t="shared" si="217"/>
        <v>0</v>
      </c>
      <c r="AE267" s="118">
        <f t="shared" si="200"/>
        <v>0</v>
      </c>
      <c r="AF267" s="121">
        <f t="shared" si="218"/>
        <v>1</v>
      </c>
      <c r="AG267" s="122">
        <f t="shared" si="201"/>
        <v>0</v>
      </c>
      <c r="AH267" s="122">
        <f t="shared" si="202"/>
        <v>0</v>
      </c>
      <c r="AI267" s="122">
        <f t="shared" si="203"/>
        <v>0</v>
      </c>
      <c r="AJ267" s="122">
        <f t="shared" si="204"/>
        <v>0</v>
      </c>
      <c r="AK267" s="122">
        <f t="shared" si="205"/>
        <v>0</v>
      </c>
      <c r="AL267" s="122">
        <f t="shared" si="206"/>
        <v>0</v>
      </c>
      <c r="AM267" s="123">
        <f t="shared" si="207"/>
        <v>0</v>
      </c>
      <c r="AN267" s="123">
        <f t="shared" si="181"/>
        <v>0</v>
      </c>
      <c r="AO267" s="124">
        <f t="shared" si="209"/>
        <v>0</v>
      </c>
      <c r="AP267" s="125">
        <f t="shared" si="219"/>
        <v>0</v>
      </c>
      <c r="AU267" s="109">
        <f>IF(BA267=1,IF(AU266=MiscData!$F$1,EOMONTH(AU266,-11),EOMONTH(AU266,1)),AU266)</f>
        <v>42216</v>
      </c>
      <c r="AV267" s="108" t="str">
        <f t="shared" si="220"/>
        <v>20140101LGRSE540</v>
      </c>
      <c r="AW267" s="126" t="str">
        <f t="shared" si="221"/>
        <v>20140101VFD</v>
      </c>
      <c r="AX267">
        <f>MiscData!$X$5</f>
        <v>20140101</v>
      </c>
      <c r="BA267" s="98">
        <f>IF(BA266+1&gt;MiscData!$Z$42,1,BA266+1)</f>
        <v>36</v>
      </c>
      <c r="BB267" s="98" t="str">
        <f>VLOOKUP(BA267,MiscData!$Z$5:$AB$46,2,FALSE)</f>
        <v>LGRSE540</v>
      </c>
      <c r="BC267" s="98" t="str">
        <f>VLOOKUP(BA267,MiscData!$Z$5:$AB$46,3,FALSE)</f>
        <v>VFD</v>
      </c>
    </row>
    <row r="268" spans="1:55">
      <c r="A268" s="108">
        <v>251</v>
      </c>
      <c r="B268" s="109" t="str">
        <f t="shared" si="210"/>
        <v>Jul 2015</v>
      </c>
      <c r="C268" s="110" t="str">
        <f t="shared" si="211"/>
        <v>LEV</v>
      </c>
      <c r="D268" s="110" t="str">
        <f t="shared" si="212"/>
        <v>LGRSE543</v>
      </c>
      <c r="E268" s="111">
        <f t="shared" si="182"/>
        <v>20</v>
      </c>
      <c r="F268" s="112">
        <v>0</v>
      </c>
      <c r="G268" s="111">
        <f t="shared" si="183"/>
        <v>17747</v>
      </c>
      <c r="H268" s="111">
        <f t="shared" si="184"/>
        <v>6131</v>
      </c>
      <c r="I268" s="111">
        <f t="shared" si="185"/>
        <v>6208</v>
      </c>
      <c r="J268" s="111">
        <f t="shared" si="186"/>
        <v>30086</v>
      </c>
      <c r="K268" s="113">
        <f t="shared" si="187"/>
        <v>0</v>
      </c>
      <c r="L268" s="113">
        <f t="shared" si="188"/>
        <v>0</v>
      </c>
      <c r="M268" s="113">
        <f t="shared" si="189"/>
        <v>0</v>
      </c>
      <c r="N268" s="116">
        <f t="shared" si="190"/>
        <v>10.75</v>
      </c>
      <c r="O268" s="117">
        <f t="shared" si="178"/>
        <v>5.8200000000000002E-2</v>
      </c>
      <c r="P268" s="117">
        <f t="shared" si="191"/>
        <v>7.8990000000000005E-2</v>
      </c>
      <c r="Q268" s="117">
        <f t="shared" si="192"/>
        <v>0.14451000000000003</v>
      </c>
      <c r="R268" s="117">
        <f t="shared" si="193"/>
        <v>2.725E-2</v>
      </c>
      <c r="S268" s="116">
        <f t="shared" si="194"/>
        <v>0</v>
      </c>
      <c r="T268" s="116">
        <f t="shared" si="195"/>
        <v>0</v>
      </c>
      <c r="U268" s="116">
        <f t="shared" si="196"/>
        <v>0</v>
      </c>
      <c r="V268" s="118">
        <f t="shared" si="197"/>
        <v>215</v>
      </c>
      <c r="W268" s="118">
        <f t="shared" si="213"/>
        <v>2414.2800000000002</v>
      </c>
      <c r="X268" s="118">
        <f t="shared" si="214"/>
        <v>0</v>
      </c>
      <c r="Y268" s="118">
        <f t="shared" si="215"/>
        <v>0</v>
      </c>
      <c r="Z268" s="118">
        <f t="shared" si="216"/>
        <v>0</v>
      </c>
      <c r="AA268" s="119">
        <v>0</v>
      </c>
      <c r="AB268" s="120">
        <f t="shared" si="198"/>
        <v>0</v>
      </c>
      <c r="AC268" s="118">
        <f t="shared" si="199"/>
        <v>0</v>
      </c>
      <c r="AD268" s="118">
        <f t="shared" si="217"/>
        <v>2629.28</v>
      </c>
      <c r="AE268" s="118">
        <f t="shared" si="200"/>
        <v>0</v>
      </c>
      <c r="AF268" s="121">
        <f t="shared" si="218"/>
        <v>0</v>
      </c>
      <c r="AG268" s="122">
        <f t="shared" si="201"/>
        <v>0</v>
      </c>
      <c r="AH268" s="122">
        <f t="shared" si="202"/>
        <v>0</v>
      </c>
      <c r="AI268" s="122">
        <f t="shared" si="203"/>
        <v>0</v>
      </c>
      <c r="AJ268" s="122">
        <f t="shared" si="204"/>
        <v>0</v>
      </c>
      <c r="AK268" s="122">
        <f t="shared" si="205"/>
        <v>0</v>
      </c>
      <c r="AL268" s="122">
        <f t="shared" si="206"/>
        <v>0</v>
      </c>
      <c r="AM268" s="123">
        <f t="shared" si="207"/>
        <v>2629.28</v>
      </c>
      <c r="AN268" s="123">
        <f t="shared" si="181"/>
        <v>-2629.28</v>
      </c>
      <c r="AO268" s="124">
        <f t="shared" si="209"/>
        <v>819.84</v>
      </c>
      <c r="AP268" s="125">
        <f t="shared" si="219"/>
        <v>1594.44</v>
      </c>
      <c r="AU268" s="109">
        <f>IF(BA268=1,IF(AU267=MiscData!$F$1,EOMONTH(AU267,-11),EOMONTH(AU267,1)),AU267)</f>
        <v>42216</v>
      </c>
      <c r="AV268" s="108" t="str">
        <f t="shared" si="220"/>
        <v>20140101LGRSE543</v>
      </c>
      <c r="AW268" s="126" t="str">
        <f t="shared" si="221"/>
        <v>20140101LEV</v>
      </c>
      <c r="AX268">
        <f>MiscData!$X$5</f>
        <v>20140101</v>
      </c>
      <c r="BA268" s="98">
        <f>IF(BA267+1&gt;MiscData!$Z$42,1,BA267+1)</f>
        <v>37</v>
      </c>
      <c r="BB268" s="98" t="str">
        <f>VLOOKUP(BA268,MiscData!$Z$5:$AB$46,2,FALSE)</f>
        <v>LGRSE543</v>
      </c>
      <c r="BC268" s="98" t="str">
        <f>VLOOKUP(BA268,MiscData!$Z$5:$AB$46,3,FALSE)</f>
        <v>LEV</v>
      </c>
    </row>
    <row r="269" spans="1:55">
      <c r="A269" s="108">
        <v>252</v>
      </c>
      <c r="B269" s="109" t="str">
        <f t="shared" si="210"/>
        <v>Jul 2015</v>
      </c>
      <c r="C269" s="110" t="str">
        <f t="shared" si="211"/>
        <v>LEV</v>
      </c>
      <c r="D269" s="110" t="str">
        <f t="shared" si="212"/>
        <v>LGRSE547</v>
      </c>
      <c r="E269" s="111">
        <f t="shared" si="182"/>
        <v>0</v>
      </c>
      <c r="F269" s="112">
        <v>0</v>
      </c>
      <c r="G269" s="111">
        <f t="shared" si="183"/>
        <v>0</v>
      </c>
      <c r="H269" s="111">
        <f t="shared" si="184"/>
        <v>0</v>
      </c>
      <c r="I269" s="111">
        <f t="shared" si="185"/>
        <v>0</v>
      </c>
      <c r="J269" s="111">
        <f t="shared" si="186"/>
        <v>0</v>
      </c>
      <c r="K269" s="113">
        <f t="shared" si="187"/>
        <v>0</v>
      </c>
      <c r="L269" s="113">
        <f t="shared" si="188"/>
        <v>0</v>
      </c>
      <c r="M269" s="113">
        <f t="shared" si="189"/>
        <v>0</v>
      </c>
      <c r="N269" s="116">
        <f t="shared" si="190"/>
        <v>10.75</v>
      </c>
      <c r="O269" s="117">
        <f t="shared" si="178"/>
        <v>5.8200000000000002E-2</v>
      </c>
      <c r="P269" s="117">
        <f t="shared" si="191"/>
        <v>7.8990000000000005E-2</v>
      </c>
      <c r="Q269" s="117">
        <f t="shared" si="192"/>
        <v>0.14451000000000003</v>
      </c>
      <c r="R269" s="117">
        <f t="shared" si="193"/>
        <v>2.725E-2</v>
      </c>
      <c r="S269" s="116">
        <f t="shared" si="194"/>
        <v>0</v>
      </c>
      <c r="T269" s="116">
        <f t="shared" si="195"/>
        <v>0</v>
      </c>
      <c r="U269" s="116">
        <f t="shared" si="196"/>
        <v>0</v>
      </c>
      <c r="V269" s="118">
        <f t="shared" si="197"/>
        <v>0</v>
      </c>
      <c r="W269" s="118">
        <f t="shared" si="213"/>
        <v>0</v>
      </c>
      <c r="X269" s="118">
        <f t="shared" si="214"/>
        <v>0</v>
      </c>
      <c r="Y269" s="118">
        <f t="shared" si="215"/>
        <v>0</v>
      </c>
      <c r="Z269" s="118">
        <f t="shared" si="216"/>
        <v>0</v>
      </c>
      <c r="AA269" s="119">
        <v>0</v>
      </c>
      <c r="AB269" s="120">
        <f t="shared" si="198"/>
        <v>0</v>
      </c>
      <c r="AC269" s="118">
        <f t="shared" si="199"/>
        <v>0</v>
      </c>
      <c r="AD269" s="118">
        <f t="shared" si="217"/>
        <v>0</v>
      </c>
      <c r="AE269" s="118">
        <f t="shared" si="200"/>
        <v>0</v>
      </c>
      <c r="AF269" s="121">
        <f t="shared" si="218"/>
        <v>1</v>
      </c>
      <c r="AG269" s="122">
        <f t="shared" si="201"/>
        <v>0</v>
      </c>
      <c r="AH269" s="122">
        <f t="shared" si="202"/>
        <v>0</v>
      </c>
      <c r="AI269" s="122">
        <f t="shared" si="203"/>
        <v>0</v>
      </c>
      <c r="AJ269" s="122">
        <f t="shared" si="204"/>
        <v>0</v>
      </c>
      <c r="AK269" s="122">
        <f t="shared" si="205"/>
        <v>0</v>
      </c>
      <c r="AL269" s="122">
        <f t="shared" si="206"/>
        <v>0</v>
      </c>
      <c r="AM269" s="123">
        <f t="shared" si="207"/>
        <v>0</v>
      </c>
      <c r="AN269" s="123">
        <f t="shared" si="181"/>
        <v>0</v>
      </c>
      <c r="AO269" s="124">
        <f t="shared" si="209"/>
        <v>0</v>
      </c>
      <c r="AP269" s="125">
        <f t="shared" si="219"/>
        <v>0</v>
      </c>
      <c r="AU269" s="109">
        <f>IF(BA269=1,IF(AU268=MiscData!$F$1,EOMONTH(AU268,-11),EOMONTH(AU268,1)),AU268)</f>
        <v>42216</v>
      </c>
      <c r="AV269" s="108" t="str">
        <f t="shared" si="220"/>
        <v>20140101LGRSE547</v>
      </c>
      <c r="AW269" s="126" t="str">
        <f t="shared" si="221"/>
        <v>20140101LEV</v>
      </c>
      <c r="AX269">
        <f>MiscData!$X$5</f>
        <v>20140101</v>
      </c>
      <c r="BA269" s="98">
        <f>IF(BA268+1&gt;MiscData!$Z$42,1,BA268+1)</f>
        <v>38</v>
      </c>
      <c r="BB269" s="98" t="str">
        <f>VLOOKUP(BA269,MiscData!$Z$5:$AB$46,2,FALSE)</f>
        <v>LGRSE547</v>
      </c>
      <c r="BC269" s="98" t="str">
        <f>VLOOKUP(BA269,MiscData!$Z$5:$AB$46,3,FALSE)</f>
        <v>LEV</v>
      </c>
    </row>
    <row r="270" spans="1:55">
      <c r="A270" s="108">
        <v>253</v>
      </c>
      <c r="B270" s="109" t="str">
        <f t="shared" si="210"/>
        <v>Aug 2015</v>
      </c>
      <c r="C270" s="110" t="str">
        <f t="shared" si="211"/>
        <v>FLSP</v>
      </c>
      <c r="D270" s="110" t="str">
        <f t="shared" si="212"/>
        <v>LGINE682</v>
      </c>
      <c r="E270" s="111">
        <f t="shared" si="182"/>
        <v>0</v>
      </c>
      <c r="F270" s="112">
        <v>0</v>
      </c>
      <c r="G270" s="111">
        <f t="shared" si="183"/>
        <v>0</v>
      </c>
      <c r="H270" s="111">
        <f t="shared" si="184"/>
        <v>0</v>
      </c>
      <c r="I270" s="111">
        <f t="shared" si="185"/>
        <v>0</v>
      </c>
      <c r="J270" s="111">
        <f t="shared" si="186"/>
        <v>0</v>
      </c>
      <c r="K270" s="113">
        <f t="shared" si="187"/>
        <v>0</v>
      </c>
      <c r="L270" s="113">
        <f t="shared" si="188"/>
        <v>0</v>
      </c>
      <c r="M270" s="113">
        <f t="shared" si="189"/>
        <v>0</v>
      </c>
      <c r="N270" s="116">
        <f t="shared" si="190"/>
        <v>750</v>
      </c>
      <c r="O270" s="117">
        <f t="shared" si="178"/>
        <v>3.61E-2</v>
      </c>
      <c r="P270" s="117">
        <f t="shared" si="191"/>
        <v>0</v>
      </c>
      <c r="Q270" s="117">
        <f t="shared" si="192"/>
        <v>0</v>
      </c>
      <c r="R270" s="117">
        <f t="shared" si="193"/>
        <v>2.725E-2</v>
      </c>
      <c r="S270" s="116">
        <f t="shared" si="194"/>
        <v>1.8900000000000001</v>
      </c>
      <c r="T270" s="116">
        <f t="shared" si="195"/>
        <v>1.8900000000000001</v>
      </c>
      <c r="U270" s="116">
        <f t="shared" si="196"/>
        <v>2.94</v>
      </c>
      <c r="V270" s="118">
        <f t="shared" si="197"/>
        <v>0</v>
      </c>
      <c r="W270" s="118">
        <f t="shared" si="213"/>
        <v>0</v>
      </c>
      <c r="X270" s="118">
        <f t="shared" si="214"/>
        <v>0</v>
      </c>
      <c r="Y270" s="118">
        <f t="shared" si="215"/>
        <v>0</v>
      </c>
      <c r="Z270" s="118">
        <f t="shared" si="216"/>
        <v>0</v>
      </c>
      <c r="AA270" s="119">
        <v>0</v>
      </c>
      <c r="AB270" s="120">
        <f t="shared" si="198"/>
        <v>0</v>
      </c>
      <c r="AC270" s="118">
        <f t="shared" si="199"/>
        <v>0</v>
      </c>
      <c r="AD270" s="118">
        <f t="shared" si="217"/>
        <v>0</v>
      </c>
      <c r="AE270" s="118">
        <f t="shared" si="200"/>
        <v>0</v>
      </c>
      <c r="AF270" s="121">
        <f t="shared" si="218"/>
        <v>1</v>
      </c>
      <c r="AG270" s="122">
        <f t="shared" si="201"/>
        <v>0</v>
      </c>
      <c r="AH270" s="122">
        <f t="shared" si="202"/>
        <v>0</v>
      </c>
      <c r="AI270" s="122">
        <f t="shared" si="203"/>
        <v>0</v>
      </c>
      <c r="AJ270" s="122">
        <f t="shared" si="204"/>
        <v>0</v>
      </c>
      <c r="AK270" s="122">
        <f t="shared" si="205"/>
        <v>0</v>
      </c>
      <c r="AL270" s="122">
        <f t="shared" si="206"/>
        <v>0</v>
      </c>
      <c r="AM270" s="123">
        <f t="shared" si="207"/>
        <v>0</v>
      </c>
      <c r="AN270" s="123">
        <f>ROUND(AL270-AM270,2)</f>
        <v>0</v>
      </c>
      <c r="AO270" s="124">
        <f t="shared" si="209"/>
        <v>0</v>
      </c>
      <c r="AP270" s="125">
        <f t="shared" si="219"/>
        <v>0</v>
      </c>
      <c r="AU270" s="109">
        <f>IF(BA270=1,IF(AU269=MiscData!$F$1,EOMONTH(AU269,-11),EOMONTH(AU269,1)),AU269)</f>
        <v>42247</v>
      </c>
      <c r="AV270" s="108" t="str">
        <f t="shared" si="220"/>
        <v>20140101LGINE682</v>
      </c>
      <c r="AW270" s="126" t="str">
        <f t="shared" si="221"/>
        <v>20140101FLSP</v>
      </c>
      <c r="AX270">
        <f>MiscData!$X$5</f>
        <v>20140101</v>
      </c>
      <c r="BA270" s="98">
        <f>IF(BA269+1&gt;MiscData!$Z$42,1,BA269+1)</f>
        <v>1</v>
      </c>
      <c r="BB270" s="98" t="str">
        <f>VLOOKUP(BA270,MiscData!$Z$5:$AB$46,2,FALSE)</f>
        <v>LGINE682</v>
      </c>
      <c r="BC270" s="98" t="str">
        <f>VLOOKUP(BA270,MiscData!$Z$5:$AB$46,3,FALSE)</f>
        <v>FLSP</v>
      </c>
    </row>
    <row r="271" spans="1:55">
      <c r="A271" s="108">
        <v>254</v>
      </c>
      <c r="B271" s="109" t="str">
        <f t="shared" si="210"/>
        <v>Aug 2015</v>
      </c>
      <c r="C271" s="110" t="str">
        <f t="shared" si="211"/>
        <v>FLST</v>
      </c>
      <c r="D271" s="110" t="str">
        <f t="shared" si="212"/>
        <v>LGINE683</v>
      </c>
      <c r="E271" s="111">
        <f t="shared" si="182"/>
        <v>0</v>
      </c>
      <c r="F271" s="112">
        <v>0</v>
      </c>
      <c r="G271" s="111">
        <f t="shared" si="183"/>
        <v>0</v>
      </c>
      <c r="H271" s="111">
        <f t="shared" si="184"/>
        <v>0</v>
      </c>
      <c r="I271" s="111">
        <f t="shared" si="185"/>
        <v>0</v>
      </c>
      <c r="J271" s="111">
        <f t="shared" si="186"/>
        <v>0</v>
      </c>
      <c r="K271" s="113">
        <f t="shared" si="187"/>
        <v>0</v>
      </c>
      <c r="L271" s="113">
        <f t="shared" si="188"/>
        <v>0</v>
      </c>
      <c r="M271" s="113">
        <f t="shared" si="189"/>
        <v>0</v>
      </c>
      <c r="N271" s="116">
        <f t="shared" si="190"/>
        <v>750</v>
      </c>
      <c r="O271" s="117">
        <f t="shared" si="178"/>
        <v>3.61E-2</v>
      </c>
      <c r="P271" s="117">
        <f t="shared" si="191"/>
        <v>0</v>
      </c>
      <c r="Q271" s="117">
        <f t="shared" si="192"/>
        <v>0</v>
      </c>
      <c r="R271" s="117">
        <f t="shared" si="193"/>
        <v>2.725E-2</v>
      </c>
      <c r="S271" s="116">
        <f t="shared" si="194"/>
        <v>1.1400000000000001</v>
      </c>
      <c r="T271" s="116">
        <f t="shared" si="195"/>
        <v>1.8900000000000001</v>
      </c>
      <c r="U271" s="116">
        <f t="shared" si="196"/>
        <v>2.94</v>
      </c>
      <c r="V271" s="118">
        <f t="shared" si="197"/>
        <v>0</v>
      </c>
      <c r="W271" s="118">
        <f t="shared" si="213"/>
        <v>0</v>
      </c>
      <c r="X271" s="118">
        <f t="shared" si="214"/>
        <v>0</v>
      </c>
      <c r="Y271" s="118">
        <f t="shared" si="215"/>
        <v>0</v>
      </c>
      <c r="Z271" s="118">
        <f t="shared" si="216"/>
        <v>0</v>
      </c>
      <c r="AA271" s="119">
        <v>0</v>
      </c>
      <c r="AB271" s="120">
        <f t="shared" si="198"/>
        <v>0</v>
      </c>
      <c r="AC271" s="118">
        <f t="shared" si="199"/>
        <v>0</v>
      </c>
      <c r="AD271" s="118">
        <f t="shared" si="217"/>
        <v>0</v>
      </c>
      <c r="AE271" s="118">
        <f t="shared" si="200"/>
        <v>0</v>
      </c>
      <c r="AF271" s="121">
        <f t="shared" si="218"/>
        <v>1</v>
      </c>
      <c r="AG271" s="122">
        <f t="shared" si="201"/>
        <v>0</v>
      </c>
      <c r="AH271" s="122">
        <f t="shared" si="202"/>
        <v>0</v>
      </c>
      <c r="AI271" s="122">
        <f t="shared" si="203"/>
        <v>0</v>
      </c>
      <c r="AJ271" s="122">
        <f t="shared" si="204"/>
        <v>0</v>
      </c>
      <c r="AK271" s="122">
        <f t="shared" si="205"/>
        <v>0</v>
      </c>
      <c r="AL271" s="122">
        <f t="shared" si="206"/>
        <v>0</v>
      </c>
      <c r="AM271" s="123">
        <f t="shared" si="207"/>
        <v>0</v>
      </c>
      <c r="AN271" s="123">
        <f t="shared" si="181"/>
        <v>0</v>
      </c>
      <c r="AO271" s="124">
        <f t="shared" si="209"/>
        <v>0</v>
      </c>
      <c r="AP271" s="125">
        <f t="shared" si="219"/>
        <v>0</v>
      </c>
      <c r="AU271" s="109">
        <f>IF(BA271=1,IF(AU270=MiscData!$F$1,EOMONTH(AU270,-11),EOMONTH(AU270,1)),AU270)</f>
        <v>42247</v>
      </c>
      <c r="AV271" s="108" t="str">
        <f t="shared" si="220"/>
        <v>20140101LGINE683</v>
      </c>
      <c r="AW271" s="126" t="str">
        <f t="shared" si="221"/>
        <v>20140101FLST</v>
      </c>
      <c r="AX271">
        <f>MiscData!$X$5</f>
        <v>20140101</v>
      </c>
      <c r="BA271" s="98">
        <f>IF(BA270+1&gt;MiscData!$Z$42,1,BA270+1)</f>
        <v>2</v>
      </c>
      <c r="BB271" s="98" t="str">
        <f>VLOOKUP(BA271,MiscData!$Z$5:$AB$46,2,FALSE)</f>
        <v>LGINE683</v>
      </c>
      <c r="BC271" s="98" t="str">
        <f>VLOOKUP(BA271,MiscData!$Z$5:$AB$46,3,FALSE)</f>
        <v>FLST</v>
      </c>
    </row>
    <row r="272" spans="1:55">
      <c r="A272" s="108">
        <v>255</v>
      </c>
      <c r="B272" s="109" t="str">
        <f t="shared" si="210"/>
        <v>Aug 2015</v>
      </c>
      <c r="C272" s="110" t="s">
        <v>902</v>
      </c>
      <c r="D272" s="110" t="str">
        <f t="shared" si="212"/>
        <v>LGCME451</v>
      </c>
      <c r="E272" s="111">
        <f t="shared" si="182"/>
        <v>0</v>
      </c>
      <c r="F272" s="112">
        <v>0</v>
      </c>
      <c r="G272" s="111">
        <f t="shared" si="183"/>
        <v>0</v>
      </c>
      <c r="H272" s="111">
        <f t="shared" si="184"/>
        <v>0</v>
      </c>
      <c r="I272" s="111">
        <f t="shared" si="185"/>
        <v>0</v>
      </c>
      <c r="J272" s="111">
        <f t="shared" si="186"/>
        <v>0</v>
      </c>
      <c r="K272" s="113">
        <f t="shared" si="187"/>
        <v>0</v>
      </c>
      <c r="L272" s="113">
        <f t="shared" si="188"/>
        <v>0</v>
      </c>
      <c r="M272" s="113">
        <f t="shared" si="189"/>
        <v>0</v>
      </c>
      <c r="N272" s="116">
        <f t="shared" si="190"/>
        <v>0</v>
      </c>
      <c r="O272" s="117">
        <f t="shared" si="178"/>
        <v>9.1340000000000005E-2</v>
      </c>
      <c r="P272" s="117">
        <f t="shared" si="191"/>
        <v>0</v>
      </c>
      <c r="Q272" s="117">
        <f t="shared" si="192"/>
        <v>0</v>
      </c>
      <c r="R272" s="117">
        <f t="shared" si="193"/>
        <v>2.725E-2</v>
      </c>
      <c r="S272" s="116">
        <f t="shared" si="194"/>
        <v>0</v>
      </c>
      <c r="T272" s="116">
        <f t="shared" si="195"/>
        <v>0</v>
      </c>
      <c r="U272" s="116">
        <f t="shared" si="196"/>
        <v>0</v>
      </c>
      <c r="V272" s="118">
        <f t="shared" si="197"/>
        <v>0</v>
      </c>
      <c r="W272" s="118">
        <f t="shared" si="213"/>
        <v>0</v>
      </c>
      <c r="X272" s="118">
        <f t="shared" si="214"/>
        <v>0</v>
      </c>
      <c r="Y272" s="118">
        <f t="shared" si="215"/>
        <v>0</v>
      </c>
      <c r="Z272" s="118">
        <f t="shared" si="216"/>
        <v>0</v>
      </c>
      <c r="AA272" s="119">
        <v>0</v>
      </c>
      <c r="AB272" s="120">
        <f t="shared" si="198"/>
        <v>0</v>
      </c>
      <c r="AC272" s="118">
        <f t="shared" si="199"/>
        <v>0</v>
      </c>
      <c r="AD272" s="118">
        <f t="shared" si="217"/>
        <v>0</v>
      </c>
      <c r="AE272" s="118">
        <f t="shared" si="200"/>
        <v>0</v>
      </c>
      <c r="AF272" s="121">
        <f t="shared" si="218"/>
        <v>1</v>
      </c>
      <c r="AG272" s="122">
        <f t="shared" si="201"/>
        <v>0</v>
      </c>
      <c r="AH272" s="122">
        <f t="shared" si="202"/>
        <v>0</v>
      </c>
      <c r="AI272" s="122">
        <f t="shared" si="203"/>
        <v>0</v>
      </c>
      <c r="AJ272" s="122">
        <f t="shared" si="204"/>
        <v>0</v>
      </c>
      <c r="AK272" s="122">
        <f t="shared" si="205"/>
        <v>0</v>
      </c>
      <c r="AL272" s="122">
        <f t="shared" si="206"/>
        <v>0</v>
      </c>
      <c r="AM272" s="123">
        <f t="shared" si="207"/>
        <v>0</v>
      </c>
      <c r="AN272" s="123">
        <f t="shared" si="181"/>
        <v>0</v>
      </c>
      <c r="AO272" s="124">
        <f t="shared" si="209"/>
        <v>0</v>
      </c>
      <c r="AP272" s="125">
        <f t="shared" si="219"/>
        <v>0</v>
      </c>
      <c r="AU272" s="109">
        <f>IF(BA272=1,IF(AU271=MiscData!$F$1,EOMONTH(AU271,-11),EOMONTH(AU271,1)),AU271)</f>
        <v>42247</v>
      </c>
      <c r="AV272" s="108" t="str">
        <f t="shared" si="220"/>
        <v>20140101LGCME451</v>
      </c>
      <c r="AW272" s="126" t="str">
        <f t="shared" si="221"/>
        <v>20140101GSS</v>
      </c>
      <c r="AX272">
        <f>MiscData!$X$5</f>
        <v>20140101</v>
      </c>
      <c r="BA272" s="98">
        <f>IF(BA271+1&gt;MiscData!$Z$42,1,BA271+1)</f>
        <v>3</v>
      </c>
      <c r="BB272" s="98" t="str">
        <f>VLOOKUP(BA272,MiscData!$Z$5:$AB$46,2,FALSE)</f>
        <v>LGCME451</v>
      </c>
      <c r="BC272" s="98" t="str">
        <f>VLOOKUP(BA272,MiscData!$Z$5:$AB$46,3,FALSE)</f>
        <v>GSS</v>
      </c>
    </row>
    <row r="273" spans="1:55">
      <c r="A273" s="108">
        <v>256</v>
      </c>
      <c r="B273" s="109" t="str">
        <f t="shared" si="210"/>
        <v>Aug 2015</v>
      </c>
      <c r="C273" s="110" t="s">
        <v>902</v>
      </c>
      <c r="D273" s="110" t="str">
        <f t="shared" si="212"/>
        <v>LGCME550</v>
      </c>
      <c r="E273" s="111">
        <f t="shared" si="182"/>
        <v>0</v>
      </c>
      <c r="F273" s="112">
        <v>0</v>
      </c>
      <c r="G273" s="111">
        <f t="shared" si="183"/>
        <v>0</v>
      </c>
      <c r="H273" s="111">
        <f t="shared" si="184"/>
        <v>0</v>
      </c>
      <c r="I273" s="111">
        <f t="shared" si="185"/>
        <v>0</v>
      </c>
      <c r="J273" s="111">
        <f t="shared" si="186"/>
        <v>0</v>
      </c>
      <c r="K273" s="113">
        <f t="shared" si="187"/>
        <v>0</v>
      </c>
      <c r="L273" s="113">
        <f t="shared" si="188"/>
        <v>0</v>
      </c>
      <c r="M273" s="113">
        <f t="shared" si="189"/>
        <v>0</v>
      </c>
      <c r="N273" s="116">
        <f t="shared" si="190"/>
        <v>20</v>
      </c>
      <c r="O273" s="117">
        <f t="shared" si="178"/>
        <v>9.1340000000000005E-2</v>
      </c>
      <c r="P273" s="117">
        <f t="shared" si="191"/>
        <v>0</v>
      </c>
      <c r="Q273" s="117">
        <f t="shared" si="192"/>
        <v>0</v>
      </c>
      <c r="R273" s="117">
        <f t="shared" si="193"/>
        <v>2.725E-2</v>
      </c>
      <c r="S273" s="116">
        <f t="shared" si="194"/>
        <v>0</v>
      </c>
      <c r="T273" s="116">
        <f t="shared" si="195"/>
        <v>0</v>
      </c>
      <c r="U273" s="116">
        <f t="shared" si="196"/>
        <v>0</v>
      </c>
      <c r="V273" s="118">
        <f t="shared" si="197"/>
        <v>0</v>
      </c>
      <c r="W273" s="118">
        <f t="shared" si="213"/>
        <v>0</v>
      </c>
      <c r="X273" s="118">
        <f t="shared" si="214"/>
        <v>0</v>
      </c>
      <c r="Y273" s="118">
        <f t="shared" si="215"/>
        <v>0</v>
      </c>
      <c r="Z273" s="118">
        <f t="shared" si="216"/>
        <v>0</v>
      </c>
      <c r="AA273" s="119">
        <v>0</v>
      </c>
      <c r="AB273" s="120">
        <f t="shared" si="198"/>
        <v>0</v>
      </c>
      <c r="AC273" s="118">
        <f t="shared" si="199"/>
        <v>0</v>
      </c>
      <c r="AD273" s="118">
        <f t="shared" si="217"/>
        <v>0</v>
      </c>
      <c r="AE273" s="118">
        <f t="shared" si="200"/>
        <v>0</v>
      </c>
      <c r="AF273" s="121">
        <f t="shared" si="218"/>
        <v>1</v>
      </c>
      <c r="AG273" s="122">
        <f t="shared" si="201"/>
        <v>0</v>
      </c>
      <c r="AH273" s="122">
        <f t="shared" si="202"/>
        <v>0</v>
      </c>
      <c r="AI273" s="122">
        <f t="shared" si="203"/>
        <v>0</v>
      </c>
      <c r="AJ273" s="122">
        <f t="shared" si="204"/>
        <v>0</v>
      </c>
      <c r="AK273" s="122">
        <f t="shared" si="205"/>
        <v>0</v>
      </c>
      <c r="AL273" s="122">
        <f t="shared" si="206"/>
        <v>0</v>
      </c>
      <c r="AM273" s="123">
        <f t="shared" si="207"/>
        <v>0</v>
      </c>
      <c r="AN273" s="123">
        <f t="shared" ref="AN273:AN279" si="222">ROUND(AL273-AM273,2)</f>
        <v>0</v>
      </c>
      <c r="AO273" s="124">
        <f t="shared" si="209"/>
        <v>0</v>
      </c>
      <c r="AP273" s="125">
        <f t="shared" si="219"/>
        <v>0</v>
      </c>
      <c r="AU273" s="109">
        <f>IF(BA273=1,IF(AU272=MiscData!$F$1,EOMONTH(AU272,-11),EOMONTH(AU272,1)),AU272)</f>
        <v>42247</v>
      </c>
      <c r="AV273" s="108" t="str">
        <f t="shared" si="220"/>
        <v>20140101LGCME550</v>
      </c>
      <c r="AW273" s="126" t="str">
        <f t="shared" si="221"/>
        <v>20140101GSS</v>
      </c>
      <c r="AX273">
        <f>MiscData!$X$5</f>
        <v>20140101</v>
      </c>
      <c r="BA273" s="98">
        <f>IF(BA272+1&gt;MiscData!$Z$42,1,BA272+1)</f>
        <v>4</v>
      </c>
      <c r="BB273" s="98" t="str">
        <f>VLOOKUP(BA273,MiscData!$Z$5:$AB$46,2,FALSE)</f>
        <v>LGCME550</v>
      </c>
      <c r="BC273" s="98" t="str">
        <f>VLOOKUP(BA273,MiscData!$Z$5:$AB$46,3,FALSE)</f>
        <v>GSS</v>
      </c>
    </row>
    <row r="274" spans="1:55">
      <c r="A274" s="108">
        <v>257</v>
      </c>
      <c r="B274" s="109" t="str">
        <f t="shared" si="210"/>
        <v>Aug 2015</v>
      </c>
      <c r="C274" s="110" t="s">
        <v>902</v>
      </c>
      <c r="D274" s="110" t="str">
        <f t="shared" si="212"/>
        <v>LGCME551</v>
      </c>
      <c r="E274" s="111">
        <f t="shared" si="182"/>
        <v>28166</v>
      </c>
      <c r="F274" s="112">
        <v>0</v>
      </c>
      <c r="G274" s="111">
        <f t="shared" si="183"/>
        <v>0</v>
      </c>
      <c r="H274" s="111">
        <f t="shared" si="184"/>
        <v>0</v>
      </c>
      <c r="I274" s="111">
        <f t="shared" si="185"/>
        <v>0</v>
      </c>
      <c r="J274" s="111">
        <f t="shared" si="186"/>
        <v>40346505</v>
      </c>
      <c r="K274" s="113">
        <f t="shared" si="187"/>
        <v>0</v>
      </c>
      <c r="L274" s="113">
        <f t="shared" si="188"/>
        <v>0</v>
      </c>
      <c r="M274" s="113">
        <f t="shared" si="189"/>
        <v>0</v>
      </c>
      <c r="N274" s="116">
        <f t="shared" si="190"/>
        <v>20</v>
      </c>
      <c r="O274" s="117">
        <f t="shared" si="178"/>
        <v>9.1340000000000005E-2</v>
      </c>
      <c r="P274" s="117">
        <f t="shared" si="191"/>
        <v>0</v>
      </c>
      <c r="Q274" s="117">
        <f t="shared" si="192"/>
        <v>0</v>
      </c>
      <c r="R274" s="117">
        <f t="shared" si="193"/>
        <v>2.725E-2</v>
      </c>
      <c r="S274" s="116">
        <f t="shared" si="194"/>
        <v>0</v>
      </c>
      <c r="T274" s="116">
        <f t="shared" si="195"/>
        <v>0</v>
      </c>
      <c r="U274" s="116">
        <f t="shared" si="196"/>
        <v>0</v>
      </c>
      <c r="V274" s="118">
        <f t="shared" si="197"/>
        <v>563320</v>
      </c>
      <c r="W274" s="118">
        <f t="shared" si="213"/>
        <v>3685249.77</v>
      </c>
      <c r="X274" s="118">
        <f t="shared" si="214"/>
        <v>0</v>
      </c>
      <c r="Y274" s="118">
        <f t="shared" si="215"/>
        <v>0</v>
      </c>
      <c r="Z274" s="118">
        <f t="shared" si="216"/>
        <v>0</v>
      </c>
      <c r="AA274" s="119">
        <v>0</v>
      </c>
      <c r="AB274" s="120">
        <f t="shared" si="198"/>
        <v>0</v>
      </c>
      <c r="AC274" s="118">
        <f t="shared" si="199"/>
        <v>0</v>
      </c>
      <c r="AD274" s="118">
        <f t="shared" si="217"/>
        <v>4248569.7699999996</v>
      </c>
      <c r="AE274" s="118">
        <f t="shared" si="200"/>
        <v>4248579</v>
      </c>
      <c r="AF274" s="121">
        <f t="shared" si="218"/>
        <v>1.0000020000000001</v>
      </c>
      <c r="AG274" s="122">
        <f t="shared" si="201"/>
        <v>86768</v>
      </c>
      <c r="AH274" s="122">
        <f t="shared" si="202"/>
        <v>81733</v>
      </c>
      <c r="AI274" s="122">
        <f t="shared" si="203"/>
        <v>258556</v>
      </c>
      <c r="AJ274" s="122">
        <f t="shared" si="204"/>
        <v>0</v>
      </c>
      <c r="AK274" s="122">
        <f t="shared" si="205"/>
        <v>0</v>
      </c>
      <c r="AL274" s="122">
        <f t="shared" si="206"/>
        <v>4675636</v>
      </c>
      <c r="AM274" s="123">
        <f t="shared" si="207"/>
        <v>4675626.7699999996</v>
      </c>
      <c r="AN274" s="123">
        <f t="shared" si="222"/>
        <v>9.23</v>
      </c>
      <c r="AO274" s="124">
        <f t="shared" si="209"/>
        <v>1099442.26</v>
      </c>
      <c r="AP274" s="125">
        <f t="shared" si="219"/>
        <v>2585807.5099999998</v>
      </c>
      <c r="AU274" s="109">
        <f>IF(BA274=1,IF(AU273=MiscData!$F$1,EOMONTH(AU273,-11),EOMONTH(AU273,1)),AU273)</f>
        <v>42247</v>
      </c>
      <c r="AV274" s="108" t="str">
        <f t="shared" si="220"/>
        <v>20140101LGCME551</v>
      </c>
      <c r="AW274" s="126" t="str">
        <f t="shared" si="221"/>
        <v>20140101GSS</v>
      </c>
      <c r="AX274">
        <f>MiscData!$X$5</f>
        <v>20140101</v>
      </c>
      <c r="BA274" s="98">
        <f>IF(BA273+1&gt;MiscData!$Z$42,1,BA273+1)</f>
        <v>5</v>
      </c>
      <c r="BB274" s="98" t="str">
        <f>VLOOKUP(BA274,MiscData!$Z$5:$AB$46,2,FALSE)</f>
        <v>LGCME551</v>
      </c>
      <c r="BC274" s="98" t="str">
        <f>VLOOKUP(BA274,MiscData!$Z$5:$AB$46,3,FALSE)</f>
        <v>GSS</v>
      </c>
    </row>
    <row r="275" spans="1:55">
      <c r="A275" s="108">
        <v>258</v>
      </c>
      <c r="B275" s="109" t="str">
        <f t="shared" si="210"/>
        <v>Aug 2015</v>
      </c>
      <c r="C275" s="110" t="s">
        <v>902</v>
      </c>
      <c r="D275" s="110" t="str">
        <f t="shared" si="212"/>
        <v>LGCME551UM</v>
      </c>
      <c r="E275" s="111">
        <f t="shared" si="182"/>
        <v>0</v>
      </c>
      <c r="F275" s="112">
        <v>0</v>
      </c>
      <c r="G275" s="111">
        <f t="shared" si="183"/>
        <v>0</v>
      </c>
      <c r="H275" s="111">
        <f t="shared" si="184"/>
        <v>0</v>
      </c>
      <c r="I275" s="111">
        <f t="shared" si="185"/>
        <v>0</v>
      </c>
      <c r="J275" s="111">
        <f t="shared" si="186"/>
        <v>0</v>
      </c>
      <c r="K275" s="113">
        <f t="shared" si="187"/>
        <v>0</v>
      </c>
      <c r="L275" s="113">
        <f t="shared" si="188"/>
        <v>0</v>
      </c>
      <c r="M275" s="113">
        <f t="shared" si="189"/>
        <v>0</v>
      </c>
      <c r="N275" s="116">
        <f t="shared" si="190"/>
        <v>20</v>
      </c>
      <c r="O275" s="117">
        <f t="shared" si="178"/>
        <v>9.1340000000000005E-2</v>
      </c>
      <c r="P275" s="117">
        <f t="shared" si="191"/>
        <v>0</v>
      </c>
      <c r="Q275" s="117">
        <f t="shared" si="192"/>
        <v>0</v>
      </c>
      <c r="R275" s="117">
        <f t="shared" si="193"/>
        <v>2.725E-2</v>
      </c>
      <c r="S275" s="116">
        <f t="shared" si="194"/>
        <v>0</v>
      </c>
      <c r="T275" s="116">
        <f t="shared" si="195"/>
        <v>0</v>
      </c>
      <c r="U275" s="116">
        <f t="shared" si="196"/>
        <v>0</v>
      </c>
      <c r="V275" s="118">
        <f t="shared" si="197"/>
        <v>0</v>
      </c>
      <c r="W275" s="118">
        <f t="shared" si="213"/>
        <v>0</v>
      </c>
      <c r="X275" s="118">
        <f t="shared" si="214"/>
        <v>0</v>
      </c>
      <c r="Y275" s="118">
        <f t="shared" si="215"/>
        <v>0</v>
      </c>
      <c r="Z275" s="118">
        <f t="shared" si="216"/>
        <v>0</v>
      </c>
      <c r="AA275" s="119">
        <v>0</v>
      </c>
      <c r="AB275" s="120">
        <f t="shared" si="198"/>
        <v>0</v>
      </c>
      <c r="AC275" s="118">
        <f t="shared" si="199"/>
        <v>0</v>
      </c>
      <c r="AD275" s="118">
        <f t="shared" si="217"/>
        <v>0</v>
      </c>
      <c r="AE275" s="118">
        <f t="shared" si="200"/>
        <v>0</v>
      </c>
      <c r="AF275" s="121">
        <f t="shared" si="218"/>
        <v>1</v>
      </c>
      <c r="AG275" s="122">
        <f t="shared" si="201"/>
        <v>0</v>
      </c>
      <c r="AH275" s="122">
        <f t="shared" si="202"/>
        <v>0</v>
      </c>
      <c r="AI275" s="122">
        <f t="shared" si="203"/>
        <v>0</v>
      </c>
      <c r="AJ275" s="122">
        <f t="shared" si="204"/>
        <v>0</v>
      </c>
      <c r="AK275" s="122">
        <f t="shared" si="205"/>
        <v>0</v>
      </c>
      <c r="AL275" s="122">
        <f t="shared" si="206"/>
        <v>0</v>
      </c>
      <c r="AM275" s="123">
        <f t="shared" si="207"/>
        <v>0</v>
      </c>
      <c r="AN275" s="123">
        <f t="shared" si="222"/>
        <v>0</v>
      </c>
      <c r="AO275" s="124">
        <f t="shared" si="209"/>
        <v>0</v>
      </c>
      <c r="AP275" s="125">
        <f t="shared" si="219"/>
        <v>0</v>
      </c>
      <c r="AU275" s="109">
        <f>IF(BA275=1,IF(AU274=MiscData!$F$1,EOMONTH(AU274,-11),EOMONTH(AU274,1)),AU274)</f>
        <v>42247</v>
      </c>
      <c r="AV275" s="108" t="str">
        <f t="shared" si="220"/>
        <v>20140101LGCME551UM</v>
      </c>
      <c r="AW275" s="126" t="str">
        <f t="shared" si="221"/>
        <v>20140101GSS</v>
      </c>
      <c r="AX275">
        <f>MiscData!$X$5</f>
        <v>20140101</v>
      </c>
      <c r="BA275" s="98">
        <f>IF(BA274+1&gt;MiscData!$Z$42,1,BA274+1)</f>
        <v>6</v>
      </c>
      <c r="BB275" s="98" t="str">
        <f>VLOOKUP(BA275,MiscData!$Z$5:$AB$46,2,FALSE)</f>
        <v>LGCME551UM</v>
      </c>
      <c r="BC275" s="98" t="str">
        <f>VLOOKUP(BA275,MiscData!$Z$5:$AB$46,3,FALSE)</f>
        <v>GSS</v>
      </c>
    </row>
    <row r="276" spans="1:55">
      <c r="A276" s="108">
        <v>259</v>
      </c>
      <c r="B276" s="109" t="str">
        <f t="shared" si="210"/>
        <v>Aug 2015</v>
      </c>
      <c r="C276" s="110" t="s">
        <v>902</v>
      </c>
      <c r="D276" s="110" t="str">
        <f t="shared" si="212"/>
        <v>LGCME552</v>
      </c>
      <c r="E276" s="111">
        <f t="shared" si="182"/>
        <v>0</v>
      </c>
      <c r="F276" s="112">
        <v>0</v>
      </c>
      <c r="G276" s="111">
        <f t="shared" si="183"/>
        <v>0</v>
      </c>
      <c r="H276" s="111">
        <f t="shared" si="184"/>
        <v>0</v>
      </c>
      <c r="I276" s="111">
        <f t="shared" si="185"/>
        <v>0</v>
      </c>
      <c r="J276" s="111">
        <f t="shared" si="186"/>
        <v>0</v>
      </c>
      <c r="K276" s="113">
        <f t="shared" si="187"/>
        <v>0</v>
      </c>
      <c r="L276" s="113">
        <f t="shared" si="188"/>
        <v>0</v>
      </c>
      <c r="M276" s="113">
        <f t="shared" si="189"/>
        <v>0</v>
      </c>
      <c r="N276" s="116">
        <f t="shared" si="190"/>
        <v>0</v>
      </c>
      <c r="O276" s="117">
        <f t="shared" si="178"/>
        <v>9.1340000000000005E-2</v>
      </c>
      <c r="P276" s="117">
        <f t="shared" si="191"/>
        <v>0</v>
      </c>
      <c r="Q276" s="117">
        <f t="shared" si="192"/>
        <v>0</v>
      </c>
      <c r="R276" s="117">
        <f t="shared" si="193"/>
        <v>2.725E-2</v>
      </c>
      <c r="S276" s="116">
        <f t="shared" si="194"/>
        <v>0</v>
      </c>
      <c r="T276" s="116">
        <f t="shared" si="195"/>
        <v>0</v>
      </c>
      <c r="U276" s="116">
        <f t="shared" si="196"/>
        <v>0</v>
      </c>
      <c r="V276" s="118">
        <f t="shared" si="197"/>
        <v>0</v>
      </c>
      <c r="W276" s="118">
        <f t="shared" si="213"/>
        <v>0</v>
      </c>
      <c r="X276" s="118">
        <f t="shared" si="214"/>
        <v>0</v>
      </c>
      <c r="Y276" s="118">
        <f t="shared" si="215"/>
        <v>0</v>
      </c>
      <c r="Z276" s="118">
        <f t="shared" si="216"/>
        <v>0</v>
      </c>
      <c r="AA276" s="119">
        <v>0</v>
      </c>
      <c r="AB276" s="120">
        <f t="shared" si="198"/>
        <v>0</v>
      </c>
      <c r="AC276" s="118">
        <f t="shared" si="199"/>
        <v>0</v>
      </c>
      <c r="AD276" s="118">
        <f t="shared" si="217"/>
        <v>0</v>
      </c>
      <c r="AE276" s="118">
        <f t="shared" si="200"/>
        <v>0</v>
      </c>
      <c r="AF276" s="121">
        <f t="shared" si="218"/>
        <v>1</v>
      </c>
      <c r="AG276" s="122">
        <f t="shared" si="201"/>
        <v>0</v>
      </c>
      <c r="AH276" s="122">
        <f t="shared" si="202"/>
        <v>0</v>
      </c>
      <c r="AI276" s="122">
        <f t="shared" si="203"/>
        <v>0</v>
      </c>
      <c r="AJ276" s="122">
        <f t="shared" si="204"/>
        <v>0</v>
      </c>
      <c r="AK276" s="122">
        <f t="shared" si="205"/>
        <v>0</v>
      </c>
      <c r="AL276" s="122">
        <f t="shared" si="206"/>
        <v>0</v>
      </c>
      <c r="AM276" s="123">
        <f t="shared" si="207"/>
        <v>0</v>
      </c>
      <c r="AN276" s="123">
        <f t="shared" si="222"/>
        <v>0</v>
      </c>
      <c r="AO276" s="124">
        <f t="shared" si="209"/>
        <v>0</v>
      </c>
      <c r="AP276" s="125">
        <f t="shared" si="219"/>
        <v>0</v>
      </c>
      <c r="AU276" s="109">
        <f>IF(BA276=1,IF(AU275=MiscData!$F$1,EOMONTH(AU275,-11),EOMONTH(AU275,1)),AU275)</f>
        <v>42247</v>
      </c>
      <c r="AV276" s="108" t="str">
        <f t="shared" si="220"/>
        <v>20140101LGCME552</v>
      </c>
      <c r="AW276" s="126" t="str">
        <f t="shared" si="221"/>
        <v>20140101GSS</v>
      </c>
      <c r="AX276">
        <f>MiscData!$X$5</f>
        <v>20140101</v>
      </c>
      <c r="BA276" s="98">
        <f>IF(BA275+1&gt;MiscData!$Z$42,1,BA275+1)</f>
        <v>7</v>
      </c>
      <c r="BB276" s="98" t="str">
        <f>VLOOKUP(BA276,MiscData!$Z$5:$AB$46,2,FALSE)</f>
        <v>LGCME552</v>
      </c>
      <c r="BC276" s="98" t="str">
        <f>VLOOKUP(BA276,MiscData!$Z$5:$AB$46,3,FALSE)</f>
        <v>GSS</v>
      </c>
    </row>
    <row r="277" spans="1:55">
      <c r="A277" s="108">
        <v>260</v>
      </c>
      <c r="B277" s="109" t="str">
        <f t="shared" si="210"/>
        <v>Aug 2015</v>
      </c>
      <c r="C277" s="110" t="s">
        <v>902</v>
      </c>
      <c r="D277" s="110" t="str">
        <f t="shared" si="212"/>
        <v>LGCME557</v>
      </c>
      <c r="E277" s="111">
        <f t="shared" si="182"/>
        <v>0</v>
      </c>
      <c r="F277" s="112">
        <v>0</v>
      </c>
      <c r="G277" s="111">
        <f t="shared" si="183"/>
        <v>0</v>
      </c>
      <c r="H277" s="111">
        <f t="shared" si="184"/>
        <v>0</v>
      </c>
      <c r="I277" s="111">
        <f t="shared" si="185"/>
        <v>0</v>
      </c>
      <c r="J277" s="111">
        <f t="shared" si="186"/>
        <v>0</v>
      </c>
      <c r="K277" s="113">
        <f t="shared" si="187"/>
        <v>0</v>
      </c>
      <c r="L277" s="113">
        <f t="shared" si="188"/>
        <v>0</v>
      </c>
      <c r="M277" s="113">
        <f t="shared" si="189"/>
        <v>0</v>
      </c>
      <c r="N277" s="116">
        <f t="shared" si="190"/>
        <v>20</v>
      </c>
      <c r="O277" s="117">
        <f t="shared" si="178"/>
        <v>9.1340000000000005E-2</v>
      </c>
      <c r="P277" s="117">
        <f t="shared" si="191"/>
        <v>0</v>
      </c>
      <c r="Q277" s="117">
        <f t="shared" si="192"/>
        <v>0</v>
      </c>
      <c r="R277" s="117">
        <f t="shared" si="193"/>
        <v>2.725E-2</v>
      </c>
      <c r="S277" s="116">
        <f t="shared" si="194"/>
        <v>0</v>
      </c>
      <c r="T277" s="116">
        <f t="shared" si="195"/>
        <v>0</v>
      </c>
      <c r="U277" s="116">
        <f t="shared" si="196"/>
        <v>0</v>
      </c>
      <c r="V277" s="118">
        <f t="shared" si="197"/>
        <v>0</v>
      </c>
      <c r="W277" s="118">
        <f t="shared" si="213"/>
        <v>0</v>
      </c>
      <c r="X277" s="118">
        <f t="shared" si="214"/>
        <v>0</v>
      </c>
      <c r="Y277" s="118">
        <f t="shared" si="215"/>
        <v>0</v>
      </c>
      <c r="Z277" s="118">
        <f t="shared" si="216"/>
        <v>0</v>
      </c>
      <c r="AA277" s="119">
        <v>0</v>
      </c>
      <c r="AB277" s="120">
        <f t="shared" si="198"/>
        <v>0</v>
      </c>
      <c r="AC277" s="118">
        <f t="shared" si="199"/>
        <v>0</v>
      </c>
      <c r="AD277" s="118">
        <f t="shared" si="217"/>
        <v>0</v>
      </c>
      <c r="AE277" s="118">
        <f t="shared" si="200"/>
        <v>0</v>
      </c>
      <c r="AF277" s="121">
        <f t="shared" si="218"/>
        <v>1</v>
      </c>
      <c r="AG277" s="122">
        <f t="shared" si="201"/>
        <v>0</v>
      </c>
      <c r="AH277" s="122">
        <f t="shared" si="202"/>
        <v>0</v>
      </c>
      <c r="AI277" s="122">
        <f t="shared" si="203"/>
        <v>0</v>
      </c>
      <c r="AJ277" s="122">
        <f t="shared" si="204"/>
        <v>0</v>
      </c>
      <c r="AK277" s="122">
        <f t="shared" si="205"/>
        <v>0</v>
      </c>
      <c r="AL277" s="122">
        <f t="shared" si="206"/>
        <v>0</v>
      </c>
      <c r="AM277" s="123">
        <f t="shared" si="207"/>
        <v>0</v>
      </c>
      <c r="AN277" s="123">
        <f t="shared" si="222"/>
        <v>0</v>
      </c>
      <c r="AO277" s="124">
        <f t="shared" si="209"/>
        <v>0</v>
      </c>
      <c r="AP277" s="125">
        <f t="shared" si="219"/>
        <v>0</v>
      </c>
      <c r="AU277" s="109">
        <f>IF(BA277=1,IF(AU276=MiscData!$F$1,EOMONTH(AU276,-11),EOMONTH(AU276,1)),AU276)</f>
        <v>42247</v>
      </c>
      <c r="AV277" s="108" t="str">
        <f t="shared" si="220"/>
        <v>20140101LGCME557</v>
      </c>
      <c r="AW277" s="126" t="str">
        <f t="shared" si="221"/>
        <v>20140101GSS</v>
      </c>
      <c r="AX277">
        <f>MiscData!$X$5</f>
        <v>20140101</v>
      </c>
      <c r="BA277" s="98">
        <f>IF(BA276+1&gt;MiscData!$Z$42,1,BA276+1)</f>
        <v>8</v>
      </c>
      <c r="BB277" s="98" t="str">
        <f>VLOOKUP(BA277,MiscData!$Z$5:$AB$46,2,FALSE)</f>
        <v>LGCME557</v>
      </c>
      <c r="BC277" s="98" t="str">
        <f>VLOOKUP(BA277,MiscData!$Z$5:$AB$46,3,FALSE)</f>
        <v>GSS</v>
      </c>
    </row>
    <row r="278" spans="1:55">
      <c r="A278" s="108">
        <v>261</v>
      </c>
      <c r="B278" s="109" t="str">
        <f t="shared" si="210"/>
        <v>Aug 2015</v>
      </c>
      <c r="C278" s="110" t="str">
        <f t="shared" si="211"/>
        <v>PSS</v>
      </c>
      <c r="D278" s="110" t="str">
        <f t="shared" si="212"/>
        <v>LGCME561</v>
      </c>
      <c r="E278" s="111">
        <f t="shared" si="182"/>
        <v>2579</v>
      </c>
      <c r="F278" s="112">
        <v>0</v>
      </c>
      <c r="G278" s="111">
        <f t="shared" si="183"/>
        <v>0</v>
      </c>
      <c r="H278" s="111">
        <f t="shared" si="184"/>
        <v>0</v>
      </c>
      <c r="I278" s="111">
        <f t="shared" si="185"/>
        <v>0</v>
      </c>
      <c r="J278" s="111">
        <f t="shared" si="186"/>
        <v>169566983</v>
      </c>
      <c r="K278" s="113">
        <f t="shared" si="187"/>
        <v>0</v>
      </c>
      <c r="L278" s="113">
        <f t="shared" si="188"/>
        <v>0</v>
      </c>
      <c r="M278" s="113">
        <f t="shared" si="189"/>
        <v>412938</v>
      </c>
      <c r="N278" s="116">
        <f t="shared" si="190"/>
        <v>90</v>
      </c>
      <c r="O278" s="117">
        <f t="shared" si="178"/>
        <v>4.0599999999999997E-2</v>
      </c>
      <c r="P278" s="117">
        <f t="shared" si="191"/>
        <v>0</v>
      </c>
      <c r="Q278" s="117">
        <f t="shared" si="192"/>
        <v>0</v>
      </c>
      <c r="R278" s="117">
        <f t="shared" si="193"/>
        <v>2.725E-2</v>
      </c>
      <c r="S278" s="116">
        <f t="shared" si="194"/>
        <v>0</v>
      </c>
      <c r="T278" s="116">
        <f t="shared" si="195"/>
        <v>14.010000000000002</v>
      </c>
      <c r="U278" s="116">
        <f t="shared" si="196"/>
        <v>16.399999999999999</v>
      </c>
      <c r="V278" s="118">
        <f t="shared" si="197"/>
        <v>232110</v>
      </c>
      <c r="W278" s="118">
        <f t="shared" si="213"/>
        <v>6884419.5099999998</v>
      </c>
      <c r="X278" s="118">
        <f t="shared" si="214"/>
        <v>0</v>
      </c>
      <c r="Y278" s="118">
        <f t="shared" si="215"/>
        <v>0</v>
      </c>
      <c r="Z278" s="118">
        <f t="shared" si="216"/>
        <v>6772183.2000000002</v>
      </c>
      <c r="AA278" s="119">
        <v>0</v>
      </c>
      <c r="AB278" s="120">
        <f t="shared" si="198"/>
        <v>0</v>
      </c>
      <c r="AC278" s="118">
        <f t="shared" si="199"/>
        <v>6772183.2000000002</v>
      </c>
      <c r="AD278" s="118">
        <f t="shared" si="217"/>
        <v>13888712.710000001</v>
      </c>
      <c r="AE278" s="118">
        <f t="shared" si="200"/>
        <v>13888715</v>
      </c>
      <c r="AF278" s="121">
        <f t="shared" si="218"/>
        <v>1</v>
      </c>
      <c r="AG278" s="122">
        <f t="shared" si="201"/>
        <v>364664</v>
      </c>
      <c r="AH278" s="122">
        <f t="shared" si="202"/>
        <v>343506</v>
      </c>
      <c r="AI278" s="122">
        <f t="shared" si="203"/>
        <v>1086650</v>
      </c>
      <c r="AJ278" s="122">
        <f t="shared" si="204"/>
        <v>0</v>
      </c>
      <c r="AK278" s="122">
        <f t="shared" si="205"/>
        <v>0</v>
      </c>
      <c r="AL278" s="122">
        <f t="shared" si="206"/>
        <v>15683535</v>
      </c>
      <c r="AM278" s="123">
        <f t="shared" si="207"/>
        <v>15683532.710000001</v>
      </c>
      <c r="AN278" s="123">
        <f t="shared" si="222"/>
        <v>2.29</v>
      </c>
      <c r="AO278" s="124">
        <f t="shared" si="209"/>
        <v>4620700.29</v>
      </c>
      <c r="AP278" s="125">
        <f t="shared" si="219"/>
        <v>2263719.2199999997</v>
      </c>
      <c r="AU278" s="109">
        <f>IF(BA278=1,IF(AU277=MiscData!$F$1,EOMONTH(AU277,-11),EOMONTH(AU277,1)),AU277)</f>
        <v>42247</v>
      </c>
      <c r="AV278" s="108" t="str">
        <f t="shared" si="220"/>
        <v>20140101LGCME561</v>
      </c>
      <c r="AW278" s="126" t="str">
        <f t="shared" si="221"/>
        <v>20140101PSS</v>
      </c>
      <c r="AX278">
        <f>MiscData!$X$5</f>
        <v>20140101</v>
      </c>
      <c r="BA278" s="98">
        <f>IF(BA277+1&gt;MiscData!$Z$42,1,BA277+1)</f>
        <v>9</v>
      </c>
      <c r="BB278" s="98" t="str">
        <f>VLOOKUP(BA278,MiscData!$Z$5:$AB$46,2,FALSE)</f>
        <v>LGCME561</v>
      </c>
      <c r="BC278" s="98" t="str">
        <f>VLOOKUP(BA278,MiscData!$Z$5:$AB$46,3,FALSE)</f>
        <v>PSS</v>
      </c>
    </row>
    <row r="279" spans="1:55">
      <c r="A279" s="108">
        <v>262</v>
      </c>
      <c r="B279" s="109" t="str">
        <f t="shared" si="210"/>
        <v>Aug 2015</v>
      </c>
      <c r="C279" s="110" t="str">
        <f t="shared" si="211"/>
        <v>PSP</v>
      </c>
      <c r="D279" s="110" t="str">
        <f t="shared" si="212"/>
        <v>LGCME563</v>
      </c>
      <c r="E279" s="111">
        <f t="shared" si="182"/>
        <v>52</v>
      </c>
      <c r="F279" s="112">
        <v>0</v>
      </c>
      <c r="G279" s="111">
        <f t="shared" si="183"/>
        <v>0</v>
      </c>
      <c r="H279" s="111">
        <f t="shared" si="184"/>
        <v>0</v>
      </c>
      <c r="I279" s="111">
        <f t="shared" si="185"/>
        <v>0</v>
      </c>
      <c r="J279" s="111">
        <f t="shared" si="186"/>
        <v>14885241</v>
      </c>
      <c r="K279" s="113">
        <f t="shared" si="187"/>
        <v>0</v>
      </c>
      <c r="L279" s="113">
        <f t="shared" si="188"/>
        <v>0</v>
      </c>
      <c r="M279" s="113">
        <f t="shared" si="189"/>
        <v>35310</v>
      </c>
      <c r="N279" s="116">
        <f t="shared" si="190"/>
        <v>170</v>
      </c>
      <c r="O279" s="117">
        <f t="shared" si="178"/>
        <v>3.9260000000000003E-2</v>
      </c>
      <c r="P279" s="117">
        <f t="shared" si="191"/>
        <v>0</v>
      </c>
      <c r="Q279" s="117">
        <f t="shared" si="192"/>
        <v>0</v>
      </c>
      <c r="R279" s="117">
        <f t="shared" si="193"/>
        <v>2.725E-2</v>
      </c>
      <c r="S279" s="116">
        <f t="shared" si="194"/>
        <v>0</v>
      </c>
      <c r="T279" s="116">
        <f t="shared" si="195"/>
        <v>11.660000000000002</v>
      </c>
      <c r="U279" s="116">
        <f t="shared" si="196"/>
        <v>13.950000000000001</v>
      </c>
      <c r="V279" s="118">
        <f t="shared" si="197"/>
        <v>8840</v>
      </c>
      <c r="W279" s="118">
        <f t="shared" si="213"/>
        <v>584394.56000000006</v>
      </c>
      <c r="X279" s="118">
        <f t="shared" si="214"/>
        <v>0</v>
      </c>
      <c r="Y279" s="118">
        <f t="shared" si="215"/>
        <v>0</v>
      </c>
      <c r="Z279" s="118">
        <f t="shared" si="216"/>
        <v>492574.5</v>
      </c>
      <c r="AA279" s="119">
        <v>0</v>
      </c>
      <c r="AB279" s="120">
        <f t="shared" si="198"/>
        <v>0</v>
      </c>
      <c r="AC279" s="118">
        <f t="shared" si="199"/>
        <v>492574.5</v>
      </c>
      <c r="AD279" s="118">
        <f t="shared" si="217"/>
        <v>1085809.06</v>
      </c>
      <c r="AE279" s="118">
        <f t="shared" si="200"/>
        <v>1085806</v>
      </c>
      <c r="AF279" s="121">
        <f t="shared" si="218"/>
        <v>0.99999700000000002</v>
      </c>
      <c r="AG279" s="122">
        <f t="shared" si="201"/>
        <v>32012</v>
      </c>
      <c r="AH279" s="122">
        <f t="shared" si="202"/>
        <v>30154</v>
      </c>
      <c r="AI279" s="122">
        <f t="shared" si="203"/>
        <v>95390</v>
      </c>
      <c r="AJ279" s="122">
        <f t="shared" si="204"/>
        <v>0</v>
      </c>
      <c r="AK279" s="122">
        <f t="shared" si="205"/>
        <v>0</v>
      </c>
      <c r="AL279" s="122">
        <f t="shared" si="206"/>
        <v>1243362</v>
      </c>
      <c r="AM279" s="123">
        <f t="shared" si="207"/>
        <v>1243365.06</v>
      </c>
      <c r="AN279" s="123">
        <f t="shared" si="222"/>
        <v>-3.06</v>
      </c>
      <c r="AO279" s="124">
        <f t="shared" si="209"/>
        <v>405622.82</v>
      </c>
      <c r="AP279" s="125">
        <f t="shared" si="219"/>
        <v>178771.74000000005</v>
      </c>
      <c r="AU279" s="109">
        <f>IF(BA279=1,IF(AU278=MiscData!$F$1,EOMONTH(AU278,-11),EOMONTH(AU278,1)),AU278)</f>
        <v>42247</v>
      </c>
      <c r="AV279" s="108" t="str">
        <f t="shared" si="220"/>
        <v>20140101LGCME563</v>
      </c>
      <c r="AW279" s="126" t="str">
        <f t="shared" si="221"/>
        <v>20140101PSP</v>
      </c>
      <c r="AX279">
        <f>MiscData!$X$5</f>
        <v>20140101</v>
      </c>
      <c r="BA279" s="98">
        <f>IF(BA278+1&gt;MiscData!$Z$42,1,BA278+1)</f>
        <v>10</v>
      </c>
      <c r="BB279" s="98" t="str">
        <f>VLOOKUP(BA279,MiscData!$Z$5:$AB$46,2,FALSE)</f>
        <v>LGCME563</v>
      </c>
      <c r="BC279" s="98" t="str">
        <f>VLOOKUP(BA279,MiscData!$Z$5:$AB$46,3,FALSE)</f>
        <v>PSP</v>
      </c>
    </row>
    <row r="280" spans="1:55">
      <c r="A280" s="108">
        <v>263</v>
      </c>
      <c r="B280" s="109" t="str">
        <f t="shared" si="210"/>
        <v>Aug 2015</v>
      </c>
      <c r="C280" s="110" t="str">
        <f t="shared" si="211"/>
        <v>PSS</v>
      </c>
      <c r="D280" s="110" t="str">
        <f t="shared" si="212"/>
        <v>LGCME567</v>
      </c>
      <c r="E280" s="111">
        <f t="shared" si="182"/>
        <v>0</v>
      </c>
      <c r="F280" s="112">
        <v>0</v>
      </c>
      <c r="G280" s="111">
        <f t="shared" si="183"/>
        <v>0</v>
      </c>
      <c r="H280" s="111">
        <f t="shared" si="184"/>
        <v>0</v>
      </c>
      <c r="I280" s="111">
        <f t="shared" si="185"/>
        <v>0</v>
      </c>
      <c r="J280" s="111">
        <f t="shared" si="186"/>
        <v>0</v>
      </c>
      <c r="K280" s="113">
        <f t="shared" si="187"/>
        <v>0</v>
      </c>
      <c r="L280" s="113">
        <f t="shared" si="188"/>
        <v>0</v>
      </c>
      <c r="M280" s="113">
        <f t="shared" si="189"/>
        <v>0</v>
      </c>
      <c r="N280" s="116">
        <f t="shared" si="190"/>
        <v>90</v>
      </c>
      <c r="O280" s="117">
        <f t="shared" si="178"/>
        <v>4.0599999999999997E-2</v>
      </c>
      <c r="P280" s="117">
        <f t="shared" si="191"/>
        <v>0</v>
      </c>
      <c r="Q280" s="117">
        <f t="shared" si="192"/>
        <v>0</v>
      </c>
      <c r="R280" s="117">
        <f t="shared" si="193"/>
        <v>2.725E-2</v>
      </c>
      <c r="S280" s="116">
        <f t="shared" si="194"/>
        <v>0</v>
      </c>
      <c r="T280" s="116">
        <f t="shared" si="195"/>
        <v>14.010000000000002</v>
      </c>
      <c r="U280" s="116">
        <f t="shared" si="196"/>
        <v>16.399999999999999</v>
      </c>
      <c r="V280" s="118">
        <f t="shared" si="197"/>
        <v>0</v>
      </c>
      <c r="W280" s="118">
        <f t="shared" si="213"/>
        <v>0</v>
      </c>
      <c r="X280" s="118">
        <f t="shared" si="214"/>
        <v>0</v>
      </c>
      <c r="Y280" s="118">
        <f t="shared" si="215"/>
        <v>0</v>
      </c>
      <c r="Z280" s="118">
        <f t="shared" si="216"/>
        <v>0</v>
      </c>
      <c r="AA280" s="119">
        <v>0</v>
      </c>
      <c r="AB280" s="120">
        <f t="shared" si="198"/>
        <v>0</v>
      </c>
      <c r="AC280" s="118">
        <f t="shared" si="199"/>
        <v>0</v>
      </c>
      <c r="AD280" s="118">
        <f t="shared" si="217"/>
        <v>0</v>
      </c>
      <c r="AE280" s="118">
        <f t="shared" si="200"/>
        <v>0</v>
      </c>
      <c r="AF280" s="121">
        <f t="shared" si="218"/>
        <v>1</v>
      </c>
      <c r="AG280" s="122">
        <f t="shared" si="201"/>
        <v>0</v>
      </c>
      <c r="AH280" s="122">
        <f t="shared" si="202"/>
        <v>0</v>
      </c>
      <c r="AI280" s="122">
        <f t="shared" si="203"/>
        <v>0</v>
      </c>
      <c r="AJ280" s="122">
        <f t="shared" si="204"/>
        <v>0</v>
      </c>
      <c r="AK280" s="122">
        <f t="shared" si="205"/>
        <v>0</v>
      </c>
      <c r="AL280" s="122">
        <f t="shared" si="206"/>
        <v>0</v>
      </c>
      <c r="AM280" s="123">
        <f t="shared" si="207"/>
        <v>0</v>
      </c>
      <c r="AN280" s="123">
        <f t="shared" si="181"/>
        <v>0</v>
      </c>
      <c r="AO280" s="124">
        <f t="shared" si="209"/>
        <v>0</v>
      </c>
      <c r="AP280" s="125">
        <f t="shared" si="219"/>
        <v>0</v>
      </c>
      <c r="AU280" s="109">
        <f>IF(BA280=1,IF(AU279=MiscData!$F$1,EOMONTH(AU279,-11),EOMONTH(AU279,1)),AU279)</f>
        <v>42247</v>
      </c>
      <c r="AV280" s="108" t="str">
        <f t="shared" si="220"/>
        <v>20140101LGCME567</v>
      </c>
      <c r="AW280" s="126" t="str">
        <f t="shared" si="221"/>
        <v>20140101PSS</v>
      </c>
      <c r="AX280">
        <f>MiscData!$X$5</f>
        <v>20140101</v>
      </c>
      <c r="BA280" s="98">
        <f>IF(BA279+1&gt;MiscData!$Z$42,1,BA279+1)</f>
        <v>11</v>
      </c>
      <c r="BB280" s="98" t="str">
        <f>VLOOKUP(BA280,MiscData!$Z$5:$AB$46,2,FALSE)</f>
        <v>LGCME567</v>
      </c>
      <c r="BC280" s="98" t="str">
        <f>VLOOKUP(BA280,MiscData!$Z$5:$AB$46,3,FALSE)</f>
        <v>PSS</v>
      </c>
    </row>
    <row r="281" spans="1:55">
      <c r="A281" s="108">
        <v>264</v>
      </c>
      <c r="B281" s="109" t="str">
        <f t="shared" si="210"/>
        <v>Aug 2015</v>
      </c>
      <c r="C281" s="110" t="str">
        <f t="shared" si="211"/>
        <v>TODS</v>
      </c>
      <c r="D281" s="110" t="str">
        <f t="shared" si="212"/>
        <v>LGCME591</v>
      </c>
      <c r="E281" s="111">
        <f t="shared" si="182"/>
        <v>217</v>
      </c>
      <c r="F281" s="112">
        <v>0</v>
      </c>
      <c r="G281" s="111">
        <f t="shared" si="183"/>
        <v>0</v>
      </c>
      <c r="H281" s="111">
        <f t="shared" si="184"/>
        <v>0</v>
      </c>
      <c r="I281" s="111">
        <f t="shared" si="185"/>
        <v>0</v>
      </c>
      <c r="J281" s="111">
        <f t="shared" si="186"/>
        <v>77456015</v>
      </c>
      <c r="K281" s="113">
        <f t="shared" si="187"/>
        <v>162445</v>
      </c>
      <c r="L281" s="113">
        <f t="shared" si="188"/>
        <v>157888</v>
      </c>
      <c r="M281" s="113">
        <f t="shared" si="189"/>
        <v>155706</v>
      </c>
      <c r="N281" s="116">
        <f t="shared" si="190"/>
        <v>200</v>
      </c>
      <c r="O281" s="117">
        <f t="shared" si="178"/>
        <v>3.9899999999999998E-2</v>
      </c>
      <c r="P281" s="117">
        <f t="shared" si="191"/>
        <v>0</v>
      </c>
      <c r="Q281" s="117">
        <f t="shared" si="192"/>
        <v>0</v>
      </c>
      <c r="R281" s="117">
        <f t="shared" si="193"/>
        <v>2.725E-2</v>
      </c>
      <c r="S281" s="116">
        <f t="shared" si="194"/>
        <v>4</v>
      </c>
      <c r="T281" s="116">
        <f t="shared" si="195"/>
        <v>4.5100000000000007</v>
      </c>
      <c r="U281" s="116">
        <f t="shared" si="196"/>
        <v>6.11</v>
      </c>
      <c r="V281" s="118">
        <f t="shared" si="197"/>
        <v>43400</v>
      </c>
      <c r="W281" s="118">
        <f t="shared" si="213"/>
        <v>3090495</v>
      </c>
      <c r="X281" s="118">
        <f t="shared" si="214"/>
        <v>649780</v>
      </c>
      <c r="Y281" s="118">
        <f t="shared" si="215"/>
        <v>712074.88</v>
      </c>
      <c r="Z281" s="118">
        <f t="shared" si="216"/>
        <v>951363.66</v>
      </c>
      <c r="AA281" s="119">
        <v>0</v>
      </c>
      <c r="AB281" s="120">
        <f t="shared" si="198"/>
        <v>0</v>
      </c>
      <c r="AC281" s="118">
        <f t="shared" si="199"/>
        <v>2313218.54</v>
      </c>
      <c r="AD281" s="118">
        <f t="shared" si="217"/>
        <v>5447113.54</v>
      </c>
      <c r="AE281" s="118">
        <f t="shared" si="200"/>
        <v>5447115</v>
      </c>
      <c r="AF281" s="121">
        <f t="shared" si="218"/>
        <v>1</v>
      </c>
      <c r="AG281" s="122">
        <f t="shared" si="201"/>
        <v>166574</v>
      </c>
      <c r="AH281" s="122">
        <f t="shared" si="202"/>
        <v>156909</v>
      </c>
      <c r="AI281" s="122">
        <f t="shared" si="203"/>
        <v>496368</v>
      </c>
      <c r="AJ281" s="122">
        <f t="shared" si="204"/>
        <v>0</v>
      </c>
      <c r="AK281" s="122">
        <f t="shared" si="205"/>
        <v>0</v>
      </c>
      <c r="AL281" s="122">
        <f t="shared" si="206"/>
        <v>6266966</v>
      </c>
      <c r="AM281" s="123">
        <f t="shared" si="207"/>
        <v>6266964.54</v>
      </c>
      <c r="AN281" s="123">
        <f t="shared" si="181"/>
        <v>1.4599999999627471</v>
      </c>
      <c r="AO281" s="124">
        <f t="shared" si="209"/>
        <v>2110676.41</v>
      </c>
      <c r="AP281" s="125">
        <f t="shared" si="219"/>
        <v>979818.58999999985</v>
      </c>
      <c r="AU281" s="109">
        <f>IF(BA281=1,IF(AU280=MiscData!$F$1,EOMONTH(AU280,-11),EOMONTH(AU280,1)),AU280)</f>
        <v>42247</v>
      </c>
      <c r="AV281" s="108" t="str">
        <f t="shared" si="220"/>
        <v>20140101LGCME591</v>
      </c>
      <c r="AW281" s="126" t="str">
        <f t="shared" si="221"/>
        <v>20140101TODS</v>
      </c>
      <c r="AX281">
        <f>MiscData!$X$5</f>
        <v>20140101</v>
      </c>
      <c r="BA281" s="98">
        <f>IF(BA280+1&gt;MiscData!$Z$42,1,BA280+1)</f>
        <v>12</v>
      </c>
      <c r="BB281" s="98" t="str">
        <f>VLOOKUP(BA281,MiscData!$Z$5:$AB$46,2,FALSE)</f>
        <v>LGCME591</v>
      </c>
      <c r="BC281" s="98" t="str">
        <f>VLOOKUP(BA281,MiscData!$Z$5:$AB$46,3,FALSE)</f>
        <v>TODS</v>
      </c>
    </row>
    <row r="282" spans="1:55">
      <c r="A282" s="108">
        <v>265</v>
      </c>
      <c r="B282" s="109" t="str">
        <f t="shared" si="210"/>
        <v>Aug 2015</v>
      </c>
      <c r="C282" s="110" t="str">
        <f t="shared" si="211"/>
        <v>CTODP</v>
      </c>
      <c r="D282" s="110" t="str">
        <f t="shared" si="212"/>
        <v>LGCME593</v>
      </c>
      <c r="E282" s="111">
        <f t="shared" si="182"/>
        <v>38</v>
      </c>
      <c r="F282" s="112">
        <v>0</v>
      </c>
      <c r="G282" s="111">
        <f t="shared" si="183"/>
        <v>0</v>
      </c>
      <c r="H282" s="111">
        <f t="shared" si="184"/>
        <v>0</v>
      </c>
      <c r="I282" s="111">
        <f t="shared" si="185"/>
        <v>0</v>
      </c>
      <c r="J282" s="111">
        <f t="shared" si="186"/>
        <v>36677896</v>
      </c>
      <c r="K282" s="113">
        <f t="shared" si="187"/>
        <v>83741</v>
      </c>
      <c r="L282" s="113">
        <f t="shared" si="188"/>
        <v>78985</v>
      </c>
      <c r="M282" s="113">
        <f t="shared" si="189"/>
        <v>77873</v>
      </c>
      <c r="N282" s="116">
        <f t="shared" si="190"/>
        <v>300</v>
      </c>
      <c r="O282" s="117">
        <f t="shared" si="178"/>
        <v>3.8100000000000002E-2</v>
      </c>
      <c r="P282" s="117">
        <f t="shared" si="191"/>
        <v>0</v>
      </c>
      <c r="Q282" s="117">
        <f t="shared" si="192"/>
        <v>0</v>
      </c>
      <c r="R282" s="117">
        <f t="shared" si="193"/>
        <v>2.725E-2</v>
      </c>
      <c r="S282" s="116">
        <f t="shared" si="194"/>
        <v>3.9800000000000004</v>
      </c>
      <c r="T282" s="116">
        <f t="shared" si="195"/>
        <v>4.13</v>
      </c>
      <c r="U282" s="116">
        <f t="shared" si="196"/>
        <v>5.83</v>
      </c>
      <c r="V282" s="118">
        <f t="shared" si="197"/>
        <v>11400</v>
      </c>
      <c r="W282" s="118">
        <f t="shared" si="213"/>
        <v>1397427.84</v>
      </c>
      <c r="X282" s="118">
        <f t="shared" si="214"/>
        <v>333289.18</v>
      </c>
      <c r="Y282" s="118">
        <f t="shared" si="215"/>
        <v>326208.05</v>
      </c>
      <c r="Z282" s="118">
        <f t="shared" si="216"/>
        <v>453999.59</v>
      </c>
      <c r="AA282" s="119">
        <v>0</v>
      </c>
      <c r="AB282" s="120">
        <f t="shared" si="198"/>
        <v>0</v>
      </c>
      <c r="AC282" s="118">
        <f t="shared" si="199"/>
        <v>1113496.82</v>
      </c>
      <c r="AD282" s="118">
        <f t="shared" si="217"/>
        <v>2522324.66</v>
      </c>
      <c r="AE282" s="118">
        <f t="shared" si="200"/>
        <v>2522325</v>
      </c>
      <c r="AF282" s="121">
        <f t="shared" si="218"/>
        <v>1</v>
      </c>
      <c r="AG282" s="122">
        <f t="shared" si="201"/>
        <v>78878</v>
      </c>
      <c r="AH282" s="122">
        <f t="shared" si="202"/>
        <v>74302</v>
      </c>
      <c r="AI282" s="122">
        <f t="shared" si="203"/>
        <v>235046</v>
      </c>
      <c r="AJ282" s="122">
        <f t="shared" si="204"/>
        <v>0</v>
      </c>
      <c r="AK282" s="122">
        <f t="shared" si="205"/>
        <v>0</v>
      </c>
      <c r="AL282" s="122">
        <f t="shared" si="206"/>
        <v>2910551</v>
      </c>
      <c r="AM282" s="123">
        <f t="shared" si="207"/>
        <v>2910550.66</v>
      </c>
      <c r="AN282" s="123">
        <f t="shared" si="181"/>
        <v>0.33999999985098839</v>
      </c>
      <c r="AO282" s="124">
        <f t="shared" si="209"/>
        <v>999472.67</v>
      </c>
      <c r="AP282" s="125">
        <f t="shared" si="219"/>
        <v>397955.17000000004</v>
      </c>
      <c r="AU282" s="109">
        <f>IF(BA282=1,IF(AU281=MiscData!$F$1,EOMONTH(AU281,-11),EOMONTH(AU281,1)),AU281)</f>
        <v>42247</v>
      </c>
      <c r="AV282" s="108" t="str">
        <f t="shared" si="220"/>
        <v>20140101LGCME593</v>
      </c>
      <c r="AW282" s="126" t="str">
        <f t="shared" si="221"/>
        <v>20140101CTODP</v>
      </c>
      <c r="AX282">
        <f>MiscData!$X$5</f>
        <v>20140101</v>
      </c>
      <c r="BA282" s="98">
        <f>IF(BA281+1&gt;MiscData!$Z$42,1,BA281+1)</f>
        <v>13</v>
      </c>
      <c r="BB282" s="98" t="str">
        <f>VLOOKUP(BA282,MiscData!$Z$5:$AB$46,2,FALSE)</f>
        <v>LGCME593</v>
      </c>
      <c r="BC282" s="98" t="str">
        <f>VLOOKUP(BA282,MiscData!$Z$5:$AB$46,3,FALSE)</f>
        <v>CTODP</v>
      </c>
    </row>
    <row r="283" spans="1:55">
      <c r="A283" s="108">
        <v>266</v>
      </c>
      <c r="B283" s="109" t="str">
        <f t="shared" si="210"/>
        <v>Aug 2015</v>
      </c>
      <c r="C283" s="110" t="str">
        <f t="shared" si="211"/>
        <v>GS3</v>
      </c>
      <c r="D283" s="110" t="str">
        <f t="shared" si="212"/>
        <v>LGCME650</v>
      </c>
      <c r="E283" s="111">
        <f t="shared" si="182"/>
        <v>0</v>
      </c>
      <c r="F283" s="112">
        <v>0</v>
      </c>
      <c r="G283" s="111">
        <f t="shared" si="183"/>
        <v>0</v>
      </c>
      <c r="H283" s="111">
        <f t="shared" si="184"/>
        <v>0</v>
      </c>
      <c r="I283" s="111">
        <f t="shared" si="185"/>
        <v>0</v>
      </c>
      <c r="J283" s="111">
        <f t="shared" si="186"/>
        <v>0</v>
      </c>
      <c r="K283" s="113">
        <f t="shared" si="187"/>
        <v>0</v>
      </c>
      <c r="L283" s="113">
        <f t="shared" si="188"/>
        <v>0</v>
      </c>
      <c r="M283" s="113">
        <f t="shared" si="189"/>
        <v>0</v>
      </c>
      <c r="N283" s="116">
        <f t="shared" si="190"/>
        <v>35</v>
      </c>
      <c r="O283" s="117">
        <f t="shared" si="178"/>
        <v>9.1340000000000005E-2</v>
      </c>
      <c r="P283" s="117">
        <f t="shared" si="191"/>
        <v>0</v>
      </c>
      <c r="Q283" s="117">
        <f t="shared" si="192"/>
        <v>0</v>
      </c>
      <c r="R283" s="117">
        <f t="shared" si="193"/>
        <v>2.725E-2</v>
      </c>
      <c r="S283" s="116">
        <f t="shared" si="194"/>
        <v>0</v>
      </c>
      <c r="T283" s="116">
        <f t="shared" si="195"/>
        <v>0</v>
      </c>
      <c r="U283" s="116">
        <f t="shared" si="196"/>
        <v>0</v>
      </c>
      <c r="V283" s="118">
        <f t="shared" si="197"/>
        <v>0</v>
      </c>
      <c r="W283" s="118">
        <f t="shared" si="213"/>
        <v>0</v>
      </c>
      <c r="X283" s="118">
        <f t="shared" si="214"/>
        <v>0</v>
      </c>
      <c r="Y283" s="118">
        <f t="shared" si="215"/>
        <v>0</v>
      </c>
      <c r="Z283" s="118">
        <f t="shared" si="216"/>
        <v>0</v>
      </c>
      <c r="AA283" s="119">
        <v>0</v>
      </c>
      <c r="AB283" s="120">
        <f t="shared" si="198"/>
        <v>0</v>
      </c>
      <c r="AC283" s="118">
        <f t="shared" si="199"/>
        <v>0</v>
      </c>
      <c r="AD283" s="118">
        <f t="shared" si="217"/>
        <v>0</v>
      </c>
      <c r="AE283" s="118">
        <f t="shared" si="200"/>
        <v>0</v>
      </c>
      <c r="AF283" s="121">
        <f t="shared" si="218"/>
        <v>1</v>
      </c>
      <c r="AG283" s="122">
        <f t="shared" si="201"/>
        <v>0</v>
      </c>
      <c r="AH283" s="122">
        <f t="shared" si="202"/>
        <v>0</v>
      </c>
      <c r="AI283" s="122">
        <f t="shared" si="203"/>
        <v>0</v>
      </c>
      <c r="AJ283" s="122">
        <f t="shared" si="204"/>
        <v>0</v>
      </c>
      <c r="AK283" s="122">
        <f t="shared" si="205"/>
        <v>0</v>
      </c>
      <c r="AL283" s="122">
        <f t="shared" si="206"/>
        <v>0</v>
      </c>
      <c r="AM283" s="123">
        <f t="shared" si="207"/>
        <v>0</v>
      </c>
      <c r="AN283" s="123">
        <f t="shared" si="181"/>
        <v>0</v>
      </c>
      <c r="AO283" s="124">
        <f t="shared" si="209"/>
        <v>0</v>
      </c>
      <c r="AP283" s="125">
        <f t="shared" si="219"/>
        <v>0</v>
      </c>
      <c r="AU283" s="109">
        <f>IF(BA283=1,IF(AU282=MiscData!$F$1,EOMONTH(AU282,-11),EOMONTH(AU282,1)),AU282)</f>
        <v>42247</v>
      </c>
      <c r="AV283" s="108" t="str">
        <f t="shared" si="220"/>
        <v>20140101LGCME650</v>
      </c>
      <c r="AW283" s="126" t="str">
        <f t="shared" si="221"/>
        <v>20140101GS3</v>
      </c>
      <c r="AX283">
        <f>MiscData!$X$5</f>
        <v>20140101</v>
      </c>
      <c r="BA283" s="98">
        <f>IF(BA282+1&gt;MiscData!$Z$42,1,BA282+1)</f>
        <v>14</v>
      </c>
      <c r="BB283" s="98" t="str">
        <f>VLOOKUP(BA283,MiscData!$Z$5:$AB$46,2,FALSE)</f>
        <v>LGCME650</v>
      </c>
      <c r="BC283" s="98" t="str">
        <f>VLOOKUP(BA283,MiscData!$Z$5:$AB$46,3,FALSE)</f>
        <v>GS3</v>
      </c>
    </row>
    <row r="284" spans="1:55">
      <c r="A284" s="108">
        <v>267</v>
      </c>
      <c r="B284" s="109" t="str">
        <f t="shared" si="210"/>
        <v>Aug 2015</v>
      </c>
      <c r="C284" s="110" t="str">
        <f t="shared" si="211"/>
        <v>GS3</v>
      </c>
      <c r="D284" s="110" t="str">
        <f t="shared" si="212"/>
        <v>LGCME651</v>
      </c>
      <c r="E284" s="111">
        <f t="shared" si="182"/>
        <v>16355</v>
      </c>
      <c r="F284" s="112">
        <v>0</v>
      </c>
      <c r="G284" s="111">
        <f t="shared" si="183"/>
        <v>0</v>
      </c>
      <c r="H284" s="111">
        <f t="shared" si="184"/>
        <v>0</v>
      </c>
      <c r="I284" s="111">
        <f t="shared" si="185"/>
        <v>0</v>
      </c>
      <c r="J284" s="111">
        <f t="shared" si="186"/>
        <v>103100960</v>
      </c>
      <c r="K284" s="113">
        <f t="shared" si="187"/>
        <v>239619</v>
      </c>
      <c r="L284" s="113">
        <f t="shared" si="188"/>
        <v>0</v>
      </c>
      <c r="M284" s="113">
        <f t="shared" si="189"/>
        <v>0</v>
      </c>
      <c r="N284" s="116">
        <f t="shared" si="190"/>
        <v>35</v>
      </c>
      <c r="O284" s="117">
        <f t="shared" si="178"/>
        <v>9.1340000000000005E-2</v>
      </c>
      <c r="P284" s="117">
        <f t="shared" si="191"/>
        <v>0</v>
      </c>
      <c r="Q284" s="117">
        <f t="shared" si="192"/>
        <v>0</v>
      </c>
      <c r="R284" s="117">
        <f t="shared" si="193"/>
        <v>2.725E-2</v>
      </c>
      <c r="S284" s="116">
        <f t="shared" si="194"/>
        <v>0</v>
      </c>
      <c r="T284" s="116">
        <f t="shared" si="195"/>
        <v>0</v>
      </c>
      <c r="U284" s="116">
        <f t="shared" si="196"/>
        <v>0</v>
      </c>
      <c r="V284" s="118">
        <f t="shared" si="197"/>
        <v>572425</v>
      </c>
      <c r="W284" s="118">
        <f t="shared" si="213"/>
        <v>9417241.6899999995</v>
      </c>
      <c r="X284" s="118">
        <f t="shared" si="214"/>
        <v>0</v>
      </c>
      <c r="Y284" s="118">
        <f t="shared" si="215"/>
        <v>0</v>
      </c>
      <c r="Z284" s="118">
        <f t="shared" si="216"/>
        <v>0</v>
      </c>
      <c r="AA284" s="119">
        <v>0</v>
      </c>
      <c r="AB284" s="120">
        <f t="shared" si="198"/>
        <v>0</v>
      </c>
      <c r="AC284" s="118">
        <f t="shared" si="199"/>
        <v>0</v>
      </c>
      <c r="AD284" s="118">
        <f t="shared" si="217"/>
        <v>9989666.6899999995</v>
      </c>
      <c r="AE284" s="118">
        <f t="shared" si="200"/>
        <v>9989651</v>
      </c>
      <c r="AF284" s="121">
        <f t="shared" si="218"/>
        <v>0.99999800000000005</v>
      </c>
      <c r="AG284" s="122">
        <f t="shared" si="201"/>
        <v>221725</v>
      </c>
      <c r="AH284" s="122">
        <f t="shared" si="202"/>
        <v>208860</v>
      </c>
      <c r="AI284" s="122">
        <f t="shared" si="203"/>
        <v>660710</v>
      </c>
      <c r="AJ284" s="122">
        <f t="shared" si="204"/>
        <v>0</v>
      </c>
      <c r="AK284" s="122">
        <f t="shared" si="205"/>
        <v>0</v>
      </c>
      <c r="AL284" s="122">
        <f t="shared" si="206"/>
        <v>11080946</v>
      </c>
      <c r="AM284" s="123">
        <f t="shared" si="207"/>
        <v>11080961.689999999</v>
      </c>
      <c r="AN284" s="123">
        <f t="shared" si="181"/>
        <v>-15.689999999478459</v>
      </c>
      <c r="AO284" s="124">
        <f t="shared" si="209"/>
        <v>2809501.16</v>
      </c>
      <c r="AP284" s="125">
        <f t="shared" si="219"/>
        <v>6607740.5299999993</v>
      </c>
      <c r="AU284" s="109">
        <f>IF(BA284=1,IF(AU283=MiscData!$F$1,EOMONTH(AU283,-11),EOMONTH(AU283,1)),AU283)</f>
        <v>42247</v>
      </c>
      <c r="AV284" s="108" t="str">
        <f t="shared" si="220"/>
        <v>20140101LGCME651</v>
      </c>
      <c r="AW284" s="126" t="str">
        <f t="shared" si="221"/>
        <v>20140101GS3</v>
      </c>
      <c r="AX284">
        <f>MiscData!$X$5</f>
        <v>20140101</v>
      </c>
      <c r="BA284" s="98">
        <f>IF(BA283+1&gt;MiscData!$Z$42,1,BA283+1)</f>
        <v>15</v>
      </c>
      <c r="BB284" s="98" t="str">
        <f>VLOOKUP(BA284,MiscData!$Z$5:$AB$46,2,FALSE)</f>
        <v>LGCME651</v>
      </c>
      <c r="BC284" s="98" t="str">
        <f>VLOOKUP(BA284,MiscData!$Z$5:$AB$46,3,FALSE)</f>
        <v>GS3</v>
      </c>
    </row>
    <row r="285" spans="1:55">
      <c r="A285" s="108">
        <v>268</v>
      </c>
      <c r="B285" s="109" t="str">
        <f t="shared" si="210"/>
        <v>Aug 2015</v>
      </c>
      <c r="C285" s="110" t="str">
        <f t="shared" si="211"/>
        <v>GS3</v>
      </c>
      <c r="D285" s="110" t="str">
        <f t="shared" si="212"/>
        <v>LGCME652</v>
      </c>
      <c r="E285" s="111">
        <f t="shared" si="182"/>
        <v>0</v>
      </c>
      <c r="F285" s="112">
        <v>0</v>
      </c>
      <c r="G285" s="111">
        <f t="shared" si="183"/>
        <v>0</v>
      </c>
      <c r="H285" s="111">
        <f t="shared" si="184"/>
        <v>0</v>
      </c>
      <c r="I285" s="111">
        <f t="shared" si="185"/>
        <v>0</v>
      </c>
      <c r="J285" s="111">
        <f t="shared" si="186"/>
        <v>0</v>
      </c>
      <c r="K285" s="113">
        <f t="shared" si="187"/>
        <v>0</v>
      </c>
      <c r="L285" s="113">
        <f t="shared" si="188"/>
        <v>0</v>
      </c>
      <c r="M285" s="113">
        <f t="shared" si="189"/>
        <v>0</v>
      </c>
      <c r="N285" s="116">
        <f t="shared" si="190"/>
        <v>0</v>
      </c>
      <c r="O285" s="117">
        <f t="shared" si="178"/>
        <v>9.1340000000000005E-2</v>
      </c>
      <c r="P285" s="117">
        <f t="shared" si="191"/>
        <v>0</v>
      </c>
      <c r="Q285" s="117">
        <f t="shared" si="192"/>
        <v>0</v>
      </c>
      <c r="R285" s="117">
        <f t="shared" si="193"/>
        <v>2.725E-2</v>
      </c>
      <c r="S285" s="116">
        <f t="shared" si="194"/>
        <v>0</v>
      </c>
      <c r="T285" s="116">
        <f t="shared" si="195"/>
        <v>0</v>
      </c>
      <c r="U285" s="116">
        <f t="shared" si="196"/>
        <v>0</v>
      </c>
      <c r="V285" s="118">
        <f t="shared" si="197"/>
        <v>0</v>
      </c>
      <c r="W285" s="118">
        <f t="shared" si="213"/>
        <v>0</v>
      </c>
      <c r="X285" s="118">
        <f t="shared" si="214"/>
        <v>0</v>
      </c>
      <c r="Y285" s="118">
        <f t="shared" si="215"/>
        <v>0</v>
      </c>
      <c r="Z285" s="118">
        <f t="shared" si="216"/>
        <v>0</v>
      </c>
      <c r="AA285" s="119">
        <v>0</v>
      </c>
      <c r="AB285" s="120">
        <f t="shared" si="198"/>
        <v>0</v>
      </c>
      <c r="AC285" s="118">
        <f t="shared" si="199"/>
        <v>0</v>
      </c>
      <c r="AD285" s="118">
        <f t="shared" si="217"/>
        <v>0</v>
      </c>
      <c r="AE285" s="118">
        <f t="shared" si="200"/>
        <v>0</v>
      </c>
      <c r="AF285" s="121">
        <f t="shared" si="218"/>
        <v>1</v>
      </c>
      <c r="AG285" s="122">
        <f t="shared" si="201"/>
        <v>0</v>
      </c>
      <c r="AH285" s="122">
        <f t="shared" si="202"/>
        <v>0</v>
      </c>
      <c r="AI285" s="122">
        <f t="shared" si="203"/>
        <v>0</v>
      </c>
      <c r="AJ285" s="122">
        <f t="shared" si="204"/>
        <v>0</v>
      </c>
      <c r="AK285" s="122">
        <f t="shared" si="205"/>
        <v>0</v>
      </c>
      <c r="AL285" s="122">
        <f t="shared" si="206"/>
        <v>0</v>
      </c>
      <c r="AM285" s="123">
        <f t="shared" si="207"/>
        <v>0</v>
      </c>
      <c r="AN285" s="123">
        <f t="shared" si="181"/>
        <v>0</v>
      </c>
      <c r="AO285" s="124">
        <f t="shared" si="209"/>
        <v>0</v>
      </c>
      <c r="AP285" s="125">
        <f t="shared" si="219"/>
        <v>0</v>
      </c>
      <c r="AU285" s="109">
        <f>IF(BA285=1,IF(AU284=MiscData!$F$1,EOMONTH(AU284,-11),EOMONTH(AU284,1)),AU284)</f>
        <v>42247</v>
      </c>
      <c r="AV285" s="108" t="str">
        <f t="shared" si="220"/>
        <v>20140101LGCME652</v>
      </c>
      <c r="AW285" s="126" t="str">
        <f t="shared" si="221"/>
        <v>20140101GS3</v>
      </c>
      <c r="AX285">
        <f>MiscData!$X$5</f>
        <v>20140101</v>
      </c>
      <c r="BA285" s="98">
        <f>IF(BA284+1&gt;MiscData!$Z$42,1,BA284+1)</f>
        <v>16</v>
      </c>
      <c r="BB285" s="98" t="str">
        <f>VLOOKUP(BA285,MiscData!$Z$5:$AB$46,2,FALSE)</f>
        <v>LGCME652</v>
      </c>
      <c r="BC285" s="98" t="str">
        <f>VLOOKUP(BA285,MiscData!$Z$5:$AB$46,3,FALSE)</f>
        <v>GS3</v>
      </c>
    </row>
    <row r="286" spans="1:55">
      <c r="A286" s="108">
        <v>269</v>
      </c>
      <c r="B286" s="109" t="str">
        <f t="shared" si="210"/>
        <v>Aug 2015</v>
      </c>
      <c r="C286" s="110" t="str">
        <f t="shared" si="211"/>
        <v>GS3</v>
      </c>
      <c r="D286" s="110" t="str">
        <f t="shared" si="212"/>
        <v>LGCME657</v>
      </c>
      <c r="E286" s="111">
        <f t="shared" si="182"/>
        <v>0</v>
      </c>
      <c r="F286" s="112">
        <v>0</v>
      </c>
      <c r="G286" s="111">
        <f t="shared" si="183"/>
        <v>0</v>
      </c>
      <c r="H286" s="111">
        <f t="shared" si="184"/>
        <v>0</v>
      </c>
      <c r="I286" s="111">
        <f t="shared" si="185"/>
        <v>0</v>
      </c>
      <c r="J286" s="111">
        <f t="shared" si="186"/>
        <v>0</v>
      </c>
      <c r="K286" s="113">
        <f t="shared" si="187"/>
        <v>0</v>
      </c>
      <c r="L286" s="113">
        <f t="shared" si="188"/>
        <v>0</v>
      </c>
      <c r="M286" s="113">
        <f t="shared" si="189"/>
        <v>0</v>
      </c>
      <c r="N286" s="116">
        <f t="shared" si="190"/>
        <v>35</v>
      </c>
      <c r="O286" s="117">
        <f t="shared" si="178"/>
        <v>9.1340000000000005E-2</v>
      </c>
      <c r="P286" s="117">
        <f t="shared" si="191"/>
        <v>0</v>
      </c>
      <c r="Q286" s="117">
        <f t="shared" si="192"/>
        <v>0</v>
      </c>
      <c r="R286" s="117">
        <f t="shared" si="193"/>
        <v>2.725E-2</v>
      </c>
      <c r="S286" s="116">
        <f t="shared" si="194"/>
        <v>0</v>
      </c>
      <c r="T286" s="116">
        <f t="shared" si="195"/>
        <v>0</v>
      </c>
      <c r="U286" s="116">
        <f t="shared" si="196"/>
        <v>0</v>
      </c>
      <c r="V286" s="118">
        <f t="shared" si="197"/>
        <v>0</v>
      </c>
      <c r="W286" s="118">
        <f t="shared" si="213"/>
        <v>0</v>
      </c>
      <c r="X286" s="118">
        <f t="shared" si="214"/>
        <v>0</v>
      </c>
      <c r="Y286" s="118">
        <f t="shared" si="215"/>
        <v>0</v>
      </c>
      <c r="Z286" s="118">
        <f t="shared" si="216"/>
        <v>0</v>
      </c>
      <c r="AA286" s="119">
        <v>0</v>
      </c>
      <c r="AB286" s="120">
        <f t="shared" si="198"/>
        <v>0</v>
      </c>
      <c r="AC286" s="118">
        <f t="shared" si="199"/>
        <v>0</v>
      </c>
      <c r="AD286" s="118">
        <f t="shared" si="217"/>
        <v>0</v>
      </c>
      <c r="AE286" s="118">
        <f t="shared" si="200"/>
        <v>0</v>
      </c>
      <c r="AF286" s="121">
        <f t="shared" si="218"/>
        <v>1</v>
      </c>
      <c r="AG286" s="122">
        <f t="shared" si="201"/>
        <v>0</v>
      </c>
      <c r="AH286" s="122">
        <f t="shared" si="202"/>
        <v>0</v>
      </c>
      <c r="AI286" s="122">
        <f t="shared" si="203"/>
        <v>0</v>
      </c>
      <c r="AJ286" s="122">
        <f t="shared" si="204"/>
        <v>0</v>
      </c>
      <c r="AK286" s="122">
        <f t="shared" si="205"/>
        <v>0</v>
      </c>
      <c r="AL286" s="122">
        <f t="shared" si="206"/>
        <v>0</v>
      </c>
      <c r="AM286" s="123">
        <f t="shared" si="207"/>
        <v>0</v>
      </c>
      <c r="AN286" s="123">
        <f t="shared" si="181"/>
        <v>0</v>
      </c>
      <c r="AO286" s="124">
        <f t="shared" si="209"/>
        <v>0</v>
      </c>
      <c r="AP286" s="125">
        <f t="shared" si="219"/>
        <v>0</v>
      </c>
      <c r="AU286" s="109">
        <f>IF(BA286=1,IF(AU285=MiscData!$F$1,EOMONTH(AU285,-11),EOMONTH(AU285,1)),AU285)</f>
        <v>42247</v>
      </c>
      <c r="AV286" s="108" t="str">
        <f t="shared" si="220"/>
        <v>20140101LGCME657</v>
      </c>
      <c r="AW286" s="126" t="str">
        <f t="shared" si="221"/>
        <v>20140101GS3</v>
      </c>
      <c r="AX286">
        <f>MiscData!$X$5</f>
        <v>20140101</v>
      </c>
      <c r="BA286" s="98">
        <f>IF(BA285+1&gt;MiscData!$Z$42,1,BA285+1)</f>
        <v>17</v>
      </c>
      <c r="BB286" s="98" t="str">
        <f>VLOOKUP(BA286,MiscData!$Z$5:$AB$46,2,FALSE)</f>
        <v>LGCME657</v>
      </c>
      <c r="BC286" s="98" t="str">
        <f>VLOOKUP(BA286,MiscData!$Z$5:$AB$46,3,FALSE)</f>
        <v>GS3</v>
      </c>
    </row>
    <row r="287" spans="1:55">
      <c r="A287" s="108">
        <v>270</v>
      </c>
      <c r="B287" s="109" t="str">
        <f t="shared" si="210"/>
        <v>Aug 2015</v>
      </c>
      <c r="C287" s="110" t="str">
        <f t="shared" si="211"/>
        <v>LWC</v>
      </c>
      <c r="D287" s="110" t="str">
        <f t="shared" si="212"/>
        <v>LGCME671</v>
      </c>
      <c r="E287" s="111">
        <f t="shared" si="182"/>
        <v>2</v>
      </c>
      <c r="F287" s="112">
        <v>0</v>
      </c>
      <c r="G287" s="111">
        <f t="shared" si="183"/>
        <v>0</v>
      </c>
      <c r="H287" s="111">
        <f t="shared" si="184"/>
        <v>0</v>
      </c>
      <c r="I287" s="111">
        <f t="shared" si="185"/>
        <v>0</v>
      </c>
      <c r="J287" s="111">
        <f t="shared" si="186"/>
        <v>5119500</v>
      </c>
      <c r="K287" s="113">
        <f t="shared" si="187"/>
        <v>0</v>
      </c>
      <c r="L287" s="113">
        <f t="shared" si="188"/>
        <v>0</v>
      </c>
      <c r="M287" s="113">
        <f t="shared" si="189"/>
        <v>9450</v>
      </c>
      <c r="N287" s="116">
        <f t="shared" si="190"/>
        <v>0</v>
      </c>
      <c r="O287" s="117">
        <f t="shared" si="178"/>
        <v>3.7019999999999997E-2</v>
      </c>
      <c r="P287" s="117">
        <f t="shared" si="191"/>
        <v>0</v>
      </c>
      <c r="Q287" s="117">
        <f t="shared" si="192"/>
        <v>0</v>
      </c>
      <c r="R287" s="117">
        <f t="shared" si="193"/>
        <v>2.725E-2</v>
      </c>
      <c r="S287" s="116">
        <f t="shared" si="194"/>
        <v>0</v>
      </c>
      <c r="T287" s="116">
        <f t="shared" si="195"/>
        <v>10.35</v>
      </c>
      <c r="U287" s="116">
        <f t="shared" si="196"/>
        <v>10.35</v>
      </c>
      <c r="V287" s="118">
        <f t="shared" si="197"/>
        <v>0</v>
      </c>
      <c r="W287" s="118">
        <f t="shared" si="213"/>
        <v>189523.89</v>
      </c>
      <c r="X287" s="118">
        <f t="shared" si="214"/>
        <v>0</v>
      </c>
      <c r="Y287" s="118">
        <f t="shared" si="215"/>
        <v>0</v>
      </c>
      <c r="Z287" s="118">
        <f t="shared" si="216"/>
        <v>97807.5</v>
      </c>
      <c r="AA287" s="119">
        <v>0</v>
      </c>
      <c r="AB287" s="120">
        <f t="shared" si="198"/>
        <v>0</v>
      </c>
      <c r="AC287" s="118">
        <f t="shared" si="199"/>
        <v>97807.5</v>
      </c>
      <c r="AD287" s="118">
        <f t="shared" si="217"/>
        <v>287331.39</v>
      </c>
      <c r="AE287" s="118">
        <f t="shared" si="200"/>
        <v>287334</v>
      </c>
      <c r="AF287" s="121">
        <f t="shared" si="218"/>
        <v>1.0000089999999999</v>
      </c>
      <c r="AG287" s="122">
        <f t="shared" si="201"/>
        <v>11010</v>
      </c>
      <c r="AH287" s="122">
        <f t="shared" si="202"/>
        <v>0</v>
      </c>
      <c r="AI287" s="122">
        <f t="shared" si="203"/>
        <v>32808</v>
      </c>
      <c r="AJ287" s="122">
        <f t="shared" si="204"/>
        <v>0</v>
      </c>
      <c r="AK287" s="122">
        <f t="shared" si="205"/>
        <v>0</v>
      </c>
      <c r="AL287" s="122">
        <f t="shared" si="206"/>
        <v>331152</v>
      </c>
      <c r="AM287" s="123">
        <f t="shared" si="207"/>
        <v>331149.39</v>
      </c>
      <c r="AN287" s="123">
        <f t="shared" si="181"/>
        <v>2.6099999999860302</v>
      </c>
      <c r="AO287" s="124">
        <f t="shared" si="209"/>
        <v>139506.38</v>
      </c>
      <c r="AP287" s="125">
        <f t="shared" si="219"/>
        <v>50017.510000000009</v>
      </c>
      <c r="AU287" s="109">
        <f>IF(BA287=1,IF(AU286=MiscData!$F$1,EOMONTH(AU286,-11),EOMONTH(AU286,1)),AU286)</f>
        <v>42247</v>
      </c>
      <c r="AV287" s="108" t="str">
        <f t="shared" si="220"/>
        <v>20140101LGCME671</v>
      </c>
      <c r="AW287" s="126" t="str">
        <f t="shared" si="221"/>
        <v>20140101LWC</v>
      </c>
      <c r="AX287">
        <f>MiscData!$X$5</f>
        <v>20140101</v>
      </c>
      <c r="BA287" s="98">
        <f>IF(BA286+1&gt;MiscData!$Z$42,1,BA286+1)</f>
        <v>18</v>
      </c>
      <c r="BB287" s="98" t="str">
        <f>VLOOKUP(BA287,MiscData!$Z$5:$AB$46,2,FALSE)</f>
        <v>LGCME671</v>
      </c>
      <c r="BC287" s="98" t="str">
        <f>VLOOKUP(BA287,MiscData!$Z$5:$AB$46,3,FALSE)</f>
        <v>LWC</v>
      </c>
    </row>
    <row r="288" spans="1:55">
      <c r="A288" s="108">
        <v>271</v>
      </c>
      <c r="B288" s="109" t="str">
        <f t="shared" si="210"/>
        <v>Aug 2015</v>
      </c>
      <c r="C288" s="110" t="str">
        <f t="shared" si="211"/>
        <v>CSR</v>
      </c>
      <c r="D288" s="110" t="str">
        <f t="shared" si="212"/>
        <v>LGCSR760</v>
      </c>
      <c r="E288" s="111">
        <f t="shared" si="182"/>
        <v>0</v>
      </c>
      <c r="F288" s="112">
        <v>0</v>
      </c>
      <c r="G288" s="111">
        <f t="shared" si="183"/>
        <v>0</v>
      </c>
      <c r="H288" s="111">
        <f t="shared" si="184"/>
        <v>0</v>
      </c>
      <c r="I288" s="111">
        <f t="shared" si="185"/>
        <v>0</v>
      </c>
      <c r="J288" s="111">
        <f t="shared" si="186"/>
        <v>0</v>
      </c>
      <c r="K288" s="113">
        <f t="shared" si="187"/>
        <v>0</v>
      </c>
      <c r="L288" s="113">
        <f t="shared" si="188"/>
        <v>0</v>
      </c>
      <c r="M288" s="113">
        <f t="shared" si="189"/>
        <v>0</v>
      </c>
      <c r="N288" s="116">
        <f t="shared" si="190"/>
        <v>0</v>
      </c>
      <c r="O288" s="117">
        <f t="shared" si="178"/>
        <v>0</v>
      </c>
      <c r="P288" s="117">
        <f t="shared" si="191"/>
        <v>0</v>
      </c>
      <c r="Q288" s="117">
        <f t="shared" si="192"/>
        <v>0</v>
      </c>
      <c r="R288" s="117">
        <f t="shared" si="193"/>
        <v>0</v>
      </c>
      <c r="S288" s="116">
        <f t="shared" si="194"/>
        <v>0</v>
      </c>
      <c r="T288" s="116">
        <f t="shared" si="195"/>
        <v>0</v>
      </c>
      <c r="U288" s="116">
        <f t="shared" si="196"/>
        <v>0</v>
      </c>
      <c r="V288" s="118">
        <f t="shared" si="197"/>
        <v>0</v>
      </c>
      <c r="W288" s="118">
        <f t="shared" si="213"/>
        <v>0</v>
      </c>
      <c r="X288" s="118">
        <f t="shared" si="214"/>
        <v>0</v>
      </c>
      <c r="Y288" s="118">
        <f t="shared" si="215"/>
        <v>0</v>
      </c>
      <c r="Z288" s="118">
        <f t="shared" si="216"/>
        <v>0</v>
      </c>
      <c r="AA288" s="119">
        <v>0</v>
      </c>
      <c r="AB288" s="120">
        <f t="shared" si="198"/>
        <v>0</v>
      </c>
      <c r="AC288" s="118">
        <f t="shared" si="199"/>
        <v>0</v>
      </c>
      <c r="AD288" s="118">
        <f t="shared" si="217"/>
        <v>0</v>
      </c>
      <c r="AE288" s="118">
        <f t="shared" si="200"/>
        <v>0</v>
      </c>
      <c r="AF288" s="121">
        <f t="shared" si="218"/>
        <v>1</v>
      </c>
      <c r="AG288" s="122">
        <f t="shared" si="201"/>
        <v>0</v>
      </c>
      <c r="AH288" s="122">
        <f t="shared" si="202"/>
        <v>0</v>
      </c>
      <c r="AI288" s="122">
        <f t="shared" si="203"/>
        <v>0</v>
      </c>
      <c r="AJ288" s="122">
        <f t="shared" si="204"/>
        <v>0</v>
      </c>
      <c r="AK288" s="122">
        <f t="shared" si="205"/>
        <v>-286526</v>
      </c>
      <c r="AL288" s="122">
        <f t="shared" si="206"/>
        <v>-286526</v>
      </c>
      <c r="AM288" s="123">
        <f t="shared" si="207"/>
        <v>-286526</v>
      </c>
      <c r="AN288" s="123">
        <f t="shared" si="181"/>
        <v>0</v>
      </c>
      <c r="AO288" s="124">
        <f t="shared" si="209"/>
        <v>0</v>
      </c>
      <c r="AP288" s="125">
        <f t="shared" si="219"/>
        <v>0</v>
      </c>
      <c r="AU288" s="109">
        <f>IF(BA288=1,IF(AU287=MiscData!$F$1,EOMONTH(AU287,-11),EOMONTH(AU287,1)),AU287)</f>
        <v>42247</v>
      </c>
      <c r="AV288" s="108" t="str">
        <f t="shared" si="220"/>
        <v>20140101LGCSR760</v>
      </c>
      <c r="AW288" s="126" t="str">
        <f t="shared" si="221"/>
        <v>20140101CSR</v>
      </c>
      <c r="AX288">
        <f>MiscData!$X$5</f>
        <v>20140101</v>
      </c>
      <c r="BA288" s="98">
        <f>IF(BA287+1&gt;MiscData!$Z$42,1,BA287+1)</f>
        <v>19</v>
      </c>
      <c r="BB288" s="98" t="str">
        <f>VLOOKUP(BA288,MiscData!$Z$5:$AB$46,2,FALSE)</f>
        <v>LGCSR760</v>
      </c>
      <c r="BC288" s="98" t="str">
        <f>VLOOKUP(BA288,MiscData!$Z$5:$AB$46,3,FALSE)</f>
        <v>CSR</v>
      </c>
    </row>
    <row r="289" spans="1:55">
      <c r="A289" s="108">
        <v>272</v>
      </c>
      <c r="B289" s="109" t="str">
        <f t="shared" si="210"/>
        <v>Aug 2015</v>
      </c>
      <c r="C289" s="110" t="str">
        <f t="shared" si="211"/>
        <v>CSR</v>
      </c>
      <c r="D289" s="110" t="str">
        <f t="shared" si="212"/>
        <v>LGCSR780</v>
      </c>
      <c r="E289" s="111">
        <f t="shared" si="182"/>
        <v>0</v>
      </c>
      <c r="F289" s="112">
        <v>0</v>
      </c>
      <c r="G289" s="111">
        <f t="shared" si="183"/>
        <v>0</v>
      </c>
      <c r="H289" s="111">
        <f t="shared" si="184"/>
        <v>0</v>
      </c>
      <c r="I289" s="111">
        <f t="shared" si="185"/>
        <v>0</v>
      </c>
      <c r="J289" s="111">
        <f t="shared" si="186"/>
        <v>0</v>
      </c>
      <c r="K289" s="113">
        <f t="shared" si="187"/>
        <v>0</v>
      </c>
      <c r="L289" s="113">
        <f t="shared" si="188"/>
        <v>0</v>
      </c>
      <c r="M289" s="113">
        <f t="shared" si="189"/>
        <v>0</v>
      </c>
      <c r="N289" s="116">
        <f t="shared" si="190"/>
        <v>0</v>
      </c>
      <c r="O289" s="117">
        <f t="shared" si="178"/>
        <v>0</v>
      </c>
      <c r="P289" s="117">
        <f t="shared" si="191"/>
        <v>0</v>
      </c>
      <c r="Q289" s="117">
        <f t="shared" si="192"/>
        <v>0</v>
      </c>
      <c r="R289" s="117">
        <f t="shared" si="193"/>
        <v>0</v>
      </c>
      <c r="S289" s="116">
        <f t="shared" si="194"/>
        <v>0</v>
      </c>
      <c r="T289" s="116">
        <f t="shared" si="195"/>
        <v>0</v>
      </c>
      <c r="U289" s="116">
        <f t="shared" si="196"/>
        <v>0</v>
      </c>
      <c r="V289" s="118">
        <f t="shared" si="197"/>
        <v>0</v>
      </c>
      <c r="W289" s="118">
        <f t="shared" si="213"/>
        <v>0</v>
      </c>
      <c r="X289" s="118">
        <f t="shared" si="214"/>
        <v>0</v>
      </c>
      <c r="Y289" s="118">
        <f t="shared" si="215"/>
        <v>0</v>
      </c>
      <c r="Z289" s="118">
        <f t="shared" si="216"/>
        <v>0</v>
      </c>
      <c r="AA289" s="119">
        <v>0</v>
      </c>
      <c r="AB289" s="120">
        <f t="shared" si="198"/>
        <v>0</v>
      </c>
      <c r="AC289" s="118">
        <f t="shared" si="199"/>
        <v>0</v>
      </c>
      <c r="AD289" s="118">
        <f t="shared" si="217"/>
        <v>0</v>
      </c>
      <c r="AE289" s="118">
        <f t="shared" si="200"/>
        <v>0</v>
      </c>
      <c r="AF289" s="121">
        <f t="shared" si="218"/>
        <v>1</v>
      </c>
      <c r="AG289" s="122">
        <f t="shared" si="201"/>
        <v>0</v>
      </c>
      <c r="AH289" s="122">
        <f t="shared" si="202"/>
        <v>0</v>
      </c>
      <c r="AI289" s="122">
        <f t="shared" si="203"/>
        <v>0</v>
      </c>
      <c r="AJ289" s="122">
        <f t="shared" si="204"/>
        <v>0</v>
      </c>
      <c r="AK289" s="122">
        <f t="shared" si="205"/>
        <v>0</v>
      </c>
      <c r="AL289" s="122">
        <f t="shared" si="206"/>
        <v>0</v>
      </c>
      <c r="AM289" s="123">
        <f t="shared" si="207"/>
        <v>0</v>
      </c>
      <c r="AN289" s="123">
        <f t="shared" si="181"/>
        <v>0</v>
      </c>
      <c r="AO289" s="124">
        <f t="shared" si="209"/>
        <v>0</v>
      </c>
      <c r="AP289" s="125">
        <f t="shared" si="219"/>
        <v>0</v>
      </c>
      <c r="AU289" s="109">
        <f>IF(BA289=1,IF(AU288=MiscData!$F$1,EOMONTH(AU288,-11),EOMONTH(AU288,1)),AU288)</f>
        <v>42247</v>
      </c>
      <c r="AV289" s="108" t="str">
        <f t="shared" si="220"/>
        <v>20140101LGCSR780</v>
      </c>
      <c r="AW289" s="126" t="str">
        <f t="shared" si="221"/>
        <v>20140101CSR</v>
      </c>
      <c r="AX289">
        <f>MiscData!$X$5</f>
        <v>20140101</v>
      </c>
      <c r="BA289" s="98">
        <f>IF(BA288+1&gt;MiscData!$Z$42,1,BA288+1)</f>
        <v>20</v>
      </c>
      <c r="BB289" s="98" t="str">
        <f>VLOOKUP(BA289,MiscData!$Z$5:$AB$46,2,FALSE)</f>
        <v>LGCSR780</v>
      </c>
      <c r="BC289" s="98" t="str">
        <f>VLOOKUP(BA289,MiscData!$Z$5:$AB$46,3,FALSE)</f>
        <v>CSR</v>
      </c>
    </row>
    <row r="290" spans="1:55">
      <c r="A290" s="108">
        <v>273</v>
      </c>
      <c r="B290" s="109" t="str">
        <f t="shared" si="210"/>
        <v>Aug 2015</v>
      </c>
      <c r="C290" s="110" t="str">
        <f t="shared" si="211"/>
        <v>FK</v>
      </c>
      <c r="D290" s="110" t="str">
        <f t="shared" si="212"/>
        <v>LGINE599</v>
      </c>
      <c r="E290" s="111">
        <f t="shared" si="182"/>
        <v>1</v>
      </c>
      <c r="F290" s="112">
        <v>0</v>
      </c>
      <c r="G290" s="111">
        <f t="shared" si="183"/>
        <v>0</v>
      </c>
      <c r="H290" s="111">
        <f t="shared" si="184"/>
        <v>0</v>
      </c>
      <c r="I290" s="111">
        <f t="shared" si="185"/>
        <v>0</v>
      </c>
      <c r="J290" s="111">
        <f t="shared" si="186"/>
        <v>10824200</v>
      </c>
      <c r="K290" s="113">
        <f t="shared" si="187"/>
        <v>0</v>
      </c>
      <c r="L290" s="113">
        <f t="shared" si="188"/>
        <v>0</v>
      </c>
      <c r="M290" s="113">
        <f t="shared" si="189"/>
        <v>16552</v>
      </c>
      <c r="N290" s="116">
        <f t="shared" si="190"/>
        <v>0</v>
      </c>
      <c r="O290" s="117">
        <f t="shared" si="178"/>
        <v>3.7400000000000003E-2</v>
      </c>
      <c r="P290" s="117">
        <f t="shared" si="191"/>
        <v>0</v>
      </c>
      <c r="Q290" s="117">
        <f t="shared" si="192"/>
        <v>0</v>
      </c>
      <c r="R290" s="117">
        <f t="shared" si="193"/>
        <v>2.725E-2</v>
      </c>
      <c r="S290" s="116">
        <f t="shared" si="194"/>
        <v>0</v>
      </c>
      <c r="T290" s="116">
        <f t="shared" si="195"/>
        <v>12.72</v>
      </c>
      <c r="U290" s="116">
        <f t="shared" si="196"/>
        <v>15.040000000000001</v>
      </c>
      <c r="V290" s="118">
        <f t="shared" si="197"/>
        <v>0</v>
      </c>
      <c r="W290" s="118">
        <f t="shared" si="213"/>
        <v>404825.08</v>
      </c>
      <c r="X290" s="118">
        <f t="shared" si="214"/>
        <v>0</v>
      </c>
      <c r="Y290" s="118">
        <f t="shared" si="215"/>
        <v>0</v>
      </c>
      <c r="Z290" s="118">
        <f t="shared" si="216"/>
        <v>248942.07999999999</v>
      </c>
      <c r="AA290" s="119">
        <v>0</v>
      </c>
      <c r="AB290" s="120">
        <f t="shared" si="198"/>
        <v>0</v>
      </c>
      <c r="AC290" s="118">
        <f t="shared" si="199"/>
        <v>248942.07999999999</v>
      </c>
      <c r="AD290" s="118">
        <f>SUM(V290:AB290)</f>
        <v>653767.16</v>
      </c>
      <c r="AE290" s="118">
        <f t="shared" si="200"/>
        <v>653767</v>
      </c>
      <c r="AF290" s="121">
        <f t="shared" si="218"/>
        <v>1</v>
      </c>
      <c r="AG290" s="122">
        <f t="shared" si="201"/>
        <v>23278</v>
      </c>
      <c r="AH290" s="122">
        <f t="shared" si="202"/>
        <v>0</v>
      </c>
      <c r="AI290" s="122">
        <f t="shared" si="203"/>
        <v>69366</v>
      </c>
      <c r="AJ290" s="122">
        <f t="shared" si="204"/>
        <v>0</v>
      </c>
      <c r="AK290" s="122">
        <f t="shared" si="205"/>
        <v>0</v>
      </c>
      <c r="AL290" s="122">
        <f t="shared" si="206"/>
        <v>746411</v>
      </c>
      <c r="AM290" s="123">
        <f t="shared" si="207"/>
        <v>746411.16</v>
      </c>
      <c r="AN290" s="123">
        <f t="shared" si="181"/>
        <v>-0.16000000003259629</v>
      </c>
      <c r="AO290" s="124">
        <f t="shared" si="209"/>
        <v>294959.45</v>
      </c>
      <c r="AP290" s="125">
        <f t="shared" si="219"/>
        <v>109865.63</v>
      </c>
      <c r="AU290" s="109">
        <f>IF(BA290=1,IF(AU289=MiscData!$F$1,EOMONTH(AU289,-11),EOMONTH(AU289,1)),AU289)</f>
        <v>42247</v>
      </c>
      <c r="AV290" s="108" t="str">
        <f t="shared" si="220"/>
        <v>20140101LGINE599</v>
      </c>
      <c r="AW290" s="126" t="str">
        <f t="shared" si="221"/>
        <v>20140101FK</v>
      </c>
      <c r="AX290">
        <f>MiscData!$X$5</f>
        <v>20140101</v>
      </c>
      <c r="BA290" s="98">
        <f>IF(BA289+1&gt;MiscData!$Z$42,1,BA289+1)</f>
        <v>21</v>
      </c>
      <c r="BB290" s="98" t="str">
        <f>VLOOKUP(BA290,MiscData!$Z$5:$AB$46,2,FALSE)</f>
        <v>LGINE599</v>
      </c>
      <c r="BC290" s="98" t="str">
        <f>VLOOKUP(BA290,MiscData!$Z$5:$AB$46,3,FALSE)</f>
        <v>FK</v>
      </c>
    </row>
    <row r="291" spans="1:55">
      <c r="A291" s="108">
        <v>274</v>
      </c>
      <c r="B291" s="109" t="str">
        <f t="shared" si="210"/>
        <v>Aug 2015</v>
      </c>
      <c r="C291" s="110" t="str">
        <f t="shared" si="211"/>
        <v>RTS</v>
      </c>
      <c r="D291" s="110" t="str">
        <f t="shared" si="212"/>
        <v>LGINE643</v>
      </c>
      <c r="E291" s="111">
        <f t="shared" si="182"/>
        <v>12</v>
      </c>
      <c r="F291" s="112">
        <v>0</v>
      </c>
      <c r="G291" s="111">
        <f t="shared" si="183"/>
        <v>0</v>
      </c>
      <c r="H291" s="111">
        <f t="shared" si="184"/>
        <v>0</v>
      </c>
      <c r="I291" s="111">
        <f t="shared" si="185"/>
        <v>0</v>
      </c>
      <c r="J291" s="111">
        <f t="shared" si="186"/>
        <v>77369757</v>
      </c>
      <c r="K291" s="113">
        <f t="shared" si="187"/>
        <v>158091</v>
      </c>
      <c r="L291" s="113">
        <f t="shared" si="188"/>
        <v>152483</v>
      </c>
      <c r="M291" s="113">
        <f t="shared" si="189"/>
        <v>100356</v>
      </c>
      <c r="N291" s="116">
        <f t="shared" si="190"/>
        <v>750</v>
      </c>
      <c r="O291" s="117">
        <f t="shared" si="178"/>
        <v>3.61E-2</v>
      </c>
      <c r="P291" s="117">
        <f t="shared" si="191"/>
        <v>0</v>
      </c>
      <c r="Q291" s="117">
        <f t="shared" si="192"/>
        <v>0</v>
      </c>
      <c r="R291" s="117">
        <f t="shared" si="193"/>
        <v>2.725E-2</v>
      </c>
      <c r="S291" s="116">
        <f t="shared" si="194"/>
        <v>2.75</v>
      </c>
      <c r="T291" s="116">
        <f t="shared" si="195"/>
        <v>3</v>
      </c>
      <c r="U291" s="116">
        <f t="shared" si="196"/>
        <v>4.5500000000000007</v>
      </c>
      <c r="V291" s="118">
        <f t="shared" si="197"/>
        <v>9000</v>
      </c>
      <c r="W291" s="118">
        <f t="shared" si="213"/>
        <v>2793048.23</v>
      </c>
      <c r="X291" s="118">
        <f t="shared" si="214"/>
        <v>434750.25</v>
      </c>
      <c r="Y291" s="118">
        <f t="shared" si="215"/>
        <v>457449</v>
      </c>
      <c r="Z291" s="118">
        <f t="shared" si="216"/>
        <v>456619.8</v>
      </c>
      <c r="AA291" s="119">
        <v>0</v>
      </c>
      <c r="AB291" s="120">
        <f t="shared" si="198"/>
        <v>0</v>
      </c>
      <c r="AC291" s="118">
        <f t="shared" si="199"/>
        <v>1348819.05</v>
      </c>
      <c r="AD291" s="118">
        <f t="shared" si="217"/>
        <v>4150867.28</v>
      </c>
      <c r="AE291" s="118">
        <f t="shared" si="200"/>
        <v>4150865</v>
      </c>
      <c r="AF291" s="121">
        <f t="shared" si="218"/>
        <v>0.99999899999999997</v>
      </c>
      <c r="AG291" s="122">
        <f t="shared" si="201"/>
        <v>166388</v>
      </c>
      <c r="AH291" s="122">
        <f t="shared" si="202"/>
        <v>0</v>
      </c>
      <c r="AI291" s="122">
        <f t="shared" si="203"/>
        <v>495815</v>
      </c>
      <c r="AJ291" s="122">
        <f t="shared" si="204"/>
        <v>0</v>
      </c>
      <c r="AK291" s="122">
        <f t="shared" si="205"/>
        <v>0</v>
      </c>
      <c r="AL291" s="122">
        <f t="shared" si="206"/>
        <v>4813068</v>
      </c>
      <c r="AM291" s="123">
        <f t="shared" si="207"/>
        <v>4813070.2799999993</v>
      </c>
      <c r="AN291" s="123">
        <f t="shared" si="181"/>
        <v>-2.2799999993294477</v>
      </c>
      <c r="AO291" s="124">
        <f t="shared" si="209"/>
        <v>2108325.88</v>
      </c>
      <c r="AP291" s="125">
        <f t="shared" si="219"/>
        <v>684722.35000000009</v>
      </c>
      <c r="AU291" s="109">
        <f>IF(BA291=1,IF(AU290=MiscData!$F$1,EOMONTH(AU290,-11),EOMONTH(AU290,1)),AU290)</f>
        <v>42247</v>
      </c>
      <c r="AV291" s="108" t="str">
        <f t="shared" si="220"/>
        <v>20140101LGINE643</v>
      </c>
      <c r="AW291" s="126" t="str">
        <f t="shared" si="221"/>
        <v>20140101RTS</v>
      </c>
      <c r="AX291">
        <f>MiscData!$X$5</f>
        <v>20140101</v>
      </c>
      <c r="BA291" s="98">
        <f>IF(BA290+1&gt;MiscData!$Z$42,1,BA290+1)</f>
        <v>22</v>
      </c>
      <c r="BB291" s="98" t="str">
        <f>VLOOKUP(BA291,MiscData!$Z$5:$AB$46,2,FALSE)</f>
        <v>LGINE643</v>
      </c>
      <c r="BC291" s="98" t="str">
        <f>VLOOKUP(BA291,MiscData!$Z$5:$AB$46,3,FALSE)</f>
        <v>RTS</v>
      </c>
    </row>
    <row r="292" spans="1:55">
      <c r="A292" s="108">
        <v>275</v>
      </c>
      <c r="B292" s="109" t="str">
        <f t="shared" si="210"/>
        <v>Aug 2015</v>
      </c>
      <c r="C292" s="110" t="str">
        <f t="shared" si="211"/>
        <v>PSS</v>
      </c>
      <c r="D292" s="110" t="str">
        <f t="shared" si="212"/>
        <v>LGINE661</v>
      </c>
      <c r="E292" s="111">
        <f t="shared" si="182"/>
        <v>216</v>
      </c>
      <c r="F292" s="112">
        <v>0</v>
      </c>
      <c r="G292" s="111">
        <f t="shared" si="183"/>
        <v>0</v>
      </c>
      <c r="H292" s="111">
        <f t="shared" si="184"/>
        <v>0</v>
      </c>
      <c r="I292" s="111">
        <f t="shared" si="185"/>
        <v>0</v>
      </c>
      <c r="J292" s="111">
        <f t="shared" si="186"/>
        <v>22942935</v>
      </c>
      <c r="K292" s="113">
        <f t="shared" si="187"/>
        <v>0</v>
      </c>
      <c r="L292" s="113">
        <f t="shared" si="188"/>
        <v>0</v>
      </c>
      <c r="M292" s="113">
        <f t="shared" si="189"/>
        <v>70377</v>
      </c>
      <c r="N292" s="116">
        <f t="shared" si="190"/>
        <v>90</v>
      </c>
      <c r="O292" s="117">
        <f t="shared" si="178"/>
        <v>4.0599999999999997E-2</v>
      </c>
      <c r="P292" s="117">
        <f t="shared" si="191"/>
        <v>0</v>
      </c>
      <c r="Q292" s="117">
        <f t="shared" si="192"/>
        <v>0</v>
      </c>
      <c r="R292" s="117">
        <f t="shared" si="193"/>
        <v>2.725E-2</v>
      </c>
      <c r="S292" s="116">
        <f t="shared" si="194"/>
        <v>0</v>
      </c>
      <c r="T292" s="116">
        <f t="shared" si="195"/>
        <v>14.010000000000002</v>
      </c>
      <c r="U292" s="116">
        <f t="shared" si="196"/>
        <v>16.399999999999999</v>
      </c>
      <c r="V292" s="118">
        <f t="shared" si="197"/>
        <v>19440</v>
      </c>
      <c r="W292" s="118">
        <f t="shared" si="213"/>
        <v>931483.16</v>
      </c>
      <c r="X292" s="118">
        <f t="shared" si="214"/>
        <v>0</v>
      </c>
      <c r="Y292" s="118">
        <f t="shared" si="215"/>
        <v>0</v>
      </c>
      <c r="Z292" s="118">
        <f t="shared" si="216"/>
        <v>1154182.8</v>
      </c>
      <c r="AA292" s="119">
        <v>0</v>
      </c>
      <c r="AB292" s="120">
        <f t="shared" si="198"/>
        <v>0</v>
      </c>
      <c r="AC292" s="118">
        <f t="shared" si="199"/>
        <v>1154182.8</v>
      </c>
      <c r="AD292" s="118">
        <f t="shared" si="217"/>
        <v>2105105.96</v>
      </c>
      <c r="AE292" s="118">
        <f t="shared" si="200"/>
        <v>2105103</v>
      </c>
      <c r="AF292" s="121">
        <f t="shared" si="218"/>
        <v>0.99999899999999997</v>
      </c>
      <c r="AG292" s="122">
        <f t="shared" si="201"/>
        <v>49340</v>
      </c>
      <c r="AH292" s="122">
        <f t="shared" si="202"/>
        <v>46477</v>
      </c>
      <c r="AI292" s="122">
        <f t="shared" si="203"/>
        <v>147027</v>
      </c>
      <c r="AJ292" s="122">
        <f t="shared" si="204"/>
        <v>0</v>
      </c>
      <c r="AK292" s="122">
        <f t="shared" si="205"/>
        <v>0</v>
      </c>
      <c r="AL292" s="122">
        <f t="shared" si="206"/>
        <v>2347947</v>
      </c>
      <c r="AM292" s="123">
        <f t="shared" si="207"/>
        <v>2347949.96</v>
      </c>
      <c r="AN292" s="123">
        <f t="shared" si="181"/>
        <v>-2.9599999999627471</v>
      </c>
      <c r="AO292" s="124">
        <f t="shared" si="209"/>
        <v>625194.98</v>
      </c>
      <c r="AP292" s="125">
        <f t="shared" si="219"/>
        <v>306288.18000000005</v>
      </c>
      <c r="AU292" s="109">
        <f>IF(BA292=1,IF(AU291=MiscData!$F$1,EOMONTH(AU291,-11),EOMONTH(AU291,1)),AU291)</f>
        <v>42247</v>
      </c>
      <c r="AV292" s="108" t="str">
        <f t="shared" si="220"/>
        <v>20140101LGINE661</v>
      </c>
      <c r="AW292" s="126" t="str">
        <f t="shared" si="221"/>
        <v>20140101PSS</v>
      </c>
      <c r="AX292">
        <f>MiscData!$X$5</f>
        <v>20140101</v>
      </c>
      <c r="BA292" s="98">
        <f>IF(BA291+1&gt;MiscData!$Z$42,1,BA291+1)</f>
        <v>23</v>
      </c>
      <c r="BB292" s="98" t="str">
        <f>VLOOKUP(BA292,MiscData!$Z$5:$AB$46,2,FALSE)</f>
        <v>LGINE661</v>
      </c>
      <c r="BC292" s="98" t="str">
        <f>VLOOKUP(BA292,MiscData!$Z$5:$AB$46,3,FALSE)</f>
        <v>PSS</v>
      </c>
    </row>
    <row r="293" spans="1:55">
      <c r="A293" s="108">
        <v>276</v>
      </c>
      <c r="B293" s="109" t="str">
        <f t="shared" si="210"/>
        <v>Aug 2015</v>
      </c>
      <c r="C293" s="110" t="str">
        <f t="shared" si="211"/>
        <v>PSP</v>
      </c>
      <c r="D293" s="110" t="str">
        <f t="shared" si="212"/>
        <v>LGINE663</v>
      </c>
      <c r="E293" s="111">
        <f t="shared" si="182"/>
        <v>21</v>
      </c>
      <c r="F293" s="112">
        <v>0</v>
      </c>
      <c r="G293" s="111">
        <f t="shared" si="183"/>
        <v>0</v>
      </c>
      <c r="H293" s="111">
        <f t="shared" si="184"/>
        <v>0</v>
      </c>
      <c r="I293" s="111">
        <f t="shared" si="185"/>
        <v>0</v>
      </c>
      <c r="J293" s="111">
        <f t="shared" si="186"/>
        <v>1251083</v>
      </c>
      <c r="K293" s="113">
        <f t="shared" si="187"/>
        <v>0</v>
      </c>
      <c r="L293" s="113">
        <f t="shared" si="188"/>
        <v>0</v>
      </c>
      <c r="M293" s="113">
        <f t="shared" si="189"/>
        <v>4452</v>
      </c>
      <c r="N293" s="116">
        <f t="shared" si="190"/>
        <v>170</v>
      </c>
      <c r="O293" s="117">
        <f t="shared" si="178"/>
        <v>3.9260000000000003E-2</v>
      </c>
      <c r="P293" s="117">
        <f t="shared" si="191"/>
        <v>0</v>
      </c>
      <c r="Q293" s="117">
        <f t="shared" si="192"/>
        <v>0</v>
      </c>
      <c r="R293" s="117">
        <f t="shared" si="193"/>
        <v>2.725E-2</v>
      </c>
      <c r="S293" s="116">
        <f t="shared" si="194"/>
        <v>0</v>
      </c>
      <c r="T293" s="116">
        <f t="shared" si="195"/>
        <v>11.660000000000002</v>
      </c>
      <c r="U293" s="116">
        <f t="shared" si="196"/>
        <v>13.950000000000001</v>
      </c>
      <c r="V293" s="118">
        <f t="shared" si="197"/>
        <v>3570</v>
      </c>
      <c r="W293" s="118">
        <f t="shared" si="213"/>
        <v>49117.52</v>
      </c>
      <c r="X293" s="118">
        <f t="shared" si="214"/>
        <v>0</v>
      </c>
      <c r="Y293" s="118">
        <f t="shared" si="215"/>
        <v>0</v>
      </c>
      <c r="Z293" s="118">
        <f t="shared" si="216"/>
        <v>62105.4</v>
      </c>
      <c r="AA293" s="119">
        <v>0</v>
      </c>
      <c r="AB293" s="120">
        <f t="shared" si="198"/>
        <v>0</v>
      </c>
      <c r="AC293" s="118">
        <f t="shared" si="199"/>
        <v>62105.4</v>
      </c>
      <c r="AD293" s="118">
        <f t="shared" si="217"/>
        <v>114792.92</v>
      </c>
      <c r="AE293" s="118">
        <f t="shared" si="200"/>
        <v>114789</v>
      </c>
      <c r="AF293" s="121">
        <f t="shared" si="218"/>
        <v>0.99996600000000002</v>
      </c>
      <c r="AG293" s="122">
        <f t="shared" si="201"/>
        <v>2691</v>
      </c>
      <c r="AH293" s="122">
        <f t="shared" si="202"/>
        <v>2534</v>
      </c>
      <c r="AI293" s="122">
        <f t="shared" si="203"/>
        <v>8017</v>
      </c>
      <c r="AJ293" s="122">
        <f t="shared" si="204"/>
        <v>0</v>
      </c>
      <c r="AK293" s="122">
        <f t="shared" si="205"/>
        <v>0</v>
      </c>
      <c r="AL293" s="122">
        <f t="shared" si="206"/>
        <v>128031</v>
      </c>
      <c r="AM293" s="123">
        <f t="shared" si="207"/>
        <v>128034.92</v>
      </c>
      <c r="AN293" s="123">
        <f t="shared" ref="AN293:AN298" si="223">AL293-AM293</f>
        <v>-3.9199999999982538</v>
      </c>
      <c r="AO293" s="124">
        <f t="shared" si="209"/>
        <v>34092.01</v>
      </c>
      <c r="AP293" s="125">
        <f t="shared" si="219"/>
        <v>15025.509999999995</v>
      </c>
      <c r="AU293" s="109">
        <f>IF(BA293=1,IF(AU292=MiscData!$F$1,EOMONTH(AU292,-11),EOMONTH(AU292,1)),AU292)</f>
        <v>42247</v>
      </c>
      <c r="AV293" s="108" t="str">
        <f t="shared" si="220"/>
        <v>20140101LGINE663</v>
      </c>
      <c r="AW293" s="126" t="str">
        <f t="shared" si="221"/>
        <v>20140101PSP</v>
      </c>
      <c r="AX293">
        <f>MiscData!$X$5</f>
        <v>20140101</v>
      </c>
      <c r="BA293" s="98">
        <f>IF(BA292+1&gt;MiscData!$Z$42,1,BA292+1)</f>
        <v>24</v>
      </c>
      <c r="BB293" s="98" t="str">
        <f>VLOOKUP(BA293,MiscData!$Z$5:$AB$46,2,FALSE)</f>
        <v>LGINE663</v>
      </c>
      <c r="BC293" s="98" t="str">
        <f>VLOOKUP(BA293,MiscData!$Z$5:$AB$46,3,FALSE)</f>
        <v>PSP</v>
      </c>
    </row>
    <row r="294" spans="1:55">
      <c r="A294" s="108">
        <v>277</v>
      </c>
      <c r="B294" s="109" t="str">
        <f t="shared" si="210"/>
        <v>Aug 2015</v>
      </c>
      <c r="C294" s="110" t="str">
        <f t="shared" si="211"/>
        <v>TODS</v>
      </c>
      <c r="D294" s="110" t="str">
        <f t="shared" si="212"/>
        <v>LGINE691</v>
      </c>
      <c r="E294" s="111">
        <f t="shared" si="182"/>
        <v>94</v>
      </c>
      <c r="F294" s="112">
        <v>0</v>
      </c>
      <c r="G294" s="111">
        <f t="shared" si="183"/>
        <v>0</v>
      </c>
      <c r="H294" s="111">
        <f t="shared" si="184"/>
        <v>0</v>
      </c>
      <c r="I294" s="111">
        <f t="shared" si="185"/>
        <v>0</v>
      </c>
      <c r="J294" s="111">
        <f t="shared" si="186"/>
        <v>23497311</v>
      </c>
      <c r="K294" s="113">
        <f t="shared" si="187"/>
        <v>57193</v>
      </c>
      <c r="L294" s="113">
        <f t="shared" si="188"/>
        <v>53980</v>
      </c>
      <c r="M294" s="113">
        <f t="shared" si="189"/>
        <v>52025</v>
      </c>
      <c r="N294" s="116">
        <f t="shared" si="190"/>
        <v>200</v>
      </c>
      <c r="O294" s="117">
        <f t="shared" si="178"/>
        <v>3.9899999999999998E-2</v>
      </c>
      <c r="P294" s="117">
        <f t="shared" si="191"/>
        <v>0</v>
      </c>
      <c r="Q294" s="117">
        <f t="shared" si="192"/>
        <v>0</v>
      </c>
      <c r="R294" s="117">
        <f t="shared" si="193"/>
        <v>2.725E-2</v>
      </c>
      <c r="S294" s="116">
        <f t="shared" si="194"/>
        <v>4</v>
      </c>
      <c r="T294" s="116">
        <f t="shared" si="195"/>
        <v>4.5100000000000007</v>
      </c>
      <c r="U294" s="116">
        <f t="shared" si="196"/>
        <v>6.11</v>
      </c>
      <c r="V294" s="118">
        <f t="shared" si="197"/>
        <v>18800</v>
      </c>
      <c r="W294" s="118">
        <f t="shared" si="213"/>
        <v>937542.71</v>
      </c>
      <c r="X294" s="118">
        <f t="shared" si="214"/>
        <v>228772</v>
      </c>
      <c r="Y294" s="118">
        <f t="shared" si="215"/>
        <v>243449.8</v>
      </c>
      <c r="Z294" s="118">
        <f t="shared" si="216"/>
        <v>317872.75</v>
      </c>
      <c r="AA294" s="119">
        <v>0</v>
      </c>
      <c r="AB294" s="120">
        <f t="shared" si="198"/>
        <v>0</v>
      </c>
      <c r="AC294" s="118">
        <f t="shared" si="199"/>
        <v>790094.55</v>
      </c>
      <c r="AD294" s="118">
        <f t="shared" si="217"/>
        <v>1746437.26</v>
      </c>
      <c r="AE294" s="118">
        <f t="shared" si="200"/>
        <v>1746437</v>
      </c>
      <c r="AF294" s="121">
        <f t="shared" si="218"/>
        <v>1</v>
      </c>
      <c r="AG294" s="122">
        <f t="shared" si="201"/>
        <v>50532</v>
      </c>
      <c r="AH294" s="122">
        <f t="shared" si="202"/>
        <v>47601</v>
      </c>
      <c r="AI294" s="122">
        <f t="shared" si="203"/>
        <v>150580</v>
      </c>
      <c r="AJ294" s="122">
        <f t="shared" si="204"/>
        <v>0</v>
      </c>
      <c r="AK294" s="122">
        <f t="shared" si="205"/>
        <v>0</v>
      </c>
      <c r="AL294" s="122">
        <f t="shared" si="206"/>
        <v>1995150</v>
      </c>
      <c r="AM294" s="123">
        <f t="shared" si="207"/>
        <v>1995150.26</v>
      </c>
      <c r="AN294" s="123">
        <f t="shared" si="223"/>
        <v>-0.26000000000931323</v>
      </c>
      <c r="AO294" s="124">
        <f t="shared" si="209"/>
        <v>640301.72</v>
      </c>
      <c r="AP294" s="125">
        <f t="shared" si="219"/>
        <v>297240.99</v>
      </c>
      <c r="AU294" s="109">
        <f>IF(BA294=1,IF(AU293=MiscData!$F$1,EOMONTH(AU293,-11),EOMONTH(AU293,1)),AU293)</f>
        <v>42247</v>
      </c>
      <c r="AV294" s="108" t="str">
        <f t="shared" si="220"/>
        <v>20140101LGINE691</v>
      </c>
      <c r="AW294" s="126" t="str">
        <f t="shared" si="221"/>
        <v>20140101TODS</v>
      </c>
      <c r="AX294">
        <f>MiscData!$X$5</f>
        <v>20140101</v>
      </c>
      <c r="BA294" s="98">
        <f>IF(BA293+1&gt;MiscData!$Z$42,1,BA293+1)</f>
        <v>25</v>
      </c>
      <c r="BB294" s="98" t="str">
        <f>VLOOKUP(BA294,MiscData!$Z$5:$AB$46,2,FALSE)</f>
        <v>LGINE691</v>
      </c>
      <c r="BC294" s="98" t="str">
        <f>VLOOKUP(BA294,MiscData!$Z$5:$AB$46,3,FALSE)</f>
        <v>TODS</v>
      </c>
    </row>
    <row r="295" spans="1:55">
      <c r="A295" s="108">
        <v>278</v>
      </c>
      <c r="B295" s="109" t="str">
        <f t="shared" si="210"/>
        <v>Aug 2015</v>
      </c>
      <c r="C295" s="110" t="str">
        <f t="shared" si="211"/>
        <v>ITODP</v>
      </c>
      <c r="D295" s="110" t="str">
        <f t="shared" si="212"/>
        <v>LGINE693</v>
      </c>
      <c r="E295" s="111">
        <f t="shared" si="182"/>
        <v>69</v>
      </c>
      <c r="F295" s="112">
        <v>0</v>
      </c>
      <c r="G295" s="111">
        <f t="shared" si="183"/>
        <v>0</v>
      </c>
      <c r="H295" s="111">
        <f t="shared" si="184"/>
        <v>0</v>
      </c>
      <c r="I295" s="111">
        <f t="shared" si="185"/>
        <v>0</v>
      </c>
      <c r="J295" s="111">
        <f t="shared" si="186"/>
        <v>157760478</v>
      </c>
      <c r="K295" s="113">
        <f t="shared" si="187"/>
        <v>380170</v>
      </c>
      <c r="L295" s="113">
        <f t="shared" si="188"/>
        <v>345142</v>
      </c>
      <c r="M295" s="113">
        <f t="shared" si="189"/>
        <v>340557</v>
      </c>
      <c r="N295" s="116">
        <f t="shared" si="190"/>
        <v>300</v>
      </c>
      <c r="O295" s="117">
        <f t="shared" si="178"/>
        <v>3.5380000000000002E-2</v>
      </c>
      <c r="P295" s="117">
        <f t="shared" si="191"/>
        <v>0</v>
      </c>
      <c r="Q295" s="117">
        <f t="shared" si="192"/>
        <v>0</v>
      </c>
      <c r="R295" s="117">
        <f t="shared" si="193"/>
        <v>2.725E-2</v>
      </c>
      <c r="S295" s="116">
        <f t="shared" si="194"/>
        <v>3.6300000000000003</v>
      </c>
      <c r="T295" s="116">
        <f t="shared" si="195"/>
        <v>3.7900000000000005</v>
      </c>
      <c r="U295" s="116">
        <f t="shared" si="196"/>
        <v>4.63</v>
      </c>
      <c r="V295" s="118">
        <f t="shared" si="197"/>
        <v>20700</v>
      </c>
      <c r="W295" s="118">
        <f t="shared" si="213"/>
        <v>5581565.71</v>
      </c>
      <c r="X295" s="118">
        <f t="shared" si="214"/>
        <v>1380017.1</v>
      </c>
      <c r="Y295" s="118">
        <f t="shared" si="215"/>
        <v>1308088.18</v>
      </c>
      <c r="Z295" s="118">
        <f t="shared" si="216"/>
        <v>1576778.91</v>
      </c>
      <c r="AA295" s="119">
        <v>0</v>
      </c>
      <c r="AB295" s="120">
        <f t="shared" si="198"/>
        <v>0</v>
      </c>
      <c r="AC295" s="118">
        <f t="shared" si="199"/>
        <v>4264884.1900000004</v>
      </c>
      <c r="AD295" s="118">
        <f t="shared" si="217"/>
        <v>9867149.9000000004</v>
      </c>
      <c r="AE295" s="118">
        <f t="shared" si="200"/>
        <v>9867153</v>
      </c>
      <c r="AF295" s="121">
        <f t="shared" si="218"/>
        <v>1</v>
      </c>
      <c r="AG295" s="122">
        <f t="shared" si="201"/>
        <v>339274</v>
      </c>
      <c r="AH295" s="122">
        <f t="shared" si="202"/>
        <v>319589</v>
      </c>
      <c r="AI295" s="122">
        <f t="shared" si="203"/>
        <v>1010989</v>
      </c>
      <c r="AJ295" s="122">
        <f t="shared" si="204"/>
        <v>0</v>
      </c>
      <c r="AK295" s="122">
        <f t="shared" si="205"/>
        <v>0</v>
      </c>
      <c r="AL295" s="122">
        <f t="shared" si="206"/>
        <v>11537005</v>
      </c>
      <c r="AM295" s="123">
        <f t="shared" si="207"/>
        <v>11537001.9</v>
      </c>
      <c r="AN295" s="123">
        <f t="shared" si="223"/>
        <v>3.099999999627471</v>
      </c>
      <c r="AO295" s="124">
        <f t="shared" si="209"/>
        <v>4298973.03</v>
      </c>
      <c r="AP295" s="125">
        <f t="shared" si="219"/>
        <v>1282592.6799999997</v>
      </c>
      <c r="AU295" s="109">
        <f>IF(BA295=1,IF(AU294=MiscData!$F$1,EOMONTH(AU294,-11),EOMONTH(AU294,1)),AU294)</f>
        <v>42247</v>
      </c>
      <c r="AV295" s="108" t="str">
        <f t="shared" si="220"/>
        <v>20140101LGINE693</v>
      </c>
      <c r="AW295" s="126" t="str">
        <f t="shared" si="221"/>
        <v>20140101ITODP</v>
      </c>
      <c r="AX295">
        <f>MiscData!$X$5</f>
        <v>20140101</v>
      </c>
      <c r="BA295" s="98">
        <f>IF(BA294+1&gt;MiscData!$Z$42,1,BA294+1)</f>
        <v>26</v>
      </c>
      <c r="BB295" s="98" t="str">
        <f>VLOOKUP(BA295,MiscData!$Z$5:$AB$46,2,FALSE)</f>
        <v>LGINE693</v>
      </c>
      <c r="BC295" s="98" t="str">
        <f>VLOOKUP(BA295,MiscData!$Z$5:$AB$46,3,FALSE)</f>
        <v>ITODP</v>
      </c>
    </row>
    <row r="296" spans="1:55">
      <c r="A296" s="108">
        <v>279</v>
      </c>
      <c r="B296" s="109" t="str">
        <f t="shared" si="210"/>
        <v>Aug 2015</v>
      </c>
      <c r="C296" s="110" t="str">
        <f t="shared" si="211"/>
        <v>ITODP</v>
      </c>
      <c r="D296" s="110" t="str">
        <f t="shared" si="212"/>
        <v>LGINE694</v>
      </c>
      <c r="E296" s="111">
        <f t="shared" si="182"/>
        <v>0</v>
      </c>
      <c r="F296" s="112">
        <v>0</v>
      </c>
      <c r="G296" s="111">
        <f t="shared" si="183"/>
        <v>0</v>
      </c>
      <c r="H296" s="111">
        <f t="shared" si="184"/>
        <v>0</v>
      </c>
      <c r="I296" s="111">
        <f t="shared" si="185"/>
        <v>0</v>
      </c>
      <c r="J296" s="111">
        <f t="shared" si="186"/>
        <v>0</v>
      </c>
      <c r="K296" s="113">
        <f t="shared" si="187"/>
        <v>0</v>
      </c>
      <c r="L296" s="113">
        <f t="shared" si="188"/>
        <v>0</v>
      </c>
      <c r="M296" s="113">
        <f t="shared" si="189"/>
        <v>0</v>
      </c>
      <c r="N296" s="116">
        <f t="shared" si="190"/>
        <v>300</v>
      </c>
      <c r="O296" s="117">
        <f t="shared" si="178"/>
        <v>3.5380000000000002E-2</v>
      </c>
      <c r="P296" s="117">
        <f t="shared" si="191"/>
        <v>0</v>
      </c>
      <c r="Q296" s="117">
        <f t="shared" si="192"/>
        <v>0</v>
      </c>
      <c r="R296" s="117">
        <f t="shared" si="193"/>
        <v>2.725E-2</v>
      </c>
      <c r="S296" s="116">
        <f t="shared" si="194"/>
        <v>3.6300000000000003</v>
      </c>
      <c r="T296" s="116">
        <f t="shared" si="195"/>
        <v>3.7900000000000005</v>
      </c>
      <c r="U296" s="116">
        <f t="shared" si="196"/>
        <v>4.63</v>
      </c>
      <c r="V296" s="118">
        <f t="shared" si="197"/>
        <v>0</v>
      </c>
      <c r="W296" s="118">
        <f t="shared" si="213"/>
        <v>0</v>
      </c>
      <c r="X296" s="118">
        <f t="shared" si="214"/>
        <v>0</v>
      </c>
      <c r="Y296" s="118">
        <f t="shared" si="215"/>
        <v>0</v>
      </c>
      <c r="Z296" s="118">
        <f t="shared" si="216"/>
        <v>0</v>
      </c>
      <c r="AA296" s="119">
        <v>0</v>
      </c>
      <c r="AB296" s="120">
        <f t="shared" si="198"/>
        <v>0</v>
      </c>
      <c r="AC296" s="118">
        <f t="shared" si="199"/>
        <v>0</v>
      </c>
      <c r="AD296" s="118">
        <f t="shared" si="217"/>
        <v>0</v>
      </c>
      <c r="AE296" s="118">
        <f t="shared" si="200"/>
        <v>0</v>
      </c>
      <c r="AF296" s="121">
        <f t="shared" si="218"/>
        <v>1</v>
      </c>
      <c r="AG296" s="122">
        <f t="shared" si="201"/>
        <v>0</v>
      </c>
      <c r="AH296" s="122">
        <f t="shared" si="202"/>
        <v>0</v>
      </c>
      <c r="AI296" s="122">
        <f t="shared" si="203"/>
        <v>0</v>
      </c>
      <c r="AJ296" s="122">
        <f t="shared" si="204"/>
        <v>0</v>
      </c>
      <c r="AK296" s="122">
        <f t="shared" si="205"/>
        <v>0</v>
      </c>
      <c r="AL296" s="122">
        <f t="shared" si="206"/>
        <v>0</v>
      </c>
      <c r="AM296" s="123">
        <f t="shared" si="207"/>
        <v>0</v>
      </c>
      <c r="AN296" s="123">
        <f t="shared" si="223"/>
        <v>0</v>
      </c>
      <c r="AO296" s="124">
        <f t="shared" si="209"/>
        <v>0</v>
      </c>
      <c r="AP296" s="125">
        <f t="shared" si="219"/>
        <v>0</v>
      </c>
      <c r="AU296" s="109">
        <f>IF(BA296=1,IF(AU295=MiscData!$F$1,EOMONTH(AU295,-11),EOMONTH(AU295,1)),AU295)</f>
        <v>42247</v>
      </c>
      <c r="AV296" s="108" t="str">
        <f t="shared" si="220"/>
        <v>20140101LGINE694</v>
      </c>
      <c r="AW296" s="126" t="str">
        <f t="shared" si="221"/>
        <v>20140101ITODP</v>
      </c>
      <c r="AX296">
        <f>MiscData!$X$5</f>
        <v>20140101</v>
      </c>
      <c r="BA296" s="98">
        <f>IF(BA295+1&gt;MiscData!$Z$42,1,BA295+1)</f>
        <v>27</v>
      </c>
      <c r="BB296" s="98" t="str">
        <f>VLOOKUP(BA296,MiscData!$Z$5:$AB$46,2,FALSE)</f>
        <v>LGINE694</v>
      </c>
      <c r="BC296" s="98" t="str">
        <f>VLOOKUP(BA296,MiscData!$Z$5:$AB$46,3,FALSE)</f>
        <v>ITODP</v>
      </c>
    </row>
    <row r="297" spans="1:55">
      <c r="A297" s="108">
        <v>280</v>
      </c>
      <c r="B297" s="109" t="str">
        <f t="shared" si="210"/>
        <v>Aug 2015</v>
      </c>
      <c r="C297" s="110" t="str">
        <f t="shared" si="211"/>
        <v>LE</v>
      </c>
      <c r="D297" s="110" t="str">
        <f t="shared" si="212"/>
        <v>LGMLE570</v>
      </c>
      <c r="E297" s="111">
        <f t="shared" si="182"/>
        <v>0</v>
      </c>
      <c r="F297" s="112">
        <v>0</v>
      </c>
      <c r="G297" s="111">
        <f t="shared" si="183"/>
        <v>0</v>
      </c>
      <c r="H297" s="111">
        <f t="shared" si="184"/>
        <v>0</v>
      </c>
      <c r="I297" s="111">
        <f t="shared" si="185"/>
        <v>0</v>
      </c>
      <c r="J297" s="111">
        <f t="shared" si="186"/>
        <v>0</v>
      </c>
      <c r="K297" s="113">
        <f t="shared" si="187"/>
        <v>0</v>
      </c>
      <c r="L297" s="113">
        <f t="shared" si="188"/>
        <v>0</v>
      </c>
      <c r="M297" s="113">
        <f t="shared" si="189"/>
        <v>0</v>
      </c>
      <c r="N297" s="116">
        <f t="shared" si="190"/>
        <v>0</v>
      </c>
      <c r="O297" s="117">
        <f t="shared" ref="O297:O360" si="224">SUMIF(L_Rates_Tariff_Rate_Category,$AV297,L_Rates_Energy)</f>
        <v>6.4610000000000001E-2</v>
      </c>
      <c r="P297" s="117">
        <f t="shared" si="191"/>
        <v>0</v>
      </c>
      <c r="Q297" s="117">
        <f t="shared" si="192"/>
        <v>0</v>
      </c>
      <c r="R297" s="117">
        <f t="shared" si="193"/>
        <v>2.725E-2</v>
      </c>
      <c r="S297" s="116">
        <f t="shared" si="194"/>
        <v>0</v>
      </c>
      <c r="T297" s="116">
        <f t="shared" si="195"/>
        <v>0</v>
      </c>
      <c r="U297" s="116">
        <f t="shared" si="196"/>
        <v>0</v>
      </c>
      <c r="V297" s="118">
        <f t="shared" si="197"/>
        <v>0</v>
      </c>
      <c r="W297" s="118">
        <f t="shared" si="213"/>
        <v>0</v>
      </c>
      <c r="X297" s="118">
        <f t="shared" si="214"/>
        <v>0</v>
      </c>
      <c r="Y297" s="118">
        <f t="shared" si="215"/>
        <v>0</v>
      </c>
      <c r="Z297" s="118">
        <f t="shared" si="216"/>
        <v>0</v>
      </c>
      <c r="AA297" s="119">
        <v>0</v>
      </c>
      <c r="AB297" s="120">
        <f t="shared" si="198"/>
        <v>0</v>
      </c>
      <c r="AC297" s="118">
        <f t="shared" si="199"/>
        <v>0</v>
      </c>
      <c r="AD297" s="118">
        <f t="shared" si="217"/>
        <v>0</v>
      </c>
      <c r="AE297" s="118">
        <f t="shared" si="200"/>
        <v>0</v>
      </c>
      <c r="AF297" s="121">
        <f t="shared" si="218"/>
        <v>1</v>
      </c>
      <c r="AG297" s="122">
        <f t="shared" si="201"/>
        <v>0</v>
      </c>
      <c r="AH297" s="122">
        <f t="shared" si="202"/>
        <v>0</v>
      </c>
      <c r="AI297" s="122">
        <f t="shared" si="203"/>
        <v>0</v>
      </c>
      <c r="AJ297" s="122">
        <f t="shared" si="204"/>
        <v>0</v>
      </c>
      <c r="AK297" s="122">
        <f t="shared" si="205"/>
        <v>0</v>
      </c>
      <c r="AL297" s="122">
        <f t="shared" si="206"/>
        <v>0</v>
      </c>
      <c r="AM297" s="123">
        <f t="shared" si="207"/>
        <v>0</v>
      </c>
      <c r="AN297" s="123">
        <f t="shared" si="223"/>
        <v>0</v>
      </c>
      <c r="AO297" s="124">
        <f t="shared" si="209"/>
        <v>0</v>
      </c>
      <c r="AP297" s="125">
        <f t="shared" si="219"/>
        <v>0</v>
      </c>
      <c r="AU297" s="109">
        <f>IF(BA297=1,IF(AU296=MiscData!$F$1,EOMONTH(AU296,-11),EOMONTH(AU296,1)),AU296)</f>
        <v>42247</v>
      </c>
      <c r="AV297" s="108" t="str">
        <f t="shared" si="220"/>
        <v>20140101LGMLE570</v>
      </c>
      <c r="AW297" s="126" t="str">
        <f t="shared" si="221"/>
        <v>20140101LE</v>
      </c>
      <c r="AX297">
        <f>MiscData!$X$5</f>
        <v>20140101</v>
      </c>
      <c r="BA297" s="98">
        <f>IF(BA296+1&gt;MiscData!$Z$42,1,BA296+1)</f>
        <v>28</v>
      </c>
      <c r="BB297" s="98" t="str">
        <f>VLOOKUP(BA297,MiscData!$Z$5:$AB$46,2,FALSE)</f>
        <v>LGMLE570</v>
      </c>
      <c r="BC297" s="98" t="str">
        <f>VLOOKUP(BA297,MiscData!$Z$5:$AB$46,3,FALSE)</f>
        <v>LE</v>
      </c>
    </row>
    <row r="298" spans="1:55">
      <c r="A298" s="108">
        <v>281</v>
      </c>
      <c r="B298" s="109" t="str">
        <f t="shared" si="210"/>
        <v>Aug 2015</v>
      </c>
      <c r="C298" s="110" t="str">
        <f t="shared" si="211"/>
        <v>LE</v>
      </c>
      <c r="D298" s="110" t="str">
        <f t="shared" si="212"/>
        <v>LGMLE571</v>
      </c>
      <c r="E298" s="111">
        <f t="shared" si="182"/>
        <v>156</v>
      </c>
      <c r="F298" s="112">
        <v>0</v>
      </c>
      <c r="G298" s="111">
        <f t="shared" si="183"/>
        <v>0</v>
      </c>
      <c r="H298" s="111">
        <f t="shared" si="184"/>
        <v>0</v>
      </c>
      <c r="I298" s="111">
        <f t="shared" si="185"/>
        <v>0</v>
      </c>
      <c r="J298" s="111">
        <f t="shared" si="186"/>
        <v>258896</v>
      </c>
      <c r="K298" s="113">
        <f t="shared" si="187"/>
        <v>0</v>
      </c>
      <c r="L298" s="113">
        <f t="shared" si="188"/>
        <v>0</v>
      </c>
      <c r="M298" s="113">
        <f t="shared" si="189"/>
        <v>0</v>
      </c>
      <c r="N298" s="116">
        <f t="shared" si="190"/>
        <v>0</v>
      </c>
      <c r="O298" s="117">
        <f t="shared" si="224"/>
        <v>6.4610000000000001E-2</v>
      </c>
      <c r="P298" s="117">
        <f t="shared" si="191"/>
        <v>0</v>
      </c>
      <c r="Q298" s="117">
        <f t="shared" si="192"/>
        <v>0</v>
      </c>
      <c r="R298" s="117">
        <f t="shared" si="193"/>
        <v>2.725E-2</v>
      </c>
      <c r="S298" s="116">
        <f t="shared" si="194"/>
        <v>0</v>
      </c>
      <c r="T298" s="116">
        <f t="shared" si="195"/>
        <v>0</v>
      </c>
      <c r="U298" s="116">
        <f t="shared" si="196"/>
        <v>0</v>
      </c>
      <c r="V298" s="118">
        <f t="shared" si="197"/>
        <v>0</v>
      </c>
      <c r="W298" s="118">
        <f t="shared" si="213"/>
        <v>16727.27</v>
      </c>
      <c r="X298" s="118">
        <f t="shared" si="214"/>
        <v>0</v>
      </c>
      <c r="Y298" s="118">
        <f t="shared" si="215"/>
        <v>0</v>
      </c>
      <c r="Z298" s="118">
        <f t="shared" si="216"/>
        <v>0</v>
      </c>
      <c r="AA298" s="119">
        <v>0</v>
      </c>
      <c r="AB298" s="120">
        <f t="shared" si="198"/>
        <v>0</v>
      </c>
      <c r="AC298" s="118">
        <f t="shared" si="199"/>
        <v>0</v>
      </c>
      <c r="AD298" s="118">
        <f t="shared" si="217"/>
        <v>16727.27</v>
      </c>
      <c r="AE298" s="118">
        <f t="shared" si="200"/>
        <v>0</v>
      </c>
      <c r="AF298" s="121">
        <f t="shared" si="218"/>
        <v>0</v>
      </c>
      <c r="AG298" s="122">
        <f t="shared" si="201"/>
        <v>0</v>
      </c>
      <c r="AH298" s="122">
        <f t="shared" si="202"/>
        <v>0</v>
      </c>
      <c r="AI298" s="122">
        <f t="shared" si="203"/>
        <v>0</v>
      </c>
      <c r="AJ298" s="122">
        <f t="shared" si="204"/>
        <v>0</v>
      </c>
      <c r="AK298" s="122">
        <f t="shared" si="205"/>
        <v>0</v>
      </c>
      <c r="AL298" s="122">
        <f t="shared" si="206"/>
        <v>0</v>
      </c>
      <c r="AM298" s="123">
        <f t="shared" si="207"/>
        <v>16727.27</v>
      </c>
      <c r="AN298" s="123">
        <f t="shared" si="223"/>
        <v>-16727.27</v>
      </c>
      <c r="AO298" s="124">
        <f t="shared" si="209"/>
        <v>7054.92</v>
      </c>
      <c r="AP298" s="125">
        <f t="shared" si="219"/>
        <v>9672.35</v>
      </c>
      <c r="AU298" s="109">
        <f>IF(BA298=1,IF(AU297=MiscData!$F$1,EOMONTH(AU297,-11),EOMONTH(AU297,1)),AU297)</f>
        <v>42247</v>
      </c>
      <c r="AV298" s="108" t="str">
        <f t="shared" si="220"/>
        <v>20140101LGMLE571</v>
      </c>
      <c r="AW298" s="126" t="str">
        <f t="shared" si="221"/>
        <v>20140101LE</v>
      </c>
      <c r="AX298">
        <f>MiscData!$X$5</f>
        <v>20140101</v>
      </c>
      <c r="BA298" s="98">
        <f>IF(BA297+1&gt;MiscData!$Z$42,1,BA297+1)</f>
        <v>29</v>
      </c>
      <c r="BB298" s="98" t="str">
        <f>VLOOKUP(BA298,MiscData!$Z$5:$AB$46,2,FALSE)</f>
        <v>LGMLE571</v>
      </c>
      <c r="BC298" s="98" t="str">
        <f>VLOOKUP(BA298,MiscData!$Z$5:$AB$46,3,FALSE)</f>
        <v>LE</v>
      </c>
    </row>
    <row r="299" spans="1:55">
      <c r="A299" s="108">
        <v>282</v>
      </c>
      <c r="B299" s="109" t="str">
        <f t="shared" si="210"/>
        <v>Aug 2015</v>
      </c>
      <c r="C299" s="110" t="str">
        <f t="shared" si="211"/>
        <v>LE</v>
      </c>
      <c r="D299" s="110" t="str">
        <f t="shared" si="212"/>
        <v>LGMLE572</v>
      </c>
      <c r="E299" s="111">
        <f t="shared" si="182"/>
        <v>0</v>
      </c>
      <c r="F299" s="112">
        <v>0</v>
      </c>
      <c r="G299" s="111">
        <f t="shared" si="183"/>
        <v>0</v>
      </c>
      <c r="H299" s="111">
        <f t="shared" si="184"/>
        <v>0</v>
      </c>
      <c r="I299" s="111">
        <f t="shared" si="185"/>
        <v>0</v>
      </c>
      <c r="J299" s="111">
        <f t="shared" si="186"/>
        <v>0</v>
      </c>
      <c r="K299" s="113">
        <f t="shared" si="187"/>
        <v>0</v>
      </c>
      <c r="L299" s="113">
        <f t="shared" si="188"/>
        <v>0</v>
      </c>
      <c r="M299" s="113">
        <f t="shared" si="189"/>
        <v>0</v>
      </c>
      <c r="N299" s="116">
        <f t="shared" si="190"/>
        <v>0</v>
      </c>
      <c r="O299" s="117">
        <f t="shared" si="224"/>
        <v>6.4610000000000001E-2</v>
      </c>
      <c r="P299" s="117">
        <f t="shared" si="191"/>
        <v>0</v>
      </c>
      <c r="Q299" s="117">
        <f t="shared" si="192"/>
        <v>0</v>
      </c>
      <c r="R299" s="117">
        <f t="shared" si="193"/>
        <v>2.725E-2</v>
      </c>
      <c r="S299" s="116">
        <f t="shared" si="194"/>
        <v>0</v>
      </c>
      <c r="T299" s="116">
        <f t="shared" si="195"/>
        <v>0</v>
      </c>
      <c r="U299" s="116">
        <f t="shared" si="196"/>
        <v>0</v>
      </c>
      <c r="V299" s="118">
        <f t="shared" si="197"/>
        <v>0</v>
      </c>
      <c r="W299" s="118">
        <f t="shared" si="213"/>
        <v>0</v>
      </c>
      <c r="X299" s="118">
        <f t="shared" si="214"/>
        <v>0</v>
      </c>
      <c r="Y299" s="118">
        <f t="shared" si="215"/>
        <v>0</v>
      </c>
      <c r="Z299" s="118">
        <f t="shared" si="216"/>
        <v>0</v>
      </c>
      <c r="AA299" s="119">
        <v>0</v>
      </c>
      <c r="AB299" s="120">
        <f t="shared" si="198"/>
        <v>0</v>
      </c>
      <c r="AC299" s="118">
        <f t="shared" si="199"/>
        <v>0</v>
      </c>
      <c r="AD299" s="118">
        <f t="shared" si="217"/>
        <v>0</v>
      </c>
      <c r="AE299" s="118">
        <f t="shared" si="200"/>
        <v>0</v>
      </c>
      <c r="AF299" s="121">
        <f t="shared" si="218"/>
        <v>1</v>
      </c>
      <c r="AG299" s="122">
        <f t="shared" si="201"/>
        <v>0</v>
      </c>
      <c r="AH299" s="122">
        <f t="shared" si="202"/>
        <v>0</v>
      </c>
      <c r="AI299" s="122">
        <f t="shared" si="203"/>
        <v>0</v>
      </c>
      <c r="AJ299" s="122">
        <f t="shared" si="204"/>
        <v>0</v>
      </c>
      <c r="AK299" s="122">
        <f t="shared" si="205"/>
        <v>0</v>
      </c>
      <c r="AL299" s="122">
        <f t="shared" si="206"/>
        <v>0</v>
      </c>
      <c r="AM299" s="123">
        <f t="shared" si="207"/>
        <v>0</v>
      </c>
      <c r="AN299" s="123">
        <f t="shared" ref="AN299:AN333" si="225">AL299-AM299</f>
        <v>0</v>
      </c>
      <c r="AO299" s="124">
        <f t="shared" si="209"/>
        <v>0</v>
      </c>
      <c r="AP299" s="125">
        <f t="shared" si="219"/>
        <v>0</v>
      </c>
      <c r="AU299" s="109">
        <f>IF(BA299=1,IF(AU298=MiscData!$F$1,EOMONTH(AU298,-11),EOMONTH(AU298,1)),AU298)</f>
        <v>42247</v>
      </c>
      <c r="AV299" s="108" t="str">
        <f t="shared" si="220"/>
        <v>20140101LGMLE572</v>
      </c>
      <c r="AW299" s="126" t="str">
        <f t="shared" si="221"/>
        <v>20140101LE</v>
      </c>
      <c r="AX299">
        <f>MiscData!$X$5</f>
        <v>20140101</v>
      </c>
      <c r="BA299" s="98">
        <f>IF(BA298+1&gt;MiscData!$Z$42,1,BA298+1)</f>
        <v>30</v>
      </c>
      <c r="BB299" s="98" t="str">
        <f>VLOOKUP(BA299,MiscData!$Z$5:$AB$46,2,FALSE)</f>
        <v>LGMLE572</v>
      </c>
      <c r="BC299" s="98" t="str">
        <f>VLOOKUP(BA299,MiscData!$Z$5:$AB$46,3,FALSE)</f>
        <v>LE</v>
      </c>
    </row>
    <row r="300" spans="1:55">
      <c r="A300" s="108">
        <v>283</v>
      </c>
      <c r="B300" s="109" t="str">
        <f t="shared" si="210"/>
        <v>Aug 2015</v>
      </c>
      <c r="C300" s="110" t="str">
        <f t="shared" si="211"/>
        <v>TE</v>
      </c>
      <c r="D300" s="110" t="str">
        <f t="shared" si="212"/>
        <v>LGMLE573</v>
      </c>
      <c r="E300" s="111">
        <f t="shared" si="182"/>
        <v>905</v>
      </c>
      <c r="F300" s="112">
        <v>0</v>
      </c>
      <c r="G300" s="111">
        <f t="shared" si="183"/>
        <v>0</v>
      </c>
      <c r="H300" s="111">
        <f t="shared" si="184"/>
        <v>0</v>
      </c>
      <c r="I300" s="111">
        <f t="shared" si="185"/>
        <v>0</v>
      </c>
      <c r="J300" s="111">
        <f t="shared" si="186"/>
        <v>255201</v>
      </c>
      <c r="K300" s="113">
        <f t="shared" si="187"/>
        <v>0</v>
      </c>
      <c r="L300" s="113">
        <f t="shared" si="188"/>
        <v>0</v>
      </c>
      <c r="M300" s="113">
        <f t="shared" si="189"/>
        <v>0</v>
      </c>
      <c r="N300" s="116">
        <f t="shared" si="190"/>
        <v>3.25</v>
      </c>
      <c r="O300" s="117">
        <f t="shared" si="224"/>
        <v>7.6579999999999995E-2</v>
      </c>
      <c r="P300" s="117">
        <f t="shared" si="191"/>
        <v>0</v>
      </c>
      <c r="Q300" s="117">
        <f t="shared" si="192"/>
        <v>0</v>
      </c>
      <c r="R300" s="117">
        <f t="shared" si="193"/>
        <v>2.725E-2</v>
      </c>
      <c r="S300" s="116">
        <f t="shared" si="194"/>
        <v>0</v>
      </c>
      <c r="T300" s="116">
        <f t="shared" si="195"/>
        <v>0</v>
      </c>
      <c r="U300" s="116">
        <f t="shared" si="196"/>
        <v>0</v>
      </c>
      <c r="V300" s="118">
        <f t="shared" si="197"/>
        <v>2941.25</v>
      </c>
      <c r="W300" s="683">
        <f t="shared" si="213"/>
        <v>19543.29</v>
      </c>
      <c r="X300" s="118">
        <f t="shared" si="214"/>
        <v>0</v>
      </c>
      <c r="Y300" s="118">
        <f t="shared" si="215"/>
        <v>0</v>
      </c>
      <c r="Z300" s="118">
        <f t="shared" si="216"/>
        <v>0</v>
      </c>
      <c r="AA300" s="119">
        <v>0</v>
      </c>
      <c r="AB300" s="120">
        <f t="shared" si="198"/>
        <v>0</v>
      </c>
      <c r="AC300" s="118">
        <f t="shared" si="199"/>
        <v>0</v>
      </c>
      <c r="AD300" s="118">
        <f t="shared" si="217"/>
        <v>22484.54</v>
      </c>
      <c r="AE300" s="118">
        <f t="shared" si="200"/>
        <v>0</v>
      </c>
      <c r="AF300" s="121">
        <f t="shared" si="218"/>
        <v>0</v>
      </c>
      <c r="AG300" s="122">
        <f t="shared" si="201"/>
        <v>0</v>
      </c>
      <c r="AH300" s="122">
        <f t="shared" si="202"/>
        <v>0</v>
      </c>
      <c r="AI300" s="122">
        <f t="shared" si="203"/>
        <v>0</v>
      </c>
      <c r="AJ300" s="122">
        <f t="shared" si="204"/>
        <v>0</v>
      </c>
      <c r="AK300" s="122">
        <f t="shared" si="205"/>
        <v>0</v>
      </c>
      <c r="AL300" s="122">
        <f t="shared" si="206"/>
        <v>0</v>
      </c>
      <c r="AM300" s="123">
        <f t="shared" si="207"/>
        <v>22484.54</v>
      </c>
      <c r="AN300" s="123">
        <f t="shared" si="225"/>
        <v>-22484.54</v>
      </c>
      <c r="AO300" s="124">
        <f t="shared" si="209"/>
        <v>6954.23</v>
      </c>
      <c r="AP300" s="125">
        <f t="shared" si="219"/>
        <v>12589.060000000001</v>
      </c>
      <c r="AU300" s="109">
        <f>IF(BA300=1,IF(AU299=MiscData!$F$1,EOMONTH(AU299,-11),EOMONTH(AU299,1)),AU299)</f>
        <v>42247</v>
      </c>
      <c r="AV300" s="108" t="str">
        <f t="shared" si="220"/>
        <v>20140101LGMLE573</v>
      </c>
      <c r="AW300" s="126" t="str">
        <f t="shared" si="221"/>
        <v>20140101TE</v>
      </c>
      <c r="AX300">
        <f>MiscData!$X$5</f>
        <v>20140101</v>
      </c>
      <c r="BA300" s="98">
        <f>IF(BA299+1&gt;MiscData!$Z$42,1,BA299+1)</f>
        <v>31</v>
      </c>
      <c r="BB300" s="98" t="str">
        <f>VLOOKUP(BA300,MiscData!$Z$5:$AB$46,2,FALSE)</f>
        <v>LGMLE573</v>
      </c>
      <c r="BC300" s="98" t="str">
        <f>VLOOKUP(BA300,MiscData!$Z$5:$AB$46,3,FALSE)</f>
        <v>TE</v>
      </c>
    </row>
    <row r="301" spans="1:55">
      <c r="A301" s="108">
        <v>284</v>
      </c>
      <c r="B301" s="109" t="str">
        <f t="shared" si="210"/>
        <v>Aug 2015</v>
      </c>
      <c r="C301" s="110" t="str">
        <f t="shared" si="211"/>
        <v>TE</v>
      </c>
      <c r="D301" s="110" t="str">
        <f t="shared" si="212"/>
        <v>LGMLE574</v>
      </c>
      <c r="E301" s="111">
        <f t="shared" si="182"/>
        <v>0</v>
      </c>
      <c r="F301" s="112">
        <v>0</v>
      </c>
      <c r="G301" s="111">
        <f t="shared" si="183"/>
        <v>0</v>
      </c>
      <c r="H301" s="111">
        <f t="shared" si="184"/>
        <v>0</v>
      </c>
      <c r="I301" s="111">
        <f t="shared" si="185"/>
        <v>0</v>
      </c>
      <c r="J301" s="111">
        <f t="shared" si="186"/>
        <v>0</v>
      </c>
      <c r="K301" s="113">
        <f t="shared" si="187"/>
        <v>0</v>
      </c>
      <c r="L301" s="113">
        <f t="shared" si="188"/>
        <v>0</v>
      </c>
      <c r="M301" s="113">
        <f t="shared" si="189"/>
        <v>0</v>
      </c>
      <c r="N301" s="116">
        <f t="shared" si="190"/>
        <v>3.25</v>
      </c>
      <c r="O301" s="117">
        <f t="shared" si="224"/>
        <v>7.6579999999999995E-2</v>
      </c>
      <c r="P301" s="117">
        <f t="shared" si="191"/>
        <v>0</v>
      </c>
      <c r="Q301" s="117">
        <f t="shared" si="192"/>
        <v>0</v>
      </c>
      <c r="R301" s="117">
        <f t="shared" si="193"/>
        <v>2.725E-2</v>
      </c>
      <c r="S301" s="116">
        <f t="shared" si="194"/>
        <v>0</v>
      </c>
      <c r="T301" s="116">
        <f t="shared" si="195"/>
        <v>0</v>
      </c>
      <c r="U301" s="116">
        <f t="shared" si="196"/>
        <v>0</v>
      </c>
      <c r="V301" s="118">
        <f t="shared" si="197"/>
        <v>0</v>
      </c>
      <c r="W301" s="683">
        <f t="shared" si="213"/>
        <v>0</v>
      </c>
      <c r="X301" s="118">
        <f t="shared" si="214"/>
        <v>0</v>
      </c>
      <c r="Y301" s="118">
        <f t="shared" si="215"/>
        <v>0</v>
      </c>
      <c r="Z301" s="118">
        <f t="shared" si="216"/>
        <v>0</v>
      </c>
      <c r="AA301" s="119">
        <v>0</v>
      </c>
      <c r="AB301" s="120">
        <f t="shared" si="198"/>
        <v>0</v>
      </c>
      <c r="AC301" s="118">
        <f t="shared" si="199"/>
        <v>0</v>
      </c>
      <c r="AD301" s="118">
        <f t="shared" si="217"/>
        <v>0</v>
      </c>
      <c r="AE301" s="118">
        <f t="shared" si="200"/>
        <v>0</v>
      </c>
      <c r="AF301" s="121">
        <f t="shared" si="218"/>
        <v>1</v>
      </c>
      <c r="AG301" s="122">
        <f t="shared" si="201"/>
        <v>0</v>
      </c>
      <c r="AH301" s="122">
        <f t="shared" si="202"/>
        <v>0</v>
      </c>
      <c r="AI301" s="122">
        <f t="shared" si="203"/>
        <v>0</v>
      </c>
      <c r="AJ301" s="122">
        <f t="shared" si="204"/>
        <v>0</v>
      </c>
      <c r="AK301" s="122">
        <f t="shared" si="205"/>
        <v>0</v>
      </c>
      <c r="AL301" s="122">
        <f t="shared" si="206"/>
        <v>0</v>
      </c>
      <c r="AM301" s="123">
        <f t="shared" si="207"/>
        <v>0</v>
      </c>
      <c r="AN301" s="123">
        <f t="shared" ref="AN301:AN305" si="226">ROUND(AL301-AM301,2)</f>
        <v>0</v>
      </c>
      <c r="AO301" s="124">
        <f t="shared" si="209"/>
        <v>0</v>
      </c>
      <c r="AP301" s="125">
        <f t="shared" si="219"/>
        <v>0</v>
      </c>
      <c r="AU301" s="109">
        <f>IF(BA301=1,IF(AU300=MiscData!$F$1,EOMONTH(AU300,-11),EOMONTH(AU300,1)),AU300)</f>
        <v>42247</v>
      </c>
      <c r="AV301" s="108" t="str">
        <f t="shared" si="220"/>
        <v>20140101LGMLE574</v>
      </c>
      <c r="AW301" s="126" t="str">
        <f t="shared" si="221"/>
        <v>20140101TE</v>
      </c>
      <c r="AX301">
        <f>MiscData!$X$5</f>
        <v>20140101</v>
      </c>
      <c r="BA301" s="98">
        <f>IF(BA300+1&gt;MiscData!$Z$42,1,BA300+1)</f>
        <v>32</v>
      </c>
      <c r="BB301" s="98" t="str">
        <f>VLOOKUP(BA301,MiscData!$Z$5:$AB$46,2,FALSE)</f>
        <v>LGMLE574</v>
      </c>
      <c r="BC301" s="98" t="str">
        <f>VLOOKUP(BA301,MiscData!$Z$5:$AB$46,3,FALSE)</f>
        <v>TE</v>
      </c>
    </row>
    <row r="302" spans="1:55">
      <c r="A302" s="108">
        <v>285</v>
      </c>
      <c r="B302" s="109" t="str">
        <f t="shared" si="210"/>
        <v>Aug 2015</v>
      </c>
      <c r="C302" s="110" t="str">
        <f t="shared" si="211"/>
        <v>RS</v>
      </c>
      <c r="D302" s="110" t="str">
        <f t="shared" si="212"/>
        <v>LGRSE411</v>
      </c>
      <c r="E302" s="111">
        <f t="shared" si="182"/>
        <v>0</v>
      </c>
      <c r="F302" s="112">
        <v>0</v>
      </c>
      <c r="G302" s="111">
        <f t="shared" si="183"/>
        <v>0</v>
      </c>
      <c r="H302" s="111">
        <f t="shared" si="184"/>
        <v>0</v>
      </c>
      <c r="I302" s="111">
        <f t="shared" si="185"/>
        <v>0</v>
      </c>
      <c r="J302" s="111">
        <f t="shared" si="186"/>
        <v>0</v>
      </c>
      <c r="K302" s="113">
        <f t="shared" si="187"/>
        <v>0</v>
      </c>
      <c r="L302" s="113">
        <f t="shared" si="188"/>
        <v>0</v>
      </c>
      <c r="M302" s="113">
        <f t="shared" si="189"/>
        <v>0</v>
      </c>
      <c r="N302" s="116">
        <f t="shared" si="190"/>
        <v>0</v>
      </c>
      <c r="O302" s="117">
        <f t="shared" si="224"/>
        <v>8.0760000000000012E-2</v>
      </c>
      <c r="P302" s="117">
        <f t="shared" si="191"/>
        <v>0</v>
      </c>
      <c r="Q302" s="117">
        <f t="shared" si="192"/>
        <v>0</v>
      </c>
      <c r="R302" s="117">
        <f t="shared" si="193"/>
        <v>2.725E-2</v>
      </c>
      <c r="S302" s="116">
        <f t="shared" si="194"/>
        <v>0</v>
      </c>
      <c r="T302" s="116">
        <f t="shared" si="195"/>
        <v>0</v>
      </c>
      <c r="U302" s="116">
        <f t="shared" si="196"/>
        <v>0</v>
      </c>
      <c r="V302" s="118">
        <f t="shared" si="197"/>
        <v>0</v>
      </c>
      <c r="W302" s="118">
        <f t="shared" si="213"/>
        <v>0</v>
      </c>
      <c r="X302" s="118">
        <f t="shared" si="214"/>
        <v>0</v>
      </c>
      <c r="Y302" s="118">
        <f t="shared" si="215"/>
        <v>0</v>
      </c>
      <c r="Z302" s="118">
        <f t="shared" si="216"/>
        <v>0</v>
      </c>
      <c r="AA302" s="119">
        <v>0</v>
      </c>
      <c r="AB302" s="120">
        <f t="shared" si="198"/>
        <v>0</v>
      </c>
      <c r="AC302" s="118">
        <f t="shared" si="199"/>
        <v>0</v>
      </c>
      <c r="AD302" s="118">
        <f t="shared" si="217"/>
        <v>0</v>
      </c>
      <c r="AE302" s="118">
        <f t="shared" si="200"/>
        <v>0</v>
      </c>
      <c r="AF302" s="121">
        <f t="shared" si="218"/>
        <v>1</v>
      </c>
      <c r="AG302" s="122">
        <f t="shared" si="201"/>
        <v>0</v>
      </c>
      <c r="AH302" s="122">
        <f t="shared" si="202"/>
        <v>0</v>
      </c>
      <c r="AI302" s="122">
        <f t="shared" si="203"/>
        <v>0</v>
      </c>
      <c r="AJ302" s="122">
        <f t="shared" si="204"/>
        <v>0</v>
      </c>
      <c r="AK302" s="122">
        <f t="shared" si="205"/>
        <v>0</v>
      </c>
      <c r="AL302" s="122">
        <f t="shared" si="206"/>
        <v>0</v>
      </c>
      <c r="AM302" s="123">
        <f t="shared" si="207"/>
        <v>0</v>
      </c>
      <c r="AN302" s="123">
        <f t="shared" si="226"/>
        <v>0</v>
      </c>
      <c r="AO302" s="124">
        <f t="shared" si="209"/>
        <v>0</v>
      </c>
      <c r="AP302" s="125">
        <f t="shared" si="219"/>
        <v>0</v>
      </c>
      <c r="AU302" s="109">
        <f>IF(BA302=1,IF(AU301=MiscData!$F$1,EOMONTH(AU301,-11),EOMONTH(AU301,1)),AU301)</f>
        <v>42247</v>
      </c>
      <c r="AV302" s="108" t="str">
        <f t="shared" si="220"/>
        <v>20140101LGRSE411</v>
      </c>
      <c r="AW302" s="126" t="str">
        <f t="shared" si="221"/>
        <v>20140101RS</v>
      </c>
      <c r="AX302">
        <f>MiscData!$X$5</f>
        <v>20140101</v>
      </c>
      <c r="BA302" s="98">
        <f>IF(BA301+1&gt;MiscData!$Z$42,1,BA301+1)</f>
        <v>33</v>
      </c>
      <c r="BB302" s="98" t="str">
        <f>VLOOKUP(BA302,MiscData!$Z$5:$AB$46,2,FALSE)</f>
        <v>LGRSE411</v>
      </c>
      <c r="BC302" s="98" t="str">
        <f>VLOOKUP(BA302,MiscData!$Z$5:$AB$46,3,FALSE)</f>
        <v>RS</v>
      </c>
    </row>
    <row r="303" spans="1:55">
      <c r="A303" s="108">
        <v>286</v>
      </c>
      <c r="B303" s="109" t="str">
        <f t="shared" si="210"/>
        <v>Aug 2015</v>
      </c>
      <c r="C303" s="110" t="str">
        <f t="shared" si="211"/>
        <v>RS</v>
      </c>
      <c r="D303" s="110" t="str">
        <f t="shared" si="212"/>
        <v>LGRSE511</v>
      </c>
      <c r="E303" s="111">
        <f t="shared" si="182"/>
        <v>360578</v>
      </c>
      <c r="F303" s="112">
        <v>0</v>
      </c>
      <c r="G303" s="111">
        <f t="shared" si="183"/>
        <v>0</v>
      </c>
      <c r="H303" s="111">
        <f t="shared" si="184"/>
        <v>0</v>
      </c>
      <c r="I303" s="111">
        <f t="shared" si="185"/>
        <v>0</v>
      </c>
      <c r="J303" s="111">
        <f t="shared" si="186"/>
        <v>516766239</v>
      </c>
      <c r="K303" s="113">
        <f t="shared" si="187"/>
        <v>0</v>
      </c>
      <c r="L303" s="113">
        <f t="shared" si="188"/>
        <v>0</v>
      </c>
      <c r="M303" s="113">
        <f t="shared" si="189"/>
        <v>0</v>
      </c>
      <c r="N303" s="116">
        <f t="shared" si="190"/>
        <v>10.75</v>
      </c>
      <c r="O303" s="117">
        <f t="shared" si="224"/>
        <v>8.0760000000000012E-2</v>
      </c>
      <c r="P303" s="117">
        <f t="shared" si="191"/>
        <v>0</v>
      </c>
      <c r="Q303" s="117">
        <f t="shared" si="192"/>
        <v>0</v>
      </c>
      <c r="R303" s="117">
        <f t="shared" si="193"/>
        <v>2.725E-2</v>
      </c>
      <c r="S303" s="116">
        <f t="shared" si="194"/>
        <v>0</v>
      </c>
      <c r="T303" s="116">
        <f t="shared" si="195"/>
        <v>0</v>
      </c>
      <c r="U303" s="116">
        <f t="shared" si="196"/>
        <v>0</v>
      </c>
      <c r="V303" s="118">
        <f t="shared" si="197"/>
        <v>3876213.5</v>
      </c>
      <c r="W303" s="118">
        <f t="shared" si="213"/>
        <v>41734041.460000001</v>
      </c>
      <c r="X303" s="118">
        <f t="shared" si="214"/>
        <v>0</v>
      </c>
      <c r="Y303" s="118">
        <f t="shared" si="215"/>
        <v>0</v>
      </c>
      <c r="Z303" s="118">
        <f t="shared" si="216"/>
        <v>0</v>
      </c>
      <c r="AA303" s="119">
        <v>0</v>
      </c>
      <c r="AB303" s="120">
        <f t="shared" si="198"/>
        <v>0</v>
      </c>
      <c r="AC303" s="118">
        <f t="shared" si="199"/>
        <v>0</v>
      </c>
      <c r="AD303" s="118">
        <f t="shared" si="217"/>
        <v>45610254.960000001</v>
      </c>
      <c r="AE303" s="118">
        <f t="shared" si="200"/>
        <v>45612196</v>
      </c>
      <c r="AF303" s="121">
        <f t="shared" si="218"/>
        <v>1.000043</v>
      </c>
      <c r="AG303" s="122">
        <f t="shared" si="201"/>
        <v>1111384</v>
      </c>
      <c r="AH303" s="122">
        <f t="shared" si="202"/>
        <v>1046901</v>
      </c>
      <c r="AI303" s="122">
        <f t="shared" si="203"/>
        <v>3311772</v>
      </c>
      <c r="AJ303" s="122">
        <f t="shared" si="204"/>
        <v>0</v>
      </c>
      <c r="AK303" s="122">
        <f t="shared" si="205"/>
        <v>0</v>
      </c>
      <c r="AL303" s="122">
        <f t="shared" si="206"/>
        <v>51082253</v>
      </c>
      <c r="AM303" s="123">
        <f t="shared" si="207"/>
        <v>51080311.960000001</v>
      </c>
      <c r="AN303" s="123">
        <f t="shared" si="226"/>
        <v>1941.04</v>
      </c>
      <c r="AO303" s="124">
        <f t="shared" si="209"/>
        <v>14081880.01</v>
      </c>
      <c r="AP303" s="125">
        <f t="shared" si="219"/>
        <v>27652161.450000003</v>
      </c>
      <c r="AU303" s="109">
        <f>IF(BA303=1,IF(AU302=MiscData!$F$1,EOMONTH(AU302,-11),EOMONTH(AU302,1)),AU302)</f>
        <v>42247</v>
      </c>
      <c r="AV303" s="108" t="str">
        <f t="shared" si="220"/>
        <v>20140101LGRSE511</v>
      </c>
      <c r="AW303" s="126" t="str">
        <f t="shared" si="221"/>
        <v>20140101RS</v>
      </c>
      <c r="AX303">
        <f>MiscData!$X$5</f>
        <v>20140101</v>
      </c>
      <c r="BA303" s="98">
        <f>IF(BA302+1&gt;MiscData!$Z$42,1,BA302+1)</f>
        <v>34</v>
      </c>
      <c r="BB303" s="98" t="str">
        <f>VLOOKUP(BA303,MiscData!$Z$5:$AB$46,2,FALSE)</f>
        <v>LGRSE511</v>
      </c>
      <c r="BC303" s="98" t="str">
        <f>VLOOKUP(BA303,MiscData!$Z$5:$AB$46,3,FALSE)</f>
        <v>RS</v>
      </c>
    </row>
    <row r="304" spans="1:55">
      <c r="A304" s="108">
        <v>287</v>
      </c>
      <c r="B304" s="109" t="str">
        <f t="shared" si="210"/>
        <v>Aug 2015</v>
      </c>
      <c r="C304" s="110" t="str">
        <f t="shared" si="211"/>
        <v>RS</v>
      </c>
      <c r="D304" s="110" t="str">
        <f t="shared" si="212"/>
        <v>LGRSE519</v>
      </c>
      <c r="E304" s="111">
        <f t="shared" si="182"/>
        <v>0</v>
      </c>
      <c r="F304" s="112">
        <v>0</v>
      </c>
      <c r="G304" s="111">
        <f t="shared" si="183"/>
        <v>0</v>
      </c>
      <c r="H304" s="111">
        <f t="shared" si="184"/>
        <v>0</v>
      </c>
      <c r="I304" s="111">
        <f t="shared" si="185"/>
        <v>0</v>
      </c>
      <c r="J304" s="111">
        <f t="shared" si="186"/>
        <v>0</v>
      </c>
      <c r="K304" s="113">
        <f t="shared" si="187"/>
        <v>0</v>
      </c>
      <c r="L304" s="113">
        <f t="shared" si="188"/>
        <v>0</v>
      </c>
      <c r="M304" s="113">
        <f t="shared" si="189"/>
        <v>0</v>
      </c>
      <c r="N304" s="116">
        <f t="shared" si="190"/>
        <v>10.75</v>
      </c>
      <c r="O304" s="117">
        <f t="shared" si="224"/>
        <v>8.0760000000000012E-2</v>
      </c>
      <c r="P304" s="117">
        <f t="shared" si="191"/>
        <v>0</v>
      </c>
      <c r="Q304" s="117">
        <f t="shared" si="192"/>
        <v>0</v>
      </c>
      <c r="R304" s="117">
        <f t="shared" si="193"/>
        <v>2.725E-2</v>
      </c>
      <c r="S304" s="116">
        <f t="shared" si="194"/>
        <v>0</v>
      </c>
      <c r="T304" s="116">
        <f t="shared" si="195"/>
        <v>0</v>
      </c>
      <c r="U304" s="116">
        <f t="shared" si="196"/>
        <v>0</v>
      </c>
      <c r="V304" s="118">
        <f t="shared" si="197"/>
        <v>0</v>
      </c>
      <c r="W304" s="118">
        <f t="shared" si="213"/>
        <v>0</v>
      </c>
      <c r="X304" s="118">
        <f t="shared" si="214"/>
        <v>0</v>
      </c>
      <c r="Y304" s="118">
        <f t="shared" si="215"/>
        <v>0</v>
      </c>
      <c r="Z304" s="118">
        <f t="shared" si="216"/>
        <v>0</v>
      </c>
      <c r="AA304" s="119">
        <v>0</v>
      </c>
      <c r="AB304" s="120">
        <f t="shared" si="198"/>
        <v>0</v>
      </c>
      <c r="AC304" s="118">
        <f t="shared" si="199"/>
        <v>0</v>
      </c>
      <c r="AD304" s="118">
        <f t="shared" si="217"/>
        <v>0</v>
      </c>
      <c r="AE304" s="118">
        <f t="shared" si="200"/>
        <v>0</v>
      </c>
      <c r="AF304" s="121">
        <f t="shared" si="218"/>
        <v>1</v>
      </c>
      <c r="AG304" s="122">
        <f t="shared" si="201"/>
        <v>0</v>
      </c>
      <c r="AH304" s="122">
        <f t="shared" si="202"/>
        <v>0</v>
      </c>
      <c r="AI304" s="122">
        <f t="shared" si="203"/>
        <v>0</v>
      </c>
      <c r="AJ304" s="122">
        <f t="shared" si="204"/>
        <v>0</v>
      </c>
      <c r="AK304" s="122">
        <f t="shared" si="205"/>
        <v>0</v>
      </c>
      <c r="AL304" s="122">
        <f t="shared" si="206"/>
        <v>0</v>
      </c>
      <c r="AM304" s="123">
        <f t="shared" si="207"/>
        <v>0</v>
      </c>
      <c r="AN304" s="123">
        <f t="shared" si="226"/>
        <v>0</v>
      </c>
      <c r="AO304" s="124">
        <f t="shared" si="209"/>
        <v>0</v>
      </c>
      <c r="AP304" s="125">
        <f t="shared" si="219"/>
        <v>0</v>
      </c>
      <c r="AU304" s="109">
        <f>IF(BA304=1,IF(AU303=MiscData!$F$1,EOMONTH(AU303,-11),EOMONTH(AU303,1)),AU303)</f>
        <v>42247</v>
      </c>
      <c r="AV304" s="108" t="str">
        <f t="shared" si="220"/>
        <v>20140101LGRSE519</v>
      </c>
      <c r="AW304" s="126" t="str">
        <f t="shared" si="221"/>
        <v>20140101RS</v>
      </c>
      <c r="AX304">
        <f>MiscData!$X$5</f>
        <v>20140101</v>
      </c>
      <c r="BA304" s="98">
        <f>IF(BA303+1&gt;MiscData!$Z$42,1,BA303+1)</f>
        <v>35</v>
      </c>
      <c r="BB304" s="98" t="str">
        <f>VLOOKUP(BA304,MiscData!$Z$5:$AB$46,2,FALSE)</f>
        <v>LGRSE519</v>
      </c>
      <c r="BC304" s="98" t="str">
        <f>VLOOKUP(BA304,MiscData!$Z$5:$AB$46,3,FALSE)</f>
        <v>RS</v>
      </c>
    </row>
    <row r="305" spans="1:55">
      <c r="A305" s="108">
        <v>288</v>
      </c>
      <c r="B305" s="109" t="str">
        <f t="shared" si="210"/>
        <v>Aug 2015</v>
      </c>
      <c r="C305" s="110" t="s">
        <v>13</v>
      </c>
      <c r="D305" s="110" t="str">
        <f t="shared" si="212"/>
        <v>LGRSE540</v>
      </c>
      <c r="E305" s="111">
        <f t="shared" si="182"/>
        <v>0</v>
      </c>
      <c r="F305" s="112">
        <v>0</v>
      </c>
      <c r="G305" s="111">
        <f t="shared" si="183"/>
        <v>0</v>
      </c>
      <c r="H305" s="111">
        <f t="shared" si="184"/>
        <v>0</v>
      </c>
      <c r="I305" s="111">
        <f t="shared" si="185"/>
        <v>0</v>
      </c>
      <c r="J305" s="111">
        <f t="shared" si="186"/>
        <v>0</v>
      </c>
      <c r="K305" s="113">
        <f t="shared" si="187"/>
        <v>0</v>
      </c>
      <c r="L305" s="113">
        <f t="shared" si="188"/>
        <v>0</v>
      </c>
      <c r="M305" s="113">
        <f t="shared" si="189"/>
        <v>0</v>
      </c>
      <c r="N305" s="116">
        <f t="shared" si="190"/>
        <v>10.75</v>
      </c>
      <c r="O305" s="117">
        <f t="shared" si="224"/>
        <v>8.0760000000000012E-2</v>
      </c>
      <c r="P305" s="117">
        <f t="shared" si="191"/>
        <v>0</v>
      </c>
      <c r="Q305" s="117">
        <f t="shared" si="192"/>
        <v>0</v>
      </c>
      <c r="R305" s="117">
        <f t="shared" si="193"/>
        <v>2.725E-2</v>
      </c>
      <c r="S305" s="116">
        <f t="shared" si="194"/>
        <v>0</v>
      </c>
      <c r="T305" s="116">
        <f t="shared" si="195"/>
        <v>0</v>
      </c>
      <c r="U305" s="116">
        <f t="shared" si="196"/>
        <v>0</v>
      </c>
      <c r="V305" s="118">
        <f t="shared" si="197"/>
        <v>0</v>
      </c>
      <c r="W305" s="118">
        <f t="shared" si="213"/>
        <v>0</v>
      </c>
      <c r="X305" s="118">
        <f t="shared" si="214"/>
        <v>0</v>
      </c>
      <c r="Y305" s="118">
        <f t="shared" si="215"/>
        <v>0</v>
      </c>
      <c r="Z305" s="118">
        <f t="shared" si="216"/>
        <v>0</v>
      </c>
      <c r="AA305" s="119">
        <v>0</v>
      </c>
      <c r="AB305" s="120">
        <f t="shared" si="198"/>
        <v>0</v>
      </c>
      <c r="AC305" s="118">
        <f t="shared" si="199"/>
        <v>0</v>
      </c>
      <c r="AD305" s="118">
        <f t="shared" si="217"/>
        <v>0</v>
      </c>
      <c r="AE305" s="118">
        <f t="shared" si="200"/>
        <v>0</v>
      </c>
      <c r="AF305" s="121">
        <f t="shared" si="218"/>
        <v>1</v>
      </c>
      <c r="AG305" s="122">
        <f t="shared" si="201"/>
        <v>0</v>
      </c>
      <c r="AH305" s="122">
        <f t="shared" si="202"/>
        <v>0</v>
      </c>
      <c r="AI305" s="122">
        <f t="shared" si="203"/>
        <v>0</v>
      </c>
      <c r="AJ305" s="122">
        <f t="shared" si="204"/>
        <v>0</v>
      </c>
      <c r="AK305" s="122">
        <f t="shared" si="205"/>
        <v>0</v>
      </c>
      <c r="AL305" s="122">
        <f t="shared" si="206"/>
        <v>0</v>
      </c>
      <c r="AM305" s="123">
        <f t="shared" si="207"/>
        <v>0</v>
      </c>
      <c r="AN305" s="123">
        <f t="shared" si="226"/>
        <v>0</v>
      </c>
      <c r="AO305" s="124">
        <f t="shared" si="209"/>
        <v>0</v>
      </c>
      <c r="AP305" s="125">
        <f t="shared" si="219"/>
        <v>0</v>
      </c>
      <c r="AU305" s="109">
        <f>IF(BA305=1,IF(AU304=MiscData!$F$1,EOMONTH(AU304,-11),EOMONTH(AU304,1)),AU304)</f>
        <v>42247</v>
      </c>
      <c r="AV305" s="108" t="str">
        <f t="shared" si="220"/>
        <v>20140101LGRSE540</v>
      </c>
      <c r="AW305" s="126" t="str">
        <f t="shared" si="221"/>
        <v>20140101VFD</v>
      </c>
      <c r="AX305">
        <f>MiscData!$X$5</f>
        <v>20140101</v>
      </c>
      <c r="BA305" s="98">
        <f>IF(BA304+1&gt;MiscData!$Z$42,1,BA304+1)</f>
        <v>36</v>
      </c>
      <c r="BB305" s="98" t="str">
        <f>VLOOKUP(BA305,MiscData!$Z$5:$AB$46,2,FALSE)</f>
        <v>LGRSE540</v>
      </c>
      <c r="BC305" s="98" t="str">
        <f>VLOOKUP(BA305,MiscData!$Z$5:$AB$46,3,FALSE)</f>
        <v>VFD</v>
      </c>
    </row>
    <row r="306" spans="1:55">
      <c r="A306" s="108">
        <v>289</v>
      </c>
      <c r="B306" s="109" t="str">
        <f t="shared" si="210"/>
        <v>Aug 2015</v>
      </c>
      <c r="C306" s="110" t="str">
        <f t="shared" si="211"/>
        <v>LEV</v>
      </c>
      <c r="D306" s="110" t="str">
        <f t="shared" si="212"/>
        <v>LGRSE543</v>
      </c>
      <c r="E306" s="111">
        <f t="shared" si="182"/>
        <v>20</v>
      </c>
      <c r="F306" s="112">
        <v>0</v>
      </c>
      <c r="G306" s="111">
        <f t="shared" si="183"/>
        <v>11960</v>
      </c>
      <c r="H306" s="111">
        <f t="shared" si="184"/>
        <v>5584</v>
      </c>
      <c r="I306" s="111">
        <f t="shared" si="185"/>
        <v>3820</v>
      </c>
      <c r="J306" s="111">
        <f t="shared" si="186"/>
        <v>21364</v>
      </c>
      <c r="K306" s="113">
        <f t="shared" si="187"/>
        <v>0</v>
      </c>
      <c r="L306" s="113">
        <f t="shared" si="188"/>
        <v>0</v>
      </c>
      <c r="M306" s="113">
        <f t="shared" si="189"/>
        <v>0</v>
      </c>
      <c r="N306" s="116">
        <f t="shared" si="190"/>
        <v>10.75</v>
      </c>
      <c r="O306" s="117">
        <f t="shared" si="224"/>
        <v>5.8200000000000002E-2</v>
      </c>
      <c r="P306" s="117">
        <f t="shared" si="191"/>
        <v>7.8990000000000005E-2</v>
      </c>
      <c r="Q306" s="117">
        <f t="shared" si="192"/>
        <v>0.14451000000000003</v>
      </c>
      <c r="R306" s="117">
        <f t="shared" si="193"/>
        <v>2.725E-2</v>
      </c>
      <c r="S306" s="116">
        <f t="shared" si="194"/>
        <v>0</v>
      </c>
      <c r="T306" s="116">
        <f t="shared" si="195"/>
        <v>0</v>
      </c>
      <c r="U306" s="116">
        <f t="shared" si="196"/>
        <v>0</v>
      </c>
      <c r="V306" s="118">
        <f t="shared" si="197"/>
        <v>215</v>
      </c>
      <c r="W306" s="118">
        <f t="shared" si="213"/>
        <v>1689.18</v>
      </c>
      <c r="X306" s="118">
        <f t="shared" si="214"/>
        <v>0</v>
      </c>
      <c r="Y306" s="118">
        <f t="shared" si="215"/>
        <v>0</v>
      </c>
      <c r="Z306" s="118">
        <f t="shared" si="216"/>
        <v>0</v>
      </c>
      <c r="AA306" s="119">
        <v>0</v>
      </c>
      <c r="AB306" s="120">
        <f t="shared" si="198"/>
        <v>0</v>
      </c>
      <c r="AC306" s="118">
        <f t="shared" si="199"/>
        <v>0</v>
      </c>
      <c r="AD306" s="118">
        <f t="shared" si="217"/>
        <v>1904.18</v>
      </c>
      <c r="AE306" s="118">
        <f t="shared" si="200"/>
        <v>0</v>
      </c>
      <c r="AF306" s="121">
        <f t="shared" si="218"/>
        <v>0</v>
      </c>
      <c r="AG306" s="122">
        <f t="shared" si="201"/>
        <v>0</v>
      </c>
      <c r="AH306" s="122">
        <f t="shared" si="202"/>
        <v>0</v>
      </c>
      <c r="AI306" s="122">
        <f t="shared" si="203"/>
        <v>0</v>
      </c>
      <c r="AJ306" s="122">
        <f t="shared" si="204"/>
        <v>0</v>
      </c>
      <c r="AK306" s="122">
        <f t="shared" si="205"/>
        <v>0</v>
      </c>
      <c r="AL306" s="122">
        <f t="shared" si="206"/>
        <v>0</v>
      </c>
      <c r="AM306" s="123">
        <f t="shared" si="207"/>
        <v>1904.18</v>
      </c>
      <c r="AN306" s="123">
        <f t="shared" si="225"/>
        <v>-1904.18</v>
      </c>
      <c r="AO306" s="124">
        <f t="shared" si="209"/>
        <v>582.16999999999996</v>
      </c>
      <c r="AP306" s="125">
        <f t="shared" si="219"/>
        <v>1107.0100000000002</v>
      </c>
      <c r="AU306" s="109">
        <f>IF(BA306=1,IF(AU305=MiscData!$F$1,EOMONTH(AU305,-11),EOMONTH(AU305,1)),AU305)</f>
        <v>42247</v>
      </c>
      <c r="AV306" s="108" t="str">
        <f t="shared" si="220"/>
        <v>20140101LGRSE543</v>
      </c>
      <c r="AW306" s="126" t="str">
        <f t="shared" si="221"/>
        <v>20140101LEV</v>
      </c>
      <c r="AX306">
        <f>MiscData!$X$5</f>
        <v>20140101</v>
      </c>
      <c r="BA306" s="98">
        <f>IF(BA305+1&gt;MiscData!$Z$42,1,BA305+1)</f>
        <v>37</v>
      </c>
      <c r="BB306" s="98" t="str">
        <f>VLOOKUP(BA306,MiscData!$Z$5:$AB$46,2,FALSE)</f>
        <v>LGRSE543</v>
      </c>
      <c r="BC306" s="98" t="str">
        <f>VLOOKUP(BA306,MiscData!$Z$5:$AB$46,3,FALSE)</f>
        <v>LEV</v>
      </c>
    </row>
    <row r="307" spans="1:55">
      <c r="A307" s="108">
        <v>290</v>
      </c>
      <c r="B307" s="109" t="str">
        <f t="shared" si="210"/>
        <v>Aug 2015</v>
      </c>
      <c r="C307" s="110" t="str">
        <f t="shared" si="211"/>
        <v>LEV</v>
      </c>
      <c r="D307" s="110" t="str">
        <f t="shared" si="212"/>
        <v>LGRSE547</v>
      </c>
      <c r="E307" s="111">
        <f t="shared" si="182"/>
        <v>0</v>
      </c>
      <c r="F307" s="112">
        <v>0</v>
      </c>
      <c r="G307" s="111">
        <f t="shared" si="183"/>
        <v>0</v>
      </c>
      <c r="H307" s="111">
        <f t="shared" si="184"/>
        <v>0</v>
      </c>
      <c r="I307" s="111">
        <f t="shared" si="185"/>
        <v>0</v>
      </c>
      <c r="J307" s="111">
        <f t="shared" si="186"/>
        <v>0</v>
      </c>
      <c r="K307" s="113">
        <f t="shared" si="187"/>
        <v>0</v>
      </c>
      <c r="L307" s="113">
        <f t="shared" si="188"/>
        <v>0</v>
      </c>
      <c r="M307" s="113">
        <f t="shared" si="189"/>
        <v>0</v>
      </c>
      <c r="N307" s="116">
        <f t="shared" si="190"/>
        <v>10.75</v>
      </c>
      <c r="O307" s="117">
        <f t="shared" si="224"/>
        <v>5.8200000000000002E-2</v>
      </c>
      <c r="P307" s="117">
        <f t="shared" si="191"/>
        <v>7.8990000000000005E-2</v>
      </c>
      <c r="Q307" s="117">
        <f t="shared" si="192"/>
        <v>0.14451000000000003</v>
      </c>
      <c r="R307" s="117">
        <f t="shared" si="193"/>
        <v>2.725E-2</v>
      </c>
      <c r="S307" s="116">
        <f t="shared" si="194"/>
        <v>0</v>
      </c>
      <c r="T307" s="116">
        <f t="shared" si="195"/>
        <v>0</v>
      </c>
      <c r="U307" s="116">
        <f t="shared" si="196"/>
        <v>0</v>
      </c>
      <c r="V307" s="118">
        <f t="shared" si="197"/>
        <v>0</v>
      </c>
      <c r="W307" s="118">
        <f t="shared" si="213"/>
        <v>0</v>
      </c>
      <c r="X307" s="118">
        <f t="shared" si="214"/>
        <v>0</v>
      </c>
      <c r="Y307" s="118">
        <f t="shared" si="215"/>
        <v>0</v>
      </c>
      <c r="Z307" s="118">
        <f t="shared" si="216"/>
        <v>0</v>
      </c>
      <c r="AA307" s="119">
        <v>0</v>
      </c>
      <c r="AB307" s="120">
        <f t="shared" si="198"/>
        <v>0</v>
      </c>
      <c r="AC307" s="118">
        <f t="shared" si="199"/>
        <v>0</v>
      </c>
      <c r="AD307" s="118">
        <f t="shared" si="217"/>
        <v>0</v>
      </c>
      <c r="AE307" s="118">
        <f t="shared" si="200"/>
        <v>0</v>
      </c>
      <c r="AF307" s="121">
        <f t="shared" si="218"/>
        <v>1</v>
      </c>
      <c r="AG307" s="122">
        <f t="shared" si="201"/>
        <v>0</v>
      </c>
      <c r="AH307" s="122">
        <f t="shared" si="202"/>
        <v>0</v>
      </c>
      <c r="AI307" s="122">
        <f t="shared" si="203"/>
        <v>0</v>
      </c>
      <c r="AJ307" s="122">
        <f t="shared" si="204"/>
        <v>0</v>
      </c>
      <c r="AK307" s="122">
        <f t="shared" si="205"/>
        <v>0</v>
      </c>
      <c r="AL307" s="122">
        <f t="shared" si="206"/>
        <v>0</v>
      </c>
      <c r="AM307" s="123">
        <f t="shared" si="207"/>
        <v>0</v>
      </c>
      <c r="AN307" s="123">
        <f t="shared" si="225"/>
        <v>0</v>
      </c>
      <c r="AO307" s="124">
        <f t="shared" si="209"/>
        <v>0</v>
      </c>
      <c r="AP307" s="125">
        <f t="shared" si="219"/>
        <v>0</v>
      </c>
      <c r="AU307" s="109">
        <f>IF(BA307=1,IF(AU306=MiscData!$F$1,EOMONTH(AU306,-11),EOMONTH(AU306,1)),AU306)</f>
        <v>42247</v>
      </c>
      <c r="AV307" s="108" t="str">
        <f t="shared" si="220"/>
        <v>20140101LGRSE547</v>
      </c>
      <c r="AW307" s="126" t="str">
        <f t="shared" si="221"/>
        <v>20140101LEV</v>
      </c>
      <c r="AX307">
        <f>MiscData!$X$5</f>
        <v>20140101</v>
      </c>
      <c r="BA307" s="98">
        <f>IF(BA306+1&gt;MiscData!$Z$42,1,BA306+1)</f>
        <v>38</v>
      </c>
      <c r="BB307" s="98" t="str">
        <f>VLOOKUP(BA307,MiscData!$Z$5:$AB$46,2,FALSE)</f>
        <v>LGRSE547</v>
      </c>
      <c r="BC307" s="98" t="str">
        <f>VLOOKUP(BA307,MiscData!$Z$5:$AB$46,3,FALSE)</f>
        <v>LEV</v>
      </c>
    </row>
    <row r="308" spans="1:55">
      <c r="A308" s="108">
        <v>291</v>
      </c>
      <c r="B308" s="109" t="str">
        <f t="shared" si="210"/>
        <v>Sep 2015</v>
      </c>
      <c r="C308" s="110" t="str">
        <f t="shared" si="211"/>
        <v>FLSP</v>
      </c>
      <c r="D308" s="110" t="str">
        <f t="shared" si="212"/>
        <v>LGINE682</v>
      </c>
      <c r="E308" s="111">
        <f t="shared" si="182"/>
        <v>0</v>
      </c>
      <c r="F308" s="112">
        <v>0</v>
      </c>
      <c r="G308" s="111">
        <f t="shared" si="183"/>
        <v>0</v>
      </c>
      <c r="H308" s="111">
        <f t="shared" si="184"/>
        <v>0</v>
      </c>
      <c r="I308" s="111">
        <f t="shared" si="185"/>
        <v>0</v>
      </c>
      <c r="J308" s="111">
        <f t="shared" si="186"/>
        <v>0</v>
      </c>
      <c r="K308" s="113">
        <f t="shared" si="187"/>
        <v>0</v>
      </c>
      <c r="L308" s="113">
        <f t="shared" si="188"/>
        <v>0</v>
      </c>
      <c r="M308" s="113">
        <f t="shared" si="189"/>
        <v>0</v>
      </c>
      <c r="N308" s="116">
        <f t="shared" si="190"/>
        <v>750</v>
      </c>
      <c r="O308" s="117">
        <f t="shared" si="224"/>
        <v>3.61E-2</v>
      </c>
      <c r="P308" s="117">
        <f t="shared" si="191"/>
        <v>0</v>
      </c>
      <c r="Q308" s="117">
        <f t="shared" si="192"/>
        <v>0</v>
      </c>
      <c r="R308" s="117">
        <f t="shared" si="193"/>
        <v>2.725E-2</v>
      </c>
      <c r="S308" s="116">
        <f t="shared" si="194"/>
        <v>1.8900000000000001</v>
      </c>
      <c r="T308" s="116">
        <f t="shared" si="195"/>
        <v>1.8900000000000001</v>
      </c>
      <c r="U308" s="116">
        <f t="shared" si="196"/>
        <v>2.94</v>
      </c>
      <c r="V308" s="118">
        <f t="shared" si="197"/>
        <v>0</v>
      </c>
      <c r="W308" s="118">
        <f t="shared" si="213"/>
        <v>0</v>
      </c>
      <c r="X308" s="118">
        <f t="shared" si="214"/>
        <v>0</v>
      </c>
      <c r="Y308" s="118">
        <f t="shared" si="215"/>
        <v>0</v>
      </c>
      <c r="Z308" s="118">
        <f t="shared" si="216"/>
        <v>0</v>
      </c>
      <c r="AA308" s="119">
        <v>0</v>
      </c>
      <c r="AB308" s="120">
        <f t="shared" si="198"/>
        <v>0</v>
      </c>
      <c r="AC308" s="118">
        <f t="shared" si="199"/>
        <v>0</v>
      </c>
      <c r="AD308" s="118">
        <f t="shared" si="217"/>
        <v>0</v>
      </c>
      <c r="AE308" s="118">
        <f t="shared" si="200"/>
        <v>0</v>
      </c>
      <c r="AF308" s="121">
        <f t="shared" si="218"/>
        <v>1</v>
      </c>
      <c r="AG308" s="122">
        <f t="shared" si="201"/>
        <v>0</v>
      </c>
      <c r="AH308" s="122">
        <f t="shared" si="202"/>
        <v>0</v>
      </c>
      <c r="AI308" s="122">
        <f t="shared" si="203"/>
        <v>0</v>
      </c>
      <c r="AJ308" s="122">
        <f t="shared" si="204"/>
        <v>0</v>
      </c>
      <c r="AK308" s="122">
        <f t="shared" si="205"/>
        <v>0</v>
      </c>
      <c r="AL308" s="122">
        <f t="shared" si="206"/>
        <v>0</v>
      </c>
      <c r="AM308" s="123">
        <f t="shared" si="207"/>
        <v>0</v>
      </c>
      <c r="AN308" s="123">
        <f t="shared" si="225"/>
        <v>0</v>
      </c>
      <c r="AO308" s="124">
        <f t="shared" si="209"/>
        <v>0</v>
      </c>
      <c r="AP308" s="125">
        <f t="shared" si="219"/>
        <v>0</v>
      </c>
      <c r="AU308" s="109">
        <f>IF(BA308=1,IF(AU307=MiscData!$F$1,EOMONTH(AU307,-11),EOMONTH(AU307,1)),AU307)</f>
        <v>42277</v>
      </c>
      <c r="AV308" s="108" t="str">
        <f t="shared" si="220"/>
        <v>20140101LGINE682</v>
      </c>
      <c r="AW308" s="126" t="str">
        <f t="shared" si="221"/>
        <v>20140101FLSP</v>
      </c>
      <c r="AX308">
        <f>MiscData!$X$5</f>
        <v>20140101</v>
      </c>
      <c r="BA308" s="98">
        <f>IF(BA307+1&gt;MiscData!$Z$42,1,BA307+1)</f>
        <v>1</v>
      </c>
      <c r="BB308" s="98" t="str">
        <f>VLOOKUP(BA308,MiscData!$Z$5:$AB$46,2,FALSE)</f>
        <v>LGINE682</v>
      </c>
      <c r="BC308" s="98" t="str">
        <f>VLOOKUP(BA308,MiscData!$Z$5:$AB$46,3,FALSE)</f>
        <v>FLSP</v>
      </c>
    </row>
    <row r="309" spans="1:55">
      <c r="A309" s="108">
        <v>292</v>
      </c>
      <c r="B309" s="109" t="str">
        <f t="shared" si="210"/>
        <v>Sep 2015</v>
      </c>
      <c r="C309" s="110" t="str">
        <f t="shared" si="211"/>
        <v>FLST</v>
      </c>
      <c r="D309" s="110" t="str">
        <f t="shared" si="212"/>
        <v>LGINE683</v>
      </c>
      <c r="E309" s="111">
        <f t="shared" si="182"/>
        <v>0</v>
      </c>
      <c r="F309" s="112">
        <v>0</v>
      </c>
      <c r="G309" s="111">
        <f t="shared" si="183"/>
        <v>0</v>
      </c>
      <c r="H309" s="111">
        <f t="shared" si="184"/>
        <v>0</v>
      </c>
      <c r="I309" s="111">
        <f t="shared" si="185"/>
        <v>0</v>
      </c>
      <c r="J309" s="111">
        <f t="shared" si="186"/>
        <v>0</v>
      </c>
      <c r="K309" s="113">
        <f t="shared" si="187"/>
        <v>0</v>
      </c>
      <c r="L309" s="113">
        <f t="shared" si="188"/>
        <v>0</v>
      </c>
      <c r="M309" s="113">
        <f t="shared" si="189"/>
        <v>0</v>
      </c>
      <c r="N309" s="116">
        <f t="shared" si="190"/>
        <v>750</v>
      </c>
      <c r="O309" s="117">
        <f t="shared" si="224"/>
        <v>3.61E-2</v>
      </c>
      <c r="P309" s="117">
        <f t="shared" si="191"/>
        <v>0</v>
      </c>
      <c r="Q309" s="117">
        <f t="shared" si="192"/>
        <v>0</v>
      </c>
      <c r="R309" s="117">
        <f t="shared" si="193"/>
        <v>2.725E-2</v>
      </c>
      <c r="S309" s="116">
        <f t="shared" si="194"/>
        <v>1.1400000000000001</v>
      </c>
      <c r="T309" s="116">
        <f t="shared" si="195"/>
        <v>1.8900000000000001</v>
      </c>
      <c r="U309" s="116">
        <f t="shared" si="196"/>
        <v>2.94</v>
      </c>
      <c r="V309" s="118">
        <f t="shared" si="197"/>
        <v>0</v>
      </c>
      <c r="W309" s="118">
        <f t="shared" si="213"/>
        <v>0</v>
      </c>
      <c r="X309" s="118">
        <f t="shared" si="214"/>
        <v>0</v>
      </c>
      <c r="Y309" s="118">
        <f t="shared" si="215"/>
        <v>0</v>
      </c>
      <c r="Z309" s="118">
        <f t="shared" si="216"/>
        <v>0</v>
      </c>
      <c r="AA309" s="119">
        <v>0</v>
      </c>
      <c r="AB309" s="120">
        <f t="shared" si="198"/>
        <v>0</v>
      </c>
      <c r="AC309" s="118">
        <f t="shared" si="199"/>
        <v>0</v>
      </c>
      <c r="AD309" s="118">
        <f t="shared" si="217"/>
        <v>0</v>
      </c>
      <c r="AE309" s="118">
        <f t="shared" si="200"/>
        <v>0</v>
      </c>
      <c r="AF309" s="121">
        <f t="shared" si="218"/>
        <v>1</v>
      </c>
      <c r="AG309" s="122">
        <f t="shared" si="201"/>
        <v>0</v>
      </c>
      <c r="AH309" s="122">
        <f t="shared" si="202"/>
        <v>0</v>
      </c>
      <c r="AI309" s="122">
        <f t="shared" si="203"/>
        <v>0</v>
      </c>
      <c r="AJ309" s="122">
        <f t="shared" si="204"/>
        <v>0</v>
      </c>
      <c r="AK309" s="122">
        <f t="shared" si="205"/>
        <v>0</v>
      </c>
      <c r="AL309" s="122">
        <f t="shared" si="206"/>
        <v>0</v>
      </c>
      <c r="AM309" s="123">
        <f t="shared" si="207"/>
        <v>0</v>
      </c>
      <c r="AN309" s="123">
        <f t="shared" si="225"/>
        <v>0</v>
      </c>
      <c r="AO309" s="124">
        <f t="shared" si="209"/>
        <v>0</v>
      </c>
      <c r="AP309" s="125">
        <f t="shared" si="219"/>
        <v>0</v>
      </c>
      <c r="AU309" s="109">
        <f>IF(BA309=1,IF(AU308=MiscData!$F$1,EOMONTH(AU308,-11),EOMONTH(AU308,1)),AU308)</f>
        <v>42277</v>
      </c>
      <c r="AV309" s="108" t="str">
        <f t="shared" si="220"/>
        <v>20140101LGINE683</v>
      </c>
      <c r="AW309" s="126" t="str">
        <f t="shared" si="221"/>
        <v>20140101FLST</v>
      </c>
      <c r="AX309">
        <f>MiscData!$X$5</f>
        <v>20140101</v>
      </c>
      <c r="BA309" s="98">
        <f>IF(BA308+1&gt;MiscData!$Z$42,1,BA308+1)</f>
        <v>2</v>
      </c>
      <c r="BB309" s="98" t="str">
        <f>VLOOKUP(BA309,MiscData!$Z$5:$AB$46,2,FALSE)</f>
        <v>LGINE683</v>
      </c>
      <c r="BC309" s="98" t="str">
        <f>VLOOKUP(BA309,MiscData!$Z$5:$AB$46,3,FALSE)</f>
        <v>FLST</v>
      </c>
    </row>
    <row r="310" spans="1:55">
      <c r="A310" s="108">
        <v>293</v>
      </c>
      <c r="B310" s="109" t="str">
        <f t="shared" si="210"/>
        <v>Sep 2015</v>
      </c>
      <c r="C310" s="110" t="s">
        <v>902</v>
      </c>
      <c r="D310" s="110" t="str">
        <f t="shared" si="212"/>
        <v>LGCME451</v>
      </c>
      <c r="E310" s="111">
        <f t="shared" si="182"/>
        <v>0</v>
      </c>
      <c r="F310" s="112">
        <v>0</v>
      </c>
      <c r="G310" s="111">
        <f t="shared" si="183"/>
        <v>0</v>
      </c>
      <c r="H310" s="111">
        <f t="shared" si="184"/>
        <v>0</v>
      </c>
      <c r="I310" s="111">
        <f t="shared" si="185"/>
        <v>0</v>
      </c>
      <c r="J310" s="111">
        <f t="shared" si="186"/>
        <v>0</v>
      </c>
      <c r="K310" s="113">
        <f t="shared" si="187"/>
        <v>0</v>
      </c>
      <c r="L310" s="113">
        <f t="shared" si="188"/>
        <v>0</v>
      </c>
      <c r="M310" s="113">
        <f t="shared" si="189"/>
        <v>0</v>
      </c>
      <c r="N310" s="116">
        <f t="shared" si="190"/>
        <v>0</v>
      </c>
      <c r="O310" s="117">
        <f t="shared" si="224"/>
        <v>9.1340000000000005E-2</v>
      </c>
      <c r="P310" s="117">
        <f t="shared" si="191"/>
        <v>0</v>
      </c>
      <c r="Q310" s="117">
        <f t="shared" si="192"/>
        <v>0</v>
      </c>
      <c r="R310" s="117">
        <f t="shared" si="193"/>
        <v>2.725E-2</v>
      </c>
      <c r="S310" s="116">
        <f t="shared" si="194"/>
        <v>0</v>
      </c>
      <c r="T310" s="116">
        <f t="shared" si="195"/>
        <v>0</v>
      </c>
      <c r="U310" s="116">
        <f t="shared" si="196"/>
        <v>0</v>
      </c>
      <c r="V310" s="118">
        <f t="shared" si="197"/>
        <v>0</v>
      </c>
      <c r="W310" s="118">
        <f t="shared" si="213"/>
        <v>0</v>
      </c>
      <c r="X310" s="118">
        <f t="shared" si="214"/>
        <v>0</v>
      </c>
      <c r="Y310" s="118">
        <f t="shared" si="215"/>
        <v>0</v>
      </c>
      <c r="Z310" s="118">
        <f t="shared" si="216"/>
        <v>0</v>
      </c>
      <c r="AA310" s="119">
        <v>0</v>
      </c>
      <c r="AB310" s="120">
        <f t="shared" si="198"/>
        <v>0</v>
      </c>
      <c r="AC310" s="118">
        <f t="shared" si="199"/>
        <v>0</v>
      </c>
      <c r="AD310" s="118">
        <f t="shared" si="217"/>
        <v>0</v>
      </c>
      <c r="AE310" s="118">
        <f t="shared" si="200"/>
        <v>0</v>
      </c>
      <c r="AF310" s="121">
        <f t="shared" si="218"/>
        <v>1</v>
      </c>
      <c r="AG310" s="122">
        <f t="shared" si="201"/>
        <v>0</v>
      </c>
      <c r="AH310" s="122">
        <f t="shared" si="202"/>
        <v>0</v>
      </c>
      <c r="AI310" s="122">
        <f t="shared" si="203"/>
        <v>0</v>
      </c>
      <c r="AJ310" s="122">
        <f t="shared" si="204"/>
        <v>0</v>
      </c>
      <c r="AK310" s="122">
        <f t="shared" si="205"/>
        <v>0</v>
      </c>
      <c r="AL310" s="122">
        <f t="shared" si="206"/>
        <v>0</v>
      </c>
      <c r="AM310" s="123">
        <f t="shared" si="207"/>
        <v>0</v>
      </c>
      <c r="AN310" s="123">
        <f t="shared" si="225"/>
        <v>0</v>
      </c>
      <c r="AO310" s="124">
        <f t="shared" si="209"/>
        <v>0</v>
      </c>
      <c r="AP310" s="125">
        <f t="shared" si="219"/>
        <v>0</v>
      </c>
      <c r="AU310" s="109">
        <f>IF(BA310=1,IF(AU309=MiscData!$F$1,EOMONTH(AU309,-11),EOMONTH(AU309,1)),AU309)</f>
        <v>42277</v>
      </c>
      <c r="AV310" s="108" t="str">
        <f t="shared" si="220"/>
        <v>20140101LGCME451</v>
      </c>
      <c r="AW310" s="126" t="str">
        <f t="shared" si="221"/>
        <v>20140101GSS</v>
      </c>
      <c r="AX310">
        <f>MiscData!$X$5</f>
        <v>20140101</v>
      </c>
      <c r="BA310" s="98">
        <f>IF(BA309+1&gt;MiscData!$Z$42,1,BA309+1)</f>
        <v>3</v>
      </c>
      <c r="BB310" s="98" t="str">
        <f>VLOOKUP(BA310,MiscData!$Z$5:$AB$46,2,FALSE)</f>
        <v>LGCME451</v>
      </c>
      <c r="BC310" s="98" t="str">
        <f>VLOOKUP(BA310,MiscData!$Z$5:$AB$46,3,FALSE)</f>
        <v>GSS</v>
      </c>
    </row>
    <row r="311" spans="1:55">
      <c r="A311" s="108">
        <v>294</v>
      </c>
      <c r="B311" s="109" t="str">
        <f t="shared" si="210"/>
        <v>Sep 2015</v>
      </c>
      <c r="C311" s="110" t="s">
        <v>902</v>
      </c>
      <c r="D311" s="110" t="str">
        <f t="shared" si="212"/>
        <v>LGCME550</v>
      </c>
      <c r="E311" s="111">
        <f t="shared" si="182"/>
        <v>0</v>
      </c>
      <c r="F311" s="112">
        <v>0</v>
      </c>
      <c r="G311" s="111">
        <f t="shared" si="183"/>
        <v>0</v>
      </c>
      <c r="H311" s="111">
        <f t="shared" si="184"/>
        <v>0</v>
      </c>
      <c r="I311" s="111">
        <f t="shared" si="185"/>
        <v>0</v>
      </c>
      <c r="J311" s="111">
        <f t="shared" si="186"/>
        <v>0</v>
      </c>
      <c r="K311" s="113">
        <f t="shared" si="187"/>
        <v>0</v>
      </c>
      <c r="L311" s="113">
        <f t="shared" si="188"/>
        <v>0</v>
      </c>
      <c r="M311" s="113">
        <f t="shared" si="189"/>
        <v>0</v>
      </c>
      <c r="N311" s="116">
        <f t="shared" si="190"/>
        <v>20</v>
      </c>
      <c r="O311" s="117">
        <f t="shared" si="224"/>
        <v>9.1340000000000005E-2</v>
      </c>
      <c r="P311" s="117">
        <f t="shared" si="191"/>
        <v>0</v>
      </c>
      <c r="Q311" s="117">
        <f t="shared" si="192"/>
        <v>0</v>
      </c>
      <c r="R311" s="117">
        <f t="shared" si="193"/>
        <v>2.725E-2</v>
      </c>
      <c r="S311" s="116">
        <f t="shared" si="194"/>
        <v>0</v>
      </c>
      <c r="T311" s="116">
        <f t="shared" si="195"/>
        <v>0</v>
      </c>
      <c r="U311" s="116">
        <f t="shared" si="196"/>
        <v>0</v>
      </c>
      <c r="V311" s="118">
        <f t="shared" si="197"/>
        <v>0</v>
      </c>
      <c r="W311" s="118">
        <f t="shared" si="213"/>
        <v>0</v>
      </c>
      <c r="X311" s="118">
        <f t="shared" si="214"/>
        <v>0</v>
      </c>
      <c r="Y311" s="118">
        <f t="shared" si="215"/>
        <v>0</v>
      </c>
      <c r="Z311" s="118">
        <f t="shared" si="216"/>
        <v>0</v>
      </c>
      <c r="AA311" s="119">
        <v>0</v>
      </c>
      <c r="AB311" s="120">
        <f t="shared" si="198"/>
        <v>0</v>
      </c>
      <c r="AC311" s="118">
        <f t="shared" si="199"/>
        <v>0</v>
      </c>
      <c r="AD311" s="118">
        <f t="shared" si="217"/>
        <v>0</v>
      </c>
      <c r="AE311" s="118">
        <f t="shared" si="200"/>
        <v>0</v>
      </c>
      <c r="AF311" s="121">
        <f t="shared" si="218"/>
        <v>1</v>
      </c>
      <c r="AG311" s="122">
        <f t="shared" si="201"/>
        <v>0</v>
      </c>
      <c r="AH311" s="122">
        <f t="shared" si="202"/>
        <v>0</v>
      </c>
      <c r="AI311" s="122">
        <f t="shared" si="203"/>
        <v>0</v>
      </c>
      <c r="AJ311" s="122">
        <f t="shared" si="204"/>
        <v>0</v>
      </c>
      <c r="AK311" s="122">
        <f t="shared" si="205"/>
        <v>0</v>
      </c>
      <c r="AL311" s="122">
        <f t="shared" si="206"/>
        <v>0</v>
      </c>
      <c r="AM311" s="123">
        <f t="shared" si="207"/>
        <v>0</v>
      </c>
      <c r="AN311" s="123">
        <f>ROUND(AL311-AM311,2)</f>
        <v>0</v>
      </c>
      <c r="AO311" s="124">
        <f t="shared" si="209"/>
        <v>0</v>
      </c>
      <c r="AP311" s="125">
        <f t="shared" si="219"/>
        <v>0</v>
      </c>
      <c r="AU311" s="109">
        <f>IF(BA311=1,IF(AU310=MiscData!$F$1,EOMONTH(AU310,-11),EOMONTH(AU310,1)),AU310)</f>
        <v>42277</v>
      </c>
      <c r="AV311" s="108" t="str">
        <f t="shared" si="220"/>
        <v>20140101LGCME550</v>
      </c>
      <c r="AW311" s="126" t="str">
        <f t="shared" si="221"/>
        <v>20140101GSS</v>
      </c>
      <c r="AX311">
        <f>MiscData!$X$5</f>
        <v>20140101</v>
      </c>
      <c r="BA311" s="98">
        <f>IF(BA310+1&gt;MiscData!$Z$42,1,BA310+1)</f>
        <v>4</v>
      </c>
      <c r="BB311" s="98" t="str">
        <f>VLOOKUP(BA311,MiscData!$Z$5:$AB$46,2,FALSE)</f>
        <v>LGCME550</v>
      </c>
      <c r="BC311" s="98" t="str">
        <f>VLOOKUP(BA311,MiscData!$Z$5:$AB$46,3,FALSE)</f>
        <v>GSS</v>
      </c>
    </row>
    <row r="312" spans="1:55">
      <c r="A312" s="108">
        <v>295</v>
      </c>
      <c r="B312" s="109" t="str">
        <f t="shared" si="210"/>
        <v>Sep 2015</v>
      </c>
      <c r="C312" s="110" t="s">
        <v>902</v>
      </c>
      <c r="D312" s="110" t="str">
        <f t="shared" si="212"/>
        <v>LGCME551</v>
      </c>
      <c r="E312" s="111">
        <f t="shared" si="182"/>
        <v>28177</v>
      </c>
      <c r="F312" s="112">
        <v>0</v>
      </c>
      <c r="G312" s="111">
        <f t="shared" si="183"/>
        <v>0</v>
      </c>
      <c r="H312" s="111">
        <f t="shared" si="184"/>
        <v>0</v>
      </c>
      <c r="I312" s="111">
        <f t="shared" si="185"/>
        <v>0</v>
      </c>
      <c r="J312" s="111">
        <f t="shared" si="186"/>
        <v>32918663</v>
      </c>
      <c r="K312" s="113">
        <f t="shared" si="187"/>
        <v>0</v>
      </c>
      <c r="L312" s="113">
        <f t="shared" si="188"/>
        <v>0</v>
      </c>
      <c r="M312" s="113">
        <f t="shared" si="189"/>
        <v>0</v>
      </c>
      <c r="N312" s="116">
        <f t="shared" si="190"/>
        <v>20</v>
      </c>
      <c r="O312" s="117">
        <f t="shared" si="224"/>
        <v>9.1340000000000005E-2</v>
      </c>
      <c r="P312" s="117">
        <f t="shared" si="191"/>
        <v>0</v>
      </c>
      <c r="Q312" s="117">
        <f t="shared" si="192"/>
        <v>0</v>
      </c>
      <c r="R312" s="117">
        <f t="shared" si="193"/>
        <v>2.725E-2</v>
      </c>
      <c r="S312" s="116">
        <f t="shared" si="194"/>
        <v>0</v>
      </c>
      <c r="T312" s="116">
        <f t="shared" si="195"/>
        <v>0</v>
      </c>
      <c r="U312" s="116">
        <f t="shared" si="196"/>
        <v>0</v>
      </c>
      <c r="V312" s="118">
        <f t="shared" si="197"/>
        <v>563540</v>
      </c>
      <c r="W312" s="118">
        <f t="shared" si="213"/>
        <v>3006790.68</v>
      </c>
      <c r="X312" s="118">
        <f t="shared" si="214"/>
        <v>0</v>
      </c>
      <c r="Y312" s="118">
        <f t="shared" si="215"/>
        <v>0</v>
      </c>
      <c r="Z312" s="118">
        <f t="shared" si="216"/>
        <v>0</v>
      </c>
      <c r="AA312" s="119">
        <v>0</v>
      </c>
      <c r="AB312" s="120">
        <f t="shared" si="198"/>
        <v>0</v>
      </c>
      <c r="AC312" s="118">
        <f t="shared" si="199"/>
        <v>0</v>
      </c>
      <c r="AD312" s="118">
        <f t="shared" si="217"/>
        <v>3570330.68</v>
      </c>
      <c r="AE312" s="118">
        <f t="shared" si="200"/>
        <v>3570335</v>
      </c>
      <c r="AF312" s="121">
        <f t="shared" si="218"/>
        <v>1.0000009999999999</v>
      </c>
      <c r="AG312" s="122">
        <f t="shared" si="201"/>
        <v>8703</v>
      </c>
      <c r="AH312" s="122">
        <f t="shared" si="202"/>
        <v>70389</v>
      </c>
      <c r="AI312" s="122">
        <f t="shared" si="203"/>
        <v>277652</v>
      </c>
      <c r="AJ312" s="122">
        <f t="shared" si="204"/>
        <v>0</v>
      </c>
      <c r="AK312" s="122">
        <f t="shared" si="205"/>
        <v>0</v>
      </c>
      <c r="AL312" s="122">
        <f t="shared" si="206"/>
        <v>3927079</v>
      </c>
      <c r="AM312" s="123">
        <f t="shared" si="207"/>
        <v>3927074.68</v>
      </c>
      <c r="AN312" s="123">
        <f t="shared" si="225"/>
        <v>4.3199999998323619</v>
      </c>
      <c r="AO312" s="124">
        <f t="shared" si="209"/>
        <v>897033.57</v>
      </c>
      <c r="AP312" s="125">
        <f t="shared" si="219"/>
        <v>2109757.1100000003</v>
      </c>
      <c r="AU312" s="109">
        <f>IF(BA312=1,IF(AU311=MiscData!$F$1,EOMONTH(AU311,-11),EOMONTH(AU311,1)),AU311)</f>
        <v>42277</v>
      </c>
      <c r="AV312" s="108" t="str">
        <f t="shared" si="220"/>
        <v>20140101LGCME551</v>
      </c>
      <c r="AW312" s="126" t="str">
        <f t="shared" si="221"/>
        <v>20140101GSS</v>
      </c>
      <c r="AX312">
        <f>MiscData!$X$5</f>
        <v>20140101</v>
      </c>
      <c r="BA312" s="98">
        <f>IF(BA311+1&gt;MiscData!$Z$42,1,BA311+1)</f>
        <v>5</v>
      </c>
      <c r="BB312" s="98" t="str">
        <f>VLOOKUP(BA312,MiscData!$Z$5:$AB$46,2,FALSE)</f>
        <v>LGCME551</v>
      </c>
      <c r="BC312" s="98" t="str">
        <f>VLOOKUP(BA312,MiscData!$Z$5:$AB$46,3,FALSE)</f>
        <v>GSS</v>
      </c>
    </row>
    <row r="313" spans="1:55">
      <c r="A313" s="108">
        <v>296</v>
      </c>
      <c r="B313" s="109" t="str">
        <f t="shared" si="210"/>
        <v>Sep 2015</v>
      </c>
      <c r="C313" s="110" t="s">
        <v>902</v>
      </c>
      <c r="D313" s="110" t="str">
        <f t="shared" si="212"/>
        <v>LGCME551UM</v>
      </c>
      <c r="E313" s="111">
        <f t="shared" si="182"/>
        <v>0</v>
      </c>
      <c r="F313" s="112">
        <v>0</v>
      </c>
      <c r="G313" s="111">
        <f t="shared" si="183"/>
        <v>0</v>
      </c>
      <c r="H313" s="111">
        <f t="shared" si="184"/>
        <v>0</v>
      </c>
      <c r="I313" s="111">
        <f t="shared" si="185"/>
        <v>0</v>
      </c>
      <c r="J313" s="111">
        <f t="shared" si="186"/>
        <v>0</v>
      </c>
      <c r="K313" s="113">
        <f t="shared" si="187"/>
        <v>0</v>
      </c>
      <c r="L313" s="113">
        <f t="shared" si="188"/>
        <v>0</v>
      </c>
      <c r="M313" s="113">
        <f t="shared" si="189"/>
        <v>0</v>
      </c>
      <c r="N313" s="116">
        <f t="shared" si="190"/>
        <v>20</v>
      </c>
      <c r="O313" s="117">
        <f t="shared" si="224"/>
        <v>9.1340000000000005E-2</v>
      </c>
      <c r="P313" s="117">
        <f t="shared" si="191"/>
        <v>0</v>
      </c>
      <c r="Q313" s="117">
        <f t="shared" si="192"/>
        <v>0</v>
      </c>
      <c r="R313" s="117">
        <f t="shared" si="193"/>
        <v>2.725E-2</v>
      </c>
      <c r="S313" s="116">
        <f t="shared" si="194"/>
        <v>0</v>
      </c>
      <c r="T313" s="116">
        <f t="shared" si="195"/>
        <v>0</v>
      </c>
      <c r="U313" s="116">
        <f t="shared" si="196"/>
        <v>0</v>
      </c>
      <c r="V313" s="118">
        <f t="shared" si="197"/>
        <v>0</v>
      </c>
      <c r="W313" s="118">
        <f t="shared" si="213"/>
        <v>0</v>
      </c>
      <c r="X313" s="118">
        <f t="shared" si="214"/>
        <v>0</v>
      </c>
      <c r="Y313" s="118">
        <f t="shared" si="215"/>
        <v>0</v>
      </c>
      <c r="Z313" s="118">
        <f t="shared" si="216"/>
        <v>0</v>
      </c>
      <c r="AA313" s="119">
        <v>0</v>
      </c>
      <c r="AB313" s="120">
        <f t="shared" si="198"/>
        <v>0</v>
      </c>
      <c r="AC313" s="118">
        <f t="shared" si="199"/>
        <v>0</v>
      </c>
      <c r="AD313" s="118">
        <f t="shared" si="217"/>
        <v>0</v>
      </c>
      <c r="AE313" s="118">
        <f t="shared" si="200"/>
        <v>0</v>
      </c>
      <c r="AF313" s="121">
        <f t="shared" si="218"/>
        <v>1</v>
      </c>
      <c r="AG313" s="122">
        <f t="shared" si="201"/>
        <v>0</v>
      </c>
      <c r="AH313" s="122">
        <f t="shared" si="202"/>
        <v>0</v>
      </c>
      <c r="AI313" s="122">
        <f t="shared" si="203"/>
        <v>0</v>
      </c>
      <c r="AJ313" s="122">
        <f t="shared" si="204"/>
        <v>0</v>
      </c>
      <c r="AK313" s="122">
        <f t="shared" si="205"/>
        <v>0</v>
      </c>
      <c r="AL313" s="122">
        <f t="shared" si="206"/>
        <v>0</v>
      </c>
      <c r="AM313" s="123">
        <f t="shared" si="207"/>
        <v>0</v>
      </c>
      <c r="AN313" s="123">
        <f t="shared" si="225"/>
        <v>0</v>
      </c>
      <c r="AO313" s="124">
        <f t="shared" si="209"/>
        <v>0</v>
      </c>
      <c r="AP313" s="125">
        <f t="shared" si="219"/>
        <v>0</v>
      </c>
      <c r="AU313" s="109">
        <f>IF(BA313=1,IF(AU312=MiscData!$F$1,EOMONTH(AU312,-11),EOMONTH(AU312,1)),AU312)</f>
        <v>42277</v>
      </c>
      <c r="AV313" s="108" t="str">
        <f t="shared" si="220"/>
        <v>20140101LGCME551UM</v>
      </c>
      <c r="AW313" s="126" t="str">
        <f t="shared" si="221"/>
        <v>20140101GSS</v>
      </c>
      <c r="AX313">
        <f>MiscData!$X$5</f>
        <v>20140101</v>
      </c>
      <c r="BA313" s="98">
        <f>IF(BA312+1&gt;MiscData!$Z$42,1,BA312+1)</f>
        <v>6</v>
      </c>
      <c r="BB313" s="98" t="str">
        <f>VLOOKUP(BA313,MiscData!$Z$5:$AB$46,2,FALSE)</f>
        <v>LGCME551UM</v>
      </c>
      <c r="BC313" s="98" t="str">
        <f>VLOOKUP(BA313,MiscData!$Z$5:$AB$46,3,FALSE)</f>
        <v>GSS</v>
      </c>
    </row>
    <row r="314" spans="1:55">
      <c r="A314" s="108">
        <v>297</v>
      </c>
      <c r="B314" s="109" t="str">
        <f t="shared" si="210"/>
        <v>Sep 2015</v>
      </c>
      <c r="C314" s="110" t="s">
        <v>902</v>
      </c>
      <c r="D314" s="110" t="str">
        <f t="shared" si="212"/>
        <v>LGCME552</v>
      </c>
      <c r="E314" s="111">
        <f t="shared" si="182"/>
        <v>0</v>
      </c>
      <c r="F314" s="112">
        <v>0</v>
      </c>
      <c r="G314" s="111">
        <f t="shared" si="183"/>
        <v>0</v>
      </c>
      <c r="H314" s="111">
        <f t="shared" si="184"/>
        <v>0</v>
      </c>
      <c r="I314" s="111">
        <f t="shared" si="185"/>
        <v>0</v>
      </c>
      <c r="J314" s="111">
        <f t="shared" si="186"/>
        <v>0</v>
      </c>
      <c r="K314" s="113">
        <f t="shared" si="187"/>
        <v>0</v>
      </c>
      <c r="L314" s="113">
        <f t="shared" si="188"/>
        <v>0</v>
      </c>
      <c r="M314" s="113">
        <f t="shared" si="189"/>
        <v>0</v>
      </c>
      <c r="N314" s="116">
        <f t="shared" si="190"/>
        <v>0</v>
      </c>
      <c r="O314" s="117">
        <f t="shared" si="224"/>
        <v>9.1340000000000005E-2</v>
      </c>
      <c r="P314" s="117">
        <f t="shared" si="191"/>
        <v>0</v>
      </c>
      <c r="Q314" s="117">
        <f t="shared" si="192"/>
        <v>0</v>
      </c>
      <c r="R314" s="117">
        <f t="shared" si="193"/>
        <v>2.725E-2</v>
      </c>
      <c r="S314" s="116">
        <f t="shared" si="194"/>
        <v>0</v>
      </c>
      <c r="T314" s="116">
        <f t="shared" si="195"/>
        <v>0</v>
      </c>
      <c r="U314" s="116">
        <f t="shared" si="196"/>
        <v>0</v>
      </c>
      <c r="V314" s="118">
        <f t="shared" si="197"/>
        <v>0</v>
      </c>
      <c r="W314" s="118">
        <f t="shared" si="213"/>
        <v>0</v>
      </c>
      <c r="X314" s="118">
        <f t="shared" si="214"/>
        <v>0</v>
      </c>
      <c r="Y314" s="118">
        <f t="shared" si="215"/>
        <v>0</v>
      </c>
      <c r="Z314" s="118">
        <f t="shared" si="216"/>
        <v>0</v>
      </c>
      <c r="AA314" s="119">
        <v>0</v>
      </c>
      <c r="AB314" s="120">
        <f t="shared" si="198"/>
        <v>0</v>
      </c>
      <c r="AC314" s="118">
        <f t="shared" si="199"/>
        <v>0</v>
      </c>
      <c r="AD314" s="118">
        <f t="shared" si="217"/>
        <v>0</v>
      </c>
      <c r="AE314" s="118">
        <f t="shared" si="200"/>
        <v>0</v>
      </c>
      <c r="AF314" s="121">
        <f t="shared" si="218"/>
        <v>1</v>
      </c>
      <c r="AG314" s="122">
        <f t="shared" si="201"/>
        <v>0</v>
      </c>
      <c r="AH314" s="122">
        <f t="shared" si="202"/>
        <v>0</v>
      </c>
      <c r="AI314" s="122">
        <f t="shared" si="203"/>
        <v>0</v>
      </c>
      <c r="AJ314" s="122">
        <f t="shared" si="204"/>
        <v>0</v>
      </c>
      <c r="AK314" s="122">
        <f t="shared" si="205"/>
        <v>0</v>
      </c>
      <c r="AL314" s="122">
        <f t="shared" si="206"/>
        <v>0</v>
      </c>
      <c r="AM314" s="123">
        <f t="shared" si="207"/>
        <v>0</v>
      </c>
      <c r="AN314" s="123">
        <f t="shared" ref="AN314:AN320" si="227">ROUND(AL314-AM314,2)</f>
        <v>0</v>
      </c>
      <c r="AO314" s="124">
        <f t="shared" si="209"/>
        <v>0</v>
      </c>
      <c r="AP314" s="125">
        <f t="shared" si="219"/>
        <v>0</v>
      </c>
      <c r="AU314" s="109">
        <f>IF(BA314=1,IF(AU313=MiscData!$F$1,EOMONTH(AU313,-11),EOMONTH(AU313,1)),AU313)</f>
        <v>42277</v>
      </c>
      <c r="AV314" s="108" t="str">
        <f t="shared" si="220"/>
        <v>20140101LGCME552</v>
      </c>
      <c r="AW314" s="126" t="str">
        <f t="shared" si="221"/>
        <v>20140101GSS</v>
      </c>
      <c r="AX314">
        <f>MiscData!$X$5</f>
        <v>20140101</v>
      </c>
      <c r="BA314" s="98">
        <f>IF(BA313+1&gt;MiscData!$Z$42,1,BA313+1)</f>
        <v>7</v>
      </c>
      <c r="BB314" s="98" t="str">
        <f>VLOOKUP(BA314,MiscData!$Z$5:$AB$46,2,FALSE)</f>
        <v>LGCME552</v>
      </c>
      <c r="BC314" s="98" t="str">
        <f>VLOOKUP(BA314,MiscData!$Z$5:$AB$46,3,FALSE)</f>
        <v>GSS</v>
      </c>
    </row>
    <row r="315" spans="1:55">
      <c r="A315" s="108">
        <v>298</v>
      </c>
      <c r="B315" s="109" t="str">
        <f t="shared" si="210"/>
        <v>Sep 2015</v>
      </c>
      <c r="C315" s="110" t="s">
        <v>902</v>
      </c>
      <c r="D315" s="110" t="str">
        <f t="shared" si="212"/>
        <v>LGCME557</v>
      </c>
      <c r="E315" s="111">
        <f t="shared" si="182"/>
        <v>0</v>
      </c>
      <c r="F315" s="112">
        <v>0</v>
      </c>
      <c r="G315" s="111">
        <f t="shared" si="183"/>
        <v>0</v>
      </c>
      <c r="H315" s="111">
        <f t="shared" si="184"/>
        <v>0</v>
      </c>
      <c r="I315" s="111">
        <f t="shared" si="185"/>
        <v>0</v>
      </c>
      <c r="J315" s="111">
        <f t="shared" si="186"/>
        <v>0</v>
      </c>
      <c r="K315" s="113">
        <f t="shared" si="187"/>
        <v>0</v>
      </c>
      <c r="L315" s="113">
        <f t="shared" si="188"/>
        <v>0</v>
      </c>
      <c r="M315" s="113">
        <f t="shared" si="189"/>
        <v>0</v>
      </c>
      <c r="N315" s="116">
        <f t="shared" si="190"/>
        <v>20</v>
      </c>
      <c r="O315" s="117">
        <f t="shared" si="224"/>
        <v>9.1340000000000005E-2</v>
      </c>
      <c r="P315" s="117">
        <f t="shared" si="191"/>
        <v>0</v>
      </c>
      <c r="Q315" s="117">
        <f t="shared" si="192"/>
        <v>0</v>
      </c>
      <c r="R315" s="117">
        <f t="shared" si="193"/>
        <v>2.725E-2</v>
      </c>
      <c r="S315" s="116">
        <f t="shared" si="194"/>
        <v>0</v>
      </c>
      <c r="T315" s="116">
        <f t="shared" si="195"/>
        <v>0</v>
      </c>
      <c r="U315" s="116">
        <f t="shared" si="196"/>
        <v>0</v>
      </c>
      <c r="V315" s="118">
        <f t="shared" si="197"/>
        <v>0</v>
      </c>
      <c r="W315" s="118">
        <f t="shared" si="213"/>
        <v>0</v>
      </c>
      <c r="X315" s="118">
        <f t="shared" si="214"/>
        <v>0</v>
      </c>
      <c r="Y315" s="118">
        <f t="shared" si="215"/>
        <v>0</v>
      </c>
      <c r="Z315" s="118">
        <f t="shared" si="216"/>
        <v>0</v>
      </c>
      <c r="AA315" s="119">
        <v>0</v>
      </c>
      <c r="AB315" s="120">
        <f t="shared" si="198"/>
        <v>0</v>
      </c>
      <c r="AC315" s="118">
        <f t="shared" si="199"/>
        <v>0</v>
      </c>
      <c r="AD315" s="118">
        <f t="shared" si="217"/>
        <v>0</v>
      </c>
      <c r="AE315" s="118">
        <f t="shared" si="200"/>
        <v>0</v>
      </c>
      <c r="AF315" s="121">
        <f t="shared" si="218"/>
        <v>1</v>
      </c>
      <c r="AG315" s="122">
        <f t="shared" si="201"/>
        <v>0</v>
      </c>
      <c r="AH315" s="122">
        <f t="shared" si="202"/>
        <v>0</v>
      </c>
      <c r="AI315" s="122">
        <f t="shared" si="203"/>
        <v>0</v>
      </c>
      <c r="AJ315" s="122">
        <f t="shared" si="204"/>
        <v>0</v>
      </c>
      <c r="AK315" s="122">
        <f t="shared" si="205"/>
        <v>0</v>
      </c>
      <c r="AL315" s="122">
        <f t="shared" si="206"/>
        <v>0</v>
      </c>
      <c r="AM315" s="123">
        <f t="shared" si="207"/>
        <v>0</v>
      </c>
      <c r="AN315" s="123">
        <f t="shared" si="227"/>
        <v>0</v>
      </c>
      <c r="AO315" s="124">
        <f t="shared" si="209"/>
        <v>0</v>
      </c>
      <c r="AP315" s="125">
        <f t="shared" si="219"/>
        <v>0</v>
      </c>
      <c r="AU315" s="109">
        <f>IF(BA315=1,IF(AU314=MiscData!$F$1,EOMONTH(AU314,-11),EOMONTH(AU314,1)),AU314)</f>
        <v>42277</v>
      </c>
      <c r="AV315" s="108" t="str">
        <f t="shared" si="220"/>
        <v>20140101LGCME557</v>
      </c>
      <c r="AW315" s="126" t="str">
        <f t="shared" si="221"/>
        <v>20140101GSS</v>
      </c>
      <c r="AX315">
        <f>MiscData!$X$5</f>
        <v>20140101</v>
      </c>
      <c r="BA315" s="98">
        <f>IF(BA314+1&gt;MiscData!$Z$42,1,BA314+1)</f>
        <v>8</v>
      </c>
      <c r="BB315" s="98" t="str">
        <f>VLOOKUP(BA315,MiscData!$Z$5:$AB$46,2,FALSE)</f>
        <v>LGCME557</v>
      </c>
      <c r="BC315" s="98" t="str">
        <f>VLOOKUP(BA315,MiscData!$Z$5:$AB$46,3,FALSE)</f>
        <v>GSS</v>
      </c>
    </row>
    <row r="316" spans="1:55">
      <c r="A316" s="108">
        <v>299</v>
      </c>
      <c r="B316" s="109" t="str">
        <f t="shared" si="210"/>
        <v>Sep 2015</v>
      </c>
      <c r="C316" s="110" t="str">
        <f t="shared" si="211"/>
        <v>PSS</v>
      </c>
      <c r="D316" s="110" t="str">
        <f t="shared" si="212"/>
        <v>LGCME561</v>
      </c>
      <c r="E316" s="111">
        <f t="shared" si="182"/>
        <v>2579</v>
      </c>
      <c r="F316" s="112">
        <v>0</v>
      </c>
      <c r="G316" s="111">
        <f t="shared" si="183"/>
        <v>0</v>
      </c>
      <c r="H316" s="111">
        <f t="shared" si="184"/>
        <v>0</v>
      </c>
      <c r="I316" s="111">
        <f t="shared" si="185"/>
        <v>0</v>
      </c>
      <c r="J316" s="111">
        <f t="shared" si="186"/>
        <v>143721391</v>
      </c>
      <c r="K316" s="113">
        <f t="shared" si="187"/>
        <v>0</v>
      </c>
      <c r="L316" s="113">
        <f t="shared" si="188"/>
        <v>0</v>
      </c>
      <c r="M316" s="113">
        <f t="shared" si="189"/>
        <v>407882</v>
      </c>
      <c r="N316" s="116">
        <f t="shared" si="190"/>
        <v>90</v>
      </c>
      <c r="O316" s="117">
        <f t="shared" si="224"/>
        <v>4.0599999999999997E-2</v>
      </c>
      <c r="P316" s="117">
        <f t="shared" si="191"/>
        <v>0</v>
      </c>
      <c r="Q316" s="117">
        <f t="shared" si="192"/>
        <v>0</v>
      </c>
      <c r="R316" s="117">
        <f t="shared" si="193"/>
        <v>2.725E-2</v>
      </c>
      <c r="S316" s="116">
        <f t="shared" si="194"/>
        <v>0</v>
      </c>
      <c r="T316" s="116">
        <f t="shared" si="195"/>
        <v>14.010000000000002</v>
      </c>
      <c r="U316" s="116">
        <f t="shared" si="196"/>
        <v>16.399999999999999</v>
      </c>
      <c r="V316" s="118">
        <f t="shared" si="197"/>
        <v>232110</v>
      </c>
      <c r="W316" s="118">
        <f t="shared" si="213"/>
        <v>5835088.4699999997</v>
      </c>
      <c r="X316" s="118">
        <f t="shared" si="214"/>
        <v>0</v>
      </c>
      <c r="Y316" s="118">
        <f t="shared" si="215"/>
        <v>0</v>
      </c>
      <c r="Z316" s="118">
        <f t="shared" si="216"/>
        <v>6689264.7999999998</v>
      </c>
      <c r="AA316" s="119">
        <v>0</v>
      </c>
      <c r="AB316" s="120">
        <f t="shared" si="198"/>
        <v>0</v>
      </c>
      <c r="AC316" s="118">
        <f t="shared" si="199"/>
        <v>6689264.7999999998</v>
      </c>
      <c r="AD316" s="118">
        <f t="shared" si="217"/>
        <v>12756463.27</v>
      </c>
      <c r="AE316" s="118">
        <f t="shared" si="200"/>
        <v>12756472</v>
      </c>
      <c r="AF316" s="121">
        <f t="shared" si="218"/>
        <v>1.0000009999999999</v>
      </c>
      <c r="AG316" s="122">
        <f t="shared" si="201"/>
        <v>37999</v>
      </c>
      <c r="AH316" s="122">
        <f t="shared" si="202"/>
        <v>307314</v>
      </c>
      <c r="AI316" s="122">
        <f t="shared" si="203"/>
        <v>1212215</v>
      </c>
      <c r="AJ316" s="122">
        <f t="shared" si="204"/>
        <v>0</v>
      </c>
      <c r="AK316" s="122">
        <f t="shared" si="205"/>
        <v>0</v>
      </c>
      <c r="AL316" s="122">
        <f t="shared" si="206"/>
        <v>14314000</v>
      </c>
      <c r="AM316" s="123">
        <f t="shared" si="207"/>
        <v>14313991.27</v>
      </c>
      <c r="AN316" s="123">
        <f t="shared" si="227"/>
        <v>8.73</v>
      </c>
      <c r="AO316" s="124">
        <f t="shared" si="209"/>
        <v>3916407.9</v>
      </c>
      <c r="AP316" s="125">
        <f t="shared" si="219"/>
        <v>1918680.5699999998</v>
      </c>
      <c r="AU316" s="109">
        <f>IF(BA316=1,IF(AU315=MiscData!$F$1,EOMONTH(AU315,-11),EOMONTH(AU315,1)),AU315)</f>
        <v>42277</v>
      </c>
      <c r="AV316" s="108" t="str">
        <f t="shared" si="220"/>
        <v>20140101LGCME561</v>
      </c>
      <c r="AW316" s="126" t="str">
        <f t="shared" si="221"/>
        <v>20140101PSS</v>
      </c>
      <c r="AX316">
        <f>MiscData!$X$5</f>
        <v>20140101</v>
      </c>
      <c r="BA316" s="98">
        <f>IF(BA315+1&gt;MiscData!$Z$42,1,BA315+1)</f>
        <v>9</v>
      </c>
      <c r="BB316" s="98" t="str">
        <f>VLOOKUP(BA316,MiscData!$Z$5:$AB$46,2,FALSE)</f>
        <v>LGCME561</v>
      </c>
      <c r="BC316" s="98" t="str">
        <f>VLOOKUP(BA316,MiscData!$Z$5:$AB$46,3,FALSE)</f>
        <v>PSS</v>
      </c>
    </row>
    <row r="317" spans="1:55">
      <c r="A317" s="108">
        <v>300</v>
      </c>
      <c r="B317" s="109" t="str">
        <f t="shared" si="210"/>
        <v>Sep 2015</v>
      </c>
      <c r="C317" s="110" t="str">
        <f t="shared" si="211"/>
        <v>PSP</v>
      </c>
      <c r="D317" s="110" t="str">
        <f t="shared" si="212"/>
        <v>LGCME563</v>
      </c>
      <c r="E317" s="111">
        <f t="shared" si="182"/>
        <v>52</v>
      </c>
      <c r="F317" s="112">
        <v>0</v>
      </c>
      <c r="G317" s="111">
        <f t="shared" si="183"/>
        <v>0</v>
      </c>
      <c r="H317" s="111">
        <f t="shared" si="184"/>
        <v>0</v>
      </c>
      <c r="I317" s="111">
        <f t="shared" si="185"/>
        <v>0</v>
      </c>
      <c r="J317" s="111">
        <f t="shared" si="186"/>
        <v>13180844</v>
      </c>
      <c r="K317" s="113">
        <f t="shared" si="187"/>
        <v>0</v>
      </c>
      <c r="L317" s="113">
        <f t="shared" si="188"/>
        <v>0</v>
      </c>
      <c r="M317" s="113">
        <f t="shared" si="189"/>
        <v>36679</v>
      </c>
      <c r="N317" s="116">
        <f t="shared" si="190"/>
        <v>170</v>
      </c>
      <c r="O317" s="117">
        <f t="shared" si="224"/>
        <v>3.9260000000000003E-2</v>
      </c>
      <c r="P317" s="117">
        <f t="shared" si="191"/>
        <v>0</v>
      </c>
      <c r="Q317" s="117">
        <f t="shared" si="192"/>
        <v>0</v>
      </c>
      <c r="R317" s="117">
        <f t="shared" si="193"/>
        <v>2.725E-2</v>
      </c>
      <c r="S317" s="116">
        <f t="shared" si="194"/>
        <v>0</v>
      </c>
      <c r="T317" s="116">
        <f t="shared" si="195"/>
        <v>11.660000000000002</v>
      </c>
      <c r="U317" s="116">
        <f t="shared" si="196"/>
        <v>13.950000000000001</v>
      </c>
      <c r="V317" s="118">
        <f t="shared" si="197"/>
        <v>8840</v>
      </c>
      <c r="W317" s="118">
        <f t="shared" si="213"/>
        <v>517479.94</v>
      </c>
      <c r="X317" s="118">
        <f t="shared" si="214"/>
        <v>0</v>
      </c>
      <c r="Y317" s="118">
        <f t="shared" si="215"/>
        <v>0</v>
      </c>
      <c r="Z317" s="118">
        <f t="shared" si="216"/>
        <v>511672.05</v>
      </c>
      <c r="AA317" s="119">
        <v>0</v>
      </c>
      <c r="AB317" s="120">
        <f t="shared" si="198"/>
        <v>0</v>
      </c>
      <c r="AC317" s="118">
        <f t="shared" si="199"/>
        <v>511672.05</v>
      </c>
      <c r="AD317" s="118">
        <f t="shared" si="217"/>
        <v>1037991.99</v>
      </c>
      <c r="AE317" s="118">
        <f t="shared" si="200"/>
        <v>1037998</v>
      </c>
      <c r="AF317" s="121">
        <f t="shared" si="218"/>
        <v>1.000006</v>
      </c>
      <c r="AG317" s="122">
        <f t="shared" si="201"/>
        <v>3485</v>
      </c>
      <c r="AH317" s="122">
        <f t="shared" si="202"/>
        <v>28184</v>
      </c>
      <c r="AI317" s="122">
        <f t="shared" si="203"/>
        <v>111174</v>
      </c>
      <c r="AJ317" s="122">
        <f t="shared" si="204"/>
        <v>0</v>
      </c>
      <c r="AK317" s="122">
        <f t="shared" si="205"/>
        <v>0</v>
      </c>
      <c r="AL317" s="122">
        <f t="shared" si="206"/>
        <v>1180841</v>
      </c>
      <c r="AM317" s="123">
        <f t="shared" si="207"/>
        <v>1180834.99</v>
      </c>
      <c r="AN317" s="123">
        <f t="shared" si="227"/>
        <v>6.01</v>
      </c>
      <c r="AO317" s="124">
        <f t="shared" si="209"/>
        <v>359178</v>
      </c>
      <c r="AP317" s="125">
        <f t="shared" si="219"/>
        <v>158301.94</v>
      </c>
      <c r="AU317" s="109">
        <f>IF(BA317=1,IF(AU316=MiscData!$F$1,EOMONTH(AU316,-11),EOMONTH(AU316,1)),AU316)</f>
        <v>42277</v>
      </c>
      <c r="AV317" s="108" t="str">
        <f t="shared" si="220"/>
        <v>20140101LGCME563</v>
      </c>
      <c r="AW317" s="126" t="str">
        <f t="shared" si="221"/>
        <v>20140101PSP</v>
      </c>
      <c r="AX317">
        <f>MiscData!$X$5</f>
        <v>20140101</v>
      </c>
      <c r="BA317" s="98">
        <f>IF(BA316+1&gt;MiscData!$Z$42,1,BA316+1)</f>
        <v>10</v>
      </c>
      <c r="BB317" s="98" t="str">
        <f>VLOOKUP(BA317,MiscData!$Z$5:$AB$46,2,FALSE)</f>
        <v>LGCME563</v>
      </c>
      <c r="BC317" s="98" t="str">
        <f>VLOOKUP(BA317,MiscData!$Z$5:$AB$46,3,FALSE)</f>
        <v>PSP</v>
      </c>
    </row>
    <row r="318" spans="1:55">
      <c r="A318" s="108">
        <v>301</v>
      </c>
      <c r="B318" s="109" t="str">
        <f t="shared" si="210"/>
        <v>Sep 2015</v>
      </c>
      <c r="C318" s="110" t="str">
        <f t="shared" si="211"/>
        <v>PSS</v>
      </c>
      <c r="D318" s="110" t="str">
        <f t="shared" si="212"/>
        <v>LGCME567</v>
      </c>
      <c r="E318" s="111">
        <f t="shared" si="182"/>
        <v>0</v>
      </c>
      <c r="F318" s="112">
        <v>0</v>
      </c>
      <c r="G318" s="111">
        <f t="shared" si="183"/>
        <v>0</v>
      </c>
      <c r="H318" s="111">
        <f t="shared" si="184"/>
        <v>0</v>
      </c>
      <c r="I318" s="111">
        <f t="shared" si="185"/>
        <v>0</v>
      </c>
      <c r="J318" s="111">
        <f t="shared" si="186"/>
        <v>0</v>
      </c>
      <c r="K318" s="113">
        <f t="shared" si="187"/>
        <v>0</v>
      </c>
      <c r="L318" s="113">
        <f t="shared" si="188"/>
        <v>0</v>
      </c>
      <c r="M318" s="113">
        <f t="shared" si="189"/>
        <v>0</v>
      </c>
      <c r="N318" s="116">
        <f t="shared" si="190"/>
        <v>90</v>
      </c>
      <c r="O318" s="117">
        <f t="shared" si="224"/>
        <v>4.0599999999999997E-2</v>
      </c>
      <c r="P318" s="117">
        <f t="shared" si="191"/>
        <v>0</v>
      </c>
      <c r="Q318" s="117">
        <f t="shared" si="192"/>
        <v>0</v>
      </c>
      <c r="R318" s="117">
        <f t="shared" si="193"/>
        <v>2.725E-2</v>
      </c>
      <c r="S318" s="116">
        <f t="shared" si="194"/>
        <v>0</v>
      </c>
      <c r="T318" s="116">
        <f t="shared" si="195"/>
        <v>14.010000000000002</v>
      </c>
      <c r="U318" s="116">
        <f t="shared" si="196"/>
        <v>16.399999999999999</v>
      </c>
      <c r="V318" s="118">
        <f t="shared" si="197"/>
        <v>0</v>
      </c>
      <c r="W318" s="118">
        <f t="shared" si="213"/>
        <v>0</v>
      </c>
      <c r="X318" s="118">
        <f t="shared" si="214"/>
        <v>0</v>
      </c>
      <c r="Y318" s="118">
        <f t="shared" si="215"/>
        <v>0</v>
      </c>
      <c r="Z318" s="118">
        <f t="shared" si="216"/>
        <v>0</v>
      </c>
      <c r="AA318" s="119">
        <v>0</v>
      </c>
      <c r="AB318" s="120">
        <f t="shared" si="198"/>
        <v>0</v>
      </c>
      <c r="AC318" s="118">
        <f t="shared" si="199"/>
        <v>0</v>
      </c>
      <c r="AD318" s="118">
        <f t="shared" si="217"/>
        <v>0</v>
      </c>
      <c r="AE318" s="118">
        <f t="shared" si="200"/>
        <v>0</v>
      </c>
      <c r="AF318" s="121">
        <f t="shared" si="218"/>
        <v>1</v>
      </c>
      <c r="AG318" s="122">
        <f t="shared" si="201"/>
        <v>0</v>
      </c>
      <c r="AH318" s="122">
        <f t="shared" si="202"/>
        <v>0</v>
      </c>
      <c r="AI318" s="122">
        <f t="shared" si="203"/>
        <v>0</v>
      </c>
      <c r="AJ318" s="122">
        <f t="shared" si="204"/>
        <v>0</v>
      </c>
      <c r="AK318" s="122">
        <f t="shared" si="205"/>
        <v>0</v>
      </c>
      <c r="AL318" s="122">
        <f t="shared" si="206"/>
        <v>0</v>
      </c>
      <c r="AM318" s="123">
        <f t="shared" si="207"/>
        <v>0</v>
      </c>
      <c r="AN318" s="123">
        <f t="shared" si="227"/>
        <v>0</v>
      </c>
      <c r="AO318" s="124">
        <f t="shared" si="209"/>
        <v>0</v>
      </c>
      <c r="AP318" s="125">
        <f t="shared" si="219"/>
        <v>0</v>
      </c>
      <c r="AU318" s="109">
        <f>IF(BA318=1,IF(AU317=MiscData!$F$1,EOMONTH(AU317,-11),EOMONTH(AU317,1)),AU317)</f>
        <v>42277</v>
      </c>
      <c r="AV318" s="108" t="str">
        <f t="shared" si="220"/>
        <v>20140101LGCME567</v>
      </c>
      <c r="AW318" s="126" t="str">
        <f t="shared" si="221"/>
        <v>20140101PSS</v>
      </c>
      <c r="AX318">
        <f>MiscData!$X$5</f>
        <v>20140101</v>
      </c>
      <c r="BA318" s="98">
        <f>IF(BA317+1&gt;MiscData!$Z$42,1,BA317+1)</f>
        <v>11</v>
      </c>
      <c r="BB318" s="98" t="str">
        <f>VLOOKUP(BA318,MiscData!$Z$5:$AB$46,2,FALSE)</f>
        <v>LGCME567</v>
      </c>
      <c r="BC318" s="98" t="str">
        <f>VLOOKUP(BA318,MiscData!$Z$5:$AB$46,3,FALSE)</f>
        <v>PSS</v>
      </c>
    </row>
    <row r="319" spans="1:55">
      <c r="A319" s="108">
        <v>302</v>
      </c>
      <c r="B319" s="109" t="str">
        <f t="shared" si="210"/>
        <v>Sep 2015</v>
      </c>
      <c r="C319" s="110" t="str">
        <f t="shared" si="211"/>
        <v>TODS</v>
      </c>
      <c r="D319" s="110" t="str">
        <f t="shared" si="212"/>
        <v>LGCME591</v>
      </c>
      <c r="E319" s="111">
        <f t="shared" si="182"/>
        <v>218</v>
      </c>
      <c r="F319" s="112">
        <v>0</v>
      </c>
      <c r="G319" s="111">
        <f t="shared" si="183"/>
        <v>0</v>
      </c>
      <c r="H319" s="111">
        <f t="shared" si="184"/>
        <v>0</v>
      </c>
      <c r="I319" s="111">
        <f t="shared" si="185"/>
        <v>0</v>
      </c>
      <c r="J319" s="111">
        <f t="shared" si="186"/>
        <v>66161499</v>
      </c>
      <c r="K319" s="113">
        <f t="shared" si="187"/>
        <v>156169</v>
      </c>
      <c r="L319" s="113">
        <f t="shared" si="188"/>
        <v>151786</v>
      </c>
      <c r="M319" s="113">
        <f t="shared" si="189"/>
        <v>149867</v>
      </c>
      <c r="N319" s="116">
        <f t="shared" si="190"/>
        <v>200</v>
      </c>
      <c r="O319" s="117">
        <f t="shared" si="224"/>
        <v>3.9899999999999998E-2</v>
      </c>
      <c r="P319" s="117">
        <f t="shared" si="191"/>
        <v>0</v>
      </c>
      <c r="Q319" s="117">
        <f t="shared" si="192"/>
        <v>0</v>
      </c>
      <c r="R319" s="117">
        <f t="shared" si="193"/>
        <v>2.725E-2</v>
      </c>
      <c r="S319" s="116">
        <f t="shared" si="194"/>
        <v>4</v>
      </c>
      <c r="T319" s="116">
        <f t="shared" si="195"/>
        <v>4.5100000000000007</v>
      </c>
      <c r="U319" s="116">
        <f t="shared" si="196"/>
        <v>6.11</v>
      </c>
      <c r="V319" s="118">
        <f t="shared" si="197"/>
        <v>43600</v>
      </c>
      <c r="W319" s="118">
        <f t="shared" si="213"/>
        <v>2639843.81</v>
      </c>
      <c r="X319" s="118">
        <f t="shared" si="214"/>
        <v>624676</v>
      </c>
      <c r="Y319" s="118">
        <f t="shared" si="215"/>
        <v>684554.86</v>
      </c>
      <c r="Z319" s="118">
        <f t="shared" si="216"/>
        <v>915687.37</v>
      </c>
      <c r="AA319" s="119">
        <v>0</v>
      </c>
      <c r="AB319" s="120">
        <f t="shared" si="198"/>
        <v>0</v>
      </c>
      <c r="AC319" s="118">
        <f t="shared" si="199"/>
        <v>2224918.23</v>
      </c>
      <c r="AD319" s="118">
        <f t="shared" si="217"/>
        <v>4908362.04</v>
      </c>
      <c r="AE319" s="118">
        <f t="shared" si="200"/>
        <v>4908361</v>
      </c>
      <c r="AF319" s="121">
        <f t="shared" si="218"/>
        <v>1</v>
      </c>
      <c r="AG319" s="122">
        <f t="shared" si="201"/>
        <v>17493</v>
      </c>
      <c r="AH319" s="122">
        <f t="shared" si="202"/>
        <v>141471</v>
      </c>
      <c r="AI319" s="122">
        <f t="shared" si="203"/>
        <v>558038</v>
      </c>
      <c r="AJ319" s="122">
        <f t="shared" si="204"/>
        <v>0</v>
      </c>
      <c r="AK319" s="122">
        <f t="shared" si="205"/>
        <v>0</v>
      </c>
      <c r="AL319" s="122">
        <f t="shared" si="206"/>
        <v>5625363</v>
      </c>
      <c r="AM319" s="123">
        <f t="shared" si="207"/>
        <v>5625364.04</v>
      </c>
      <c r="AN319" s="123">
        <f t="shared" si="227"/>
        <v>-1.04</v>
      </c>
      <c r="AO319" s="124">
        <f t="shared" si="209"/>
        <v>1802900.85</v>
      </c>
      <c r="AP319" s="125">
        <f t="shared" si="219"/>
        <v>836942.96</v>
      </c>
      <c r="AU319" s="109">
        <f>IF(BA319=1,IF(AU318=MiscData!$F$1,EOMONTH(AU318,-11),EOMONTH(AU318,1)),AU318)</f>
        <v>42277</v>
      </c>
      <c r="AV319" s="108" t="str">
        <f t="shared" si="220"/>
        <v>20140101LGCME591</v>
      </c>
      <c r="AW319" s="126" t="str">
        <f t="shared" si="221"/>
        <v>20140101TODS</v>
      </c>
      <c r="AX319">
        <f>MiscData!$X$5</f>
        <v>20140101</v>
      </c>
      <c r="BA319" s="98">
        <f>IF(BA318+1&gt;MiscData!$Z$42,1,BA318+1)</f>
        <v>12</v>
      </c>
      <c r="BB319" s="98" t="str">
        <f>VLOOKUP(BA319,MiscData!$Z$5:$AB$46,2,FALSE)</f>
        <v>LGCME591</v>
      </c>
      <c r="BC319" s="98" t="str">
        <f>VLOOKUP(BA319,MiscData!$Z$5:$AB$46,3,FALSE)</f>
        <v>TODS</v>
      </c>
    </row>
    <row r="320" spans="1:55">
      <c r="A320" s="108">
        <v>303</v>
      </c>
      <c r="B320" s="109" t="str">
        <f t="shared" si="210"/>
        <v>Sep 2015</v>
      </c>
      <c r="C320" s="110" t="str">
        <f t="shared" si="211"/>
        <v>CTODP</v>
      </c>
      <c r="D320" s="110" t="str">
        <f t="shared" si="212"/>
        <v>LGCME593</v>
      </c>
      <c r="E320" s="111">
        <f t="shared" si="182"/>
        <v>38</v>
      </c>
      <c r="F320" s="112">
        <v>0</v>
      </c>
      <c r="G320" s="111">
        <f t="shared" si="183"/>
        <v>0</v>
      </c>
      <c r="H320" s="111">
        <f t="shared" si="184"/>
        <v>0</v>
      </c>
      <c r="I320" s="111">
        <f t="shared" si="185"/>
        <v>0</v>
      </c>
      <c r="J320" s="111">
        <f t="shared" si="186"/>
        <v>32700970</v>
      </c>
      <c r="K320" s="113">
        <f t="shared" si="187"/>
        <v>83488</v>
      </c>
      <c r="L320" s="113">
        <f t="shared" si="188"/>
        <v>81209</v>
      </c>
      <c r="M320" s="113">
        <f t="shared" si="189"/>
        <v>80536</v>
      </c>
      <c r="N320" s="116">
        <f t="shared" si="190"/>
        <v>300</v>
      </c>
      <c r="O320" s="117">
        <f t="shared" si="224"/>
        <v>3.8100000000000002E-2</v>
      </c>
      <c r="P320" s="117">
        <f t="shared" si="191"/>
        <v>0</v>
      </c>
      <c r="Q320" s="117">
        <f t="shared" si="192"/>
        <v>0</v>
      </c>
      <c r="R320" s="117">
        <f t="shared" si="193"/>
        <v>2.725E-2</v>
      </c>
      <c r="S320" s="116">
        <f t="shared" si="194"/>
        <v>3.9800000000000004</v>
      </c>
      <c r="T320" s="116">
        <f t="shared" si="195"/>
        <v>4.13</v>
      </c>
      <c r="U320" s="116">
        <f t="shared" si="196"/>
        <v>5.83</v>
      </c>
      <c r="V320" s="118">
        <f t="shared" si="197"/>
        <v>11400</v>
      </c>
      <c r="W320" s="118">
        <f t="shared" si="213"/>
        <v>1245906.96</v>
      </c>
      <c r="X320" s="118">
        <f t="shared" si="214"/>
        <v>332282.23999999999</v>
      </c>
      <c r="Y320" s="118">
        <f t="shared" si="215"/>
        <v>335393.17</v>
      </c>
      <c r="Z320" s="118">
        <f t="shared" si="216"/>
        <v>469524.88</v>
      </c>
      <c r="AA320" s="119">
        <v>0</v>
      </c>
      <c r="AB320" s="120">
        <f t="shared" si="198"/>
        <v>0</v>
      </c>
      <c r="AC320" s="118">
        <f t="shared" si="199"/>
        <v>1137200.29</v>
      </c>
      <c r="AD320" s="118">
        <f t="shared" si="217"/>
        <v>2394507.25</v>
      </c>
      <c r="AE320" s="118">
        <f t="shared" si="200"/>
        <v>2394503</v>
      </c>
      <c r="AF320" s="121">
        <f t="shared" si="218"/>
        <v>0.99999800000000005</v>
      </c>
      <c r="AG320" s="122">
        <f t="shared" si="201"/>
        <v>8646</v>
      </c>
      <c r="AH320" s="122">
        <f t="shared" si="202"/>
        <v>69923</v>
      </c>
      <c r="AI320" s="122">
        <f t="shared" si="203"/>
        <v>275816</v>
      </c>
      <c r="AJ320" s="122">
        <f t="shared" si="204"/>
        <v>0</v>
      </c>
      <c r="AK320" s="122">
        <f t="shared" si="205"/>
        <v>0</v>
      </c>
      <c r="AL320" s="122">
        <f t="shared" si="206"/>
        <v>2748888</v>
      </c>
      <c r="AM320" s="123">
        <f t="shared" si="207"/>
        <v>2748892.25</v>
      </c>
      <c r="AN320" s="123">
        <f t="shared" si="227"/>
        <v>-4.25</v>
      </c>
      <c r="AO320" s="124">
        <f t="shared" si="209"/>
        <v>891101.43</v>
      </c>
      <c r="AP320" s="125">
        <f t="shared" si="219"/>
        <v>354805.52999999991</v>
      </c>
      <c r="AU320" s="109">
        <f>IF(BA320=1,IF(AU319=MiscData!$F$1,EOMONTH(AU319,-11),EOMONTH(AU319,1)),AU319)</f>
        <v>42277</v>
      </c>
      <c r="AV320" s="108" t="str">
        <f t="shared" si="220"/>
        <v>20140101LGCME593</v>
      </c>
      <c r="AW320" s="126" t="str">
        <f t="shared" si="221"/>
        <v>20140101CTODP</v>
      </c>
      <c r="AX320">
        <f>MiscData!$X$5</f>
        <v>20140101</v>
      </c>
      <c r="BA320" s="98">
        <f>IF(BA319+1&gt;MiscData!$Z$42,1,BA319+1)</f>
        <v>13</v>
      </c>
      <c r="BB320" s="98" t="str">
        <f>VLOOKUP(BA320,MiscData!$Z$5:$AB$46,2,FALSE)</f>
        <v>LGCME593</v>
      </c>
      <c r="BC320" s="98" t="str">
        <f>VLOOKUP(BA320,MiscData!$Z$5:$AB$46,3,FALSE)</f>
        <v>CTODP</v>
      </c>
    </row>
    <row r="321" spans="1:55">
      <c r="A321" s="108">
        <v>304</v>
      </c>
      <c r="B321" s="109" t="str">
        <f t="shared" si="210"/>
        <v>Sep 2015</v>
      </c>
      <c r="C321" s="110" t="str">
        <f t="shared" si="211"/>
        <v>GS3</v>
      </c>
      <c r="D321" s="110" t="str">
        <f t="shared" si="212"/>
        <v>LGCME650</v>
      </c>
      <c r="E321" s="111">
        <f t="shared" si="182"/>
        <v>0</v>
      </c>
      <c r="F321" s="112">
        <v>0</v>
      </c>
      <c r="G321" s="111">
        <f t="shared" si="183"/>
        <v>0</v>
      </c>
      <c r="H321" s="111">
        <f t="shared" si="184"/>
        <v>0</v>
      </c>
      <c r="I321" s="111">
        <f t="shared" si="185"/>
        <v>0</v>
      </c>
      <c r="J321" s="111">
        <f t="shared" si="186"/>
        <v>0</v>
      </c>
      <c r="K321" s="113">
        <f t="shared" si="187"/>
        <v>0</v>
      </c>
      <c r="L321" s="113">
        <f t="shared" si="188"/>
        <v>0</v>
      </c>
      <c r="M321" s="113">
        <f t="shared" si="189"/>
        <v>0</v>
      </c>
      <c r="N321" s="116">
        <f t="shared" si="190"/>
        <v>35</v>
      </c>
      <c r="O321" s="117">
        <f t="shared" si="224"/>
        <v>9.1340000000000005E-2</v>
      </c>
      <c r="P321" s="117">
        <f t="shared" si="191"/>
        <v>0</v>
      </c>
      <c r="Q321" s="117">
        <f t="shared" si="192"/>
        <v>0</v>
      </c>
      <c r="R321" s="117">
        <f t="shared" si="193"/>
        <v>2.725E-2</v>
      </c>
      <c r="S321" s="116">
        <f t="shared" si="194"/>
        <v>0</v>
      </c>
      <c r="T321" s="116">
        <f t="shared" si="195"/>
        <v>0</v>
      </c>
      <c r="U321" s="116">
        <f t="shared" si="196"/>
        <v>0</v>
      </c>
      <c r="V321" s="118">
        <f t="shared" si="197"/>
        <v>0</v>
      </c>
      <c r="W321" s="118">
        <f t="shared" si="213"/>
        <v>0</v>
      </c>
      <c r="X321" s="118">
        <f t="shared" si="214"/>
        <v>0</v>
      </c>
      <c r="Y321" s="118">
        <f t="shared" si="215"/>
        <v>0</v>
      </c>
      <c r="Z321" s="118">
        <f t="shared" si="216"/>
        <v>0</v>
      </c>
      <c r="AA321" s="119">
        <v>0</v>
      </c>
      <c r="AB321" s="120">
        <f t="shared" si="198"/>
        <v>0</v>
      </c>
      <c r="AC321" s="118">
        <f t="shared" si="199"/>
        <v>0</v>
      </c>
      <c r="AD321" s="118">
        <f t="shared" si="217"/>
        <v>0</v>
      </c>
      <c r="AE321" s="118">
        <f t="shared" si="200"/>
        <v>0</v>
      </c>
      <c r="AF321" s="121">
        <f t="shared" si="218"/>
        <v>1</v>
      </c>
      <c r="AG321" s="122">
        <f t="shared" si="201"/>
        <v>0</v>
      </c>
      <c r="AH321" s="122">
        <f t="shared" si="202"/>
        <v>0</v>
      </c>
      <c r="AI321" s="122">
        <f t="shared" si="203"/>
        <v>0</v>
      </c>
      <c r="AJ321" s="122">
        <f t="shared" si="204"/>
        <v>0</v>
      </c>
      <c r="AK321" s="122">
        <f t="shared" si="205"/>
        <v>0</v>
      </c>
      <c r="AL321" s="122">
        <f t="shared" si="206"/>
        <v>0</v>
      </c>
      <c r="AM321" s="123">
        <f t="shared" si="207"/>
        <v>0</v>
      </c>
      <c r="AN321" s="123">
        <f t="shared" si="225"/>
        <v>0</v>
      </c>
      <c r="AO321" s="124">
        <f t="shared" si="209"/>
        <v>0</v>
      </c>
      <c r="AP321" s="125">
        <f t="shared" si="219"/>
        <v>0</v>
      </c>
      <c r="AU321" s="109">
        <f>IF(BA321=1,IF(AU320=MiscData!$F$1,EOMONTH(AU320,-11),EOMONTH(AU320,1)),AU320)</f>
        <v>42277</v>
      </c>
      <c r="AV321" s="108" t="str">
        <f t="shared" si="220"/>
        <v>20140101LGCME650</v>
      </c>
      <c r="AW321" s="126" t="str">
        <f t="shared" si="221"/>
        <v>20140101GS3</v>
      </c>
      <c r="AX321">
        <f>MiscData!$X$5</f>
        <v>20140101</v>
      </c>
      <c r="BA321" s="98">
        <f>IF(BA320+1&gt;MiscData!$Z$42,1,BA320+1)</f>
        <v>14</v>
      </c>
      <c r="BB321" s="98" t="str">
        <f>VLOOKUP(BA321,MiscData!$Z$5:$AB$46,2,FALSE)</f>
        <v>LGCME650</v>
      </c>
      <c r="BC321" s="98" t="str">
        <f>VLOOKUP(BA321,MiscData!$Z$5:$AB$46,3,FALSE)</f>
        <v>GS3</v>
      </c>
    </row>
    <row r="322" spans="1:55">
      <c r="A322" s="108">
        <v>305</v>
      </c>
      <c r="B322" s="109" t="str">
        <f t="shared" si="210"/>
        <v>Sep 2015</v>
      </c>
      <c r="C322" s="110" t="str">
        <f t="shared" si="211"/>
        <v>GS3</v>
      </c>
      <c r="D322" s="110" t="str">
        <f t="shared" si="212"/>
        <v>LGCME651</v>
      </c>
      <c r="E322" s="111">
        <f t="shared" si="182"/>
        <v>16361</v>
      </c>
      <c r="F322" s="112">
        <v>0</v>
      </c>
      <c r="G322" s="111">
        <f t="shared" si="183"/>
        <v>0</v>
      </c>
      <c r="H322" s="111">
        <f t="shared" si="184"/>
        <v>0</v>
      </c>
      <c r="I322" s="111">
        <f t="shared" si="185"/>
        <v>0</v>
      </c>
      <c r="J322" s="111">
        <f t="shared" si="186"/>
        <v>84000796</v>
      </c>
      <c r="K322" s="113">
        <f t="shared" si="187"/>
        <v>227086</v>
      </c>
      <c r="L322" s="113">
        <f t="shared" si="188"/>
        <v>0</v>
      </c>
      <c r="M322" s="113">
        <f t="shared" si="189"/>
        <v>0</v>
      </c>
      <c r="N322" s="116">
        <f t="shared" si="190"/>
        <v>35</v>
      </c>
      <c r="O322" s="117">
        <f t="shared" si="224"/>
        <v>9.1340000000000005E-2</v>
      </c>
      <c r="P322" s="117">
        <f t="shared" si="191"/>
        <v>0</v>
      </c>
      <c r="Q322" s="117">
        <f t="shared" si="192"/>
        <v>0</v>
      </c>
      <c r="R322" s="117">
        <f t="shared" si="193"/>
        <v>2.725E-2</v>
      </c>
      <c r="S322" s="116">
        <f t="shared" si="194"/>
        <v>0</v>
      </c>
      <c r="T322" s="116">
        <f t="shared" si="195"/>
        <v>0</v>
      </c>
      <c r="U322" s="116">
        <f t="shared" si="196"/>
        <v>0</v>
      </c>
      <c r="V322" s="118">
        <f t="shared" si="197"/>
        <v>572635</v>
      </c>
      <c r="W322" s="118">
        <f t="shared" si="213"/>
        <v>7672632.71</v>
      </c>
      <c r="X322" s="118">
        <f t="shared" si="214"/>
        <v>0</v>
      </c>
      <c r="Y322" s="118">
        <f t="shared" si="215"/>
        <v>0</v>
      </c>
      <c r="Z322" s="118">
        <f t="shared" si="216"/>
        <v>0</v>
      </c>
      <c r="AA322" s="119">
        <v>0</v>
      </c>
      <c r="AB322" s="120">
        <f t="shared" si="198"/>
        <v>0</v>
      </c>
      <c r="AC322" s="118">
        <f t="shared" si="199"/>
        <v>0</v>
      </c>
      <c r="AD322" s="118">
        <f t="shared" si="217"/>
        <v>8245267.71</v>
      </c>
      <c r="AE322" s="118">
        <f t="shared" si="200"/>
        <v>8245260</v>
      </c>
      <c r="AF322" s="121">
        <f t="shared" si="218"/>
        <v>0.99999899999999997</v>
      </c>
      <c r="AG322" s="122">
        <f t="shared" si="201"/>
        <v>22209</v>
      </c>
      <c r="AH322" s="122">
        <f t="shared" si="202"/>
        <v>179616</v>
      </c>
      <c r="AI322" s="122">
        <f t="shared" si="203"/>
        <v>708503</v>
      </c>
      <c r="AJ322" s="122">
        <f t="shared" si="204"/>
        <v>0</v>
      </c>
      <c r="AK322" s="122">
        <f t="shared" si="205"/>
        <v>0</v>
      </c>
      <c r="AL322" s="122">
        <f t="shared" si="206"/>
        <v>9155588</v>
      </c>
      <c r="AM322" s="123">
        <f t="shared" si="207"/>
        <v>9155595.7100000009</v>
      </c>
      <c r="AN322" s="123">
        <f t="shared" si="225"/>
        <v>-7.7100000008940697</v>
      </c>
      <c r="AO322" s="124">
        <f t="shared" si="209"/>
        <v>2289021.69</v>
      </c>
      <c r="AP322" s="125">
        <f t="shared" si="219"/>
        <v>5383611.0199999996</v>
      </c>
      <c r="AU322" s="109">
        <f>IF(BA322=1,IF(AU321=MiscData!$F$1,EOMONTH(AU321,-11),EOMONTH(AU321,1)),AU321)</f>
        <v>42277</v>
      </c>
      <c r="AV322" s="108" t="str">
        <f t="shared" si="220"/>
        <v>20140101LGCME651</v>
      </c>
      <c r="AW322" s="126" t="str">
        <f t="shared" si="221"/>
        <v>20140101GS3</v>
      </c>
      <c r="AX322">
        <f>MiscData!$X$5</f>
        <v>20140101</v>
      </c>
      <c r="BA322" s="98">
        <f>IF(BA321+1&gt;MiscData!$Z$42,1,BA321+1)</f>
        <v>15</v>
      </c>
      <c r="BB322" s="98" t="str">
        <f>VLOOKUP(BA322,MiscData!$Z$5:$AB$46,2,FALSE)</f>
        <v>LGCME651</v>
      </c>
      <c r="BC322" s="98" t="str">
        <f>VLOOKUP(BA322,MiscData!$Z$5:$AB$46,3,FALSE)</f>
        <v>GS3</v>
      </c>
    </row>
    <row r="323" spans="1:55">
      <c r="A323" s="108">
        <v>306</v>
      </c>
      <c r="B323" s="109" t="str">
        <f t="shared" si="210"/>
        <v>Sep 2015</v>
      </c>
      <c r="C323" s="110" t="str">
        <f t="shared" si="211"/>
        <v>GS3</v>
      </c>
      <c r="D323" s="110" t="str">
        <f t="shared" si="212"/>
        <v>LGCME652</v>
      </c>
      <c r="E323" s="111">
        <f t="shared" si="182"/>
        <v>0</v>
      </c>
      <c r="F323" s="112">
        <v>0</v>
      </c>
      <c r="G323" s="111">
        <f t="shared" si="183"/>
        <v>0</v>
      </c>
      <c r="H323" s="111">
        <f t="shared" si="184"/>
        <v>0</v>
      </c>
      <c r="I323" s="111">
        <f t="shared" si="185"/>
        <v>0</v>
      </c>
      <c r="J323" s="111">
        <f t="shared" si="186"/>
        <v>0</v>
      </c>
      <c r="K323" s="113">
        <f t="shared" si="187"/>
        <v>0</v>
      </c>
      <c r="L323" s="113">
        <f t="shared" si="188"/>
        <v>0</v>
      </c>
      <c r="M323" s="113">
        <f t="shared" si="189"/>
        <v>0</v>
      </c>
      <c r="N323" s="116">
        <f t="shared" si="190"/>
        <v>0</v>
      </c>
      <c r="O323" s="117">
        <f t="shared" si="224"/>
        <v>9.1340000000000005E-2</v>
      </c>
      <c r="P323" s="117">
        <f t="shared" si="191"/>
        <v>0</v>
      </c>
      <c r="Q323" s="117">
        <f t="shared" si="192"/>
        <v>0</v>
      </c>
      <c r="R323" s="117">
        <f t="shared" si="193"/>
        <v>2.725E-2</v>
      </c>
      <c r="S323" s="116">
        <f t="shared" si="194"/>
        <v>0</v>
      </c>
      <c r="T323" s="116">
        <f t="shared" si="195"/>
        <v>0</v>
      </c>
      <c r="U323" s="116">
        <f t="shared" si="196"/>
        <v>0</v>
      </c>
      <c r="V323" s="118">
        <f t="shared" si="197"/>
        <v>0</v>
      </c>
      <c r="W323" s="118">
        <f t="shared" si="213"/>
        <v>0</v>
      </c>
      <c r="X323" s="118">
        <f t="shared" si="214"/>
        <v>0</v>
      </c>
      <c r="Y323" s="118">
        <f t="shared" si="215"/>
        <v>0</v>
      </c>
      <c r="Z323" s="118">
        <f t="shared" si="216"/>
        <v>0</v>
      </c>
      <c r="AA323" s="119">
        <v>0</v>
      </c>
      <c r="AB323" s="120">
        <f t="shared" si="198"/>
        <v>0</v>
      </c>
      <c r="AC323" s="118">
        <f t="shared" si="199"/>
        <v>0</v>
      </c>
      <c r="AD323" s="118">
        <f t="shared" si="217"/>
        <v>0</v>
      </c>
      <c r="AE323" s="118">
        <f t="shared" si="200"/>
        <v>0</v>
      </c>
      <c r="AF323" s="121">
        <f t="shared" si="218"/>
        <v>1</v>
      </c>
      <c r="AG323" s="122">
        <f t="shared" si="201"/>
        <v>0</v>
      </c>
      <c r="AH323" s="122">
        <f t="shared" si="202"/>
        <v>0</v>
      </c>
      <c r="AI323" s="122">
        <f t="shared" si="203"/>
        <v>0</v>
      </c>
      <c r="AJ323" s="122">
        <f t="shared" si="204"/>
        <v>0</v>
      </c>
      <c r="AK323" s="122">
        <f t="shared" si="205"/>
        <v>0</v>
      </c>
      <c r="AL323" s="122">
        <f t="shared" si="206"/>
        <v>0</v>
      </c>
      <c r="AM323" s="123">
        <f t="shared" si="207"/>
        <v>0</v>
      </c>
      <c r="AN323" s="123">
        <f t="shared" si="225"/>
        <v>0</v>
      </c>
      <c r="AO323" s="124">
        <f t="shared" si="209"/>
        <v>0</v>
      </c>
      <c r="AP323" s="125">
        <f t="shared" si="219"/>
        <v>0</v>
      </c>
      <c r="AU323" s="109">
        <f>IF(BA323=1,IF(AU322=MiscData!$F$1,EOMONTH(AU322,-11),EOMONTH(AU322,1)),AU322)</f>
        <v>42277</v>
      </c>
      <c r="AV323" s="108" t="str">
        <f t="shared" si="220"/>
        <v>20140101LGCME652</v>
      </c>
      <c r="AW323" s="126" t="str">
        <f t="shared" si="221"/>
        <v>20140101GS3</v>
      </c>
      <c r="AX323">
        <f>MiscData!$X$5</f>
        <v>20140101</v>
      </c>
      <c r="BA323" s="98">
        <f>IF(BA322+1&gt;MiscData!$Z$42,1,BA322+1)</f>
        <v>16</v>
      </c>
      <c r="BB323" s="98" t="str">
        <f>VLOOKUP(BA323,MiscData!$Z$5:$AB$46,2,FALSE)</f>
        <v>LGCME652</v>
      </c>
      <c r="BC323" s="98" t="str">
        <f>VLOOKUP(BA323,MiscData!$Z$5:$AB$46,3,FALSE)</f>
        <v>GS3</v>
      </c>
    </row>
    <row r="324" spans="1:55">
      <c r="A324" s="108">
        <v>307</v>
      </c>
      <c r="B324" s="109" t="str">
        <f t="shared" si="210"/>
        <v>Sep 2015</v>
      </c>
      <c r="C324" s="110" t="str">
        <f t="shared" si="211"/>
        <v>GS3</v>
      </c>
      <c r="D324" s="110" t="str">
        <f t="shared" si="212"/>
        <v>LGCME657</v>
      </c>
      <c r="E324" s="111">
        <f t="shared" ref="E324:E387" si="228">SUMIFS(L_1022_Count,L_1022_Revenue_Month,$B324,L_1022_Rate_Category,$D324)</f>
        <v>0</v>
      </c>
      <c r="F324" s="112">
        <v>0</v>
      </c>
      <c r="G324" s="111">
        <f t="shared" ref="G324:G387" si="229">SUMIFS(L_1022_KWH_P1,L_1022_Revenue_Month,$B324,L_1022_Rate_Category,$D324)</f>
        <v>0</v>
      </c>
      <c r="H324" s="111">
        <f t="shared" ref="H324:H387" si="230">SUMIFS(L_1022_KWH_P2,L_1022_Revenue_Month,$B324,L_1022_Rate_Category,$D324)</f>
        <v>0</v>
      </c>
      <c r="I324" s="111">
        <f t="shared" ref="I324:I387" si="231">SUMIFS(L_1022_KWH_P3,L_1022_Revenue_Month,$B324,L_1022_Rate_Category,$D324)</f>
        <v>0</v>
      </c>
      <c r="J324" s="111">
        <f t="shared" ref="J324:J387" si="232">SUMIFS(L_1022_KWH_Total,L_1022_Revenue_Month,$B324,L_1022_Rate_Category,$D324)</f>
        <v>0</v>
      </c>
      <c r="K324" s="113">
        <f t="shared" ref="K324:K387" si="233">SUMIFS(L_1022_Demand_Base_Measured,L_1022_Revenue_Month,$B324,L_1022_Rate_Category,$D324)</f>
        <v>0</v>
      </c>
      <c r="L324" s="113">
        <f t="shared" ref="L324:L387" si="234">SUMIFS(L_1022_Demand_Inter_Measured,L_1022_Revenue_Month,$B324,L_1022_Rate_Category,$D324)</f>
        <v>0</v>
      </c>
      <c r="M324" s="113">
        <f t="shared" ref="M324:M387" si="235">SUMIFS(L_1022_Demand_Peak_Measured,L_1022_Revenue_Month,$B324,L_1022_Rate_Category,$D324)</f>
        <v>0</v>
      </c>
      <c r="N324" s="116">
        <f t="shared" ref="N324:N387" si="236">SUMIF(L_Rates_Tariff_Rate_Category,AV324,L_Rates_BSC)</f>
        <v>35</v>
      </c>
      <c r="O324" s="117">
        <f t="shared" si="224"/>
        <v>9.1340000000000005E-2</v>
      </c>
      <c r="P324" s="117">
        <f t="shared" ref="P324:P387" si="237">SUMIF(L_Rates_Tariff_Rate_Category,$AV324,L_Rates_Energy_P2)</f>
        <v>0</v>
      </c>
      <c r="Q324" s="117">
        <f t="shared" ref="Q324:Q387" si="238">SUMIF(L_Rates_Tariff_Rate_Category,$AV324,L_Rates_Energy_P3)</f>
        <v>0</v>
      </c>
      <c r="R324" s="117">
        <f t="shared" ref="R324:R387" si="239">SUMIF(L_Rates_Tariff_Rate_Category,$AV324,L_Rates_Energy_Base_Fuel)</f>
        <v>2.725E-2</v>
      </c>
      <c r="S324" s="116">
        <f t="shared" ref="S324:S387" si="240">SUMIF(L_Rates_Tariff_Rate_Category,$AV324,L_Rates_Demand_Base)</f>
        <v>0</v>
      </c>
      <c r="T324" s="116">
        <f t="shared" ref="T324:T387" si="241">SUMIF(L_Rates_Tariff_Rate_Category,$AV324,L_Rates_Demand_Intermediate)</f>
        <v>0</v>
      </c>
      <c r="U324" s="116">
        <f t="shared" ref="U324:U387" si="242">SUMIF(L_Rates_Tariff_Rate_Category,$AV324,L_Rates_Demand_Peak)</f>
        <v>0</v>
      </c>
      <c r="V324" s="118">
        <f t="shared" ref="V324:V387" si="243">ROUND(($E324+$F324)*$N324,2)</f>
        <v>0</v>
      </c>
      <c r="W324" s="118">
        <f t="shared" si="213"/>
        <v>0</v>
      </c>
      <c r="X324" s="118">
        <f t="shared" si="214"/>
        <v>0</v>
      </c>
      <c r="Y324" s="118">
        <f t="shared" si="215"/>
        <v>0</v>
      </c>
      <c r="Z324" s="118">
        <f t="shared" si="216"/>
        <v>0</v>
      </c>
      <c r="AA324" s="119">
        <v>0</v>
      </c>
      <c r="AB324" s="120">
        <f t="shared" ref="AB324:AB387" si="244">SUMIFS(L_1022_Revenue_Power_Factor,L_1022_Revenue_Month,$B324,L_1022_Rate_Category,$D324)</f>
        <v>0</v>
      </c>
      <c r="AC324" s="118">
        <f t="shared" ref="AC324:AC387" si="245">SUM(X324:AB324)</f>
        <v>0</v>
      </c>
      <c r="AD324" s="118">
        <f t="shared" si="217"/>
        <v>0</v>
      </c>
      <c r="AE324" s="118">
        <f t="shared" ref="AE324:AE387" si="246">AL324-SUM(AG324:AK324)</f>
        <v>0</v>
      </c>
      <c r="AF324" s="121">
        <f t="shared" si="218"/>
        <v>1</v>
      </c>
      <c r="AG324" s="122">
        <f t="shared" ref="AG324:AG387" si="247">SUMIFS(L_SBR_FAC,L_SBR_Revenue_Month,$B324,L_SBR_Rate_Category,$D324)</f>
        <v>0</v>
      </c>
      <c r="AH324" s="122">
        <f t="shared" ref="AH324:AH387" si="248">SUMIFS(L_SBR_DSM,L_SBR_Revenue_Month,$B324,L_SBR_Rate_Category,$D324)</f>
        <v>0</v>
      </c>
      <c r="AI324" s="122">
        <f t="shared" ref="AI324:AI387" si="249">SUMIFS(L_SBR_ECR,L_SBR_Revenue_Month,$B324,L_SBR_Rate_Category,$D324)</f>
        <v>0</v>
      </c>
      <c r="AJ324" s="122">
        <f t="shared" ref="AJ324:AJ387" si="250">SUMIFS(L_SBR_MSR,L_SBR_Revenue_Month,$B324,L_SBR_Rate_Category,$D324)</f>
        <v>0</v>
      </c>
      <c r="AK324" s="122">
        <f t="shared" ref="AK324:AK387" si="251">SUMIFS(L_SBR_CSR,L_SBR_Revenue_Month,$B324,L_SBR_Rate_Category,$D324)</f>
        <v>0</v>
      </c>
      <c r="AL324" s="122">
        <f t="shared" ref="AL324:AL387" si="252">SUMIFS(L_SBR_Revenue_Total,L_SBR_Revenue_Month,$B324,L_SBR_Rate_Category,$D324)</f>
        <v>0</v>
      </c>
      <c r="AM324" s="123">
        <f t="shared" ref="AM324:AM387" si="253">SUM(AD324,AG324:AK324)</f>
        <v>0</v>
      </c>
      <c r="AN324" s="123">
        <f t="shared" si="225"/>
        <v>0</v>
      </c>
      <c r="AO324" s="124">
        <f t="shared" ref="AO324:AO387" si="254">ROUND(J324*R324,2)</f>
        <v>0</v>
      </c>
      <c r="AP324" s="125">
        <f t="shared" si="219"/>
        <v>0</v>
      </c>
      <c r="AU324" s="109">
        <f>IF(BA324=1,IF(AU323=MiscData!$F$1,EOMONTH(AU323,-11),EOMONTH(AU323,1)),AU323)</f>
        <v>42277</v>
      </c>
      <c r="AV324" s="108" t="str">
        <f t="shared" si="220"/>
        <v>20140101LGCME657</v>
      </c>
      <c r="AW324" s="126" t="str">
        <f t="shared" si="221"/>
        <v>20140101GS3</v>
      </c>
      <c r="AX324">
        <f>MiscData!$X$5</f>
        <v>20140101</v>
      </c>
      <c r="BA324" s="98">
        <f>IF(BA323+1&gt;MiscData!$Z$42,1,BA323+1)</f>
        <v>17</v>
      </c>
      <c r="BB324" s="98" t="str">
        <f>VLOOKUP(BA324,MiscData!$Z$5:$AB$46,2,FALSE)</f>
        <v>LGCME657</v>
      </c>
      <c r="BC324" s="98" t="str">
        <f>VLOOKUP(BA324,MiscData!$Z$5:$AB$46,3,FALSE)</f>
        <v>GS3</v>
      </c>
    </row>
    <row r="325" spans="1:55">
      <c r="A325" s="108">
        <v>308</v>
      </c>
      <c r="B325" s="109" t="str">
        <f t="shared" ref="B325:B388" si="255">TEXT(AU325,"mmm yyyy")</f>
        <v>Sep 2015</v>
      </c>
      <c r="C325" s="110" t="str">
        <f t="shared" ref="C325:C385" si="256">BC325</f>
        <v>LWC</v>
      </c>
      <c r="D325" s="110" t="str">
        <f t="shared" ref="D325:D388" si="257">BB325</f>
        <v>LGCME671</v>
      </c>
      <c r="E325" s="111">
        <f t="shared" si="228"/>
        <v>2</v>
      </c>
      <c r="F325" s="112">
        <v>0</v>
      </c>
      <c r="G325" s="111">
        <f t="shared" si="229"/>
        <v>0</v>
      </c>
      <c r="H325" s="111">
        <f t="shared" si="230"/>
        <v>0</v>
      </c>
      <c r="I325" s="111">
        <f t="shared" si="231"/>
        <v>0</v>
      </c>
      <c r="J325" s="111">
        <f t="shared" si="232"/>
        <v>5318100</v>
      </c>
      <c r="K325" s="113">
        <f t="shared" si="233"/>
        <v>0</v>
      </c>
      <c r="L325" s="113">
        <f t="shared" si="234"/>
        <v>0</v>
      </c>
      <c r="M325" s="113">
        <f t="shared" si="235"/>
        <v>9450</v>
      </c>
      <c r="N325" s="116">
        <f t="shared" si="236"/>
        <v>0</v>
      </c>
      <c r="O325" s="117">
        <f t="shared" si="224"/>
        <v>3.7019999999999997E-2</v>
      </c>
      <c r="P325" s="117">
        <f t="shared" si="237"/>
        <v>0</v>
      </c>
      <c r="Q325" s="117">
        <f t="shared" si="238"/>
        <v>0</v>
      </c>
      <c r="R325" s="117">
        <f t="shared" si="239"/>
        <v>2.725E-2</v>
      </c>
      <c r="S325" s="116">
        <f t="shared" si="240"/>
        <v>0</v>
      </c>
      <c r="T325" s="116">
        <f t="shared" si="241"/>
        <v>10.35</v>
      </c>
      <c r="U325" s="116">
        <f t="shared" si="242"/>
        <v>10.35</v>
      </c>
      <c r="V325" s="118">
        <f t="shared" si="243"/>
        <v>0</v>
      </c>
      <c r="W325" s="118">
        <f t="shared" ref="W325:W388" si="258">ROUND(IF(G325=0,J325*O325,SUMPRODUCT(G325:I325,O325:Q325)),2)</f>
        <v>196876.06</v>
      </c>
      <c r="X325" s="118">
        <f t="shared" ref="X325:X388" si="259">ROUND(K325*S325,2)</f>
        <v>0</v>
      </c>
      <c r="Y325" s="118">
        <f t="shared" ref="Y325:Y388" si="260">ROUND(L325*T325,2)</f>
        <v>0</v>
      </c>
      <c r="Z325" s="118">
        <f t="shared" ref="Z325:Z388" si="261">ROUND(M325*U325,2)</f>
        <v>97807.5</v>
      </c>
      <c r="AA325" s="119">
        <v>0</v>
      </c>
      <c r="AB325" s="120">
        <f t="shared" si="244"/>
        <v>0</v>
      </c>
      <c r="AC325" s="118">
        <f t="shared" si="245"/>
        <v>97807.5</v>
      </c>
      <c r="AD325" s="118">
        <f t="shared" ref="AD325:AD388" si="262">SUM(V325:AB325)</f>
        <v>294683.56</v>
      </c>
      <c r="AE325" s="118">
        <f t="shared" si="246"/>
        <v>294687</v>
      </c>
      <c r="AF325" s="121">
        <f t="shared" ref="AF325:AF388" si="263">IF(AND(AD325=0,AE325=0),1,IF(AD325=0,0,ROUND(AE325/AD325,6)))</f>
        <v>1.0000119999999999</v>
      </c>
      <c r="AG325" s="122">
        <f t="shared" si="247"/>
        <v>1406</v>
      </c>
      <c r="AH325" s="122">
        <f t="shared" si="248"/>
        <v>0</v>
      </c>
      <c r="AI325" s="122">
        <f t="shared" si="249"/>
        <v>44855</v>
      </c>
      <c r="AJ325" s="122">
        <f t="shared" si="250"/>
        <v>0</v>
      </c>
      <c r="AK325" s="122">
        <f t="shared" si="251"/>
        <v>0</v>
      </c>
      <c r="AL325" s="122">
        <f t="shared" si="252"/>
        <v>340948</v>
      </c>
      <c r="AM325" s="123">
        <f t="shared" si="253"/>
        <v>340944.56</v>
      </c>
      <c r="AN325" s="123">
        <f t="shared" si="225"/>
        <v>3.4400000000023283</v>
      </c>
      <c r="AO325" s="124">
        <f t="shared" si="254"/>
        <v>144918.23000000001</v>
      </c>
      <c r="AP325" s="125">
        <f t="shared" ref="AP325:AP388" si="264">W325-AO325</f>
        <v>51957.829999999987</v>
      </c>
      <c r="AU325" s="109">
        <f>IF(BA325=1,IF(AU324=MiscData!$F$1,EOMONTH(AU324,-11),EOMONTH(AU324,1)),AU324)</f>
        <v>42277</v>
      </c>
      <c r="AV325" s="108" t="str">
        <f t="shared" ref="AV325:AV388" si="265">CONCATENATE(AX325&amp;BB325)</f>
        <v>20140101LGCME671</v>
      </c>
      <c r="AW325" s="126" t="str">
        <f t="shared" ref="AW325:AW388" si="266">CONCATENATE(AX325&amp;BC325)</f>
        <v>20140101LWC</v>
      </c>
      <c r="AX325">
        <f>MiscData!$X$5</f>
        <v>20140101</v>
      </c>
      <c r="BA325" s="98">
        <f>IF(BA324+1&gt;MiscData!$Z$42,1,BA324+1)</f>
        <v>18</v>
      </c>
      <c r="BB325" s="98" t="str">
        <f>VLOOKUP(BA325,MiscData!$Z$5:$AB$46,2,FALSE)</f>
        <v>LGCME671</v>
      </c>
      <c r="BC325" s="98" t="str">
        <f>VLOOKUP(BA325,MiscData!$Z$5:$AB$46,3,FALSE)</f>
        <v>LWC</v>
      </c>
    </row>
    <row r="326" spans="1:55">
      <c r="A326" s="108">
        <v>309</v>
      </c>
      <c r="B326" s="109" t="str">
        <f t="shared" si="255"/>
        <v>Sep 2015</v>
      </c>
      <c r="C326" s="110" t="str">
        <f t="shared" si="256"/>
        <v>CSR</v>
      </c>
      <c r="D326" s="110" t="str">
        <f t="shared" si="257"/>
        <v>LGCSR760</v>
      </c>
      <c r="E326" s="111">
        <f t="shared" si="228"/>
        <v>0</v>
      </c>
      <c r="F326" s="112">
        <v>0</v>
      </c>
      <c r="G326" s="111">
        <f t="shared" si="229"/>
        <v>0</v>
      </c>
      <c r="H326" s="111">
        <f t="shared" si="230"/>
        <v>0</v>
      </c>
      <c r="I326" s="111">
        <f t="shared" si="231"/>
        <v>0</v>
      </c>
      <c r="J326" s="111">
        <f t="shared" si="232"/>
        <v>0</v>
      </c>
      <c r="K326" s="113">
        <f t="shared" si="233"/>
        <v>0</v>
      </c>
      <c r="L326" s="113">
        <f t="shared" si="234"/>
        <v>0</v>
      </c>
      <c r="M326" s="113">
        <f t="shared" si="235"/>
        <v>0</v>
      </c>
      <c r="N326" s="116">
        <f t="shared" si="236"/>
        <v>0</v>
      </c>
      <c r="O326" s="117">
        <f t="shared" si="224"/>
        <v>0</v>
      </c>
      <c r="P326" s="117">
        <f t="shared" si="237"/>
        <v>0</v>
      </c>
      <c r="Q326" s="117">
        <f t="shared" si="238"/>
        <v>0</v>
      </c>
      <c r="R326" s="117">
        <f t="shared" si="239"/>
        <v>0</v>
      </c>
      <c r="S326" s="116">
        <f t="shared" si="240"/>
        <v>0</v>
      </c>
      <c r="T326" s="116">
        <f t="shared" si="241"/>
        <v>0</v>
      </c>
      <c r="U326" s="116">
        <f t="shared" si="242"/>
        <v>0</v>
      </c>
      <c r="V326" s="118">
        <f t="shared" si="243"/>
        <v>0</v>
      </c>
      <c r="W326" s="118">
        <f t="shared" si="258"/>
        <v>0</v>
      </c>
      <c r="X326" s="118">
        <f t="shared" si="259"/>
        <v>0</v>
      </c>
      <c r="Y326" s="118">
        <f t="shared" si="260"/>
        <v>0</v>
      </c>
      <c r="Z326" s="118">
        <f t="shared" si="261"/>
        <v>0</v>
      </c>
      <c r="AA326" s="119">
        <v>0</v>
      </c>
      <c r="AB326" s="120">
        <f t="shared" si="244"/>
        <v>0</v>
      </c>
      <c r="AC326" s="118">
        <f t="shared" si="245"/>
        <v>0</v>
      </c>
      <c r="AD326" s="118">
        <f t="shared" si="262"/>
        <v>0</v>
      </c>
      <c r="AE326" s="118">
        <f t="shared" si="246"/>
        <v>0</v>
      </c>
      <c r="AF326" s="121">
        <f t="shared" si="263"/>
        <v>1</v>
      </c>
      <c r="AG326" s="122">
        <f t="shared" si="247"/>
        <v>0</v>
      </c>
      <c r="AH326" s="122">
        <f t="shared" si="248"/>
        <v>0</v>
      </c>
      <c r="AI326" s="122">
        <f t="shared" si="249"/>
        <v>0</v>
      </c>
      <c r="AJ326" s="122">
        <f t="shared" si="250"/>
        <v>0</v>
      </c>
      <c r="AK326" s="122">
        <f t="shared" si="251"/>
        <v>-286526</v>
      </c>
      <c r="AL326" s="122">
        <f t="shared" si="252"/>
        <v>-286526</v>
      </c>
      <c r="AM326" s="123">
        <f t="shared" si="253"/>
        <v>-286526</v>
      </c>
      <c r="AN326" s="123">
        <f t="shared" si="225"/>
        <v>0</v>
      </c>
      <c r="AO326" s="124">
        <f t="shared" si="254"/>
        <v>0</v>
      </c>
      <c r="AP326" s="125">
        <f t="shared" si="264"/>
        <v>0</v>
      </c>
      <c r="AU326" s="109">
        <f>IF(BA326=1,IF(AU325=MiscData!$F$1,EOMONTH(AU325,-11),EOMONTH(AU325,1)),AU325)</f>
        <v>42277</v>
      </c>
      <c r="AV326" s="108" t="str">
        <f t="shared" si="265"/>
        <v>20140101LGCSR760</v>
      </c>
      <c r="AW326" s="126" t="str">
        <f t="shared" si="266"/>
        <v>20140101CSR</v>
      </c>
      <c r="AX326">
        <f>MiscData!$X$5</f>
        <v>20140101</v>
      </c>
      <c r="BA326" s="98">
        <f>IF(BA325+1&gt;MiscData!$Z$42,1,BA325+1)</f>
        <v>19</v>
      </c>
      <c r="BB326" s="98" t="str">
        <f>VLOOKUP(BA326,MiscData!$Z$5:$AB$46,2,FALSE)</f>
        <v>LGCSR760</v>
      </c>
      <c r="BC326" s="98" t="str">
        <f>VLOOKUP(BA326,MiscData!$Z$5:$AB$46,3,FALSE)</f>
        <v>CSR</v>
      </c>
    </row>
    <row r="327" spans="1:55">
      <c r="A327" s="108">
        <v>310</v>
      </c>
      <c r="B327" s="109" t="str">
        <f t="shared" si="255"/>
        <v>Sep 2015</v>
      </c>
      <c r="C327" s="110" t="str">
        <f t="shared" si="256"/>
        <v>CSR</v>
      </c>
      <c r="D327" s="110" t="str">
        <f t="shared" si="257"/>
        <v>LGCSR780</v>
      </c>
      <c r="E327" s="111">
        <f t="shared" si="228"/>
        <v>0</v>
      </c>
      <c r="F327" s="112">
        <v>0</v>
      </c>
      <c r="G327" s="111">
        <f t="shared" si="229"/>
        <v>0</v>
      </c>
      <c r="H327" s="111">
        <f t="shared" si="230"/>
        <v>0</v>
      </c>
      <c r="I327" s="111">
        <f t="shared" si="231"/>
        <v>0</v>
      </c>
      <c r="J327" s="111">
        <f t="shared" si="232"/>
        <v>0</v>
      </c>
      <c r="K327" s="113">
        <f t="shared" si="233"/>
        <v>0</v>
      </c>
      <c r="L327" s="113">
        <f t="shared" si="234"/>
        <v>0</v>
      </c>
      <c r="M327" s="113">
        <f t="shared" si="235"/>
        <v>0</v>
      </c>
      <c r="N327" s="116">
        <f t="shared" si="236"/>
        <v>0</v>
      </c>
      <c r="O327" s="117">
        <f t="shared" si="224"/>
        <v>0</v>
      </c>
      <c r="P327" s="117">
        <f t="shared" si="237"/>
        <v>0</v>
      </c>
      <c r="Q327" s="117">
        <f t="shared" si="238"/>
        <v>0</v>
      </c>
      <c r="R327" s="117">
        <f t="shared" si="239"/>
        <v>0</v>
      </c>
      <c r="S327" s="116">
        <f t="shared" si="240"/>
        <v>0</v>
      </c>
      <c r="T327" s="116">
        <f t="shared" si="241"/>
        <v>0</v>
      </c>
      <c r="U327" s="116">
        <f t="shared" si="242"/>
        <v>0</v>
      </c>
      <c r="V327" s="118">
        <f t="shared" si="243"/>
        <v>0</v>
      </c>
      <c r="W327" s="118">
        <f t="shared" si="258"/>
        <v>0</v>
      </c>
      <c r="X327" s="118">
        <f t="shared" si="259"/>
        <v>0</v>
      </c>
      <c r="Y327" s="118">
        <f t="shared" si="260"/>
        <v>0</v>
      </c>
      <c r="Z327" s="118">
        <f t="shared" si="261"/>
        <v>0</v>
      </c>
      <c r="AA327" s="119">
        <v>0</v>
      </c>
      <c r="AB327" s="120">
        <f t="shared" si="244"/>
        <v>0</v>
      </c>
      <c r="AC327" s="118">
        <f t="shared" si="245"/>
        <v>0</v>
      </c>
      <c r="AD327" s="118">
        <f t="shared" si="262"/>
        <v>0</v>
      </c>
      <c r="AE327" s="118">
        <f t="shared" si="246"/>
        <v>0</v>
      </c>
      <c r="AF327" s="121">
        <f t="shared" si="263"/>
        <v>1</v>
      </c>
      <c r="AG327" s="122">
        <f t="shared" si="247"/>
        <v>0</v>
      </c>
      <c r="AH327" s="122">
        <f t="shared" si="248"/>
        <v>0</v>
      </c>
      <c r="AI327" s="122">
        <f t="shared" si="249"/>
        <v>0</v>
      </c>
      <c r="AJ327" s="122">
        <f t="shared" si="250"/>
        <v>0</v>
      </c>
      <c r="AK327" s="122">
        <f t="shared" si="251"/>
        <v>0</v>
      </c>
      <c r="AL327" s="122">
        <f t="shared" si="252"/>
        <v>0</v>
      </c>
      <c r="AM327" s="123">
        <f t="shared" si="253"/>
        <v>0</v>
      </c>
      <c r="AN327" s="123">
        <f t="shared" si="225"/>
        <v>0</v>
      </c>
      <c r="AO327" s="124">
        <f t="shared" si="254"/>
        <v>0</v>
      </c>
      <c r="AP327" s="125">
        <f t="shared" si="264"/>
        <v>0</v>
      </c>
      <c r="AU327" s="109">
        <f>IF(BA327=1,IF(AU326=MiscData!$F$1,EOMONTH(AU326,-11),EOMONTH(AU326,1)),AU326)</f>
        <v>42277</v>
      </c>
      <c r="AV327" s="108" t="str">
        <f t="shared" si="265"/>
        <v>20140101LGCSR780</v>
      </c>
      <c r="AW327" s="126" t="str">
        <f t="shared" si="266"/>
        <v>20140101CSR</v>
      </c>
      <c r="AX327">
        <f>MiscData!$X$5</f>
        <v>20140101</v>
      </c>
      <c r="BA327" s="98">
        <f>IF(BA326+1&gt;MiscData!$Z$42,1,BA326+1)</f>
        <v>20</v>
      </c>
      <c r="BB327" s="98" t="str">
        <f>VLOOKUP(BA327,MiscData!$Z$5:$AB$46,2,FALSE)</f>
        <v>LGCSR780</v>
      </c>
      <c r="BC327" s="98" t="str">
        <f>VLOOKUP(BA327,MiscData!$Z$5:$AB$46,3,FALSE)</f>
        <v>CSR</v>
      </c>
    </row>
    <row r="328" spans="1:55">
      <c r="A328" s="108">
        <v>311</v>
      </c>
      <c r="B328" s="109" t="str">
        <f t="shared" si="255"/>
        <v>Sep 2015</v>
      </c>
      <c r="C328" s="110" t="str">
        <f t="shared" si="256"/>
        <v>FK</v>
      </c>
      <c r="D328" s="110" t="str">
        <f t="shared" si="257"/>
        <v>LGINE599</v>
      </c>
      <c r="E328" s="111">
        <f t="shared" si="228"/>
        <v>1</v>
      </c>
      <c r="F328" s="112">
        <v>0</v>
      </c>
      <c r="G328" s="111">
        <f t="shared" si="229"/>
        <v>0</v>
      </c>
      <c r="H328" s="111">
        <f t="shared" si="230"/>
        <v>0</v>
      </c>
      <c r="I328" s="111">
        <f t="shared" si="231"/>
        <v>0</v>
      </c>
      <c r="J328" s="111">
        <f t="shared" si="232"/>
        <v>8540000</v>
      </c>
      <c r="K328" s="113">
        <f t="shared" si="233"/>
        <v>0</v>
      </c>
      <c r="L328" s="113">
        <f t="shared" si="234"/>
        <v>0</v>
      </c>
      <c r="M328" s="113">
        <f t="shared" si="235"/>
        <v>13654</v>
      </c>
      <c r="N328" s="116">
        <f t="shared" si="236"/>
        <v>0</v>
      </c>
      <c r="O328" s="117">
        <f t="shared" si="224"/>
        <v>3.7400000000000003E-2</v>
      </c>
      <c r="P328" s="117">
        <f t="shared" si="237"/>
        <v>0</v>
      </c>
      <c r="Q328" s="117">
        <f t="shared" si="238"/>
        <v>0</v>
      </c>
      <c r="R328" s="117">
        <f t="shared" si="239"/>
        <v>2.725E-2</v>
      </c>
      <c r="S328" s="116">
        <f t="shared" si="240"/>
        <v>0</v>
      </c>
      <c r="T328" s="116">
        <f t="shared" si="241"/>
        <v>12.72</v>
      </c>
      <c r="U328" s="116">
        <f t="shared" si="242"/>
        <v>15.040000000000001</v>
      </c>
      <c r="V328" s="118">
        <f t="shared" si="243"/>
        <v>0</v>
      </c>
      <c r="W328" s="118">
        <f t="shared" si="258"/>
        <v>319396</v>
      </c>
      <c r="X328" s="118">
        <f t="shared" si="259"/>
        <v>0</v>
      </c>
      <c r="Y328" s="118">
        <f t="shared" si="260"/>
        <v>0</v>
      </c>
      <c r="Z328" s="118">
        <f t="shared" si="261"/>
        <v>205356.16</v>
      </c>
      <c r="AA328" s="119">
        <v>0</v>
      </c>
      <c r="AB328" s="120">
        <f t="shared" si="244"/>
        <v>0</v>
      </c>
      <c r="AC328" s="118">
        <f t="shared" si="245"/>
        <v>205356.16</v>
      </c>
      <c r="AD328" s="118">
        <f>SUM(V328:AB328)</f>
        <v>524752.16</v>
      </c>
      <c r="AE328" s="118">
        <f t="shared" si="246"/>
        <v>524753</v>
      </c>
      <c r="AF328" s="121">
        <f t="shared" si="263"/>
        <v>1.0000020000000001</v>
      </c>
      <c r="AG328" s="122">
        <f t="shared" si="247"/>
        <v>2258</v>
      </c>
      <c r="AH328" s="122">
        <f t="shared" si="248"/>
        <v>0</v>
      </c>
      <c r="AI328" s="122">
        <f t="shared" si="249"/>
        <v>72030</v>
      </c>
      <c r="AJ328" s="122">
        <f t="shared" si="250"/>
        <v>0</v>
      </c>
      <c r="AK328" s="122">
        <f t="shared" si="251"/>
        <v>0</v>
      </c>
      <c r="AL328" s="122">
        <f t="shared" si="252"/>
        <v>599041</v>
      </c>
      <c r="AM328" s="123">
        <f t="shared" si="253"/>
        <v>599040.16</v>
      </c>
      <c r="AN328" s="123">
        <f t="shared" si="225"/>
        <v>0.83999999996740371</v>
      </c>
      <c r="AO328" s="124">
        <f t="shared" si="254"/>
        <v>232715</v>
      </c>
      <c r="AP328" s="125">
        <f t="shared" si="264"/>
        <v>86681</v>
      </c>
      <c r="AU328" s="109">
        <f>IF(BA328=1,IF(AU327=MiscData!$F$1,EOMONTH(AU327,-11),EOMONTH(AU327,1)),AU327)</f>
        <v>42277</v>
      </c>
      <c r="AV328" s="108" t="str">
        <f t="shared" si="265"/>
        <v>20140101LGINE599</v>
      </c>
      <c r="AW328" s="126" t="str">
        <f t="shared" si="266"/>
        <v>20140101FK</v>
      </c>
      <c r="AX328">
        <f>MiscData!$X$5</f>
        <v>20140101</v>
      </c>
      <c r="BA328" s="98">
        <f>IF(BA327+1&gt;MiscData!$Z$42,1,BA327+1)</f>
        <v>21</v>
      </c>
      <c r="BB328" s="98" t="str">
        <f>VLOOKUP(BA328,MiscData!$Z$5:$AB$46,2,FALSE)</f>
        <v>LGINE599</v>
      </c>
      <c r="BC328" s="98" t="str">
        <f>VLOOKUP(BA328,MiscData!$Z$5:$AB$46,3,FALSE)</f>
        <v>FK</v>
      </c>
    </row>
    <row r="329" spans="1:55">
      <c r="A329" s="108">
        <v>312</v>
      </c>
      <c r="B329" s="109" t="str">
        <f t="shared" si="255"/>
        <v>Sep 2015</v>
      </c>
      <c r="C329" s="110" t="str">
        <f t="shared" si="256"/>
        <v>RTS</v>
      </c>
      <c r="D329" s="110" t="str">
        <f t="shared" si="257"/>
        <v>LGINE643</v>
      </c>
      <c r="E329" s="111">
        <f t="shared" si="228"/>
        <v>12</v>
      </c>
      <c r="F329" s="112">
        <v>0</v>
      </c>
      <c r="G329" s="111">
        <f t="shared" si="229"/>
        <v>0</v>
      </c>
      <c r="H329" s="111">
        <f t="shared" si="230"/>
        <v>0</v>
      </c>
      <c r="I329" s="111">
        <f t="shared" si="231"/>
        <v>0</v>
      </c>
      <c r="J329" s="111">
        <f t="shared" si="232"/>
        <v>64168870</v>
      </c>
      <c r="K329" s="113">
        <f t="shared" si="233"/>
        <v>159696</v>
      </c>
      <c r="L329" s="113">
        <f t="shared" si="234"/>
        <v>155509</v>
      </c>
      <c r="M329" s="113">
        <f t="shared" si="235"/>
        <v>97048</v>
      </c>
      <c r="N329" s="116">
        <f t="shared" si="236"/>
        <v>750</v>
      </c>
      <c r="O329" s="117">
        <f t="shared" si="224"/>
        <v>3.61E-2</v>
      </c>
      <c r="P329" s="117">
        <f t="shared" si="237"/>
        <v>0</v>
      </c>
      <c r="Q329" s="117">
        <f t="shared" si="238"/>
        <v>0</v>
      </c>
      <c r="R329" s="117">
        <f t="shared" si="239"/>
        <v>2.725E-2</v>
      </c>
      <c r="S329" s="116">
        <f t="shared" si="240"/>
        <v>2.75</v>
      </c>
      <c r="T329" s="116">
        <f t="shared" si="241"/>
        <v>3</v>
      </c>
      <c r="U329" s="116">
        <f t="shared" si="242"/>
        <v>4.5500000000000007</v>
      </c>
      <c r="V329" s="118">
        <f t="shared" si="243"/>
        <v>9000</v>
      </c>
      <c r="W329" s="118">
        <f t="shared" si="258"/>
        <v>2316496.21</v>
      </c>
      <c r="X329" s="118">
        <f t="shared" si="259"/>
        <v>439164</v>
      </c>
      <c r="Y329" s="118">
        <f t="shared" si="260"/>
        <v>466527</v>
      </c>
      <c r="Z329" s="118">
        <f t="shared" si="261"/>
        <v>441568.4</v>
      </c>
      <c r="AA329" s="119">
        <v>0</v>
      </c>
      <c r="AB329" s="120">
        <f t="shared" si="244"/>
        <v>0</v>
      </c>
      <c r="AC329" s="118">
        <f t="shared" si="245"/>
        <v>1347259.4</v>
      </c>
      <c r="AD329" s="118">
        <f t="shared" si="262"/>
        <v>3672755.61</v>
      </c>
      <c r="AE329" s="118">
        <f t="shared" si="246"/>
        <v>3672756</v>
      </c>
      <c r="AF329" s="121">
        <f t="shared" si="263"/>
        <v>1</v>
      </c>
      <c r="AG329" s="122">
        <f t="shared" si="247"/>
        <v>16966</v>
      </c>
      <c r="AH329" s="122">
        <f t="shared" si="248"/>
        <v>0</v>
      </c>
      <c r="AI329" s="122">
        <f t="shared" si="249"/>
        <v>541231</v>
      </c>
      <c r="AJ329" s="122">
        <f t="shared" si="250"/>
        <v>0</v>
      </c>
      <c r="AK329" s="122">
        <f t="shared" si="251"/>
        <v>0</v>
      </c>
      <c r="AL329" s="122">
        <f t="shared" si="252"/>
        <v>4230953</v>
      </c>
      <c r="AM329" s="123">
        <f t="shared" si="253"/>
        <v>4230952.6099999994</v>
      </c>
      <c r="AN329" s="123">
        <f t="shared" si="225"/>
        <v>0.39000000059604645</v>
      </c>
      <c r="AO329" s="124">
        <f t="shared" si="254"/>
        <v>1748601.71</v>
      </c>
      <c r="AP329" s="125">
        <f t="shared" si="264"/>
        <v>567894.5</v>
      </c>
      <c r="AU329" s="109">
        <f>IF(BA329=1,IF(AU328=MiscData!$F$1,EOMONTH(AU328,-11),EOMONTH(AU328,1)),AU328)</f>
        <v>42277</v>
      </c>
      <c r="AV329" s="108" t="str">
        <f t="shared" si="265"/>
        <v>20140101LGINE643</v>
      </c>
      <c r="AW329" s="126" t="str">
        <f t="shared" si="266"/>
        <v>20140101RTS</v>
      </c>
      <c r="AX329">
        <f>MiscData!$X$5</f>
        <v>20140101</v>
      </c>
      <c r="BA329" s="98">
        <f>IF(BA328+1&gt;MiscData!$Z$42,1,BA328+1)</f>
        <v>22</v>
      </c>
      <c r="BB329" s="98" t="str">
        <f>VLOOKUP(BA329,MiscData!$Z$5:$AB$46,2,FALSE)</f>
        <v>LGINE643</v>
      </c>
      <c r="BC329" s="98" t="str">
        <f>VLOOKUP(BA329,MiscData!$Z$5:$AB$46,3,FALSE)</f>
        <v>RTS</v>
      </c>
    </row>
    <row r="330" spans="1:55">
      <c r="A330" s="108">
        <v>313</v>
      </c>
      <c r="B330" s="109" t="str">
        <f t="shared" si="255"/>
        <v>Sep 2015</v>
      </c>
      <c r="C330" s="110" t="str">
        <f t="shared" si="256"/>
        <v>PSS</v>
      </c>
      <c r="D330" s="110" t="str">
        <f t="shared" si="257"/>
        <v>LGINE661</v>
      </c>
      <c r="E330" s="111">
        <f t="shared" si="228"/>
        <v>215</v>
      </c>
      <c r="F330" s="112">
        <v>0</v>
      </c>
      <c r="G330" s="111">
        <f t="shared" si="229"/>
        <v>0</v>
      </c>
      <c r="H330" s="111">
        <f t="shared" si="230"/>
        <v>0</v>
      </c>
      <c r="I330" s="111">
        <f t="shared" si="231"/>
        <v>0</v>
      </c>
      <c r="J330" s="111">
        <f t="shared" si="232"/>
        <v>19657594</v>
      </c>
      <c r="K330" s="113">
        <f t="shared" si="233"/>
        <v>0</v>
      </c>
      <c r="L330" s="113">
        <f t="shared" si="234"/>
        <v>0</v>
      </c>
      <c r="M330" s="113">
        <f t="shared" si="235"/>
        <v>71083</v>
      </c>
      <c r="N330" s="116">
        <f t="shared" si="236"/>
        <v>90</v>
      </c>
      <c r="O330" s="117">
        <f t="shared" si="224"/>
        <v>4.0599999999999997E-2</v>
      </c>
      <c r="P330" s="117">
        <f t="shared" si="237"/>
        <v>0</v>
      </c>
      <c r="Q330" s="117">
        <f t="shared" si="238"/>
        <v>0</v>
      </c>
      <c r="R330" s="117">
        <f t="shared" si="239"/>
        <v>2.725E-2</v>
      </c>
      <c r="S330" s="116">
        <f t="shared" si="240"/>
        <v>0</v>
      </c>
      <c r="T330" s="116">
        <f t="shared" si="241"/>
        <v>14.010000000000002</v>
      </c>
      <c r="U330" s="116">
        <f t="shared" si="242"/>
        <v>16.399999999999999</v>
      </c>
      <c r="V330" s="118">
        <f t="shared" si="243"/>
        <v>19350</v>
      </c>
      <c r="W330" s="118">
        <f t="shared" si="258"/>
        <v>798098.32</v>
      </c>
      <c r="X330" s="118">
        <f t="shared" si="259"/>
        <v>0</v>
      </c>
      <c r="Y330" s="118">
        <f t="shared" si="260"/>
        <v>0</v>
      </c>
      <c r="Z330" s="118">
        <f t="shared" si="261"/>
        <v>1165761.2</v>
      </c>
      <c r="AA330" s="119">
        <v>0</v>
      </c>
      <c r="AB330" s="120">
        <f t="shared" si="244"/>
        <v>0</v>
      </c>
      <c r="AC330" s="118">
        <f t="shared" si="245"/>
        <v>1165761.2</v>
      </c>
      <c r="AD330" s="118">
        <f t="shared" si="262"/>
        <v>1983209.52</v>
      </c>
      <c r="AE330" s="118">
        <f t="shared" si="246"/>
        <v>1983203</v>
      </c>
      <c r="AF330" s="121">
        <f t="shared" si="263"/>
        <v>0.99999700000000002</v>
      </c>
      <c r="AG330" s="122">
        <f t="shared" si="247"/>
        <v>5197</v>
      </c>
      <c r="AH330" s="122">
        <f t="shared" si="248"/>
        <v>42033</v>
      </c>
      <c r="AI330" s="122">
        <f t="shared" si="249"/>
        <v>165802</v>
      </c>
      <c r="AJ330" s="122">
        <f t="shared" si="250"/>
        <v>0</v>
      </c>
      <c r="AK330" s="122">
        <f t="shared" si="251"/>
        <v>0</v>
      </c>
      <c r="AL330" s="122">
        <f t="shared" si="252"/>
        <v>2196235</v>
      </c>
      <c r="AM330" s="123">
        <f t="shared" si="253"/>
        <v>2196241.52</v>
      </c>
      <c r="AN330" s="123">
        <f t="shared" si="225"/>
        <v>-6.5200000000186265</v>
      </c>
      <c r="AO330" s="124">
        <f t="shared" si="254"/>
        <v>535669.43999999994</v>
      </c>
      <c r="AP330" s="125">
        <f t="shared" si="264"/>
        <v>262428.88</v>
      </c>
      <c r="AU330" s="109">
        <f>IF(BA330=1,IF(AU329=MiscData!$F$1,EOMONTH(AU329,-11),EOMONTH(AU329,1)),AU329)</f>
        <v>42277</v>
      </c>
      <c r="AV330" s="108" t="str">
        <f t="shared" si="265"/>
        <v>20140101LGINE661</v>
      </c>
      <c r="AW330" s="126" t="str">
        <f t="shared" si="266"/>
        <v>20140101PSS</v>
      </c>
      <c r="AX330">
        <f>MiscData!$X$5</f>
        <v>20140101</v>
      </c>
      <c r="BA330" s="98">
        <f>IF(BA329+1&gt;MiscData!$Z$42,1,BA329+1)</f>
        <v>23</v>
      </c>
      <c r="BB330" s="98" t="str">
        <f>VLOOKUP(BA330,MiscData!$Z$5:$AB$46,2,FALSE)</f>
        <v>LGINE661</v>
      </c>
      <c r="BC330" s="98" t="str">
        <f>VLOOKUP(BA330,MiscData!$Z$5:$AB$46,3,FALSE)</f>
        <v>PSS</v>
      </c>
    </row>
    <row r="331" spans="1:55">
      <c r="A331" s="108">
        <v>314</v>
      </c>
      <c r="B331" s="109" t="str">
        <f t="shared" si="255"/>
        <v>Sep 2015</v>
      </c>
      <c r="C331" s="110" t="str">
        <f t="shared" si="256"/>
        <v>PSP</v>
      </c>
      <c r="D331" s="110" t="str">
        <f t="shared" si="257"/>
        <v>LGINE663</v>
      </c>
      <c r="E331" s="111">
        <f t="shared" si="228"/>
        <v>21</v>
      </c>
      <c r="F331" s="112">
        <v>0</v>
      </c>
      <c r="G331" s="111">
        <f t="shared" si="229"/>
        <v>0</v>
      </c>
      <c r="H331" s="111">
        <f t="shared" si="230"/>
        <v>0</v>
      </c>
      <c r="I331" s="111">
        <f t="shared" si="231"/>
        <v>0</v>
      </c>
      <c r="J331" s="111">
        <f t="shared" si="232"/>
        <v>1023218</v>
      </c>
      <c r="K331" s="113">
        <f t="shared" si="233"/>
        <v>0</v>
      </c>
      <c r="L331" s="113">
        <f t="shared" si="234"/>
        <v>0</v>
      </c>
      <c r="M331" s="113">
        <f t="shared" si="235"/>
        <v>4245</v>
      </c>
      <c r="N331" s="116">
        <f t="shared" si="236"/>
        <v>170</v>
      </c>
      <c r="O331" s="117">
        <f t="shared" si="224"/>
        <v>3.9260000000000003E-2</v>
      </c>
      <c r="P331" s="117">
        <f t="shared" si="237"/>
        <v>0</v>
      </c>
      <c r="Q331" s="117">
        <f t="shared" si="238"/>
        <v>0</v>
      </c>
      <c r="R331" s="117">
        <f t="shared" si="239"/>
        <v>2.725E-2</v>
      </c>
      <c r="S331" s="116">
        <f t="shared" si="240"/>
        <v>0</v>
      </c>
      <c r="T331" s="116">
        <f t="shared" si="241"/>
        <v>11.660000000000002</v>
      </c>
      <c r="U331" s="116">
        <f t="shared" si="242"/>
        <v>13.950000000000001</v>
      </c>
      <c r="V331" s="118">
        <f t="shared" si="243"/>
        <v>3570</v>
      </c>
      <c r="W331" s="118">
        <f t="shared" si="258"/>
        <v>40171.54</v>
      </c>
      <c r="X331" s="118">
        <f t="shared" si="259"/>
        <v>0</v>
      </c>
      <c r="Y331" s="118">
        <f t="shared" si="260"/>
        <v>0</v>
      </c>
      <c r="Z331" s="118">
        <f t="shared" si="261"/>
        <v>59217.75</v>
      </c>
      <c r="AA331" s="119">
        <v>0</v>
      </c>
      <c r="AB331" s="120">
        <f t="shared" si="244"/>
        <v>0</v>
      </c>
      <c r="AC331" s="118">
        <f t="shared" si="245"/>
        <v>59217.75</v>
      </c>
      <c r="AD331" s="118">
        <f t="shared" si="262"/>
        <v>102959.29000000001</v>
      </c>
      <c r="AE331" s="118">
        <f t="shared" si="246"/>
        <v>102962</v>
      </c>
      <c r="AF331" s="121">
        <f t="shared" si="263"/>
        <v>1.0000260000000001</v>
      </c>
      <c r="AG331" s="122">
        <f t="shared" si="247"/>
        <v>271</v>
      </c>
      <c r="AH331" s="122">
        <f t="shared" si="248"/>
        <v>2188</v>
      </c>
      <c r="AI331" s="122">
        <f t="shared" si="249"/>
        <v>8630</v>
      </c>
      <c r="AJ331" s="122">
        <f t="shared" si="250"/>
        <v>0</v>
      </c>
      <c r="AK331" s="122">
        <f t="shared" si="251"/>
        <v>0</v>
      </c>
      <c r="AL331" s="122">
        <f t="shared" si="252"/>
        <v>114051</v>
      </c>
      <c r="AM331" s="123">
        <f t="shared" si="253"/>
        <v>114048.29000000001</v>
      </c>
      <c r="AN331" s="123">
        <f t="shared" si="225"/>
        <v>2.7099999999918509</v>
      </c>
      <c r="AO331" s="124">
        <f t="shared" si="254"/>
        <v>27882.69</v>
      </c>
      <c r="AP331" s="125">
        <f t="shared" si="264"/>
        <v>12288.850000000002</v>
      </c>
      <c r="AU331" s="109">
        <f>IF(BA331=1,IF(AU330=MiscData!$F$1,EOMONTH(AU330,-11),EOMONTH(AU330,1)),AU330)</f>
        <v>42277</v>
      </c>
      <c r="AV331" s="108" t="str">
        <f t="shared" si="265"/>
        <v>20140101LGINE663</v>
      </c>
      <c r="AW331" s="126" t="str">
        <f t="shared" si="266"/>
        <v>20140101PSP</v>
      </c>
      <c r="AX331">
        <f>MiscData!$X$5</f>
        <v>20140101</v>
      </c>
      <c r="BA331" s="98">
        <f>IF(BA330+1&gt;MiscData!$Z$42,1,BA330+1)</f>
        <v>24</v>
      </c>
      <c r="BB331" s="98" t="str">
        <f>VLOOKUP(BA331,MiscData!$Z$5:$AB$46,2,FALSE)</f>
        <v>LGINE663</v>
      </c>
      <c r="BC331" s="98" t="str">
        <f>VLOOKUP(BA331,MiscData!$Z$5:$AB$46,3,FALSE)</f>
        <v>PSP</v>
      </c>
    </row>
    <row r="332" spans="1:55">
      <c r="A332" s="108">
        <v>313</v>
      </c>
      <c r="B332" s="109" t="str">
        <f t="shared" si="255"/>
        <v>Sep 2015</v>
      </c>
      <c r="C332" s="110" t="str">
        <f t="shared" si="256"/>
        <v>TODS</v>
      </c>
      <c r="D332" s="110" t="str">
        <f t="shared" si="257"/>
        <v>LGINE691</v>
      </c>
      <c r="E332" s="111">
        <f t="shared" si="228"/>
        <v>95</v>
      </c>
      <c r="F332" s="112">
        <v>0</v>
      </c>
      <c r="G332" s="111">
        <f t="shared" si="229"/>
        <v>0</v>
      </c>
      <c r="H332" s="111">
        <f t="shared" si="230"/>
        <v>0</v>
      </c>
      <c r="I332" s="111">
        <f t="shared" si="231"/>
        <v>0</v>
      </c>
      <c r="J332" s="111">
        <f t="shared" si="232"/>
        <v>20552866</v>
      </c>
      <c r="K332" s="113">
        <f t="shared" si="233"/>
        <v>54409</v>
      </c>
      <c r="L332" s="113">
        <f t="shared" si="234"/>
        <v>51469</v>
      </c>
      <c r="M332" s="113">
        <f t="shared" si="235"/>
        <v>50102</v>
      </c>
      <c r="N332" s="116">
        <f t="shared" si="236"/>
        <v>200</v>
      </c>
      <c r="O332" s="117">
        <f t="shared" si="224"/>
        <v>3.9899999999999998E-2</v>
      </c>
      <c r="P332" s="117">
        <f t="shared" si="237"/>
        <v>0</v>
      </c>
      <c r="Q332" s="117">
        <f t="shared" si="238"/>
        <v>0</v>
      </c>
      <c r="R332" s="117">
        <f t="shared" si="239"/>
        <v>2.725E-2</v>
      </c>
      <c r="S332" s="116">
        <f t="shared" si="240"/>
        <v>4</v>
      </c>
      <c r="T332" s="116">
        <f t="shared" si="241"/>
        <v>4.5100000000000007</v>
      </c>
      <c r="U332" s="116">
        <f t="shared" si="242"/>
        <v>6.11</v>
      </c>
      <c r="V332" s="118">
        <f t="shared" si="243"/>
        <v>19000</v>
      </c>
      <c r="W332" s="118">
        <f t="shared" si="258"/>
        <v>820059.35</v>
      </c>
      <c r="X332" s="118">
        <f t="shared" si="259"/>
        <v>217636</v>
      </c>
      <c r="Y332" s="118">
        <f t="shared" si="260"/>
        <v>232125.19</v>
      </c>
      <c r="Z332" s="118">
        <f t="shared" si="261"/>
        <v>306123.21999999997</v>
      </c>
      <c r="AA332" s="119">
        <v>0</v>
      </c>
      <c r="AB332" s="120">
        <f t="shared" si="244"/>
        <v>0</v>
      </c>
      <c r="AC332" s="118">
        <f t="shared" si="245"/>
        <v>755884.40999999992</v>
      </c>
      <c r="AD332" s="118">
        <f t="shared" si="262"/>
        <v>1594943.76</v>
      </c>
      <c r="AE332" s="118">
        <f t="shared" si="246"/>
        <v>1594942</v>
      </c>
      <c r="AF332" s="121">
        <f t="shared" si="263"/>
        <v>0.99999899999999997</v>
      </c>
      <c r="AG332" s="122">
        <f t="shared" si="247"/>
        <v>5434</v>
      </c>
      <c r="AH332" s="122">
        <f t="shared" si="248"/>
        <v>43947</v>
      </c>
      <c r="AI332" s="122">
        <f t="shared" si="249"/>
        <v>173353</v>
      </c>
      <c r="AJ332" s="122">
        <f t="shared" si="250"/>
        <v>0</v>
      </c>
      <c r="AK332" s="122">
        <f t="shared" si="251"/>
        <v>0</v>
      </c>
      <c r="AL332" s="122">
        <f t="shared" si="252"/>
        <v>1817676</v>
      </c>
      <c r="AM332" s="123">
        <f t="shared" si="253"/>
        <v>1817677.76</v>
      </c>
      <c r="AN332" s="123">
        <f t="shared" si="225"/>
        <v>-1.7600000000093132</v>
      </c>
      <c r="AO332" s="124">
        <f t="shared" si="254"/>
        <v>560065.6</v>
      </c>
      <c r="AP332" s="125">
        <f t="shared" si="264"/>
        <v>259993.75</v>
      </c>
      <c r="AU332" s="109">
        <f>IF(BA332=1,IF(AU331=MiscData!$F$1,EOMONTH(AU331,-11),EOMONTH(AU331,1)),AU331)</f>
        <v>42277</v>
      </c>
      <c r="AV332" s="108" t="str">
        <f t="shared" si="265"/>
        <v>20140101LGINE691</v>
      </c>
      <c r="AW332" s="126" t="str">
        <f t="shared" si="266"/>
        <v>20140101TODS</v>
      </c>
      <c r="AX332">
        <f>MiscData!$X$5</f>
        <v>20140101</v>
      </c>
      <c r="BA332" s="98">
        <f>IF(BA331+1&gt;MiscData!$Z$42,1,BA331+1)</f>
        <v>25</v>
      </c>
      <c r="BB332" s="98" t="str">
        <f>VLOOKUP(BA332,MiscData!$Z$5:$AB$46,2,FALSE)</f>
        <v>LGINE691</v>
      </c>
      <c r="BC332" s="98" t="str">
        <f>VLOOKUP(BA332,MiscData!$Z$5:$AB$46,3,FALSE)</f>
        <v>TODS</v>
      </c>
    </row>
    <row r="333" spans="1:55">
      <c r="A333" s="108">
        <v>314</v>
      </c>
      <c r="B333" s="109" t="str">
        <f t="shared" si="255"/>
        <v>Sep 2015</v>
      </c>
      <c r="C333" s="110" t="str">
        <f t="shared" si="256"/>
        <v>ITODP</v>
      </c>
      <c r="D333" s="110" t="str">
        <f t="shared" si="257"/>
        <v>LGINE693</v>
      </c>
      <c r="E333" s="111">
        <f t="shared" si="228"/>
        <v>69</v>
      </c>
      <c r="F333" s="112">
        <v>0</v>
      </c>
      <c r="G333" s="111">
        <f t="shared" si="229"/>
        <v>0</v>
      </c>
      <c r="H333" s="111">
        <f t="shared" si="230"/>
        <v>0</v>
      </c>
      <c r="I333" s="111">
        <f t="shared" si="231"/>
        <v>0</v>
      </c>
      <c r="J333" s="111">
        <f t="shared" si="232"/>
        <v>129026932</v>
      </c>
      <c r="K333" s="113">
        <f t="shared" si="233"/>
        <v>362538</v>
      </c>
      <c r="L333" s="113">
        <f t="shared" si="234"/>
        <v>329134</v>
      </c>
      <c r="M333" s="113">
        <f t="shared" si="235"/>
        <v>324762</v>
      </c>
      <c r="N333" s="116">
        <f t="shared" si="236"/>
        <v>300</v>
      </c>
      <c r="O333" s="117">
        <f t="shared" si="224"/>
        <v>3.5380000000000002E-2</v>
      </c>
      <c r="P333" s="117">
        <f t="shared" si="237"/>
        <v>0</v>
      </c>
      <c r="Q333" s="117">
        <f t="shared" si="238"/>
        <v>0</v>
      </c>
      <c r="R333" s="117">
        <f t="shared" si="239"/>
        <v>2.725E-2</v>
      </c>
      <c r="S333" s="116">
        <f t="shared" si="240"/>
        <v>3.6300000000000003</v>
      </c>
      <c r="T333" s="116">
        <f t="shared" si="241"/>
        <v>3.7900000000000005</v>
      </c>
      <c r="U333" s="116">
        <f t="shared" si="242"/>
        <v>4.63</v>
      </c>
      <c r="V333" s="118">
        <f t="shared" si="243"/>
        <v>20700</v>
      </c>
      <c r="W333" s="118">
        <f t="shared" si="258"/>
        <v>4564972.8499999996</v>
      </c>
      <c r="X333" s="118">
        <f t="shared" si="259"/>
        <v>1316012.94</v>
      </c>
      <c r="Y333" s="118">
        <f t="shared" si="260"/>
        <v>1247417.8600000001</v>
      </c>
      <c r="Z333" s="118">
        <f t="shared" si="261"/>
        <v>1503648.06</v>
      </c>
      <c r="AA333" s="119">
        <v>0</v>
      </c>
      <c r="AB333" s="120">
        <f t="shared" si="244"/>
        <v>0</v>
      </c>
      <c r="AC333" s="118">
        <f t="shared" si="245"/>
        <v>4067078.86</v>
      </c>
      <c r="AD333" s="118">
        <f t="shared" si="262"/>
        <v>8652751.709999999</v>
      </c>
      <c r="AE333" s="118">
        <f t="shared" si="246"/>
        <v>8652753</v>
      </c>
      <c r="AF333" s="121">
        <f t="shared" si="263"/>
        <v>1</v>
      </c>
      <c r="AG333" s="122">
        <f t="shared" si="247"/>
        <v>34114</v>
      </c>
      <c r="AH333" s="122">
        <f t="shared" si="248"/>
        <v>275894</v>
      </c>
      <c r="AI333" s="122">
        <f t="shared" si="249"/>
        <v>1088275</v>
      </c>
      <c r="AJ333" s="122">
        <f t="shared" si="250"/>
        <v>0</v>
      </c>
      <c r="AK333" s="122">
        <f t="shared" si="251"/>
        <v>0</v>
      </c>
      <c r="AL333" s="122">
        <f t="shared" si="252"/>
        <v>10051036</v>
      </c>
      <c r="AM333" s="123">
        <f t="shared" si="253"/>
        <v>10051034.709999999</v>
      </c>
      <c r="AN333" s="123">
        <f t="shared" si="225"/>
        <v>1.2900000009685755</v>
      </c>
      <c r="AO333" s="124">
        <f t="shared" si="254"/>
        <v>3515983.9</v>
      </c>
      <c r="AP333" s="125">
        <f t="shared" si="264"/>
        <v>1048988.9499999997</v>
      </c>
      <c r="AU333" s="109">
        <f>IF(BA333=1,IF(AU332=MiscData!$F$1,EOMONTH(AU332,-11),EOMONTH(AU332,1)),AU332)</f>
        <v>42277</v>
      </c>
      <c r="AV333" s="108" t="str">
        <f t="shared" si="265"/>
        <v>20140101LGINE693</v>
      </c>
      <c r="AW333" s="126" t="str">
        <f t="shared" si="266"/>
        <v>20140101ITODP</v>
      </c>
      <c r="AX333">
        <f>MiscData!$X$5</f>
        <v>20140101</v>
      </c>
      <c r="BA333" s="98">
        <f>IF(BA332+1&gt;MiscData!$Z$42,1,BA332+1)</f>
        <v>26</v>
      </c>
      <c r="BB333" s="98" t="str">
        <f>VLOOKUP(BA333,MiscData!$Z$5:$AB$46,2,FALSE)</f>
        <v>LGINE693</v>
      </c>
      <c r="BC333" s="98" t="str">
        <f>VLOOKUP(BA333,MiscData!$Z$5:$AB$46,3,FALSE)</f>
        <v>ITODP</v>
      </c>
    </row>
    <row r="334" spans="1:55">
      <c r="A334" s="108">
        <v>315</v>
      </c>
      <c r="B334" s="109" t="str">
        <f t="shared" si="255"/>
        <v>Sep 2015</v>
      </c>
      <c r="C334" s="110" t="str">
        <f t="shared" si="256"/>
        <v>ITODP</v>
      </c>
      <c r="D334" s="110" t="str">
        <f t="shared" si="257"/>
        <v>LGINE694</v>
      </c>
      <c r="E334" s="111">
        <f t="shared" si="228"/>
        <v>0</v>
      </c>
      <c r="F334" s="112">
        <v>0</v>
      </c>
      <c r="G334" s="111">
        <f t="shared" si="229"/>
        <v>0</v>
      </c>
      <c r="H334" s="111">
        <f t="shared" si="230"/>
        <v>0</v>
      </c>
      <c r="I334" s="111">
        <f t="shared" si="231"/>
        <v>0</v>
      </c>
      <c r="J334" s="111">
        <f t="shared" si="232"/>
        <v>0</v>
      </c>
      <c r="K334" s="113">
        <f t="shared" si="233"/>
        <v>0</v>
      </c>
      <c r="L334" s="113">
        <f t="shared" si="234"/>
        <v>0</v>
      </c>
      <c r="M334" s="113">
        <f t="shared" si="235"/>
        <v>0</v>
      </c>
      <c r="N334" s="116">
        <f t="shared" si="236"/>
        <v>300</v>
      </c>
      <c r="O334" s="117">
        <f t="shared" si="224"/>
        <v>3.5380000000000002E-2</v>
      </c>
      <c r="P334" s="117">
        <f t="shared" si="237"/>
        <v>0</v>
      </c>
      <c r="Q334" s="117">
        <f t="shared" si="238"/>
        <v>0</v>
      </c>
      <c r="R334" s="117">
        <f t="shared" si="239"/>
        <v>2.725E-2</v>
      </c>
      <c r="S334" s="116">
        <f t="shared" si="240"/>
        <v>3.6300000000000003</v>
      </c>
      <c r="T334" s="116">
        <f t="shared" si="241"/>
        <v>3.7900000000000005</v>
      </c>
      <c r="U334" s="116">
        <f t="shared" si="242"/>
        <v>4.63</v>
      </c>
      <c r="V334" s="118">
        <f t="shared" si="243"/>
        <v>0</v>
      </c>
      <c r="W334" s="118">
        <f t="shared" si="258"/>
        <v>0</v>
      </c>
      <c r="X334" s="118">
        <f t="shared" si="259"/>
        <v>0</v>
      </c>
      <c r="Y334" s="118">
        <f t="shared" si="260"/>
        <v>0</v>
      </c>
      <c r="Z334" s="118">
        <f t="shared" si="261"/>
        <v>0</v>
      </c>
      <c r="AA334" s="119">
        <v>0</v>
      </c>
      <c r="AB334" s="120">
        <f t="shared" si="244"/>
        <v>0</v>
      </c>
      <c r="AC334" s="118">
        <f t="shared" si="245"/>
        <v>0</v>
      </c>
      <c r="AD334" s="118">
        <f t="shared" si="262"/>
        <v>0</v>
      </c>
      <c r="AE334" s="118">
        <f t="shared" si="246"/>
        <v>0</v>
      </c>
      <c r="AF334" s="121">
        <f t="shared" si="263"/>
        <v>1</v>
      </c>
      <c r="AG334" s="122">
        <f t="shared" si="247"/>
        <v>0</v>
      </c>
      <c r="AH334" s="122">
        <f t="shared" si="248"/>
        <v>0</v>
      </c>
      <c r="AI334" s="122">
        <f t="shared" si="249"/>
        <v>0</v>
      </c>
      <c r="AJ334" s="122">
        <f t="shared" si="250"/>
        <v>0</v>
      </c>
      <c r="AK334" s="122">
        <f t="shared" si="251"/>
        <v>0</v>
      </c>
      <c r="AL334" s="122">
        <f t="shared" si="252"/>
        <v>0</v>
      </c>
      <c r="AM334" s="123">
        <f t="shared" si="253"/>
        <v>0</v>
      </c>
      <c r="AN334" s="123">
        <f t="shared" ref="AN334:AN341" si="267">AL334-AM334</f>
        <v>0</v>
      </c>
      <c r="AO334" s="124">
        <f t="shared" si="254"/>
        <v>0</v>
      </c>
      <c r="AP334" s="125">
        <f t="shared" si="264"/>
        <v>0</v>
      </c>
      <c r="AU334" s="109">
        <f>IF(BA334=1,IF(AU333=MiscData!$F$1,EOMONTH(AU333,-11),EOMONTH(AU333,1)),AU333)</f>
        <v>42277</v>
      </c>
      <c r="AV334" s="108" t="str">
        <f t="shared" si="265"/>
        <v>20140101LGINE694</v>
      </c>
      <c r="AW334" s="126" t="str">
        <f t="shared" si="266"/>
        <v>20140101ITODP</v>
      </c>
      <c r="AX334">
        <f>MiscData!$X$5</f>
        <v>20140101</v>
      </c>
      <c r="BA334" s="98">
        <f>IF(BA333+1&gt;MiscData!$Z$42,1,BA333+1)</f>
        <v>27</v>
      </c>
      <c r="BB334" s="98" t="str">
        <f>VLOOKUP(BA334,MiscData!$Z$5:$AB$46,2,FALSE)</f>
        <v>LGINE694</v>
      </c>
      <c r="BC334" s="98" t="str">
        <f>VLOOKUP(BA334,MiscData!$Z$5:$AB$46,3,FALSE)</f>
        <v>ITODP</v>
      </c>
    </row>
    <row r="335" spans="1:55">
      <c r="A335" s="108">
        <v>316</v>
      </c>
      <c r="B335" s="109" t="str">
        <f t="shared" si="255"/>
        <v>Sep 2015</v>
      </c>
      <c r="C335" s="110" t="str">
        <f t="shared" si="256"/>
        <v>LE</v>
      </c>
      <c r="D335" s="110" t="str">
        <f t="shared" si="257"/>
        <v>LGMLE570</v>
      </c>
      <c r="E335" s="111">
        <f t="shared" si="228"/>
        <v>0</v>
      </c>
      <c r="F335" s="112">
        <v>0</v>
      </c>
      <c r="G335" s="111">
        <f t="shared" si="229"/>
        <v>0</v>
      </c>
      <c r="H335" s="111">
        <f t="shared" si="230"/>
        <v>0</v>
      </c>
      <c r="I335" s="111">
        <f t="shared" si="231"/>
        <v>0</v>
      </c>
      <c r="J335" s="111">
        <f t="shared" si="232"/>
        <v>0</v>
      </c>
      <c r="K335" s="113">
        <f t="shared" si="233"/>
        <v>0</v>
      </c>
      <c r="L335" s="113">
        <f t="shared" si="234"/>
        <v>0</v>
      </c>
      <c r="M335" s="113">
        <f t="shared" si="235"/>
        <v>0</v>
      </c>
      <c r="N335" s="116">
        <f t="shared" si="236"/>
        <v>0</v>
      </c>
      <c r="O335" s="117">
        <f t="shared" si="224"/>
        <v>6.4610000000000001E-2</v>
      </c>
      <c r="P335" s="117">
        <f t="shared" si="237"/>
        <v>0</v>
      </c>
      <c r="Q335" s="117">
        <f t="shared" si="238"/>
        <v>0</v>
      </c>
      <c r="R335" s="117">
        <f t="shared" si="239"/>
        <v>2.725E-2</v>
      </c>
      <c r="S335" s="116">
        <f t="shared" si="240"/>
        <v>0</v>
      </c>
      <c r="T335" s="116">
        <f t="shared" si="241"/>
        <v>0</v>
      </c>
      <c r="U335" s="116">
        <f t="shared" si="242"/>
        <v>0</v>
      </c>
      <c r="V335" s="118">
        <f t="shared" si="243"/>
        <v>0</v>
      </c>
      <c r="W335" s="118">
        <f t="shared" si="258"/>
        <v>0</v>
      </c>
      <c r="X335" s="118">
        <f t="shared" si="259"/>
        <v>0</v>
      </c>
      <c r="Y335" s="118">
        <f t="shared" si="260"/>
        <v>0</v>
      </c>
      <c r="Z335" s="118">
        <f t="shared" si="261"/>
        <v>0</v>
      </c>
      <c r="AA335" s="119">
        <v>0</v>
      </c>
      <c r="AB335" s="120">
        <f t="shared" si="244"/>
        <v>0</v>
      </c>
      <c r="AC335" s="118">
        <f t="shared" si="245"/>
        <v>0</v>
      </c>
      <c r="AD335" s="118">
        <f t="shared" si="262"/>
        <v>0</v>
      </c>
      <c r="AE335" s="118">
        <f t="shared" si="246"/>
        <v>0</v>
      </c>
      <c r="AF335" s="121">
        <f t="shared" si="263"/>
        <v>1</v>
      </c>
      <c r="AG335" s="122">
        <f t="shared" si="247"/>
        <v>0</v>
      </c>
      <c r="AH335" s="122">
        <f t="shared" si="248"/>
        <v>0</v>
      </c>
      <c r="AI335" s="122">
        <f t="shared" si="249"/>
        <v>0</v>
      </c>
      <c r="AJ335" s="122">
        <f t="shared" si="250"/>
        <v>0</v>
      </c>
      <c r="AK335" s="122">
        <f t="shared" si="251"/>
        <v>0</v>
      </c>
      <c r="AL335" s="122">
        <f t="shared" si="252"/>
        <v>0</v>
      </c>
      <c r="AM335" s="123">
        <f t="shared" si="253"/>
        <v>0</v>
      </c>
      <c r="AN335" s="123">
        <f t="shared" si="267"/>
        <v>0</v>
      </c>
      <c r="AO335" s="124">
        <f t="shared" si="254"/>
        <v>0</v>
      </c>
      <c r="AP335" s="125">
        <f t="shared" si="264"/>
        <v>0</v>
      </c>
      <c r="AU335" s="109">
        <f>IF(BA335=1,IF(AU334=MiscData!$F$1,EOMONTH(AU334,-11),EOMONTH(AU334,1)),AU334)</f>
        <v>42277</v>
      </c>
      <c r="AV335" s="108" t="str">
        <f t="shared" si="265"/>
        <v>20140101LGMLE570</v>
      </c>
      <c r="AW335" s="126" t="str">
        <f t="shared" si="266"/>
        <v>20140101LE</v>
      </c>
      <c r="AX335">
        <f>MiscData!$X$5</f>
        <v>20140101</v>
      </c>
      <c r="BA335" s="98">
        <f>IF(BA334+1&gt;MiscData!$Z$42,1,BA334+1)</f>
        <v>28</v>
      </c>
      <c r="BB335" s="98" t="str">
        <f>VLOOKUP(BA335,MiscData!$Z$5:$AB$46,2,FALSE)</f>
        <v>LGMLE570</v>
      </c>
      <c r="BC335" s="98" t="str">
        <f>VLOOKUP(BA335,MiscData!$Z$5:$AB$46,3,FALSE)</f>
        <v>LE</v>
      </c>
    </row>
    <row r="336" spans="1:55">
      <c r="A336" s="108">
        <v>317</v>
      </c>
      <c r="B336" s="109" t="str">
        <f t="shared" si="255"/>
        <v>Sep 2015</v>
      </c>
      <c r="C336" s="110" t="str">
        <f t="shared" si="256"/>
        <v>LE</v>
      </c>
      <c r="D336" s="110" t="str">
        <f t="shared" si="257"/>
        <v>LGMLE571</v>
      </c>
      <c r="E336" s="111">
        <f t="shared" si="228"/>
        <v>156</v>
      </c>
      <c r="F336" s="112">
        <v>0</v>
      </c>
      <c r="G336" s="111">
        <f t="shared" si="229"/>
        <v>0</v>
      </c>
      <c r="H336" s="111">
        <f t="shared" si="230"/>
        <v>0</v>
      </c>
      <c r="I336" s="111">
        <f t="shared" si="231"/>
        <v>0</v>
      </c>
      <c r="J336" s="111">
        <f t="shared" si="232"/>
        <v>238222</v>
      </c>
      <c r="K336" s="113">
        <f t="shared" si="233"/>
        <v>0</v>
      </c>
      <c r="L336" s="113">
        <f t="shared" si="234"/>
        <v>0</v>
      </c>
      <c r="M336" s="113">
        <f t="shared" si="235"/>
        <v>0</v>
      </c>
      <c r="N336" s="116">
        <f t="shared" si="236"/>
        <v>0</v>
      </c>
      <c r="O336" s="117">
        <f t="shared" si="224"/>
        <v>6.4610000000000001E-2</v>
      </c>
      <c r="P336" s="117">
        <f t="shared" si="237"/>
        <v>0</v>
      </c>
      <c r="Q336" s="117">
        <f t="shared" si="238"/>
        <v>0</v>
      </c>
      <c r="R336" s="117">
        <f t="shared" si="239"/>
        <v>2.725E-2</v>
      </c>
      <c r="S336" s="116">
        <f t="shared" si="240"/>
        <v>0</v>
      </c>
      <c r="T336" s="116">
        <f t="shared" si="241"/>
        <v>0</v>
      </c>
      <c r="U336" s="116">
        <f t="shared" si="242"/>
        <v>0</v>
      </c>
      <c r="V336" s="118">
        <f t="shared" si="243"/>
        <v>0</v>
      </c>
      <c r="W336" s="118">
        <f t="shared" si="258"/>
        <v>15391.52</v>
      </c>
      <c r="X336" s="118">
        <f t="shared" si="259"/>
        <v>0</v>
      </c>
      <c r="Y336" s="118">
        <f t="shared" si="260"/>
        <v>0</v>
      </c>
      <c r="Z336" s="118">
        <f t="shared" si="261"/>
        <v>0</v>
      </c>
      <c r="AA336" s="119">
        <v>0</v>
      </c>
      <c r="AB336" s="120">
        <f t="shared" si="244"/>
        <v>0</v>
      </c>
      <c r="AC336" s="118">
        <f t="shared" si="245"/>
        <v>0</v>
      </c>
      <c r="AD336" s="118">
        <f t="shared" si="262"/>
        <v>15391.52</v>
      </c>
      <c r="AE336" s="118">
        <f t="shared" si="246"/>
        <v>0</v>
      </c>
      <c r="AF336" s="121">
        <f t="shared" si="263"/>
        <v>0</v>
      </c>
      <c r="AG336" s="122">
        <f t="shared" si="247"/>
        <v>0</v>
      </c>
      <c r="AH336" s="122">
        <f t="shared" si="248"/>
        <v>0</v>
      </c>
      <c r="AI336" s="122">
        <f t="shared" si="249"/>
        <v>0</v>
      </c>
      <c r="AJ336" s="122">
        <f t="shared" si="250"/>
        <v>0</v>
      </c>
      <c r="AK336" s="122">
        <f t="shared" si="251"/>
        <v>0</v>
      </c>
      <c r="AL336" s="122">
        <f t="shared" si="252"/>
        <v>0</v>
      </c>
      <c r="AM336" s="123">
        <f t="shared" si="253"/>
        <v>15391.52</v>
      </c>
      <c r="AN336" s="123">
        <f t="shared" si="267"/>
        <v>-15391.52</v>
      </c>
      <c r="AO336" s="124">
        <f t="shared" si="254"/>
        <v>6491.55</v>
      </c>
      <c r="AP336" s="125">
        <f t="shared" si="264"/>
        <v>8899.9700000000012</v>
      </c>
      <c r="AU336" s="109">
        <f>IF(BA336=1,IF(AU335=MiscData!$F$1,EOMONTH(AU335,-11),EOMONTH(AU335,1)),AU335)</f>
        <v>42277</v>
      </c>
      <c r="AV336" s="108" t="str">
        <f t="shared" si="265"/>
        <v>20140101LGMLE571</v>
      </c>
      <c r="AW336" s="126" t="str">
        <f t="shared" si="266"/>
        <v>20140101LE</v>
      </c>
      <c r="AX336">
        <f>MiscData!$X$5</f>
        <v>20140101</v>
      </c>
      <c r="BA336" s="98">
        <f>IF(BA335+1&gt;MiscData!$Z$42,1,BA335+1)</f>
        <v>29</v>
      </c>
      <c r="BB336" s="98" t="str">
        <f>VLOOKUP(BA336,MiscData!$Z$5:$AB$46,2,FALSE)</f>
        <v>LGMLE571</v>
      </c>
      <c r="BC336" s="98" t="str">
        <f>VLOOKUP(BA336,MiscData!$Z$5:$AB$46,3,FALSE)</f>
        <v>LE</v>
      </c>
    </row>
    <row r="337" spans="1:55">
      <c r="A337" s="108">
        <v>318</v>
      </c>
      <c r="B337" s="109" t="str">
        <f t="shared" si="255"/>
        <v>Sep 2015</v>
      </c>
      <c r="C337" s="110" t="str">
        <f t="shared" si="256"/>
        <v>LE</v>
      </c>
      <c r="D337" s="110" t="str">
        <f t="shared" si="257"/>
        <v>LGMLE572</v>
      </c>
      <c r="E337" s="111">
        <f t="shared" si="228"/>
        <v>0</v>
      </c>
      <c r="F337" s="112">
        <v>0</v>
      </c>
      <c r="G337" s="111">
        <f t="shared" si="229"/>
        <v>0</v>
      </c>
      <c r="H337" s="111">
        <f t="shared" si="230"/>
        <v>0</v>
      </c>
      <c r="I337" s="111">
        <f t="shared" si="231"/>
        <v>0</v>
      </c>
      <c r="J337" s="111">
        <f t="shared" si="232"/>
        <v>0</v>
      </c>
      <c r="K337" s="113">
        <f t="shared" si="233"/>
        <v>0</v>
      </c>
      <c r="L337" s="113">
        <f t="shared" si="234"/>
        <v>0</v>
      </c>
      <c r="M337" s="113">
        <f t="shared" si="235"/>
        <v>0</v>
      </c>
      <c r="N337" s="116">
        <f t="shared" si="236"/>
        <v>0</v>
      </c>
      <c r="O337" s="117">
        <f t="shared" si="224"/>
        <v>6.4610000000000001E-2</v>
      </c>
      <c r="P337" s="117">
        <f t="shared" si="237"/>
        <v>0</v>
      </c>
      <c r="Q337" s="117">
        <f t="shared" si="238"/>
        <v>0</v>
      </c>
      <c r="R337" s="117">
        <f t="shared" si="239"/>
        <v>2.725E-2</v>
      </c>
      <c r="S337" s="116">
        <f t="shared" si="240"/>
        <v>0</v>
      </c>
      <c r="T337" s="116">
        <f t="shared" si="241"/>
        <v>0</v>
      </c>
      <c r="U337" s="116">
        <f t="shared" si="242"/>
        <v>0</v>
      </c>
      <c r="V337" s="118">
        <f t="shared" si="243"/>
        <v>0</v>
      </c>
      <c r="W337" s="118">
        <f t="shared" si="258"/>
        <v>0</v>
      </c>
      <c r="X337" s="118">
        <f t="shared" si="259"/>
        <v>0</v>
      </c>
      <c r="Y337" s="118">
        <f t="shared" si="260"/>
        <v>0</v>
      </c>
      <c r="Z337" s="118">
        <f t="shared" si="261"/>
        <v>0</v>
      </c>
      <c r="AA337" s="119">
        <v>0</v>
      </c>
      <c r="AB337" s="120">
        <f t="shared" si="244"/>
        <v>0</v>
      </c>
      <c r="AC337" s="118">
        <f t="shared" si="245"/>
        <v>0</v>
      </c>
      <c r="AD337" s="118">
        <f t="shared" si="262"/>
        <v>0</v>
      </c>
      <c r="AE337" s="118">
        <f t="shared" si="246"/>
        <v>0</v>
      </c>
      <c r="AF337" s="121">
        <f t="shared" si="263"/>
        <v>1</v>
      </c>
      <c r="AG337" s="122">
        <f t="shared" si="247"/>
        <v>0</v>
      </c>
      <c r="AH337" s="122">
        <f t="shared" si="248"/>
        <v>0</v>
      </c>
      <c r="AI337" s="122">
        <f t="shared" si="249"/>
        <v>0</v>
      </c>
      <c r="AJ337" s="122">
        <f t="shared" si="250"/>
        <v>0</v>
      </c>
      <c r="AK337" s="122">
        <f t="shared" si="251"/>
        <v>0</v>
      </c>
      <c r="AL337" s="122">
        <f t="shared" si="252"/>
        <v>0</v>
      </c>
      <c r="AM337" s="123">
        <f t="shared" si="253"/>
        <v>0</v>
      </c>
      <c r="AN337" s="123">
        <f t="shared" si="267"/>
        <v>0</v>
      </c>
      <c r="AO337" s="124">
        <f t="shared" si="254"/>
        <v>0</v>
      </c>
      <c r="AP337" s="125">
        <f t="shared" si="264"/>
        <v>0</v>
      </c>
      <c r="AU337" s="109">
        <f>IF(BA337=1,IF(AU336=MiscData!$F$1,EOMONTH(AU336,-11),EOMONTH(AU336,1)),AU336)</f>
        <v>42277</v>
      </c>
      <c r="AV337" s="108" t="str">
        <f t="shared" si="265"/>
        <v>20140101LGMLE572</v>
      </c>
      <c r="AW337" s="126" t="str">
        <f t="shared" si="266"/>
        <v>20140101LE</v>
      </c>
      <c r="AX337">
        <f>MiscData!$X$5</f>
        <v>20140101</v>
      </c>
      <c r="BA337" s="98">
        <f>IF(BA336+1&gt;MiscData!$Z$42,1,BA336+1)</f>
        <v>30</v>
      </c>
      <c r="BB337" s="98" t="str">
        <f>VLOOKUP(BA337,MiscData!$Z$5:$AB$46,2,FALSE)</f>
        <v>LGMLE572</v>
      </c>
      <c r="BC337" s="98" t="str">
        <f>VLOOKUP(BA337,MiscData!$Z$5:$AB$46,3,FALSE)</f>
        <v>LE</v>
      </c>
    </row>
    <row r="338" spans="1:55">
      <c r="A338" s="108">
        <v>319</v>
      </c>
      <c r="B338" s="109" t="str">
        <f t="shared" si="255"/>
        <v>Sep 2015</v>
      </c>
      <c r="C338" s="110" t="str">
        <f t="shared" si="256"/>
        <v>TE</v>
      </c>
      <c r="D338" s="110" t="str">
        <f t="shared" si="257"/>
        <v>LGMLE573</v>
      </c>
      <c r="E338" s="111">
        <f t="shared" si="228"/>
        <v>905</v>
      </c>
      <c r="F338" s="112">
        <v>0</v>
      </c>
      <c r="G338" s="111">
        <f t="shared" si="229"/>
        <v>0</v>
      </c>
      <c r="H338" s="111">
        <f t="shared" si="230"/>
        <v>0</v>
      </c>
      <c r="I338" s="111">
        <f t="shared" si="231"/>
        <v>0</v>
      </c>
      <c r="J338" s="111">
        <f t="shared" si="232"/>
        <v>223416</v>
      </c>
      <c r="K338" s="113">
        <f t="shared" si="233"/>
        <v>0</v>
      </c>
      <c r="L338" s="113">
        <f t="shared" si="234"/>
        <v>0</v>
      </c>
      <c r="M338" s="113">
        <f t="shared" si="235"/>
        <v>0</v>
      </c>
      <c r="N338" s="116">
        <f t="shared" si="236"/>
        <v>3.25</v>
      </c>
      <c r="O338" s="117">
        <f t="shared" si="224"/>
        <v>7.6579999999999995E-2</v>
      </c>
      <c r="P338" s="117">
        <f t="shared" si="237"/>
        <v>0</v>
      </c>
      <c r="Q338" s="117">
        <f t="shared" si="238"/>
        <v>0</v>
      </c>
      <c r="R338" s="117">
        <f t="shared" si="239"/>
        <v>2.725E-2</v>
      </c>
      <c r="S338" s="116">
        <f t="shared" si="240"/>
        <v>0</v>
      </c>
      <c r="T338" s="116">
        <f t="shared" si="241"/>
        <v>0</v>
      </c>
      <c r="U338" s="116">
        <f t="shared" si="242"/>
        <v>0</v>
      </c>
      <c r="V338" s="118">
        <f t="shared" si="243"/>
        <v>2941.25</v>
      </c>
      <c r="W338" s="683">
        <f t="shared" si="258"/>
        <v>17109.2</v>
      </c>
      <c r="X338" s="118">
        <f t="shared" si="259"/>
        <v>0</v>
      </c>
      <c r="Y338" s="118">
        <f t="shared" si="260"/>
        <v>0</v>
      </c>
      <c r="Z338" s="118">
        <f t="shared" si="261"/>
        <v>0</v>
      </c>
      <c r="AA338" s="119">
        <v>0</v>
      </c>
      <c r="AB338" s="120">
        <f t="shared" si="244"/>
        <v>0</v>
      </c>
      <c r="AC338" s="118">
        <f t="shared" si="245"/>
        <v>0</v>
      </c>
      <c r="AD338" s="118">
        <f t="shared" si="262"/>
        <v>20050.45</v>
      </c>
      <c r="AE338" s="118">
        <f t="shared" si="246"/>
        <v>0</v>
      </c>
      <c r="AF338" s="121">
        <f t="shared" si="263"/>
        <v>0</v>
      </c>
      <c r="AG338" s="122">
        <f t="shared" si="247"/>
        <v>0</v>
      </c>
      <c r="AH338" s="122">
        <f t="shared" si="248"/>
        <v>0</v>
      </c>
      <c r="AI338" s="122">
        <f t="shared" si="249"/>
        <v>0</v>
      </c>
      <c r="AJ338" s="122">
        <f t="shared" si="250"/>
        <v>0</v>
      </c>
      <c r="AK338" s="122">
        <f t="shared" si="251"/>
        <v>0</v>
      </c>
      <c r="AL338" s="122">
        <f t="shared" si="252"/>
        <v>0</v>
      </c>
      <c r="AM338" s="123">
        <f t="shared" si="253"/>
        <v>20050.45</v>
      </c>
      <c r="AN338" s="123">
        <f t="shared" si="267"/>
        <v>-20050.45</v>
      </c>
      <c r="AO338" s="124">
        <f t="shared" si="254"/>
        <v>6088.09</v>
      </c>
      <c r="AP338" s="125">
        <f t="shared" si="264"/>
        <v>11021.11</v>
      </c>
      <c r="AU338" s="109">
        <f>IF(BA338=1,IF(AU337=MiscData!$F$1,EOMONTH(AU337,-11),EOMONTH(AU337,1)),AU337)</f>
        <v>42277</v>
      </c>
      <c r="AV338" s="108" t="str">
        <f t="shared" si="265"/>
        <v>20140101LGMLE573</v>
      </c>
      <c r="AW338" s="126" t="str">
        <f t="shared" si="266"/>
        <v>20140101TE</v>
      </c>
      <c r="AX338">
        <f>MiscData!$X$5</f>
        <v>20140101</v>
      </c>
      <c r="BA338" s="98">
        <f>IF(BA337+1&gt;MiscData!$Z$42,1,BA337+1)</f>
        <v>31</v>
      </c>
      <c r="BB338" s="98" t="str">
        <f>VLOOKUP(BA338,MiscData!$Z$5:$AB$46,2,FALSE)</f>
        <v>LGMLE573</v>
      </c>
      <c r="BC338" s="98" t="str">
        <f>VLOOKUP(BA338,MiscData!$Z$5:$AB$46,3,FALSE)</f>
        <v>TE</v>
      </c>
    </row>
    <row r="339" spans="1:55">
      <c r="A339" s="108">
        <v>320</v>
      </c>
      <c r="B339" s="109" t="str">
        <f t="shared" si="255"/>
        <v>Sep 2015</v>
      </c>
      <c r="C339" s="110" t="str">
        <f t="shared" si="256"/>
        <v>TE</v>
      </c>
      <c r="D339" s="110" t="str">
        <f t="shared" si="257"/>
        <v>LGMLE574</v>
      </c>
      <c r="E339" s="111">
        <f t="shared" si="228"/>
        <v>0</v>
      </c>
      <c r="F339" s="112">
        <v>0</v>
      </c>
      <c r="G339" s="111">
        <f t="shared" si="229"/>
        <v>0</v>
      </c>
      <c r="H339" s="111">
        <f t="shared" si="230"/>
        <v>0</v>
      </c>
      <c r="I339" s="111">
        <f t="shared" si="231"/>
        <v>0</v>
      </c>
      <c r="J339" s="111">
        <f t="shared" si="232"/>
        <v>0</v>
      </c>
      <c r="K339" s="113">
        <f t="shared" si="233"/>
        <v>0</v>
      </c>
      <c r="L339" s="113">
        <f t="shared" si="234"/>
        <v>0</v>
      </c>
      <c r="M339" s="113">
        <f t="shared" si="235"/>
        <v>0</v>
      </c>
      <c r="N339" s="116">
        <f t="shared" si="236"/>
        <v>3.25</v>
      </c>
      <c r="O339" s="117">
        <f t="shared" si="224"/>
        <v>7.6579999999999995E-2</v>
      </c>
      <c r="P339" s="117">
        <f t="shared" si="237"/>
        <v>0</v>
      </c>
      <c r="Q339" s="117">
        <f t="shared" si="238"/>
        <v>0</v>
      </c>
      <c r="R339" s="117">
        <f t="shared" si="239"/>
        <v>2.725E-2</v>
      </c>
      <c r="S339" s="116">
        <f t="shared" si="240"/>
        <v>0</v>
      </c>
      <c r="T339" s="116">
        <f t="shared" si="241"/>
        <v>0</v>
      </c>
      <c r="U339" s="116">
        <f t="shared" si="242"/>
        <v>0</v>
      </c>
      <c r="V339" s="118">
        <f t="shared" si="243"/>
        <v>0</v>
      </c>
      <c r="W339" s="683">
        <f t="shared" si="258"/>
        <v>0</v>
      </c>
      <c r="X339" s="118">
        <f t="shared" si="259"/>
        <v>0</v>
      </c>
      <c r="Y339" s="118">
        <f t="shared" si="260"/>
        <v>0</v>
      </c>
      <c r="Z339" s="118">
        <f t="shared" si="261"/>
        <v>0</v>
      </c>
      <c r="AA339" s="119">
        <v>0</v>
      </c>
      <c r="AB339" s="120">
        <f t="shared" si="244"/>
        <v>0</v>
      </c>
      <c r="AC339" s="118">
        <f t="shared" si="245"/>
        <v>0</v>
      </c>
      <c r="AD339" s="118">
        <f t="shared" si="262"/>
        <v>0</v>
      </c>
      <c r="AE339" s="118">
        <f t="shared" si="246"/>
        <v>0</v>
      </c>
      <c r="AF339" s="121">
        <f t="shared" si="263"/>
        <v>1</v>
      </c>
      <c r="AG339" s="122">
        <f t="shared" si="247"/>
        <v>0</v>
      </c>
      <c r="AH339" s="122">
        <f t="shared" si="248"/>
        <v>0</v>
      </c>
      <c r="AI339" s="122">
        <f t="shared" si="249"/>
        <v>0</v>
      </c>
      <c r="AJ339" s="122">
        <f t="shared" si="250"/>
        <v>0</v>
      </c>
      <c r="AK339" s="122">
        <f t="shared" si="251"/>
        <v>0</v>
      </c>
      <c r="AL339" s="122">
        <f t="shared" si="252"/>
        <v>0</v>
      </c>
      <c r="AM339" s="123">
        <f t="shared" si="253"/>
        <v>0</v>
      </c>
      <c r="AN339" s="123">
        <f t="shared" si="267"/>
        <v>0</v>
      </c>
      <c r="AO339" s="124">
        <f t="shared" si="254"/>
        <v>0</v>
      </c>
      <c r="AP339" s="125">
        <f t="shared" si="264"/>
        <v>0</v>
      </c>
      <c r="AU339" s="109">
        <f>IF(BA339=1,IF(AU338=MiscData!$F$1,EOMONTH(AU338,-11),EOMONTH(AU338,1)),AU338)</f>
        <v>42277</v>
      </c>
      <c r="AV339" s="108" t="str">
        <f t="shared" si="265"/>
        <v>20140101LGMLE574</v>
      </c>
      <c r="AW339" s="126" t="str">
        <f t="shared" si="266"/>
        <v>20140101TE</v>
      </c>
      <c r="AX339">
        <f>MiscData!$X$5</f>
        <v>20140101</v>
      </c>
      <c r="BA339" s="98">
        <f>IF(BA338+1&gt;MiscData!$Z$42,1,BA338+1)</f>
        <v>32</v>
      </c>
      <c r="BB339" s="98" t="str">
        <f>VLOOKUP(BA339,MiscData!$Z$5:$AB$46,2,FALSE)</f>
        <v>LGMLE574</v>
      </c>
      <c r="BC339" s="98" t="str">
        <f>VLOOKUP(BA339,MiscData!$Z$5:$AB$46,3,FALSE)</f>
        <v>TE</v>
      </c>
    </row>
    <row r="340" spans="1:55">
      <c r="A340" s="108">
        <v>321</v>
      </c>
      <c r="B340" s="109" t="str">
        <f t="shared" si="255"/>
        <v>Sep 2015</v>
      </c>
      <c r="C340" s="110" t="str">
        <f t="shared" si="256"/>
        <v>RS</v>
      </c>
      <c r="D340" s="110" t="str">
        <f t="shared" si="257"/>
        <v>LGRSE411</v>
      </c>
      <c r="E340" s="111">
        <f t="shared" si="228"/>
        <v>0</v>
      </c>
      <c r="F340" s="112">
        <v>0</v>
      </c>
      <c r="G340" s="111">
        <f t="shared" si="229"/>
        <v>0</v>
      </c>
      <c r="H340" s="111">
        <f t="shared" si="230"/>
        <v>0</v>
      </c>
      <c r="I340" s="111">
        <f t="shared" si="231"/>
        <v>0</v>
      </c>
      <c r="J340" s="111">
        <f t="shared" si="232"/>
        <v>0</v>
      </c>
      <c r="K340" s="113">
        <f t="shared" si="233"/>
        <v>0</v>
      </c>
      <c r="L340" s="113">
        <f t="shared" si="234"/>
        <v>0</v>
      </c>
      <c r="M340" s="113">
        <f t="shared" si="235"/>
        <v>0</v>
      </c>
      <c r="N340" s="116">
        <f t="shared" si="236"/>
        <v>0</v>
      </c>
      <c r="O340" s="117">
        <f t="shared" si="224"/>
        <v>8.0760000000000012E-2</v>
      </c>
      <c r="P340" s="117">
        <f t="shared" si="237"/>
        <v>0</v>
      </c>
      <c r="Q340" s="117">
        <f t="shared" si="238"/>
        <v>0</v>
      </c>
      <c r="R340" s="117">
        <f t="shared" si="239"/>
        <v>2.725E-2</v>
      </c>
      <c r="S340" s="116">
        <f t="shared" si="240"/>
        <v>0</v>
      </c>
      <c r="T340" s="116">
        <f t="shared" si="241"/>
        <v>0</v>
      </c>
      <c r="U340" s="116">
        <f t="shared" si="242"/>
        <v>0</v>
      </c>
      <c r="V340" s="118">
        <f t="shared" si="243"/>
        <v>0</v>
      </c>
      <c r="W340" s="118">
        <f t="shared" si="258"/>
        <v>0</v>
      </c>
      <c r="X340" s="118">
        <f t="shared" si="259"/>
        <v>0</v>
      </c>
      <c r="Y340" s="118">
        <f t="shared" si="260"/>
        <v>0</v>
      </c>
      <c r="Z340" s="118">
        <f t="shared" si="261"/>
        <v>0</v>
      </c>
      <c r="AA340" s="119">
        <v>0</v>
      </c>
      <c r="AB340" s="120">
        <f t="shared" si="244"/>
        <v>0</v>
      </c>
      <c r="AC340" s="118">
        <f t="shared" si="245"/>
        <v>0</v>
      </c>
      <c r="AD340" s="118">
        <f t="shared" si="262"/>
        <v>0</v>
      </c>
      <c r="AE340" s="118">
        <f t="shared" si="246"/>
        <v>0</v>
      </c>
      <c r="AF340" s="121">
        <f t="shared" si="263"/>
        <v>1</v>
      </c>
      <c r="AG340" s="122">
        <f t="shared" si="247"/>
        <v>0</v>
      </c>
      <c r="AH340" s="122">
        <f t="shared" si="248"/>
        <v>0</v>
      </c>
      <c r="AI340" s="122">
        <f t="shared" si="249"/>
        <v>0</v>
      </c>
      <c r="AJ340" s="122">
        <f t="shared" si="250"/>
        <v>0</v>
      </c>
      <c r="AK340" s="122">
        <f t="shared" si="251"/>
        <v>0</v>
      </c>
      <c r="AL340" s="122">
        <f t="shared" si="252"/>
        <v>0</v>
      </c>
      <c r="AM340" s="123">
        <f t="shared" si="253"/>
        <v>0</v>
      </c>
      <c r="AN340" s="123">
        <f t="shared" si="267"/>
        <v>0</v>
      </c>
      <c r="AO340" s="124">
        <f t="shared" si="254"/>
        <v>0</v>
      </c>
      <c r="AP340" s="125">
        <f t="shared" si="264"/>
        <v>0</v>
      </c>
      <c r="AU340" s="109">
        <f>IF(BA340=1,IF(AU339=MiscData!$F$1,EOMONTH(AU339,-11),EOMONTH(AU339,1)),AU339)</f>
        <v>42277</v>
      </c>
      <c r="AV340" s="108" t="str">
        <f t="shared" si="265"/>
        <v>20140101LGRSE411</v>
      </c>
      <c r="AW340" s="126" t="str">
        <f t="shared" si="266"/>
        <v>20140101RS</v>
      </c>
      <c r="AX340">
        <f>MiscData!$X$5</f>
        <v>20140101</v>
      </c>
      <c r="BA340" s="98">
        <f>IF(BA339+1&gt;MiscData!$Z$42,1,BA339+1)</f>
        <v>33</v>
      </c>
      <c r="BB340" s="98" t="str">
        <f>VLOOKUP(BA340,MiscData!$Z$5:$AB$46,2,FALSE)</f>
        <v>LGRSE411</v>
      </c>
      <c r="BC340" s="98" t="str">
        <f>VLOOKUP(BA340,MiscData!$Z$5:$AB$46,3,FALSE)</f>
        <v>RS</v>
      </c>
    </row>
    <row r="341" spans="1:55">
      <c r="A341" s="108">
        <v>322</v>
      </c>
      <c r="B341" s="109" t="str">
        <f t="shared" si="255"/>
        <v>Sep 2015</v>
      </c>
      <c r="C341" s="110" t="str">
        <f t="shared" si="256"/>
        <v>RS</v>
      </c>
      <c r="D341" s="110" t="str">
        <f t="shared" si="257"/>
        <v>LGRSE511</v>
      </c>
      <c r="E341" s="111">
        <f t="shared" si="228"/>
        <v>360785</v>
      </c>
      <c r="F341" s="112">
        <v>0</v>
      </c>
      <c r="G341" s="111">
        <f t="shared" si="229"/>
        <v>0</v>
      </c>
      <c r="H341" s="111">
        <f t="shared" si="230"/>
        <v>0</v>
      </c>
      <c r="I341" s="111">
        <f t="shared" si="231"/>
        <v>0</v>
      </c>
      <c r="J341" s="111">
        <f t="shared" si="232"/>
        <v>387412176</v>
      </c>
      <c r="K341" s="113">
        <f t="shared" si="233"/>
        <v>0</v>
      </c>
      <c r="L341" s="113">
        <f t="shared" si="234"/>
        <v>0</v>
      </c>
      <c r="M341" s="113">
        <f t="shared" si="235"/>
        <v>0</v>
      </c>
      <c r="N341" s="116">
        <f t="shared" si="236"/>
        <v>10.75</v>
      </c>
      <c r="O341" s="117">
        <f t="shared" si="224"/>
        <v>8.0760000000000012E-2</v>
      </c>
      <c r="P341" s="117">
        <f t="shared" si="237"/>
        <v>0</v>
      </c>
      <c r="Q341" s="117">
        <f t="shared" si="238"/>
        <v>0</v>
      </c>
      <c r="R341" s="117">
        <f t="shared" si="239"/>
        <v>2.725E-2</v>
      </c>
      <c r="S341" s="116">
        <f t="shared" si="240"/>
        <v>0</v>
      </c>
      <c r="T341" s="116">
        <f t="shared" si="241"/>
        <v>0</v>
      </c>
      <c r="U341" s="116">
        <f t="shared" si="242"/>
        <v>0</v>
      </c>
      <c r="V341" s="118">
        <f t="shared" si="243"/>
        <v>3878438.75</v>
      </c>
      <c r="W341" s="118">
        <f t="shared" si="258"/>
        <v>31287407.329999998</v>
      </c>
      <c r="X341" s="118">
        <f t="shared" si="259"/>
        <v>0</v>
      </c>
      <c r="Y341" s="118">
        <f t="shared" si="260"/>
        <v>0</v>
      </c>
      <c r="Z341" s="118">
        <f t="shared" si="261"/>
        <v>0</v>
      </c>
      <c r="AA341" s="119">
        <v>0</v>
      </c>
      <c r="AB341" s="120">
        <f t="shared" si="244"/>
        <v>0</v>
      </c>
      <c r="AC341" s="118">
        <f t="shared" si="245"/>
        <v>0</v>
      </c>
      <c r="AD341" s="118">
        <f t="shared" si="262"/>
        <v>35165846.079999998</v>
      </c>
      <c r="AE341" s="118">
        <f t="shared" si="246"/>
        <v>35167676</v>
      </c>
      <c r="AF341" s="121">
        <f t="shared" si="263"/>
        <v>1.0000519999999999</v>
      </c>
      <c r="AG341" s="122">
        <f t="shared" si="247"/>
        <v>102434</v>
      </c>
      <c r="AH341" s="122">
        <f t="shared" si="248"/>
        <v>828433</v>
      </c>
      <c r="AI341" s="122">
        <f t="shared" si="249"/>
        <v>3267789</v>
      </c>
      <c r="AJ341" s="122">
        <f t="shared" si="250"/>
        <v>0</v>
      </c>
      <c r="AK341" s="122">
        <f t="shared" si="251"/>
        <v>0</v>
      </c>
      <c r="AL341" s="122">
        <f t="shared" si="252"/>
        <v>39366332</v>
      </c>
      <c r="AM341" s="123">
        <f t="shared" si="253"/>
        <v>39364502.079999998</v>
      </c>
      <c r="AN341" s="123">
        <f t="shared" si="267"/>
        <v>1829.9200000017881</v>
      </c>
      <c r="AO341" s="124">
        <f t="shared" si="254"/>
        <v>10556981.800000001</v>
      </c>
      <c r="AP341" s="125">
        <f t="shared" si="264"/>
        <v>20730425.529999997</v>
      </c>
      <c r="AU341" s="109">
        <f>IF(BA341=1,IF(AU340=MiscData!$F$1,EOMONTH(AU340,-11),EOMONTH(AU340,1)),AU340)</f>
        <v>42277</v>
      </c>
      <c r="AV341" s="108" t="str">
        <f t="shared" si="265"/>
        <v>20140101LGRSE511</v>
      </c>
      <c r="AW341" s="126" t="str">
        <f t="shared" si="266"/>
        <v>20140101RS</v>
      </c>
      <c r="AX341">
        <f>MiscData!$X$5</f>
        <v>20140101</v>
      </c>
      <c r="BA341" s="98">
        <f>IF(BA340+1&gt;MiscData!$Z$42,1,BA340+1)</f>
        <v>34</v>
      </c>
      <c r="BB341" s="98" t="str">
        <f>VLOOKUP(BA341,MiscData!$Z$5:$AB$46,2,FALSE)</f>
        <v>LGRSE511</v>
      </c>
      <c r="BC341" s="98" t="str">
        <f>VLOOKUP(BA341,MiscData!$Z$5:$AB$46,3,FALSE)</f>
        <v>RS</v>
      </c>
    </row>
    <row r="342" spans="1:55">
      <c r="A342" s="108">
        <v>323</v>
      </c>
      <c r="B342" s="109" t="str">
        <f t="shared" si="255"/>
        <v>Sep 2015</v>
      </c>
      <c r="C342" s="110" t="str">
        <f t="shared" si="256"/>
        <v>RS</v>
      </c>
      <c r="D342" s="110" t="str">
        <f t="shared" si="257"/>
        <v>LGRSE519</v>
      </c>
      <c r="E342" s="111">
        <f t="shared" si="228"/>
        <v>0</v>
      </c>
      <c r="F342" s="112">
        <v>0</v>
      </c>
      <c r="G342" s="111">
        <f t="shared" si="229"/>
        <v>0</v>
      </c>
      <c r="H342" s="111">
        <f t="shared" si="230"/>
        <v>0</v>
      </c>
      <c r="I342" s="111">
        <f t="shared" si="231"/>
        <v>0</v>
      </c>
      <c r="J342" s="111">
        <f t="shared" si="232"/>
        <v>0</v>
      </c>
      <c r="K342" s="113">
        <f t="shared" si="233"/>
        <v>0</v>
      </c>
      <c r="L342" s="113">
        <f t="shared" si="234"/>
        <v>0</v>
      </c>
      <c r="M342" s="113">
        <f t="shared" si="235"/>
        <v>0</v>
      </c>
      <c r="N342" s="116">
        <f t="shared" si="236"/>
        <v>10.75</v>
      </c>
      <c r="O342" s="117">
        <f t="shared" si="224"/>
        <v>8.0760000000000012E-2</v>
      </c>
      <c r="P342" s="117">
        <f t="shared" si="237"/>
        <v>0</v>
      </c>
      <c r="Q342" s="117">
        <f t="shared" si="238"/>
        <v>0</v>
      </c>
      <c r="R342" s="117">
        <f t="shared" si="239"/>
        <v>2.725E-2</v>
      </c>
      <c r="S342" s="116">
        <f t="shared" si="240"/>
        <v>0</v>
      </c>
      <c r="T342" s="116">
        <f t="shared" si="241"/>
        <v>0</v>
      </c>
      <c r="U342" s="116">
        <f t="shared" si="242"/>
        <v>0</v>
      </c>
      <c r="V342" s="118">
        <f t="shared" si="243"/>
        <v>0</v>
      </c>
      <c r="W342" s="118">
        <f t="shared" si="258"/>
        <v>0</v>
      </c>
      <c r="X342" s="118">
        <f t="shared" si="259"/>
        <v>0</v>
      </c>
      <c r="Y342" s="118">
        <f t="shared" si="260"/>
        <v>0</v>
      </c>
      <c r="Z342" s="118">
        <f t="shared" si="261"/>
        <v>0</v>
      </c>
      <c r="AA342" s="119">
        <v>0</v>
      </c>
      <c r="AB342" s="120">
        <f t="shared" si="244"/>
        <v>0</v>
      </c>
      <c r="AC342" s="118">
        <f t="shared" si="245"/>
        <v>0</v>
      </c>
      <c r="AD342" s="118">
        <f t="shared" si="262"/>
        <v>0</v>
      </c>
      <c r="AE342" s="118">
        <f t="shared" si="246"/>
        <v>0</v>
      </c>
      <c r="AF342" s="121">
        <f t="shared" si="263"/>
        <v>1</v>
      </c>
      <c r="AG342" s="122">
        <f t="shared" si="247"/>
        <v>0</v>
      </c>
      <c r="AH342" s="122">
        <f t="shared" si="248"/>
        <v>0</v>
      </c>
      <c r="AI342" s="122">
        <f t="shared" si="249"/>
        <v>0</v>
      </c>
      <c r="AJ342" s="122">
        <f t="shared" si="250"/>
        <v>0</v>
      </c>
      <c r="AK342" s="122">
        <f t="shared" si="251"/>
        <v>0</v>
      </c>
      <c r="AL342" s="122">
        <f t="shared" si="252"/>
        <v>0</v>
      </c>
      <c r="AM342" s="123">
        <f t="shared" si="253"/>
        <v>0</v>
      </c>
      <c r="AN342" s="123">
        <f t="shared" ref="AN342:AN346" si="268">ROUND(AL342-AM342,2)</f>
        <v>0</v>
      </c>
      <c r="AO342" s="124">
        <f t="shared" si="254"/>
        <v>0</v>
      </c>
      <c r="AP342" s="125">
        <f t="shared" si="264"/>
        <v>0</v>
      </c>
      <c r="AU342" s="109">
        <f>IF(BA342=1,IF(AU341=MiscData!$F$1,EOMONTH(AU341,-11),EOMONTH(AU341,1)),AU341)</f>
        <v>42277</v>
      </c>
      <c r="AV342" s="108" t="str">
        <f t="shared" si="265"/>
        <v>20140101LGRSE519</v>
      </c>
      <c r="AW342" s="126" t="str">
        <f t="shared" si="266"/>
        <v>20140101RS</v>
      </c>
      <c r="AX342">
        <f>MiscData!$X$5</f>
        <v>20140101</v>
      </c>
      <c r="BA342" s="98">
        <f>IF(BA341+1&gt;MiscData!$Z$42,1,BA341+1)</f>
        <v>35</v>
      </c>
      <c r="BB342" s="98" t="str">
        <f>VLOOKUP(BA342,MiscData!$Z$5:$AB$46,2,FALSE)</f>
        <v>LGRSE519</v>
      </c>
      <c r="BC342" s="98" t="str">
        <f>VLOOKUP(BA342,MiscData!$Z$5:$AB$46,3,FALSE)</f>
        <v>RS</v>
      </c>
    </row>
    <row r="343" spans="1:55">
      <c r="A343" s="108">
        <v>324</v>
      </c>
      <c r="B343" s="109" t="str">
        <f t="shared" si="255"/>
        <v>Sep 2015</v>
      </c>
      <c r="C343" s="110" t="s">
        <v>13</v>
      </c>
      <c r="D343" s="110" t="str">
        <f t="shared" si="257"/>
        <v>LGRSE540</v>
      </c>
      <c r="E343" s="111">
        <f t="shared" si="228"/>
        <v>0</v>
      </c>
      <c r="F343" s="112">
        <v>0</v>
      </c>
      <c r="G343" s="111">
        <f t="shared" si="229"/>
        <v>0</v>
      </c>
      <c r="H343" s="111">
        <f t="shared" si="230"/>
        <v>0</v>
      </c>
      <c r="I343" s="111">
        <f t="shared" si="231"/>
        <v>0</v>
      </c>
      <c r="J343" s="111">
        <f t="shared" si="232"/>
        <v>0</v>
      </c>
      <c r="K343" s="113">
        <f t="shared" si="233"/>
        <v>0</v>
      </c>
      <c r="L343" s="113">
        <f t="shared" si="234"/>
        <v>0</v>
      </c>
      <c r="M343" s="113">
        <f t="shared" si="235"/>
        <v>0</v>
      </c>
      <c r="N343" s="116">
        <f t="shared" si="236"/>
        <v>10.75</v>
      </c>
      <c r="O343" s="117">
        <f t="shared" si="224"/>
        <v>8.0760000000000012E-2</v>
      </c>
      <c r="P343" s="117">
        <f t="shared" si="237"/>
        <v>0</v>
      </c>
      <c r="Q343" s="117">
        <f t="shared" si="238"/>
        <v>0</v>
      </c>
      <c r="R343" s="117">
        <f t="shared" si="239"/>
        <v>2.725E-2</v>
      </c>
      <c r="S343" s="116">
        <f t="shared" si="240"/>
        <v>0</v>
      </c>
      <c r="T343" s="116">
        <f t="shared" si="241"/>
        <v>0</v>
      </c>
      <c r="U343" s="116">
        <f t="shared" si="242"/>
        <v>0</v>
      </c>
      <c r="V343" s="118">
        <f t="shared" si="243"/>
        <v>0</v>
      </c>
      <c r="W343" s="118">
        <f t="shared" si="258"/>
        <v>0</v>
      </c>
      <c r="X343" s="118">
        <f t="shared" si="259"/>
        <v>0</v>
      </c>
      <c r="Y343" s="118">
        <f t="shared" si="260"/>
        <v>0</v>
      </c>
      <c r="Z343" s="118">
        <f t="shared" si="261"/>
        <v>0</v>
      </c>
      <c r="AA343" s="119">
        <v>0</v>
      </c>
      <c r="AB343" s="120">
        <f t="shared" si="244"/>
        <v>0</v>
      </c>
      <c r="AC343" s="118">
        <f t="shared" si="245"/>
        <v>0</v>
      </c>
      <c r="AD343" s="118">
        <f t="shared" si="262"/>
        <v>0</v>
      </c>
      <c r="AE343" s="118">
        <f t="shared" si="246"/>
        <v>0</v>
      </c>
      <c r="AF343" s="121">
        <f t="shared" si="263"/>
        <v>1</v>
      </c>
      <c r="AG343" s="122">
        <f t="shared" si="247"/>
        <v>0</v>
      </c>
      <c r="AH343" s="122">
        <f t="shared" si="248"/>
        <v>0</v>
      </c>
      <c r="AI343" s="122">
        <f t="shared" si="249"/>
        <v>0</v>
      </c>
      <c r="AJ343" s="122">
        <f t="shared" si="250"/>
        <v>0</v>
      </c>
      <c r="AK343" s="122">
        <f t="shared" si="251"/>
        <v>0</v>
      </c>
      <c r="AL343" s="122">
        <f t="shared" si="252"/>
        <v>0</v>
      </c>
      <c r="AM343" s="123">
        <f t="shared" si="253"/>
        <v>0</v>
      </c>
      <c r="AN343" s="123">
        <f t="shared" si="268"/>
        <v>0</v>
      </c>
      <c r="AO343" s="124">
        <f t="shared" si="254"/>
        <v>0</v>
      </c>
      <c r="AP343" s="125">
        <f t="shared" si="264"/>
        <v>0</v>
      </c>
      <c r="AU343" s="109">
        <f>IF(BA343=1,IF(AU342=MiscData!$F$1,EOMONTH(AU342,-11),EOMONTH(AU342,1)),AU342)</f>
        <v>42277</v>
      </c>
      <c r="AV343" s="108" t="str">
        <f t="shared" si="265"/>
        <v>20140101LGRSE540</v>
      </c>
      <c r="AW343" s="126" t="str">
        <f t="shared" si="266"/>
        <v>20140101VFD</v>
      </c>
      <c r="AX343">
        <f>MiscData!$X$5</f>
        <v>20140101</v>
      </c>
      <c r="BA343" s="98">
        <f>IF(BA342+1&gt;MiscData!$Z$42,1,BA342+1)</f>
        <v>36</v>
      </c>
      <c r="BB343" s="98" t="str">
        <f>VLOOKUP(BA343,MiscData!$Z$5:$AB$46,2,FALSE)</f>
        <v>LGRSE540</v>
      </c>
      <c r="BC343" s="98" t="str">
        <f>VLOOKUP(BA343,MiscData!$Z$5:$AB$46,3,FALSE)</f>
        <v>VFD</v>
      </c>
    </row>
    <row r="344" spans="1:55">
      <c r="A344" s="108">
        <v>325</v>
      </c>
      <c r="B344" s="109" t="str">
        <f t="shared" si="255"/>
        <v>Sep 2015</v>
      </c>
      <c r="C344" s="110" t="str">
        <f t="shared" si="256"/>
        <v>LEV</v>
      </c>
      <c r="D344" s="110" t="str">
        <f t="shared" si="257"/>
        <v>LGRSE543</v>
      </c>
      <c r="E344" s="111">
        <f t="shared" si="228"/>
        <v>20</v>
      </c>
      <c r="F344" s="112">
        <v>0</v>
      </c>
      <c r="G344" s="111">
        <f t="shared" si="229"/>
        <v>11196</v>
      </c>
      <c r="H344" s="111">
        <f t="shared" si="230"/>
        <v>5538</v>
      </c>
      <c r="I344" s="111">
        <f t="shared" si="231"/>
        <v>3260</v>
      </c>
      <c r="J344" s="111">
        <f t="shared" si="232"/>
        <v>19994</v>
      </c>
      <c r="K344" s="113">
        <f t="shared" si="233"/>
        <v>0</v>
      </c>
      <c r="L344" s="113">
        <f t="shared" si="234"/>
        <v>0</v>
      </c>
      <c r="M344" s="113">
        <f t="shared" si="235"/>
        <v>0</v>
      </c>
      <c r="N344" s="116">
        <f t="shared" si="236"/>
        <v>10.75</v>
      </c>
      <c r="O344" s="117">
        <f t="shared" si="224"/>
        <v>5.8200000000000002E-2</v>
      </c>
      <c r="P344" s="117">
        <f t="shared" si="237"/>
        <v>7.8990000000000005E-2</v>
      </c>
      <c r="Q344" s="117">
        <f t="shared" si="238"/>
        <v>0.14451000000000003</v>
      </c>
      <c r="R344" s="117">
        <f t="shared" si="239"/>
        <v>2.725E-2</v>
      </c>
      <c r="S344" s="116">
        <f t="shared" si="240"/>
        <v>0</v>
      </c>
      <c r="T344" s="116">
        <f t="shared" si="241"/>
        <v>0</v>
      </c>
      <c r="U344" s="116">
        <f t="shared" si="242"/>
        <v>0</v>
      </c>
      <c r="V344" s="118">
        <f t="shared" si="243"/>
        <v>215</v>
      </c>
      <c r="W344" s="118">
        <f t="shared" si="258"/>
        <v>1560.16</v>
      </c>
      <c r="X344" s="118">
        <f t="shared" si="259"/>
        <v>0</v>
      </c>
      <c r="Y344" s="118">
        <f t="shared" si="260"/>
        <v>0</v>
      </c>
      <c r="Z344" s="118">
        <f t="shared" si="261"/>
        <v>0</v>
      </c>
      <c r="AA344" s="119">
        <v>0</v>
      </c>
      <c r="AB344" s="120">
        <f t="shared" si="244"/>
        <v>0</v>
      </c>
      <c r="AC344" s="118">
        <f t="shared" si="245"/>
        <v>0</v>
      </c>
      <c r="AD344" s="118">
        <f t="shared" si="262"/>
        <v>1775.16</v>
      </c>
      <c r="AE344" s="118">
        <f t="shared" si="246"/>
        <v>0</v>
      </c>
      <c r="AF344" s="121">
        <f t="shared" si="263"/>
        <v>0</v>
      </c>
      <c r="AG344" s="122">
        <f t="shared" si="247"/>
        <v>0</v>
      </c>
      <c r="AH344" s="122">
        <f t="shared" si="248"/>
        <v>0</v>
      </c>
      <c r="AI344" s="122">
        <f t="shared" si="249"/>
        <v>0</v>
      </c>
      <c r="AJ344" s="122">
        <f t="shared" si="250"/>
        <v>0</v>
      </c>
      <c r="AK344" s="122">
        <f t="shared" si="251"/>
        <v>0</v>
      </c>
      <c r="AL344" s="122">
        <f t="shared" si="252"/>
        <v>0</v>
      </c>
      <c r="AM344" s="123">
        <f t="shared" si="253"/>
        <v>1775.16</v>
      </c>
      <c r="AN344" s="123">
        <f t="shared" si="268"/>
        <v>-1775.16</v>
      </c>
      <c r="AO344" s="124">
        <f t="shared" si="254"/>
        <v>544.84</v>
      </c>
      <c r="AP344" s="125">
        <f t="shared" si="264"/>
        <v>1015.32</v>
      </c>
      <c r="AU344" s="109">
        <f>IF(BA344=1,IF(AU343=MiscData!$F$1,EOMONTH(AU343,-11),EOMONTH(AU343,1)),AU343)</f>
        <v>42277</v>
      </c>
      <c r="AV344" s="108" t="str">
        <f t="shared" si="265"/>
        <v>20140101LGRSE543</v>
      </c>
      <c r="AW344" s="126" t="str">
        <f t="shared" si="266"/>
        <v>20140101LEV</v>
      </c>
      <c r="AX344">
        <f>MiscData!$X$5</f>
        <v>20140101</v>
      </c>
      <c r="BA344" s="98">
        <f>IF(BA343+1&gt;MiscData!$Z$42,1,BA343+1)</f>
        <v>37</v>
      </c>
      <c r="BB344" s="98" t="str">
        <f>VLOOKUP(BA344,MiscData!$Z$5:$AB$46,2,FALSE)</f>
        <v>LGRSE543</v>
      </c>
      <c r="BC344" s="98" t="str">
        <f>VLOOKUP(BA344,MiscData!$Z$5:$AB$46,3,FALSE)</f>
        <v>LEV</v>
      </c>
    </row>
    <row r="345" spans="1:55">
      <c r="A345" s="108">
        <v>326</v>
      </c>
      <c r="B345" s="109" t="str">
        <f t="shared" si="255"/>
        <v>Sep 2015</v>
      </c>
      <c r="C345" s="110" t="str">
        <f t="shared" si="256"/>
        <v>LEV</v>
      </c>
      <c r="D345" s="110" t="str">
        <f t="shared" si="257"/>
        <v>LGRSE547</v>
      </c>
      <c r="E345" s="111">
        <f t="shared" si="228"/>
        <v>0</v>
      </c>
      <c r="F345" s="112">
        <v>0</v>
      </c>
      <c r="G345" s="111">
        <f t="shared" si="229"/>
        <v>0</v>
      </c>
      <c r="H345" s="111">
        <f t="shared" si="230"/>
        <v>0</v>
      </c>
      <c r="I345" s="111">
        <f t="shared" si="231"/>
        <v>0</v>
      </c>
      <c r="J345" s="111">
        <f t="shared" si="232"/>
        <v>0</v>
      </c>
      <c r="K345" s="113">
        <f t="shared" si="233"/>
        <v>0</v>
      </c>
      <c r="L345" s="113">
        <f t="shared" si="234"/>
        <v>0</v>
      </c>
      <c r="M345" s="113">
        <f t="shared" si="235"/>
        <v>0</v>
      </c>
      <c r="N345" s="116">
        <f t="shared" si="236"/>
        <v>10.75</v>
      </c>
      <c r="O345" s="117">
        <f t="shared" si="224"/>
        <v>5.8200000000000002E-2</v>
      </c>
      <c r="P345" s="117">
        <f t="shared" si="237"/>
        <v>7.8990000000000005E-2</v>
      </c>
      <c r="Q345" s="117">
        <f t="shared" si="238"/>
        <v>0.14451000000000003</v>
      </c>
      <c r="R345" s="117">
        <f t="shared" si="239"/>
        <v>2.725E-2</v>
      </c>
      <c r="S345" s="116">
        <f t="shared" si="240"/>
        <v>0</v>
      </c>
      <c r="T345" s="116">
        <f t="shared" si="241"/>
        <v>0</v>
      </c>
      <c r="U345" s="116">
        <f t="shared" si="242"/>
        <v>0</v>
      </c>
      <c r="V345" s="118">
        <f t="shared" si="243"/>
        <v>0</v>
      </c>
      <c r="W345" s="118">
        <f t="shared" si="258"/>
        <v>0</v>
      </c>
      <c r="X345" s="118">
        <f t="shared" si="259"/>
        <v>0</v>
      </c>
      <c r="Y345" s="118">
        <f t="shared" si="260"/>
        <v>0</v>
      </c>
      <c r="Z345" s="118">
        <f t="shared" si="261"/>
        <v>0</v>
      </c>
      <c r="AA345" s="119">
        <v>0</v>
      </c>
      <c r="AB345" s="120">
        <f t="shared" si="244"/>
        <v>0</v>
      </c>
      <c r="AC345" s="118">
        <f t="shared" si="245"/>
        <v>0</v>
      </c>
      <c r="AD345" s="118">
        <f t="shared" si="262"/>
        <v>0</v>
      </c>
      <c r="AE345" s="118">
        <f t="shared" si="246"/>
        <v>0</v>
      </c>
      <c r="AF345" s="121">
        <f t="shared" si="263"/>
        <v>1</v>
      </c>
      <c r="AG345" s="122">
        <f t="shared" si="247"/>
        <v>0</v>
      </c>
      <c r="AH345" s="122">
        <f t="shared" si="248"/>
        <v>0</v>
      </c>
      <c r="AI345" s="122">
        <f t="shared" si="249"/>
        <v>0</v>
      </c>
      <c r="AJ345" s="122">
        <f t="shared" si="250"/>
        <v>0</v>
      </c>
      <c r="AK345" s="122">
        <f t="shared" si="251"/>
        <v>0</v>
      </c>
      <c r="AL345" s="122">
        <f t="shared" si="252"/>
        <v>0</v>
      </c>
      <c r="AM345" s="123">
        <f t="shared" si="253"/>
        <v>0</v>
      </c>
      <c r="AN345" s="123">
        <f t="shared" si="268"/>
        <v>0</v>
      </c>
      <c r="AO345" s="124">
        <f t="shared" si="254"/>
        <v>0</v>
      </c>
      <c r="AP345" s="125">
        <f t="shared" si="264"/>
        <v>0</v>
      </c>
      <c r="AU345" s="109">
        <f>IF(BA345=1,IF(AU344=MiscData!$F$1,EOMONTH(AU344,-11),EOMONTH(AU344,1)),AU344)</f>
        <v>42277</v>
      </c>
      <c r="AV345" s="108" t="str">
        <f t="shared" si="265"/>
        <v>20140101LGRSE547</v>
      </c>
      <c r="AW345" s="126" t="str">
        <f t="shared" si="266"/>
        <v>20140101LEV</v>
      </c>
      <c r="AX345">
        <f>MiscData!$X$5</f>
        <v>20140101</v>
      </c>
      <c r="BA345" s="98">
        <f>IF(BA344+1&gt;MiscData!$Z$42,1,BA344+1)</f>
        <v>38</v>
      </c>
      <c r="BB345" s="98" t="str">
        <f>VLOOKUP(BA345,MiscData!$Z$5:$AB$46,2,FALSE)</f>
        <v>LGRSE547</v>
      </c>
      <c r="BC345" s="98" t="str">
        <f>VLOOKUP(BA345,MiscData!$Z$5:$AB$46,3,FALSE)</f>
        <v>LEV</v>
      </c>
    </row>
    <row r="346" spans="1:55">
      <c r="A346" s="108">
        <v>327</v>
      </c>
      <c r="B346" s="109" t="str">
        <f t="shared" si="255"/>
        <v>Oct 2015</v>
      </c>
      <c r="C346" s="110" t="str">
        <f t="shared" si="256"/>
        <v>FLSP</v>
      </c>
      <c r="D346" s="110" t="str">
        <f t="shared" si="257"/>
        <v>LGINE682</v>
      </c>
      <c r="E346" s="111">
        <f t="shared" si="228"/>
        <v>0</v>
      </c>
      <c r="F346" s="112">
        <v>0</v>
      </c>
      <c r="G346" s="111">
        <f t="shared" si="229"/>
        <v>0</v>
      </c>
      <c r="H346" s="111">
        <f t="shared" si="230"/>
        <v>0</v>
      </c>
      <c r="I346" s="111">
        <f t="shared" si="231"/>
        <v>0</v>
      </c>
      <c r="J346" s="111">
        <f t="shared" si="232"/>
        <v>0</v>
      </c>
      <c r="K346" s="113">
        <f t="shared" si="233"/>
        <v>0</v>
      </c>
      <c r="L346" s="113">
        <f t="shared" si="234"/>
        <v>0</v>
      </c>
      <c r="M346" s="113">
        <f t="shared" si="235"/>
        <v>0</v>
      </c>
      <c r="N346" s="116">
        <f t="shared" si="236"/>
        <v>750</v>
      </c>
      <c r="O346" s="117">
        <f t="shared" si="224"/>
        <v>3.61E-2</v>
      </c>
      <c r="P346" s="117">
        <f t="shared" si="237"/>
        <v>0</v>
      </c>
      <c r="Q346" s="117">
        <f t="shared" si="238"/>
        <v>0</v>
      </c>
      <c r="R346" s="117">
        <f t="shared" si="239"/>
        <v>2.725E-2</v>
      </c>
      <c r="S346" s="116">
        <f t="shared" si="240"/>
        <v>1.8900000000000001</v>
      </c>
      <c r="T346" s="116">
        <f t="shared" si="241"/>
        <v>1.8900000000000001</v>
      </c>
      <c r="U346" s="116">
        <f t="shared" si="242"/>
        <v>2.94</v>
      </c>
      <c r="V346" s="118">
        <f t="shared" si="243"/>
        <v>0</v>
      </c>
      <c r="W346" s="118">
        <f t="shared" si="258"/>
        <v>0</v>
      </c>
      <c r="X346" s="118">
        <f t="shared" si="259"/>
        <v>0</v>
      </c>
      <c r="Y346" s="118">
        <f t="shared" si="260"/>
        <v>0</v>
      </c>
      <c r="Z346" s="118">
        <f t="shared" si="261"/>
        <v>0</v>
      </c>
      <c r="AA346" s="119">
        <v>0</v>
      </c>
      <c r="AB346" s="120">
        <f t="shared" si="244"/>
        <v>0</v>
      </c>
      <c r="AC346" s="118">
        <f t="shared" si="245"/>
        <v>0</v>
      </c>
      <c r="AD346" s="118">
        <f t="shared" si="262"/>
        <v>0</v>
      </c>
      <c r="AE346" s="118">
        <f t="shared" si="246"/>
        <v>0</v>
      </c>
      <c r="AF346" s="121">
        <f t="shared" si="263"/>
        <v>1</v>
      </c>
      <c r="AG346" s="122">
        <f t="shared" si="247"/>
        <v>0</v>
      </c>
      <c r="AH346" s="122">
        <f t="shared" si="248"/>
        <v>0</v>
      </c>
      <c r="AI346" s="122">
        <f t="shared" si="249"/>
        <v>0</v>
      </c>
      <c r="AJ346" s="122">
        <f t="shared" si="250"/>
        <v>0</v>
      </c>
      <c r="AK346" s="122">
        <f t="shared" si="251"/>
        <v>0</v>
      </c>
      <c r="AL346" s="122">
        <f t="shared" si="252"/>
        <v>0</v>
      </c>
      <c r="AM346" s="123">
        <f t="shared" si="253"/>
        <v>0</v>
      </c>
      <c r="AN346" s="123">
        <f t="shared" si="268"/>
        <v>0</v>
      </c>
      <c r="AO346" s="124">
        <f t="shared" si="254"/>
        <v>0</v>
      </c>
      <c r="AP346" s="125">
        <f t="shared" si="264"/>
        <v>0</v>
      </c>
      <c r="AU346" s="109">
        <f>IF(BA346=1,IF(AU345=MiscData!$F$1,EOMONTH(AU345,-11),EOMONTH(AU345,1)),AU345)</f>
        <v>42308</v>
      </c>
      <c r="AV346" s="108" t="str">
        <f t="shared" si="265"/>
        <v>20140101LGINE682</v>
      </c>
      <c r="AW346" s="126" t="str">
        <f t="shared" si="266"/>
        <v>20140101FLSP</v>
      </c>
      <c r="AX346">
        <f>MiscData!$X$5</f>
        <v>20140101</v>
      </c>
      <c r="BA346" s="98">
        <f>IF(BA345+1&gt;MiscData!$Z$42,1,BA345+1)</f>
        <v>1</v>
      </c>
      <c r="BB346" s="98" t="str">
        <f>VLOOKUP(BA346,MiscData!$Z$5:$AB$46,2,FALSE)</f>
        <v>LGINE682</v>
      </c>
      <c r="BC346" s="98" t="str">
        <f>VLOOKUP(BA346,MiscData!$Z$5:$AB$46,3,FALSE)</f>
        <v>FLSP</v>
      </c>
    </row>
    <row r="347" spans="1:55">
      <c r="A347" s="108">
        <v>328</v>
      </c>
      <c r="B347" s="109" t="str">
        <f t="shared" si="255"/>
        <v>Oct 2015</v>
      </c>
      <c r="C347" s="110" t="str">
        <f t="shared" si="256"/>
        <v>FLST</v>
      </c>
      <c r="D347" s="110" t="str">
        <f t="shared" si="257"/>
        <v>LGINE683</v>
      </c>
      <c r="E347" s="111">
        <f t="shared" si="228"/>
        <v>0</v>
      </c>
      <c r="F347" s="112">
        <v>0</v>
      </c>
      <c r="G347" s="111">
        <f t="shared" si="229"/>
        <v>0</v>
      </c>
      <c r="H347" s="111">
        <f t="shared" si="230"/>
        <v>0</v>
      </c>
      <c r="I347" s="111">
        <f t="shared" si="231"/>
        <v>0</v>
      </c>
      <c r="J347" s="111">
        <f t="shared" si="232"/>
        <v>0</v>
      </c>
      <c r="K347" s="113">
        <f t="shared" si="233"/>
        <v>0</v>
      </c>
      <c r="L347" s="113">
        <f t="shared" si="234"/>
        <v>0</v>
      </c>
      <c r="M347" s="113">
        <f t="shared" si="235"/>
        <v>0</v>
      </c>
      <c r="N347" s="116">
        <f t="shared" si="236"/>
        <v>750</v>
      </c>
      <c r="O347" s="117">
        <f t="shared" si="224"/>
        <v>3.61E-2</v>
      </c>
      <c r="P347" s="117">
        <f t="shared" si="237"/>
        <v>0</v>
      </c>
      <c r="Q347" s="117">
        <f t="shared" si="238"/>
        <v>0</v>
      </c>
      <c r="R347" s="117">
        <f t="shared" si="239"/>
        <v>2.725E-2</v>
      </c>
      <c r="S347" s="116">
        <f t="shared" si="240"/>
        <v>1.1400000000000001</v>
      </c>
      <c r="T347" s="116">
        <f t="shared" si="241"/>
        <v>1.8900000000000001</v>
      </c>
      <c r="U347" s="116">
        <f t="shared" si="242"/>
        <v>2.94</v>
      </c>
      <c r="V347" s="118">
        <f t="shared" si="243"/>
        <v>0</v>
      </c>
      <c r="W347" s="118">
        <f t="shared" si="258"/>
        <v>0</v>
      </c>
      <c r="X347" s="118">
        <f t="shared" si="259"/>
        <v>0</v>
      </c>
      <c r="Y347" s="118">
        <f t="shared" si="260"/>
        <v>0</v>
      </c>
      <c r="Z347" s="118">
        <f t="shared" si="261"/>
        <v>0</v>
      </c>
      <c r="AA347" s="119">
        <v>0</v>
      </c>
      <c r="AB347" s="120">
        <f t="shared" si="244"/>
        <v>0</v>
      </c>
      <c r="AC347" s="118">
        <f t="shared" si="245"/>
        <v>0</v>
      </c>
      <c r="AD347" s="118">
        <f t="shared" si="262"/>
        <v>0</v>
      </c>
      <c r="AE347" s="118">
        <f t="shared" si="246"/>
        <v>0</v>
      </c>
      <c r="AF347" s="121">
        <f t="shared" si="263"/>
        <v>1</v>
      </c>
      <c r="AG347" s="122">
        <f t="shared" si="247"/>
        <v>0</v>
      </c>
      <c r="AH347" s="122">
        <f t="shared" si="248"/>
        <v>0</v>
      </c>
      <c r="AI347" s="122">
        <f t="shared" si="249"/>
        <v>0</v>
      </c>
      <c r="AJ347" s="122">
        <f t="shared" si="250"/>
        <v>0</v>
      </c>
      <c r="AK347" s="122">
        <f t="shared" si="251"/>
        <v>0</v>
      </c>
      <c r="AL347" s="122">
        <f t="shared" si="252"/>
        <v>0</v>
      </c>
      <c r="AM347" s="123">
        <f t="shared" si="253"/>
        <v>0</v>
      </c>
      <c r="AN347" s="123">
        <f t="shared" ref="AN347:AN374" si="269">AL347-AM347</f>
        <v>0</v>
      </c>
      <c r="AO347" s="124">
        <f t="shared" si="254"/>
        <v>0</v>
      </c>
      <c r="AP347" s="125">
        <f t="shared" si="264"/>
        <v>0</v>
      </c>
      <c r="AU347" s="109">
        <f>IF(BA347=1,IF(AU346=MiscData!$F$1,EOMONTH(AU346,-11),EOMONTH(AU346,1)),AU346)</f>
        <v>42308</v>
      </c>
      <c r="AV347" s="108" t="str">
        <f t="shared" si="265"/>
        <v>20140101LGINE683</v>
      </c>
      <c r="AW347" s="126" t="str">
        <f t="shared" si="266"/>
        <v>20140101FLST</v>
      </c>
      <c r="AX347">
        <f>MiscData!$X$5</f>
        <v>20140101</v>
      </c>
      <c r="BA347" s="98">
        <f>IF(BA346+1&gt;MiscData!$Z$42,1,BA346+1)</f>
        <v>2</v>
      </c>
      <c r="BB347" s="98" t="str">
        <f>VLOOKUP(BA347,MiscData!$Z$5:$AB$46,2,FALSE)</f>
        <v>LGINE683</v>
      </c>
      <c r="BC347" s="98" t="str">
        <f>VLOOKUP(BA347,MiscData!$Z$5:$AB$46,3,FALSE)</f>
        <v>FLST</v>
      </c>
    </row>
    <row r="348" spans="1:55">
      <c r="A348" s="108">
        <v>329</v>
      </c>
      <c r="B348" s="109" t="str">
        <f t="shared" si="255"/>
        <v>Oct 2015</v>
      </c>
      <c r="C348" s="110" t="s">
        <v>902</v>
      </c>
      <c r="D348" s="110" t="str">
        <f t="shared" si="257"/>
        <v>LGCME451</v>
      </c>
      <c r="E348" s="111">
        <f t="shared" si="228"/>
        <v>0</v>
      </c>
      <c r="F348" s="112">
        <v>0</v>
      </c>
      <c r="G348" s="111">
        <f t="shared" si="229"/>
        <v>0</v>
      </c>
      <c r="H348" s="111">
        <f t="shared" si="230"/>
        <v>0</v>
      </c>
      <c r="I348" s="111">
        <f t="shared" si="231"/>
        <v>0</v>
      </c>
      <c r="J348" s="111">
        <f t="shared" si="232"/>
        <v>0</v>
      </c>
      <c r="K348" s="113">
        <f t="shared" si="233"/>
        <v>0</v>
      </c>
      <c r="L348" s="113">
        <f t="shared" si="234"/>
        <v>0</v>
      </c>
      <c r="M348" s="113">
        <f t="shared" si="235"/>
        <v>0</v>
      </c>
      <c r="N348" s="116">
        <f t="shared" si="236"/>
        <v>0</v>
      </c>
      <c r="O348" s="117">
        <f t="shared" si="224"/>
        <v>9.1340000000000005E-2</v>
      </c>
      <c r="P348" s="117">
        <f t="shared" si="237"/>
        <v>0</v>
      </c>
      <c r="Q348" s="117">
        <f t="shared" si="238"/>
        <v>0</v>
      </c>
      <c r="R348" s="117">
        <f t="shared" si="239"/>
        <v>2.725E-2</v>
      </c>
      <c r="S348" s="116">
        <f t="shared" si="240"/>
        <v>0</v>
      </c>
      <c r="T348" s="116">
        <f t="shared" si="241"/>
        <v>0</v>
      </c>
      <c r="U348" s="116">
        <f t="shared" si="242"/>
        <v>0</v>
      </c>
      <c r="V348" s="118">
        <f t="shared" si="243"/>
        <v>0</v>
      </c>
      <c r="W348" s="118">
        <f t="shared" si="258"/>
        <v>0</v>
      </c>
      <c r="X348" s="118">
        <f t="shared" si="259"/>
        <v>0</v>
      </c>
      <c r="Y348" s="118">
        <f t="shared" si="260"/>
        <v>0</v>
      </c>
      <c r="Z348" s="118">
        <f t="shared" si="261"/>
        <v>0</v>
      </c>
      <c r="AA348" s="119">
        <v>0</v>
      </c>
      <c r="AB348" s="120">
        <f t="shared" si="244"/>
        <v>0</v>
      </c>
      <c r="AC348" s="118">
        <f t="shared" si="245"/>
        <v>0</v>
      </c>
      <c r="AD348" s="118">
        <f t="shared" si="262"/>
        <v>0</v>
      </c>
      <c r="AE348" s="118">
        <f t="shared" si="246"/>
        <v>0</v>
      </c>
      <c r="AF348" s="121">
        <f t="shared" si="263"/>
        <v>1</v>
      </c>
      <c r="AG348" s="122">
        <f t="shared" si="247"/>
        <v>0</v>
      </c>
      <c r="AH348" s="122">
        <f t="shared" si="248"/>
        <v>0</v>
      </c>
      <c r="AI348" s="122">
        <f t="shared" si="249"/>
        <v>0</v>
      </c>
      <c r="AJ348" s="122">
        <f t="shared" si="250"/>
        <v>0</v>
      </c>
      <c r="AK348" s="122">
        <f t="shared" si="251"/>
        <v>0</v>
      </c>
      <c r="AL348" s="122">
        <f t="shared" si="252"/>
        <v>0</v>
      </c>
      <c r="AM348" s="123">
        <f t="shared" si="253"/>
        <v>0</v>
      </c>
      <c r="AN348" s="123">
        <f t="shared" si="269"/>
        <v>0</v>
      </c>
      <c r="AO348" s="124">
        <f t="shared" si="254"/>
        <v>0</v>
      </c>
      <c r="AP348" s="125">
        <f t="shared" si="264"/>
        <v>0</v>
      </c>
      <c r="AU348" s="109">
        <f>IF(BA348=1,IF(AU347=MiscData!$F$1,EOMONTH(AU347,-11),EOMONTH(AU347,1)),AU347)</f>
        <v>42308</v>
      </c>
      <c r="AV348" s="108" t="str">
        <f t="shared" si="265"/>
        <v>20140101LGCME451</v>
      </c>
      <c r="AW348" s="126" t="str">
        <f t="shared" si="266"/>
        <v>20140101GSS</v>
      </c>
      <c r="AX348">
        <f>MiscData!$X$5</f>
        <v>20140101</v>
      </c>
      <c r="BA348" s="98">
        <f>IF(BA347+1&gt;MiscData!$Z$42,1,BA347+1)</f>
        <v>3</v>
      </c>
      <c r="BB348" s="98" t="str">
        <f>VLOOKUP(BA348,MiscData!$Z$5:$AB$46,2,FALSE)</f>
        <v>LGCME451</v>
      </c>
      <c r="BC348" s="98" t="str">
        <f>VLOOKUP(BA348,MiscData!$Z$5:$AB$46,3,FALSE)</f>
        <v>GSS</v>
      </c>
    </row>
    <row r="349" spans="1:55">
      <c r="A349" s="108">
        <v>330</v>
      </c>
      <c r="B349" s="109" t="str">
        <f t="shared" si="255"/>
        <v>Oct 2015</v>
      </c>
      <c r="C349" s="110" t="s">
        <v>902</v>
      </c>
      <c r="D349" s="110" t="str">
        <f t="shared" si="257"/>
        <v>LGCME550</v>
      </c>
      <c r="E349" s="111">
        <f t="shared" si="228"/>
        <v>0</v>
      </c>
      <c r="F349" s="112">
        <v>0</v>
      </c>
      <c r="G349" s="111">
        <f t="shared" si="229"/>
        <v>0</v>
      </c>
      <c r="H349" s="111">
        <f t="shared" si="230"/>
        <v>0</v>
      </c>
      <c r="I349" s="111">
        <f t="shared" si="231"/>
        <v>0</v>
      </c>
      <c r="J349" s="111">
        <f t="shared" si="232"/>
        <v>0</v>
      </c>
      <c r="K349" s="113">
        <f t="shared" si="233"/>
        <v>0</v>
      </c>
      <c r="L349" s="113">
        <f t="shared" si="234"/>
        <v>0</v>
      </c>
      <c r="M349" s="113">
        <f t="shared" si="235"/>
        <v>0</v>
      </c>
      <c r="N349" s="116">
        <f t="shared" si="236"/>
        <v>20</v>
      </c>
      <c r="O349" s="117">
        <f t="shared" si="224"/>
        <v>9.1340000000000005E-2</v>
      </c>
      <c r="P349" s="117">
        <f t="shared" si="237"/>
        <v>0</v>
      </c>
      <c r="Q349" s="117">
        <f t="shared" si="238"/>
        <v>0</v>
      </c>
      <c r="R349" s="117">
        <f t="shared" si="239"/>
        <v>2.725E-2</v>
      </c>
      <c r="S349" s="116">
        <f t="shared" si="240"/>
        <v>0</v>
      </c>
      <c r="T349" s="116">
        <f t="shared" si="241"/>
        <v>0</v>
      </c>
      <c r="U349" s="116">
        <f t="shared" si="242"/>
        <v>0</v>
      </c>
      <c r="V349" s="118">
        <f t="shared" si="243"/>
        <v>0</v>
      </c>
      <c r="W349" s="118">
        <f t="shared" si="258"/>
        <v>0</v>
      </c>
      <c r="X349" s="118">
        <f t="shared" si="259"/>
        <v>0</v>
      </c>
      <c r="Y349" s="118">
        <f t="shared" si="260"/>
        <v>0</v>
      </c>
      <c r="Z349" s="118">
        <f t="shared" si="261"/>
        <v>0</v>
      </c>
      <c r="AA349" s="119">
        <v>0</v>
      </c>
      <c r="AB349" s="120">
        <f t="shared" si="244"/>
        <v>0</v>
      </c>
      <c r="AC349" s="118">
        <f t="shared" si="245"/>
        <v>0</v>
      </c>
      <c r="AD349" s="118">
        <f t="shared" si="262"/>
        <v>0</v>
      </c>
      <c r="AE349" s="118">
        <f t="shared" si="246"/>
        <v>0</v>
      </c>
      <c r="AF349" s="121">
        <f t="shared" si="263"/>
        <v>1</v>
      </c>
      <c r="AG349" s="122">
        <f t="shared" si="247"/>
        <v>0</v>
      </c>
      <c r="AH349" s="122">
        <f t="shared" si="248"/>
        <v>0</v>
      </c>
      <c r="AI349" s="122">
        <f t="shared" si="249"/>
        <v>0</v>
      </c>
      <c r="AJ349" s="122">
        <f t="shared" si="250"/>
        <v>0</v>
      </c>
      <c r="AK349" s="122">
        <f t="shared" si="251"/>
        <v>0</v>
      </c>
      <c r="AL349" s="122">
        <f t="shared" si="252"/>
        <v>0</v>
      </c>
      <c r="AM349" s="123">
        <f t="shared" si="253"/>
        <v>0</v>
      </c>
      <c r="AN349" s="123">
        <f t="shared" si="269"/>
        <v>0</v>
      </c>
      <c r="AO349" s="124">
        <f t="shared" si="254"/>
        <v>0</v>
      </c>
      <c r="AP349" s="125">
        <f t="shared" si="264"/>
        <v>0</v>
      </c>
      <c r="AU349" s="109">
        <f>IF(BA349=1,IF(AU348=MiscData!$F$1,EOMONTH(AU348,-11),EOMONTH(AU348,1)),AU348)</f>
        <v>42308</v>
      </c>
      <c r="AV349" s="108" t="str">
        <f t="shared" si="265"/>
        <v>20140101LGCME550</v>
      </c>
      <c r="AW349" s="126" t="str">
        <f t="shared" si="266"/>
        <v>20140101GSS</v>
      </c>
      <c r="AX349">
        <f>MiscData!$X$5</f>
        <v>20140101</v>
      </c>
      <c r="BA349" s="98">
        <f>IF(BA348+1&gt;MiscData!$Z$42,1,BA348+1)</f>
        <v>4</v>
      </c>
      <c r="BB349" s="98" t="str">
        <f>VLOOKUP(BA349,MiscData!$Z$5:$AB$46,2,FALSE)</f>
        <v>LGCME550</v>
      </c>
      <c r="BC349" s="98" t="str">
        <f>VLOOKUP(BA349,MiscData!$Z$5:$AB$46,3,FALSE)</f>
        <v>GSS</v>
      </c>
    </row>
    <row r="350" spans="1:55">
      <c r="A350" s="108">
        <v>331</v>
      </c>
      <c r="B350" s="109" t="str">
        <f t="shared" si="255"/>
        <v>Oct 2015</v>
      </c>
      <c r="C350" s="110" t="s">
        <v>902</v>
      </c>
      <c r="D350" s="110" t="str">
        <f t="shared" si="257"/>
        <v>LGCME551</v>
      </c>
      <c r="E350" s="111">
        <f t="shared" si="228"/>
        <v>28188</v>
      </c>
      <c r="F350" s="112">
        <v>0</v>
      </c>
      <c r="G350" s="111">
        <f t="shared" si="229"/>
        <v>0</v>
      </c>
      <c r="H350" s="111">
        <f t="shared" si="230"/>
        <v>0</v>
      </c>
      <c r="I350" s="111">
        <f t="shared" si="231"/>
        <v>0</v>
      </c>
      <c r="J350" s="111">
        <f t="shared" si="232"/>
        <v>29801686</v>
      </c>
      <c r="K350" s="113">
        <f t="shared" si="233"/>
        <v>0</v>
      </c>
      <c r="L350" s="113">
        <f t="shared" si="234"/>
        <v>0</v>
      </c>
      <c r="M350" s="113">
        <f t="shared" si="235"/>
        <v>0</v>
      </c>
      <c r="N350" s="116">
        <f t="shared" si="236"/>
        <v>20</v>
      </c>
      <c r="O350" s="117">
        <f t="shared" si="224"/>
        <v>9.1340000000000005E-2</v>
      </c>
      <c r="P350" s="117">
        <f t="shared" si="237"/>
        <v>0</v>
      </c>
      <c r="Q350" s="117">
        <f t="shared" si="238"/>
        <v>0</v>
      </c>
      <c r="R350" s="117">
        <f t="shared" si="239"/>
        <v>2.725E-2</v>
      </c>
      <c r="S350" s="116">
        <f t="shared" si="240"/>
        <v>0</v>
      </c>
      <c r="T350" s="116">
        <f t="shared" si="241"/>
        <v>0</v>
      </c>
      <c r="U350" s="116">
        <f t="shared" si="242"/>
        <v>0</v>
      </c>
      <c r="V350" s="118">
        <f t="shared" si="243"/>
        <v>563760</v>
      </c>
      <c r="W350" s="118">
        <f t="shared" si="258"/>
        <v>2722086</v>
      </c>
      <c r="X350" s="118">
        <f t="shared" si="259"/>
        <v>0</v>
      </c>
      <c r="Y350" s="118">
        <f t="shared" si="260"/>
        <v>0</v>
      </c>
      <c r="Z350" s="118">
        <f t="shared" si="261"/>
        <v>0</v>
      </c>
      <c r="AA350" s="119">
        <v>0</v>
      </c>
      <c r="AB350" s="120">
        <f t="shared" si="244"/>
        <v>0</v>
      </c>
      <c r="AC350" s="118">
        <f t="shared" si="245"/>
        <v>0</v>
      </c>
      <c r="AD350" s="118">
        <f t="shared" si="262"/>
        <v>3285846</v>
      </c>
      <c r="AE350" s="118">
        <f t="shared" si="246"/>
        <v>3285847</v>
      </c>
      <c r="AF350" s="121">
        <f t="shared" si="263"/>
        <v>1</v>
      </c>
      <c r="AG350" s="122">
        <f t="shared" si="247"/>
        <v>-6464</v>
      </c>
      <c r="AH350" s="122">
        <f t="shared" si="248"/>
        <v>69247</v>
      </c>
      <c r="AI350" s="122">
        <f t="shared" si="249"/>
        <v>284538</v>
      </c>
      <c r="AJ350" s="122">
        <f t="shared" si="250"/>
        <v>0</v>
      </c>
      <c r="AK350" s="122">
        <f t="shared" si="251"/>
        <v>0</v>
      </c>
      <c r="AL350" s="122">
        <f t="shared" si="252"/>
        <v>3633168</v>
      </c>
      <c r="AM350" s="123">
        <f t="shared" si="253"/>
        <v>3633167</v>
      </c>
      <c r="AN350" s="123">
        <f t="shared" si="269"/>
        <v>1</v>
      </c>
      <c r="AO350" s="124">
        <f t="shared" si="254"/>
        <v>812095.94</v>
      </c>
      <c r="AP350" s="125">
        <f t="shared" si="264"/>
        <v>1909990.06</v>
      </c>
      <c r="AU350" s="109">
        <f>IF(BA350=1,IF(AU349=MiscData!$F$1,EOMONTH(AU349,-11),EOMONTH(AU349,1)),AU349)</f>
        <v>42308</v>
      </c>
      <c r="AV350" s="108" t="str">
        <f t="shared" si="265"/>
        <v>20140101LGCME551</v>
      </c>
      <c r="AW350" s="126" t="str">
        <f t="shared" si="266"/>
        <v>20140101GSS</v>
      </c>
      <c r="AX350">
        <f>MiscData!$X$5</f>
        <v>20140101</v>
      </c>
      <c r="BA350" s="98">
        <f>IF(BA349+1&gt;MiscData!$Z$42,1,BA349+1)</f>
        <v>5</v>
      </c>
      <c r="BB350" s="98" t="str">
        <f>VLOOKUP(BA350,MiscData!$Z$5:$AB$46,2,FALSE)</f>
        <v>LGCME551</v>
      </c>
      <c r="BC350" s="98" t="str">
        <f>VLOOKUP(BA350,MiscData!$Z$5:$AB$46,3,FALSE)</f>
        <v>GSS</v>
      </c>
    </row>
    <row r="351" spans="1:55">
      <c r="A351" s="108">
        <v>332</v>
      </c>
      <c r="B351" s="109" t="str">
        <f t="shared" si="255"/>
        <v>Oct 2015</v>
      </c>
      <c r="C351" s="110" t="s">
        <v>902</v>
      </c>
      <c r="D351" s="110" t="str">
        <f t="shared" si="257"/>
        <v>LGCME551UM</v>
      </c>
      <c r="E351" s="111">
        <f t="shared" si="228"/>
        <v>0</v>
      </c>
      <c r="F351" s="112">
        <v>0</v>
      </c>
      <c r="G351" s="111">
        <f t="shared" si="229"/>
        <v>0</v>
      </c>
      <c r="H351" s="111">
        <f t="shared" si="230"/>
        <v>0</v>
      </c>
      <c r="I351" s="111">
        <f t="shared" si="231"/>
        <v>0</v>
      </c>
      <c r="J351" s="111">
        <f t="shared" si="232"/>
        <v>0</v>
      </c>
      <c r="K351" s="113">
        <f t="shared" si="233"/>
        <v>0</v>
      </c>
      <c r="L351" s="113">
        <f t="shared" si="234"/>
        <v>0</v>
      </c>
      <c r="M351" s="113">
        <f t="shared" si="235"/>
        <v>0</v>
      </c>
      <c r="N351" s="116">
        <f t="shared" si="236"/>
        <v>20</v>
      </c>
      <c r="O351" s="117">
        <f t="shared" si="224"/>
        <v>9.1340000000000005E-2</v>
      </c>
      <c r="P351" s="117">
        <f t="shared" si="237"/>
        <v>0</v>
      </c>
      <c r="Q351" s="117">
        <f t="shared" si="238"/>
        <v>0</v>
      </c>
      <c r="R351" s="117">
        <f t="shared" si="239"/>
        <v>2.725E-2</v>
      </c>
      <c r="S351" s="116">
        <f t="shared" si="240"/>
        <v>0</v>
      </c>
      <c r="T351" s="116">
        <f t="shared" si="241"/>
        <v>0</v>
      </c>
      <c r="U351" s="116">
        <f t="shared" si="242"/>
        <v>0</v>
      </c>
      <c r="V351" s="118">
        <f t="shared" si="243"/>
        <v>0</v>
      </c>
      <c r="W351" s="118">
        <f t="shared" si="258"/>
        <v>0</v>
      </c>
      <c r="X351" s="118">
        <f t="shared" si="259"/>
        <v>0</v>
      </c>
      <c r="Y351" s="118">
        <f t="shared" si="260"/>
        <v>0</v>
      </c>
      <c r="Z351" s="118">
        <f t="shared" si="261"/>
        <v>0</v>
      </c>
      <c r="AA351" s="119">
        <v>0</v>
      </c>
      <c r="AB351" s="120">
        <f t="shared" si="244"/>
        <v>0</v>
      </c>
      <c r="AC351" s="118">
        <f t="shared" si="245"/>
        <v>0</v>
      </c>
      <c r="AD351" s="118">
        <f t="shared" si="262"/>
        <v>0</v>
      </c>
      <c r="AE351" s="118">
        <f t="shared" si="246"/>
        <v>0</v>
      </c>
      <c r="AF351" s="121">
        <f t="shared" si="263"/>
        <v>1</v>
      </c>
      <c r="AG351" s="122">
        <f t="shared" si="247"/>
        <v>0</v>
      </c>
      <c r="AH351" s="122">
        <f t="shared" si="248"/>
        <v>0</v>
      </c>
      <c r="AI351" s="122">
        <f t="shared" si="249"/>
        <v>0</v>
      </c>
      <c r="AJ351" s="122">
        <f t="shared" si="250"/>
        <v>0</v>
      </c>
      <c r="AK351" s="122">
        <f t="shared" si="251"/>
        <v>0</v>
      </c>
      <c r="AL351" s="122">
        <f t="shared" si="252"/>
        <v>0</v>
      </c>
      <c r="AM351" s="123">
        <f t="shared" si="253"/>
        <v>0</v>
      </c>
      <c r="AN351" s="123">
        <f t="shared" si="269"/>
        <v>0</v>
      </c>
      <c r="AO351" s="124">
        <f t="shared" si="254"/>
        <v>0</v>
      </c>
      <c r="AP351" s="125">
        <f t="shared" si="264"/>
        <v>0</v>
      </c>
      <c r="AU351" s="109">
        <f>IF(BA351=1,IF(AU350=MiscData!$F$1,EOMONTH(AU350,-11),EOMONTH(AU350,1)),AU350)</f>
        <v>42308</v>
      </c>
      <c r="AV351" s="108" t="str">
        <f t="shared" si="265"/>
        <v>20140101LGCME551UM</v>
      </c>
      <c r="AW351" s="126" t="str">
        <f t="shared" si="266"/>
        <v>20140101GSS</v>
      </c>
      <c r="AX351">
        <f>MiscData!$X$5</f>
        <v>20140101</v>
      </c>
      <c r="BA351" s="98">
        <f>IF(BA350+1&gt;MiscData!$Z$42,1,BA350+1)</f>
        <v>6</v>
      </c>
      <c r="BB351" s="98" t="str">
        <f>VLOOKUP(BA351,MiscData!$Z$5:$AB$46,2,FALSE)</f>
        <v>LGCME551UM</v>
      </c>
      <c r="BC351" s="98" t="str">
        <f>VLOOKUP(BA351,MiscData!$Z$5:$AB$46,3,FALSE)</f>
        <v>GSS</v>
      </c>
    </row>
    <row r="352" spans="1:55">
      <c r="A352" s="108">
        <v>333</v>
      </c>
      <c r="B352" s="109" t="str">
        <f t="shared" si="255"/>
        <v>Oct 2015</v>
      </c>
      <c r="C352" s="110" t="s">
        <v>902</v>
      </c>
      <c r="D352" s="110" t="str">
        <f t="shared" si="257"/>
        <v>LGCME552</v>
      </c>
      <c r="E352" s="111">
        <f t="shared" si="228"/>
        <v>0</v>
      </c>
      <c r="F352" s="112">
        <v>0</v>
      </c>
      <c r="G352" s="111">
        <f t="shared" si="229"/>
        <v>0</v>
      </c>
      <c r="H352" s="111">
        <f t="shared" si="230"/>
        <v>0</v>
      </c>
      <c r="I352" s="111">
        <f t="shared" si="231"/>
        <v>0</v>
      </c>
      <c r="J352" s="111">
        <f t="shared" si="232"/>
        <v>0</v>
      </c>
      <c r="K352" s="113">
        <f t="shared" si="233"/>
        <v>0</v>
      </c>
      <c r="L352" s="113">
        <f t="shared" si="234"/>
        <v>0</v>
      </c>
      <c r="M352" s="113">
        <f t="shared" si="235"/>
        <v>0</v>
      </c>
      <c r="N352" s="116">
        <f t="shared" si="236"/>
        <v>0</v>
      </c>
      <c r="O352" s="117">
        <f t="shared" si="224"/>
        <v>9.1340000000000005E-2</v>
      </c>
      <c r="P352" s="117">
        <f t="shared" si="237"/>
        <v>0</v>
      </c>
      <c r="Q352" s="117">
        <f t="shared" si="238"/>
        <v>0</v>
      </c>
      <c r="R352" s="117">
        <f t="shared" si="239"/>
        <v>2.725E-2</v>
      </c>
      <c r="S352" s="116">
        <f t="shared" si="240"/>
        <v>0</v>
      </c>
      <c r="T352" s="116">
        <f t="shared" si="241"/>
        <v>0</v>
      </c>
      <c r="U352" s="116">
        <f t="shared" si="242"/>
        <v>0</v>
      </c>
      <c r="V352" s="118">
        <f t="shared" si="243"/>
        <v>0</v>
      </c>
      <c r="W352" s="118">
        <f t="shared" si="258"/>
        <v>0</v>
      </c>
      <c r="X352" s="118">
        <f t="shared" si="259"/>
        <v>0</v>
      </c>
      <c r="Y352" s="118">
        <f t="shared" si="260"/>
        <v>0</v>
      </c>
      <c r="Z352" s="118">
        <f t="shared" si="261"/>
        <v>0</v>
      </c>
      <c r="AA352" s="119">
        <v>0</v>
      </c>
      <c r="AB352" s="120">
        <f t="shared" si="244"/>
        <v>0</v>
      </c>
      <c r="AC352" s="118">
        <f t="shared" si="245"/>
        <v>0</v>
      </c>
      <c r="AD352" s="118">
        <f t="shared" si="262"/>
        <v>0</v>
      </c>
      <c r="AE352" s="118">
        <f t="shared" si="246"/>
        <v>0</v>
      </c>
      <c r="AF352" s="121">
        <f t="shared" si="263"/>
        <v>1</v>
      </c>
      <c r="AG352" s="122">
        <f t="shared" si="247"/>
        <v>0</v>
      </c>
      <c r="AH352" s="122">
        <f t="shared" si="248"/>
        <v>0</v>
      </c>
      <c r="AI352" s="122">
        <f t="shared" si="249"/>
        <v>0</v>
      </c>
      <c r="AJ352" s="122">
        <f t="shared" si="250"/>
        <v>0</v>
      </c>
      <c r="AK352" s="122">
        <f t="shared" si="251"/>
        <v>0</v>
      </c>
      <c r="AL352" s="122">
        <f t="shared" si="252"/>
        <v>0</v>
      </c>
      <c r="AM352" s="123">
        <f t="shared" si="253"/>
        <v>0</v>
      </c>
      <c r="AN352" s="123">
        <f>ROUND(AL352-AM352,2)</f>
        <v>0</v>
      </c>
      <c r="AO352" s="124">
        <f t="shared" si="254"/>
        <v>0</v>
      </c>
      <c r="AP352" s="125">
        <f t="shared" si="264"/>
        <v>0</v>
      </c>
      <c r="AU352" s="109">
        <f>IF(BA352=1,IF(AU351=MiscData!$F$1,EOMONTH(AU351,-11),EOMONTH(AU351,1)),AU351)</f>
        <v>42308</v>
      </c>
      <c r="AV352" s="108" t="str">
        <f t="shared" si="265"/>
        <v>20140101LGCME552</v>
      </c>
      <c r="AW352" s="126" t="str">
        <f t="shared" si="266"/>
        <v>20140101GSS</v>
      </c>
      <c r="AX352">
        <f>MiscData!$X$5</f>
        <v>20140101</v>
      </c>
      <c r="BA352" s="98">
        <f>IF(BA351+1&gt;MiscData!$Z$42,1,BA351+1)</f>
        <v>7</v>
      </c>
      <c r="BB352" s="98" t="str">
        <f>VLOOKUP(BA352,MiscData!$Z$5:$AB$46,2,FALSE)</f>
        <v>LGCME552</v>
      </c>
      <c r="BC352" s="98" t="str">
        <f>VLOOKUP(BA352,MiscData!$Z$5:$AB$46,3,FALSE)</f>
        <v>GSS</v>
      </c>
    </row>
    <row r="353" spans="1:55">
      <c r="A353" s="108">
        <v>334</v>
      </c>
      <c r="B353" s="109" t="str">
        <f t="shared" si="255"/>
        <v>Oct 2015</v>
      </c>
      <c r="C353" s="110" t="s">
        <v>902</v>
      </c>
      <c r="D353" s="110" t="str">
        <f t="shared" si="257"/>
        <v>LGCME557</v>
      </c>
      <c r="E353" s="111">
        <f t="shared" si="228"/>
        <v>0</v>
      </c>
      <c r="F353" s="112">
        <v>0</v>
      </c>
      <c r="G353" s="111">
        <f t="shared" si="229"/>
        <v>0</v>
      </c>
      <c r="H353" s="111">
        <f t="shared" si="230"/>
        <v>0</v>
      </c>
      <c r="I353" s="111">
        <f t="shared" si="231"/>
        <v>0</v>
      </c>
      <c r="J353" s="111">
        <f t="shared" si="232"/>
        <v>0</v>
      </c>
      <c r="K353" s="113">
        <f t="shared" si="233"/>
        <v>0</v>
      </c>
      <c r="L353" s="113">
        <f t="shared" si="234"/>
        <v>0</v>
      </c>
      <c r="M353" s="113">
        <f t="shared" si="235"/>
        <v>0</v>
      </c>
      <c r="N353" s="116">
        <f t="shared" si="236"/>
        <v>20</v>
      </c>
      <c r="O353" s="117">
        <f t="shared" si="224"/>
        <v>9.1340000000000005E-2</v>
      </c>
      <c r="P353" s="117">
        <f t="shared" si="237"/>
        <v>0</v>
      </c>
      <c r="Q353" s="117">
        <f t="shared" si="238"/>
        <v>0</v>
      </c>
      <c r="R353" s="117">
        <f t="shared" si="239"/>
        <v>2.725E-2</v>
      </c>
      <c r="S353" s="116">
        <f t="shared" si="240"/>
        <v>0</v>
      </c>
      <c r="T353" s="116">
        <f t="shared" si="241"/>
        <v>0</v>
      </c>
      <c r="U353" s="116">
        <f t="shared" si="242"/>
        <v>0</v>
      </c>
      <c r="V353" s="118">
        <f t="shared" si="243"/>
        <v>0</v>
      </c>
      <c r="W353" s="118">
        <f t="shared" si="258"/>
        <v>0</v>
      </c>
      <c r="X353" s="118">
        <f t="shared" si="259"/>
        <v>0</v>
      </c>
      <c r="Y353" s="118">
        <f t="shared" si="260"/>
        <v>0</v>
      </c>
      <c r="Z353" s="118">
        <f t="shared" si="261"/>
        <v>0</v>
      </c>
      <c r="AA353" s="119">
        <v>0</v>
      </c>
      <c r="AB353" s="120">
        <f t="shared" si="244"/>
        <v>0</v>
      </c>
      <c r="AC353" s="118">
        <f t="shared" si="245"/>
        <v>0</v>
      </c>
      <c r="AD353" s="118">
        <f t="shared" si="262"/>
        <v>0</v>
      </c>
      <c r="AE353" s="118">
        <f t="shared" si="246"/>
        <v>0</v>
      </c>
      <c r="AF353" s="121">
        <f t="shared" si="263"/>
        <v>1</v>
      </c>
      <c r="AG353" s="122">
        <f t="shared" si="247"/>
        <v>0</v>
      </c>
      <c r="AH353" s="122">
        <f t="shared" si="248"/>
        <v>0</v>
      </c>
      <c r="AI353" s="122">
        <f t="shared" si="249"/>
        <v>0</v>
      </c>
      <c r="AJ353" s="122">
        <f t="shared" si="250"/>
        <v>0</v>
      </c>
      <c r="AK353" s="122">
        <f t="shared" si="251"/>
        <v>0</v>
      </c>
      <c r="AL353" s="122">
        <f t="shared" si="252"/>
        <v>0</v>
      </c>
      <c r="AM353" s="123">
        <f t="shared" si="253"/>
        <v>0</v>
      </c>
      <c r="AN353" s="123">
        <f t="shared" si="269"/>
        <v>0</v>
      </c>
      <c r="AO353" s="124">
        <f t="shared" si="254"/>
        <v>0</v>
      </c>
      <c r="AP353" s="125">
        <f t="shared" si="264"/>
        <v>0</v>
      </c>
      <c r="AU353" s="109">
        <f>IF(BA353=1,IF(AU352=MiscData!$F$1,EOMONTH(AU352,-11),EOMONTH(AU352,1)),AU352)</f>
        <v>42308</v>
      </c>
      <c r="AV353" s="108" t="str">
        <f t="shared" si="265"/>
        <v>20140101LGCME557</v>
      </c>
      <c r="AW353" s="126" t="str">
        <f t="shared" si="266"/>
        <v>20140101GSS</v>
      </c>
      <c r="AX353">
        <f>MiscData!$X$5</f>
        <v>20140101</v>
      </c>
      <c r="BA353" s="98">
        <f>IF(BA352+1&gt;MiscData!$Z$42,1,BA352+1)</f>
        <v>8</v>
      </c>
      <c r="BB353" s="98" t="str">
        <f>VLOOKUP(BA353,MiscData!$Z$5:$AB$46,2,FALSE)</f>
        <v>LGCME557</v>
      </c>
      <c r="BC353" s="98" t="str">
        <f>VLOOKUP(BA353,MiscData!$Z$5:$AB$46,3,FALSE)</f>
        <v>GSS</v>
      </c>
    </row>
    <row r="354" spans="1:55">
      <c r="A354" s="108">
        <v>335</v>
      </c>
      <c r="B354" s="109" t="str">
        <f t="shared" si="255"/>
        <v>Oct 2015</v>
      </c>
      <c r="C354" s="110" t="str">
        <f t="shared" si="256"/>
        <v>PSS</v>
      </c>
      <c r="D354" s="110" t="str">
        <f t="shared" si="257"/>
        <v>LGCME561</v>
      </c>
      <c r="E354" s="111">
        <f t="shared" si="228"/>
        <v>2579</v>
      </c>
      <c r="F354" s="112">
        <v>0</v>
      </c>
      <c r="G354" s="111">
        <f t="shared" si="229"/>
        <v>0</v>
      </c>
      <c r="H354" s="111">
        <f t="shared" si="230"/>
        <v>0</v>
      </c>
      <c r="I354" s="111">
        <f t="shared" si="231"/>
        <v>0</v>
      </c>
      <c r="J354" s="111">
        <f t="shared" si="232"/>
        <v>137270484</v>
      </c>
      <c r="K354" s="113">
        <f t="shared" si="233"/>
        <v>0</v>
      </c>
      <c r="L354" s="113">
        <f t="shared" si="234"/>
        <v>350228</v>
      </c>
      <c r="M354" s="113">
        <f t="shared" si="235"/>
        <v>0</v>
      </c>
      <c r="N354" s="116">
        <f t="shared" si="236"/>
        <v>90</v>
      </c>
      <c r="O354" s="117">
        <f t="shared" si="224"/>
        <v>4.0599999999999997E-2</v>
      </c>
      <c r="P354" s="117">
        <f t="shared" si="237"/>
        <v>0</v>
      </c>
      <c r="Q354" s="117">
        <f t="shared" si="238"/>
        <v>0</v>
      </c>
      <c r="R354" s="117">
        <f t="shared" si="239"/>
        <v>2.725E-2</v>
      </c>
      <c r="S354" s="116">
        <f t="shared" si="240"/>
        <v>0</v>
      </c>
      <c r="T354" s="116">
        <f t="shared" si="241"/>
        <v>14.010000000000002</v>
      </c>
      <c r="U354" s="116">
        <f t="shared" si="242"/>
        <v>16.399999999999999</v>
      </c>
      <c r="V354" s="118">
        <f t="shared" si="243"/>
        <v>232110</v>
      </c>
      <c r="W354" s="118">
        <f t="shared" si="258"/>
        <v>5573181.6500000004</v>
      </c>
      <c r="X354" s="118">
        <f t="shared" si="259"/>
        <v>0</v>
      </c>
      <c r="Y354" s="118">
        <f t="shared" si="260"/>
        <v>4906694.28</v>
      </c>
      <c r="Z354" s="118">
        <f t="shared" si="261"/>
        <v>0</v>
      </c>
      <c r="AA354" s="119">
        <v>0</v>
      </c>
      <c r="AB354" s="120">
        <f t="shared" si="244"/>
        <v>0</v>
      </c>
      <c r="AC354" s="118">
        <f t="shared" si="245"/>
        <v>4906694.28</v>
      </c>
      <c r="AD354" s="118">
        <f t="shared" si="262"/>
        <v>10711985.93</v>
      </c>
      <c r="AE354" s="118">
        <f t="shared" si="246"/>
        <v>10711984</v>
      </c>
      <c r="AF354" s="121">
        <f t="shared" si="263"/>
        <v>1</v>
      </c>
      <c r="AG354" s="122">
        <f t="shared" si="247"/>
        <v>-29774</v>
      </c>
      <c r="AH354" s="122">
        <f t="shared" si="248"/>
        <v>318963</v>
      </c>
      <c r="AI354" s="122">
        <f t="shared" si="249"/>
        <v>1310621</v>
      </c>
      <c r="AJ354" s="122">
        <f t="shared" si="250"/>
        <v>0</v>
      </c>
      <c r="AK354" s="122">
        <f t="shared" si="251"/>
        <v>0</v>
      </c>
      <c r="AL354" s="122">
        <f t="shared" si="252"/>
        <v>12311794</v>
      </c>
      <c r="AM354" s="123">
        <f t="shared" si="253"/>
        <v>12311795.93</v>
      </c>
      <c r="AN354" s="123">
        <f t="shared" si="269"/>
        <v>-1.9299999997019768</v>
      </c>
      <c r="AO354" s="124">
        <f t="shared" si="254"/>
        <v>3740620.69</v>
      </c>
      <c r="AP354" s="125">
        <f t="shared" si="264"/>
        <v>1832560.9600000004</v>
      </c>
      <c r="AU354" s="109">
        <f>IF(BA354=1,IF(AU353=MiscData!$F$1,EOMONTH(AU353,-11),EOMONTH(AU353,1)),AU353)</f>
        <v>42308</v>
      </c>
      <c r="AV354" s="108" t="str">
        <f t="shared" si="265"/>
        <v>20140101LGCME561</v>
      </c>
      <c r="AW354" s="126" t="str">
        <f t="shared" si="266"/>
        <v>20140101PSS</v>
      </c>
      <c r="AX354">
        <f>MiscData!$X$5</f>
        <v>20140101</v>
      </c>
      <c r="BA354" s="98">
        <f>IF(BA353+1&gt;MiscData!$Z$42,1,BA353+1)</f>
        <v>9</v>
      </c>
      <c r="BB354" s="98" t="str">
        <f>VLOOKUP(BA354,MiscData!$Z$5:$AB$46,2,FALSE)</f>
        <v>LGCME561</v>
      </c>
      <c r="BC354" s="98" t="str">
        <f>VLOOKUP(BA354,MiscData!$Z$5:$AB$46,3,FALSE)</f>
        <v>PSS</v>
      </c>
    </row>
    <row r="355" spans="1:55">
      <c r="A355" s="108">
        <v>336</v>
      </c>
      <c r="B355" s="109" t="str">
        <f t="shared" si="255"/>
        <v>Oct 2015</v>
      </c>
      <c r="C355" s="110" t="str">
        <f t="shared" si="256"/>
        <v>PSP</v>
      </c>
      <c r="D355" s="110" t="str">
        <f t="shared" si="257"/>
        <v>LGCME563</v>
      </c>
      <c r="E355" s="111">
        <f t="shared" si="228"/>
        <v>52</v>
      </c>
      <c r="F355" s="112">
        <v>0</v>
      </c>
      <c r="G355" s="111">
        <f t="shared" si="229"/>
        <v>0</v>
      </c>
      <c r="H355" s="111">
        <f t="shared" si="230"/>
        <v>0</v>
      </c>
      <c r="I355" s="111">
        <f t="shared" si="231"/>
        <v>0</v>
      </c>
      <c r="J355" s="111">
        <f t="shared" si="232"/>
        <v>12153894</v>
      </c>
      <c r="K355" s="113">
        <f t="shared" si="233"/>
        <v>0</v>
      </c>
      <c r="L355" s="113">
        <f t="shared" si="234"/>
        <v>30305</v>
      </c>
      <c r="M355" s="113">
        <f t="shared" si="235"/>
        <v>0</v>
      </c>
      <c r="N355" s="116">
        <f t="shared" si="236"/>
        <v>170</v>
      </c>
      <c r="O355" s="117">
        <f t="shared" si="224"/>
        <v>3.9260000000000003E-2</v>
      </c>
      <c r="P355" s="117">
        <f t="shared" si="237"/>
        <v>0</v>
      </c>
      <c r="Q355" s="117">
        <f t="shared" si="238"/>
        <v>0</v>
      </c>
      <c r="R355" s="117">
        <f t="shared" si="239"/>
        <v>2.725E-2</v>
      </c>
      <c r="S355" s="116">
        <f t="shared" si="240"/>
        <v>0</v>
      </c>
      <c r="T355" s="116">
        <f t="shared" si="241"/>
        <v>11.660000000000002</v>
      </c>
      <c r="U355" s="116">
        <f t="shared" si="242"/>
        <v>13.950000000000001</v>
      </c>
      <c r="V355" s="118">
        <f t="shared" si="243"/>
        <v>8840</v>
      </c>
      <c r="W355" s="118">
        <f t="shared" si="258"/>
        <v>477161.88</v>
      </c>
      <c r="X355" s="118">
        <f t="shared" si="259"/>
        <v>0</v>
      </c>
      <c r="Y355" s="118">
        <f t="shared" si="260"/>
        <v>353356.3</v>
      </c>
      <c r="Z355" s="118">
        <f t="shared" si="261"/>
        <v>0</v>
      </c>
      <c r="AA355" s="119">
        <v>0</v>
      </c>
      <c r="AB355" s="120">
        <f t="shared" si="244"/>
        <v>0</v>
      </c>
      <c r="AC355" s="118">
        <f t="shared" si="245"/>
        <v>353356.3</v>
      </c>
      <c r="AD355" s="118">
        <f t="shared" si="262"/>
        <v>839358.17999999993</v>
      </c>
      <c r="AE355" s="118">
        <f t="shared" si="246"/>
        <v>839356</v>
      </c>
      <c r="AF355" s="121">
        <f t="shared" si="263"/>
        <v>0.99999700000000002</v>
      </c>
      <c r="AG355" s="122">
        <f t="shared" si="247"/>
        <v>-2636</v>
      </c>
      <c r="AH355" s="122">
        <f t="shared" si="248"/>
        <v>28241</v>
      </c>
      <c r="AI355" s="122">
        <f t="shared" si="249"/>
        <v>116042</v>
      </c>
      <c r="AJ355" s="122">
        <f t="shared" si="250"/>
        <v>0</v>
      </c>
      <c r="AK355" s="122">
        <f t="shared" si="251"/>
        <v>0</v>
      </c>
      <c r="AL355" s="122">
        <f t="shared" si="252"/>
        <v>981003</v>
      </c>
      <c r="AM355" s="123">
        <f t="shared" si="253"/>
        <v>981005.17999999993</v>
      </c>
      <c r="AN355" s="123">
        <f t="shared" ref="AN355:AN361" si="270">ROUND(AL355-AM355,2)</f>
        <v>-2.1800000000000002</v>
      </c>
      <c r="AO355" s="124">
        <f t="shared" si="254"/>
        <v>331193.61</v>
      </c>
      <c r="AP355" s="125">
        <f t="shared" si="264"/>
        <v>145968.27000000002</v>
      </c>
      <c r="AU355" s="109">
        <f>IF(BA355=1,IF(AU354=MiscData!$F$1,EOMONTH(AU354,-11),EOMONTH(AU354,1)),AU354)</f>
        <v>42308</v>
      </c>
      <c r="AV355" s="108" t="str">
        <f t="shared" si="265"/>
        <v>20140101LGCME563</v>
      </c>
      <c r="AW355" s="126" t="str">
        <f t="shared" si="266"/>
        <v>20140101PSP</v>
      </c>
      <c r="AX355">
        <f>MiscData!$X$5</f>
        <v>20140101</v>
      </c>
      <c r="BA355" s="98">
        <f>IF(BA354+1&gt;MiscData!$Z$42,1,BA354+1)</f>
        <v>10</v>
      </c>
      <c r="BB355" s="98" t="str">
        <f>VLOOKUP(BA355,MiscData!$Z$5:$AB$46,2,FALSE)</f>
        <v>LGCME563</v>
      </c>
      <c r="BC355" s="98" t="str">
        <f>VLOOKUP(BA355,MiscData!$Z$5:$AB$46,3,FALSE)</f>
        <v>PSP</v>
      </c>
    </row>
    <row r="356" spans="1:55">
      <c r="A356" s="108">
        <v>337</v>
      </c>
      <c r="B356" s="109" t="str">
        <f t="shared" si="255"/>
        <v>Oct 2015</v>
      </c>
      <c r="C356" s="110" t="str">
        <f t="shared" si="256"/>
        <v>PSS</v>
      </c>
      <c r="D356" s="110" t="str">
        <f t="shared" si="257"/>
        <v>LGCME567</v>
      </c>
      <c r="E356" s="111">
        <f t="shared" si="228"/>
        <v>0</v>
      </c>
      <c r="F356" s="112">
        <v>0</v>
      </c>
      <c r="G356" s="111">
        <f t="shared" si="229"/>
        <v>0</v>
      </c>
      <c r="H356" s="111">
        <f t="shared" si="230"/>
        <v>0</v>
      </c>
      <c r="I356" s="111">
        <f t="shared" si="231"/>
        <v>0</v>
      </c>
      <c r="J356" s="111">
        <f t="shared" si="232"/>
        <v>0</v>
      </c>
      <c r="K356" s="113">
        <f t="shared" si="233"/>
        <v>0</v>
      </c>
      <c r="L356" s="113">
        <f t="shared" si="234"/>
        <v>0</v>
      </c>
      <c r="M356" s="113">
        <f t="shared" si="235"/>
        <v>0</v>
      </c>
      <c r="N356" s="116">
        <f t="shared" si="236"/>
        <v>90</v>
      </c>
      <c r="O356" s="117">
        <f t="shared" si="224"/>
        <v>4.0599999999999997E-2</v>
      </c>
      <c r="P356" s="117">
        <f t="shared" si="237"/>
        <v>0</v>
      </c>
      <c r="Q356" s="117">
        <f t="shared" si="238"/>
        <v>0</v>
      </c>
      <c r="R356" s="117">
        <f t="shared" si="239"/>
        <v>2.725E-2</v>
      </c>
      <c r="S356" s="116">
        <f t="shared" si="240"/>
        <v>0</v>
      </c>
      <c r="T356" s="116">
        <f t="shared" si="241"/>
        <v>14.010000000000002</v>
      </c>
      <c r="U356" s="116">
        <f t="shared" si="242"/>
        <v>16.399999999999999</v>
      </c>
      <c r="V356" s="118">
        <f t="shared" si="243"/>
        <v>0</v>
      </c>
      <c r="W356" s="118">
        <f t="shared" si="258"/>
        <v>0</v>
      </c>
      <c r="X356" s="118">
        <f t="shared" si="259"/>
        <v>0</v>
      </c>
      <c r="Y356" s="118">
        <f t="shared" si="260"/>
        <v>0</v>
      </c>
      <c r="Z356" s="118">
        <f t="shared" si="261"/>
        <v>0</v>
      </c>
      <c r="AA356" s="119">
        <v>0</v>
      </c>
      <c r="AB356" s="120">
        <f t="shared" si="244"/>
        <v>0</v>
      </c>
      <c r="AC356" s="118">
        <f t="shared" si="245"/>
        <v>0</v>
      </c>
      <c r="AD356" s="118">
        <f t="shared" si="262"/>
        <v>0</v>
      </c>
      <c r="AE356" s="118">
        <f t="shared" si="246"/>
        <v>0</v>
      </c>
      <c r="AF356" s="121">
        <f t="shared" si="263"/>
        <v>1</v>
      </c>
      <c r="AG356" s="122">
        <f t="shared" si="247"/>
        <v>0</v>
      </c>
      <c r="AH356" s="122">
        <f t="shared" si="248"/>
        <v>0</v>
      </c>
      <c r="AI356" s="122">
        <f t="shared" si="249"/>
        <v>0</v>
      </c>
      <c r="AJ356" s="122">
        <f t="shared" si="250"/>
        <v>0</v>
      </c>
      <c r="AK356" s="122">
        <f t="shared" si="251"/>
        <v>0</v>
      </c>
      <c r="AL356" s="122">
        <f t="shared" si="252"/>
        <v>0</v>
      </c>
      <c r="AM356" s="123">
        <f t="shared" si="253"/>
        <v>0</v>
      </c>
      <c r="AN356" s="123">
        <f t="shared" si="270"/>
        <v>0</v>
      </c>
      <c r="AO356" s="124">
        <f t="shared" si="254"/>
        <v>0</v>
      </c>
      <c r="AP356" s="125">
        <f t="shared" si="264"/>
        <v>0</v>
      </c>
      <c r="AU356" s="109">
        <f>IF(BA356=1,IF(AU355=MiscData!$F$1,EOMONTH(AU355,-11),EOMONTH(AU355,1)),AU355)</f>
        <v>42308</v>
      </c>
      <c r="AV356" s="108" t="str">
        <f t="shared" si="265"/>
        <v>20140101LGCME567</v>
      </c>
      <c r="AW356" s="126" t="str">
        <f t="shared" si="266"/>
        <v>20140101PSS</v>
      </c>
      <c r="AX356">
        <f>MiscData!$X$5</f>
        <v>20140101</v>
      </c>
      <c r="BA356" s="98">
        <f>IF(BA355+1&gt;MiscData!$Z$42,1,BA355+1)</f>
        <v>11</v>
      </c>
      <c r="BB356" s="98" t="str">
        <f>VLOOKUP(BA356,MiscData!$Z$5:$AB$46,2,FALSE)</f>
        <v>LGCME567</v>
      </c>
      <c r="BC356" s="98" t="str">
        <f>VLOOKUP(BA356,MiscData!$Z$5:$AB$46,3,FALSE)</f>
        <v>PSS</v>
      </c>
    </row>
    <row r="357" spans="1:55">
      <c r="A357" s="108">
        <v>338</v>
      </c>
      <c r="B357" s="109" t="str">
        <f t="shared" si="255"/>
        <v>Oct 2015</v>
      </c>
      <c r="C357" s="110" t="str">
        <f t="shared" si="256"/>
        <v>TODS</v>
      </c>
      <c r="D357" s="110" t="str">
        <f t="shared" si="257"/>
        <v>LGCME591</v>
      </c>
      <c r="E357" s="111">
        <f t="shared" si="228"/>
        <v>219</v>
      </c>
      <c r="F357" s="112">
        <v>0</v>
      </c>
      <c r="G357" s="111">
        <f t="shared" si="229"/>
        <v>0</v>
      </c>
      <c r="H357" s="111">
        <f t="shared" si="230"/>
        <v>0</v>
      </c>
      <c r="I357" s="111">
        <f t="shared" si="231"/>
        <v>0</v>
      </c>
      <c r="J357" s="111">
        <f t="shared" si="232"/>
        <v>63676678</v>
      </c>
      <c r="K357" s="113">
        <f t="shared" si="233"/>
        <v>143906</v>
      </c>
      <c r="L357" s="113">
        <f t="shared" si="234"/>
        <v>139178</v>
      </c>
      <c r="M357" s="113">
        <f t="shared" si="235"/>
        <v>137189</v>
      </c>
      <c r="N357" s="116">
        <f t="shared" si="236"/>
        <v>200</v>
      </c>
      <c r="O357" s="117">
        <f t="shared" si="224"/>
        <v>3.9899999999999998E-2</v>
      </c>
      <c r="P357" s="117">
        <f t="shared" si="237"/>
        <v>0</v>
      </c>
      <c r="Q357" s="117">
        <f t="shared" si="238"/>
        <v>0</v>
      </c>
      <c r="R357" s="117">
        <f t="shared" si="239"/>
        <v>2.725E-2</v>
      </c>
      <c r="S357" s="116">
        <f t="shared" si="240"/>
        <v>4</v>
      </c>
      <c r="T357" s="116">
        <f t="shared" si="241"/>
        <v>4.5100000000000007</v>
      </c>
      <c r="U357" s="116">
        <f t="shared" si="242"/>
        <v>6.11</v>
      </c>
      <c r="V357" s="118">
        <f t="shared" si="243"/>
        <v>43800</v>
      </c>
      <c r="W357" s="118">
        <f t="shared" si="258"/>
        <v>2540699.4500000002</v>
      </c>
      <c r="X357" s="118">
        <f t="shared" si="259"/>
        <v>575624</v>
      </c>
      <c r="Y357" s="118">
        <f t="shared" si="260"/>
        <v>627692.78</v>
      </c>
      <c r="Z357" s="118">
        <f t="shared" si="261"/>
        <v>838224.79</v>
      </c>
      <c r="AA357" s="119">
        <v>0</v>
      </c>
      <c r="AB357" s="120">
        <f t="shared" si="244"/>
        <v>0</v>
      </c>
      <c r="AC357" s="118">
        <f t="shared" si="245"/>
        <v>2041541.57</v>
      </c>
      <c r="AD357" s="118">
        <f t="shared" si="262"/>
        <v>4626041.0200000005</v>
      </c>
      <c r="AE357" s="118">
        <f t="shared" si="246"/>
        <v>4626040</v>
      </c>
      <c r="AF357" s="121">
        <f t="shared" si="263"/>
        <v>1</v>
      </c>
      <c r="AG357" s="122">
        <f t="shared" si="247"/>
        <v>-13811</v>
      </c>
      <c r="AH357" s="122">
        <f t="shared" si="248"/>
        <v>147960</v>
      </c>
      <c r="AI357" s="122">
        <f t="shared" si="249"/>
        <v>607968</v>
      </c>
      <c r="AJ357" s="122">
        <f t="shared" si="250"/>
        <v>0</v>
      </c>
      <c r="AK357" s="122">
        <f t="shared" si="251"/>
        <v>0</v>
      </c>
      <c r="AL357" s="122">
        <f t="shared" si="252"/>
        <v>5368157</v>
      </c>
      <c r="AM357" s="123">
        <f t="shared" si="253"/>
        <v>5368158.0200000005</v>
      </c>
      <c r="AN357" s="123">
        <f t="shared" si="270"/>
        <v>-1.02</v>
      </c>
      <c r="AO357" s="124">
        <f t="shared" si="254"/>
        <v>1735189.48</v>
      </c>
      <c r="AP357" s="125">
        <f t="shared" si="264"/>
        <v>805509.9700000002</v>
      </c>
      <c r="AU357" s="109">
        <f>IF(BA357=1,IF(AU356=MiscData!$F$1,EOMONTH(AU356,-11),EOMONTH(AU356,1)),AU356)</f>
        <v>42308</v>
      </c>
      <c r="AV357" s="108" t="str">
        <f t="shared" si="265"/>
        <v>20140101LGCME591</v>
      </c>
      <c r="AW357" s="126" t="str">
        <f t="shared" si="266"/>
        <v>20140101TODS</v>
      </c>
      <c r="AX357">
        <f>MiscData!$X$5</f>
        <v>20140101</v>
      </c>
      <c r="BA357" s="98">
        <f>IF(BA356+1&gt;MiscData!$Z$42,1,BA356+1)</f>
        <v>12</v>
      </c>
      <c r="BB357" s="98" t="str">
        <f>VLOOKUP(BA357,MiscData!$Z$5:$AB$46,2,FALSE)</f>
        <v>LGCME591</v>
      </c>
      <c r="BC357" s="98" t="str">
        <f>VLOOKUP(BA357,MiscData!$Z$5:$AB$46,3,FALSE)</f>
        <v>TODS</v>
      </c>
    </row>
    <row r="358" spans="1:55">
      <c r="A358" s="108">
        <v>339</v>
      </c>
      <c r="B358" s="109" t="str">
        <f t="shared" si="255"/>
        <v>Oct 2015</v>
      </c>
      <c r="C358" s="110" t="str">
        <f t="shared" si="256"/>
        <v>CTODP</v>
      </c>
      <c r="D358" s="110" t="str">
        <f t="shared" si="257"/>
        <v>LGCME593</v>
      </c>
      <c r="E358" s="111">
        <f t="shared" si="228"/>
        <v>39</v>
      </c>
      <c r="F358" s="112">
        <v>0</v>
      </c>
      <c r="G358" s="111">
        <f t="shared" si="229"/>
        <v>0</v>
      </c>
      <c r="H358" s="111">
        <f t="shared" si="230"/>
        <v>0</v>
      </c>
      <c r="I358" s="111">
        <f t="shared" si="231"/>
        <v>0</v>
      </c>
      <c r="J358" s="111">
        <f t="shared" si="232"/>
        <v>30304753</v>
      </c>
      <c r="K358" s="113">
        <f t="shared" si="233"/>
        <v>74509</v>
      </c>
      <c r="L358" s="113">
        <f t="shared" si="234"/>
        <v>71650</v>
      </c>
      <c r="M358" s="113">
        <f t="shared" si="235"/>
        <v>70634</v>
      </c>
      <c r="N358" s="116">
        <f t="shared" si="236"/>
        <v>300</v>
      </c>
      <c r="O358" s="117">
        <f t="shared" si="224"/>
        <v>3.8100000000000002E-2</v>
      </c>
      <c r="P358" s="117">
        <f t="shared" si="237"/>
        <v>0</v>
      </c>
      <c r="Q358" s="117">
        <f t="shared" si="238"/>
        <v>0</v>
      </c>
      <c r="R358" s="117">
        <f t="shared" si="239"/>
        <v>2.725E-2</v>
      </c>
      <c r="S358" s="116">
        <f t="shared" si="240"/>
        <v>3.9800000000000004</v>
      </c>
      <c r="T358" s="116">
        <f t="shared" si="241"/>
        <v>4.13</v>
      </c>
      <c r="U358" s="116">
        <f t="shared" si="242"/>
        <v>5.83</v>
      </c>
      <c r="V358" s="118">
        <f t="shared" si="243"/>
        <v>11700</v>
      </c>
      <c r="W358" s="118">
        <f t="shared" si="258"/>
        <v>1154611.0900000001</v>
      </c>
      <c r="X358" s="118">
        <f t="shared" si="259"/>
        <v>296545.82</v>
      </c>
      <c r="Y358" s="118">
        <f t="shared" si="260"/>
        <v>295914.5</v>
      </c>
      <c r="Z358" s="118">
        <f t="shared" si="261"/>
        <v>411796.22</v>
      </c>
      <c r="AA358" s="119">
        <v>0</v>
      </c>
      <c r="AB358" s="120">
        <f t="shared" si="244"/>
        <v>0</v>
      </c>
      <c r="AC358" s="118">
        <f t="shared" si="245"/>
        <v>1004256.54</v>
      </c>
      <c r="AD358" s="118">
        <f t="shared" si="262"/>
        <v>2170567.63</v>
      </c>
      <c r="AE358" s="118">
        <f t="shared" si="246"/>
        <v>2170571</v>
      </c>
      <c r="AF358" s="121">
        <f t="shared" si="263"/>
        <v>1.0000020000000001</v>
      </c>
      <c r="AG358" s="122">
        <f t="shared" si="247"/>
        <v>-6573</v>
      </c>
      <c r="AH358" s="122">
        <f t="shared" si="248"/>
        <v>70416</v>
      </c>
      <c r="AI358" s="122">
        <f t="shared" si="249"/>
        <v>289342</v>
      </c>
      <c r="AJ358" s="122">
        <f t="shared" si="250"/>
        <v>0</v>
      </c>
      <c r="AK358" s="122">
        <f t="shared" si="251"/>
        <v>0</v>
      </c>
      <c r="AL358" s="122">
        <f t="shared" si="252"/>
        <v>2523756</v>
      </c>
      <c r="AM358" s="123">
        <f t="shared" si="253"/>
        <v>2523752.63</v>
      </c>
      <c r="AN358" s="123">
        <f t="shared" si="270"/>
        <v>3.37</v>
      </c>
      <c r="AO358" s="124">
        <f t="shared" si="254"/>
        <v>825804.52</v>
      </c>
      <c r="AP358" s="125">
        <f t="shared" si="264"/>
        <v>328806.57000000007</v>
      </c>
      <c r="AU358" s="109">
        <f>IF(BA358=1,IF(AU357=MiscData!$F$1,EOMONTH(AU357,-11),EOMONTH(AU357,1)),AU357)</f>
        <v>42308</v>
      </c>
      <c r="AV358" s="108" t="str">
        <f t="shared" si="265"/>
        <v>20140101LGCME593</v>
      </c>
      <c r="AW358" s="126" t="str">
        <f t="shared" si="266"/>
        <v>20140101CTODP</v>
      </c>
      <c r="AX358">
        <f>MiscData!$X$5</f>
        <v>20140101</v>
      </c>
      <c r="BA358" s="98">
        <f>IF(BA357+1&gt;MiscData!$Z$42,1,BA357+1)</f>
        <v>13</v>
      </c>
      <c r="BB358" s="98" t="str">
        <f>VLOOKUP(BA358,MiscData!$Z$5:$AB$46,2,FALSE)</f>
        <v>LGCME593</v>
      </c>
      <c r="BC358" s="98" t="str">
        <f>VLOOKUP(BA358,MiscData!$Z$5:$AB$46,3,FALSE)</f>
        <v>CTODP</v>
      </c>
    </row>
    <row r="359" spans="1:55">
      <c r="A359" s="108">
        <v>340</v>
      </c>
      <c r="B359" s="109" t="str">
        <f t="shared" si="255"/>
        <v>Oct 2015</v>
      </c>
      <c r="C359" s="110" t="str">
        <f t="shared" si="256"/>
        <v>GS3</v>
      </c>
      <c r="D359" s="110" t="str">
        <f t="shared" si="257"/>
        <v>LGCME650</v>
      </c>
      <c r="E359" s="111">
        <f t="shared" si="228"/>
        <v>0</v>
      </c>
      <c r="F359" s="112">
        <v>0</v>
      </c>
      <c r="G359" s="111">
        <f t="shared" si="229"/>
        <v>0</v>
      </c>
      <c r="H359" s="111">
        <f t="shared" si="230"/>
        <v>0</v>
      </c>
      <c r="I359" s="111">
        <f t="shared" si="231"/>
        <v>0</v>
      </c>
      <c r="J359" s="111">
        <f t="shared" si="232"/>
        <v>0</v>
      </c>
      <c r="K359" s="113">
        <f t="shared" si="233"/>
        <v>0</v>
      </c>
      <c r="L359" s="113">
        <f t="shared" si="234"/>
        <v>0</v>
      </c>
      <c r="M359" s="113">
        <f t="shared" si="235"/>
        <v>0</v>
      </c>
      <c r="N359" s="116">
        <f t="shared" si="236"/>
        <v>35</v>
      </c>
      <c r="O359" s="117">
        <f t="shared" si="224"/>
        <v>9.1340000000000005E-2</v>
      </c>
      <c r="P359" s="117">
        <f t="shared" si="237"/>
        <v>0</v>
      </c>
      <c r="Q359" s="117">
        <f t="shared" si="238"/>
        <v>0</v>
      </c>
      <c r="R359" s="117">
        <f t="shared" si="239"/>
        <v>2.725E-2</v>
      </c>
      <c r="S359" s="116">
        <f t="shared" si="240"/>
        <v>0</v>
      </c>
      <c r="T359" s="116">
        <f t="shared" si="241"/>
        <v>0</v>
      </c>
      <c r="U359" s="116">
        <f t="shared" si="242"/>
        <v>0</v>
      </c>
      <c r="V359" s="118">
        <f t="shared" si="243"/>
        <v>0</v>
      </c>
      <c r="W359" s="118">
        <f t="shared" si="258"/>
        <v>0</v>
      </c>
      <c r="X359" s="118">
        <f t="shared" si="259"/>
        <v>0</v>
      </c>
      <c r="Y359" s="118">
        <f t="shared" si="260"/>
        <v>0</v>
      </c>
      <c r="Z359" s="118">
        <f t="shared" si="261"/>
        <v>0</v>
      </c>
      <c r="AA359" s="119">
        <v>0</v>
      </c>
      <c r="AB359" s="120">
        <f t="shared" si="244"/>
        <v>0</v>
      </c>
      <c r="AC359" s="118">
        <f t="shared" si="245"/>
        <v>0</v>
      </c>
      <c r="AD359" s="118">
        <f t="shared" si="262"/>
        <v>0</v>
      </c>
      <c r="AE359" s="118">
        <f t="shared" si="246"/>
        <v>0</v>
      </c>
      <c r="AF359" s="121">
        <f t="shared" si="263"/>
        <v>1</v>
      </c>
      <c r="AG359" s="122">
        <f t="shared" si="247"/>
        <v>0</v>
      </c>
      <c r="AH359" s="122">
        <f t="shared" si="248"/>
        <v>0</v>
      </c>
      <c r="AI359" s="122">
        <f t="shared" si="249"/>
        <v>0</v>
      </c>
      <c r="AJ359" s="122">
        <f t="shared" si="250"/>
        <v>0</v>
      </c>
      <c r="AK359" s="122">
        <f t="shared" si="251"/>
        <v>0</v>
      </c>
      <c r="AL359" s="122">
        <f t="shared" si="252"/>
        <v>0</v>
      </c>
      <c r="AM359" s="123">
        <f t="shared" si="253"/>
        <v>0</v>
      </c>
      <c r="AN359" s="123">
        <f t="shared" si="270"/>
        <v>0</v>
      </c>
      <c r="AO359" s="124">
        <f t="shared" si="254"/>
        <v>0</v>
      </c>
      <c r="AP359" s="125">
        <f t="shared" si="264"/>
        <v>0</v>
      </c>
      <c r="AU359" s="109">
        <f>IF(BA359=1,IF(AU358=MiscData!$F$1,EOMONTH(AU358,-11),EOMONTH(AU358,1)),AU358)</f>
        <v>42308</v>
      </c>
      <c r="AV359" s="108" t="str">
        <f t="shared" si="265"/>
        <v>20140101LGCME650</v>
      </c>
      <c r="AW359" s="126" t="str">
        <f t="shared" si="266"/>
        <v>20140101GS3</v>
      </c>
      <c r="AX359">
        <f>MiscData!$X$5</f>
        <v>20140101</v>
      </c>
      <c r="BA359" s="98">
        <f>IF(BA358+1&gt;MiscData!$Z$42,1,BA358+1)</f>
        <v>14</v>
      </c>
      <c r="BB359" s="98" t="str">
        <f>VLOOKUP(BA359,MiscData!$Z$5:$AB$46,2,FALSE)</f>
        <v>LGCME650</v>
      </c>
      <c r="BC359" s="98" t="str">
        <f>VLOOKUP(BA359,MiscData!$Z$5:$AB$46,3,FALSE)</f>
        <v>GS3</v>
      </c>
    </row>
    <row r="360" spans="1:55">
      <c r="A360" s="108">
        <v>341</v>
      </c>
      <c r="B360" s="109" t="str">
        <f t="shared" si="255"/>
        <v>Oct 2015</v>
      </c>
      <c r="C360" s="110" t="str">
        <f t="shared" si="256"/>
        <v>GS3</v>
      </c>
      <c r="D360" s="110" t="str">
        <f t="shared" si="257"/>
        <v>LGCME651</v>
      </c>
      <c r="E360" s="111">
        <f t="shared" si="228"/>
        <v>16367</v>
      </c>
      <c r="F360" s="112">
        <v>0</v>
      </c>
      <c r="G360" s="111">
        <f t="shared" si="229"/>
        <v>0</v>
      </c>
      <c r="H360" s="111">
        <f t="shared" si="230"/>
        <v>0</v>
      </c>
      <c r="I360" s="111">
        <f t="shared" si="231"/>
        <v>0</v>
      </c>
      <c r="J360" s="111">
        <f t="shared" si="232"/>
        <v>75985713</v>
      </c>
      <c r="K360" s="113">
        <f t="shared" si="233"/>
        <v>215612</v>
      </c>
      <c r="L360" s="113">
        <f t="shared" si="234"/>
        <v>0</v>
      </c>
      <c r="M360" s="113">
        <f t="shared" si="235"/>
        <v>0</v>
      </c>
      <c r="N360" s="116">
        <f t="shared" si="236"/>
        <v>35</v>
      </c>
      <c r="O360" s="117">
        <f t="shared" si="224"/>
        <v>9.1340000000000005E-2</v>
      </c>
      <c r="P360" s="117">
        <f t="shared" si="237"/>
        <v>0</v>
      </c>
      <c r="Q360" s="117">
        <f t="shared" si="238"/>
        <v>0</v>
      </c>
      <c r="R360" s="117">
        <f t="shared" si="239"/>
        <v>2.725E-2</v>
      </c>
      <c r="S360" s="116">
        <f t="shared" si="240"/>
        <v>0</v>
      </c>
      <c r="T360" s="116">
        <f t="shared" si="241"/>
        <v>0</v>
      </c>
      <c r="U360" s="116">
        <f t="shared" si="242"/>
        <v>0</v>
      </c>
      <c r="V360" s="118">
        <f t="shared" si="243"/>
        <v>572845</v>
      </c>
      <c r="W360" s="118">
        <f t="shared" si="258"/>
        <v>6940535.0300000003</v>
      </c>
      <c r="X360" s="118">
        <f t="shared" si="259"/>
        <v>0</v>
      </c>
      <c r="Y360" s="118">
        <f t="shared" si="260"/>
        <v>0</v>
      </c>
      <c r="Z360" s="118">
        <f t="shared" si="261"/>
        <v>0</v>
      </c>
      <c r="AA360" s="119">
        <v>0</v>
      </c>
      <c r="AB360" s="120">
        <f t="shared" si="244"/>
        <v>0</v>
      </c>
      <c r="AC360" s="118">
        <f t="shared" si="245"/>
        <v>0</v>
      </c>
      <c r="AD360" s="118">
        <f t="shared" si="262"/>
        <v>7513380.0300000003</v>
      </c>
      <c r="AE360" s="118">
        <f t="shared" si="246"/>
        <v>7513380</v>
      </c>
      <c r="AF360" s="121">
        <f t="shared" si="263"/>
        <v>1</v>
      </c>
      <c r="AG360" s="122">
        <f t="shared" si="247"/>
        <v>-16481</v>
      </c>
      <c r="AH360" s="122">
        <f t="shared" si="248"/>
        <v>176561</v>
      </c>
      <c r="AI360" s="122">
        <f t="shared" si="249"/>
        <v>725491</v>
      </c>
      <c r="AJ360" s="122">
        <f t="shared" si="250"/>
        <v>0</v>
      </c>
      <c r="AK360" s="122">
        <f t="shared" si="251"/>
        <v>0</v>
      </c>
      <c r="AL360" s="122">
        <f t="shared" si="252"/>
        <v>8398951</v>
      </c>
      <c r="AM360" s="123">
        <f t="shared" si="253"/>
        <v>8398951.0300000012</v>
      </c>
      <c r="AN360" s="123">
        <f t="shared" si="270"/>
        <v>-0.03</v>
      </c>
      <c r="AO360" s="124">
        <f t="shared" si="254"/>
        <v>2070610.68</v>
      </c>
      <c r="AP360" s="125">
        <f t="shared" si="264"/>
        <v>4869924.3500000006</v>
      </c>
      <c r="AU360" s="109">
        <f>IF(BA360=1,IF(AU359=MiscData!$F$1,EOMONTH(AU359,-11),EOMONTH(AU359,1)),AU359)</f>
        <v>42308</v>
      </c>
      <c r="AV360" s="108" t="str">
        <f t="shared" si="265"/>
        <v>20140101LGCME651</v>
      </c>
      <c r="AW360" s="126" t="str">
        <f t="shared" si="266"/>
        <v>20140101GS3</v>
      </c>
      <c r="AX360">
        <f>MiscData!$X$5</f>
        <v>20140101</v>
      </c>
      <c r="BA360" s="98">
        <f>IF(BA359+1&gt;MiscData!$Z$42,1,BA359+1)</f>
        <v>15</v>
      </c>
      <c r="BB360" s="98" t="str">
        <f>VLOOKUP(BA360,MiscData!$Z$5:$AB$46,2,FALSE)</f>
        <v>LGCME651</v>
      </c>
      <c r="BC360" s="98" t="str">
        <f>VLOOKUP(BA360,MiscData!$Z$5:$AB$46,3,FALSE)</f>
        <v>GS3</v>
      </c>
    </row>
    <row r="361" spans="1:55">
      <c r="A361" s="108">
        <v>342</v>
      </c>
      <c r="B361" s="109" t="str">
        <f t="shared" si="255"/>
        <v>Oct 2015</v>
      </c>
      <c r="C361" s="110" t="str">
        <f t="shared" si="256"/>
        <v>GS3</v>
      </c>
      <c r="D361" s="110" t="str">
        <f t="shared" si="257"/>
        <v>LGCME652</v>
      </c>
      <c r="E361" s="111">
        <f t="shared" si="228"/>
        <v>0</v>
      </c>
      <c r="F361" s="112">
        <v>0</v>
      </c>
      <c r="G361" s="111">
        <f t="shared" si="229"/>
        <v>0</v>
      </c>
      <c r="H361" s="111">
        <f t="shared" si="230"/>
        <v>0</v>
      </c>
      <c r="I361" s="111">
        <f t="shared" si="231"/>
        <v>0</v>
      </c>
      <c r="J361" s="111">
        <f t="shared" si="232"/>
        <v>0</v>
      </c>
      <c r="K361" s="113">
        <f t="shared" si="233"/>
        <v>0</v>
      </c>
      <c r="L361" s="113">
        <f t="shared" si="234"/>
        <v>0</v>
      </c>
      <c r="M361" s="113">
        <f t="shared" si="235"/>
        <v>0</v>
      </c>
      <c r="N361" s="116">
        <f t="shared" si="236"/>
        <v>0</v>
      </c>
      <c r="O361" s="117">
        <f t="shared" ref="O361:O424" si="271">SUMIF(L_Rates_Tariff_Rate_Category,$AV361,L_Rates_Energy)</f>
        <v>9.1340000000000005E-2</v>
      </c>
      <c r="P361" s="117">
        <f t="shared" si="237"/>
        <v>0</v>
      </c>
      <c r="Q361" s="117">
        <f t="shared" si="238"/>
        <v>0</v>
      </c>
      <c r="R361" s="117">
        <f t="shared" si="239"/>
        <v>2.725E-2</v>
      </c>
      <c r="S361" s="116">
        <f t="shared" si="240"/>
        <v>0</v>
      </c>
      <c r="T361" s="116">
        <f t="shared" si="241"/>
        <v>0</v>
      </c>
      <c r="U361" s="116">
        <f t="shared" si="242"/>
        <v>0</v>
      </c>
      <c r="V361" s="118">
        <f t="shared" si="243"/>
        <v>0</v>
      </c>
      <c r="W361" s="118">
        <f t="shared" si="258"/>
        <v>0</v>
      </c>
      <c r="X361" s="118">
        <f t="shared" si="259"/>
        <v>0</v>
      </c>
      <c r="Y361" s="118">
        <f t="shared" si="260"/>
        <v>0</v>
      </c>
      <c r="Z361" s="118">
        <f t="shared" si="261"/>
        <v>0</v>
      </c>
      <c r="AA361" s="119">
        <v>0</v>
      </c>
      <c r="AB361" s="120">
        <f t="shared" si="244"/>
        <v>0</v>
      </c>
      <c r="AC361" s="118">
        <f t="shared" si="245"/>
        <v>0</v>
      </c>
      <c r="AD361" s="118">
        <f t="shared" si="262"/>
        <v>0</v>
      </c>
      <c r="AE361" s="118">
        <f t="shared" si="246"/>
        <v>0</v>
      </c>
      <c r="AF361" s="121">
        <f t="shared" si="263"/>
        <v>1</v>
      </c>
      <c r="AG361" s="122">
        <f t="shared" si="247"/>
        <v>0</v>
      </c>
      <c r="AH361" s="122">
        <f t="shared" si="248"/>
        <v>0</v>
      </c>
      <c r="AI361" s="122">
        <f t="shared" si="249"/>
        <v>0</v>
      </c>
      <c r="AJ361" s="122">
        <f t="shared" si="250"/>
        <v>0</v>
      </c>
      <c r="AK361" s="122">
        <f t="shared" si="251"/>
        <v>0</v>
      </c>
      <c r="AL361" s="122">
        <f t="shared" si="252"/>
        <v>0</v>
      </c>
      <c r="AM361" s="123">
        <f t="shared" si="253"/>
        <v>0</v>
      </c>
      <c r="AN361" s="123">
        <f t="shared" si="270"/>
        <v>0</v>
      </c>
      <c r="AO361" s="124">
        <f t="shared" si="254"/>
        <v>0</v>
      </c>
      <c r="AP361" s="125">
        <f t="shared" si="264"/>
        <v>0</v>
      </c>
      <c r="AU361" s="109">
        <f>IF(BA361=1,IF(AU360=MiscData!$F$1,EOMONTH(AU360,-11),EOMONTH(AU360,1)),AU360)</f>
        <v>42308</v>
      </c>
      <c r="AV361" s="108" t="str">
        <f t="shared" si="265"/>
        <v>20140101LGCME652</v>
      </c>
      <c r="AW361" s="126" t="str">
        <f t="shared" si="266"/>
        <v>20140101GS3</v>
      </c>
      <c r="AX361">
        <f>MiscData!$X$5</f>
        <v>20140101</v>
      </c>
      <c r="BA361" s="98">
        <f>IF(BA360+1&gt;MiscData!$Z$42,1,BA360+1)</f>
        <v>16</v>
      </c>
      <c r="BB361" s="98" t="str">
        <f>VLOOKUP(BA361,MiscData!$Z$5:$AB$46,2,FALSE)</f>
        <v>LGCME652</v>
      </c>
      <c r="BC361" s="98" t="str">
        <f>VLOOKUP(BA361,MiscData!$Z$5:$AB$46,3,FALSE)</f>
        <v>GS3</v>
      </c>
    </row>
    <row r="362" spans="1:55">
      <c r="A362" s="108">
        <v>343</v>
      </c>
      <c r="B362" s="109" t="str">
        <f t="shared" si="255"/>
        <v>Oct 2015</v>
      </c>
      <c r="C362" s="110" t="str">
        <f t="shared" si="256"/>
        <v>GS3</v>
      </c>
      <c r="D362" s="110" t="str">
        <f t="shared" si="257"/>
        <v>LGCME657</v>
      </c>
      <c r="E362" s="111">
        <f t="shared" si="228"/>
        <v>0</v>
      </c>
      <c r="F362" s="112">
        <v>0</v>
      </c>
      <c r="G362" s="111">
        <f t="shared" si="229"/>
        <v>0</v>
      </c>
      <c r="H362" s="111">
        <f t="shared" si="230"/>
        <v>0</v>
      </c>
      <c r="I362" s="111">
        <f t="shared" si="231"/>
        <v>0</v>
      </c>
      <c r="J362" s="111">
        <f t="shared" si="232"/>
        <v>0</v>
      </c>
      <c r="K362" s="113">
        <f t="shared" si="233"/>
        <v>0</v>
      </c>
      <c r="L362" s="113">
        <f t="shared" si="234"/>
        <v>0</v>
      </c>
      <c r="M362" s="113">
        <f t="shared" si="235"/>
        <v>0</v>
      </c>
      <c r="N362" s="116">
        <f t="shared" si="236"/>
        <v>35</v>
      </c>
      <c r="O362" s="117">
        <f t="shared" si="271"/>
        <v>9.1340000000000005E-2</v>
      </c>
      <c r="P362" s="117">
        <f t="shared" si="237"/>
        <v>0</v>
      </c>
      <c r="Q362" s="117">
        <f t="shared" si="238"/>
        <v>0</v>
      </c>
      <c r="R362" s="117">
        <f t="shared" si="239"/>
        <v>2.725E-2</v>
      </c>
      <c r="S362" s="116">
        <f t="shared" si="240"/>
        <v>0</v>
      </c>
      <c r="T362" s="116">
        <f t="shared" si="241"/>
        <v>0</v>
      </c>
      <c r="U362" s="116">
        <f t="shared" si="242"/>
        <v>0</v>
      </c>
      <c r="V362" s="118">
        <f t="shared" si="243"/>
        <v>0</v>
      </c>
      <c r="W362" s="118">
        <f t="shared" si="258"/>
        <v>0</v>
      </c>
      <c r="X362" s="118">
        <f t="shared" si="259"/>
        <v>0</v>
      </c>
      <c r="Y362" s="118">
        <f t="shared" si="260"/>
        <v>0</v>
      </c>
      <c r="Z362" s="118">
        <f t="shared" si="261"/>
        <v>0</v>
      </c>
      <c r="AA362" s="119">
        <v>0</v>
      </c>
      <c r="AB362" s="120">
        <f t="shared" si="244"/>
        <v>0</v>
      </c>
      <c r="AC362" s="118">
        <f t="shared" si="245"/>
        <v>0</v>
      </c>
      <c r="AD362" s="118">
        <f t="shared" si="262"/>
        <v>0</v>
      </c>
      <c r="AE362" s="118">
        <f t="shared" si="246"/>
        <v>0</v>
      </c>
      <c r="AF362" s="121">
        <f t="shared" si="263"/>
        <v>1</v>
      </c>
      <c r="AG362" s="122">
        <f t="shared" si="247"/>
        <v>0</v>
      </c>
      <c r="AH362" s="122">
        <f t="shared" si="248"/>
        <v>0</v>
      </c>
      <c r="AI362" s="122">
        <f t="shared" si="249"/>
        <v>0</v>
      </c>
      <c r="AJ362" s="122">
        <f t="shared" si="250"/>
        <v>0</v>
      </c>
      <c r="AK362" s="122">
        <f t="shared" si="251"/>
        <v>0</v>
      </c>
      <c r="AL362" s="122">
        <f t="shared" si="252"/>
        <v>0</v>
      </c>
      <c r="AM362" s="123">
        <f t="shared" si="253"/>
        <v>0</v>
      </c>
      <c r="AN362" s="123">
        <f t="shared" si="269"/>
        <v>0</v>
      </c>
      <c r="AO362" s="124">
        <f t="shared" si="254"/>
        <v>0</v>
      </c>
      <c r="AP362" s="125">
        <f t="shared" si="264"/>
        <v>0</v>
      </c>
      <c r="AU362" s="109">
        <f>IF(BA362=1,IF(AU361=MiscData!$F$1,EOMONTH(AU361,-11),EOMONTH(AU361,1)),AU361)</f>
        <v>42308</v>
      </c>
      <c r="AV362" s="108" t="str">
        <f t="shared" si="265"/>
        <v>20140101LGCME657</v>
      </c>
      <c r="AW362" s="126" t="str">
        <f t="shared" si="266"/>
        <v>20140101GS3</v>
      </c>
      <c r="AX362">
        <f>MiscData!$X$5</f>
        <v>20140101</v>
      </c>
      <c r="BA362" s="98">
        <f>IF(BA361+1&gt;MiscData!$Z$42,1,BA361+1)</f>
        <v>17</v>
      </c>
      <c r="BB362" s="98" t="str">
        <f>VLOOKUP(BA362,MiscData!$Z$5:$AB$46,2,FALSE)</f>
        <v>LGCME657</v>
      </c>
      <c r="BC362" s="98" t="str">
        <f>VLOOKUP(BA362,MiscData!$Z$5:$AB$46,3,FALSE)</f>
        <v>GS3</v>
      </c>
    </row>
    <row r="363" spans="1:55">
      <c r="A363" s="108">
        <v>344</v>
      </c>
      <c r="B363" s="109" t="str">
        <f t="shared" si="255"/>
        <v>Oct 2015</v>
      </c>
      <c r="C363" s="110" t="str">
        <f t="shared" si="256"/>
        <v>LWC</v>
      </c>
      <c r="D363" s="110" t="str">
        <f t="shared" si="257"/>
        <v>LGCME671</v>
      </c>
      <c r="E363" s="111">
        <f t="shared" si="228"/>
        <v>2</v>
      </c>
      <c r="F363" s="112">
        <v>0</v>
      </c>
      <c r="G363" s="111">
        <f t="shared" si="229"/>
        <v>0</v>
      </c>
      <c r="H363" s="111">
        <f t="shared" si="230"/>
        <v>0</v>
      </c>
      <c r="I363" s="111">
        <f t="shared" si="231"/>
        <v>0</v>
      </c>
      <c r="J363" s="111">
        <f t="shared" si="232"/>
        <v>4450800</v>
      </c>
      <c r="K363" s="113">
        <f t="shared" si="233"/>
        <v>0</v>
      </c>
      <c r="L363" s="113">
        <f t="shared" si="234"/>
        <v>9450</v>
      </c>
      <c r="M363" s="113">
        <f t="shared" si="235"/>
        <v>0</v>
      </c>
      <c r="N363" s="116">
        <f t="shared" si="236"/>
        <v>0</v>
      </c>
      <c r="O363" s="117">
        <f t="shared" si="271"/>
        <v>3.7019999999999997E-2</v>
      </c>
      <c r="P363" s="117">
        <f t="shared" si="237"/>
        <v>0</v>
      </c>
      <c r="Q363" s="117">
        <f t="shared" si="238"/>
        <v>0</v>
      </c>
      <c r="R363" s="117">
        <f t="shared" si="239"/>
        <v>2.725E-2</v>
      </c>
      <c r="S363" s="116">
        <f t="shared" si="240"/>
        <v>0</v>
      </c>
      <c r="T363" s="116">
        <f t="shared" si="241"/>
        <v>10.35</v>
      </c>
      <c r="U363" s="116">
        <f t="shared" si="242"/>
        <v>10.35</v>
      </c>
      <c r="V363" s="118">
        <f t="shared" si="243"/>
        <v>0</v>
      </c>
      <c r="W363" s="118">
        <f t="shared" si="258"/>
        <v>164768.62</v>
      </c>
      <c r="X363" s="118">
        <f t="shared" si="259"/>
        <v>0</v>
      </c>
      <c r="Y363" s="118">
        <f t="shared" si="260"/>
        <v>97807.5</v>
      </c>
      <c r="Z363" s="118">
        <f t="shared" si="261"/>
        <v>0</v>
      </c>
      <c r="AA363" s="119">
        <v>0</v>
      </c>
      <c r="AB363" s="120">
        <f t="shared" si="244"/>
        <v>0</v>
      </c>
      <c r="AC363" s="118">
        <f t="shared" si="245"/>
        <v>97807.5</v>
      </c>
      <c r="AD363" s="118">
        <f t="shared" si="262"/>
        <v>262576.12</v>
      </c>
      <c r="AE363" s="118">
        <f t="shared" si="246"/>
        <v>262579</v>
      </c>
      <c r="AF363" s="121">
        <f t="shared" si="263"/>
        <v>1.000011</v>
      </c>
      <c r="AG363" s="122">
        <f t="shared" si="247"/>
        <v>-965</v>
      </c>
      <c r="AH363" s="122">
        <f t="shared" si="248"/>
        <v>0</v>
      </c>
      <c r="AI363" s="122">
        <f t="shared" si="249"/>
        <v>42495</v>
      </c>
      <c r="AJ363" s="122">
        <f t="shared" si="250"/>
        <v>0</v>
      </c>
      <c r="AK363" s="122">
        <f t="shared" si="251"/>
        <v>0</v>
      </c>
      <c r="AL363" s="122">
        <f t="shared" si="252"/>
        <v>304109</v>
      </c>
      <c r="AM363" s="123">
        <f t="shared" si="253"/>
        <v>304106.12</v>
      </c>
      <c r="AN363" s="123">
        <f t="shared" si="269"/>
        <v>2.8800000000046566</v>
      </c>
      <c r="AO363" s="124">
        <f t="shared" si="254"/>
        <v>121284.3</v>
      </c>
      <c r="AP363" s="125">
        <f t="shared" si="264"/>
        <v>43484.319999999992</v>
      </c>
      <c r="AU363" s="109">
        <f>IF(BA363=1,IF(AU362=MiscData!$F$1,EOMONTH(AU362,-11),EOMONTH(AU362,1)),AU362)</f>
        <v>42308</v>
      </c>
      <c r="AV363" s="108" t="str">
        <f t="shared" si="265"/>
        <v>20140101LGCME671</v>
      </c>
      <c r="AW363" s="126" t="str">
        <f t="shared" si="266"/>
        <v>20140101LWC</v>
      </c>
      <c r="AX363">
        <f>MiscData!$X$5</f>
        <v>20140101</v>
      </c>
      <c r="BA363" s="98">
        <f>IF(BA362+1&gt;MiscData!$Z$42,1,BA362+1)</f>
        <v>18</v>
      </c>
      <c r="BB363" s="98" t="str">
        <f>VLOOKUP(BA363,MiscData!$Z$5:$AB$46,2,FALSE)</f>
        <v>LGCME671</v>
      </c>
      <c r="BC363" s="98" t="str">
        <f>VLOOKUP(BA363,MiscData!$Z$5:$AB$46,3,FALSE)</f>
        <v>LWC</v>
      </c>
    </row>
    <row r="364" spans="1:55">
      <c r="A364" s="108">
        <v>345</v>
      </c>
      <c r="B364" s="109" t="str">
        <f t="shared" si="255"/>
        <v>Oct 2015</v>
      </c>
      <c r="C364" s="110" t="str">
        <f t="shared" si="256"/>
        <v>CSR</v>
      </c>
      <c r="D364" s="110" t="str">
        <f t="shared" si="257"/>
        <v>LGCSR760</v>
      </c>
      <c r="E364" s="111">
        <f t="shared" si="228"/>
        <v>0</v>
      </c>
      <c r="F364" s="112">
        <v>0</v>
      </c>
      <c r="G364" s="111">
        <f t="shared" si="229"/>
        <v>0</v>
      </c>
      <c r="H364" s="111">
        <f t="shared" si="230"/>
        <v>0</v>
      </c>
      <c r="I364" s="111">
        <f t="shared" si="231"/>
        <v>0</v>
      </c>
      <c r="J364" s="111">
        <f t="shared" si="232"/>
        <v>0</v>
      </c>
      <c r="K364" s="113">
        <f t="shared" si="233"/>
        <v>0</v>
      </c>
      <c r="L364" s="113">
        <f t="shared" si="234"/>
        <v>0</v>
      </c>
      <c r="M364" s="113">
        <f t="shared" si="235"/>
        <v>0</v>
      </c>
      <c r="N364" s="116">
        <f t="shared" si="236"/>
        <v>0</v>
      </c>
      <c r="O364" s="117">
        <f t="shared" si="271"/>
        <v>0</v>
      </c>
      <c r="P364" s="117">
        <f t="shared" si="237"/>
        <v>0</v>
      </c>
      <c r="Q364" s="117">
        <f t="shared" si="238"/>
        <v>0</v>
      </c>
      <c r="R364" s="117">
        <f t="shared" si="239"/>
        <v>0</v>
      </c>
      <c r="S364" s="116">
        <f t="shared" si="240"/>
        <v>0</v>
      </c>
      <c r="T364" s="116">
        <f t="shared" si="241"/>
        <v>0</v>
      </c>
      <c r="U364" s="116">
        <f t="shared" si="242"/>
        <v>0</v>
      </c>
      <c r="V364" s="118">
        <f t="shared" si="243"/>
        <v>0</v>
      </c>
      <c r="W364" s="118">
        <f t="shared" si="258"/>
        <v>0</v>
      </c>
      <c r="X364" s="118">
        <f t="shared" si="259"/>
        <v>0</v>
      </c>
      <c r="Y364" s="118">
        <f t="shared" si="260"/>
        <v>0</v>
      </c>
      <c r="Z364" s="118">
        <f t="shared" si="261"/>
        <v>0</v>
      </c>
      <c r="AA364" s="119">
        <v>0</v>
      </c>
      <c r="AB364" s="120">
        <f t="shared" si="244"/>
        <v>0</v>
      </c>
      <c r="AC364" s="118">
        <f t="shared" si="245"/>
        <v>0</v>
      </c>
      <c r="AD364" s="118">
        <f t="shared" si="262"/>
        <v>0</v>
      </c>
      <c r="AE364" s="118">
        <f t="shared" si="246"/>
        <v>0</v>
      </c>
      <c r="AF364" s="121">
        <f t="shared" si="263"/>
        <v>1</v>
      </c>
      <c r="AG364" s="122">
        <f t="shared" si="247"/>
        <v>0</v>
      </c>
      <c r="AH364" s="122">
        <f t="shared" si="248"/>
        <v>0</v>
      </c>
      <c r="AI364" s="122">
        <f t="shared" si="249"/>
        <v>0</v>
      </c>
      <c r="AJ364" s="122">
        <f t="shared" si="250"/>
        <v>0</v>
      </c>
      <c r="AK364" s="122">
        <f t="shared" si="251"/>
        <v>-286526</v>
      </c>
      <c r="AL364" s="122">
        <f t="shared" si="252"/>
        <v>-286526</v>
      </c>
      <c r="AM364" s="123">
        <f t="shared" si="253"/>
        <v>-286526</v>
      </c>
      <c r="AN364" s="123">
        <f t="shared" si="269"/>
        <v>0</v>
      </c>
      <c r="AO364" s="124">
        <f t="shared" si="254"/>
        <v>0</v>
      </c>
      <c r="AP364" s="125">
        <f t="shared" si="264"/>
        <v>0</v>
      </c>
      <c r="AU364" s="109">
        <f>IF(BA364=1,IF(AU363=MiscData!$F$1,EOMONTH(AU363,-11),EOMONTH(AU363,1)),AU363)</f>
        <v>42308</v>
      </c>
      <c r="AV364" s="108" t="str">
        <f t="shared" si="265"/>
        <v>20140101LGCSR760</v>
      </c>
      <c r="AW364" s="126" t="str">
        <f t="shared" si="266"/>
        <v>20140101CSR</v>
      </c>
      <c r="AX364">
        <f>MiscData!$X$5</f>
        <v>20140101</v>
      </c>
      <c r="BA364" s="98">
        <f>IF(BA363+1&gt;MiscData!$Z$42,1,BA363+1)</f>
        <v>19</v>
      </c>
      <c r="BB364" s="98" t="str">
        <f>VLOOKUP(BA364,MiscData!$Z$5:$AB$46,2,FALSE)</f>
        <v>LGCSR760</v>
      </c>
      <c r="BC364" s="98" t="str">
        <f>VLOOKUP(BA364,MiscData!$Z$5:$AB$46,3,FALSE)</f>
        <v>CSR</v>
      </c>
    </row>
    <row r="365" spans="1:55">
      <c r="A365" s="108">
        <v>346</v>
      </c>
      <c r="B365" s="109" t="str">
        <f t="shared" si="255"/>
        <v>Oct 2015</v>
      </c>
      <c r="C365" s="110" t="str">
        <f t="shared" si="256"/>
        <v>CSR</v>
      </c>
      <c r="D365" s="110" t="str">
        <f t="shared" si="257"/>
        <v>LGCSR780</v>
      </c>
      <c r="E365" s="111">
        <f t="shared" si="228"/>
        <v>0</v>
      </c>
      <c r="F365" s="112">
        <v>0</v>
      </c>
      <c r="G365" s="111">
        <f t="shared" si="229"/>
        <v>0</v>
      </c>
      <c r="H365" s="111">
        <f t="shared" si="230"/>
        <v>0</v>
      </c>
      <c r="I365" s="111">
        <f t="shared" si="231"/>
        <v>0</v>
      </c>
      <c r="J365" s="111">
        <f t="shared" si="232"/>
        <v>0</v>
      </c>
      <c r="K365" s="113">
        <f t="shared" si="233"/>
        <v>0</v>
      </c>
      <c r="L365" s="113">
        <f t="shared" si="234"/>
        <v>0</v>
      </c>
      <c r="M365" s="113">
        <f t="shared" si="235"/>
        <v>0</v>
      </c>
      <c r="N365" s="116">
        <f t="shared" si="236"/>
        <v>0</v>
      </c>
      <c r="O365" s="117">
        <f t="shared" si="271"/>
        <v>0</v>
      </c>
      <c r="P365" s="117">
        <f t="shared" si="237"/>
        <v>0</v>
      </c>
      <c r="Q365" s="117">
        <f t="shared" si="238"/>
        <v>0</v>
      </c>
      <c r="R365" s="117">
        <f t="shared" si="239"/>
        <v>0</v>
      </c>
      <c r="S365" s="116">
        <f t="shared" si="240"/>
        <v>0</v>
      </c>
      <c r="T365" s="116">
        <f t="shared" si="241"/>
        <v>0</v>
      </c>
      <c r="U365" s="116">
        <f t="shared" si="242"/>
        <v>0</v>
      </c>
      <c r="V365" s="118">
        <f t="shared" si="243"/>
        <v>0</v>
      </c>
      <c r="W365" s="118">
        <f t="shared" si="258"/>
        <v>0</v>
      </c>
      <c r="X365" s="118">
        <f t="shared" si="259"/>
        <v>0</v>
      </c>
      <c r="Y365" s="118">
        <f t="shared" si="260"/>
        <v>0</v>
      </c>
      <c r="Z365" s="118">
        <f t="shared" si="261"/>
        <v>0</v>
      </c>
      <c r="AA365" s="119">
        <v>0</v>
      </c>
      <c r="AB365" s="120">
        <f t="shared" si="244"/>
        <v>0</v>
      </c>
      <c r="AC365" s="118">
        <f t="shared" si="245"/>
        <v>0</v>
      </c>
      <c r="AD365" s="118">
        <f t="shared" si="262"/>
        <v>0</v>
      </c>
      <c r="AE365" s="118">
        <f t="shared" si="246"/>
        <v>0</v>
      </c>
      <c r="AF365" s="121">
        <f t="shared" si="263"/>
        <v>1</v>
      </c>
      <c r="AG365" s="122">
        <f t="shared" si="247"/>
        <v>0</v>
      </c>
      <c r="AH365" s="122">
        <f t="shared" si="248"/>
        <v>0</v>
      </c>
      <c r="AI365" s="122">
        <f t="shared" si="249"/>
        <v>0</v>
      </c>
      <c r="AJ365" s="122">
        <f t="shared" si="250"/>
        <v>0</v>
      </c>
      <c r="AK365" s="122">
        <f t="shared" si="251"/>
        <v>0</v>
      </c>
      <c r="AL365" s="122">
        <f t="shared" si="252"/>
        <v>0</v>
      </c>
      <c r="AM365" s="123">
        <f t="shared" si="253"/>
        <v>0</v>
      </c>
      <c r="AN365" s="123">
        <f t="shared" si="269"/>
        <v>0</v>
      </c>
      <c r="AO365" s="124">
        <f t="shared" si="254"/>
        <v>0</v>
      </c>
      <c r="AP365" s="125">
        <f t="shared" si="264"/>
        <v>0</v>
      </c>
      <c r="AU365" s="109">
        <f>IF(BA365=1,IF(AU364=MiscData!$F$1,EOMONTH(AU364,-11),EOMONTH(AU364,1)),AU364)</f>
        <v>42308</v>
      </c>
      <c r="AV365" s="108" t="str">
        <f t="shared" si="265"/>
        <v>20140101LGCSR780</v>
      </c>
      <c r="AW365" s="126" t="str">
        <f t="shared" si="266"/>
        <v>20140101CSR</v>
      </c>
      <c r="AX365">
        <f>MiscData!$X$5</f>
        <v>20140101</v>
      </c>
      <c r="BA365" s="98">
        <f>IF(BA364+1&gt;MiscData!$Z$42,1,BA364+1)</f>
        <v>20</v>
      </c>
      <c r="BB365" s="98" t="str">
        <f>VLOOKUP(BA365,MiscData!$Z$5:$AB$46,2,FALSE)</f>
        <v>LGCSR780</v>
      </c>
      <c r="BC365" s="98" t="str">
        <f>VLOOKUP(BA365,MiscData!$Z$5:$AB$46,3,FALSE)</f>
        <v>CSR</v>
      </c>
    </row>
    <row r="366" spans="1:55">
      <c r="A366" s="108">
        <v>347</v>
      </c>
      <c r="B366" s="109" t="str">
        <f t="shared" si="255"/>
        <v>Oct 2015</v>
      </c>
      <c r="C366" s="110" t="str">
        <f t="shared" si="256"/>
        <v>FK</v>
      </c>
      <c r="D366" s="110" t="str">
        <f t="shared" si="257"/>
        <v>LGINE599</v>
      </c>
      <c r="E366" s="111">
        <f t="shared" si="228"/>
        <v>1</v>
      </c>
      <c r="F366" s="112">
        <v>0</v>
      </c>
      <c r="G366" s="111">
        <f t="shared" si="229"/>
        <v>0</v>
      </c>
      <c r="H366" s="111">
        <f t="shared" si="230"/>
        <v>0</v>
      </c>
      <c r="I366" s="111">
        <f t="shared" si="231"/>
        <v>0</v>
      </c>
      <c r="J366" s="111">
        <f t="shared" si="232"/>
        <v>7093200</v>
      </c>
      <c r="K366" s="113">
        <f t="shared" si="233"/>
        <v>0</v>
      </c>
      <c r="L366" s="113">
        <f t="shared" si="234"/>
        <v>8332</v>
      </c>
      <c r="M366" s="113">
        <f t="shared" si="235"/>
        <v>0</v>
      </c>
      <c r="N366" s="116">
        <f t="shared" si="236"/>
        <v>0</v>
      </c>
      <c r="O366" s="117">
        <f t="shared" si="271"/>
        <v>3.7400000000000003E-2</v>
      </c>
      <c r="P366" s="117">
        <f t="shared" si="237"/>
        <v>0</v>
      </c>
      <c r="Q366" s="117">
        <f t="shared" si="238"/>
        <v>0</v>
      </c>
      <c r="R366" s="117">
        <f t="shared" si="239"/>
        <v>2.725E-2</v>
      </c>
      <c r="S366" s="116">
        <f t="shared" si="240"/>
        <v>0</v>
      </c>
      <c r="T366" s="116">
        <f t="shared" si="241"/>
        <v>12.72</v>
      </c>
      <c r="U366" s="116">
        <f t="shared" si="242"/>
        <v>15.040000000000001</v>
      </c>
      <c r="V366" s="118">
        <f t="shared" si="243"/>
        <v>0</v>
      </c>
      <c r="W366" s="118">
        <f t="shared" si="258"/>
        <v>265285.68</v>
      </c>
      <c r="X366" s="118">
        <f t="shared" si="259"/>
        <v>0</v>
      </c>
      <c r="Y366" s="118">
        <f t="shared" si="260"/>
        <v>105983.03999999999</v>
      </c>
      <c r="Z366" s="118">
        <f t="shared" si="261"/>
        <v>0</v>
      </c>
      <c r="AA366" s="119">
        <v>0</v>
      </c>
      <c r="AB366" s="120">
        <f t="shared" si="244"/>
        <v>0</v>
      </c>
      <c r="AC366" s="118">
        <f t="shared" si="245"/>
        <v>105983.03999999999</v>
      </c>
      <c r="AD366" s="118">
        <f>SUM(V366:AB366)</f>
        <v>371268.72</v>
      </c>
      <c r="AE366" s="118">
        <f t="shared" si="246"/>
        <v>371269</v>
      </c>
      <c r="AF366" s="121">
        <f t="shared" si="263"/>
        <v>1.0000009999999999</v>
      </c>
      <c r="AG366" s="122">
        <f t="shared" si="247"/>
        <v>-1539</v>
      </c>
      <c r="AH366" s="122">
        <f t="shared" si="248"/>
        <v>0</v>
      </c>
      <c r="AI366" s="122">
        <f t="shared" si="249"/>
        <v>67724</v>
      </c>
      <c r="AJ366" s="122">
        <f t="shared" si="250"/>
        <v>0</v>
      </c>
      <c r="AK366" s="122">
        <f t="shared" si="251"/>
        <v>0</v>
      </c>
      <c r="AL366" s="122">
        <f t="shared" si="252"/>
        <v>437454</v>
      </c>
      <c r="AM366" s="123">
        <f t="shared" si="253"/>
        <v>437453.72</v>
      </c>
      <c r="AN366" s="123">
        <f t="shared" si="269"/>
        <v>0.28000000002793968</v>
      </c>
      <c r="AO366" s="124">
        <f t="shared" si="254"/>
        <v>193289.7</v>
      </c>
      <c r="AP366" s="125">
        <f t="shared" si="264"/>
        <v>71995.979999999981</v>
      </c>
      <c r="AU366" s="109">
        <f>IF(BA366=1,IF(AU365=MiscData!$F$1,EOMONTH(AU365,-11),EOMONTH(AU365,1)),AU365)</f>
        <v>42308</v>
      </c>
      <c r="AV366" s="108" t="str">
        <f t="shared" si="265"/>
        <v>20140101LGINE599</v>
      </c>
      <c r="AW366" s="126" t="str">
        <f t="shared" si="266"/>
        <v>20140101FK</v>
      </c>
      <c r="AX366">
        <f>MiscData!$X$5</f>
        <v>20140101</v>
      </c>
      <c r="BA366" s="98">
        <f>IF(BA365+1&gt;MiscData!$Z$42,1,BA365+1)</f>
        <v>21</v>
      </c>
      <c r="BB366" s="98" t="str">
        <f>VLOOKUP(BA366,MiscData!$Z$5:$AB$46,2,FALSE)</f>
        <v>LGINE599</v>
      </c>
      <c r="BC366" s="98" t="str">
        <f>VLOOKUP(BA366,MiscData!$Z$5:$AB$46,3,FALSE)</f>
        <v>FK</v>
      </c>
    </row>
    <row r="367" spans="1:55">
      <c r="A367" s="108">
        <v>348</v>
      </c>
      <c r="B367" s="109" t="str">
        <f t="shared" si="255"/>
        <v>Oct 2015</v>
      </c>
      <c r="C367" s="110" t="str">
        <f t="shared" si="256"/>
        <v>RTS</v>
      </c>
      <c r="D367" s="110" t="str">
        <f t="shared" si="257"/>
        <v>LGINE643</v>
      </c>
      <c r="E367" s="111">
        <f t="shared" si="228"/>
        <v>12</v>
      </c>
      <c r="F367" s="112">
        <v>0</v>
      </c>
      <c r="G367" s="111">
        <f t="shared" si="229"/>
        <v>0</v>
      </c>
      <c r="H367" s="111">
        <f t="shared" si="230"/>
        <v>0</v>
      </c>
      <c r="I367" s="111">
        <f t="shared" si="231"/>
        <v>0</v>
      </c>
      <c r="J367" s="111">
        <f t="shared" si="232"/>
        <v>68882846</v>
      </c>
      <c r="K367" s="113">
        <f t="shared" si="233"/>
        <v>163502</v>
      </c>
      <c r="L367" s="113">
        <f t="shared" si="234"/>
        <v>157323</v>
      </c>
      <c r="M367" s="113">
        <f t="shared" si="235"/>
        <v>93632</v>
      </c>
      <c r="N367" s="116">
        <f t="shared" si="236"/>
        <v>750</v>
      </c>
      <c r="O367" s="117">
        <f t="shared" si="271"/>
        <v>3.61E-2</v>
      </c>
      <c r="P367" s="117">
        <f t="shared" si="237"/>
        <v>0</v>
      </c>
      <c r="Q367" s="117">
        <f t="shared" si="238"/>
        <v>0</v>
      </c>
      <c r="R367" s="117">
        <f t="shared" si="239"/>
        <v>2.725E-2</v>
      </c>
      <c r="S367" s="116">
        <f t="shared" si="240"/>
        <v>2.75</v>
      </c>
      <c r="T367" s="116">
        <f t="shared" si="241"/>
        <v>3</v>
      </c>
      <c r="U367" s="116">
        <f t="shared" si="242"/>
        <v>4.5500000000000007</v>
      </c>
      <c r="V367" s="118">
        <f t="shared" si="243"/>
        <v>9000</v>
      </c>
      <c r="W367" s="118">
        <f t="shared" si="258"/>
        <v>2486670.7400000002</v>
      </c>
      <c r="X367" s="118">
        <f t="shared" si="259"/>
        <v>449630.5</v>
      </c>
      <c r="Y367" s="118">
        <f t="shared" si="260"/>
        <v>471969</v>
      </c>
      <c r="Z367" s="118">
        <f t="shared" si="261"/>
        <v>426025.6</v>
      </c>
      <c r="AA367" s="119">
        <v>0</v>
      </c>
      <c r="AB367" s="120">
        <f t="shared" si="244"/>
        <v>0</v>
      </c>
      <c r="AC367" s="118">
        <f t="shared" si="245"/>
        <v>1347625.1</v>
      </c>
      <c r="AD367" s="118">
        <f t="shared" si="262"/>
        <v>3843295.8400000003</v>
      </c>
      <c r="AE367" s="118">
        <f t="shared" si="246"/>
        <v>3843299</v>
      </c>
      <c r="AF367" s="121">
        <f t="shared" si="263"/>
        <v>1.0000009999999999</v>
      </c>
      <c r="AG367" s="122">
        <f t="shared" si="247"/>
        <v>-14941</v>
      </c>
      <c r="AH367" s="122">
        <f t="shared" si="248"/>
        <v>0</v>
      </c>
      <c r="AI367" s="122">
        <f t="shared" si="249"/>
        <v>657675</v>
      </c>
      <c r="AJ367" s="122">
        <f t="shared" si="250"/>
        <v>0</v>
      </c>
      <c r="AK367" s="122">
        <f t="shared" si="251"/>
        <v>0</v>
      </c>
      <c r="AL367" s="122">
        <f t="shared" si="252"/>
        <v>4486033</v>
      </c>
      <c r="AM367" s="123">
        <f t="shared" si="253"/>
        <v>4486029.84</v>
      </c>
      <c r="AN367" s="123">
        <f t="shared" si="269"/>
        <v>3.1600000001490116</v>
      </c>
      <c r="AO367" s="124">
        <f t="shared" si="254"/>
        <v>1877057.55</v>
      </c>
      <c r="AP367" s="125">
        <f t="shared" si="264"/>
        <v>609613.19000000018</v>
      </c>
      <c r="AU367" s="109">
        <f>IF(BA367=1,IF(AU366=MiscData!$F$1,EOMONTH(AU366,-11),EOMONTH(AU366,1)),AU366)</f>
        <v>42308</v>
      </c>
      <c r="AV367" s="108" t="str">
        <f t="shared" si="265"/>
        <v>20140101LGINE643</v>
      </c>
      <c r="AW367" s="126" t="str">
        <f t="shared" si="266"/>
        <v>20140101RTS</v>
      </c>
      <c r="AX367">
        <f>MiscData!$X$5</f>
        <v>20140101</v>
      </c>
      <c r="BA367" s="98">
        <f>IF(BA366+1&gt;MiscData!$Z$42,1,BA366+1)</f>
        <v>22</v>
      </c>
      <c r="BB367" s="98" t="str">
        <f>VLOOKUP(BA367,MiscData!$Z$5:$AB$46,2,FALSE)</f>
        <v>LGINE643</v>
      </c>
      <c r="BC367" s="98" t="str">
        <f>VLOOKUP(BA367,MiscData!$Z$5:$AB$46,3,FALSE)</f>
        <v>RTS</v>
      </c>
    </row>
    <row r="368" spans="1:55">
      <c r="A368" s="108">
        <v>349</v>
      </c>
      <c r="B368" s="109" t="str">
        <f t="shared" si="255"/>
        <v>Oct 2015</v>
      </c>
      <c r="C368" s="110" t="str">
        <f t="shared" si="256"/>
        <v>PSS</v>
      </c>
      <c r="D368" s="110" t="str">
        <f t="shared" si="257"/>
        <v>LGINE661</v>
      </c>
      <c r="E368" s="111">
        <f t="shared" si="228"/>
        <v>215</v>
      </c>
      <c r="F368" s="112">
        <v>0</v>
      </c>
      <c r="G368" s="111">
        <f t="shared" si="229"/>
        <v>0</v>
      </c>
      <c r="H368" s="111">
        <f t="shared" si="230"/>
        <v>0</v>
      </c>
      <c r="I368" s="111">
        <f t="shared" si="231"/>
        <v>0</v>
      </c>
      <c r="J368" s="111">
        <f t="shared" si="232"/>
        <v>19399423</v>
      </c>
      <c r="K368" s="113">
        <f t="shared" si="233"/>
        <v>0</v>
      </c>
      <c r="L368" s="113">
        <f t="shared" si="234"/>
        <v>62733</v>
      </c>
      <c r="M368" s="113">
        <f t="shared" si="235"/>
        <v>0</v>
      </c>
      <c r="N368" s="116">
        <f t="shared" si="236"/>
        <v>90</v>
      </c>
      <c r="O368" s="117">
        <f t="shared" si="271"/>
        <v>4.0599999999999997E-2</v>
      </c>
      <c r="P368" s="117">
        <f t="shared" si="237"/>
        <v>0</v>
      </c>
      <c r="Q368" s="117">
        <f t="shared" si="238"/>
        <v>0</v>
      </c>
      <c r="R368" s="117">
        <f t="shared" si="239"/>
        <v>2.725E-2</v>
      </c>
      <c r="S368" s="116">
        <f t="shared" si="240"/>
        <v>0</v>
      </c>
      <c r="T368" s="116">
        <f t="shared" si="241"/>
        <v>14.010000000000002</v>
      </c>
      <c r="U368" s="116">
        <f t="shared" si="242"/>
        <v>16.399999999999999</v>
      </c>
      <c r="V368" s="118">
        <f t="shared" si="243"/>
        <v>19350</v>
      </c>
      <c r="W368" s="118">
        <f t="shared" si="258"/>
        <v>787616.57</v>
      </c>
      <c r="X368" s="118">
        <f t="shared" si="259"/>
        <v>0</v>
      </c>
      <c r="Y368" s="118">
        <f t="shared" si="260"/>
        <v>878889.33</v>
      </c>
      <c r="Z368" s="118">
        <f t="shared" si="261"/>
        <v>0</v>
      </c>
      <c r="AA368" s="119">
        <v>0</v>
      </c>
      <c r="AB368" s="120">
        <f t="shared" si="244"/>
        <v>0</v>
      </c>
      <c r="AC368" s="118">
        <f t="shared" si="245"/>
        <v>878889.33</v>
      </c>
      <c r="AD368" s="118">
        <f t="shared" si="262"/>
        <v>1685855.9</v>
      </c>
      <c r="AE368" s="118">
        <f t="shared" si="246"/>
        <v>1685859</v>
      </c>
      <c r="AF368" s="121">
        <f t="shared" si="263"/>
        <v>1.0000020000000001</v>
      </c>
      <c r="AG368" s="122">
        <f t="shared" si="247"/>
        <v>-4208</v>
      </c>
      <c r="AH368" s="122">
        <f t="shared" si="248"/>
        <v>45077</v>
      </c>
      <c r="AI368" s="122">
        <f t="shared" si="249"/>
        <v>185220</v>
      </c>
      <c r="AJ368" s="122">
        <f t="shared" si="250"/>
        <v>0</v>
      </c>
      <c r="AK368" s="122">
        <f t="shared" si="251"/>
        <v>0</v>
      </c>
      <c r="AL368" s="122">
        <f t="shared" si="252"/>
        <v>1911948</v>
      </c>
      <c r="AM368" s="123">
        <f t="shared" si="253"/>
        <v>1911944.9</v>
      </c>
      <c r="AN368" s="123">
        <f t="shared" si="269"/>
        <v>3.1000000000931323</v>
      </c>
      <c r="AO368" s="124">
        <f t="shared" si="254"/>
        <v>528634.28</v>
      </c>
      <c r="AP368" s="125">
        <f t="shared" si="264"/>
        <v>258982.28999999992</v>
      </c>
      <c r="AU368" s="109">
        <f>IF(BA368=1,IF(AU367=MiscData!$F$1,EOMONTH(AU367,-11),EOMONTH(AU367,1)),AU367)</f>
        <v>42308</v>
      </c>
      <c r="AV368" s="108" t="str">
        <f t="shared" si="265"/>
        <v>20140101LGINE661</v>
      </c>
      <c r="AW368" s="126" t="str">
        <f t="shared" si="266"/>
        <v>20140101PSS</v>
      </c>
      <c r="AX368">
        <f>MiscData!$X$5</f>
        <v>20140101</v>
      </c>
      <c r="BA368" s="98">
        <f>IF(BA367+1&gt;MiscData!$Z$42,1,BA367+1)</f>
        <v>23</v>
      </c>
      <c r="BB368" s="98" t="str">
        <f>VLOOKUP(BA368,MiscData!$Z$5:$AB$46,2,FALSE)</f>
        <v>LGINE661</v>
      </c>
      <c r="BC368" s="98" t="str">
        <f>VLOOKUP(BA368,MiscData!$Z$5:$AB$46,3,FALSE)</f>
        <v>PSS</v>
      </c>
    </row>
    <row r="369" spans="1:55">
      <c r="A369" s="108">
        <v>350</v>
      </c>
      <c r="B369" s="109" t="str">
        <f t="shared" si="255"/>
        <v>Oct 2015</v>
      </c>
      <c r="C369" s="110" t="str">
        <f t="shared" si="256"/>
        <v>PSP</v>
      </c>
      <c r="D369" s="110" t="str">
        <f t="shared" si="257"/>
        <v>LGINE663</v>
      </c>
      <c r="E369" s="111">
        <f t="shared" si="228"/>
        <v>21</v>
      </c>
      <c r="F369" s="112">
        <v>0</v>
      </c>
      <c r="G369" s="111">
        <f t="shared" si="229"/>
        <v>0</v>
      </c>
      <c r="H369" s="111">
        <f t="shared" si="230"/>
        <v>0</v>
      </c>
      <c r="I369" s="111">
        <f t="shared" si="231"/>
        <v>0</v>
      </c>
      <c r="J369" s="111">
        <f t="shared" si="232"/>
        <v>1042841</v>
      </c>
      <c r="K369" s="113">
        <f t="shared" si="233"/>
        <v>0</v>
      </c>
      <c r="L369" s="113">
        <f t="shared" si="234"/>
        <v>3889</v>
      </c>
      <c r="M369" s="113">
        <f t="shared" si="235"/>
        <v>0</v>
      </c>
      <c r="N369" s="116">
        <f t="shared" si="236"/>
        <v>170</v>
      </c>
      <c r="O369" s="117">
        <f t="shared" si="271"/>
        <v>3.9260000000000003E-2</v>
      </c>
      <c r="P369" s="117">
        <f t="shared" si="237"/>
        <v>0</v>
      </c>
      <c r="Q369" s="117">
        <f t="shared" si="238"/>
        <v>0</v>
      </c>
      <c r="R369" s="117">
        <f t="shared" si="239"/>
        <v>2.725E-2</v>
      </c>
      <c r="S369" s="116">
        <f t="shared" si="240"/>
        <v>0</v>
      </c>
      <c r="T369" s="116">
        <f t="shared" si="241"/>
        <v>11.660000000000002</v>
      </c>
      <c r="U369" s="116">
        <f t="shared" si="242"/>
        <v>13.950000000000001</v>
      </c>
      <c r="V369" s="118">
        <f t="shared" si="243"/>
        <v>3570</v>
      </c>
      <c r="W369" s="118">
        <f t="shared" si="258"/>
        <v>40941.94</v>
      </c>
      <c r="X369" s="118">
        <f t="shared" si="259"/>
        <v>0</v>
      </c>
      <c r="Y369" s="118">
        <f t="shared" si="260"/>
        <v>45345.74</v>
      </c>
      <c r="Z369" s="118">
        <f t="shared" si="261"/>
        <v>0</v>
      </c>
      <c r="AA369" s="119">
        <v>0</v>
      </c>
      <c r="AB369" s="120">
        <f t="shared" si="244"/>
        <v>0</v>
      </c>
      <c r="AC369" s="118">
        <f t="shared" si="245"/>
        <v>45345.74</v>
      </c>
      <c r="AD369" s="118">
        <f t="shared" si="262"/>
        <v>89857.68</v>
      </c>
      <c r="AE369" s="118">
        <f t="shared" si="246"/>
        <v>89854</v>
      </c>
      <c r="AF369" s="121">
        <f t="shared" si="263"/>
        <v>0.99995900000000004</v>
      </c>
      <c r="AG369" s="122">
        <f t="shared" si="247"/>
        <v>-226</v>
      </c>
      <c r="AH369" s="122">
        <f t="shared" si="248"/>
        <v>2423</v>
      </c>
      <c r="AI369" s="122">
        <f t="shared" si="249"/>
        <v>9957</v>
      </c>
      <c r="AJ369" s="122">
        <f t="shared" si="250"/>
        <v>0</v>
      </c>
      <c r="AK369" s="122">
        <f t="shared" si="251"/>
        <v>0</v>
      </c>
      <c r="AL369" s="122">
        <f t="shared" si="252"/>
        <v>102008</v>
      </c>
      <c r="AM369" s="123">
        <f t="shared" si="253"/>
        <v>102011.68</v>
      </c>
      <c r="AN369" s="123">
        <f t="shared" si="269"/>
        <v>-3.6799999999930151</v>
      </c>
      <c r="AO369" s="124">
        <f t="shared" si="254"/>
        <v>28417.42</v>
      </c>
      <c r="AP369" s="125">
        <f t="shared" si="264"/>
        <v>12524.520000000004</v>
      </c>
      <c r="AU369" s="109">
        <f>IF(BA369=1,IF(AU368=MiscData!$F$1,EOMONTH(AU368,-11),EOMONTH(AU368,1)),AU368)</f>
        <v>42308</v>
      </c>
      <c r="AV369" s="108" t="str">
        <f t="shared" si="265"/>
        <v>20140101LGINE663</v>
      </c>
      <c r="AW369" s="126" t="str">
        <f t="shared" si="266"/>
        <v>20140101PSP</v>
      </c>
      <c r="AX369">
        <f>MiscData!$X$5</f>
        <v>20140101</v>
      </c>
      <c r="BA369" s="98">
        <f>IF(BA368+1&gt;MiscData!$Z$42,1,BA368+1)</f>
        <v>24</v>
      </c>
      <c r="BB369" s="98" t="str">
        <f>VLOOKUP(BA369,MiscData!$Z$5:$AB$46,2,FALSE)</f>
        <v>LGINE663</v>
      </c>
      <c r="BC369" s="98" t="str">
        <f>VLOOKUP(BA369,MiscData!$Z$5:$AB$46,3,FALSE)</f>
        <v>PSP</v>
      </c>
    </row>
    <row r="370" spans="1:55">
      <c r="A370" s="108">
        <v>351</v>
      </c>
      <c r="B370" s="109" t="str">
        <f t="shared" si="255"/>
        <v>Oct 2015</v>
      </c>
      <c r="C370" s="110" t="str">
        <f t="shared" si="256"/>
        <v>TODS</v>
      </c>
      <c r="D370" s="110" t="str">
        <f t="shared" si="257"/>
        <v>LGINE691</v>
      </c>
      <c r="E370" s="111">
        <f t="shared" si="228"/>
        <v>96</v>
      </c>
      <c r="F370" s="112">
        <v>0</v>
      </c>
      <c r="G370" s="111">
        <f t="shared" si="229"/>
        <v>0</v>
      </c>
      <c r="H370" s="111">
        <f t="shared" si="230"/>
        <v>0</v>
      </c>
      <c r="I370" s="111">
        <f t="shared" si="231"/>
        <v>0</v>
      </c>
      <c r="J370" s="111">
        <f t="shared" si="232"/>
        <v>20321484</v>
      </c>
      <c r="K370" s="113">
        <f t="shared" si="233"/>
        <v>52059</v>
      </c>
      <c r="L370" s="113">
        <f t="shared" si="234"/>
        <v>47898</v>
      </c>
      <c r="M370" s="113">
        <f t="shared" si="235"/>
        <v>46862</v>
      </c>
      <c r="N370" s="116">
        <f t="shared" si="236"/>
        <v>200</v>
      </c>
      <c r="O370" s="117">
        <f t="shared" si="271"/>
        <v>3.9899999999999998E-2</v>
      </c>
      <c r="P370" s="117">
        <f t="shared" si="237"/>
        <v>0</v>
      </c>
      <c r="Q370" s="117">
        <f t="shared" si="238"/>
        <v>0</v>
      </c>
      <c r="R370" s="117">
        <f t="shared" si="239"/>
        <v>2.725E-2</v>
      </c>
      <c r="S370" s="116">
        <f t="shared" si="240"/>
        <v>4</v>
      </c>
      <c r="T370" s="116">
        <f t="shared" si="241"/>
        <v>4.5100000000000007</v>
      </c>
      <c r="U370" s="116">
        <f t="shared" si="242"/>
        <v>6.11</v>
      </c>
      <c r="V370" s="118">
        <f t="shared" si="243"/>
        <v>19200</v>
      </c>
      <c r="W370" s="118">
        <f t="shared" si="258"/>
        <v>810827.21</v>
      </c>
      <c r="X370" s="118">
        <f t="shared" si="259"/>
        <v>208236</v>
      </c>
      <c r="Y370" s="118">
        <f t="shared" si="260"/>
        <v>216019.98</v>
      </c>
      <c r="Z370" s="118">
        <f t="shared" si="261"/>
        <v>286326.82</v>
      </c>
      <c r="AA370" s="119">
        <v>0</v>
      </c>
      <c r="AB370" s="120">
        <f t="shared" si="244"/>
        <v>0</v>
      </c>
      <c r="AC370" s="118">
        <f t="shared" si="245"/>
        <v>710582.8</v>
      </c>
      <c r="AD370" s="118">
        <f t="shared" si="262"/>
        <v>1540610.01</v>
      </c>
      <c r="AE370" s="118">
        <f t="shared" si="246"/>
        <v>1540609</v>
      </c>
      <c r="AF370" s="121">
        <f t="shared" si="263"/>
        <v>0.99999899999999997</v>
      </c>
      <c r="AG370" s="122">
        <f t="shared" si="247"/>
        <v>-4408</v>
      </c>
      <c r="AH370" s="122">
        <f t="shared" si="248"/>
        <v>47219</v>
      </c>
      <c r="AI370" s="122">
        <f t="shared" si="249"/>
        <v>194024</v>
      </c>
      <c r="AJ370" s="122">
        <f t="shared" si="250"/>
        <v>0</v>
      </c>
      <c r="AK370" s="122">
        <f t="shared" si="251"/>
        <v>0</v>
      </c>
      <c r="AL370" s="122">
        <f t="shared" si="252"/>
        <v>1777444</v>
      </c>
      <c r="AM370" s="123">
        <f t="shared" si="253"/>
        <v>1777445.01</v>
      </c>
      <c r="AN370" s="123">
        <f t="shared" si="269"/>
        <v>-1.0100000000093132</v>
      </c>
      <c r="AO370" s="124">
        <f t="shared" si="254"/>
        <v>553760.43999999994</v>
      </c>
      <c r="AP370" s="125">
        <f t="shared" si="264"/>
        <v>257066.77000000002</v>
      </c>
      <c r="AU370" s="109">
        <f>IF(BA370=1,IF(AU369=MiscData!$F$1,EOMONTH(AU369,-11),EOMONTH(AU369,1)),AU369)</f>
        <v>42308</v>
      </c>
      <c r="AV370" s="108" t="str">
        <f t="shared" si="265"/>
        <v>20140101LGINE691</v>
      </c>
      <c r="AW370" s="126" t="str">
        <f t="shared" si="266"/>
        <v>20140101TODS</v>
      </c>
      <c r="AX370">
        <f>MiscData!$X$5</f>
        <v>20140101</v>
      </c>
      <c r="BA370" s="98">
        <f>IF(BA369+1&gt;MiscData!$Z$42,1,BA369+1)</f>
        <v>25</v>
      </c>
      <c r="BB370" s="98" t="str">
        <f>VLOOKUP(BA370,MiscData!$Z$5:$AB$46,2,FALSE)</f>
        <v>LGINE691</v>
      </c>
      <c r="BC370" s="98" t="str">
        <f>VLOOKUP(BA370,MiscData!$Z$5:$AB$46,3,FALSE)</f>
        <v>TODS</v>
      </c>
    </row>
    <row r="371" spans="1:55">
      <c r="A371" s="108">
        <v>352</v>
      </c>
      <c r="B371" s="109" t="str">
        <f t="shared" si="255"/>
        <v>Oct 2015</v>
      </c>
      <c r="C371" s="110" t="str">
        <f t="shared" si="256"/>
        <v>ITODP</v>
      </c>
      <c r="D371" s="110" t="str">
        <f t="shared" si="257"/>
        <v>LGINE693</v>
      </c>
      <c r="E371" s="111">
        <f t="shared" si="228"/>
        <v>69</v>
      </c>
      <c r="F371" s="112">
        <v>0</v>
      </c>
      <c r="G371" s="111">
        <f t="shared" si="229"/>
        <v>0</v>
      </c>
      <c r="H371" s="111">
        <f t="shared" si="230"/>
        <v>0</v>
      </c>
      <c r="I371" s="111">
        <f t="shared" si="231"/>
        <v>0</v>
      </c>
      <c r="J371" s="111">
        <f t="shared" si="232"/>
        <v>131501376</v>
      </c>
      <c r="K371" s="113">
        <f t="shared" si="233"/>
        <v>332089</v>
      </c>
      <c r="L371" s="113">
        <f t="shared" si="234"/>
        <v>301491</v>
      </c>
      <c r="M371" s="113">
        <f t="shared" si="235"/>
        <v>297486</v>
      </c>
      <c r="N371" s="116">
        <f t="shared" si="236"/>
        <v>300</v>
      </c>
      <c r="O371" s="117">
        <f t="shared" si="271"/>
        <v>3.5380000000000002E-2</v>
      </c>
      <c r="P371" s="117">
        <f t="shared" si="237"/>
        <v>0</v>
      </c>
      <c r="Q371" s="117">
        <f t="shared" si="238"/>
        <v>0</v>
      </c>
      <c r="R371" s="117">
        <f t="shared" si="239"/>
        <v>2.725E-2</v>
      </c>
      <c r="S371" s="116">
        <f t="shared" si="240"/>
        <v>3.6300000000000003</v>
      </c>
      <c r="T371" s="116">
        <f t="shared" si="241"/>
        <v>3.7900000000000005</v>
      </c>
      <c r="U371" s="116">
        <f t="shared" si="242"/>
        <v>4.63</v>
      </c>
      <c r="V371" s="118">
        <f t="shared" si="243"/>
        <v>20700</v>
      </c>
      <c r="W371" s="118">
        <f t="shared" si="258"/>
        <v>4652518.68</v>
      </c>
      <c r="X371" s="118">
        <f t="shared" si="259"/>
        <v>1205483.07</v>
      </c>
      <c r="Y371" s="118">
        <f t="shared" si="260"/>
        <v>1142650.8899999999</v>
      </c>
      <c r="Z371" s="118">
        <f t="shared" si="261"/>
        <v>1377360.18</v>
      </c>
      <c r="AA371" s="119">
        <v>0</v>
      </c>
      <c r="AB371" s="120">
        <f t="shared" si="244"/>
        <v>0</v>
      </c>
      <c r="AC371" s="118">
        <f t="shared" si="245"/>
        <v>3725494.1399999997</v>
      </c>
      <c r="AD371" s="118">
        <f t="shared" si="262"/>
        <v>8398712.8200000003</v>
      </c>
      <c r="AE371" s="118">
        <f t="shared" si="246"/>
        <v>8398712</v>
      </c>
      <c r="AF371" s="121">
        <f t="shared" si="263"/>
        <v>1</v>
      </c>
      <c r="AG371" s="122">
        <f t="shared" si="247"/>
        <v>-28522</v>
      </c>
      <c r="AH371" s="122">
        <f t="shared" si="248"/>
        <v>305558</v>
      </c>
      <c r="AI371" s="122">
        <f t="shared" si="249"/>
        <v>1255539</v>
      </c>
      <c r="AJ371" s="122">
        <f t="shared" si="250"/>
        <v>0</v>
      </c>
      <c r="AK371" s="122">
        <f t="shared" si="251"/>
        <v>0</v>
      </c>
      <c r="AL371" s="122">
        <f t="shared" si="252"/>
        <v>9931287</v>
      </c>
      <c r="AM371" s="123">
        <f t="shared" si="253"/>
        <v>9931287.8200000003</v>
      </c>
      <c r="AN371" s="123">
        <f t="shared" si="269"/>
        <v>-0.82000000029802322</v>
      </c>
      <c r="AO371" s="124">
        <f t="shared" si="254"/>
        <v>3583412.5</v>
      </c>
      <c r="AP371" s="125">
        <f t="shared" si="264"/>
        <v>1069106.1799999997</v>
      </c>
      <c r="AU371" s="109">
        <f>IF(BA371=1,IF(AU370=MiscData!$F$1,EOMONTH(AU370,-11),EOMONTH(AU370,1)),AU370)</f>
        <v>42308</v>
      </c>
      <c r="AV371" s="108" t="str">
        <f t="shared" si="265"/>
        <v>20140101LGINE693</v>
      </c>
      <c r="AW371" s="126" t="str">
        <f t="shared" si="266"/>
        <v>20140101ITODP</v>
      </c>
      <c r="AX371">
        <f>MiscData!$X$5</f>
        <v>20140101</v>
      </c>
      <c r="BA371" s="98">
        <f>IF(BA370+1&gt;MiscData!$Z$42,1,BA370+1)</f>
        <v>26</v>
      </c>
      <c r="BB371" s="98" t="str">
        <f>VLOOKUP(BA371,MiscData!$Z$5:$AB$46,2,FALSE)</f>
        <v>LGINE693</v>
      </c>
      <c r="BC371" s="98" t="str">
        <f>VLOOKUP(BA371,MiscData!$Z$5:$AB$46,3,FALSE)</f>
        <v>ITODP</v>
      </c>
    </row>
    <row r="372" spans="1:55">
      <c r="A372" s="108">
        <v>353</v>
      </c>
      <c r="B372" s="109" t="str">
        <f t="shared" si="255"/>
        <v>Oct 2015</v>
      </c>
      <c r="C372" s="110" t="str">
        <f t="shared" si="256"/>
        <v>ITODP</v>
      </c>
      <c r="D372" s="110" t="str">
        <f t="shared" si="257"/>
        <v>LGINE694</v>
      </c>
      <c r="E372" s="111">
        <f t="shared" si="228"/>
        <v>0</v>
      </c>
      <c r="F372" s="112">
        <v>0</v>
      </c>
      <c r="G372" s="111">
        <f t="shared" si="229"/>
        <v>0</v>
      </c>
      <c r="H372" s="111">
        <f t="shared" si="230"/>
        <v>0</v>
      </c>
      <c r="I372" s="111">
        <f t="shared" si="231"/>
        <v>0</v>
      </c>
      <c r="J372" s="111">
        <f t="shared" si="232"/>
        <v>0</v>
      </c>
      <c r="K372" s="113">
        <f t="shared" si="233"/>
        <v>0</v>
      </c>
      <c r="L372" s="113">
        <f t="shared" si="234"/>
        <v>0</v>
      </c>
      <c r="M372" s="113">
        <f t="shared" si="235"/>
        <v>0</v>
      </c>
      <c r="N372" s="116">
        <f t="shared" si="236"/>
        <v>300</v>
      </c>
      <c r="O372" s="117">
        <f t="shared" si="271"/>
        <v>3.5380000000000002E-2</v>
      </c>
      <c r="P372" s="117">
        <f t="shared" si="237"/>
        <v>0</v>
      </c>
      <c r="Q372" s="117">
        <f t="shared" si="238"/>
        <v>0</v>
      </c>
      <c r="R372" s="117">
        <f t="shared" si="239"/>
        <v>2.725E-2</v>
      </c>
      <c r="S372" s="116">
        <f t="shared" si="240"/>
        <v>3.6300000000000003</v>
      </c>
      <c r="T372" s="116">
        <f t="shared" si="241"/>
        <v>3.7900000000000005</v>
      </c>
      <c r="U372" s="116">
        <f t="shared" si="242"/>
        <v>4.63</v>
      </c>
      <c r="V372" s="118">
        <f t="shared" si="243"/>
        <v>0</v>
      </c>
      <c r="W372" s="118">
        <f t="shared" si="258"/>
        <v>0</v>
      </c>
      <c r="X372" s="118">
        <f t="shared" si="259"/>
        <v>0</v>
      </c>
      <c r="Y372" s="118">
        <f t="shared" si="260"/>
        <v>0</v>
      </c>
      <c r="Z372" s="118">
        <f t="shared" si="261"/>
        <v>0</v>
      </c>
      <c r="AA372" s="119">
        <v>0</v>
      </c>
      <c r="AB372" s="120">
        <f t="shared" si="244"/>
        <v>0</v>
      </c>
      <c r="AC372" s="118">
        <f t="shared" si="245"/>
        <v>0</v>
      </c>
      <c r="AD372" s="118">
        <f t="shared" si="262"/>
        <v>0</v>
      </c>
      <c r="AE372" s="118">
        <f t="shared" si="246"/>
        <v>0</v>
      </c>
      <c r="AF372" s="121">
        <f t="shared" si="263"/>
        <v>1</v>
      </c>
      <c r="AG372" s="122">
        <f t="shared" si="247"/>
        <v>0</v>
      </c>
      <c r="AH372" s="122">
        <f t="shared" si="248"/>
        <v>0</v>
      </c>
      <c r="AI372" s="122">
        <f t="shared" si="249"/>
        <v>0</v>
      </c>
      <c r="AJ372" s="122">
        <f t="shared" si="250"/>
        <v>0</v>
      </c>
      <c r="AK372" s="122">
        <f t="shared" si="251"/>
        <v>0</v>
      </c>
      <c r="AL372" s="122">
        <f t="shared" si="252"/>
        <v>0</v>
      </c>
      <c r="AM372" s="123">
        <f t="shared" si="253"/>
        <v>0</v>
      </c>
      <c r="AN372" s="123">
        <f t="shared" si="269"/>
        <v>0</v>
      </c>
      <c r="AO372" s="124">
        <f t="shared" si="254"/>
        <v>0</v>
      </c>
      <c r="AP372" s="125">
        <f t="shared" si="264"/>
        <v>0</v>
      </c>
      <c r="AU372" s="109">
        <f>IF(BA372=1,IF(AU371=MiscData!$F$1,EOMONTH(AU371,-11),EOMONTH(AU371,1)),AU371)</f>
        <v>42308</v>
      </c>
      <c r="AV372" s="108" t="str">
        <f t="shared" si="265"/>
        <v>20140101LGINE694</v>
      </c>
      <c r="AW372" s="126" t="str">
        <f t="shared" si="266"/>
        <v>20140101ITODP</v>
      </c>
      <c r="AX372">
        <f>MiscData!$X$5</f>
        <v>20140101</v>
      </c>
      <c r="BA372" s="98">
        <f>IF(BA371+1&gt;MiscData!$Z$42,1,BA371+1)</f>
        <v>27</v>
      </c>
      <c r="BB372" s="98" t="str">
        <f>VLOOKUP(BA372,MiscData!$Z$5:$AB$46,2,FALSE)</f>
        <v>LGINE694</v>
      </c>
      <c r="BC372" s="98" t="str">
        <f>VLOOKUP(BA372,MiscData!$Z$5:$AB$46,3,FALSE)</f>
        <v>ITODP</v>
      </c>
    </row>
    <row r="373" spans="1:55">
      <c r="A373" s="108">
        <v>352</v>
      </c>
      <c r="B373" s="109" t="str">
        <f t="shared" si="255"/>
        <v>Oct 2015</v>
      </c>
      <c r="C373" s="110" t="str">
        <f t="shared" si="256"/>
        <v>LE</v>
      </c>
      <c r="D373" s="110" t="str">
        <f t="shared" si="257"/>
        <v>LGMLE570</v>
      </c>
      <c r="E373" s="111">
        <f t="shared" si="228"/>
        <v>0</v>
      </c>
      <c r="F373" s="112">
        <v>0</v>
      </c>
      <c r="G373" s="111">
        <f t="shared" si="229"/>
        <v>0</v>
      </c>
      <c r="H373" s="111">
        <f t="shared" si="230"/>
        <v>0</v>
      </c>
      <c r="I373" s="111">
        <f t="shared" si="231"/>
        <v>0</v>
      </c>
      <c r="J373" s="111">
        <f t="shared" si="232"/>
        <v>0</v>
      </c>
      <c r="K373" s="113">
        <f t="shared" si="233"/>
        <v>0</v>
      </c>
      <c r="L373" s="113">
        <f t="shared" si="234"/>
        <v>0</v>
      </c>
      <c r="M373" s="113">
        <f t="shared" si="235"/>
        <v>0</v>
      </c>
      <c r="N373" s="116">
        <f t="shared" si="236"/>
        <v>0</v>
      </c>
      <c r="O373" s="117">
        <f t="shared" si="271"/>
        <v>6.4610000000000001E-2</v>
      </c>
      <c r="P373" s="117">
        <f t="shared" si="237"/>
        <v>0</v>
      </c>
      <c r="Q373" s="117">
        <f t="shared" si="238"/>
        <v>0</v>
      </c>
      <c r="R373" s="117">
        <f t="shared" si="239"/>
        <v>2.725E-2</v>
      </c>
      <c r="S373" s="116">
        <f t="shared" si="240"/>
        <v>0</v>
      </c>
      <c r="T373" s="116">
        <f t="shared" si="241"/>
        <v>0</v>
      </c>
      <c r="U373" s="116">
        <f t="shared" si="242"/>
        <v>0</v>
      </c>
      <c r="V373" s="118">
        <f t="shared" si="243"/>
        <v>0</v>
      </c>
      <c r="W373" s="118">
        <f t="shared" si="258"/>
        <v>0</v>
      </c>
      <c r="X373" s="118">
        <f t="shared" si="259"/>
        <v>0</v>
      </c>
      <c r="Y373" s="118">
        <f t="shared" si="260"/>
        <v>0</v>
      </c>
      <c r="Z373" s="118">
        <f t="shared" si="261"/>
        <v>0</v>
      </c>
      <c r="AA373" s="119">
        <v>0</v>
      </c>
      <c r="AB373" s="120">
        <f t="shared" si="244"/>
        <v>0</v>
      </c>
      <c r="AC373" s="118">
        <f t="shared" si="245"/>
        <v>0</v>
      </c>
      <c r="AD373" s="118">
        <f t="shared" si="262"/>
        <v>0</v>
      </c>
      <c r="AE373" s="118">
        <f t="shared" si="246"/>
        <v>0</v>
      </c>
      <c r="AF373" s="121">
        <f t="shared" si="263"/>
        <v>1</v>
      </c>
      <c r="AG373" s="122">
        <f t="shared" si="247"/>
        <v>0</v>
      </c>
      <c r="AH373" s="122">
        <f t="shared" si="248"/>
        <v>0</v>
      </c>
      <c r="AI373" s="122">
        <f t="shared" si="249"/>
        <v>0</v>
      </c>
      <c r="AJ373" s="122">
        <f t="shared" si="250"/>
        <v>0</v>
      </c>
      <c r="AK373" s="122">
        <f t="shared" si="251"/>
        <v>0</v>
      </c>
      <c r="AL373" s="122">
        <f t="shared" si="252"/>
        <v>0</v>
      </c>
      <c r="AM373" s="123">
        <f t="shared" si="253"/>
        <v>0</v>
      </c>
      <c r="AN373" s="123">
        <f t="shared" si="269"/>
        <v>0</v>
      </c>
      <c r="AO373" s="124">
        <f t="shared" si="254"/>
        <v>0</v>
      </c>
      <c r="AP373" s="125">
        <f t="shared" si="264"/>
        <v>0</v>
      </c>
      <c r="AU373" s="109">
        <f>IF(BA373=1,IF(AU372=MiscData!$F$1,EOMONTH(AU372,-11),EOMONTH(AU372,1)),AU372)</f>
        <v>42308</v>
      </c>
      <c r="AV373" s="108" t="str">
        <f t="shared" si="265"/>
        <v>20140101LGMLE570</v>
      </c>
      <c r="AW373" s="126" t="str">
        <f t="shared" si="266"/>
        <v>20140101LE</v>
      </c>
      <c r="AX373">
        <f>MiscData!$X$5</f>
        <v>20140101</v>
      </c>
      <c r="BA373" s="98">
        <f>IF(BA372+1&gt;MiscData!$Z$42,1,BA372+1)</f>
        <v>28</v>
      </c>
      <c r="BB373" s="98" t="str">
        <f>VLOOKUP(BA373,MiscData!$Z$5:$AB$46,2,FALSE)</f>
        <v>LGMLE570</v>
      </c>
      <c r="BC373" s="98" t="str">
        <f>VLOOKUP(BA373,MiscData!$Z$5:$AB$46,3,FALSE)</f>
        <v>LE</v>
      </c>
    </row>
    <row r="374" spans="1:55">
      <c r="A374" s="108">
        <v>353</v>
      </c>
      <c r="B374" s="109" t="str">
        <f t="shared" si="255"/>
        <v>Oct 2015</v>
      </c>
      <c r="C374" s="110" t="str">
        <f t="shared" si="256"/>
        <v>LE</v>
      </c>
      <c r="D374" s="110" t="str">
        <f t="shared" si="257"/>
        <v>LGMLE571</v>
      </c>
      <c r="E374" s="111">
        <f t="shared" si="228"/>
        <v>156</v>
      </c>
      <c r="F374" s="112">
        <v>0</v>
      </c>
      <c r="G374" s="111">
        <f t="shared" si="229"/>
        <v>0</v>
      </c>
      <c r="H374" s="111">
        <f t="shared" si="230"/>
        <v>0</v>
      </c>
      <c r="I374" s="111">
        <f t="shared" si="231"/>
        <v>0</v>
      </c>
      <c r="J374" s="111">
        <f t="shared" si="232"/>
        <v>273372</v>
      </c>
      <c r="K374" s="113">
        <f t="shared" si="233"/>
        <v>0</v>
      </c>
      <c r="L374" s="113">
        <f t="shared" si="234"/>
        <v>0</v>
      </c>
      <c r="M374" s="113">
        <f t="shared" si="235"/>
        <v>0</v>
      </c>
      <c r="N374" s="116">
        <f t="shared" si="236"/>
        <v>0</v>
      </c>
      <c r="O374" s="117">
        <f t="shared" si="271"/>
        <v>6.4610000000000001E-2</v>
      </c>
      <c r="P374" s="117">
        <f t="shared" si="237"/>
        <v>0</v>
      </c>
      <c r="Q374" s="117">
        <f t="shared" si="238"/>
        <v>0</v>
      </c>
      <c r="R374" s="117">
        <f t="shared" si="239"/>
        <v>2.725E-2</v>
      </c>
      <c r="S374" s="116">
        <f t="shared" si="240"/>
        <v>0</v>
      </c>
      <c r="T374" s="116">
        <f t="shared" si="241"/>
        <v>0</v>
      </c>
      <c r="U374" s="116">
        <f t="shared" si="242"/>
        <v>0</v>
      </c>
      <c r="V374" s="118">
        <f t="shared" si="243"/>
        <v>0</v>
      </c>
      <c r="W374" s="118">
        <f t="shared" si="258"/>
        <v>17662.560000000001</v>
      </c>
      <c r="X374" s="118">
        <f t="shared" si="259"/>
        <v>0</v>
      </c>
      <c r="Y374" s="118">
        <f t="shared" si="260"/>
        <v>0</v>
      </c>
      <c r="Z374" s="118">
        <f t="shared" si="261"/>
        <v>0</v>
      </c>
      <c r="AA374" s="119">
        <v>0</v>
      </c>
      <c r="AB374" s="120">
        <f t="shared" si="244"/>
        <v>0</v>
      </c>
      <c r="AC374" s="118">
        <f t="shared" si="245"/>
        <v>0</v>
      </c>
      <c r="AD374" s="118">
        <f t="shared" si="262"/>
        <v>17662.560000000001</v>
      </c>
      <c r="AE374" s="118">
        <f t="shared" si="246"/>
        <v>0</v>
      </c>
      <c r="AF374" s="121">
        <f t="shared" si="263"/>
        <v>0</v>
      </c>
      <c r="AG374" s="122">
        <f t="shared" si="247"/>
        <v>0</v>
      </c>
      <c r="AH374" s="122">
        <f t="shared" si="248"/>
        <v>0</v>
      </c>
      <c r="AI374" s="122">
        <f t="shared" si="249"/>
        <v>0</v>
      </c>
      <c r="AJ374" s="122">
        <f t="shared" si="250"/>
        <v>0</v>
      </c>
      <c r="AK374" s="122">
        <f t="shared" si="251"/>
        <v>0</v>
      </c>
      <c r="AL374" s="122">
        <f t="shared" si="252"/>
        <v>0</v>
      </c>
      <c r="AM374" s="123">
        <f t="shared" si="253"/>
        <v>17662.560000000001</v>
      </c>
      <c r="AN374" s="123">
        <f t="shared" si="269"/>
        <v>-17662.560000000001</v>
      </c>
      <c r="AO374" s="124">
        <f t="shared" si="254"/>
        <v>7449.39</v>
      </c>
      <c r="AP374" s="125">
        <f t="shared" si="264"/>
        <v>10213.170000000002</v>
      </c>
      <c r="AU374" s="109">
        <f>IF(BA374=1,IF(AU373=MiscData!$F$1,EOMONTH(AU373,-11),EOMONTH(AU373,1)),AU373)</f>
        <v>42308</v>
      </c>
      <c r="AV374" s="108" t="str">
        <f t="shared" si="265"/>
        <v>20140101LGMLE571</v>
      </c>
      <c r="AW374" s="126" t="str">
        <f t="shared" si="266"/>
        <v>20140101LE</v>
      </c>
      <c r="AX374">
        <f>MiscData!$X$5</f>
        <v>20140101</v>
      </c>
      <c r="BA374" s="98">
        <f>IF(BA373+1&gt;MiscData!$Z$42,1,BA373+1)</f>
        <v>29</v>
      </c>
      <c r="BB374" s="98" t="str">
        <f>VLOOKUP(BA374,MiscData!$Z$5:$AB$46,2,FALSE)</f>
        <v>LGMLE571</v>
      </c>
      <c r="BC374" s="98" t="str">
        <f>VLOOKUP(BA374,MiscData!$Z$5:$AB$46,3,FALSE)</f>
        <v>LE</v>
      </c>
    </row>
    <row r="375" spans="1:55">
      <c r="A375" s="108">
        <v>354</v>
      </c>
      <c r="B375" s="109" t="str">
        <f t="shared" si="255"/>
        <v>Oct 2015</v>
      </c>
      <c r="C375" s="110" t="str">
        <f t="shared" si="256"/>
        <v>LE</v>
      </c>
      <c r="D375" s="110" t="str">
        <f t="shared" si="257"/>
        <v>LGMLE572</v>
      </c>
      <c r="E375" s="111">
        <f t="shared" si="228"/>
        <v>0</v>
      </c>
      <c r="F375" s="112">
        <v>0</v>
      </c>
      <c r="G375" s="111">
        <f t="shared" si="229"/>
        <v>0</v>
      </c>
      <c r="H375" s="111">
        <f t="shared" si="230"/>
        <v>0</v>
      </c>
      <c r="I375" s="111">
        <f t="shared" si="231"/>
        <v>0</v>
      </c>
      <c r="J375" s="111">
        <f t="shared" si="232"/>
        <v>0</v>
      </c>
      <c r="K375" s="113">
        <f t="shared" si="233"/>
        <v>0</v>
      </c>
      <c r="L375" s="113">
        <f t="shared" si="234"/>
        <v>0</v>
      </c>
      <c r="M375" s="113">
        <f t="shared" si="235"/>
        <v>0</v>
      </c>
      <c r="N375" s="116">
        <f t="shared" si="236"/>
        <v>0</v>
      </c>
      <c r="O375" s="117">
        <f t="shared" si="271"/>
        <v>6.4610000000000001E-2</v>
      </c>
      <c r="P375" s="117">
        <f t="shared" si="237"/>
        <v>0</v>
      </c>
      <c r="Q375" s="117">
        <f t="shared" si="238"/>
        <v>0</v>
      </c>
      <c r="R375" s="117">
        <f t="shared" si="239"/>
        <v>2.725E-2</v>
      </c>
      <c r="S375" s="116">
        <f t="shared" si="240"/>
        <v>0</v>
      </c>
      <c r="T375" s="116">
        <f t="shared" si="241"/>
        <v>0</v>
      </c>
      <c r="U375" s="116">
        <f t="shared" si="242"/>
        <v>0</v>
      </c>
      <c r="V375" s="118">
        <f t="shared" si="243"/>
        <v>0</v>
      </c>
      <c r="W375" s="118">
        <f t="shared" si="258"/>
        <v>0</v>
      </c>
      <c r="X375" s="118">
        <f t="shared" si="259"/>
        <v>0</v>
      </c>
      <c r="Y375" s="118">
        <f t="shared" si="260"/>
        <v>0</v>
      </c>
      <c r="Z375" s="118">
        <f t="shared" si="261"/>
        <v>0</v>
      </c>
      <c r="AA375" s="119">
        <v>0</v>
      </c>
      <c r="AB375" s="120">
        <f t="shared" si="244"/>
        <v>0</v>
      </c>
      <c r="AC375" s="118">
        <f t="shared" si="245"/>
        <v>0</v>
      </c>
      <c r="AD375" s="118">
        <f t="shared" si="262"/>
        <v>0</v>
      </c>
      <c r="AE375" s="118">
        <f t="shared" si="246"/>
        <v>0</v>
      </c>
      <c r="AF375" s="121">
        <f t="shared" si="263"/>
        <v>1</v>
      </c>
      <c r="AG375" s="122">
        <f t="shared" si="247"/>
        <v>0</v>
      </c>
      <c r="AH375" s="122">
        <f t="shared" si="248"/>
        <v>0</v>
      </c>
      <c r="AI375" s="122">
        <f t="shared" si="249"/>
        <v>0</v>
      </c>
      <c r="AJ375" s="122">
        <f t="shared" si="250"/>
        <v>0</v>
      </c>
      <c r="AK375" s="122">
        <f t="shared" si="251"/>
        <v>0</v>
      </c>
      <c r="AL375" s="122">
        <f t="shared" si="252"/>
        <v>0</v>
      </c>
      <c r="AM375" s="123">
        <f t="shared" si="253"/>
        <v>0</v>
      </c>
      <c r="AN375" s="123">
        <f t="shared" ref="AN375:AN388" si="272">AL375-AM375</f>
        <v>0</v>
      </c>
      <c r="AO375" s="124">
        <f t="shared" si="254"/>
        <v>0</v>
      </c>
      <c r="AP375" s="125">
        <f t="shared" si="264"/>
        <v>0</v>
      </c>
      <c r="AU375" s="109">
        <f>IF(BA375=1,IF(AU374=MiscData!$F$1,EOMONTH(AU374,-11),EOMONTH(AU374,1)),AU374)</f>
        <v>42308</v>
      </c>
      <c r="AV375" s="108" t="str">
        <f t="shared" si="265"/>
        <v>20140101LGMLE572</v>
      </c>
      <c r="AW375" s="126" t="str">
        <f t="shared" si="266"/>
        <v>20140101LE</v>
      </c>
      <c r="AX375">
        <f>MiscData!$X$5</f>
        <v>20140101</v>
      </c>
      <c r="BA375" s="98">
        <f>IF(BA374+1&gt;MiscData!$Z$42,1,BA374+1)</f>
        <v>30</v>
      </c>
      <c r="BB375" s="98" t="str">
        <f>VLOOKUP(BA375,MiscData!$Z$5:$AB$46,2,FALSE)</f>
        <v>LGMLE572</v>
      </c>
      <c r="BC375" s="98" t="str">
        <f>VLOOKUP(BA375,MiscData!$Z$5:$AB$46,3,FALSE)</f>
        <v>LE</v>
      </c>
    </row>
    <row r="376" spans="1:55">
      <c r="A376" s="108">
        <v>355</v>
      </c>
      <c r="B376" s="109" t="str">
        <f t="shared" si="255"/>
        <v>Oct 2015</v>
      </c>
      <c r="C376" s="110" t="str">
        <f t="shared" si="256"/>
        <v>TE</v>
      </c>
      <c r="D376" s="110" t="str">
        <f t="shared" si="257"/>
        <v>LGMLE573</v>
      </c>
      <c r="E376" s="111">
        <f t="shared" si="228"/>
        <v>905</v>
      </c>
      <c r="F376" s="112">
        <v>0</v>
      </c>
      <c r="G376" s="111">
        <f t="shared" si="229"/>
        <v>0</v>
      </c>
      <c r="H376" s="111">
        <f t="shared" si="230"/>
        <v>0</v>
      </c>
      <c r="I376" s="111">
        <f t="shared" si="231"/>
        <v>0</v>
      </c>
      <c r="J376" s="111">
        <f t="shared" si="232"/>
        <v>250217</v>
      </c>
      <c r="K376" s="113">
        <f t="shared" si="233"/>
        <v>0</v>
      </c>
      <c r="L376" s="113">
        <f t="shared" si="234"/>
        <v>0</v>
      </c>
      <c r="M376" s="113">
        <f t="shared" si="235"/>
        <v>0</v>
      </c>
      <c r="N376" s="116">
        <f t="shared" si="236"/>
        <v>3.25</v>
      </c>
      <c r="O376" s="117">
        <f t="shared" si="271"/>
        <v>7.6579999999999995E-2</v>
      </c>
      <c r="P376" s="117">
        <f t="shared" si="237"/>
        <v>0</v>
      </c>
      <c r="Q376" s="117">
        <f t="shared" si="238"/>
        <v>0</v>
      </c>
      <c r="R376" s="117">
        <f t="shared" si="239"/>
        <v>2.725E-2</v>
      </c>
      <c r="S376" s="116">
        <f t="shared" si="240"/>
        <v>0</v>
      </c>
      <c r="T376" s="116">
        <f t="shared" si="241"/>
        <v>0</v>
      </c>
      <c r="U376" s="116">
        <f t="shared" si="242"/>
        <v>0</v>
      </c>
      <c r="V376" s="118">
        <f t="shared" si="243"/>
        <v>2941.25</v>
      </c>
      <c r="W376" s="683">
        <f t="shared" si="258"/>
        <v>19161.62</v>
      </c>
      <c r="X376" s="118">
        <f t="shared" si="259"/>
        <v>0</v>
      </c>
      <c r="Y376" s="118">
        <f t="shared" si="260"/>
        <v>0</v>
      </c>
      <c r="Z376" s="118">
        <f t="shared" si="261"/>
        <v>0</v>
      </c>
      <c r="AA376" s="119">
        <v>0</v>
      </c>
      <c r="AB376" s="120">
        <f t="shared" si="244"/>
        <v>0</v>
      </c>
      <c r="AC376" s="118">
        <f t="shared" si="245"/>
        <v>0</v>
      </c>
      <c r="AD376" s="118">
        <f t="shared" si="262"/>
        <v>22102.87</v>
      </c>
      <c r="AE376" s="118">
        <f t="shared" si="246"/>
        <v>0</v>
      </c>
      <c r="AF376" s="121">
        <f t="shared" si="263"/>
        <v>0</v>
      </c>
      <c r="AG376" s="122">
        <f t="shared" si="247"/>
        <v>0</v>
      </c>
      <c r="AH376" s="122">
        <f t="shared" si="248"/>
        <v>0</v>
      </c>
      <c r="AI376" s="122">
        <f t="shared" si="249"/>
        <v>0</v>
      </c>
      <c r="AJ376" s="122">
        <f t="shared" si="250"/>
        <v>0</v>
      </c>
      <c r="AK376" s="122">
        <f t="shared" si="251"/>
        <v>0</v>
      </c>
      <c r="AL376" s="122">
        <f t="shared" si="252"/>
        <v>0</v>
      </c>
      <c r="AM376" s="123">
        <f t="shared" si="253"/>
        <v>22102.87</v>
      </c>
      <c r="AN376" s="123">
        <f t="shared" si="272"/>
        <v>-22102.87</v>
      </c>
      <c r="AO376" s="124">
        <f t="shared" si="254"/>
        <v>6818.41</v>
      </c>
      <c r="AP376" s="125">
        <f t="shared" si="264"/>
        <v>12343.21</v>
      </c>
      <c r="AU376" s="109">
        <f>IF(BA376=1,IF(AU375=MiscData!$F$1,EOMONTH(AU375,-11),EOMONTH(AU375,1)),AU375)</f>
        <v>42308</v>
      </c>
      <c r="AV376" s="108" t="str">
        <f t="shared" si="265"/>
        <v>20140101LGMLE573</v>
      </c>
      <c r="AW376" s="126" t="str">
        <f t="shared" si="266"/>
        <v>20140101TE</v>
      </c>
      <c r="AX376">
        <f>MiscData!$X$5</f>
        <v>20140101</v>
      </c>
      <c r="BA376" s="98">
        <f>IF(BA375+1&gt;MiscData!$Z$42,1,BA375+1)</f>
        <v>31</v>
      </c>
      <c r="BB376" s="98" t="str">
        <f>VLOOKUP(BA376,MiscData!$Z$5:$AB$46,2,FALSE)</f>
        <v>LGMLE573</v>
      </c>
      <c r="BC376" s="98" t="str">
        <f>VLOOKUP(BA376,MiscData!$Z$5:$AB$46,3,FALSE)</f>
        <v>TE</v>
      </c>
    </row>
    <row r="377" spans="1:55">
      <c r="A377" s="108">
        <v>356</v>
      </c>
      <c r="B377" s="109" t="str">
        <f t="shared" si="255"/>
        <v>Oct 2015</v>
      </c>
      <c r="C377" s="110" t="str">
        <f t="shared" si="256"/>
        <v>TE</v>
      </c>
      <c r="D377" s="110" t="str">
        <f t="shared" si="257"/>
        <v>LGMLE574</v>
      </c>
      <c r="E377" s="111">
        <f t="shared" si="228"/>
        <v>0</v>
      </c>
      <c r="F377" s="112">
        <v>0</v>
      </c>
      <c r="G377" s="111">
        <f t="shared" si="229"/>
        <v>0</v>
      </c>
      <c r="H377" s="111">
        <f t="shared" si="230"/>
        <v>0</v>
      </c>
      <c r="I377" s="111">
        <f t="shared" si="231"/>
        <v>0</v>
      </c>
      <c r="J377" s="111">
        <f t="shared" si="232"/>
        <v>0</v>
      </c>
      <c r="K377" s="113">
        <f t="shared" si="233"/>
        <v>0</v>
      </c>
      <c r="L377" s="113">
        <f t="shared" si="234"/>
        <v>0</v>
      </c>
      <c r="M377" s="113">
        <f t="shared" si="235"/>
        <v>0</v>
      </c>
      <c r="N377" s="116">
        <f t="shared" si="236"/>
        <v>3.25</v>
      </c>
      <c r="O377" s="117">
        <f t="shared" si="271"/>
        <v>7.6579999999999995E-2</v>
      </c>
      <c r="P377" s="117">
        <f t="shared" si="237"/>
        <v>0</v>
      </c>
      <c r="Q377" s="117">
        <f t="shared" si="238"/>
        <v>0</v>
      </c>
      <c r="R377" s="117">
        <f t="shared" si="239"/>
        <v>2.725E-2</v>
      </c>
      <c r="S377" s="116">
        <f t="shared" si="240"/>
        <v>0</v>
      </c>
      <c r="T377" s="116">
        <f t="shared" si="241"/>
        <v>0</v>
      </c>
      <c r="U377" s="116">
        <f t="shared" si="242"/>
        <v>0</v>
      </c>
      <c r="V377" s="118">
        <f t="shared" si="243"/>
        <v>0</v>
      </c>
      <c r="W377" s="683">
        <f t="shared" si="258"/>
        <v>0</v>
      </c>
      <c r="X377" s="118">
        <f t="shared" si="259"/>
        <v>0</v>
      </c>
      <c r="Y377" s="118">
        <f t="shared" si="260"/>
        <v>0</v>
      </c>
      <c r="Z377" s="118">
        <f t="shared" si="261"/>
        <v>0</v>
      </c>
      <c r="AA377" s="119">
        <v>0</v>
      </c>
      <c r="AB377" s="120">
        <f t="shared" si="244"/>
        <v>0</v>
      </c>
      <c r="AC377" s="118">
        <f t="shared" si="245"/>
        <v>0</v>
      </c>
      <c r="AD377" s="118">
        <f t="shared" si="262"/>
        <v>0</v>
      </c>
      <c r="AE377" s="118">
        <f t="shared" si="246"/>
        <v>0</v>
      </c>
      <c r="AF377" s="121">
        <f t="shared" si="263"/>
        <v>1</v>
      </c>
      <c r="AG377" s="122">
        <f t="shared" si="247"/>
        <v>0</v>
      </c>
      <c r="AH377" s="122">
        <f t="shared" si="248"/>
        <v>0</v>
      </c>
      <c r="AI377" s="122">
        <f t="shared" si="249"/>
        <v>0</v>
      </c>
      <c r="AJ377" s="122">
        <f t="shared" si="250"/>
        <v>0</v>
      </c>
      <c r="AK377" s="122">
        <f t="shared" si="251"/>
        <v>0</v>
      </c>
      <c r="AL377" s="122">
        <f t="shared" si="252"/>
        <v>0</v>
      </c>
      <c r="AM377" s="123">
        <f t="shared" si="253"/>
        <v>0</v>
      </c>
      <c r="AN377" s="123">
        <f t="shared" si="272"/>
        <v>0</v>
      </c>
      <c r="AO377" s="124">
        <f t="shared" si="254"/>
        <v>0</v>
      </c>
      <c r="AP377" s="125">
        <f t="shared" si="264"/>
        <v>0</v>
      </c>
      <c r="AU377" s="109">
        <f>IF(BA377=1,IF(AU376=MiscData!$F$1,EOMONTH(AU376,-11),EOMONTH(AU376,1)),AU376)</f>
        <v>42308</v>
      </c>
      <c r="AV377" s="108" t="str">
        <f t="shared" si="265"/>
        <v>20140101LGMLE574</v>
      </c>
      <c r="AW377" s="126" t="str">
        <f t="shared" si="266"/>
        <v>20140101TE</v>
      </c>
      <c r="AX377">
        <f>MiscData!$X$5</f>
        <v>20140101</v>
      </c>
      <c r="BA377" s="98">
        <f>IF(BA376+1&gt;MiscData!$Z$42,1,BA376+1)</f>
        <v>32</v>
      </c>
      <c r="BB377" s="98" t="str">
        <f>VLOOKUP(BA377,MiscData!$Z$5:$AB$46,2,FALSE)</f>
        <v>LGMLE574</v>
      </c>
      <c r="BC377" s="98" t="str">
        <f>VLOOKUP(BA377,MiscData!$Z$5:$AB$46,3,FALSE)</f>
        <v>TE</v>
      </c>
    </row>
    <row r="378" spans="1:55">
      <c r="A378" s="108">
        <v>357</v>
      </c>
      <c r="B378" s="109" t="str">
        <f t="shared" si="255"/>
        <v>Oct 2015</v>
      </c>
      <c r="C378" s="110" t="str">
        <f t="shared" si="256"/>
        <v>RS</v>
      </c>
      <c r="D378" s="110" t="str">
        <f t="shared" si="257"/>
        <v>LGRSE411</v>
      </c>
      <c r="E378" s="111">
        <f t="shared" si="228"/>
        <v>0</v>
      </c>
      <c r="F378" s="112">
        <v>0</v>
      </c>
      <c r="G378" s="111">
        <f t="shared" si="229"/>
        <v>0</v>
      </c>
      <c r="H378" s="111">
        <f t="shared" si="230"/>
        <v>0</v>
      </c>
      <c r="I378" s="111">
        <f t="shared" si="231"/>
        <v>0</v>
      </c>
      <c r="J378" s="111">
        <f t="shared" si="232"/>
        <v>0</v>
      </c>
      <c r="K378" s="113">
        <f t="shared" si="233"/>
        <v>0</v>
      </c>
      <c r="L378" s="113">
        <f t="shared" si="234"/>
        <v>0</v>
      </c>
      <c r="M378" s="113">
        <f t="shared" si="235"/>
        <v>0</v>
      </c>
      <c r="N378" s="116">
        <f t="shared" si="236"/>
        <v>0</v>
      </c>
      <c r="O378" s="117">
        <f t="shared" si="271"/>
        <v>8.0760000000000012E-2</v>
      </c>
      <c r="P378" s="117">
        <f t="shared" si="237"/>
        <v>0</v>
      </c>
      <c r="Q378" s="117">
        <f t="shared" si="238"/>
        <v>0</v>
      </c>
      <c r="R378" s="117">
        <f t="shared" si="239"/>
        <v>2.725E-2</v>
      </c>
      <c r="S378" s="116">
        <f t="shared" si="240"/>
        <v>0</v>
      </c>
      <c r="T378" s="116">
        <f t="shared" si="241"/>
        <v>0</v>
      </c>
      <c r="U378" s="116">
        <f t="shared" si="242"/>
        <v>0</v>
      </c>
      <c r="V378" s="118">
        <f t="shared" si="243"/>
        <v>0</v>
      </c>
      <c r="W378" s="118">
        <f t="shared" si="258"/>
        <v>0</v>
      </c>
      <c r="X378" s="118">
        <f t="shared" si="259"/>
        <v>0</v>
      </c>
      <c r="Y378" s="118">
        <f t="shared" si="260"/>
        <v>0</v>
      </c>
      <c r="Z378" s="118">
        <f t="shared" si="261"/>
        <v>0</v>
      </c>
      <c r="AA378" s="119">
        <v>0</v>
      </c>
      <c r="AB378" s="120">
        <f t="shared" si="244"/>
        <v>0</v>
      </c>
      <c r="AC378" s="118">
        <f t="shared" si="245"/>
        <v>0</v>
      </c>
      <c r="AD378" s="118">
        <f t="shared" si="262"/>
        <v>0</v>
      </c>
      <c r="AE378" s="118">
        <f t="shared" si="246"/>
        <v>0</v>
      </c>
      <c r="AF378" s="121">
        <f t="shared" si="263"/>
        <v>1</v>
      </c>
      <c r="AG378" s="122">
        <f t="shared" si="247"/>
        <v>0</v>
      </c>
      <c r="AH378" s="122">
        <f t="shared" si="248"/>
        <v>0</v>
      </c>
      <c r="AI378" s="122">
        <f t="shared" si="249"/>
        <v>0</v>
      </c>
      <c r="AJ378" s="122">
        <f t="shared" si="250"/>
        <v>0</v>
      </c>
      <c r="AK378" s="122">
        <f t="shared" si="251"/>
        <v>0</v>
      </c>
      <c r="AL378" s="122">
        <f t="shared" si="252"/>
        <v>0</v>
      </c>
      <c r="AM378" s="123">
        <f t="shared" si="253"/>
        <v>0</v>
      </c>
      <c r="AN378" s="123">
        <f t="shared" si="272"/>
        <v>0</v>
      </c>
      <c r="AO378" s="124">
        <f t="shared" si="254"/>
        <v>0</v>
      </c>
      <c r="AP378" s="125">
        <f t="shared" si="264"/>
        <v>0</v>
      </c>
      <c r="AU378" s="109">
        <f>IF(BA378=1,IF(AU377=MiscData!$F$1,EOMONTH(AU377,-11),EOMONTH(AU377,1)),AU377)</f>
        <v>42308</v>
      </c>
      <c r="AV378" s="108" t="str">
        <f t="shared" si="265"/>
        <v>20140101LGRSE411</v>
      </c>
      <c r="AW378" s="126" t="str">
        <f t="shared" si="266"/>
        <v>20140101RS</v>
      </c>
      <c r="AX378">
        <f>MiscData!$X$5</f>
        <v>20140101</v>
      </c>
      <c r="BA378" s="98">
        <f>IF(BA377+1&gt;MiscData!$Z$42,1,BA377+1)</f>
        <v>33</v>
      </c>
      <c r="BB378" s="98" t="str">
        <f>VLOOKUP(BA378,MiscData!$Z$5:$AB$46,2,FALSE)</f>
        <v>LGRSE411</v>
      </c>
      <c r="BC378" s="98" t="str">
        <f>VLOOKUP(BA378,MiscData!$Z$5:$AB$46,3,FALSE)</f>
        <v>RS</v>
      </c>
    </row>
    <row r="379" spans="1:55">
      <c r="A379" s="108">
        <v>358</v>
      </c>
      <c r="B379" s="109" t="str">
        <f t="shared" si="255"/>
        <v>Oct 2015</v>
      </c>
      <c r="C379" s="110" t="str">
        <f t="shared" si="256"/>
        <v>RS</v>
      </c>
      <c r="D379" s="110" t="str">
        <f t="shared" si="257"/>
        <v>LGRSE511</v>
      </c>
      <c r="E379" s="111">
        <f t="shared" si="228"/>
        <v>360991</v>
      </c>
      <c r="F379" s="112">
        <v>0</v>
      </c>
      <c r="G379" s="111">
        <f t="shared" si="229"/>
        <v>0</v>
      </c>
      <c r="H379" s="111">
        <f t="shared" si="230"/>
        <v>0</v>
      </c>
      <c r="I379" s="111">
        <f t="shared" si="231"/>
        <v>0</v>
      </c>
      <c r="J379" s="111">
        <f t="shared" si="232"/>
        <v>275093953</v>
      </c>
      <c r="K379" s="113">
        <f t="shared" si="233"/>
        <v>0</v>
      </c>
      <c r="L379" s="113">
        <f t="shared" si="234"/>
        <v>0</v>
      </c>
      <c r="M379" s="113">
        <f t="shared" si="235"/>
        <v>0</v>
      </c>
      <c r="N379" s="116">
        <f t="shared" si="236"/>
        <v>10.75</v>
      </c>
      <c r="O379" s="117">
        <f t="shared" si="271"/>
        <v>8.0760000000000012E-2</v>
      </c>
      <c r="P379" s="117">
        <f t="shared" si="237"/>
        <v>0</v>
      </c>
      <c r="Q379" s="117">
        <f t="shared" si="238"/>
        <v>0</v>
      </c>
      <c r="R379" s="117">
        <f t="shared" si="239"/>
        <v>2.725E-2</v>
      </c>
      <c r="S379" s="116">
        <f t="shared" si="240"/>
        <v>0</v>
      </c>
      <c r="T379" s="116">
        <f t="shared" si="241"/>
        <v>0</v>
      </c>
      <c r="U379" s="116">
        <f t="shared" si="242"/>
        <v>0</v>
      </c>
      <c r="V379" s="118">
        <f t="shared" si="243"/>
        <v>3880653.25</v>
      </c>
      <c r="W379" s="118">
        <f t="shared" si="258"/>
        <v>22216587.640000001</v>
      </c>
      <c r="X379" s="118">
        <f t="shared" si="259"/>
        <v>0</v>
      </c>
      <c r="Y379" s="118">
        <f t="shared" si="260"/>
        <v>0</v>
      </c>
      <c r="Z379" s="118">
        <f t="shared" si="261"/>
        <v>0</v>
      </c>
      <c r="AA379" s="119">
        <v>0</v>
      </c>
      <c r="AB379" s="120">
        <f t="shared" si="244"/>
        <v>0</v>
      </c>
      <c r="AC379" s="118">
        <f t="shared" si="245"/>
        <v>0</v>
      </c>
      <c r="AD379" s="118">
        <f t="shared" si="262"/>
        <v>26097240.890000001</v>
      </c>
      <c r="AE379" s="118">
        <f t="shared" si="246"/>
        <v>26099560</v>
      </c>
      <c r="AF379" s="121">
        <f t="shared" si="263"/>
        <v>1.000089</v>
      </c>
      <c r="AG379" s="122">
        <f t="shared" si="247"/>
        <v>-59673</v>
      </c>
      <c r="AH379" s="122">
        <f t="shared" si="248"/>
        <v>639271</v>
      </c>
      <c r="AI379" s="122">
        <f t="shared" si="249"/>
        <v>2626771</v>
      </c>
      <c r="AJ379" s="122">
        <f t="shared" si="250"/>
        <v>0</v>
      </c>
      <c r="AK379" s="122">
        <f t="shared" si="251"/>
        <v>0</v>
      </c>
      <c r="AL379" s="122">
        <f t="shared" si="252"/>
        <v>29305929</v>
      </c>
      <c r="AM379" s="123">
        <f t="shared" si="253"/>
        <v>29303609.890000001</v>
      </c>
      <c r="AN379" s="123">
        <f t="shared" si="272"/>
        <v>2319.109999999404</v>
      </c>
      <c r="AO379" s="124">
        <f t="shared" si="254"/>
        <v>7496310.2199999997</v>
      </c>
      <c r="AP379" s="125">
        <f t="shared" si="264"/>
        <v>14720277.420000002</v>
      </c>
      <c r="AU379" s="109">
        <f>IF(BA379=1,IF(AU378=MiscData!$F$1,EOMONTH(AU378,-11),EOMONTH(AU378,1)),AU378)</f>
        <v>42308</v>
      </c>
      <c r="AV379" s="108" t="str">
        <f t="shared" si="265"/>
        <v>20140101LGRSE511</v>
      </c>
      <c r="AW379" s="126" t="str">
        <f t="shared" si="266"/>
        <v>20140101RS</v>
      </c>
      <c r="AX379">
        <f>MiscData!$X$5</f>
        <v>20140101</v>
      </c>
      <c r="BA379" s="98">
        <f>IF(BA378+1&gt;MiscData!$Z$42,1,BA378+1)</f>
        <v>34</v>
      </c>
      <c r="BB379" s="98" t="str">
        <f>VLOOKUP(BA379,MiscData!$Z$5:$AB$46,2,FALSE)</f>
        <v>LGRSE511</v>
      </c>
      <c r="BC379" s="98" t="str">
        <f>VLOOKUP(BA379,MiscData!$Z$5:$AB$46,3,FALSE)</f>
        <v>RS</v>
      </c>
    </row>
    <row r="380" spans="1:55">
      <c r="A380" s="108">
        <v>359</v>
      </c>
      <c r="B380" s="109" t="str">
        <f t="shared" si="255"/>
        <v>Oct 2015</v>
      </c>
      <c r="C380" s="110" t="str">
        <f t="shared" si="256"/>
        <v>RS</v>
      </c>
      <c r="D380" s="110" t="str">
        <f t="shared" si="257"/>
        <v>LGRSE519</v>
      </c>
      <c r="E380" s="111">
        <f t="shared" si="228"/>
        <v>0</v>
      </c>
      <c r="F380" s="112">
        <v>0</v>
      </c>
      <c r="G380" s="111">
        <f t="shared" si="229"/>
        <v>0</v>
      </c>
      <c r="H380" s="111">
        <f t="shared" si="230"/>
        <v>0</v>
      </c>
      <c r="I380" s="111">
        <f t="shared" si="231"/>
        <v>0</v>
      </c>
      <c r="J380" s="111">
        <f t="shared" si="232"/>
        <v>0</v>
      </c>
      <c r="K380" s="113">
        <f t="shared" si="233"/>
        <v>0</v>
      </c>
      <c r="L380" s="113">
        <f t="shared" si="234"/>
        <v>0</v>
      </c>
      <c r="M380" s="113">
        <f t="shared" si="235"/>
        <v>0</v>
      </c>
      <c r="N380" s="116">
        <f t="shared" si="236"/>
        <v>10.75</v>
      </c>
      <c r="O380" s="117">
        <f t="shared" si="271"/>
        <v>8.0760000000000012E-2</v>
      </c>
      <c r="P380" s="117">
        <f t="shared" si="237"/>
        <v>0</v>
      </c>
      <c r="Q380" s="117">
        <f t="shared" si="238"/>
        <v>0</v>
      </c>
      <c r="R380" s="117">
        <f t="shared" si="239"/>
        <v>2.725E-2</v>
      </c>
      <c r="S380" s="116">
        <f t="shared" si="240"/>
        <v>0</v>
      </c>
      <c r="T380" s="116">
        <f t="shared" si="241"/>
        <v>0</v>
      </c>
      <c r="U380" s="116">
        <f t="shared" si="242"/>
        <v>0</v>
      </c>
      <c r="V380" s="118">
        <f t="shared" si="243"/>
        <v>0</v>
      </c>
      <c r="W380" s="118">
        <f t="shared" si="258"/>
        <v>0</v>
      </c>
      <c r="X380" s="118">
        <f t="shared" si="259"/>
        <v>0</v>
      </c>
      <c r="Y380" s="118">
        <f t="shared" si="260"/>
        <v>0</v>
      </c>
      <c r="Z380" s="118">
        <f t="shared" si="261"/>
        <v>0</v>
      </c>
      <c r="AA380" s="119">
        <v>0</v>
      </c>
      <c r="AB380" s="120">
        <f t="shared" si="244"/>
        <v>0</v>
      </c>
      <c r="AC380" s="118">
        <f t="shared" si="245"/>
        <v>0</v>
      </c>
      <c r="AD380" s="118">
        <f t="shared" si="262"/>
        <v>0</v>
      </c>
      <c r="AE380" s="118">
        <f t="shared" si="246"/>
        <v>0</v>
      </c>
      <c r="AF380" s="121">
        <f t="shared" si="263"/>
        <v>1</v>
      </c>
      <c r="AG380" s="122">
        <f t="shared" si="247"/>
        <v>0</v>
      </c>
      <c r="AH380" s="122">
        <f t="shared" si="248"/>
        <v>0</v>
      </c>
      <c r="AI380" s="122">
        <f t="shared" si="249"/>
        <v>0</v>
      </c>
      <c r="AJ380" s="122">
        <f t="shared" si="250"/>
        <v>0</v>
      </c>
      <c r="AK380" s="122">
        <f t="shared" si="251"/>
        <v>0</v>
      </c>
      <c r="AL380" s="122">
        <f t="shared" si="252"/>
        <v>0</v>
      </c>
      <c r="AM380" s="123">
        <f t="shared" si="253"/>
        <v>0</v>
      </c>
      <c r="AN380" s="123">
        <f t="shared" si="272"/>
        <v>0</v>
      </c>
      <c r="AO380" s="124">
        <f t="shared" si="254"/>
        <v>0</v>
      </c>
      <c r="AP380" s="125">
        <f t="shared" si="264"/>
        <v>0</v>
      </c>
      <c r="AU380" s="109">
        <f>IF(BA380=1,IF(AU379=MiscData!$F$1,EOMONTH(AU379,-11),EOMONTH(AU379,1)),AU379)</f>
        <v>42308</v>
      </c>
      <c r="AV380" s="108" t="str">
        <f t="shared" si="265"/>
        <v>20140101LGRSE519</v>
      </c>
      <c r="AW380" s="126" t="str">
        <f t="shared" si="266"/>
        <v>20140101RS</v>
      </c>
      <c r="AX380">
        <f>MiscData!$X$5</f>
        <v>20140101</v>
      </c>
      <c r="BA380" s="98">
        <f>IF(BA379+1&gt;MiscData!$Z$42,1,BA379+1)</f>
        <v>35</v>
      </c>
      <c r="BB380" s="98" t="str">
        <f>VLOOKUP(BA380,MiscData!$Z$5:$AB$46,2,FALSE)</f>
        <v>LGRSE519</v>
      </c>
      <c r="BC380" s="98" t="str">
        <f>VLOOKUP(BA380,MiscData!$Z$5:$AB$46,3,FALSE)</f>
        <v>RS</v>
      </c>
    </row>
    <row r="381" spans="1:55">
      <c r="A381" s="108">
        <v>360</v>
      </c>
      <c r="B381" s="109" t="str">
        <f t="shared" si="255"/>
        <v>Oct 2015</v>
      </c>
      <c r="C381" s="110" t="s">
        <v>13</v>
      </c>
      <c r="D381" s="110" t="str">
        <f t="shared" si="257"/>
        <v>LGRSE540</v>
      </c>
      <c r="E381" s="111">
        <f t="shared" si="228"/>
        <v>0</v>
      </c>
      <c r="F381" s="112">
        <v>0</v>
      </c>
      <c r="G381" s="111">
        <f t="shared" si="229"/>
        <v>0</v>
      </c>
      <c r="H381" s="111">
        <f t="shared" si="230"/>
        <v>0</v>
      </c>
      <c r="I381" s="111">
        <f t="shared" si="231"/>
        <v>0</v>
      </c>
      <c r="J381" s="111">
        <f t="shared" si="232"/>
        <v>0</v>
      </c>
      <c r="K381" s="113">
        <f t="shared" si="233"/>
        <v>0</v>
      </c>
      <c r="L381" s="113">
        <f t="shared" si="234"/>
        <v>0</v>
      </c>
      <c r="M381" s="113">
        <f t="shared" si="235"/>
        <v>0</v>
      </c>
      <c r="N381" s="116">
        <f t="shared" si="236"/>
        <v>10.75</v>
      </c>
      <c r="O381" s="117">
        <f t="shared" si="271"/>
        <v>8.0760000000000012E-2</v>
      </c>
      <c r="P381" s="117">
        <f t="shared" si="237"/>
        <v>0</v>
      </c>
      <c r="Q381" s="117">
        <f t="shared" si="238"/>
        <v>0</v>
      </c>
      <c r="R381" s="117">
        <f t="shared" si="239"/>
        <v>2.725E-2</v>
      </c>
      <c r="S381" s="116">
        <f t="shared" si="240"/>
        <v>0</v>
      </c>
      <c r="T381" s="116">
        <f t="shared" si="241"/>
        <v>0</v>
      </c>
      <c r="U381" s="116">
        <f t="shared" si="242"/>
        <v>0</v>
      </c>
      <c r="V381" s="118">
        <f t="shared" si="243"/>
        <v>0</v>
      </c>
      <c r="W381" s="118">
        <f t="shared" si="258"/>
        <v>0</v>
      </c>
      <c r="X381" s="118">
        <f t="shared" si="259"/>
        <v>0</v>
      </c>
      <c r="Y381" s="118">
        <f t="shared" si="260"/>
        <v>0</v>
      </c>
      <c r="Z381" s="118">
        <f t="shared" si="261"/>
        <v>0</v>
      </c>
      <c r="AA381" s="119">
        <v>0</v>
      </c>
      <c r="AB381" s="120">
        <f t="shared" si="244"/>
        <v>0</v>
      </c>
      <c r="AC381" s="118">
        <f t="shared" si="245"/>
        <v>0</v>
      </c>
      <c r="AD381" s="118">
        <f t="shared" si="262"/>
        <v>0</v>
      </c>
      <c r="AE381" s="118">
        <f t="shared" si="246"/>
        <v>0</v>
      </c>
      <c r="AF381" s="121">
        <f t="shared" si="263"/>
        <v>1</v>
      </c>
      <c r="AG381" s="122">
        <f t="shared" si="247"/>
        <v>0</v>
      </c>
      <c r="AH381" s="122">
        <f t="shared" si="248"/>
        <v>0</v>
      </c>
      <c r="AI381" s="122">
        <f t="shared" si="249"/>
        <v>0</v>
      </c>
      <c r="AJ381" s="122">
        <f t="shared" si="250"/>
        <v>0</v>
      </c>
      <c r="AK381" s="122">
        <f t="shared" si="251"/>
        <v>0</v>
      </c>
      <c r="AL381" s="122">
        <f t="shared" si="252"/>
        <v>0</v>
      </c>
      <c r="AM381" s="123">
        <f t="shared" si="253"/>
        <v>0</v>
      </c>
      <c r="AN381" s="123">
        <f t="shared" si="272"/>
        <v>0</v>
      </c>
      <c r="AO381" s="124">
        <f t="shared" si="254"/>
        <v>0</v>
      </c>
      <c r="AP381" s="125">
        <f t="shared" si="264"/>
        <v>0</v>
      </c>
      <c r="AU381" s="109">
        <f>IF(BA381=1,IF(AU380=MiscData!$F$1,EOMONTH(AU380,-11),EOMONTH(AU380,1)),AU380)</f>
        <v>42308</v>
      </c>
      <c r="AV381" s="108" t="str">
        <f t="shared" si="265"/>
        <v>20140101LGRSE540</v>
      </c>
      <c r="AW381" s="126" t="str">
        <f t="shared" si="266"/>
        <v>20140101VFD</v>
      </c>
      <c r="AX381">
        <f>MiscData!$X$5</f>
        <v>20140101</v>
      </c>
      <c r="BA381" s="98">
        <f>IF(BA380+1&gt;MiscData!$Z$42,1,BA380+1)</f>
        <v>36</v>
      </c>
      <c r="BB381" s="98" t="str">
        <f>VLOOKUP(BA381,MiscData!$Z$5:$AB$46,2,FALSE)</f>
        <v>LGRSE540</v>
      </c>
      <c r="BC381" s="98" t="str">
        <f>VLOOKUP(BA381,MiscData!$Z$5:$AB$46,3,FALSE)</f>
        <v>VFD</v>
      </c>
    </row>
    <row r="382" spans="1:55">
      <c r="A382" s="108">
        <v>361</v>
      </c>
      <c r="B382" s="109" t="str">
        <f t="shared" si="255"/>
        <v>Oct 2015</v>
      </c>
      <c r="C382" s="110" t="str">
        <f t="shared" si="256"/>
        <v>LEV</v>
      </c>
      <c r="D382" s="110" t="str">
        <f t="shared" si="257"/>
        <v>LGRSE543</v>
      </c>
      <c r="E382" s="111">
        <f t="shared" si="228"/>
        <v>20</v>
      </c>
      <c r="F382" s="112">
        <v>0</v>
      </c>
      <c r="G382" s="111">
        <f t="shared" si="229"/>
        <v>14140</v>
      </c>
      <c r="H382" s="111">
        <f t="shared" si="230"/>
        <v>7399</v>
      </c>
      <c r="I382" s="111">
        <f t="shared" si="231"/>
        <v>4513</v>
      </c>
      <c r="J382" s="111">
        <f t="shared" si="232"/>
        <v>26052</v>
      </c>
      <c r="K382" s="113">
        <f t="shared" si="233"/>
        <v>0</v>
      </c>
      <c r="L382" s="113">
        <f t="shared" si="234"/>
        <v>0</v>
      </c>
      <c r="M382" s="113">
        <f t="shared" si="235"/>
        <v>0</v>
      </c>
      <c r="N382" s="116">
        <f t="shared" si="236"/>
        <v>10.75</v>
      </c>
      <c r="O382" s="117">
        <f t="shared" si="271"/>
        <v>5.8200000000000002E-2</v>
      </c>
      <c r="P382" s="117">
        <f t="shared" si="237"/>
        <v>7.8990000000000005E-2</v>
      </c>
      <c r="Q382" s="117">
        <f t="shared" si="238"/>
        <v>0.14451000000000003</v>
      </c>
      <c r="R382" s="117">
        <f t="shared" si="239"/>
        <v>2.725E-2</v>
      </c>
      <c r="S382" s="116">
        <f t="shared" si="240"/>
        <v>0</v>
      </c>
      <c r="T382" s="116">
        <f t="shared" si="241"/>
        <v>0</v>
      </c>
      <c r="U382" s="116">
        <f t="shared" si="242"/>
        <v>0</v>
      </c>
      <c r="V382" s="118">
        <f t="shared" si="243"/>
        <v>215</v>
      </c>
      <c r="W382" s="118">
        <f t="shared" si="258"/>
        <v>2059.5700000000002</v>
      </c>
      <c r="X382" s="118">
        <f t="shared" si="259"/>
        <v>0</v>
      </c>
      <c r="Y382" s="118">
        <f t="shared" si="260"/>
        <v>0</v>
      </c>
      <c r="Z382" s="118">
        <f t="shared" si="261"/>
        <v>0</v>
      </c>
      <c r="AA382" s="119">
        <v>0</v>
      </c>
      <c r="AB382" s="120">
        <f t="shared" si="244"/>
        <v>0</v>
      </c>
      <c r="AC382" s="118">
        <f t="shared" si="245"/>
        <v>0</v>
      </c>
      <c r="AD382" s="118">
        <f t="shared" si="262"/>
        <v>2274.5700000000002</v>
      </c>
      <c r="AE382" s="118">
        <f t="shared" si="246"/>
        <v>0</v>
      </c>
      <c r="AF382" s="121">
        <f t="shared" si="263"/>
        <v>0</v>
      </c>
      <c r="AG382" s="122">
        <f t="shared" si="247"/>
        <v>0</v>
      </c>
      <c r="AH382" s="122">
        <f t="shared" si="248"/>
        <v>0</v>
      </c>
      <c r="AI382" s="122">
        <f t="shared" si="249"/>
        <v>0</v>
      </c>
      <c r="AJ382" s="122">
        <f t="shared" si="250"/>
        <v>0</v>
      </c>
      <c r="AK382" s="122">
        <f t="shared" si="251"/>
        <v>0</v>
      </c>
      <c r="AL382" s="122">
        <f t="shared" si="252"/>
        <v>0</v>
      </c>
      <c r="AM382" s="123">
        <f t="shared" si="253"/>
        <v>2274.5700000000002</v>
      </c>
      <c r="AN382" s="123">
        <f t="shared" si="272"/>
        <v>-2274.5700000000002</v>
      </c>
      <c r="AO382" s="124">
        <f t="shared" si="254"/>
        <v>709.92</v>
      </c>
      <c r="AP382" s="125">
        <f t="shared" si="264"/>
        <v>1349.65</v>
      </c>
      <c r="AU382" s="109">
        <f>IF(BA382=1,IF(AU381=MiscData!$F$1,EOMONTH(AU381,-11),EOMONTH(AU381,1)),AU381)</f>
        <v>42308</v>
      </c>
      <c r="AV382" s="108" t="str">
        <f t="shared" si="265"/>
        <v>20140101LGRSE543</v>
      </c>
      <c r="AW382" s="126" t="str">
        <f t="shared" si="266"/>
        <v>20140101LEV</v>
      </c>
      <c r="AX382">
        <f>MiscData!$X$5</f>
        <v>20140101</v>
      </c>
      <c r="BA382" s="98">
        <f>IF(BA381+1&gt;MiscData!$Z$42,1,BA381+1)</f>
        <v>37</v>
      </c>
      <c r="BB382" s="98" t="str">
        <f>VLOOKUP(BA382,MiscData!$Z$5:$AB$46,2,FALSE)</f>
        <v>LGRSE543</v>
      </c>
      <c r="BC382" s="98" t="str">
        <f>VLOOKUP(BA382,MiscData!$Z$5:$AB$46,3,FALSE)</f>
        <v>LEV</v>
      </c>
    </row>
    <row r="383" spans="1:55">
      <c r="A383" s="108">
        <v>362</v>
      </c>
      <c r="B383" s="109" t="str">
        <f t="shared" si="255"/>
        <v>Oct 2015</v>
      </c>
      <c r="C383" s="110" t="str">
        <f t="shared" si="256"/>
        <v>LEV</v>
      </c>
      <c r="D383" s="110" t="str">
        <f t="shared" si="257"/>
        <v>LGRSE547</v>
      </c>
      <c r="E383" s="111">
        <f t="shared" si="228"/>
        <v>0</v>
      </c>
      <c r="F383" s="112">
        <v>0</v>
      </c>
      <c r="G383" s="111">
        <f t="shared" si="229"/>
        <v>0</v>
      </c>
      <c r="H383" s="111">
        <f t="shared" si="230"/>
        <v>0</v>
      </c>
      <c r="I383" s="111">
        <f t="shared" si="231"/>
        <v>0</v>
      </c>
      <c r="J383" s="111">
        <f t="shared" si="232"/>
        <v>0</v>
      </c>
      <c r="K383" s="113">
        <f t="shared" si="233"/>
        <v>0</v>
      </c>
      <c r="L383" s="113">
        <f t="shared" si="234"/>
        <v>0</v>
      </c>
      <c r="M383" s="113">
        <f t="shared" si="235"/>
        <v>0</v>
      </c>
      <c r="N383" s="116">
        <f t="shared" si="236"/>
        <v>10.75</v>
      </c>
      <c r="O383" s="117">
        <f t="shared" si="271"/>
        <v>5.8200000000000002E-2</v>
      </c>
      <c r="P383" s="117">
        <f t="shared" si="237"/>
        <v>7.8990000000000005E-2</v>
      </c>
      <c r="Q383" s="117">
        <f t="shared" si="238"/>
        <v>0.14451000000000003</v>
      </c>
      <c r="R383" s="117">
        <f t="shared" si="239"/>
        <v>2.725E-2</v>
      </c>
      <c r="S383" s="116">
        <f t="shared" si="240"/>
        <v>0</v>
      </c>
      <c r="T383" s="116">
        <f t="shared" si="241"/>
        <v>0</v>
      </c>
      <c r="U383" s="116">
        <f t="shared" si="242"/>
        <v>0</v>
      </c>
      <c r="V383" s="118">
        <f t="shared" si="243"/>
        <v>0</v>
      </c>
      <c r="W383" s="118">
        <f t="shared" si="258"/>
        <v>0</v>
      </c>
      <c r="X383" s="118">
        <f t="shared" si="259"/>
        <v>0</v>
      </c>
      <c r="Y383" s="118">
        <f t="shared" si="260"/>
        <v>0</v>
      </c>
      <c r="Z383" s="118">
        <f t="shared" si="261"/>
        <v>0</v>
      </c>
      <c r="AA383" s="119">
        <v>0</v>
      </c>
      <c r="AB383" s="120">
        <f t="shared" si="244"/>
        <v>0</v>
      </c>
      <c r="AC383" s="118">
        <f t="shared" si="245"/>
        <v>0</v>
      </c>
      <c r="AD383" s="118">
        <f t="shared" si="262"/>
        <v>0</v>
      </c>
      <c r="AE383" s="118">
        <f t="shared" si="246"/>
        <v>0</v>
      </c>
      <c r="AF383" s="121">
        <f t="shared" si="263"/>
        <v>1</v>
      </c>
      <c r="AG383" s="122">
        <f t="shared" si="247"/>
        <v>0</v>
      </c>
      <c r="AH383" s="122">
        <f t="shared" si="248"/>
        <v>0</v>
      </c>
      <c r="AI383" s="122">
        <f t="shared" si="249"/>
        <v>0</v>
      </c>
      <c r="AJ383" s="122">
        <f t="shared" si="250"/>
        <v>0</v>
      </c>
      <c r="AK383" s="122">
        <f t="shared" si="251"/>
        <v>0</v>
      </c>
      <c r="AL383" s="122">
        <f t="shared" si="252"/>
        <v>0</v>
      </c>
      <c r="AM383" s="123">
        <f t="shared" si="253"/>
        <v>0</v>
      </c>
      <c r="AN383" s="123">
        <f t="shared" ref="AN383:AN387" si="273">ROUND(AL383-AM383,2)</f>
        <v>0</v>
      </c>
      <c r="AO383" s="124">
        <f t="shared" si="254"/>
        <v>0</v>
      </c>
      <c r="AP383" s="125">
        <f t="shared" si="264"/>
        <v>0</v>
      </c>
      <c r="AU383" s="109">
        <f>IF(BA383=1,IF(AU382=MiscData!$F$1,EOMONTH(AU382,-11),EOMONTH(AU382,1)),AU382)</f>
        <v>42308</v>
      </c>
      <c r="AV383" s="108" t="str">
        <f t="shared" si="265"/>
        <v>20140101LGRSE547</v>
      </c>
      <c r="AW383" s="126" t="str">
        <f t="shared" si="266"/>
        <v>20140101LEV</v>
      </c>
      <c r="AX383">
        <f>MiscData!$X$5</f>
        <v>20140101</v>
      </c>
      <c r="BA383" s="98">
        <f>IF(BA382+1&gt;MiscData!$Z$42,1,BA382+1)</f>
        <v>38</v>
      </c>
      <c r="BB383" s="98" t="str">
        <f>VLOOKUP(BA383,MiscData!$Z$5:$AB$46,2,FALSE)</f>
        <v>LGRSE547</v>
      </c>
      <c r="BC383" s="98" t="str">
        <f>VLOOKUP(BA383,MiscData!$Z$5:$AB$46,3,FALSE)</f>
        <v>LEV</v>
      </c>
    </row>
    <row r="384" spans="1:55">
      <c r="A384" s="108">
        <v>363</v>
      </c>
      <c r="B384" s="109" t="str">
        <f t="shared" si="255"/>
        <v>Nov 2015</v>
      </c>
      <c r="C384" s="110" t="str">
        <f t="shared" si="256"/>
        <v>FLSP</v>
      </c>
      <c r="D384" s="110" t="str">
        <f t="shared" si="257"/>
        <v>LGINE682</v>
      </c>
      <c r="E384" s="111">
        <f t="shared" si="228"/>
        <v>0</v>
      </c>
      <c r="F384" s="112">
        <v>0</v>
      </c>
      <c r="G384" s="111">
        <f t="shared" si="229"/>
        <v>0</v>
      </c>
      <c r="H384" s="111">
        <f t="shared" si="230"/>
        <v>0</v>
      </c>
      <c r="I384" s="111">
        <f t="shared" si="231"/>
        <v>0</v>
      </c>
      <c r="J384" s="111">
        <f t="shared" si="232"/>
        <v>0</v>
      </c>
      <c r="K384" s="113">
        <f t="shared" si="233"/>
        <v>0</v>
      </c>
      <c r="L384" s="113">
        <f t="shared" si="234"/>
        <v>0</v>
      </c>
      <c r="M384" s="113">
        <f t="shared" si="235"/>
        <v>0</v>
      </c>
      <c r="N384" s="116">
        <f t="shared" si="236"/>
        <v>750</v>
      </c>
      <c r="O384" s="117">
        <f t="shared" si="271"/>
        <v>3.61E-2</v>
      </c>
      <c r="P384" s="117">
        <f t="shared" si="237"/>
        <v>0</v>
      </c>
      <c r="Q384" s="117">
        <f t="shared" si="238"/>
        <v>0</v>
      </c>
      <c r="R384" s="117">
        <f t="shared" si="239"/>
        <v>2.725E-2</v>
      </c>
      <c r="S384" s="116">
        <f t="shared" si="240"/>
        <v>1.8900000000000001</v>
      </c>
      <c r="T384" s="116">
        <f t="shared" si="241"/>
        <v>1.8900000000000001</v>
      </c>
      <c r="U384" s="116">
        <f t="shared" si="242"/>
        <v>2.94</v>
      </c>
      <c r="V384" s="118">
        <f t="shared" si="243"/>
        <v>0</v>
      </c>
      <c r="W384" s="118">
        <f t="shared" si="258"/>
        <v>0</v>
      </c>
      <c r="X384" s="118">
        <f t="shared" si="259"/>
        <v>0</v>
      </c>
      <c r="Y384" s="118">
        <f t="shared" si="260"/>
        <v>0</v>
      </c>
      <c r="Z384" s="118">
        <f t="shared" si="261"/>
        <v>0</v>
      </c>
      <c r="AA384" s="119">
        <v>0</v>
      </c>
      <c r="AB384" s="120">
        <f t="shared" si="244"/>
        <v>0</v>
      </c>
      <c r="AC384" s="118">
        <f t="shared" si="245"/>
        <v>0</v>
      </c>
      <c r="AD384" s="118">
        <f t="shared" si="262"/>
        <v>0</v>
      </c>
      <c r="AE384" s="118">
        <f t="shared" si="246"/>
        <v>0</v>
      </c>
      <c r="AF384" s="121">
        <f t="shared" si="263"/>
        <v>1</v>
      </c>
      <c r="AG384" s="122">
        <f t="shared" si="247"/>
        <v>0</v>
      </c>
      <c r="AH384" s="122">
        <f t="shared" si="248"/>
        <v>0</v>
      </c>
      <c r="AI384" s="122">
        <f t="shared" si="249"/>
        <v>0</v>
      </c>
      <c r="AJ384" s="122">
        <f t="shared" si="250"/>
        <v>0</v>
      </c>
      <c r="AK384" s="122">
        <f t="shared" si="251"/>
        <v>0</v>
      </c>
      <c r="AL384" s="122">
        <f t="shared" si="252"/>
        <v>0</v>
      </c>
      <c r="AM384" s="123">
        <f t="shared" si="253"/>
        <v>0</v>
      </c>
      <c r="AN384" s="123">
        <f t="shared" si="273"/>
        <v>0</v>
      </c>
      <c r="AO384" s="124">
        <f t="shared" si="254"/>
        <v>0</v>
      </c>
      <c r="AP384" s="125">
        <f t="shared" si="264"/>
        <v>0</v>
      </c>
      <c r="AU384" s="109">
        <f>IF(BA384=1,IF(AU383=MiscData!$F$1,EOMONTH(AU383,-11),EOMONTH(AU383,1)),AU383)</f>
        <v>42338</v>
      </c>
      <c r="AV384" s="108" t="str">
        <f t="shared" si="265"/>
        <v>20140101LGINE682</v>
      </c>
      <c r="AW384" s="126" t="str">
        <f t="shared" si="266"/>
        <v>20140101FLSP</v>
      </c>
      <c r="AX384">
        <f>MiscData!$X$5</f>
        <v>20140101</v>
      </c>
      <c r="BA384" s="98">
        <f>IF(BA383+1&gt;MiscData!$Z$42,1,BA383+1)</f>
        <v>1</v>
      </c>
      <c r="BB384" s="98" t="str">
        <f>VLOOKUP(BA384,MiscData!$Z$5:$AB$46,2,FALSE)</f>
        <v>LGINE682</v>
      </c>
      <c r="BC384" s="98" t="str">
        <f>VLOOKUP(BA384,MiscData!$Z$5:$AB$46,3,FALSE)</f>
        <v>FLSP</v>
      </c>
    </row>
    <row r="385" spans="1:55">
      <c r="A385" s="108">
        <v>364</v>
      </c>
      <c r="B385" s="109" t="str">
        <f t="shared" si="255"/>
        <v>Nov 2015</v>
      </c>
      <c r="C385" s="110" t="str">
        <f t="shared" si="256"/>
        <v>FLST</v>
      </c>
      <c r="D385" s="110" t="str">
        <f t="shared" si="257"/>
        <v>LGINE683</v>
      </c>
      <c r="E385" s="111">
        <f t="shared" si="228"/>
        <v>0</v>
      </c>
      <c r="F385" s="112">
        <v>0</v>
      </c>
      <c r="G385" s="111">
        <f t="shared" si="229"/>
        <v>0</v>
      </c>
      <c r="H385" s="111">
        <f t="shared" si="230"/>
        <v>0</v>
      </c>
      <c r="I385" s="111">
        <f t="shared" si="231"/>
        <v>0</v>
      </c>
      <c r="J385" s="111">
        <f t="shared" si="232"/>
        <v>0</v>
      </c>
      <c r="K385" s="113">
        <f t="shared" si="233"/>
        <v>0</v>
      </c>
      <c r="L385" s="113">
        <f t="shared" si="234"/>
        <v>0</v>
      </c>
      <c r="M385" s="113">
        <f t="shared" si="235"/>
        <v>0</v>
      </c>
      <c r="N385" s="116">
        <f t="shared" si="236"/>
        <v>750</v>
      </c>
      <c r="O385" s="117">
        <f t="shared" si="271"/>
        <v>3.61E-2</v>
      </c>
      <c r="P385" s="117">
        <f t="shared" si="237"/>
        <v>0</v>
      </c>
      <c r="Q385" s="117">
        <f t="shared" si="238"/>
        <v>0</v>
      </c>
      <c r="R385" s="117">
        <f t="shared" si="239"/>
        <v>2.725E-2</v>
      </c>
      <c r="S385" s="116">
        <f t="shared" si="240"/>
        <v>1.1400000000000001</v>
      </c>
      <c r="T385" s="116">
        <f t="shared" si="241"/>
        <v>1.8900000000000001</v>
      </c>
      <c r="U385" s="116">
        <f t="shared" si="242"/>
        <v>2.94</v>
      </c>
      <c r="V385" s="118">
        <f t="shared" si="243"/>
        <v>0</v>
      </c>
      <c r="W385" s="118">
        <f t="shared" si="258"/>
        <v>0</v>
      </c>
      <c r="X385" s="118">
        <f t="shared" si="259"/>
        <v>0</v>
      </c>
      <c r="Y385" s="118">
        <f t="shared" si="260"/>
        <v>0</v>
      </c>
      <c r="Z385" s="118">
        <f t="shared" si="261"/>
        <v>0</v>
      </c>
      <c r="AA385" s="119">
        <v>0</v>
      </c>
      <c r="AB385" s="120">
        <f t="shared" si="244"/>
        <v>0</v>
      </c>
      <c r="AC385" s="118">
        <f t="shared" si="245"/>
        <v>0</v>
      </c>
      <c r="AD385" s="118">
        <f t="shared" si="262"/>
        <v>0</v>
      </c>
      <c r="AE385" s="118">
        <f t="shared" si="246"/>
        <v>0</v>
      </c>
      <c r="AF385" s="121">
        <f t="shared" si="263"/>
        <v>1</v>
      </c>
      <c r="AG385" s="122">
        <f t="shared" si="247"/>
        <v>0</v>
      </c>
      <c r="AH385" s="122">
        <f t="shared" si="248"/>
        <v>0</v>
      </c>
      <c r="AI385" s="122">
        <f t="shared" si="249"/>
        <v>0</v>
      </c>
      <c r="AJ385" s="122">
        <f t="shared" si="250"/>
        <v>0</v>
      </c>
      <c r="AK385" s="122">
        <f t="shared" si="251"/>
        <v>0</v>
      </c>
      <c r="AL385" s="122">
        <f t="shared" si="252"/>
        <v>0</v>
      </c>
      <c r="AM385" s="123">
        <f t="shared" si="253"/>
        <v>0</v>
      </c>
      <c r="AN385" s="123">
        <f t="shared" si="273"/>
        <v>0</v>
      </c>
      <c r="AO385" s="124">
        <f t="shared" si="254"/>
        <v>0</v>
      </c>
      <c r="AP385" s="125">
        <f t="shared" si="264"/>
        <v>0</v>
      </c>
      <c r="AU385" s="109">
        <f>IF(BA385=1,IF(AU384=MiscData!$F$1,EOMONTH(AU384,-11),EOMONTH(AU384,1)),AU384)</f>
        <v>42338</v>
      </c>
      <c r="AV385" s="108" t="str">
        <f t="shared" si="265"/>
        <v>20140101LGINE683</v>
      </c>
      <c r="AW385" s="126" t="str">
        <f t="shared" si="266"/>
        <v>20140101FLST</v>
      </c>
      <c r="AX385">
        <f>MiscData!$X$5</f>
        <v>20140101</v>
      </c>
      <c r="BA385" s="98">
        <f>IF(BA384+1&gt;MiscData!$Z$42,1,BA384+1)</f>
        <v>2</v>
      </c>
      <c r="BB385" s="98" t="str">
        <f>VLOOKUP(BA385,MiscData!$Z$5:$AB$46,2,FALSE)</f>
        <v>LGINE683</v>
      </c>
      <c r="BC385" s="98" t="str">
        <f>VLOOKUP(BA385,MiscData!$Z$5:$AB$46,3,FALSE)</f>
        <v>FLST</v>
      </c>
    </row>
    <row r="386" spans="1:55">
      <c r="A386" s="108">
        <v>365</v>
      </c>
      <c r="B386" s="109" t="str">
        <f t="shared" si="255"/>
        <v>Nov 2015</v>
      </c>
      <c r="C386" s="110" t="s">
        <v>902</v>
      </c>
      <c r="D386" s="110" t="str">
        <f t="shared" si="257"/>
        <v>LGCME451</v>
      </c>
      <c r="E386" s="111">
        <f t="shared" si="228"/>
        <v>0</v>
      </c>
      <c r="F386" s="112">
        <v>0</v>
      </c>
      <c r="G386" s="111">
        <f t="shared" si="229"/>
        <v>0</v>
      </c>
      <c r="H386" s="111">
        <f t="shared" si="230"/>
        <v>0</v>
      </c>
      <c r="I386" s="111">
        <f t="shared" si="231"/>
        <v>0</v>
      </c>
      <c r="J386" s="111">
        <f t="shared" si="232"/>
        <v>0</v>
      </c>
      <c r="K386" s="113">
        <f t="shared" si="233"/>
        <v>0</v>
      </c>
      <c r="L386" s="113">
        <f t="shared" si="234"/>
        <v>0</v>
      </c>
      <c r="M386" s="113">
        <f t="shared" si="235"/>
        <v>0</v>
      </c>
      <c r="N386" s="116">
        <f t="shared" si="236"/>
        <v>0</v>
      </c>
      <c r="O386" s="117">
        <f t="shared" si="271"/>
        <v>9.1340000000000005E-2</v>
      </c>
      <c r="P386" s="117">
        <f t="shared" si="237"/>
        <v>0</v>
      </c>
      <c r="Q386" s="117">
        <f t="shared" si="238"/>
        <v>0</v>
      </c>
      <c r="R386" s="117">
        <f t="shared" si="239"/>
        <v>2.725E-2</v>
      </c>
      <c r="S386" s="116">
        <f t="shared" si="240"/>
        <v>0</v>
      </c>
      <c r="T386" s="116">
        <f t="shared" si="241"/>
        <v>0</v>
      </c>
      <c r="U386" s="116">
        <f t="shared" si="242"/>
        <v>0</v>
      </c>
      <c r="V386" s="118">
        <f t="shared" si="243"/>
        <v>0</v>
      </c>
      <c r="W386" s="118">
        <f t="shared" si="258"/>
        <v>0</v>
      </c>
      <c r="X386" s="118">
        <f t="shared" si="259"/>
        <v>0</v>
      </c>
      <c r="Y386" s="118">
        <f t="shared" si="260"/>
        <v>0</v>
      </c>
      <c r="Z386" s="118">
        <f t="shared" si="261"/>
        <v>0</v>
      </c>
      <c r="AA386" s="119">
        <v>0</v>
      </c>
      <c r="AB386" s="120">
        <f t="shared" si="244"/>
        <v>0</v>
      </c>
      <c r="AC386" s="118">
        <f t="shared" si="245"/>
        <v>0</v>
      </c>
      <c r="AD386" s="118">
        <f t="shared" si="262"/>
        <v>0</v>
      </c>
      <c r="AE386" s="118">
        <f t="shared" si="246"/>
        <v>0</v>
      </c>
      <c r="AF386" s="121">
        <f t="shared" si="263"/>
        <v>1</v>
      </c>
      <c r="AG386" s="122">
        <f t="shared" si="247"/>
        <v>0</v>
      </c>
      <c r="AH386" s="122">
        <f t="shared" si="248"/>
        <v>0</v>
      </c>
      <c r="AI386" s="122">
        <f t="shared" si="249"/>
        <v>0</v>
      </c>
      <c r="AJ386" s="122">
        <f t="shared" si="250"/>
        <v>0</v>
      </c>
      <c r="AK386" s="122">
        <f t="shared" si="251"/>
        <v>0</v>
      </c>
      <c r="AL386" s="122">
        <f t="shared" si="252"/>
        <v>0</v>
      </c>
      <c r="AM386" s="123">
        <f t="shared" si="253"/>
        <v>0</v>
      </c>
      <c r="AN386" s="123">
        <f t="shared" si="273"/>
        <v>0</v>
      </c>
      <c r="AO386" s="124">
        <f t="shared" si="254"/>
        <v>0</v>
      </c>
      <c r="AP386" s="125">
        <f t="shared" si="264"/>
        <v>0</v>
      </c>
      <c r="AU386" s="109">
        <f>IF(BA386=1,IF(AU385=MiscData!$F$1,EOMONTH(AU385,-11),EOMONTH(AU385,1)),AU385)</f>
        <v>42338</v>
      </c>
      <c r="AV386" s="108" t="str">
        <f t="shared" si="265"/>
        <v>20140101LGCME451</v>
      </c>
      <c r="AW386" s="126" t="str">
        <f t="shared" si="266"/>
        <v>20140101GSS</v>
      </c>
      <c r="AX386">
        <f>MiscData!$X$5</f>
        <v>20140101</v>
      </c>
      <c r="BA386" s="98">
        <f>IF(BA385+1&gt;MiscData!$Z$42,1,BA385+1)</f>
        <v>3</v>
      </c>
      <c r="BB386" s="98" t="str">
        <f>VLOOKUP(BA386,MiscData!$Z$5:$AB$46,2,FALSE)</f>
        <v>LGCME451</v>
      </c>
      <c r="BC386" s="98" t="str">
        <f>VLOOKUP(BA386,MiscData!$Z$5:$AB$46,3,FALSE)</f>
        <v>GSS</v>
      </c>
    </row>
    <row r="387" spans="1:55">
      <c r="A387" s="108">
        <v>366</v>
      </c>
      <c r="B387" s="109" t="str">
        <f t="shared" si="255"/>
        <v>Nov 2015</v>
      </c>
      <c r="C387" s="110" t="s">
        <v>902</v>
      </c>
      <c r="D387" s="110" t="str">
        <f t="shared" si="257"/>
        <v>LGCME550</v>
      </c>
      <c r="E387" s="111">
        <f t="shared" si="228"/>
        <v>0</v>
      </c>
      <c r="F387" s="112">
        <v>0</v>
      </c>
      <c r="G387" s="111">
        <f t="shared" si="229"/>
        <v>0</v>
      </c>
      <c r="H387" s="111">
        <f t="shared" si="230"/>
        <v>0</v>
      </c>
      <c r="I387" s="111">
        <f t="shared" si="231"/>
        <v>0</v>
      </c>
      <c r="J387" s="111">
        <f t="shared" si="232"/>
        <v>0</v>
      </c>
      <c r="K387" s="113">
        <f t="shared" si="233"/>
        <v>0</v>
      </c>
      <c r="L387" s="113">
        <f t="shared" si="234"/>
        <v>0</v>
      </c>
      <c r="M387" s="113">
        <f t="shared" si="235"/>
        <v>0</v>
      </c>
      <c r="N387" s="116">
        <f t="shared" si="236"/>
        <v>20</v>
      </c>
      <c r="O387" s="117">
        <f t="shared" si="271"/>
        <v>9.1340000000000005E-2</v>
      </c>
      <c r="P387" s="117">
        <f t="shared" si="237"/>
        <v>0</v>
      </c>
      <c r="Q387" s="117">
        <f t="shared" si="238"/>
        <v>0</v>
      </c>
      <c r="R387" s="117">
        <f t="shared" si="239"/>
        <v>2.725E-2</v>
      </c>
      <c r="S387" s="116">
        <f t="shared" si="240"/>
        <v>0</v>
      </c>
      <c r="T387" s="116">
        <f t="shared" si="241"/>
        <v>0</v>
      </c>
      <c r="U387" s="116">
        <f t="shared" si="242"/>
        <v>0</v>
      </c>
      <c r="V387" s="118">
        <f t="shared" si="243"/>
        <v>0</v>
      </c>
      <c r="W387" s="118">
        <f t="shared" si="258"/>
        <v>0</v>
      </c>
      <c r="X387" s="118">
        <f t="shared" si="259"/>
        <v>0</v>
      </c>
      <c r="Y387" s="118">
        <f t="shared" si="260"/>
        <v>0</v>
      </c>
      <c r="Z387" s="118">
        <f t="shared" si="261"/>
        <v>0</v>
      </c>
      <c r="AA387" s="119">
        <v>0</v>
      </c>
      <c r="AB387" s="120">
        <f t="shared" si="244"/>
        <v>0</v>
      </c>
      <c r="AC387" s="118">
        <f t="shared" si="245"/>
        <v>0</v>
      </c>
      <c r="AD387" s="118">
        <f t="shared" si="262"/>
        <v>0</v>
      </c>
      <c r="AE387" s="118">
        <f t="shared" si="246"/>
        <v>0</v>
      </c>
      <c r="AF387" s="121">
        <f t="shared" si="263"/>
        <v>1</v>
      </c>
      <c r="AG387" s="122">
        <f t="shared" si="247"/>
        <v>0</v>
      </c>
      <c r="AH387" s="122">
        <f t="shared" si="248"/>
        <v>0</v>
      </c>
      <c r="AI387" s="122">
        <f t="shared" si="249"/>
        <v>0</v>
      </c>
      <c r="AJ387" s="122">
        <f t="shared" si="250"/>
        <v>0</v>
      </c>
      <c r="AK387" s="122">
        <f t="shared" si="251"/>
        <v>0</v>
      </c>
      <c r="AL387" s="122">
        <f t="shared" si="252"/>
        <v>0</v>
      </c>
      <c r="AM387" s="123">
        <f t="shared" si="253"/>
        <v>0</v>
      </c>
      <c r="AN387" s="123">
        <f t="shared" si="273"/>
        <v>0</v>
      </c>
      <c r="AO387" s="124">
        <f t="shared" si="254"/>
        <v>0</v>
      </c>
      <c r="AP387" s="125">
        <f t="shared" si="264"/>
        <v>0</v>
      </c>
      <c r="AU387" s="109">
        <f>IF(BA387=1,IF(AU386=MiscData!$F$1,EOMONTH(AU386,-11),EOMONTH(AU386,1)),AU386)</f>
        <v>42338</v>
      </c>
      <c r="AV387" s="108" t="str">
        <f t="shared" si="265"/>
        <v>20140101LGCME550</v>
      </c>
      <c r="AW387" s="126" t="str">
        <f t="shared" si="266"/>
        <v>20140101GSS</v>
      </c>
      <c r="AX387">
        <f>MiscData!$X$5</f>
        <v>20140101</v>
      </c>
      <c r="BA387" s="98">
        <f>IF(BA386+1&gt;MiscData!$Z$42,1,BA386+1)</f>
        <v>4</v>
      </c>
      <c r="BB387" s="98" t="str">
        <f>VLOOKUP(BA387,MiscData!$Z$5:$AB$46,2,FALSE)</f>
        <v>LGCME550</v>
      </c>
      <c r="BC387" s="98" t="str">
        <f>VLOOKUP(BA387,MiscData!$Z$5:$AB$46,3,FALSE)</f>
        <v>GSS</v>
      </c>
    </row>
    <row r="388" spans="1:55">
      <c r="A388" s="108">
        <v>367</v>
      </c>
      <c r="B388" s="109" t="str">
        <f t="shared" si="255"/>
        <v>Nov 2015</v>
      </c>
      <c r="C388" s="110" t="s">
        <v>902</v>
      </c>
      <c r="D388" s="110" t="str">
        <f t="shared" si="257"/>
        <v>LGCME551</v>
      </c>
      <c r="E388" s="111">
        <f t="shared" ref="E388:E459" si="274">SUMIFS(L_1022_Count,L_1022_Revenue_Month,$B388,L_1022_Rate_Category,$D388)</f>
        <v>28199</v>
      </c>
      <c r="F388" s="112">
        <v>0</v>
      </c>
      <c r="G388" s="111">
        <f t="shared" ref="G388:G459" si="275">SUMIFS(L_1022_KWH_P1,L_1022_Revenue_Month,$B388,L_1022_Rate_Category,$D388)</f>
        <v>0</v>
      </c>
      <c r="H388" s="111">
        <f t="shared" ref="H388:H459" si="276">SUMIFS(L_1022_KWH_P2,L_1022_Revenue_Month,$B388,L_1022_Rate_Category,$D388)</f>
        <v>0</v>
      </c>
      <c r="I388" s="111">
        <f t="shared" ref="I388:I459" si="277">SUMIFS(L_1022_KWH_P3,L_1022_Revenue_Month,$B388,L_1022_Rate_Category,$D388)</f>
        <v>0</v>
      </c>
      <c r="J388" s="111">
        <f t="shared" ref="J388:J459" si="278">SUMIFS(L_1022_KWH_Total,L_1022_Revenue_Month,$B388,L_1022_Rate_Category,$D388)</f>
        <v>29115339</v>
      </c>
      <c r="K388" s="113">
        <f t="shared" ref="K388:K459" si="279">SUMIFS(L_1022_Demand_Base_Measured,L_1022_Revenue_Month,$B388,L_1022_Rate_Category,$D388)</f>
        <v>0</v>
      </c>
      <c r="L388" s="113">
        <f t="shared" ref="L388:L459" si="280">SUMIFS(L_1022_Demand_Inter_Measured,L_1022_Revenue_Month,$B388,L_1022_Rate_Category,$D388)</f>
        <v>0</v>
      </c>
      <c r="M388" s="113">
        <f t="shared" ref="M388:M459" si="281">SUMIFS(L_1022_Demand_Peak_Measured,L_1022_Revenue_Month,$B388,L_1022_Rate_Category,$D388)</f>
        <v>0</v>
      </c>
      <c r="N388" s="116">
        <f t="shared" ref="N388:N459" si="282">SUMIF(L_Rates_Tariff_Rate_Category,AV388,L_Rates_BSC)</f>
        <v>20</v>
      </c>
      <c r="O388" s="117">
        <f t="shared" si="271"/>
        <v>9.1340000000000005E-2</v>
      </c>
      <c r="P388" s="117">
        <f t="shared" ref="P388:P459" si="283">SUMIF(L_Rates_Tariff_Rate_Category,$AV388,L_Rates_Energy_P2)</f>
        <v>0</v>
      </c>
      <c r="Q388" s="117">
        <f t="shared" ref="Q388:Q459" si="284">SUMIF(L_Rates_Tariff_Rate_Category,$AV388,L_Rates_Energy_P3)</f>
        <v>0</v>
      </c>
      <c r="R388" s="117">
        <f t="shared" ref="R388:R459" si="285">SUMIF(L_Rates_Tariff_Rate_Category,$AV388,L_Rates_Energy_Base_Fuel)</f>
        <v>2.725E-2</v>
      </c>
      <c r="S388" s="116">
        <f t="shared" ref="S388:S459" si="286">SUMIF(L_Rates_Tariff_Rate_Category,$AV388,L_Rates_Demand_Base)</f>
        <v>0</v>
      </c>
      <c r="T388" s="116">
        <f t="shared" ref="T388:T459" si="287">SUMIF(L_Rates_Tariff_Rate_Category,$AV388,L_Rates_Demand_Intermediate)</f>
        <v>0</v>
      </c>
      <c r="U388" s="116">
        <f t="shared" ref="U388:U459" si="288">SUMIF(L_Rates_Tariff_Rate_Category,$AV388,L_Rates_Demand_Peak)</f>
        <v>0</v>
      </c>
      <c r="V388" s="118">
        <f t="shared" ref="V388:V451" si="289">ROUND(($E388+$F388)*$N388,2)</f>
        <v>563980</v>
      </c>
      <c r="W388" s="118">
        <f t="shared" si="258"/>
        <v>2659395.06</v>
      </c>
      <c r="X388" s="118">
        <f t="shared" si="259"/>
        <v>0</v>
      </c>
      <c r="Y388" s="118">
        <f t="shared" si="260"/>
        <v>0</v>
      </c>
      <c r="Z388" s="118">
        <f t="shared" si="261"/>
        <v>0</v>
      </c>
      <c r="AA388" s="119">
        <v>0</v>
      </c>
      <c r="AB388" s="120">
        <f t="shared" ref="AB388:AB459" si="290">SUMIFS(L_1022_Revenue_Power_Factor,L_1022_Revenue_Month,$B388,L_1022_Rate_Category,$D388)</f>
        <v>0</v>
      </c>
      <c r="AC388" s="118">
        <f t="shared" ref="AC388:AC451" si="291">SUM(X388:AB388)</f>
        <v>0</v>
      </c>
      <c r="AD388" s="118">
        <f t="shared" si="262"/>
        <v>3223375.06</v>
      </c>
      <c r="AE388" s="118">
        <f t="shared" ref="AE388:AE459" si="292">AL388-SUM(AG388:AK388)</f>
        <v>3223369</v>
      </c>
      <c r="AF388" s="121">
        <f t="shared" si="263"/>
        <v>0.99999800000000005</v>
      </c>
      <c r="AG388" s="122">
        <f t="shared" ref="AG388:AG459" si="293">SUMIFS(L_SBR_FAC,L_SBR_Revenue_Month,$B388,L_SBR_Rate_Category,$D388)</f>
        <v>-6477</v>
      </c>
      <c r="AH388" s="122">
        <f t="shared" ref="AH388:AH459" si="294">SUMIFS(L_SBR_DSM,L_SBR_Revenue_Month,$B388,L_SBR_Rate_Category,$D388)</f>
        <v>69916</v>
      </c>
      <c r="AI388" s="122">
        <f t="shared" ref="AI388:AI459" si="295">SUMIFS(L_SBR_ECR,L_SBR_Revenue_Month,$B388,L_SBR_Rate_Category,$D388)</f>
        <v>300180</v>
      </c>
      <c r="AJ388" s="122">
        <f t="shared" ref="AJ388:AJ459" si="296">SUMIFS(L_SBR_MSR,L_SBR_Revenue_Month,$B388,L_SBR_Rate_Category,$D388)</f>
        <v>0</v>
      </c>
      <c r="AK388" s="122">
        <f t="shared" ref="AK388:AK451" si="297">SUMIFS(L_SBR_CSR,L_SBR_Revenue_Month,$B388,L_SBR_Rate_Category,$D388)</f>
        <v>0</v>
      </c>
      <c r="AL388" s="122">
        <f t="shared" ref="AL388:AL459" si="298">SUMIFS(L_SBR_Revenue_Total,L_SBR_Revenue_Month,$B388,L_SBR_Rate_Category,$D388)</f>
        <v>3586988</v>
      </c>
      <c r="AM388" s="123">
        <f t="shared" ref="AM388:AM459" si="299">SUM(AD388,AG388:AK388)</f>
        <v>3586994.06</v>
      </c>
      <c r="AN388" s="123">
        <f t="shared" si="272"/>
        <v>-6.0600000000558794</v>
      </c>
      <c r="AO388" s="124">
        <f t="shared" ref="AO388:AO451" si="300">ROUND(J388*R388,2)</f>
        <v>793392.99</v>
      </c>
      <c r="AP388" s="125">
        <f t="shared" si="264"/>
        <v>1866002.07</v>
      </c>
      <c r="AU388" s="109">
        <f>IF(BA388=1,IF(AU387=MiscData!$F$1,EOMONTH(AU387,-11),EOMONTH(AU387,1)),AU387)</f>
        <v>42338</v>
      </c>
      <c r="AV388" s="108" t="str">
        <f t="shared" si="265"/>
        <v>20140101LGCME551</v>
      </c>
      <c r="AW388" s="126" t="str">
        <f t="shared" si="266"/>
        <v>20140101GSS</v>
      </c>
      <c r="AX388">
        <f>MiscData!$X$5</f>
        <v>20140101</v>
      </c>
      <c r="BA388" s="98">
        <f>IF(BA387+1&gt;MiscData!$Z$42,1,BA387+1)</f>
        <v>5</v>
      </c>
      <c r="BB388" s="98" t="str">
        <f>VLOOKUP(BA388,MiscData!$Z$5:$AB$46,2,FALSE)</f>
        <v>LGCME551</v>
      </c>
      <c r="BC388" s="98" t="str">
        <f>VLOOKUP(BA388,MiscData!$Z$5:$AB$46,3,FALSE)</f>
        <v>GSS</v>
      </c>
    </row>
    <row r="389" spans="1:55">
      <c r="A389" s="108">
        <v>368</v>
      </c>
      <c r="B389" s="109" t="str">
        <f t="shared" ref="B389:B459" si="301">TEXT(AU389,"mmm yyyy")</f>
        <v>Nov 2015</v>
      </c>
      <c r="C389" s="110" t="s">
        <v>902</v>
      </c>
      <c r="D389" s="110" t="str">
        <f t="shared" ref="D389:D459" si="302">BB389</f>
        <v>LGCME551UM</v>
      </c>
      <c r="E389" s="111">
        <f t="shared" si="274"/>
        <v>0</v>
      </c>
      <c r="F389" s="112">
        <v>0</v>
      </c>
      <c r="G389" s="111">
        <f t="shared" si="275"/>
        <v>0</v>
      </c>
      <c r="H389" s="111">
        <f t="shared" si="276"/>
        <v>0</v>
      </c>
      <c r="I389" s="111">
        <f t="shared" si="277"/>
        <v>0</v>
      </c>
      <c r="J389" s="111">
        <f t="shared" si="278"/>
        <v>0</v>
      </c>
      <c r="K389" s="113">
        <f t="shared" si="279"/>
        <v>0</v>
      </c>
      <c r="L389" s="113">
        <f t="shared" si="280"/>
        <v>0</v>
      </c>
      <c r="M389" s="113">
        <f t="shared" si="281"/>
        <v>0</v>
      </c>
      <c r="N389" s="116">
        <f t="shared" si="282"/>
        <v>20</v>
      </c>
      <c r="O389" s="117">
        <f t="shared" si="271"/>
        <v>9.1340000000000005E-2</v>
      </c>
      <c r="P389" s="117">
        <f t="shared" si="283"/>
        <v>0</v>
      </c>
      <c r="Q389" s="117">
        <f t="shared" si="284"/>
        <v>0</v>
      </c>
      <c r="R389" s="117">
        <f t="shared" si="285"/>
        <v>2.725E-2</v>
      </c>
      <c r="S389" s="116">
        <f t="shared" si="286"/>
        <v>0</v>
      </c>
      <c r="T389" s="116">
        <f t="shared" si="287"/>
        <v>0</v>
      </c>
      <c r="U389" s="116">
        <f t="shared" si="288"/>
        <v>0</v>
      </c>
      <c r="V389" s="118">
        <f t="shared" si="289"/>
        <v>0</v>
      </c>
      <c r="W389" s="118">
        <f t="shared" ref="W389:W452" si="303">ROUND(IF(G389=0,J389*O389,SUMPRODUCT(G389:I389,O389:Q389)),2)</f>
        <v>0</v>
      </c>
      <c r="X389" s="118">
        <f t="shared" ref="X389:X452" si="304">ROUND(K389*S389,2)</f>
        <v>0</v>
      </c>
      <c r="Y389" s="118">
        <f t="shared" ref="Y389:Y452" si="305">ROUND(L389*T389,2)</f>
        <v>0</v>
      </c>
      <c r="Z389" s="118">
        <f t="shared" ref="Z389:Z452" si="306">ROUND(M389*U389,2)</f>
        <v>0</v>
      </c>
      <c r="AA389" s="119">
        <v>0</v>
      </c>
      <c r="AB389" s="120">
        <f t="shared" si="290"/>
        <v>0</v>
      </c>
      <c r="AC389" s="118">
        <f t="shared" si="291"/>
        <v>0</v>
      </c>
      <c r="AD389" s="118">
        <f t="shared" ref="AD389:AD452" si="307">SUM(V389:AB389)</f>
        <v>0</v>
      </c>
      <c r="AE389" s="118">
        <f t="shared" si="292"/>
        <v>0</v>
      </c>
      <c r="AF389" s="121">
        <f t="shared" ref="AF389:AF459" si="308">IF(AND(AD389=0,AE389=0),1,IF(AD389=0,0,ROUND(AE389/AD389,6)))</f>
        <v>1</v>
      </c>
      <c r="AG389" s="122">
        <f t="shared" si="293"/>
        <v>0</v>
      </c>
      <c r="AH389" s="122">
        <f t="shared" si="294"/>
        <v>0</v>
      </c>
      <c r="AI389" s="122">
        <f t="shared" si="295"/>
        <v>0</v>
      </c>
      <c r="AJ389" s="122">
        <f t="shared" si="296"/>
        <v>0</v>
      </c>
      <c r="AK389" s="122">
        <f t="shared" si="297"/>
        <v>0</v>
      </c>
      <c r="AL389" s="122">
        <f t="shared" si="298"/>
        <v>0</v>
      </c>
      <c r="AM389" s="123">
        <f t="shared" si="299"/>
        <v>0</v>
      </c>
      <c r="AN389" s="123">
        <f t="shared" ref="AN389:AN415" si="309">AL389-AM389</f>
        <v>0</v>
      </c>
      <c r="AO389" s="124">
        <f t="shared" si="300"/>
        <v>0</v>
      </c>
      <c r="AP389" s="125">
        <f t="shared" ref="AP389:AP452" si="310">W389-AO389</f>
        <v>0</v>
      </c>
      <c r="AU389" s="109">
        <f>IF(BA389=1,IF(AU388=MiscData!$F$1,EOMONTH(AU388,-11),EOMONTH(AU388,1)),AU388)</f>
        <v>42338</v>
      </c>
      <c r="AV389" s="108" t="str">
        <f t="shared" ref="AV389:AV459" si="311">CONCATENATE(AX389&amp;BB389)</f>
        <v>20140101LGCME551UM</v>
      </c>
      <c r="AW389" s="126" t="str">
        <f t="shared" ref="AW389:AW459" si="312">CONCATENATE(AX389&amp;BC389)</f>
        <v>20140101GSS</v>
      </c>
      <c r="AX389">
        <f>MiscData!$X$5</f>
        <v>20140101</v>
      </c>
      <c r="BA389" s="98">
        <f>IF(BA388+1&gt;MiscData!$Z$42,1,BA388+1)</f>
        <v>6</v>
      </c>
      <c r="BB389" s="98" t="str">
        <f>VLOOKUP(BA389,MiscData!$Z$5:$AB$46,2,FALSE)</f>
        <v>LGCME551UM</v>
      </c>
      <c r="BC389" s="98" t="str">
        <f>VLOOKUP(BA389,MiscData!$Z$5:$AB$46,3,FALSE)</f>
        <v>GSS</v>
      </c>
    </row>
    <row r="390" spans="1:55">
      <c r="A390" s="108">
        <v>369</v>
      </c>
      <c r="B390" s="109" t="str">
        <f t="shared" si="301"/>
        <v>Nov 2015</v>
      </c>
      <c r="C390" s="110" t="s">
        <v>902</v>
      </c>
      <c r="D390" s="110" t="str">
        <f t="shared" si="302"/>
        <v>LGCME552</v>
      </c>
      <c r="E390" s="111">
        <f t="shared" si="274"/>
        <v>0</v>
      </c>
      <c r="F390" s="112">
        <v>0</v>
      </c>
      <c r="G390" s="111">
        <f t="shared" si="275"/>
        <v>0</v>
      </c>
      <c r="H390" s="111">
        <f t="shared" si="276"/>
        <v>0</v>
      </c>
      <c r="I390" s="111">
        <f t="shared" si="277"/>
        <v>0</v>
      </c>
      <c r="J390" s="111">
        <f t="shared" si="278"/>
        <v>0</v>
      </c>
      <c r="K390" s="113">
        <f t="shared" si="279"/>
        <v>0</v>
      </c>
      <c r="L390" s="113">
        <f t="shared" si="280"/>
        <v>0</v>
      </c>
      <c r="M390" s="113">
        <f t="shared" si="281"/>
        <v>0</v>
      </c>
      <c r="N390" s="116">
        <f t="shared" si="282"/>
        <v>0</v>
      </c>
      <c r="O390" s="117">
        <f t="shared" si="271"/>
        <v>9.1340000000000005E-2</v>
      </c>
      <c r="P390" s="117">
        <f t="shared" si="283"/>
        <v>0</v>
      </c>
      <c r="Q390" s="117">
        <f t="shared" si="284"/>
        <v>0</v>
      </c>
      <c r="R390" s="117">
        <f t="shared" si="285"/>
        <v>2.725E-2</v>
      </c>
      <c r="S390" s="116">
        <f t="shared" si="286"/>
        <v>0</v>
      </c>
      <c r="T390" s="116">
        <f t="shared" si="287"/>
        <v>0</v>
      </c>
      <c r="U390" s="116">
        <f t="shared" si="288"/>
        <v>0</v>
      </c>
      <c r="V390" s="118">
        <f t="shared" si="289"/>
        <v>0</v>
      </c>
      <c r="W390" s="118">
        <f t="shared" si="303"/>
        <v>0</v>
      </c>
      <c r="X390" s="118">
        <f t="shared" si="304"/>
        <v>0</v>
      </c>
      <c r="Y390" s="118">
        <f t="shared" si="305"/>
        <v>0</v>
      </c>
      <c r="Z390" s="118">
        <f t="shared" si="306"/>
        <v>0</v>
      </c>
      <c r="AA390" s="119">
        <v>0</v>
      </c>
      <c r="AB390" s="120">
        <f t="shared" si="290"/>
        <v>0</v>
      </c>
      <c r="AC390" s="118">
        <f t="shared" si="291"/>
        <v>0</v>
      </c>
      <c r="AD390" s="118">
        <f t="shared" si="307"/>
        <v>0</v>
      </c>
      <c r="AE390" s="118">
        <f t="shared" si="292"/>
        <v>0</v>
      </c>
      <c r="AF390" s="121">
        <f t="shared" si="308"/>
        <v>1</v>
      </c>
      <c r="AG390" s="122">
        <f t="shared" si="293"/>
        <v>0</v>
      </c>
      <c r="AH390" s="122">
        <f t="shared" si="294"/>
        <v>0</v>
      </c>
      <c r="AI390" s="122">
        <f t="shared" si="295"/>
        <v>0</v>
      </c>
      <c r="AJ390" s="122">
        <f t="shared" si="296"/>
        <v>0</v>
      </c>
      <c r="AK390" s="122">
        <f t="shared" si="297"/>
        <v>0</v>
      </c>
      <c r="AL390" s="122">
        <f t="shared" si="298"/>
        <v>0</v>
      </c>
      <c r="AM390" s="123">
        <f t="shared" si="299"/>
        <v>0</v>
      </c>
      <c r="AN390" s="123">
        <f t="shared" si="309"/>
        <v>0</v>
      </c>
      <c r="AO390" s="124">
        <f t="shared" si="300"/>
        <v>0</v>
      </c>
      <c r="AP390" s="125">
        <f t="shared" si="310"/>
        <v>0</v>
      </c>
      <c r="AU390" s="109">
        <f>IF(BA390=1,IF(AU389=MiscData!$F$1,EOMONTH(AU389,-11),EOMONTH(AU389,1)),AU389)</f>
        <v>42338</v>
      </c>
      <c r="AV390" s="108" t="str">
        <f t="shared" si="311"/>
        <v>20140101LGCME552</v>
      </c>
      <c r="AW390" s="126" t="str">
        <f t="shared" si="312"/>
        <v>20140101GSS</v>
      </c>
      <c r="AX390">
        <f>MiscData!$X$5</f>
        <v>20140101</v>
      </c>
      <c r="BA390" s="98">
        <f>IF(BA389+1&gt;MiscData!$Z$42,1,BA389+1)</f>
        <v>7</v>
      </c>
      <c r="BB390" s="98" t="str">
        <f>VLOOKUP(BA390,MiscData!$Z$5:$AB$46,2,FALSE)</f>
        <v>LGCME552</v>
      </c>
      <c r="BC390" s="98" t="str">
        <f>VLOOKUP(BA390,MiscData!$Z$5:$AB$46,3,FALSE)</f>
        <v>GSS</v>
      </c>
    </row>
    <row r="391" spans="1:55">
      <c r="A391" s="108">
        <v>370</v>
      </c>
      <c r="B391" s="109" t="str">
        <f t="shared" si="301"/>
        <v>Nov 2015</v>
      </c>
      <c r="C391" s="110" t="s">
        <v>902</v>
      </c>
      <c r="D391" s="110" t="str">
        <f t="shared" si="302"/>
        <v>LGCME557</v>
      </c>
      <c r="E391" s="111">
        <f t="shared" si="274"/>
        <v>0</v>
      </c>
      <c r="F391" s="112">
        <v>0</v>
      </c>
      <c r="G391" s="111">
        <f t="shared" si="275"/>
        <v>0</v>
      </c>
      <c r="H391" s="111">
        <f t="shared" si="276"/>
        <v>0</v>
      </c>
      <c r="I391" s="111">
        <f t="shared" si="277"/>
        <v>0</v>
      </c>
      <c r="J391" s="111">
        <f t="shared" si="278"/>
        <v>0</v>
      </c>
      <c r="K391" s="113">
        <f t="shared" si="279"/>
        <v>0</v>
      </c>
      <c r="L391" s="113">
        <f t="shared" si="280"/>
        <v>0</v>
      </c>
      <c r="M391" s="113">
        <f t="shared" si="281"/>
        <v>0</v>
      </c>
      <c r="N391" s="116">
        <f t="shared" si="282"/>
        <v>20</v>
      </c>
      <c r="O391" s="117">
        <f t="shared" si="271"/>
        <v>9.1340000000000005E-2</v>
      </c>
      <c r="P391" s="117">
        <f t="shared" si="283"/>
        <v>0</v>
      </c>
      <c r="Q391" s="117">
        <f t="shared" si="284"/>
        <v>0</v>
      </c>
      <c r="R391" s="117">
        <f t="shared" si="285"/>
        <v>2.725E-2</v>
      </c>
      <c r="S391" s="116">
        <f t="shared" si="286"/>
        <v>0</v>
      </c>
      <c r="T391" s="116">
        <f t="shared" si="287"/>
        <v>0</v>
      </c>
      <c r="U391" s="116">
        <f t="shared" si="288"/>
        <v>0</v>
      </c>
      <c r="V391" s="118">
        <f t="shared" si="289"/>
        <v>0</v>
      </c>
      <c r="W391" s="118">
        <f t="shared" si="303"/>
        <v>0</v>
      </c>
      <c r="X391" s="118">
        <f t="shared" si="304"/>
        <v>0</v>
      </c>
      <c r="Y391" s="118">
        <f t="shared" si="305"/>
        <v>0</v>
      </c>
      <c r="Z391" s="118">
        <f t="shared" si="306"/>
        <v>0</v>
      </c>
      <c r="AA391" s="119">
        <v>0</v>
      </c>
      <c r="AB391" s="120">
        <f t="shared" si="290"/>
        <v>0</v>
      </c>
      <c r="AC391" s="118">
        <f t="shared" si="291"/>
        <v>0</v>
      </c>
      <c r="AD391" s="118">
        <f t="shared" si="307"/>
        <v>0</v>
      </c>
      <c r="AE391" s="118">
        <f t="shared" si="292"/>
        <v>0</v>
      </c>
      <c r="AF391" s="121">
        <f t="shared" si="308"/>
        <v>1</v>
      </c>
      <c r="AG391" s="122">
        <f t="shared" si="293"/>
        <v>0</v>
      </c>
      <c r="AH391" s="122">
        <f t="shared" si="294"/>
        <v>0</v>
      </c>
      <c r="AI391" s="122">
        <f t="shared" si="295"/>
        <v>0</v>
      </c>
      <c r="AJ391" s="122">
        <f t="shared" si="296"/>
        <v>0</v>
      </c>
      <c r="AK391" s="122">
        <f t="shared" si="297"/>
        <v>0</v>
      </c>
      <c r="AL391" s="122">
        <f t="shared" si="298"/>
        <v>0</v>
      </c>
      <c r="AM391" s="123">
        <f t="shared" si="299"/>
        <v>0</v>
      </c>
      <c r="AN391" s="123">
        <f t="shared" si="309"/>
        <v>0</v>
      </c>
      <c r="AO391" s="124">
        <f t="shared" si="300"/>
        <v>0</v>
      </c>
      <c r="AP391" s="125">
        <f t="shared" si="310"/>
        <v>0</v>
      </c>
      <c r="AU391" s="109">
        <f>IF(BA391=1,IF(AU390=MiscData!$F$1,EOMONTH(AU390,-11),EOMONTH(AU390,1)),AU390)</f>
        <v>42338</v>
      </c>
      <c r="AV391" s="108" t="str">
        <f t="shared" si="311"/>
        <v>20140101LGCME557</v>
      </c>
      <c r="AW391" s="126" t="str">
        <f t="shared" si="312"/>
        <v>20140101GSS</v>
      </c>
      <c r="AX391">
        <f>MiscData!$X$5</f>
        <v>20140101</v>
      </c>
      <c r="BA391" s="98">
        <f>IF(BA390+1&gt;MiscData!$Z$42,1,BA390+1)</f>
        <v>8</v>
      </c>
      <c r="BB391" s="98" t="str">
        <f>VLOOKUP(BA391,MiscData!$Z$5:$AB$46,2,FALSE)</f>
        <v>LGCME557</v>
      </c>
      <c r="BC391" s="98" t="str">
        <f>VLOOKUP(BA391,MiscData!$Z$5:$AB$46,3,FALSE)</f>
        <v>GSS</v>
      </c>
    </row>
    <row r="392" spans="1:55">
      <c r="A392" s="108">
        <v>371</v>
      </c>
      <c r="B392" s="109" t="str">
        <f t="shared" si="301"/>
        <v>Nov 2015</v>
      </c>
      <c r="C392" s="110" t="str">
        <f t="shared" ref="C392:C459" si="313">BC392</f>
        <v>PSS</v>
      </c>
      <c r="D392" s="110" t="str">
        <f t="shared" si="302"/>
        <v>LGCME561</v>
      </c>
      <c r="E392" s="111">
        <f t="shared" si="274"/>
        <v>2579</v>
      </c>
      <c r="F392" s="112">
        <v>0</v>
      </c>
      <c r="G392" s="111">
        <f t="shared" si="275"/>
        <v>0</v>
      </c>
      <c r="H392" s="111">
        <f t="shared" si="276"/>
        <v>0</v>
      </c>
      <c r="I392" s="111">
        <f t="shared" si="277"/>
        <v>0</v>
      </c>
      <c r="J392" s="111">
        <f t="shared" si="278"/>
        <v>129888119</v>
      </c>
      <c r="K392" s="113">
        <f t="shared" si="279"/>
        <v>0</v>
      </c>
      <c r="L392" s="113">
        <f t="shared" si="280"/>
        <v>317514</v>
      </c>
      <c r="M392" s="113">
        <f t="shared" si="281"/>
        <v>0</v>
      </c>
      <c r="N392" s="116">
        <f t="shared" si="282"/>
        <v>90</v>
      </c>
      <c r="O392" s="117">
        <f t="shared" si="271"/>
        <v>4.0599999999999997E-2</v>
      </c>
      <c r="P392" s="117">
        <f t="shared" si="283"/>
        <v>0</v>
      </c>
      <c r="Q392" s="117">
        <f t="shared" si="284"/>
        <v>0</v>
      </c>
      <c r="R392" s="117">
        <f t="shared" si="285"/>
        <v>2.725E-2</v>
      </c>
      <c r="S392" s="116">
        <f t="shared" si="286"/>
        <v>0</v>
      </c>
      <c r="T392" s="116">
        <f t="shared" si="287"/>
        <v>14.010000000000002</v>
      </c>
      <c r="U392" s="116">
        <f t="shared" si="288"/>
        <v>16.399999999999999</v>
      </c>
      <c r="V392" s="118">
        <f t="shared" si="289"/>
        <v>232110</v>
      </c>
      <c r="W392" s="118">
        <f t="shared" si="303"/>
        <v>5273457.63</v>
      </c>
      <c r="X392" s="118">
        <f t="shared" si="304"/>
        <v>0</v>
      </c>
      <c r="Y392" s="118">
        <f t="shared" si="305"/>
        <v>4448371.1399999997</v>
      </c>
      <c r="Z392" s="118">
        <f t="shared" si="306"/>
        <v>0</v>
      </c>
      <c r="AA392" s="119">
        <v>0</v>
      </c>
      <c r="AB392" s="120">
        <f t="shared" si="290"/>
        <v>0</v>
      </c>
      <c r="AC392" s="118">
        <f t="shared" si="291"/>
        <v>4448371.1399999997</v>
      </c>
      <c r="AD392" s="118">
        <f t="shared" si="307"/>
        <v>9953938.7699999996</v>
      </c>
      <c r="AE392" s="118">
        <f t="shared" si="292"/>
        <v>9953938</v>
      </c>
      <c r="AF392" s="121">
        <f t="shared" si="308"/>
        <v>1</v>
      </c>
      <c r="AG392" s="122">
        <f t="shared" si="293"/>
        <v>-28896</v>
      </c>
      <c r="AH392" s="122">
        <f t="shared" si="294"/>
        <v>311904</v>
      </c>
      <c r="AI392" s="122">
        <f t="shared" si="295"/>
        <v>1339151</v>
      </c>
      <c r="AJ392" s="122">
        <f t="shared" si="296"/>
        <v>0</v>
      </c>
      <c r="AK392" s="122">
        <f t="shared" si="297"/>
        <v>0</v>
      </c>
      <c r="AL392" s="122">
        <f t="shared" si="298"/>
        <v>11576097</v>
      </c>
      <c r="AM392" s="123">
        <f t="shared" si="299"/>
        <v>11576097.77</v>
      </c>
      <c r="AN392" s="123">
        <f t="shared" si="309"/>
        <v>-0.76999999955296516</v>
      </c>
      <c r="AO392" s="124">
        <f t="shared" si="300"/>
        <v>3539451.24</v>
      </c>
      <c r="AP392" s="125">
        <f t="shared" si="310"/>
        <v>1734006.3899999997</v>
      </c>
      <c r="AU392" s="109">
        <f>IF(BA392=1,IF(AU391=MiscData!$F$1,EOMONTH(AU391,-11),EOMONTH(AU391,1)),AU391)</f>
        <v>42338</v>
      </c>
      <c r="AV392" s="108" t="str">
        <f t="shared" si="311"/>
        <v>20140101LGCME561</v>
      </c>
      <c r="AW392" s="126" t="str">
        <f t="shared" si="312"/>
        <v>20140101PSS</v>
      </c>
      <c r="AX392">
        <f>MiscData!$X$5</f>
        <v>20140101</v>
      </c>
      <c r="BA392" s="98">
        <f>IF(BA391+1&gt;MiscData!$Z$42,1,BA391+1)</f>
        <v>9</v>
      </c>
      <c r="BB392" s="98" t="str">
        <f>VLOOKUP(BA392,MiscData!$Z$5:$AB$46,2,FALSE)</f>
        <v>LGCME561</v>
      </c>
      <c r="BC392" s="98" t="str">
        <f>VLOOKUP(BA392,MiscData!$Z$5:$AB$46,3,FALSE)</f>
        <v>PSS</v>
      </c>
    </row>
    <row r="393" spans="1:55">
      <c r="A393" s="108">
        <v>372</v>
      </c>
      <c r="B393" s="109" t="str">
        <f t="shared" si="301"/>
        <v>Nov 2015</v>
      </c>
      <c r="C393" s="110" t="str">
        <f t="shared" si="313"/>
        <v>PSP</v>
      </c>
      <c r="D393" s="110" t="str">
        <f t="shared" si="302"/>
        <v>LGCME563</v>
      </c>
      <c r="E393" s="111">
        <f t="shared" si="274"/>
        <v>52</v>
      </c>
      <c r="F393" s="112">
        <v>0</v>
      </c>
      <c r="G393" s="111">
        <f t="shared" si="275"/>
        <v>0</v>
      </c>
      <c r="H393" s="111">
        <f t="shared" si="276"/>
        <v>0</v>
      </c>
      <c r="I393" s="111">
        <f t="shared" si="277"/>
        <v>0</v>
      </c>
      <c r="J393" s="111">
        <f t="shared" si="278"/>
        <v>11303433</v>
      </c>
      <c r="K393" s="113">
        <f t="shared" si="279"/>
        <v>0</v>
      </c>
      <c r="L393" s="113">
        <f t="shared" si="280"/>
        <v>26967</v>
      </c>
      <c r="M393" s="113">
        <f t="shared" si="281"/>
        <v>0</v>
      </c>
      <c r="N393" s="116">
        <f t="shared" si="282"/>
        <v>170</v>
      </c>
      <c r="O393" s="117">
        <f t="shared" si="271"/>
        <v>3.9260000000000003E-2</v>
      </c>
      <c r="P393" s="117">
        <f t="shared" si="283"/>
        <v>0</v>
      </c>
      <c r="Q393" s="117">
        <f t="shared" si="284"/>
        <v>0</v>
      </c>
      <c r="R393" s="117">
        <f t="shared" si="285"/>
        <v>2.725E-2</v>
      </c>
      <c r="S393" s="116">
        <f t="shared" si="286"/>
        <v>0</v>
      </c>
      <c r="T393" s="116">
        <f t="shared" si="287"/>
        <v>11.660000000000002</v>
      </c>
      <c r="U393" s="116">
        <f t="shared" si="288"/>
        <v>13.950000000000001</v>
      </c>
      <c r="V393" s="118">
        <f t="shared" si="289"/>
        <v>8840</v>
      </c>
      <c r="W393" s="118">
        <f t="shared" si="303"/>
        <v>443772.78</v>
      </c>
      <c r="X393" s="118">
        <f t="shared" si="304"/>
        <v>0</v>
      </c>
      <c r="Y393" s="118">
        <f t="shared" si="305"/>
        <v>314435.21999999997</v>
      </c>
      <c r="Z393" s="118">
        <f t="shared" si="306"/>
        <v>0</v>
      </c>
      <c r="AA393" s="119">
        <v>0</v>
      </c>
      <c r="AB393" s="120">
        <f t="shared" si="290"/>
        <v>0</v>
      </c>
      <c r="AC393" s="118">
        <f t="shared" si="291"/>
        <v>314435.21999999997</v>
      </c>
      <c r="AD393" s="118">
        <f t="shared" si="307"/>
        <v>767048</v>
      </c>
      <c r="AE393" s="118">
        <f t="shared" si="292"/>
        <v>767051</v>
      </c>
      <c r="AF393" s="121">
        <f t="shared" si="308"/>
        <v>1.0000039999999999</v>
      </c>
      <c r="AG393" s="122">
        <f t="shared" si="293"/>
        <v>-2515</v>
      </c>
      <c r="AH393" s="122">
        <f t="shared" si="294"/>
        <v>27143</v>
      </c>
      <c r="AI393" s="122">
        <f t="shared" si="295"/>
        <v>116539</v>
      </c>
      <c r="AJ393" s="122">
        <f t="shared" si="296"/>
        <v>0</v>
      </c>
      <c r="AK393" s="122">
        <f t="shared" si="297"/>
        <v>0</v>
      </c>
      <c r="AL393" s="122">
        <f t="shared" si="298"/>
        <v>908218</v>
      </c>
      <c r="AM393" s="123">
        <f t="shared" si="299"/>
        <v>908215</v>
      </c>
      <c r="AN393" s="123">
        <f>ROUND(AL393-AM393,2)</f>
        <v>3</v>
      </c>
      <c r="AO393" s="124">
        <f t="shared" si="300"/>
        <v>308018.55</v>
      </c>
      <c r="AP393" s="125">
        <f t="shared" si="310"/>
        <v>135754.23000000004</v>
      </c>
      <c r="AU393" s="109">
        <f>IF(BA393=1,IF(AU392=MiscData!$F$1,EOMONTH(AU392,-11),EOMONTH(AU392,1)),AU392)</f>
        <v>42338</v>
      </c>
      <c r="AV393" s="108" t="str">
        <f t="shared" si="311"/>
        <v>20140101LGCME563</v>
      </c>
      <c r="AW393" s="126" t="str">
        <f t="shared" si="312"/>
        <v>20140101PSP</v>
      </c>
      <c r="AX393">
        <f>MiscData!$X$5</f>
        <v>20140101</v>
      </c>
      <c r="BA393" s="98">
        <f>IF(BA392+1&gt;MiscData!$Z$42,1,BA392+1)</f>
        <v>10</v>
      </c>
      <c r="BB393" s="98" t="str">
        <f>VLOOKUP(BA393,MiscData!$Z$5:$AB$46,2,FALSE)</f>
        <v>LGCME563</v>
      </c>
      <c r="BC393" s="98" t="str">
        <f>VLOOKUP(BA393,MiscData!$Z$5:$AB$46,3,FALSE)</f>
        <v>PSP</v>
      </c>
    </row>
    <row r="394" spans="1:55">
      <c r="A394" s="108">
        <v>373</v>
      </c>
      <c r="B394" s="109" t="str">
        <f t="shared" si="301"/>
        <v>Nov 2015</v>
      </c>
      <c r="C394" s="110" t="str">
        <f t="shared" si="313"/>
        <v>PSS</v>
      </c>
      <c r="D394" s="110" t="str">
        <f t="shared" si="302"/>
        <v>LGCME567</v>
      </c>
      <c r="E394" s="111">
        <f t="shared" si="274"/>
        <v>0</v>
      </c>
      <c r="F394" s="112">
        <v>0</v>
      </c>
      <c r="G394" s="111">
        <f t="shared" si="275"/>
        <v>0</v>
      </c>
      <c r="H394" s="111">
        <f t="shared" si="276"/>
        <v>0</v>
      </c>
      <c r="I394" s="111">
        <f t="shared" si="277"/>
        <v>0</v>
      </c>
      <c r="J394" s="111">
        <f t="shared" si="278"/>
        <v>0</v>
      </c>
      <c r="K394" s="113">
        <f t="shared" si="279"/>
        <v>0</v>
      </c>
      <c r="L394" s="113">
        <f t="shared" si="280"/>
        <v>0</v>
      </c>
      <c r="M394" s="113">
        <f t="shared" si="281"/>
        <v>0</v>
      </c>
      <c r="N394" s="116">
        <f t="shared" si="282"/>
        <v>90</v>
      </c>
      <c r="O394" s="117">
        <f t="shared" si="271"/>
        <v>4.0599999999999997E-2</v>
      </c>
      <c r="P394" s="117">
        <f t="shared" si="283"/>
        <v>0</v>
      </c>
      <c r="Q394" s="117">
        <f t="shared" si="284"/>
        <v>0</v>
      </c>
      <c r="R394" s="117">
        <f t="shared" si="285"/>
        <v>2.725E-2</v>
      </c>
      <c r="S394" s="116">
        <f t="shared" si="286"/>
        <v>0</v>
      </c>
      <c r="T394" s="116">
        <f t="shared" si="287"/>
        <v>14.010000000000002</v>
      </c>
      <c r="U394" s="116">
        <f t="shared" si="288"/>
        <v>16.399999999999999</v>
      </c>
      <c r="V394" s="118">
        <f t="shared" si="289"/>
        <v>0</v>
      </c>
      <c r="W394" s="118">
        <f t="shared" si="303"/>
        <v>0</v>
      </c>
      <c r="X394" s="118">
        <f t="shared" si="304"/>
        <v>0</v>
      </c>
      <c r="Y394" s="118">
        <f t="shared" si="305"/>
        <v>0</v>
      </c>
      <c r="Z394" s="118">
        <f t="shared" si="306"/>
        <v>0</v>
      </c>
      <c r="AA394" s="119">
        <v>0</v>
      </c>
      <c r="AB394" s="120">
        <f t="shared" si="290"/>
        <v>0</v>
      </c>
      <c r="AC394" s="118">
        <f t="shared" si="291"/>
        <v>0</v>
      </c>
      <c r="AD394" s="118">
        <f t="shared" si="307"/>
        <v>0</v>
      </c>
      <c r="AE394" s="118">
        <f t="shared" si="292"/>
        <v>0</v>
      </c>
      <c r="AF394" s="121">
        <f t="shared" si="308"/>
        <v>1</v>
      </c>
      <c r="AG394" s="122">
        <f t="shared" si="293"/>
        <v>0</v>
      </c>
      <c r="AH394" s="122">
        <f t="shared" si="294"/>
        <v>0</v>
      </c>
      <c r="AI394" s="122">
        <f t="shared" si="295"/>
        <v>0</v>
      </c>
      <c r="AJ394" s="122">
        <f t="shared" si="296"/>
        <v>0</v>
      </c>
      <c r="AK394" s="122">
        <f t="shared" si="297"/>
        <v>0</v>
      </c>
      <c r="AL394" s="122">
        <f t="shared" si="298"/>
        <v>0</v>
      </c>
      <c r="AM394" s="123">
        <f t="shared" si="299"/>
        <v>0</v>
      </c>
      <c r="AN394" s="123">
        <f t="shared" si="309"/>
        <v>0</v>
      </c>
      <c r="AO394" s="124">
        <f t="shared" si="300"/>
        <v>0</v>
      </c>
      <c r="AP394" s="125">
        <f t="shared" si="310"/>
        <v>0</v>
      </c>
      <c r="AU394" s="109">
        <f>IF(BA394=1,IF(AU393=MiscData!$F$1,EOMONTH(AU393,-11),EOMONTH(AU393,1)),AU393)</f>
        <v>42338</v>
      </c>
      <c r="AV394" s="108" t="str">
        <f t="shared" si="311"/>
        <v>20140101LGCME567</v>
      </c>
      <c r="AW394" s="126" t="str">
        <f t="shared" si="312"/>
        <v>20140101PSS</v>
      </c>
      <c r="AX394">
        <f>MiscData!$X$5</f>
        <v>20140101</v>
      </c>
      <c r="BA394" s="98">
        <f>IF(BA393+1&gt;MiscData!$Z$42,1,BA393+1)</f>
        <v>11</v>
      </c>
      <c r="BB394" s="98" t="str">
        <f>VLOOKUP(BA394,MiscData!$Z$5:$AB$46,2,FALSE)</f>
        <v>LGCME567</v>
      </c>
      <c r="BC394" s="98" t="str">
        <f>VLOOKUP(BA394,MiscData!$Z$5:$AB$46,3,FALSE)</f>
        <v>PSS</v>
      </c>
    </row>
    <row r="395" spans="1:55">
      <c r="A395" s="108">
        <v>374</v>
      </c>
      <c r="B395" s="109" t="str">
        <f t="shared" si="301"/>
        <v>Nov 2015</v>
      </c>
      <c r="C395" s="110" t="str">
        <f t="shared" si="313"/>
        <v>TODS</v>
      </c>
      <c r="D395" s="110" t="str">
        <f t="shared" si="302"/>
        <v>LGCME591</v>
      </c>
      <c r="E395" s="111">
        <f t="shared" si="274"/>
        <v>220</v>
      </c>
      <c r="F395" s="112">
        <v>0</v>
      </c>
      <c r="G395" s="111">
        <f t="shared" si="275"/>
        <v>0</v>
      </c>
      <c r="H395" s="111">
        <f t="shared" si="276"/>
        <v>0</v>
      </c>
      <c r="I395" s="111">
        <f t="shared" si="277"/>
        <v>0</v>
      </c>
      <c r="J395" s="111">
        <f t="shared" si="278"/>
        <v>60713564</v>
      </c>
      <c r="K395" s="113">
        <f t="shared" si="279"/>
        <v>137838</v>
      </c>
      <c r="L395" s="113">
        <f t="shared" si="280"/>
        <v>130077</v>
      </c>
      <c r="M395" s="113">
        <f t="shared" si="281"/>
        <v>125528</v>
      </c>
      <c r="N395" s="116">
        <f t="shared" si="282"/>
        <v>200</v>
      </c>
      <c r="O395" s="117">
        <f t="shared" si="271"/>
        <v>3.9899999999999998E-2</v>
      </c>
      <c r="P395" s="117">
        <f t="shared" si="283"/>
        <v>0</v>
      </c>
      <c r="Q395" s="117">
        <f t="shared" si="284"/>
        <v>0</v>
      </c>
      <c r="R395" s="117">
        <f t="shared" si="285"/>
        <v>2.725E-2</v>
      </c>
      <c r="S395" s="116">
        <f t="shared" si="286"/>
        <v>4</v>
      </c>
      <c r="T395" s="116">
        <f t="shared" si="287"/>
        <v>4.5100000000000007</v>
      </c>
      <c r="U395" s="116">
        <f t="shared" si="288"/>
        <v>6.11</v>
      </c>
      <c r="V395" s="118">
        <f t="shared" si="289"/>
        <v>44000</v>
      </c>
      <c r="W395" s="118">
        <f t="shared" si="303"/>
        <v>2422471.2000000002</v>
      </c>
      <c r="X395" s="118">
        <f t="shared" si="304"/>
        <v>551352</v>
      </c>
      <c r="Y395" s="118">
        <f t="shared" si="305"/>
        <v>586647.27</v>
      </c>
      <c r="Z395" s="118">
        <f t="shared" si="306"/>
        <v>766976.08</v>
      </c>
      <c r="AA395" s="119">
        <v>0</v>
      </c>
      <c r="AB395" s="120">
        <f t="shared" si="290"/>
        <v>0</v>
      </c>
      <c r="AC395" s="118">
        <f t="shared" si="291"/>
        <v>1904975.35</v>
      </c>
      <c r="AD395" s="118">
        <f t="shared" si="307"/>
        <v>4371446.55</v>
      </c>
      <c r="AE395" s="118">
        <f t="shared" si="292"/>
        <v>4371451</v>
      </c>
      <c r="AF395" s="121">
        <f t="shared" si="308"/>
        <v>1.0000009999999999</v>
      </c>
      <c r="AG395" s="122">
        <f t="shared" si="293"/>
        <v>-13507</v>
      </c>
      <c r="AH395" s="122">
        <f t="shared" si="294"/>
        <v>145793</v>
      </c>
      <c r="AI395" s="122">
        <f t="shared" si="295"/>
        <v>625959</v>
      </c>
      <c r="AJ395" s="122">
        <f t="shared" si="296"/>
        <v>0</v>
      </c>
      <c r="AK395" s="122">
        <f t="shared" si="297"/>
        <v>0</v>
      </c>
      <c r="AL395" s="122">
        <f t="shared" si="298"/>
        <v>5129696</v>
      </c>
      <c r="AM395" s="123">
        <f t="shared" si="299"/>
        <v>5129691.55</v>
      </c>
      <c r="AN395" s="123">
        <f t="shared" si="309"/>
        <v>4.4500000001862645</v>
      </c>
      <c r="AO395" s="124">
        <f t="shared" si="300"/>
        <v>1654444.62</v>
      </c>
      <c r="AP395" s="125">
        <f t="shared" si="310"/>
        <v>768026.58000000007</v>
      </c>
      <c r="AU395" s="109">
        <f>IF(BA395=1,IF(AU394=MiscData!$F$1,EOMONTH(AU394,-11),EOMONTH(AU394,1)),AU394)</f>
        <v>42338</v>
      </c>
      <c r="AV395" s="108" t="str">
        <f t="shared" si="311"/>
        <v>20140101LGCME591</v>
      </c>
      <c r="AW395" s="126" t="str">
        <f t="shared" si="312"/>
        <v>20140101TODS</v>
      </c>
      <c r="AX395">
        <f>MiscData!$X$5</f>
        <v>20140101</v>
      </c>
      <c r="BA395" s="98">
        <f>IF(BA394+1&gt;MiscData!$Z$42,1,BA394+1)</f>
        <v>12</v>
      </c>
      <c r="BB395" s="98" t="str">
        <f>VLOOKUP(BA395,MiscData!$Z$5:$AB$46,2,FALSE)</f>
        <v>LGCME591</v>
      </c>
      <c r="BC395" s="98" t="str">
        <f>VLOOKUP(BA395,MiscData!$Z$5:$AB$46,3,FALSE)</f>
        <v>TODS</v>
      </c>
    </row>
    <row r="396" spans="1:55">
      <c r="A396" s="108">
        <v>375</v>
      </c>
      <c r="B396" s="109" t="str">
        <f t="shared" si="301"/>
        <v>Nov 2015</v>
      </c>
      <c r="C396" s="110" t="str">
        <f t="shared" si="313"/>
        <v>CTODP</v>
      </c>
      <c r="D396" s="110" t="str">
        <f t="shared" si="302"/>
        <v>LGCME593</v>
      </c>
      <c r="E396" s="111">
        <f t="shared" si="274"/>
        <v>39</v>
      </c>
      <c r="F396" s="112">
        <v>0</v>
      </c>
      <c r="G396" s="111">
        <f t="shared" si="275"/>
        <v>0</v>
      </c>
      <c r="H396" s="111">
        <f t="shared" si="276"/>
        <v>0</v>
      </c>
      <c r="I396" s="111">
        <f t="shared" si="277"/>
        <v>0</v>
      </c>
      <c r="J396" s="111">
        <f t="shared" si="278"/>
        <v>28320345</v>
      </c>
      <c r="K396" s="113">
        <f t="shared" si="279"/>
        <v>70146</v>
      </c>
      <c r="L396" s="113">
        <f t="shared" si="280"/>
        <v>65072</v>
      </c>
      <c r="M396" s="113">
        <f t="shared" si="281"/>
        <v>63316</v>
      </c>
      <c r="N396" s="116">
        <f t="shared" si="282"/>
        <v>300</v>
      </c>
      <c r="O396" s="117">
        <f t="shared" si="271"/>
        <v>3.8100000000000002E-2</v>
      </c>
      <c r="P396" s="117">
        <f t="shared" si="283"/>
        <v>0</v>
      </c>
      <c r="Q396" s="117">
        <f t="shared" si="284"/>
        <v>0</v>
      </c>
      <c r="R396" s="117">
        <f t="shared" si="285"/>
        <v>2.725E-2</v>
      </c>
      <c r="S396" s="116">
        <f t="shared" si="286"/>
        <v>3.9800000000000004</v>
      </c>
      <c r="T396" s="116">
        <f t="shared" si="287"/>
        <v>4.13</v>
      </c>
      <c r="U396" s="116">
        <f t="shared" si="288"/>
        <v>5.83</v>
      </c>
      <c r="V396" s="118">
        <f t="shared" si="289"/>
        <v>11700</v>
      </c>
      <c r="W396" s="118">
        <f t="shared" si="303"/>
        <v>1079005.1399999999</v>
      </c>
      <c r="X396" s="118">
        <f t="shared" si="304"/>
        <v>279181.08</v>
      </c>
      <c r="Y396" s="118">
        <f t="shared" si="305"/>
        <v>268747.36</v>
      </c>
      <c r="Z396" s="118">
        <f t="shared" si="306"/>
        <v>369132.28</v>
      </c>
      <c r="AA396" s="119">
        <v>0</v>
      </c>
      <c r="AB396" s="120">
        <f t="shared" si="290"/>
        <v>0</v>
      </c>
      <c r="AC396" s="118">
        <f t="shared" si="291"/>
        <v>917060.72</v>
      </c>
      <c r="AD396" s="118">
        <f t="shared" si="307"/>
        <v>2007765.86</v>
      </c>
      <c r="AE396" s="118">
        <f t="shared" si="292"/>
        <v>2007762</v>
      </c>
      <c r="AF396" s="121">
        <f t="shared" si="308"/>
        <v>0.99999800000000005</v>
      </c>
      <c r="AG396" s="122">
        <f t="shared" si="293"/>
        <v>-6300</v>
      </c>
      <c r="AH396" s="122">
        <f t="shared" si="294"/>
        <v>68006</v>
      </c>
      <c r="AI396" s="122">
        <f t="shared" si="295"/>
        <v>291984</v>
      </c>
      <c r="AJ396" s="122">
        <f t="shared" si="296"/>
        <v>0</v>
      </c>
      <c r="AK396" s="122">
        <f t="shared" si="297"/>
        <v>0</v>
      </c>
      <c r="AL396" s="122">
        <f t="shared" si="298"/>
        <v>2361452</v>
      </c>
      <c r="AM396" s="123">
        <f t="shared" si="299"/>
        <v>2361455.8600000003</v>
      </c>
      <c r="AN396" s="123">
        <f t="shared" ref="AN396:AN402" si="314">ROUND(AL396-AM396,2)</f>
        <v>-3.86</v>
      </c>
      <c r="AO396" s="124">
        <f t="shared" si="300"/>
        <v>771729.4</v>
      </c>
      <c r="AP396" s="125">
        <f t="shared" si="310"/>
        <v>307275.73999999987</v>
      </c>
      <c r="AU396" s="109">
        <f>IF(BA396=1,IF(AU395=MiscData!$F$1,EOMONTH(AU395,-11),EOMONTH(AU395,1)),AU395)</f>
        <v>42338</v>
      </c>
      <c r="AV396" s="108" t="str">
        <f t="shared" si="311"/>
        <v>20140101LGCME593</v>
      </c>
      <c r="AW396" s="126" t="str">
        <f t="shared" si="312"/>
        <v>20140101CTODP</v>
      </c>
      <c r="AX396">
        <f>MiscData!$X$5</f>
        <v>20140101</v>
      </c>
      <c r="BA396" s="98">
        <f>IF(BA395+1&gt;MiscData!$Z$42,1,BA395+1)</f>
        <v>13</v>
      </c>
      <c r="BB396" s="98" t="str">
        <f>VLOOKUP(BA396,MiscData!$Z$5:$AB$46,2,FALSE)</f>
        <v>LGCME593</v>
      </c>
      <c r="BC396" s="98" t="str">
        <f>VLOOKUP(BA396,MiscData!$Z$5:$AB$46,3,FALSE)</f>
        <v>CTODP</v>
      </c>
    </row>
    <row r="397" spans="1:55">
      <c r="A397" s="108">
        <v>376</v>
      </c>
      <c r="B397" s="109" t="str">
        <f t="shared" si="301"/>
        <v>Nov 2015</v>
      </c>
      <c r="C397" s="110" t="str">
        <f t="shared" si="313"/>
        <v>GS3</v>
      </c>
      <c r="D397" s="110" t="str">
        <f t="shared" si="302"/>
        <v>LGCME650</v>
      </c>
      <c r="E397" s="111">
        <f t="shared" si="274"/>
        <v>0</v>
      </c>
      <c r="F397" s="112">
        <v>0</v>
      </c>
      <c r="G397" s="111">
        <f t="shared" si="275"/>
        <v>0</v>
      </c>
      <c r="H397" s="111">
        <f t="shared" si="276"/>
        <v>0</v>
      </c>
      <c r="I397" s="111">
        <f t="shared" si="277"/>
        <v>0</v>
      </c>
      <c r="J397" s="111">
        <f t="shared" si="278"/>
        <v>0</v>
      </c>
      <c r="K397" s="113">
        <f t="shared" si="279"/>
        <v>0</v>
      </c>
      <c r="L397" s="113">
        <f t="shared" si="280"/>
        <v>0</v>
      </c>
      <c r="M397" s="113">
        <f t="shared" si="281"/>
        <v>0</v>
      </c>
      <c r="N397" s="116">
        <f t="shared" si="282"/>
        <v>35</v>
      </c>
      <c r="O397" s="117">
        <f t="shared" si="271"/>
        <v>9.1340000000000005E-2</v>
      </c>
      <c r="P397" s="117">
        <f t="shared" si="283"/>
        <v>0</v>
      </c>
      <c r="Q397" s="117">
        <f t="shared" si="284"/>
        <v>0</v>
      </c>
      <c r="R397" s="117">
        <f t="shared" si="285"/>
        <v>2.725E-2</v>
      </c>
      <c r="S397" s="116">
        <f t="shared" si="286"/>
        <v>0</v>
      </c>
      <c r="T397" s="116">
        <f t="shared" si="287"/>
        <v>0</v>
      </c>
      <c r="U397" s="116">
        <f t="shared" si="288"/>
        <v>0</v>
      </c>
      <c r="V397" s="118">
        <f t="shared" si="289"/>
        <v>0</v>
      </c>
      <c r="W397" s="118">
        <f t="shared" si="303"/>
        <v>0</v>
      </c>
      <c r="X397" s="118">
        <f t="shared" si="304"/>
        <v>0</v>
      </c>
      <c r="Y397" s="118">
        <f t="shared" si="305"/>
        <v>0</v>
      </c>
      <c r="Z397" s="118">
        <f t="shared" si="306"/>
        <v>0</v>
      </c>
      <c r="AA397" s="119">
        <v>0</v>
      </c>
      <c r="AB397" s="120">
        <f t="shared" si="290"/>
        <v>0</v>
      </c>
      <c r="AC397" s="118">
        <f t="shared" si="291"/>
        <v>0</v>
      </c>
      <c r="AD397" s="118">
        <f t="shared" si="307"/>
        <v>0</v>
      </c>
      <c r="AE397" s="118">
        <f t="shared" si="292"/>
        <v>0</v>
      </c>
      <c r="AF397" s="121">
        <f t="shared" si="308"/>
        <v>1</v>
      </c>
      <c r="AG397" s="122">
        <f t="shared" si="293"/>
        <v>0</v>
      </c>
      <c r="AH397" s="122">
        <f t="shared" si="294"/>
        <v>0</v>
      </c>
      <c r="AI397" s="122">
        <f t="shared" si="295"/>
        <v>0</v>
      </c>
      <c r="AJ397" s="122">
        <f t="shared" si="296"/>
        <v>0</v>
      </c>
      <c r="AK397" s="122">
        <f t="shared" si="297"/>
        <v>0</v>
      </c>
      <c r="AL397" s="122">
        <f t="shared" si="298"/>
        <v>0</v>
      </c>
      <c r="AM397" s="123">
        <f t="shared" si="299"/>
        <v>0</v>
      </c>
      <c r="AN397" s="123">
        <f t="shared" si="314"/>
        <v>0</v>
      </c>
      <c r="AO397" s="124">
        <f t="shared" si="300"/>
        <v>0</v>
      </c>
      <c r="AP397" s="125">
        <f t="shared" si="310"/>
        <v>0</v>
      </c>
      <c r="AU397" s="109">
        <f>IF(BA397=1,IF(AU396=MiscData!$F$1,EOMONTH(AU396,-11),EOMONTH(AU396,1)),AU396)</f>
        <v>42338</v>
      </c>
      <c r="AV397" s="108" t="str">
        <f t="shared" si="311"/>
        <v>20140101LGCME650</v>
      </c>
      <c r="AW397" s="126" t="str">
        <f t="shared" si="312"/>
        <v>20140101GS3</v>
      </c>
      <c r="AX397">
        <f>MiscData!$X$5</f>
        <v>20140101</v>
      </c>
      <c r="BA397" s="98">
        <f>IF(BA396+1&gt;MiscData!$Z$42,1,BA396+1)</f>
        <v>14</v>
      </c>
      <c r="BB397" s="98" t="str">
        <f>VLOOKUP(BA397,MiscData!$Z$5:$AB$46,2,FALSE)</f>
        <v>LGCME650</v>
      </c>
      <c r="BC397" s="98" t="str">
        <f>VLOOKUP(BA397,MiscData!$Z$5:$AB$46,3,FALSE)</f>
        <v>GS3</v>
      </c>
    </row>
    <row r="398" spans="1:55">
      <c r="A398" s="108">
        <v>377</v>
      </c>
      <c r="B398" s="109" t="str">
        <f t="shared" si="301"/>
        <v>Nov 2015</v>
      </c>
      <c r="C398" s="110" t="str">
        <f t="shared" si="313"/>
        <v>GS3</v>
      </c>
      <c r="D398" s="110" t="str">
        <f t="shared" si="302"/>
        <v>LGCME651</v>
      </c>
      <c r="E398" s="111">
        <f t="shared" si="274"/>
        <v>16373</v>
      </c>
      <c r="F398" s="112">
        <v>0</v>
      </c>
      <c r="G398" s="111">
        <f t="shared" si="275"/>
        <v>0</v>
      </c>
      <c r="H398" s="111">
        <f t="shared" si="276"/>
        <v>0</v>
      </c>
      <c r="I398" s="111">
        <f t="shared" si="277"/>
        <v>0</v>
      </c>
      <c r="J398" s="111">
        <f t="shared" si="278"/>
        <v>74220820</v>
      </c>
      <c r="K398" s="113">
        <f t="shared" si="279"/>
        <v>211286</v>
      </c>
      <c r="L398" s="113">
        <f t="shared" si="280"/>
        <v>0</v>
      </c>
      <c r="M398" s="113">
        <f t="shared" si="281"/>
        <v>0</v>
      </c>
      <c r="N398" s="116">
        <f t="shared" si="282"/>
        <v>35</v>
      </c>
      <c r="O398" s="117">
        <f t="shared" si="271"/>
        <v>9.1340000000000005E-2</v>
      </c>
      <c r="P398" s="117">
        <f t="shared" si="283"/>
        <v>0</v>
      </c>
      <c r="Q398" s="117">
        <f t="shared" si="284"/>
        <v>0</v>
      </c>
      <c r="R398" s="117">
        <f t="shared" si="285"/>
        <v>2.725E-2</v>
      </c>
      <c r="S398" s="116">
        <f t="shared" si="286"/>
        <v>0</v>
      </c>
      <c r="T398" s="116">
        <f t="shared" si="287"/>
        <v>0</v>
      </c>
      <c r="U398" s="116">
        <f t="shared" si="288"/>
        <v>0</v>
      </c>
      <c r="V398" s="118">
        <f t="shared" si="289"/>
        <v>573055</v>
      </c>
      <c r="W398" s="118">
        <f t="shared" si="303"/>
        <v>6779329.7000000002</v>
      </c>
      <c r="X398" s="118">
        <f t="shared" si="304"/>
        <v>0</v>
      </c>
      <c r="Y398" s="118">
        <f t="shared" si="305"/>
        <v>0</v>
      </c>
      <c r="Z398" s="118">
        <f t="shared" si="306"/>
        <v>0</v>
      </c>
      <c r="AA398" s="119">
        <v>0</v>
      </c>
      <c r="AB398" s="120">
        <f t="shared" si="290"/>
        <v>0</v>
      </c>
      <c r="AC398" s="118">
        <f t="shared" si="291"/>
        <v>0</v>
      </c>
      <c r="AD398" s="118">
        <f t="shared" si="307"/>
        <v>7352384.7000000002</v>
      </c>
      <c r="AE398" s="118">
        <f t="shared" si="292"/>
        <v>7352394</v>
      </c>
      <c r="AF398" s="121">
        <f t="shared" si="308"/>
        <v>1.0000009999999999</v>
      </c>
      <c r="AG398" s="122">
        <f t="shared" si="293"/>
        <v>-16512</v>
      </c>
      <c r="AH398" s="122">
        <f t="shared" si="294"/>
        <v>178229</v>
      </c>
      <c r="AI398" s="122">
        <f t="shared" si="295"/>
        <v>765219</v>
      </c>
      <c r="AJ398" s="122">
        <f t="shared" si="296"/>
        <v>0</v>
      </c>
      <c r="AK398" s="122">
        <f t="shared" si="297"/>
        <v>0</v>
      </c>
      <c r="AL398" s="122">
        <f t="shared" si="298"/>
        <v>8279330</v>
      </c>
      <c r="AM398" s="123">
        <f t="shared" si="299"/>
        <v>8279320.7000000002</v>
      </c>
      <c r="AN398" s="123">
        <f t="shared" si="314"/>
        <v>9.3000000000000007</v>
      </c>
      <c r="AO398" s="124">
        <f t="shared" si="300"/>
        <v>2022517.35</v>
      </c>
      <c r="AP398" s="125">
        <f t="shared" si="310"/>
        <v>4756812.3499999996</v>
      </c>
      <c r="AU398" s="109">
        <f>IF(BA398=1,IF(AU397=MiscData!$F$1,EOMONTH(AU397,-11),EOMONTH(AU397,1)),AU397)</f>
        <v>42338</v>
      </c>
      <c r="AV398" s="108" t="str">
        <f t="shared" si="311"/>
        <v>20140101LGCME651</v>
      </c>
      <c r="AW398" s="126" t="str">
        <f t="shared" si="312"/>
        <v>20140101GS3</v>
      </c>
      <c r="AX398">
        <f>MiscData!$X$5</f>
        <v>20140101</v>
      </c>
      <c r="BA398" s="98">
        <f>IF(BA397+1&gt;MiscData!$Z$42,1,BA397+1)</f>
        <v>15</v>
      </c>
      <c r="BB398" s="98" t="str">
        <f>VLOOKUP(BA398,MiscData!$Z$5:$AB$46,2,FALSE)</f>
        <v>LGCME651</v>
      </c>
      <c r="BC398" s="98" t="str">
        <f>VLOOKUP(BA398,MiscData!$Z$5:$AB$46,3,FALSE)</f>
        <v>GS3</v>
      </c>
    </row>
    <row r="399" spans="1:55">
      <c r="A399" s="108">
        <v>378</v>
      </c>
      <c r="B399" s="109" t="str">
        <f t="shared" si="301"/>
        <v>Nov 2015</v>
      </c>
      <c r="C399" s="110" t="str">
        <f t="shared" si="313"/>
        <v>GS3</v>
      </c>
      <c r="D399" s="110" t="str">
        <f t="shared" si="302"/>
        <v>LGCME652</v>
      </c>
      <c r="E399" s="111">
        <f t="shared" si="274"/>
        <v>0</v>
      </c>
      <c r="F399" s="112">
        <v>0</v>
      </c>
      <c r="G399" s="111">
        <f t="shared" si="275"/>
        <v>0</v>
      </c>
      <c r="H399" s="111">
        <f t="shared" si="276"/>
        <v>0</v>
      </c>
      <c r="I399" s="111">
        <f t="shared" si="277"/>
        <v>0</v>
      </c>
      <c r="J399" s="111">
        <f t="shared" si="278"/>
        <v>0</v>
      </c>
      <c r="K399" s="113">
        <f t="shared" si="279"/>
        <v>0</v>
      </c>
      <c r="L399" s="113">
        <f t="shared" si="280"/>
        <v>0</v>
      </c>
      <c r="M399" s="113">
        <f t="shared" si="281"/>
        <v>0</v>
      </c>
      <c r="N399" s="116">
        <f t="shared" si="282"/>
        <v>0</v>
      </c>
      <c r="O399" s="117">
        <f t="shared" si="271"/>
        <v>9.1340000000000005E-2</v>
      </c>
      <c r="P399" s="117">
        <f t="shared" si="283"/>
        <v>0</v>
      </c>
      <c r="Q399" s="117">
        <f t="shared" si="284"/>
        <v>0</v>
      </c>
      <c r="R399" s="117">
        <f t="shared" si="285"/>
        <v>2.725E-2</v>
      </c>
      <c r="S399" s="116">
        <f t="shared" si="286"/>
        <v>0</v>
      </c>
      <c r="T399" s="116">
        <f t="shared" si="287"/>
        <v>0</v>
      </c>
      <c r="U399" s="116">
        <f t="shared" si="288"/>
        <v>0</v>
      </c>
      <c r="V399" s="118">
        <f t="shared" si="289"/>
        <v>0</v>
      </c>
      <c r="W399" s="118">
        <f t="shared" si="303"/>
        <v>0</v>
      </c>
      <c r="X399" s="118">
        <f t="shared" si="304"/>
        <v>0</v>
      </c>
      <c r="Y399" s="118">
        <f t="shared" si="305"/>
        <v>0</v>
      </c>
      <c r="Z399" s="118">
        <f t="shared" si="306"/>
        <v>0</v>
      </c>
      <c r="AA399" s="119">
        <v>0</v>
      </c>
      <c r="AB399" s="120">
        <f t="shared" si="290"/>
        <v>0</v>
      </c>
      <c r="AC399" s="118">
        <f t="shared" si="291"/>
        <v>0</v>
      </c>
      <c r="AD399" s="118">
        <f t="shared" si="307"/>
        <v>0</v>
      </c>
      <c r="AE399" s="118">
        <f t="shared" si="292"/>
        <v>0</v>
      </c>
      <c r="AF399" s="121">
        <f t="shared" si="308"/>
        <v>1</v>
      </c>
      <c r="AG399" s="122">
        <f t="shared" si="293"/>
        <v>0</v>
      </c>
      <c r="AH399" s="122">
        <f t="shared" si="294"/>
        <v>0</v>
      </c>
      <c r="AI399" s="122">
        <f t="shared" si="295"/>
        <v>0</v>
      </c>
      <c r="AJ399" s="122">
        <f t="shared" si="296"/>
        <v>0</v>
      </c>
      <c r="AK399" s="122">
        <f t="shared" si="297"/>
        <v>0</v>
      </c>
      <c r="AL399" s="122">
        <f t="shared" si="298"/>
        <v>0</v>
      </c>
      <c r="AM399" s="123">
        <f t="shared" si="299"/>
        <v>0</v>
      </c>
      <c r="AN399" s="123">
        <f t="shared" si="314"/>
        <v>0</v>
      </c>
      <c r="AO399" s="124">
        <f t="shared" si="300"/>
        <v>0</v>
      </c>
      <c r="AP399" s="125">
        <f t="shared" si="310"/>
        <v>0</v>
      </c>
      <c r="AU399" s="109">
        <f>IF(BA399=1,IF(AU398=MiscData!$F$1,EOMONTH(AU398,-11),EOMONTH(AU398,1)),AU398)</f>
        <v>42338</v>
      </c>
      <c r="AV399" s="108" t="str">
        <f t="shared" si="311"/>
        <v>20140101LGCME652</v>
      </c>
      <c r="AW399" s="126" t="str">
        <f t="shared" si="312"/>
        <v>20140101GS3</v>
      </c>
      <c r="AX399">
        <f>MiscData!$X$5</f>
        <v>20140101</v>
      </c>
      <c r="BA399" s="98">
        <f>IF(BA398+1&gt;MiscData!$Z$42,1,BA398+1)</f>
        <v>16</v>
      </c>
      <c r="BB399" s="98" t="str">
        <f>VLOOKUP(BA399,MiscData!$Z$5:$AB$46,2,FALSE)</f>
        <v>LGCME652</v>
      </c>
      <c r="BC399" s="98" t="str">
        <f>VLOOKUP(BA399,MiscData!$Z$5:$AB$46,3,FALSE)</f>
        <v>GS3</v>
      </c>
    </row>
    <row r="400" spans="1:55">
      <c r="A400" s="108">
        <v>379</v>
      </c>
      <c r="B400" s="109" t="str">
        <f t="shared" si="301"/>
        <v>Nov 2015</v>
      </c>
      <c r="C400" s="110" t="str">
        <f t="shared" si="313"/>
        <v>GS3</v>
      </c>
      <c r="D400" s="110" t="str">
        <f t="shared" si="302"/>
        <v>LGCME657</v>
      </c>
      <c r="E400" s="111">
        <f t="shared" si="274"/>
        <v>0</v>
      </c>
      <c r="F400" s="112">
        <v>0</v>
      </c>
      <c r="G400" s="111">
        <f t="shared" si="275"/>
        <v>0</v>
      </c>
      <c r="H400" s="111">
        <f t="shared" si="276"/>
        <v>0</v>
      </c>
      <c r="I400" s="111">
        <f t="shared" si="277"/>
        <v>0</v>
      </c>
      <c r="J400" s="111">
        <f t="shared" si="278"/>
        <v>0</v>
      </c>
      <c r="K400" s="113">
        <f t="shared" si="279"/>
        <v>0</v>
      </c>
      <c r="L400" s="113">
        <f t="shared" si="280"/>
        <v>0</v>
      </c>
      <c r="M400" s="113">
        <f t="shared" si="281"/>
        <v>0</v>
      </c>
      <c r="N400" s="116">
        <f t="shared" si="282"/>
        <v>35</v>
      </c>
      <c r="O400" s="117">
        <f t="shared" si="271"/>
        <v>9.1340000000000005E-2</v>
      </c>
      <c r="P400" s="117">
        <f t="shared" si="283"/>
        <v>0</v>
      </c>
      <c r="Q400" s="117">
        <f t="shared" si="284"/>
        <v>0</v>
      </c>
      <c r="R400" s="117">
        <f t="shared" si="285"/>
        <v>2.725E-2</v>
      </c>
      <c r="S400" s="116">
        <f t="shared" si="286"/>
        <v>0</v>
      </c>
      <c r="T400" s="116">
        <f t="shared" si="287"/>
        <v>0</v>
      </c>
      <c r="U400" s="116">
        <f t="shared" si="288"/>
        <v>0</v>
      </c>
      <c r="V400" s="118">
        <f t="shared" si="289"/>
        <v>0</v>
      </c>
      <c r="W400" s="118">
        <f t="shared" si="303"/>
        <v>0</v>
      </c>
      <c r="X400" s="118">
        <f t="shared" si="304"/>
        <v>0</v>
      </c>
      <c r="Y400" s="118">
        <f t="shared" si="305"/>
        <v>0</v>
      </c>
      <c r="Z400" s="118">
        <f t="shared" si="306"/>
        <v>0</v>
      </c>
      <c r="AA400" s="119">
        <v>0</v>
      </c>
      <c r="AB400" s="120">
        <f t="shared" si="290"/>
        <v>0</v>
      </c>
      <c r="AC400" s="118">
        <f t="shared" si="291"/>
        <v>0</v>
      </c>
      <c r="AD400" s="118">
        <f t="shared" si="307"/>
        <v>0</v>
      </c>
      <c r="AE400" s="118">
        <f t="shared" si="292"/>
        <v>0</v>
      </c>
      <c r="AF400" s="121">
        <f t="shared" si="308"/>
        <v>1</v>
      </c>
      <c r="AG400" s="122">
        <f t="shared" si="293"/>
        <v>0</v>
      </c>
      <c r="AH400" s="122">
        <f t="shared" si="294"/>
        <v>0</v>
      </c>
      <c r="AI400" s="122">
        <f t="shared" si="295"/>
        <v>0</v>
      </c>
      <c r="AJ400" s="122">
        <f t="shared" si="296"/>
        <v>0</v>
      </c>
      <c r="AK400" s="122">
        <f t="shared" si="297"/>
        <v>0</v>
      </c>
      <c r="AL400" s="122">
        <f t="shared" si="298"/>
        <v>0</v>
      </c>
      <c r="AM400" s="123">
        <f t="shared" si="299"/>
        <v>0</v>
      </c>
      <c r="AN400" s="123">
        <f t="shared" si="314"/>
        <v>0</v>
      </c>
      <c r="AO400" s="124">
        <f t="shared" si="300"/>
        <v>0</v>
      </c>
      <c r="AP400" s="125">
        <f t="shared" si="310"/>
        <v>0</v>
      </c>
      <c r="AU400" s="109">
        <f>IF(BA400=1,IF(AU399=MiscData!$F$1,EOMONTH(AU399,-11),EOMONTH(AU399,1)),AU399)</f>
        <v>42338</v>
      </c>
      <c r="AV400" s="108" t="str">
        <f t="shared" si="311"/>
        <v>20140101LGCME657</v>
      </c>
      <c r="AW400" s="126" t="str">
        <f t="shared" si="312"/>
        <v>20140101GS3</v>
      </c>
      <c r="AX400">
        <f>MiscData!$X$5</f>
        <v>20140101</v>
      </c>
      <c r="BA400" s="98">
        <f>IF(BA399+1&gt;MiscData!$Z$42,1,BA399+1)</f>
        <v>17</v>
      </c>
      <c r="BB400" s="98" t="str">
        <f>VLOOKUP(BA400,MiscData!$Z$5:$AB$46,2,FALSE)</f>
        <v>LGCME657</v>
      </c>
      <c r="BC400" s="98" t="str">
        <f>VLOOKUP(BA400,MiscData!$Z$5:$AB$46,3,FALSE)</f>
        <v>GS3</v>
      </c>
    </row>
    <row r="401" spans="1:55">
      <c r="A401" s="108">
        <v>380</v>
      </c>
      <c r="B401" s="109" t="str">
        <f t="shared" si="301"/>
        <v>Nov 2015</v>
      </c>
      <c r="C401" s="110" t="str">
        <f t="shared" si="313"/>
        <v>LWC</v>
      </c>
      <c r="D401" s="110" t="str">
        <f t="shared" si="302"/>
        <v>LGCME671</v>
      </c>
      <c r="E401" s="111">
        <f t="shared" si="274"/>
        <v>2</v>
      </c>
      <c r="F401" s="112">
        <v>0</v>
      </c>
      <c r="G401" s="111">
        <f t="shared" si="275"/>
        <v>0</v>
      </c>
      <c r="H401" s="111">
        <f t="shared" si="276"/>
        <v>0</v>
      </c>
      <c r="I401" s="111">
        <f t="shared" si="277"/>
        <v>0</v>
      </c>
      <c r="J401" s="111">
        <f t="shared" si="278"/>
        <v>4366800</v>
      </c>
      <c r="K401" s="113">
        <f t="shared" si="279"/>
        <v>0</v>
      </c>
      <c r="L401" s="113">
        <f t="shared" si="280"/>
        <v>9450</v>
      </c>
      <c r="M401" s="113">
        <f t="shared" si="281"/>
        <v>0</v>
      </c>
      <c r="N401" s="116">
        <f t="shared" si="282"/>
        <v>0</v>
      </c>
      <c r="O401" s="117">
        <f t="shared" si="271"/>
        <v>3.7019999999999997E-2</v>
      </c>
      <c r="P401" s="117">
        <f t="shared" si="283"/>
        <v>0</v>
      </c>
      <c r="Q401" s="117">
        <f t="shared" si="284"/>
        <v>0</v>
      </c>
      <c r="R401" s="117">
        <f t="shared" si="285"/>
        <v>2.725E-2</v>
      </c>
      <c r="S401" s="116">
        <f t="shared" si="286"/>
        <v>0</v>
      </c>
      <c r="T401" s="116">
        <f t="shared" si="287"/>
        <v>10.35</v>
      </c>
      <c r="U401" s="116">
        <f t="shared" si="288"/>
        <v>10.35</v>
      </c>
      <c r="V401" s="118">
        <f t="shared" si="289"/>
        <v>0</v>
      </c>
      <c r="W401" s="118">
        <f t="shared" si="303"/>
        <v>161658.94</v>
      </c>
      <c r="X401" s="118">
        <f t="shared" si="304"/>
        <v>0</v>
      </c>
      <c r="Y401" s="118">
        <f t="shared" si="305"/>
        <v>97807.5</v>
      </c>
      <c r="Z401" s="118">
        <f t="shared" si="306"/>
        <v>0</v>
      </c>
      <c r="AA401" s="119">
        <v>0</v>
      </c>
      <c r="AB401" s="120">
        <f t="shared" si="290"/>
        <v>0</v>
      </c>
      <c r="AC401" s="118">
        <f t="shared" si="291"/>
        <v>97807.5</v>
      </c>
      <c r="AD401" s="118">
        <f t="shared" si="307"/>
        <v>259466.44</v>
      </c>
      <c r="AE401" s="118">
        <f t="shared" si="292"/>
        <v>259469</v>
      </c>
      <c r="AF401" s="121">
        <f t="shared" si="308"/>
        <v>1.0000100000000001</v>
      </c>
      <c r="AG401" s="122">
        <f t="shared" si="293"/>
        <v>-971</v>
      </c>
      <c r="AH401" s="122">
        <f t="shared" si="294"/>
        <v>0</v>
      </c>
      <c r="AI401" s="122">
        <f t="shared" si="295"/>
        <v>45022</v>
      </c>
      <c r="AJ401" s="122">
        <f t="shared" si="296"/>
        <v>0</v>
      </c>
      <c r="AK401" s="122">
        <f t="shared" si="297"/>
        <v>0</v>
      </c>
      <c r="AL401" s="122">
        <f t="shared" si="298"/>
        <v>303520</v>
      </c>
      <c r="AM401" s="123">
        <f t="shared" si="299"/>
        <v>303517.44</v>
      </c>
      <c r="AN401" s="123">
        <f t="shared" si="314"/>
        <v>2.56</v>
      </c>
      <c r="AO401" s="124">
        <f t="shared" si="300"/>
        <v>118995.3</v>
      </c>
      <c r="AP401" s="125">
        <f t="shared" si="310"/>
        <v>42663.64</v>
      </c>
      <c r="AU401" s="109">
        <f>IF(BA401=1,IF(AU400=MiscData!$F$1,EOMONTH(AU400,-11),EOMONTH(AU400,1)),AU400)</f>
        <v>42338</v>
      </c>
      <c r="AV401" s="108" t="str">
        <f t="shared" si="311"/>
        <v>20140101LGCME671</v>
      </c>
      <c r="AW401" s="126" t="str">
        <f t="shared" si="312"/>
        <v>20140101LWC</v>
      </c>
      <c r="AX401">
        <f>MiscData!$X$5</f>
        <v>20140101</v>
      </c>
      <c r="BA401" s="98">
        <f>IF(BA400+1&gt;MiscData!$Z$42,1,BA400+1)</f>
        <v>18</v>
      </c>
      <c r="BB401" s="98" t="str">
        <f>VLOOKUP(BA401,MiscData!$Z$5:$AB$46,2,FALSE)</f>
        <v>LGCME671</v>
      </c>
      <c r="BC401" s="98" t="str">
        <f>VLOOKUP(BA401,MiscData!$Z$5:$AB$46,3,FALSE)</f>
        <v>LWC</v>
      </c>
    </row>
    <row r="402" spans="1:55">
      <c r="A402" s="108">
        <v>381</v>
      </c>
      <c r="B402" s="109" t="str">
        <f t="shared" si="301"/>
        <v>Nov 2015</v>
      </c>
      <c r="C402" s="110" t="str">
        <f t="shared" si="313"/>
        <v>CSR</v>
      </c>
      <c r="D402" s="110" t="str">
        <f t="shared" si="302"/>
        <v>LGCSR760</v>
      </c>
      <c r="E402" s="111">
        <f t="shared" si="274"/>
        <v>0</v>
      </c>
      <c r="F402" s="112">
        <v>0</v>
      </c>
      <c r="G402" s="111">
        <f t="shared" si="275"/>
        <v>0</v>
      </c>
      <c r="H402" s="111">
        <f t="shared" si="276"/>
        <v>0</v>
      </c>
      <c r="I402" s="111">
        <f t="shared" si="277"/>
        <v>0</v>
      </c>
      <c r="J402" s="111">
        <f t="shared" si="278"/>
        <v>0</v>
      </c>
      <c r="K402" s="113">
        <f t="shared" si="279"/>
        <v>0</v>
      </c>
      <c r="L402" s="113">
        <f t="shared" si="280"/>
        <v>0</v>
      </c>
      <c r="M402" s="113">
        <f t="shared" si="281"/>
        <v>0</v>
      </c>
      <c r="N402" s="116">
        <f t="shared" si="282"/>
        <v>0</v>
      </c>
      <c r="O402" s="117">
        <f t="shared" si="271"/>
        <v>0</v>
      </c>
      <c r="P402" s="117">
        <f t="shared" si="283"/>
        <v>0</v>
      </c>
      <c r="Q402" s="117">
        <f t="shared" si="284"/>
        <v>0</v>
      </c>
      <c r="R402" s="117">
        <f t="shared" si="285"/>
        <v>0</v>
      </c>
      <c r="S402" s="116">
        <f t="shared" si="286"/>
        <v>0</v>
      </c>
      <c r="T402" s="116">
        <f t="shared" si="287"/>
        <v>0</v>
      </c>
      <c r="U402" s="116">
        <f t="shared" si="288"/>
        <v>0</v>
      </c>
      <c r="V402" s="118">
        <f t="shared" si="289"/>
        <v>0</v>
      </c>
      <c r="W402" s="118">
        <f t="shared" si="303"/>
        <v>0</v>
      </c>
      <c r="X402" s="118">
        <f t="shared" si="304"/>
        <v>0</v>
      </c>
      <c r="Y402" s="118">
        <f t="shared" si="305"/>
        <v>0</v>
      </c>
      <c r="Z402" s="118">
        <f t="shared" si="306"/>
        <v>0</v>
      </c>
      <c r="AA402" s="119">
        <v>0</v>
      </c>
      <c r="AB402" s="120">
        <f t="shared" si="290"/>
        <v>0</v>
      </c>
      <c r="AC402" s="118">
        <f t="shared" si="291"/>
        <v>0</v>
      </c>
      <c r="AD402" s="118">
        <f t="shared" si="307"/>
        <v>0</v>
      </c>
      <c r="AE402" s="118">
        <f t="shared" si="292"/>
        <v>0</v>
      </c>
      <c r="AF402" s="121">
        <f t="shared" si="308"/>
        <v>1</v>
      </c>
      <c r="AG402" s="122">
        <f t="shared" si="293"/>
        <v>0</v>
      </c>
      <c r="AH402" s="122">
        <f t="shared" si="294"/>
        <v>0</v>
      </c>
      <c r="AI402" s="122">
        <f t="shared" si="295"/>
        <v>0</v>
      </c>
      <c r="AJ402" s="122">
        <f t="shared" si="296"/>
        <v>0</v>
      </c>
      <c r="AK402" s="122">
        <f t="shared" si="297"/>
        <v>-286526</v>
      </c>
      <c r="AL402" s="122">
        <f t="shared" si="298"/>
        <v>-286526</v>
      </c>
      <c r="AM402" s="123">
        <f t="shared" si="299"/>
        <v>-286526</v>
      </c>
      <c r="AN402" s="123">
        <f t="shared" si="314"/>
        <v>0</v>
      </c>
      <c r="AO402" s="124">
        <f t="shared" si="300"/>
        <v>0</v>
      </c>
      <c r="AP402" s="125">
        <f t="shared" si="310"/>
        <v>0</v>
      </c>
      <c r="AU402" s="109">
        <f>IF(BA402=1,IF(AU401=MiscData!$F$1,EOMONTH(AU401,-11),EOMONTH(AU401,1)),AU401)</f>
        <v>42338</v>
      </c>
      <c r="AV402" s="108" t="str">
        <f t="shared" si="311"/>
        <v>20140101LGCSR760</v>
      </c>
      <c r="AW402" s="126" t="str">
        <f t="shared" si="312"/>
        <v>20140101CSR</v>
      </c>
      <c r="AX402">
        <f>MiscData!$X$5</f>
        <v>20140101</v>
      </c>
      <c r="BA402" s="98">
        <f>IF(BA401+1&gt;MiscData!$Z$42,1,BA401+1)</f>
        <v>19</v>
      </c>
      <c r="BB402" s="98" t="str">
        <f>VLOOKUP(BA402,MiscData!$Z$5:$AB$46,2,FALSE)</f>
        <v>LGCSR760</v>
      </c>
      <c r="BC402" s="98" t="str">
        <f>VLOOKUP(BA402,MiscData!$Z$5:$AB$46,3,FALSE)</f>
        <v>CSR</v>
      </c>
    </row>
    <row r="403" spans="1:55">
      <c r="A403" s="108">
        <v>382</v>
      </c>
      <c r="B403" s="109" t="str">
        <f t="shared" si="301"/>
        <v>Nov 2015</v>
      </c>
      <c r="C403" s="110" t="str">
        <f t="shared" si="313"/>
        <v>CSR</v>
      </c>
      <c r="D403" s="110" t="str">
        <f t="shared" si="302"/>
        <v>LGCSR780</v>
      </c>
      <c r="E403" s="111">
        <f t="shared" si="274"/>
        <v>0</v>
      </c>
      <c r="F403" s="112">
        <v>0</v>
      </c>
      <c r="G403" s="111">
        <f t="shared" si="275"/>
        <v>0</v>
      </c>
      <c r="H403" s="111">
        <f t="shared" si="276"/>
        <v>0</v>
      </c>
      <c r="I403" s="111">
        <f t="shared" si="277"/>
        <v>0</v>
      </c>
      <c r="J403" s="111">
        <f t="shared" si="278"/>
        <v>0</v>
      </c>
      <c r="K403" s="113">
        <f t="shared" si="279"/>
        <v>0</v>
      </c>
      <c r="L403" s="113">
        <f t="shared" si="280"/>
        <v>0</v>
      </c>
      <c r="M403" s="113">
        <f t="shared" si="281"/>
        <v>0</v>
      </c>
      <c r="N403" s="116">
        <f t="shared" si="282"/>
        <v>0</v>
      </c>
      <c r="O403" s="117">
        <f t="shared" si="271"/>
        <v>0</v>
      </c>
      <c r="P403" s="117">
        <f t="shared" si="283"/>
        <v>0</v>
      </c>
      <c r="Q403" s="117">
        <f t="shared" si="284"/>
        <v>0</v>
      </c>
      <c r="R403" s="117">
        <f t="shared" si="285"/>
        <v>0</v>
      </c>
      <c r="S403" s="116">
        <f t="shared" si="286"/>
        <v>0</v>
      </c>
      <c r="T403" s="116">
        <f t="shared" si="287"/>
        <v>0</v>
      </c>
      <c r="U403" s="116">
        <f t="shared" si="288"/>
        <v>0</v>
      </c>
      <c r="V403" s="118">
        <f t="shared" si="289"/>
        <v>0</v>
      </c>
      <c r="W403" s="118">
        <f t="shared" si="303"/>
        <v>0</v>
      </c>
      <c r="X403" s="118">
        <f t="shared" si="304"/>
        <v>0</v>
      </c>
      <c r="Y403" s="118">
        <f t="shared" si="305"/>
        <v>0</v>
      </c>
      <c r="Z403" s="118">
        <f t="shared" si="306"/>
        <v>0</v>
      </c>
      <c r="AA403" s="119">
        <v>0</v>
      </c>
      <c r="AB403" s="120">
        <f t="shared" si="290"/>
        <v>0</v>
      </c>
      <c r="AC403" s="118">
        <f t="shared" si="291"/>
        <v>0</v>
      </c>
      <c r="AD403" s="118">
        <f t="shared" si="307"/>
        <v>0</v>
      </c>
      <c r="AE403" s="118">
        <f t="shared" si="292"/>
        <v>0</v>
      </c>
      <c r="AF403" s="121">
        <f t="shared" si="308"/>
        <v>1</v>
      </c>
      <c r="AG403" s="122">
        <f t="shared" si="293"/>
        <v>0</v>
      </c>
      <c r="AH403" s="122">
        <f t="shared" si="294"/>
        <v>0</v>
      </c>
      <c r="AI403" s="122">
        <f t="shared" si="295"/>
        <v>0</v>
      </c>
      <c r="AJ403" s="122">
        <f t="shared" si="296"/>
        <v>0</v>
      </c>
      <c r="AK403" s="122">
        <f t="shared" si="297"/>
        <v>0</v>
      </c>
      <c r="AL403" s="122">
        <f t="shared" si="298"/>
        <v>0</v>
      </c>
      <c r="AM403" s="123">
        <f t="shared" si="299"/>
        <v>0</v>
      </c>
      <c r="AN403" s="123">
        <f t="shared" si="309"/>
        <v>0</v>
      </c>
      <c r="AO403" s="124">
        <f t="shared" si="300"/>
        <v>0</v>
      </c>
      <c r="AP403" s="125">
        <f t="shared" si="310"/>
        <v>0</v>
      </c>
      <c r="AU403" s="109">
        <f>IF(BA403=1,IF(AU402=MiscData!$F$1,EOMONTH(AU402,-11),EOMONTH(AU402,1)),AU402)</f>
        <v>42338</v>
      </c>
      <c r="AV403" s="108" t="str">
        <f t="shared" si="311"/>
        <v>20140101LGCSR780</v>
      </c>
      <c r="AW403" s="126" t="str">
        <f t="shared" si="312"/>
        <v>20140101CSR</v>
      </c>
      <c r="AX403">
        <f>MiscData!$X$5</f>
        <v>20140101</v>
      </c>
      <c r="BA403" s="98">
        <f>IF(BA402+1&gt;MiscData!$Z$42,1,BA402+1)</f>
        <v>20</v>
      </c>
      <c r="BB403" s="98" t="str">
        <f>VLOOKUP(BA403,MiscData!$Z$5:$AB$46,2,FALSE)</f>
        <v>LGCSR780</v>
      </c>
      <c r="BC403" s="98" t="str">
        <f>VLOOKUP(BA403,MiscData!$Z$5:$AB$46,3,FALSE)</f>
        <v>CSR</v>
      </c>
    </row>
    <row r="404" spans="1:55">
      <c r="A404" s="108">
        <v>383</v>
      </c>
      <c r="B404" s="109" t="str">
        <f t="shared" si="301"/>
        <v>Nov 2015</v>
      </c>
      <c r="C404" s="110" t="str">
        <f t="shared" si="313"/>
        <v>FK</v>
      </c>
      <c r="D404" s="110" t="str">
        <f t="shared" si="302"/>
        <v>LGINE599</v>
      </c>
      <c r="E404" s="111">
        <f t="shared" si="274"/>
        <v>1</v>
      </c>
      <c r="F404" s="112">
        <v>0</v>
      </c>
      <c r="G404" s="111">
        <f t="shared" si="275"/>
        <v>0</v>
      </c>
      <c r="H404" s="111">
        <f t="shared" si="276"/>
        <v>0</v>
      </c>
      <c r="I404" s="111">
        <f t="shared" si="277"/>
        <v>0</v>
      </c>
      <c r="J404" s="111">
        <f t="shared" si="278"/>
        <v>7436000</v>
      </c>
      <c r="K404" s="113">
        <f t="shared" si="279"/>
        <v>0</v>
      </c>
      <c r="L404" s="113">
        <f t="shared" si="280"/>
        <v>9520</v>
      </c>
      <c r="M404" s="113">
        <f t="shared" si="281"/>
        <v>0</v>
      </c>
      <c r="N404" s="116">
        <f t="shared" si="282"/>
        <v>0</v>
      </c>
      <c r="O404" s="117">
        <f t="shared" si="271"/>
        <v>3.7400000000000003E-2</v>
      </c>
      <c r="P404" s="117">
        <f t="shared" si="283"/>
        <v>0</v>
      </c>
      <c r="Q404" s="117">
        <f t="shared" si="284"/>
        <v>0</v>
      </c>
      <c r="R404" s="117">
        <f t="shared" si="285"/>
        <v>2.725E-2</v>
      </c>
      <c r="S404" s="116">
        <f t="shared" si="286"/>
        <v>0</v>
      </c>
      <c r="T404" s="116">
        <f t="shared" si="287"/>
        <v>12.72</v>
      </c>
      <c r="U404" s="116">
        <f t="shared" si="288"/>
        <v>15.040000000000001</v>
      </c>
      <c r="V404" s="118">
        <f t="shared" si="289"/>
        <v>0</v>
      </c>
      <c r="W404" s="118">
        <f t="shared" si="303"/>
        <v>278106.40000000002</v>
      </c>
      <c r="X404" s="118">
        <f t="shared" si="304"/>
        <v>0</v>
      </c>
      <c r="Y404" s="118">
        <f t="shared" si="305"/>
        <v>121094.39999999999</v>
      </c>
      <c r="Z404" s="118">
        <f t="shared" si="306"/>
        <v>0</v>
      </c>
      <c r="AA404" s="119">
        <v>0</v>
      </c>
      <c r="AB404" s="120">
        <f t="shared" si="290"/>
        <v>0</v>
      </c>
      <c r="AC404" s="118">
        <f t="shared" si="291"/>
        <v>121094.39999999999</v>
      </c>
      <c r="AD404" s="118">
        <f>SUM(V404:AB404)</f>
        <v>399200.80000000005</v>
      </c>
      <c r="AE404" s="118">
        <f t="shared" si="292"/>
        <v>399201</v>
      </c>
      <c r="AF404" s="121">
        <f t="shared" si="308"/>
        <v>1.0000009999999999</v>
      </c>
      <c r="AG404" s="122">
        <f t="shared" si="293"/>
        <v>-1654</v>
      </c>
      <c r="AH404" s="122">
        <f t="shared" si="294"/>
        <v>0</v>
      </c>
      <c r="AI404" s="122">
        <f t="shared" si="295"/>
        <v>76665</v>
      </c>
      <c r="AJ404" s="122">
        <f t="shared" si="296"/>
        <v>0</v>
      </c>
      <c r="AK404" s="122">
        <f t="shared" si="297"/>
        <v>0</v>
      </c>
      <c r="AL404" s="122">
        <f t="shared" si="298"/>
        <v>474212</v>
      </c>
      <c r="AM404" s="123">
        <f t="shared" si="299"/>
        <v>474211.80000000005</v>
      </c>
      <c r="AN404" s="123">
        <f t="shared" si="309"/>
        <v>0.19999999995343387</v>
      </c>
      <c r="AO404" s="124">
        <f t="shared" si="300"/>
        <v>202631</v>
      </c>
      <c r="AP404" s="125">
        <f t="shared" si="310"/>
        <v>75475.400000000023</v>
      </c>
      <c r="AU404" s="109">
        <f>IF(BA404=1,IF(AU403=MiscData!$F$1,EOMONTH(AU403,-11),EOMONTH(AU403,1)),AU403)</f>
        <v>42338</v>
      </c>
      <c r="AV404" s="108" t="str">
        <f t="shared" si="311"/>
        <v>20140101LGINE599</v>
      </c>
      <c r="AW404" s="126" t="str">
        <f t="shared" si="312"/>
        <v>20140101FK</v>
      </c>
      <c r="AX404">
        <f>MiscData!$X$5</f>
        <v>20140101</v>
      </c>
      <c r="BA404" s="98">
        <f>IF(BA403+1&gt;MiscData!$Z$42,1,BA403+1)</f>
        <v>21</v>
      </c>
      <c r="BB404" s="98" t="str">
        <f>VLOOKUP(BA404,MiscData!$Z$5:$AB$46,2,FALSE)</f>
        <v>LGINE599</v>
      </c>
      <c r="BC404" s="98" t="str">
        <f>VLOOKUP(BA404,MiscData!$Z$5:$AB$46,3,FALSE)</f>
        <v>FK</v>
      </c>
    </row>
    <row r="405" spans="1:55">
      <c r="A405" s="108">
        <v>384</v>
      </c>
      <c r="B405" s="109" t="str">
        <f t="shared" si="301"/>
        <v>Nov 2015</v>
      </c>
      <c r="C405" s="110" t="str">
        <f t="shared" si="313"/>
        <v>RTS</v>
      </c>
      <c r="D405" s="110" t="str">
        <f t="shared" si="302"/>
        <v>LGINE643</v>
      </c>
      <c r="E405" s="111">
        <f t="shared" si="274"/>
        <v>12</v>
      </c>
      <c r="F405" s="112">
        <v>0</v>
      </c>
      <c r="G405" s="111">
        <f t="shared" si="275"/>
        <v>0</v>
      </c>
      <c r="H405" s="111">
        <f t="shared" si="276"/>
        <v>0</v>
      </c>
      <c r="I405" s="111">
        <f t="shared" si="277"/>
        <v>0</v>
      </c>
      <c r="J405" s="111">
        <f t="shared" si="278"/>
        <v>71794294</v>
      </c>
      <c r="K405" s="113">
        <f t="shared" si="279"/>
        <v>148975</v>
      </c>
      <c r="L405" s="113">
        <f t="shared" si="280"/>
        <v>144575</v>
      </c>
      <c r="M405" s="113">
        <f t="shared" si="281"/>
        <v>93494</v>
      </c>
      <c r="N405" s="116">
        <f t="shared" si="282"/>
        <v>750</v>
      </c>
      <c r="O405" s="117">
        <f t="shared" si="271"/>
        <v>3.61E-2</v>
      </c>
      <c r="P405" s="117">
        <f t="shared" si="283"/>
        <v>0</v>
      </c>
      <c r="Q405" s="117">
        <f t="shared" si="284"/>
        <v>0</v>
      </c>
      <c r="R405" s="117">
        <f t="shared" si="285"/>
        <v>2.725E-2</v>
      </c>
      <c r="S405" s="116">
        <f t="shared" si="286"/>
        <v>2.75</v>
      </c>
      <c r="T405" s="116">
        <f t="shared" si="287"/>
        <v>3</v>
      </c>
      <c r="U405" s="116">
        <f t="shared" si="288"/>
        <v>4.5500000000000007</v>
      </c>
      <c r="V405" s="118">
        <f t="shared" si="289"/>
        <v>9000</v>
      </c>
      <c r="W405" s="118">
        <f t="shared" si="303"/>
        <v>2591774.0099999998</v>
      </c>
      <c r="X405" s="118">
        <f t="shared" si="304"/>
        <v>409681.25</v>
      </c>
      <c r="Y405" s="118">
        <f t="shared" si="305"/>
        <v>433725</v>
      </c>
      <c r="Z405" s="118">
        <f t="shared" si="306"/>
        <v>425397.7</v>
      </c>
      <c r="AA405" s="119">
        <v>0</v>
      </c>
      <c r="AB405" s="120">
        <f t="shared" si="290"/>
        <v>0</v>
      </c>
      <c r="AC405" s="118">
        <f t="shared" si="291"/>
        <v>1268803.95</v>
      </c>
      <c r="AD405" s="118">
        <f t="shared" si="307"/>
        <v>3869577.96</v>
      </c>
      <c r="AE405" s="118">
        <f t="shared" si="292"/>
        <v>3869579</v>
      </c>
      <c r="AF405" s="121">
        <f t="shared" si="308"/>
        <v>1</v>
      </c>
      <c r="AG405" s="122">
        <f t="shared" si="293"/>
        <v>-15972</v>
      </c>
      <c r="AH405" s="122">
        <f t="shared" si="294"/>
        <v>0</v>
      </c>
      <c r="AI405" s="122">
        <f t="shared" si="295"/>
        <v>740202</v>
      </c>
      <c r="AJ405" s="122">
        <f t="shared" si="296"/>
        <v>0</v>
      </c>
      <c r="AK405" s="122">
        <f t="shared" si="297"/>
        <v>0</v>
      </c>
      <c r="AL405" s="122">
        <f t="shared" si="298"/>
        <v>4593809</v>
      </c>
      <c r="AM405" s="123">
        <f t="shared" si="299"/>
        <v>4593807.96</v>
      </c>
      <c r="AN405" s="123">
        <f t="shared" si="309"/>
        <v>1.0400000000372529</v>
      </c>
      <c r="AO405" s="124">
        <f t="shared" si="300"/>
        <v>1956394.51</v>
      </c>
      <c r="AP405" s="125">
        <f t="shared" si="310"/>
        <v>635379.49999999977</v>
      </c>
      <c r="AU405" s="109">
        <f>IF(BA405=1,IF(AU404=MiscData!$F$1,EOMONTH(AU404,-11),EOMONTH(AU404,1)),AU404)</f>
        <v>42338</v>
      </c>
      <c r="AV405" s="108" t="str">
        <f t="shared" si="311"/>
        <v>20140101LGINE643</v>
      </c>
      <c r="AW405" s="126" t="str">
        <f t="shared" si="312"/>
        <v>20140101RTS</v>
      </c>
      <c r="AX405">
        <f>MiscData!$X$5</f>
        <v>20140101</v>
      </c>
      <c r="BA405" s="98">
        <f>IF(BA404+1&gt;MiscData!$Z$42,1,BA404+1)</f>
        <v>22</v>
      </c>
      <c r="BB405" s="98" t="str">
        <f>VLOOKUP(BA405,MiscData!$Z$5:$AB$46,2,FALSE)</f>
        <v>LGINE643</v>
      </c>
      <c r="BC405" s="98" t="str">
        <f>VLOOKUP(BA405,MiscData!$Z$5:$AB$46,3,FALSE)</f>
        <v>RTS</v>
      </c>
    </row>
    <row r="406" spans="1:55">
      <c r="A406" s="108">
        <v>385</v>
      </c>
      <c r="B406" s="109" t="str">
        <f t="shared" si="301"/>
        <v>Nov 2015</v>
      </c>
      <c r="C406" s="110" t="str">
        <f t="shared" si="313"/>
        <v>PSS</v>
      </c>
      <c r="D406" s="110" t="str">
        <f t="shared" si="302"/>
        <v>LGINE661</v>
      </c>
      <c r="E406" s="111">
        <f t="shared" si="274"/>
        <v>214</v>
      </c>
      <c r="F406" s="112">
        <v>0</v>
      </c>
      <c r="G406" s="111">
        <f t="shared" si="275"/>
        <v>0</v>
      </c>
      <c r="H406" s="111">
        <f t="shared" si="276"/>
        <v>0</v>
      </c>
      <c r="I406" s="111">
        <f t="shared" si="277"/>
        <v>0</v>
      </c>
      <c r="J406" s="111">
        <f t="shared" si="278"/>
        <v>19146672</v>
      </c>
      <c r="K406" s="113">
        <f t="shared" si="279"/>
        <v>0</v>
      </c>
      <c r="L406" s="113">
        <f t="shared" si="280"/>
        <v>59196</v>
      </c>
      <c r="M406" s="113">
        <f t="shared" si="281"/>
        <v>0</v>
      </c>
      <c r="N406" s="116">
        <f t="shared" si="282"/>
        <v>90</v>
      </c>
      <c r="O406" s="117">
        <f t="shared" si="271"/>
        <v>4.0599999999999997E-2</v>
      </c>
      <c r="P406" s="117">
        <f t="shared" si="283"/>
        <v>0</v>
      </c>
      <c r="Q406" s="117">
        <f t="shared" si="284"/>
        <v>0</v>
      </c>
      <c r="R406" s="117">
        <f t="shared" si="285"/>
        <v>2.725E-2</v>
      </c>
      <c r="S406" s="116">
        <f t="shared" si="286"/>
        <v>0</v>
      </c>
      <c r="T406" s="116">
        <f t="shared" si="287"/>
        <v>14.010000000000002</v>
      </c>
      <c r="U406" s="116">
        <f t="shared" si="288"/>
        <v>16.399999999999999</v>
      </c>
      <c r="V406" s="118">
        <f t="shared" si="289"/>
        <v>19260</v>
      </c>
      <c r="W406" s="118">
        <f t="shared" si="303"/>
        <v>777354.88</v>
      </c>
      <c r="X406" s="118">
        <f t="shared" si="304"/>
        <v>0</v>
      </c>
      <c r="Y406" s="118">
        <f t="shared" si="305"/>
        <v>829335.96</v>
      </c>
      <c r="Z406" s="118">
        <f t="shared" si="306"/>
        <v>0</v>
      </c>
      <c r="AA406" s="119">
        <v>0</v>
      </c>
      <c r="AB406" s="120">
        <f t="shared" si="290"/>
        <v>0</v>
      </c>
      <c r="AC406" s="118">
        <f t="shared" si="291"/>
        <v>829335.96</v>
      </c>
      <c r="AD406" s="118">
        <f t="shared" si="307"/>
        <v>1625950.8399999999</v>
      </c>
      <c r="AE406" s="118">
        <f t="shared" si="292"/>
        <v>1625946</v>
      </c>
      <c r="AF406" s="121">
        <f t="shared" si="308"/>
        <v>0.99999700000000002</v>
      </c>
      <c r="AG406" s="122">
        <f t="shared" si="293"/>
        <v>-4259</v>
      </c>
      <c r="AH406" s="122">
        <f t="shared" si="294"/>
        <v>45977</v>
      </c>
      <c r="AI406" s="122">
        <f t="shared" si="295"/>
        <v>197403</v>
      </c>
      <c r="AJ406" s="122">
        <f t="shared" si="296"/>
        <v>0</v>
      </c>
      <c r="AK406" s="122">
        <f t="shared" si="297"/>
        <v>0</v>
      </c>
      <c r="AL406" s="122">
        <f t="shared" si="298"/>
        <v>1865067</v>
      </c>
      <c r="AM406" s="123">
        <f t="shared" si="299"/>
        <v>1865071.8399999999</v>
      </c>
      <c r="AN406" s="123">
        <f t="shared" si="309"/>
        <v>-4.8399999998509884</v>
      </c>
      <c r="AO406" s="124">
        <f t="shared" si="300"/>
        <v>521746.81</v>
      </c>
      <c r="AP406" s="125">
        <f t="shared" si="310"/>
        <v>255608.07</v>
      </c>
      <c r="AU406" s="109">
        <f>IF(BA406=1,IF(AU405=MiscData!$F$1,EOMONTH(AU405,-11),EOMONTH(AU405,1)),AU405)</f>
        <v>42338</v>
      </c>
      <c r="AV406" s="108" t="str">
        <f t="shared" si="311"/>
        <v>20140101LGINE661</v>
      </c>
      <c r="AW406" s="126" t="str">
        <f t="shared" si="312"/>
        <v>20140101PSS</v>
      </c>
      <c r="AX406">
        <f>MiscData!$X$5</f>
        <v>20140101</v>
      </c>
      <c r="BA406" s="98">
        <f>IF(BA405+1&gt;MiscData!$Z$42,1,BA405+1)</f>
        <v>23</v>
      </c>
      <c r="BB406" s="98" t="str">
        <f>VLOOKUP(BA406,MiscData!$Z$5:$AB$46,2,FALSE)</f>
        <v>LGINE661</v>
      </c>
      <c r="BC406" s="98" t="str">
        <f>VLOOKUP(BA406,MiscData!$Z$5:$AB$46,3,FALSE)</f>
        <v>PSS</v>
      </c>
    </row>
    <row r="407" spans="1:55">
      <c r="A407" s="108">
        <v>386</v>
      </c>
      <c r="B407" s="109" t="str">
        <f t="shared" si="301"/>
        <v>Nov 2015</v>
      </c>
      <c r="C407" s="110" t="str">
        <f t="shared" si="313"/>
        <v>PSP</v>
      </c>
      <c r="D407" s="110" t="str">
        <f t="shared" si="302"/>
        <v>LGINE663</v>
      </c>
      <c r="E407" s="111">
        <f t="shared" si="274"/>
        <v>21</v>
      </c>
      <c r="F407" s="112">
        <v>0</v>
      </c>
      <c r="G407" s="111">
        <f t="shared" si="275"/>
        <v>0</v>
      </c>
      <c r="H407" s="111">
        <f t="shared" si="276"/>
        <v>0</v>
      </c>
      <c r="I407" s="111">
        <f t="shared" si="277"/>
        <v>0</v>
      </c>
      <c r="J407" s="111">
        <f t="shared" si="278"/>
        <v>1056885</v>
      </c>
      <c r="K407" s="113">
        <f t="shared" si="279"/>
        <v>0</v>
      </c>
      <c r="L407" s="113">
        <f t="shared" si="280"/>
        <v>3776</v>
      </c>
      <c r="M407" s="113">
        <f t="shared" si="281"/>
        <v>0</v>
      </c>
      <c r="N407" s="116">
        <f t="shared" si="282"/>
        <v>170</v>
      </c>
      <c r="O407" s="117">
        <f t="shared" si="271"/>
        <v>3.9260000000000003E-2</v>
      </c>
      <c r="P407" s="117">
        <f t="shared" si="283"/>
        <v>0</v>
      </c>
      <c r="Q407" s="117">
        <f t="shared" si="284"/>
        <v>0</v>
      </c>
      <c r="R407" s="117">
        <f t="shared" si="285"/>
        <v>2.725E-2</v>
      </c>
      <c r="S407" s="116">
        <f t="shared" si="286"/>
        <v>0</v>
      </c>
      <c r="T407" s="116">
        <f t="shared" si="287"/>
        <v>11.660000000000002</v>
      </c>
      <c r="U407" s="116">
        <f t="shared" si="288"/>
        <v>13.950000000000001</v>
      </c>
      <c r="V407" s="118">
        <f t="shared" si="289"/>
        <v>3570</v>
      </c>
      <c r="W407" s="118">
        <f t="shared" si="303"/>
        <v>41493.31</v>
      </c>
      <c r="X407" s="118">
        <f t="shared" si="304"/>
        <v>0</v>
      </c>
      <c r="Y407" s="118">
        <f t="shared" si="305"/>
        <v>44028.160000000003</v>
      </c>
      <c r="Z407" s="118">
        <f t="shared" si="306"/>
        <v>0</v>
      </c>
      <c r="AA407" s="119">
        <v>0</v>
      </c>
      <c r="AB407" s="120">
        <f t="shared" si="290"/>
        <v>0</v>
      </c>
      <c r="AC407" s="118">
        <f t="shared" si="291"/>
        <v>44028.160000000003</v>
      </c>
      <c r="AD407" s="118">
        <f t="shared" si="307"/>
        <v>89091.47</v>
      </c>
      <c r="AE407" s="118">
        <f t="shared" si="292"/>
        <v>89087</v>
      </c>
      <c r="AF407" s="121">
        <f t="shared" si="308"/>
        <v>0.99995000000000001</v>
      </c>
      <c r="AG407" s="122">
        <f t="shared" si="293"/>
        <v>-235</v>
      </c>
      <c r="AH407" s="122">
        <f t="shared" si="294"/>
        <v>2538</v>
      </c>
      <c r="AI407" s="122">
        <f t="shared" si="295"/>
        <v>10897</v>
      </c>
      <c r="AJ407" s="122">
        <f t="shared" si="296"/>
        <v>0</v>
      </c>
      <c r="AK407" s="122">
        <f t="shared" si="297"/>
        <v>0</v>
      </c>
      <c r="AL407" s="122">
        <f t="shared" si="298"/>
        <v>102287</v>
      </c>
      <c r="AM407" s="123">
        <f t="shared" si="299"/>
        <v>102291.47</v>
      </c>
      <c r="AN407" s="123">
        <f t="shared" si="309"/>
        <v>-4.4700000000011642</v>
      </c>
      <c r="AO407" s="124">
        <f t="shared" si="300"/>
        <v>28800.12</v>
      </c>
      <c r="AP407" s="125">
        <f t="shared" si="310"/>
        <v>12693.189999999999</v>
      </c>
      <c r="AU407" s="109">
        <f>IF(BA407=1,IF(AU406=MiscData!$F$1,EOMONTH(AU406,-11),EOMONTH(AU406,1)),AU406)</f>
        <v>42338</v>
      </c>
      <c r="AV407" s="108" t="str">
        <f t="shared" si="311"/>
        <v>20140101LGINE663</v>
      </c>
      <c r="AW407" s="126" t="str">
        <f t="shared" si="312"/>
        <v>20140101PSP</v>
      </c>
      <c r="AX407">
        <f>MiscData!$X$5</f>
        <v>20140101</v>
      </c>
      <c r="BA407" s="98">
        <f>IF(BA406+1&gt;MiscData!$Z$42,1,BA406+1)</f>
        <v>24</v>
      </c>
      <c r="BB407" s="98" t="str">
        <f>VLOOKUP(BA407,MiscData!$Z$5:$AB$46,2,FALSE)</f>
        <v>LGINE663</v>
      </c>
      <c r="BC407" s="98" t="str">
        <f>VLOOKUP(BA407,MiscData!$Z$5:$AB$46,3,FALSE)</f>
        <v>PSP</v>
      </c>
    </row>
    <row r="408" spans="1:55">
      <c r="A408" s="108">
        <v>387</v>
      </c>
      <c r="B408" s="109" t="str">
        <f t="shared" si="301"/>
        <v>Nov 2015</v>
      </c>
      <c r="C408" s="110" t="str">
        <f t="shared" si="313"/>
        <v>TODS</v>
      </c>
      <c r="D408" s="110" t="str">
        <f t="shared" si="302"/>
        <v>LGINE691</v>
      </c>
      <c r="E408" s="111">
        <f t="shared" si="274"/>
        <v>97</v>
      </c>
      <c r="F408" s="112">
        <v>0</v>
      </c>
      <c r="G408" s="111">
        <f t="shared" si="275"/>
        <v>0</v>
      </c>
      <c r="H408" s="111">
        <f t="shared" si="276"/>
        <v>0</v>
      </c>
      <c r="I408" s="111">
        <f t="shared" si="277"/>
        <v>0</v>
      </c>
      <c r="J408" s="111">
        <f t="shared" si="278"/>
        <v>20853450</v>
      </c>
      <c r="K408" s="113">
        <f t="shared" si="279"/>
        <v>53247</v>
      </c>
      <c r="L408" s="113">
        <f t="shared" si="280"/>
        <v>49958</v>
      </c>
      <c r="M408" s="113">
        <f t="shared" si="281"/>
        <v>49046</v>
      </c>
      <c r="N408" s="116">
        <f t="shared" si="282"/>
        <v>200</v>
      </c>
      <c r="O408" s="117">
        <f t="shared" si="271"/>
        <v>3.9899999999999998E-2</v>
      </c>
      <c r="P408" s="117">
        <f t="shared" si="283"/>
        <v>0</v>
      </c>
      <c r="Q408" s="117">
        <f t="shared" si="284"/>
        <v>0</v>
      </c>
      <c r="R408" s="117">
        <f t="shared" si="285"/>
        <v>2.725E-2</v>
      </c>
      <c r="S408" s="116">
        <f t="shared" si="286"/>
        <v>4</v>
      </c>
      <c r="T408" s="116">
        <f t="shared" si="287"/>
        <v>4.5100000000000007</v>
      </c>
      <c r="U408" s="116">
        <f t="shared" si="288"/>
        <v>6.11</v>
      </c>
      <c r="V408" s="118">
        <f t="shared" si="289"/>
        <v>19400</v>
      </c>
      <c r="W408" s="118">
        <f t="shared" si="303"/>
        <v>832052.66</v>
      </c>
      <c r="X408" s="118">
        <f t="shared" si="304"/>
        <v>212988</v>
      </c>
      <c r="Y408" s="118">
        <f t="shared" si="305"/>
        <v>225310.58</v>
      </c>
      <c r="Z408" s="118">
        <f t="shared" si="306"/>
        <v>299671.06</v>
      </c>
      <c r="AA408" s="119">
        <v>0</v>
      </c>
      <c r="AB408" s="120">
        <f t="shared" si="290"/>
        <v>0</v>
      </c>
      <c r="AC408" s="118">
        <f t="shared" si="291"/>
        <v>737969.6399999999</v>
      </c>
      <c r="AD408" s="118">
        <f t="shared" si="307"/>
        <v>1589422.3000000003</v>
      </c>
      <c r="AE408" s="118">
        <f t="shared" si="292"/>
        <v>1589422</v>
      </c>
      <c r="AF408" s="121">
        <f t="shared" si="308"/>
        <v>1</v>
      </c>
      <c r="AG408" s="122">
        <f t="shared" si="293"/>
        <v>-4639</v>
      </c>
      <c r="AH408" s="122">
        <f t="shared" si="294"/>
        <v>50076</v>
      </c>
      <c r="AI408" s="122">
        <f t="shared" si="295"/>
        <v>215000</v>
      </c>
      <c r="AJ408" s="122">
        <f t="shared" si="296"/>
        <v>0</v>
      </c>
      <c r="AK408" s="122">
        <f t="shared" si="297"/>
        <v>0</v>
      </c>
      <c r="AL408" s="122">
        <f t="shared" si="298"/>
        <v>1849859</v>
      </c>
      <c r="AM408" s="123">
        <f t="shared" si="299"/>
        <v>1849859.3000000003</v>
      </c>
      <c r="AN408" s="123">
        <f t="shared" si="309"/>
        <v>-0.30000000027939677</v>
      </c>
      <c r="AO408" s="124">
        <f t="shared" si="300"/>
        <v>568256.51</v>
      </c>
      <c r="AP408" s="125">
        <f t="shared" si="310"/>
        <v>263796.15000000002</v>
      </c>
      <c r="AU408" s="109">
        <f>IF(BA408=1,IF(AU407=MiscData!$F$1,EOMONTH(AU407,-11),EOMONTH(AU407,1)),AU407)</f>
        <v>42338</v>
      </c>
      <c r="AV408" s="108" t="str">
        <f t="shared" si="311"/>
        <v>20140101LGINE691</v>
      </c>
      <c r="AW408" s="126" t="str">
        <f t="shared" si="312"/>
        <v>20140101TODS</v>
      </c>
      <c r="AX408">
        <f>MiscData!$X$5</f>
        <v>20140101</v>
      </c>
      <c r="BA408" s="98">
        <f>IF(BA407+1&gt;MiscData!$Z$42,1,BA407+1)</f>
        <v>25</v>
      </c>
      <c r="BB408" s="98" t="str">
        <f>VLOOKUP(BA408,MiscData!$Z$5:$AB$46,2,FALSE)</f>
        <v>LGINE691</v>
      </c>
      <c r="BC408" s="98" t="str">
        <f>VLOOKUP(BA408,MiscData!$Z$5:$AB$46,3,FALSE)</f>
        <v>TODS</v>
      </c>
    </row>
    <row r="409" spans="1:55">
      <c r="A409" s="108">
        <v>388</v>
      </c>
      <c r="B409" s="109" t="str">
        <f t="shared" si="301"/>
        <v>Nov 2015</v>
      </c>
      <c r="C409" s="110" t="str">
        <f t="shared" si="313"/>
        <v>ITODP</v>
      </c>
      <c r="D409" s="110" t="str">
        <f t="shared" si="302"/>
        <v>LGINE693</v>
      </c>
      <c r="E409" s="111">
        <f t="shared" si="274"/>
        <v>70</v>
      </c>
      <c r="F409" s="112">
        <v>0</v>
      </c>
      <c r="G409" s="111">
        <f t="shared" si="275"/>
        <v>0</v>
      </c>
      <c r="H409" s="111">
        <f t="shared" si="276"/>
        <v>0</v>
      </c>
      <c r="I409" s="111">
        <f t="shared" si="277"/>
        <v>0</v>
      </c>
      <c r="J409" s="111">
        <f t="shared" si="278"/>
        <v>133272351</v>
      </c>
      <c r="K409" s="113">
        <f t="shared" si="279"/>
        <v>322436</v>
      </c>
      <c r="L409" s="113">
        <f t="shared" si="280"/>
        <v>292728</v>
      </c>
      <c r="M409" s="113">
        <f t="shared" si="281"/>
        <v>288839</v>
      </c>
      <c r="N409" s="116">
        <f t="shared" si="282"/>
        <v>300</v>
      </c>
      <c r="O409" s="117">
        <f t="shared" si="271"/>
        <v>3.5380000000000002E-2</v>
      </c>
      <c r="P409" s="117">
        <f t="shared" si="283"/>
        <v>0</v>
      </c>
      <c r="Q409" s="117">
        <f t="shared" si="284"/>
        <v>0</v>
      </c>
      <c r="R409" s="117">
        <f t="shared" si="285"/>
        <v>2.725E-2</v>
      </c>
      <c r="S409" s="116">
        <f t="shared" si="286"/>
        <v>3.6300000000000003</v>
      </c>
      <c r="T409" s="116">
        <f t="shared" si="287"/>
        <v>3.7900000000000005</v>
      </c>
      <c r="U409" s="116">
        <f t="shared" si="288"/>
        <v>4.63</v>
      </c>
      <c r="V409" s="118">
        <f t="shared" si="289"/>
        <v>21000</v>
      </c>
      <c r="W409" s="118">
        <f t="shared" si="303"/>
        <v>4715175.78</v>
      </c>
      <c r="X409" s="118">
        <f t="shared" si="304"/>
        <v>1170442.68</v>
      </c>
      <c r="Y409" s="118">
        <f t="shared" si="305"/>
        <v>1109439.1200000001</v>
      </c>
      <c r="Z409" s="118">
        <f t="shared" si="306"/>
        <v>1337324.57</v>
      </c>
      <c r="AA409" s="119">
        <v>0</v>
      </c>
      <c r="AB409" s="120">
        <f t="shared" si="290"/>
        <v>0</v>
      </c>
      <c r="AC409" s="118">
        <f t="shared" si="291"/>
        <v>3617206.37</v>
      </c>
      <c r="AD409" s="118">
        <f t="shared" si="307"/>
        <v>8353382.1500000004</v>
      </c>
      <c r="AE409" s="118">
        <f t="shared" si="292"/>
        <v>8353383</v>
      </c>
      <c r="AF409" s="121">
        <f t="shared" si="308"/>
        <v>1</v>
      </c>
      <c r="AG409" s="122">
        <f t="shared" si="293"/>
        <v>-29648</v>
      </c>
      <c r="AH409" s="122">
        <f t="shared" si="294"/>
        <v>320031</v>
      </c>
      <c r="AI409" s="122">
        <f t="shared" si="295"/>
        <v>1374042</v>
      </c>
      <c r="AJ409" s="122">
        <f t="shared" si="296"/>
        <v>0</v>
      </c>
      <c r="AK409" s="122">
        <f t="shared" si="297"/>
        <v>0</v>
      </c>
      <c r="AL409" s="122">
        <f t="shared" si="298"/>
        <v>10017808</v>
      </c>
      <c r="AM409" s="123">
        <f t="shared" si="299"/>
        <v>10017807.15</v>
      </c>
      <c r="AN409" s="123">
        <f t="shared" si="309"/>
        <v>0.84999999962747097</v>
      </c>
      <c r="AO409" s="124">
        <f t="shared" si="300"/>
        <v>3631671.56</v>
      </c>
      <c r="AP409" s="125">
        <f t="shared" si="310"/>
        <v>1083504.2200000002</v>
      </c>
      <c r="AU409" s="109">
        <f>IF(BA409=1,IF(AU408=MiscData!$F$1,EOMONTH(AU408,-11),EOMONTH(AU408,1)),AU408)</f>
        <v>42338</v>
      </c>
      <c r="AV409" s="108" t="str">
        <f t="shared" si="311"/>
        <v>20140101LGINE693</v>
      </c>
      <c r="AW409" s="126" t="str">
        <f t="shared" si="312"/>
        <v>20140101ITODP</v>
      </c>
      <c r="AX409">
        <f>MiscData!$X$5</f>
        <v>20140101</v>
      </c>
      <c r="BA409" s="98">
        <f>IF(BA408+1&gt;MiscData!$Z$42,1,BA408+1)</f>
        <v>26</v>
      </c>
      <c r="BB409" s="98" t="str">
        <f>VLOOKUP(BA409,MiscData!$Z$5:$AB$46,2,FALSE)</f>
        <v>LGINE693</v>
      </c>
      <c r="BC409" s="98" t="str">
        <f>VLOOKUP(BA409,MiscData!$Z$5:$AB$46,3,FALSE)</f>
        <v>ITODP</v>
      </c>
    </row>
    <row r="410" spans="1:55">
      <c r="A410" s="108">
        <v>389</v>
      </c>
      <c r="B410" s="109" t="str">
        <f t="shared" si="301"/>
        <v>Nov 2015</v>
      </c>
      <c r="C410" s="110" t="str">
        <f t="shared" si="313"/>
        <v>ITODP</v>
      </c>
      <c r="D410" s="110" t="str">
        <f t="shared" si="302"/>
        <v>LGINE694</v>
      </c>
      <c r="E410" s="111">
        <f t="shared" si="274"/>
        <v>0</v>
      </c>
      <c r="F410" s="112">
        <v>0</v>
      </c>
      <c r="G410" s="111">
        <f t="shared" si="275"/>
        <v>0</v>
      </c>
      <c r="H410" s="111">
        <f t="shared" si="276"/>
        <v>0</v>
      </c>
      <c r="I410" s="111">
        <f t="shared" si="277"/>
        <v>0</v>
      </c>
      <c r="J410" s="111">
        <f t="shared" si="278"/>
        <v>0</v>
      </c>
      <c r="K410" s="113">
        <f t="shared" si="279"/>
        <v>0</v>
      </c>
      <c r="L410" s="113">
        <f t="shared" si="280"/>
        <v>0</v>
      </c>
      <c r="M410" s="113">
        <f t="shared" si="281"/>
        <v>0</v>
      </c>
      <c r="N410" s="116">
        <f t="shared" si="282"/>
        <v>300</v>
      </c>
      <c r="O410" s="117">
        <f t="shared" si="271"/>
        <v>3.5380000000000002E-2</v>
      </c>
      <c r="P410" s="117">
        <f t="shared" si="283"/>
        <v>0</v>
      </c>
      <c r="Q410" s="117">
        <f t="shared" si="284"/>
        <v>0</v>
      </c>
      <c r="R410" s="117">
        <f t="shared" si="285"/>
        <v>2.725E-2</v>
      </c>
      <c r="S410" s="116">
        <f t="shared" si="286"/>
        <v>3.6300000000000003</v>
      </c>
      <c r="T410" s="116">
        <f t="shared" si="287"/>
        <v>3.7900000000000005</v>
      </c>
      <c r="U410" s="116">
        <f t="shared" si="288"/>
        <v>4.63</v>
      </c>
      <c r="V410" s="118">
        <f t="shared" si="289"/>
        <v>0</v>
      </c>
      <c r="W410" s="118">
        <f t="shared" si="303"/>
        <v>0</v>
      </c>
      <c r="X410" s="118">
        <f t="shared" si="304"/>
        <v>0</v>
      </c>
      <c r="Y410" s="118">
        <f t="shared" si="305"/>
        <v>0</v>
      </c>
      <c r="Z410" s="118">
        <f t="shared" si="306"/>
        <v>0</v>
      </c>
      <c r="AA410" s="119">
        <v>0</v>
      </c>
      <c r="AB410" s="120">
        <f t="shared" si="290"/>
        <v>0</v>
      </c>
      <c r="AC410" s="118">
        <f t="shared" si="291"/>
        <v>0</v>
      </c>
      <c r="AD410" s="118">
        <f t="shared" si="307"/>
        <v>0</v>
      </c>
      <c r="AE410" s="118">
        <f t="shared" si="292"/>
        <v>0</v>
      </c>
      <c r="AF410" s="121">
        <f t="shared" si="308"/>
        <v>1</v>
      </c>
      <c r="AG410" s="122">
        <f t="shared" si="293"/>
        <v>0</v>
      </c>
      <c r="AH410" s="122">
        <f t="shared" si="294"/>
        <v>0</v>
      </c>
      <c r="AI410" s="122">
        <f t="shared" si="295"/>
        <v>0</v>
      </c>
      <c r="AJ410" s="122">
        <f t="shared" si="296"/>
        <v>0</v>
      </c>
      <c r="AK410" s="122">
        <f t="shared" si="297"/>
        <v>0</v>
      </c>
      <c r="AL410" s="122">
        <f t="shared" si="298"/>
        <v>0</v>
      </c>
      <c r="AM410" s="123">
        <f t="shared" si="299"/>
        <v>0</v>
      </c>
      <c r="AN410" s="123">
        <f t="shared" si="309"/>
        <v>0</v>
      </c>
      <c r="AO410" s="124">
        <f t="shared" si="300"/>
        <v>0</v>
      </c>
      <c r="AP410" s="125">
        <f t="shared" si="310"/>
        <v>0</v>
      </c>
      <c r="AU410" s="109">
        <f>IF(BA410=1,IF(AU409=MiscData!$F$1,EOMONTH(AU409,-11),EOMONTH(AU409,1)),AU409)</f>
        <v>42338</v>
      </c>
      <c r="AV410" s="108" t="str">
        <f t="shared" si="311"/>
        <v>20140101LGINE694</v>
      </c>
      <c r="AW410" s="126" t="str">
        <f t="shared" si="312"/>
        <v>20140101ITODP</v>
      </c>
      <c r="AX410">
        <f>MiscData!$X$5</f>
        <v>20140101</v>
      </c>
      <c r="BA410" s="98">
        <f>IF(BA409+1&gt;MiscData!$Z$42,1,BA409+1)</f>
        <v>27</v>
      </c>
      <c r="BB410" s="98" t="str">
        <f>VLOOKUP(BA410,MiscData!$Z$5:$AB$46,2,FALSE)</f>
        <v>LGINE694</v>
      </c>
      <c r="BC410" s="98" t="str">
        <f>VLOOKUP(BA410,MiscData!$Z$5:$AB$46,3,FALSE)</f>
        <v>ITODP</v>
      </c>
    </row>
    <row r="411" spans="1:55">
      <c r="A411" s="108">
        <v>390</v>
      </c>
      <c r="B411" s="109" t="str">
        <f t="shared" si="301"/>
        <v>Nov 2015</v>
      </c>
      <c r="C411" s="110" t="str">
        <f t="shared" si="313"/>
        <v>LE</v>
      </c>
      <c r="D411" s="110" t="str">
        <f t="shared" si="302"/>
        <v>LGMLE570</v>
      </c>
      <c r="E411" s="111">
        <f t="shared" si="274"/>
        <v>0</v>
      </c>
      <c r="F411" s="112">
        <v>0</v>
      </c>
      <c r="G411" s="111">
        <f t="shared" si="275"/>
        <v>0</v>
      </c>
      <c r="H411" s="111">
        <f t="shared" si="276"/>
        <v>0</v>
      </c>
      <c r="I411" s="111">
        <f t="shared" si="277"/>
        <v>0</v>
      </c>
      <c r="J411" s="111">
        <f t="shared" si="278"/>
        <v>0</v>
      </c>
      <c r="K411" s="113">
        <f t="shared" si="279"/>
        <v>0</v>
      </c>
      <c r="L411" s="113">
        <f t="shared" si="280"/>
        <v>0</v>
      </c>
      <c r="M411" s="113">
        <f t="shared" si="281"/>
        <v>0</v>
      </c>
      <c r="N411" s="116">
        <f t="shared" si="282"/>
        <v>0</v>
      </c>
      <c r="O411" s="117">
        <f t="shared" si="271"/>
        <v>6.4610000000000001E-2</v>
      </c>
      <c r="P411" s="117">
        <f t="shared" si="283"/>
        <v>0</v>
      </c>
      <c r="Q411" s="117">
        <f t="shared" si="284"/>
        <v>0</v>
      </c>
      <c r="R411" s="117">
        <f t="shared" si="285"/>
        <v>2.725E-2</v>
      </c>
      <c r="S411" s="116">
        <f t="shared" si="286"/>
        <v>0</v>
      </c>
      <c r="T411" s="116">
        <f t="shared" si="287"/>
        <v>0</v>
      </c>
      <c r="U411" s="116">
        <f t="shared" si="288"/>
        <v>0</v>
      </c>
      <c r="V411" s="118">
        <f t="shared" si="289"/>
        <v>0</v>
      </c>
      <c r="W411" s="118">
        <f t="shared" si="303"/>
        <v>0</v>
      </c>
      <c r="X411" s="118">
        <f t="shared" si="304"/>
        <v>0</v>
      </c>
      <c r="Y411" s="118">
        <f t="shared" si="305"/>
        <v>0</v>
      </c>
      <c r="Z411" s="118">
        <f t="shared" si="306"/>
        <v>0</v>
      </c>
      <c r="AA411" s="119">
        <v>0</v>
      </c>
      <c r="AB411" s="120">
        <f t="shared" si="290"/>
        <v>0</v>
      </c>
      <c r="AC411" s="118">
        <f t="shared" si="291"/>
        <v>0</v>
      </c>
      <c r="AD411" s="118">
        <f t="shared" si="307"/>
        <v>0</v>
      </c>
      <c r="AE411" s="118">
        <f t="shared" si="292"/>
        <v>0</v>
      </c>
      <c r="AF411" s="121">
        <f t="shared" si="308"/>
        <v>1</v>
      </c>
      <c r="AG411" s="122">
        <f t="shared" si="293"/>
        <v>0</v>
      </c>
      <c r="AH411" s="122">
        <f t="shared" si="294"/>
        <v>0</v>
      </c>
      <c r="AI411" s="122">
        <f t="shared" si="295"/>
        <v>0</v>
      </c>
      <c r="AJ411" s="122">
        <f t="shared" si="296"/>
        <v>0</v>
      </c>
      <c r="AK411" s="122">
        <f t="shared" si="297"/>
        <v>0</v>
      </c>
      <c r="AL411" s="122">
        <f t="shared" si="298"/>
        <v>0</v>
      </c>
      <c r="AM411" s="123">
        <f t="shared" si="299"/>
        <v>0</v>
      </c>
      <c r="AN411" s="123">
        <f t="shared" si="309"/>
        <v>0</v>
      </c>
      <c r="AO411" s="124">
        <f t="shared" si="300"/>
        <v>0</v>
      </c>
      <c r="AP411" s="125">
        <f t="shared" si="310"/>
        <v>0</v>
      </c>
      <c r="AU411" s="109">
        <f>IF(BA411=1,IF(AU410=MiscData!$F$1,EOMONTH(AU410,-11),EOMONTH(AU410,1)),AU410)</f>
        <v>42338</v>
      </c>
      <c r="AV411" s="108" t="str">
        <f t="shared" si="311"/>
        <v>20140101LGMLE570</v>
      </c>
      <c r="AW411" s="126" t="str">
        <f t="shared" si="312"/>
        <v>20140101LE</v>
      </c>
      <c r="AX411">
        <f>MiscData!$X$5</f>
        <v>20140101</v>
      </c>
      <c r="BA411" s="98">
        <f>IF(BA410+1&gt;MiscData!$Z$42,1,BA410+1)</f>
        <v>28</v>
      </c>
      <c r="BB411" s="98" t="str">
        <f>VLOOKUP(BA411,MiscData!$Z$5:$AB$46,2,FALSE)</f>
        <v>LGMLE570</v>
      </c>
      <c r="BC411" s="98" t="str">
        <f>VLOOKUP(BA411,MiscData!$Z$5:$AB$46,3,FALSE)</f>
        <v>LE</v>
      </c>
    </row>
    <row r="412" spans="1:55">
      <c r="A412" s="108">
        <v>391</v>
      </c>
      <c r="B412" s="109" t="str">
        <f t="shared" si="301"/>
        <v>Nov 2015</v>
      </c>
      <c r="C412" s="110" t="str">
        <f t="shared" si="313"/>
        <v>LE</v>
      </c>
      <c r="D412" s="110" t="str">
        <f t="shared" si="302"/>
        <v>LGMLE571</v>
      </c>
      <c r="E412" s="111">
        <f t="shared" si="274"/>
        <v>156</v>
      </c>
      <c r="F412" s="112">
        <v>0</v>
      </c>
      <c r="G412" s="111">
        <f t="shared" si="275"/>
        <v>0</v>
      </c>
      <c r="H412" s="111">
        <f t="shared" si="276"/>
        <v>0</v>
      </c>
      <c r="I412" s="111">
        <f t="shared" si="277"/>
        <v>0</v>
      </c>
      <c r="J412" s="111">
        <f t="shared" si="278"/>
        <v>314517</v>
      </c>
      <c r="K412" s="113">
        <f t="shared" si="279"/>
        <v>0</v>
      </c>
      <c r="L412" s="113">
        <f t="shared" si="280"/>
        <v>0</v>
      </c>
      <c r="M412" s="113">
        <f t="shared" si="281"/>
        <v>0</v>
      </c>
      <c r="N412" s="116">
        <f t="shared" si="282"/>
        <v>0</v>
      </c>
      <c r="O412" s="117">
        <f t="shared" si="271"/>
        <v>6.4610000000000001E-2</v>
      </c>
      <c r="P412" s="117">
        <f t="shared" si="283"/>
        <v>0</v>
      </c>
      <c r="Q412" s="117">
        <f t="shared" si="284"/>
        <v>0</v>
      </c>
      <c r="R412" s="117">
        <f t="shared" si="285"/>
        <v>2.725E-2</v>
      </c>
      <c r="S412" s="116">
        <f t="shared" si="286"/>
        <v>0</v>
      </c>
      <c r="T412" s="116">
        <f t="shared" si="287"/>
        <v>0</v>
      </c>
      <c r="U412" s="116">
        <f t="shared" si="288"/>
        <v>0</v>
      </c>
      <c r="V412" s="118">
        <f t="shared" si="289"/>
        <v>0</v>
      </c>
      <c r="W412" s="118">
        <f t="shared" si="303"/>
        <v>20320.939999999999</v>
      </c>
      <c r="X412" s="118">
        <f t="shared" si="304"/>
        <v>0</v>
      </c>
      <c r="Y412" s="118">
        <f t="shared" si="305"/>
        <v>0</v>
      </c>
      <c r="Z412" s="118">
        <f t="shared" si="306"/>
        <v>0</v>
      </c>
      <c r="AA412" s="119">
        <v>0</v>
      </c>
      <c r="AB412" s="120">
        <f t="shared" si="290"/>
        <v>0</v>
      </c>
      <c r="AC412" s="118">
        <f t="shared" si="291"/>
        <v>0</v>
      </c>
      <c r="AD412" s="118">
        <f t="shared" si="307"/>
        <v>20320.939999999999</v>
      </c>
      <c r="AE412" s="118">
        <f t="shared" si="292"/>
        <v>0</v>
      </c>
      <c r="AF412" s="121">
        <f t="shared" si="308"/>
        <v>0</v>
      </c>
      <c r="AG412" s="122">
        <f t="shared" si="293"/>
        <v>0</v>
      </c>
      <c r="AH412" s="122">
        <f t="shared" si="294"/>
        <v>0</v>
      </c>
      <c r="AI412" s="122">
        <f t="shared" si="295"/>
        <v>0</v>
      </c>
      <c r="AJ412" s="122">
        <f t="shared" si="296"/>
        <v>0</v>
      </c>
      <c r="AK412" s="122">
        <f t="shared" si="297"/>
        <v>0</v>
      </c>
      <c r="AL412" s="122">
        <f t="shared" si="298"/>
        <v>0</v>
      </c>
      <c r="AM412" s="123">
        <f t="shared" si="299"/>
        <v>20320.939999999999</v>
      </c>
      <c r="AN412" s="123">
        <f t="shared" si="309"/>
        <v>-20320.939999999999</v>
      </c>
      <c r="AO412" s="124">
        <f t="shared" si="300"/>
        <v>8570.59</v>
      </c>
      <c r="AP412" s="125">
        <f t="shared" si="310"/>
        <v>11750.349999999999</v>
      </c>
      <c r="AU412" s="109">
        <f>IF(BA412=1,IF(AU411=MiscData!$F$1,EOMONTH(AU411,-11),EOMONTH(AU411,1)),AU411)</f>
        <v>42338</v>
      </c>
      <c r="AV412" s="108" t="str">
        <f t="shared" si="311"/>
        <v>20140101LGMLE571</v>
      </c>
      <c r="AW412" s="126" t="str">
        <f t="shared" si="312"/>
        <v>20140101LE</v>
      </c>
      <c r="AX412">
        <f>MiscData!$X$5</f>
        <v>20140101</v>
      </c>
      <c r="BA412" s="98">
        <f>IF(BA411+1&gt;MiscData!$Z$42,1,BA411+1)</f>
        <v>29</v>
      </c>
      <c r="BB412" s="98" t="str">
        <f>VLOOKUP(BA412,MiscData!$Z$5:$AB$46,2,FALSE)</f>
        <v>LGMLE571</v>
      </c>
      <c r="BC412" s="98" t="str">
        <f>VLOOKUP(BA412,MiscData!$Z$5:$AB$46,3,FALSE)</f>
        <v>LE</v>
      </c>
    </row>
    <row r="413" spans="1:55">
      <c r="A413" s="108">
        <v>392</v>
      </c>
      <c r="B413" s="109" t="str">
        <f t="shared" si="301"/>
        <v>Nov 2015</v>
      </c>
      <c r="C413" s="110" t="str">
        <f t="shared" si="313"/>
        <v>LE</v>
      </c>
      <c r="D413" s="110" t="str">
        <f t="shared" si="302"/>
        <v>LGMLE572</v>
      </c>
      <c r="E413" s="111">
        <f t="shared" si="274"/>
        <v>0</v>
      </c>
      <c r="F413" s="112">
        <v>0</v>
      </c>
      <c r="G413" s="111">
        <f t="shared" si="275"/>
        <v>0</v>
      </c>
      <c r="H413" s="111">
        <f t="shared" si="276"/>
        <v>0</v>
      </c>
      <c r="I413" s="111">
        <f t="shared" si="277"/>
        <v>0</v>
      </c>
      <c r="J413" s="111">
        <f t="shared" si="278"/>
        <v>0</v>
      </c>
      <c r="K413" s="113">
        <f t="shared" si="279"/>
        <v>0</v>
      </c>
      <c r="L413" s="113">
        <f t="shared" si="280"/>
        <v>0</v>
      </c>
      <c r="M413" s="113">
        <f t="shared" si="281"/>
        <v>0</v>
      </c>
      <c r="N413" s="116">
        <f t="shared" si="282"/>
        <v>0</v>
      </c>
      <c r="O413" s="117">
        <f t="shared" si="271"/>
        <v>6.4610000000000001E-2</v>
      </c>
      <c r="P413" s="117">
        <f t="shared" si="283"/>
        <v>0</v>
      </c>
      <c r="Q413" s="117">
        <f t="shared" si="284"/>
        <v>0</v>
      </c>
      <c r="R413" s="117">
        <f t="shared" si="285"/>
        <v>2.725E-2</v>
      </c>
      <c r="S413" s="116">
        <f t="shared" si="286"/>
        <v>0</v>
      </c>
      <c r="T413" s="116">
        <f t="shared" si="287"/>
        <v>0</v>
      </c>
      <c r="U413" s="116">
        <f t="shared" si="288"/>
        <v>0</v>
      </c>
      <c r="V413" s="118">
        <f t="shared" si="289"/>
        <v>0</v>
      </c>
      <c r="W413" s="118">
        <f t="shared" si="303"/>
        <v>0</v>
      </c>
      <c r="X413" s="118">
        <f t="shared" si="304"/>
        <v>0</v>
      </c>
      <c r="Y413" s="118">
        <f t="shared" si="305"/>
        <v>0</v>
      </c>
      <c r="Z413" s="118">
        <f t="shared" si="306"/>
        <v>0</v>
      </c>
      <c r="AA413" s="119">
        <v>0</v>
      </c>
      <c r="AB413" s="120">
        <f t="shared" si="290"/>
        <v>0</v>
      </c>
      <c r="AC413" s="118">
        <f t="shared" si="291"/>
        <v>0</v>
      </c>
      <c r="AD413" s="118">
        <f t="shared" si="307"/>
        <v>0</v>
      </c>
      <c r="AE413" s="118">
        <f t="shared" si="292"/>
        <v>0</v>
      </c>
      <c r="AF413" s="121">
        <f t="shared" si="308"/>
        <v>1</v>
      </c>
      <c r="AG413" s="122">
        <f t="shared" si="293"/>
        <v>0</v>
      </c>
      <c r="AH413" s="122">
        <f t="shared" si="294"/>
        <v>0</v>
      </c>
      <c r="AI413" s="122">
        <f t="shared" si="295"/>
        <v>0</v>
      </c>
      <c r="AJ413" s="122">
        <f t="shared" si="296"/>
        <v>0</v>
      </c>
      <c r="AK413" s="122">
        <f t="shared" si="297"/>
        <v>0</v>
      </c>
      <c r="AL413" s="122">
        <f t="shared" si="298"/>
        <v>0</v>
      </c>
      <c r="AM413" s="123">
        <f t="shared" si="299"/>
        <v>0</v>
      </c>
      <c r="AN413" s="123">
        <f t="shared" si="309"/>
        <v>0</v>
      </c>
      <c r="AO413" s="124">
        <f t="shared" si="300"/>
        <v>0</v>
      </c>
      <c r="AP413" s="125">
        <f t="shared" si="310"/>
        <v>0</v>
      </c>
      <c r="AU413" s="109">
        <f>IF(BA413=1,IF(AU412=MiscData!$F$1,EOMONTH(AU412,-11),EOMONTH(AU412,1)),AU412)</f>
        <v>42338</v>
      </c>
      <c r="AV413" s="108" t="str">
        <f t="shared" si="311"/>
        <v>20140101LGMLE572</v>
      </c>
      <c r="AW413" s="126" t="str">
        <f t="shared" si="312"/>
        <v>20140101LE</v>
      </c>
      <c r="AX413">
        <f>MiscData!$X$5</f>
        <v>20140101</v>
      </c>
      <c r="BA413" s="98">
        <f>IF(BA412+1&gt;MiscData!$Z$42,1,BA412+1)</f>
        <v>30</v>
      </c>
      <c r="BB413" s="98" t="str">
        <f>VLOOKUP(BA413,MiscData!$Z$5:$AB$46,2,FALSE)</f>
        <v>LGMLE572</v>
      </c>
      <c r="BC413" s="98" t="str">
        <f>VLOOKUP(BA413,MiscData!$Z$5:$AB$46,3,FALSE)</f>
        <v>LE</v>
      </c>
    </row>
    <row r="414" spans="1:55">
      <c r="A414" s="108">
        <v>391</v>
      </c>
      <c r="B414" s="109" t="str">
        <f t="shared" si="301"/>
        <v>Nov 2015</v>
      </c>
      <c r="C414" s="110" t="str">
        <f t="shared" si="313"/>
        <v>TE</v>
      </c>
      <c r="D414" s="110" t="str">
        <f t="shared" si="302"/>
        <v>LGMLE573</v>
      </c>
      <c r="E414" s="111">
        <f t="shared" si="274"/>
        <v>905</v>
      </c>
      <c r="F414" s="112">
        <v>0</v>
      </c>
      <c r="G414" s="111">
        <f t="shared" si="275"/>
        <v>0</v>
      </c>
      <c r="H414" s="111">
        <f t="shared" si="276"/>
        <v>0</v>
      </c>
      <c r="I414" s="111">
        <f t="shared" si="277"/>
        <v>0</v>
      </c>
      <c r="J414" s="111">
        <f t="shared" si="278"/>
        <v>269918</v>
      </c>
      <c r="K414" s="113">
        <f t="shared" si="279"/>
        <v>0</v>
      </c>
      <c r="L414" s="113">
        <f t="shared" si="280"/>
        <v>0</v>
      </c>
      <c r="M414" s="113">
        <f t="shared" si="281"/>
        <v>0</v>
      </c>
      <c r="N414" s="116">
        <f t="shared" si="282"/>
        <v>3.25</v>
      </c>
      <c r="O414" s="117">
        <f t="shared" si="271"/>
        <v>7.6579999999999995E-2</v>
      </c>
      <c r="P414" s="117">
        <f t="shared" si="283"/>
        <v>0</v>
      </c>
      <c r="Q414" s="117">
        <f t="shared" si="284"/>
        <v>0</v>
      </c>
      <c r="R414" s="117">
        <f t="shared" si="285"/>
        <v>2.725E-2</v>
      </c>
      <c r="S414" s="116">
        <f t="shared" si="286"/>
        <v>0</v>
      </c>
      <c r="T414" s="116">
        <f t="shared" si="287"/>
        <v>0</v>
      </c>
      <c r="U414" s="116">
        <f t="shared" si="288"/>
        <v>0</v>
      </c>
      <c r="V414" s="118">
        <f t="shared" si="289"/>
        <v>2941.25</v>
      </c>
      <c r="W414" s="683">
        <f t="shared" si="303"/>
        <v>20670.32</v>
      </c>
      <c r="X414" s="118">
        <f t="shared" si="304"/>
        <v>0</v>
      </c>
      <c r="Y414" s="118">
        <f t="shared" si="305"/>
        <v>0</v>
      </c>
      <c r="Z414" s="118">
        <f t="shared" si="306"/>
        <v>0</v>
      </c>
      <c r="AA414" s="119">
        <v>0</v>
      </c>
      <c r="AB414" s="120">
        <f t="shared" si="290"/>
        <v>0</v>
      </c>
      <c r="AC414" s="118">
        <f t="shared" si="291"/>
        <v>0</v>
      </c>
      <c r="AD414" s="118">
        <f t="shared" si="307"/>
        <v>23611.57</v>
      </c>
      <c r="AE414" s="118">
        <f t="shared" si="292"/>
        <v>0</v>
      </c>
      <c r="AF414" s="121">
        <f t="shared" si="308"/>
        <v>0</v>
      </c>
      <c r="AG414" s="122">
        <f t="shared" si="293"/>
        <v>0</v>
      </c>
      <c r="AH414" s="122">
        <f t="shared" si="294"/>
        <v>0</v>
      </c>
      <c r="AI414" s="122">
        <f t="shared" si="295"/>
        <v>0</v>
      </c>
      <c r="AJ414" s="122">
        <f t="shared" si="296"/>
        <v>0</v>
      </c>
      <c r="AK414" s="122">
        <f t="shared" si="297"/>
        <v>0</v>
      </c>
      <c r="AL414" s="122">
        <f t="shared" si="298"/>
        <v>0</v>
      </c>
      <c r="AM414" s="123">
        <f t="shared" si="299"/>
        <v>23611.57</v>
      </c>
      <c r="AN414" s="123">
        <f t="shared" si="309"/>
        <v>-23611.57</v>
      </c>
      <c r="AO414" s="124">
        <f t="shared" si="300"/>
        <v>7355.27</v>
      </c>
      <c r="AP414" s="125">
        <f t="shared" si="310"/>
        <v>13315.05</v>
      </c>
      <c r="AU414" s="109">
        <f>IF(BA414=1,IF(AU413=MiscData!$F$1,EOMONTH(AU413,-11),EOMONTH(AU413,1)),AU413)</f>
        <v>42338</v>
      </c>
      <c r="AV414" s="108" t="str">
        <f t="shared" si="311"/>
        <v>20140101LGMLE573</v>
      </c>
      <c r="AW414" s="126" t="str">
        <f t="shared" si="312"/>
        <v>20140101TE</v>
      </c>
      <c r="AX414">
        <f>MiscData!$X$5</f>
        <v>20140101</v>
      </c>
      <c r="BA414" s="98">
        <f>IF(BA413+1&gt;MiscData!$Z$42,1,BA413+1)</f>
        <v>31</v>
      </c>
      <c r="BB414" s="98" t="str">
        <f>VLOOKUP(BA414,MiscData!$Z$5:$AB$46,2,FALSE)</f>
        <v>LGMLE573</v>
      </c>
      <c r="BC414" s="98" t="str">
        <f>VLOOKUP(BA414,MiscData!$Z$5:$AB$46,3,FALSE)</f>
        <v>TE</v>
      </c>
    </row>
    <row r="415" spans="1:55">
      <c r="A415" s="108">
        <v>392</v>
      </c>
      <c r="B415" s="109" t="str">
        <f t="shared" si="301"/>
        <v>Nov 2015</v>
      </c>
      <c r="C415" s="110" t="str">
        <f t="shared" si="313"/>
        <v>TE</v>
      </c>
      <c r="D415" s="110" t="str">
        <f t="shared" si="302"/>
        <v>LGMLE574</v>
      </c>
      <c r="E415" s="111">
        <f t="shared" si="274"/>
        <v>0</v>
      </c>
      <c r="F415" s="112">
        <v>0</v>
      </c>
      <c r="G415" s="111">
        <f t="shared" si="275"/>
        <v>0</v>
      </c>
      <c r="H415" s="111">
        <f t="shared" si="276"/>
        <v>0</v>
      </c>
      <c r="I415" s="111">
        <f t="shared" si="277"/>
        <v>0</v>
      </c>
      <c r="J415" s="111">
        <f t="shared" si="278"/>
        <v>0</v>
      </c>
      <c r="K415" s="113">
        <f t="shared" si="279"/>
        <v>0</v>
      </c>
      <c r="L415" s="113">
        <f t="shared" si="280"/>
        <v>0</v>
      </c>
      <c r="M415" s="113">
        <f t="shared" si="281"/>
        <v>0</v>
      </c>
      <c r="N415" s="116">
        <f t="shared" si="282"/>
        <v>3.25</v>
      </c>
      <c r="O415" s="117">
        <f t="shared" si="271"/>
        <v>7.6579999999999995E-2</v>
      </c>
      <c r="P415" s="117">
        <f t="shared" si="283"/>
        <v>0</v>
      </c>
      <c r="Q415" s="117">
        <f t="shared" si="284"/>
        <v>0</v>
      </c>
      <c r="R415" s="117">
        <f t="shared" si="285"/>
        <v>2.725E-2</v>
      </c>
      <c r="S415" s="116">
        <f t="shared" si="286"/>
        <v>0</v>
      </c>
      <c r="T415" s="116">
        <f t="shared" si="287"/>
        <v>0</v>
      </c>
      <c r="U415" s="116">
        <f t="shared" si="288"/>
        <v>0</v>
      </c>
      <c r="V415" s="118">
        <f t="shared" si="289"/>
        <v>0</v>
      </c>
      <c r="W415" s="683">
        <f t="shared" si="303"/>
        <v>0</v>
      </c>
      <c r="X415" s="118">
        <f t="shared" si="304"/>
        <v>0</v>
      </c>
      <c r="Y415" s="118">
        <f t="shared" si="305"/>
        <v>0</v>
      </c>
      <c r="Z415" s="118">
        <f t="shared" si="306"/>
        <v>0</v>
      </c>
      <c r="AA415" s="119">
        <v>0</v>
      </c>
      <c r="AB415" s="120">
        <f t="shared" si="290"/>
        <v>0</v>
      </c>
      <c r="AC415" s="118">
        <f t="shared" si="291"/>
        <v>0</v>
      </c>
      <c r="AD415" s="118">
        <f t="shared" si="307"/>
        <v>0</v>
      </c>
      <c r="AE415" s="118">
        <f t="shared" si="292"/>
        <v>0</v>
      </c>
      <c r="AF415" s="121">
        <f t="shared" si="308"/>
        <v>1</v>
      </c>
      <c r="AG415" s="122">
        <f t="shared" si="293"/>
        <v>0</v>
      </c>
      <c r="AH415" s="122">
        <f t="shared" si="294"/>
        <v>0</v>
      </c>
      <c r="AI415" s="122">
        <f t="shared" si="295"/>
        <v>0</v>
      </c>
      <c r="AJ415" s="122">
        <f t="shared" si="296"/>
        <v>0</v>
      </c>
      <c r="AK415" s="122">
        <f t="shared" si="297"/>
        <v>0</v>
      </c>
      <c r="AL415" s="122">
        <f t="shared" si="298"/>
        <v>0</v>
      </c>
      <c r="AM415" s="123">
        <f t="shared" si="299"/>
        <v>0</v>
      </c>
      <c r="AN415" s="123">
        <f t="shared" si="309"/>
        <v>0</v>
      </c>
      <c r="AO415" s="124">
        <f t="shared" si="300"/>
        <v>0</v>
      </c>
      <c r="AP415" s="125">
        <f t="shared" si="310"/>
        <v>0</v>
      </c>
      <c r="AU415" s="109">
        <f>IF(BA415=1,IF(AU414=MiscData!$F$1,EOMONTH(AU414,-11),EOMONTH(AU414,1)),AU414)</f>
        <v>42338</v>
      </c>
      <c r="AV415" s="108" t="str">
        <f t="shared" si="311"/>
        <v>20140101LGMLE574</v>
      </c>
      <c r="AW415" s="126" t="str">
        <f t="shared" si="312"/>
        <v>20140101TE</v>
      </c>
      <c r="AX415">
        <f>MiscData!$X$5</f>
        <v>20140101</v>
      </c>
      <c r="BA415" s="98">
        <f>IF(BA414+1&gt;MiscData!$Z$42,1,BA414+1)</f>
        <v>32</v>
      </c>
      <c r="BB415" s="98" t="str">
        <f>VLOOKUP(BA415,MiscData!$Z$5:$AB$46,2,FALSE)</f>
        <v>LGMLE574</v>
      </c>
      <c r="BC415" s="98" t="str">
        <f>VLOOKUP(BA415,MiscData!$Z$5:$AB$46,3,FALSE)</f>
        <v>TE</v>
      </c>
    </row>
    <row r="416" spans="1:55">
      <c r="A416" s="108">
        <v>393</v>
      </c>
      <c r="B416" s="109" t="str">
        <f t="shared" si="301"/>
        <v>Nov 2015</v>
      </c>
      <c r="C416" s="110" t="str">
        <f t="shared" si="313"/>
        <v>RS</v>
      </c>
      <c r="D416" s="110" t="str">
        <f t="shared" si="302"/>
        <v>LGRSE411</v>
      </c>
      <c r="E416" s="111">
        <f t="shared" si="274"/>
        <v>0</v>
      </c>
      <c r="F416" s="112">
        <v>0</v>
      </c>
      <c r="G416" s="111">
        <f t="shared" si="275"/>
        <v>0</v>
      </c>
      <c r="H416" s="111">
        <f t="shared" si="276"/>
        <v>0</v>
      </c>
      <c r="I416" s="111">
        <f t="shared" si="277"/>
        <v>0</v>
      </c>
      <c r="J416" s="111">
        <f t="shared" si="278"/>
        <v>0</v>
      </c>
      <c r="K416" s="113">
        <f t="shared" si="279"/>
        <v>0</v>
      </c>
      <c r="L416" s="113">
        <f t="shared" si="280"/>
        <v>0</v>
      </c>
      <c r="M416" s="113">
        <f t="shared" si="281"/>
        <v>0</v>
      </c>
      <c r="N416" s="116">
        <f t="shared" si="282"/>
        <v>0</v>
      </c>
      <c r="O416" s="117">
        <f t="shared" si="271"/>
        <v>8.0760000000000012E-2</v>
      </c>
      <c r="P416" s="117">
        <f t="shared" si="283"/>
        <v>0</v>
      </c>
      <c r="Q416" s="117">
        <f t="shared" si="284"/>
        <v>0</v>
      </c>
      <c r="R416" s="117">
        <f t="shared" si="285"/>
        <v>2.725E-2</v>
      </c>
      <c r="S416" s="116">
        <f t="shared" si="286"/>
        <v>0</v>
      </c>
      <c r="T416" s="116">
        <f t="shared" si="287"/>
        <v>0</v>
      </c>
      <c r="U416" s="116">
        <f t="shared" si="288"/>
        <v>0</v>
      </c>
      <c r="V416" s="118">
        <f t="shared" si="289"/>
        <v>0</v>
      </c>
      <c r="W416" s="118">
        <f t="shared" si="303"/>
        <v>0</v>
      </c>
      <c r="X416" s="118">
        <f t="shared" si="304"/>
        <v>0</v>
      </c>
      <c r="Y416" s="118">
        <f t="shared" si="305"/>
        <v>0</v>
      </c>
      <c r="Z416" s="118">
        <f t="shared" si="306"/>
        <v>0</v>
      </c>
      <c r="AA416" s="119">
        <v>0</v>
      </c>
      <c r="AB416" s="120">
        <f t="shared" si="290"/>
        <v>0</v>
      </c>
      <c r="AC416" s="118">
        <f t="shared" si="291"/>
        <v>0</v>
      </c>
      <c r="AD416" s="118">
        <f t="shared" si="307"/>
        <v>0</v>
      </c>
      <c r="AE416" s="118">
        <f t="shared" si="292"/>
        <v>0</v>
      </c>
      <c r="AF416" s="121">
        <f t="shared" si="308"/>
        <v>1</v>
      </c>
      <c r="AG416" s="122">
        <f t="shared" si="293"/>
        <v>0</v>
      </c>
      <c r="AH416" s="122">
        <f t="shared" si="294"/>
        <v>0</v>
      </c>
      <c r="AI416" s="122">
        <f t="shared" si="295"/>
        <v>0</v>
      </c>
      <c r="AJ416" s="122">
        <f t="shared" si="296"/>
        <v>0</v>
      </c>
      <c r="AK416" s="122">
        <f t="shared" si="297"/>
        <v>0</v>
      </c>
      <c r="AL416" s="122">
        <f t="shared" si="298"/>
        <v>0</v>
      </c>
      <c r="AM416" s="123">
        <f t="shared" si="299"/>
        <v>0</v>
      </c>
      <c r="AN416" s="123">
        <f t="shared" ref="AN416:AN430" si="315">AL416-AM416</f>
        <v>0</v>
      </c>
      <c r="AO416" s="124">
        <f t="shared" si="300"/>
        <v>0</v>
      </c>
      <c r="AP416" s="125">
        <f t="shared" si="310"/>
        <v>0</v>
      </c>
      <c r="AU416" s="109">
        <f>IF(BA416=1,IF(AU415=MiscData!$F$1,EOMONTH(AU415,-11),EOMONTH(AU415,1)),AU415)</f>
        <v>42338</v>
      </c>
      <c r="AV416" s="108" t="str">
        <f t="shared" si="311"/>
        <v>20140101LGRSE411</v>
      </c>
      <c r="AW416" s="126" t="str">
        <f t="shared" si="312"/>
        <v>20140101RS</v>
      </c>
      <c r="AX416">
        <f>MiscData!$X$5</f>
        <v>20140101</v>
      </c>
      <c r="BA416" s="98">
        <f>IF(BA415+1&gt;MiscData!$Z$42,1,BA415+1)</f>
        <v>33</v>
      </c>
      <c r="BB416" s="98" t="str">
        <f>VLOOKUP(BA416,MiscData!$Z$5:$AB$46,2,FALSE)</f>
        <v>LGRSE411</v>
      </c>
      <c r="BC416" s="98" t="str">
        <f>VLOOKUP(BA416,MiscData!$Z$5:$AB$46,3,FALSE)</f>
        <v>RS</v>
      </c>
    </row>
    <row r="417" spans="1:55">
      <c r="A417" s="108">
        <v>394</v>
      </c>
      <c r="B417" s="109" t="str">
        <f t="shared" si="301"/>
        <v>Nov 2015</v>
      </c>
      <c r="C417" s="110" t="str">
        <f t="shared" si="313"/>
        <v>RS</v>
      </c>
      <c r="D417" s="110" t="str">
        <f t="shared" si="302"/>
        <v>LGRSE511</v>
      </c>
      <c r="E417" s="111">
        <f t="shared" si="274"/>
        <v>361197</v>
      </c>
      <c r="F417" s="112">
        <v>0</v>
      </c>
      <c r="G417" s="111">
        <f t="shared" si="275"/>
        <v>0</v>
      </c>
      <c r="H417" s="111">
        <f t="shared" si="276"/>
        <v>0</v>
      </c>
      <c r="I417" s="111">
        <f t="shared" si="277"/>
        <v>0</v>
      </c>
      <c r="J417" s="111">
        <f t="shared" si="278"/>
        <v>257447544</v>
      </c>
      <c r="K417" s="113">
        <f t="shared" si="279"/>
        <v>0</v>
      </c>
      <c r="L417" s="113">
        <f t="shared" si="280"/>
        <v>0</v>
      </c>
      <c r="M417" s="113">
        <f t="shared" si="281"/>
        <v>0</v>
      </c>
      <c r="N417" s="116">
        <f t="shared" si="282"/>
        <v>10.75</v>
      </c>
      <c r="O417" s="117">
        <f t="shared" si="271"/>
        <v>8.0760000000000012E-2</v>
      </c>
      <c r="P417" s="117">
        <f t="shared" si="283"/>
        <v>0</v>
      </c>
      <c r="Q417" s="117">
        <f t="shared" si="284"/>
        <v>0</v>
      </c>
      <c r="R417" s="117">
        <f t="shared" si="285"/>
        <v>2.725E-2</v>
      </c>
      <c r="S417" s="116">
        <f t="shared" si="286"/>
        <v>0</v>
      </c>
      <c r="T417" s="116">
        <f t="shared" si="287"/>
        <v>0</v>
      </c>
      <c r="U417" s="116">
        <f t="shared" si="288"/>
        <v>0</v>
      </c>
      <c r="V417" s="118">
        <f t="shared" si="289"/>
        <v>3882867.75</v>
      </c>
      <c r="W417" s="118">
        <f t="shared" si="303"/>
        <v>20791463.649999999</v>
      </c>
      <c r="X417" s="118">
        <f t="shared" si="304"/>
        <v>0</v>
      </c>
      <c r="Y417" s="118">
        <f t="shared" si="305"/>
        <v>0</v>
      </c>
      <c r="Z417" s="118">
        <f t="shared" si="306"/>
        <v>0</v>
      </c>
      <c r="AA417" s="119">
        <v>0</v>
      </c>
      <c r="AB417" s="120">
        <f t="shared" si="290"/>
        <v>0</v>
      </c>
      <c r="AC417" s="118">
        <f t="shared" si="291"/>
        <v>0</v>
      </c>
      <c r="AD417" s="118">
        <f t="shared" si="307"/>
        <v>24674331.399999999</v>
      </c>
      <c r="AE417" s="118">
        <f t="shared" si="292"/>
        <v>24676900</v>
      </c>
      <c r="AF417" s="121">
        <f t="shared" si="308"/>
        <v>1.0001040000000001</v>
      </c>
      <c r="AG417" s="122">
        <f t="shared" si="293"/>
        <v>-57280</v>
      </c>
      <c r="AH417" s="122">
        <f t="shared" si="294"/>
        <v>618286</v>
      </c>
      <c r="AI417" s="122">
        <f t="shared" si="295"/>
        <v>2654593</v>
      </c>
      <c r="AJ417" s="122">
        <f t="shared" si="296"/>
        <v>0</v>
      </c>
      <c r="AK417" s="122">
        <f t="shared" si="297"/>
        <v>0</v>
      </c>
      <c r="AL417" s="122">
        <f t="shared" si="298"/>
        <v>27892499</v>
      </c>
      <c r="AM417" s="123">
        <f t="shared" si="299"/>
        <v>27889930.399999999</v>
      </c>
      <c r="AN417" s="123">
        <f t="shared" si="315"/>
        <v>2568.6000000014901</v>
      </c>
      <c r="AO417" s="124">
        <f t="shared" si="300"/>
        <v>7015445.5700000003</v>
      </c>
      <c r="AP417" s="125">
        <f t="shared" si="310"/>
        <v>13776018.079999998</v>
      </c>
      <c r="AU417" s="109">
        <f>IF(BA417=1,IF(AU416=MiscData!$F$1,EOMONTH(AU416,-11),EOMONTH(AU416,1)),AU416)</f>
        <v>42338</v>
      </c>
      <c r="AV417" s="108" t="str">
        <f t="shared" si="311"/>
        <v>20140101LGRSE511</v>
      </c>
      <c r="AW417" s="126" t="str">
        <f t="shared" si="312"/>
        <v>20140101RS</v>
      </c>
      <c r="AX417">
        <f>MiscData!$X$5</f>
        <v>20140101</v>
      </c>
      <c r="BA417" s="98">
        <f>IF(BA416+1&gt;MiscData!$Z$42,1,BA416+1)</f>
        <v>34</v>
      </c>
      <c r="BB417" s="98" t="str">
        <f>VLOOKUP(BA417,MiscData!$Z$5:$AB$46,2,FALSE)</f>
        <v>LGRSE511</v>
      </c>
      <c r="BC417" s="98" t="str">
        <f>VLOOKUP(BA417,MiscData!$Z$5:$AB$46,3,FALSE)</f>
        <v>RS</v>
      </c>
    </row>
    <row r="418" spans="1:55">
      <c r="A418" s="108">
        <v>395</v>
      </c>
      <c r="B418" s="109" t="str">
        <f t="shared" si="301"/>
        <v>Nov 2015</v>
      </c>
      <c r="C418" s="110" t="str">
        <f t="shared" si="313"/>
        <v>RS</v>
      </c>
      <c r="D418" s="110" t="str">
        <f t="shared" si="302"/>
        <v>LGRSE519</v>
      </c>
      <c r="E418" s="111">
        <f t="shared" si="274"/>
        <v>0</v>
      </c>
      <c r="F418" s="112">
        <v>0</v>
      </c>
      <c r="G418" s="111">
        <f t="shared" si="275"/>
        <v>0</v>
      </c>
      <c r="H418" s="111">
        <f t="shared" si="276"/>
        <v>0</v>
      </c>
      <c r="I418" s="111">
        <f t="shared" si="277"/>
        <v>0</v>
      </c>
      <c r="J418" s="111">
        <f t="shared" si="278"/>
        <v>0</v>
      </c>
      <c r="K418" s="113">
        <f t="shared" si="279"/>
        <v>0</v>
      </c>
      <c r="L418" s="113">
        <f t="shared" si="280"/>
        <v>0</v>
      </c>
      <c r="M418" s="113">
        <f t="shared" si="281"/>
        <v>0</v>
      </c>
      <c r="N418" s="116">
        <f t="shared" si="282"/>
        <v>10.75</v>
      </c>
      <c r="O418" s="117">
        <f t="shared" si="271"/>
        <v>8.0760000000000012E-2</v>
      </c>
      <c r="P418" s="117">
        <f t="shared" si="283"/>
        <v>0</v>
      </c>
      <c r="Q418" s="117">
        <f t="shared" si="284"/>
        <v>0</v>
      </c>
      <c r="R418" s="117">
        <f t="shared" si="285"/>
        <v>2.725E-2</v>
      </c>
      <c r="S418" s="116">
        <f t="shared" si="286"/>
        <v>0</v>
      </c>
      <c r="T418" s="116">
        <f t="shared" si="287"/>
        <v>0</v>
      </c>
      <c r="U418" s="116">
        <f t="shared" si="288"/>
        <v>0</v>
      </c>
      <c r="V418" s="118">
        <f t="shared" si="289"/>
        <v>0</v>
      </c>
      <c r="W418" s="118">
        <f t="shared" si="303"/>
        <v>0</v>
      </c>
      <c r="X418" s="118">
        <f t="shared" si="304"/>
        <v>0</v>
      </c>
      <c r="Y418" s="118">
        <f t="shared" si="305"/>
        <v>0</v>
      </c>
      <c r="Z418" s="118">
        <f t="shared" si="306"/>
        <v>0</v>
      </c>
      <c r="AA418" s="119">
        <v>0</v>
      </c>
      <c r="AB418" s="120">
        <f t="shared" si="290"/>
        <v>0</v>
      </c>
      <c r="AC418" s="118">
        <f t="shared" si="291"/>
        <v>0</v>
      </c>
      <c r="AD418" s="118">
        <f t="shared" si="307"/>
        <v>0</v>
      </c>
      <c r="AE418" s="118">
        <f t="shared" si="292"/>
        <v>0</v>
      </c>
      <c r="AF418" s="121">
        <f t="shared" si="308"/>
        <v>1</v>
      </c>
      <c r="AG418" s="122">
        <f t="shared" si="293"/>
        <v>0</v>
      </c>
      <c r="AH418" s="122">
        <f t="shared" si="294"/>
        <v>0</v>
      </c>
      <c r="AI418" s="122">
        <f t="shared" si="295"/>
        <v>0</v>
      </c>
      <c r="AJ418" s="122">
        <f t="shared" si="296"/>
        <v>0</v>
      </c>
      <c r="AK418" s="122">
        <f t="shared" si="297"/>
        <v>0</v>
      </c>
      <c r="AL418" s="122">
        <f t="shared" si="298"/>
        <v>0</v>
      </c>
      <c r="AM418" s="123">
        <f t="shared" si="299"/>
        <v>0</v>
      </c>
      <c r="AN418" s="123">
        <f t="shared" si="315"/>
        <v>0</v>
      </c>
      <c r="AO418" s="124">
        <f t="shared" si="300"/>
        <v>0</v>
      </c>
      <c r="AP418" s="125">
        <f t="shared" si="310"/>
        <v>0</v>
      </c>
      <c r="AU418" s="109">
        <f>IF(BA418=1,IF(AU417=MiscData!$F$1,EOMONTH(AU417,-11),EOMONTH(AU417,1)),AU417)</f>
        <v>42338</v>
      </c>
      <c r="AV418" s="108" t="str">
        <f t="shared" si="311"/>
        <v>20140101LGRSE519</v>
      </c>
      <c r="AW418" s="126" t="str">
        <f t="shared" si="312"/>
        <v>20140101RS</v>
      </c>
      <c r="AX418">
        <f>MiscData!$X$5</f>
        <v>20140101</v>
      </c>
      <c r="BA418" s="98">
        <f>IF(BA417+1&gt;MiscData!$Z$42,1,BA417+1)</f>
        <v>35</v>
      </c>
      <c r="BB418" s="98" t="str">
        <f>VLOOKUP(BA418,MiscData!$Z$5:$AB$46,2,FALSE)</f>
        <v>LGRSE519</v>
      </c>
      <c r="BC418" s="98" t="str">
        <f>VLOOKUP(BA418,MiscData!$Z$5:$AB$46,3,FALSE)</f>
        <v>RS</v>
      </c>
    </row>
    <row r="419" spans="1:55">
      <c r="A419" s="108">
        <v>396</v>
      </c>
      <c r="B419" s="109" t="str">
        <f t="shared" si="301"/>
        <v>Nov 2015</v>
      </c>
      <c r="C419" s="110" t="s">
        <v>13</v>
      </c>
      <c r="D419" s="110" t="str">
        <f t="shared" si="302"/>
        <v>LGRSE540</v>
      </c>
      <c r="E419" s="111">
        <f t="shared" si="274"/>
        <v>0</v>
      </c>
      <c r="F419" s="112">
        <v>0</v>
      </c>
      <c r="G419" s="111">
        <f t="shared" si="275"/>
        <v>0</v>
      </c>
      <c r="H419" s="111">
        <f t="shared" si="276"/>
        <v>0</v>
      </c>
      <c r="I419" s="111">
        <f t="shared" si="277"/>
        <v>0</v>
      </c>
      <c r="J419" s="111">
        <f t="shared" si="278"/>
        <v>0</v>
      </c>
      <c r="K419" s="113">
        <f t="shared" si="279"/>
        <v>0</v>
      </c>
      <c r="L419" s="113">
        <f t="shared" si="280"/>
        <v>0</v>
      </c>
      <c r="M419" s="113">
        <f t="shared" si="281"/>
        <v>0</v>
      </c>
      <c r="N419" s="116">
        <f t="shared" si="282"/>
        <v>10.75</v>
      </c>
      <c r="O419" s="117">
        <f t="shared" si="271"/>
        <v>8.0760000000000012E-2</v>
      </c>
      <c r="P419" s="117">
        <f t="shared" si="283"/>
        <v>0</v>
      </c>
      <c r="Q419" s="117">
        <f t="shared" si="284"/>
        <v>0</v>
      </c>
      <c r="R419" s="117">
        <f t="shared" si="285"/>
        <v>2.725E-2</v>
      </c>
      <c r="S419" s="116">
        <f t="shared" si="286"/>
        <v>0</v>
      </c>
      <c r="T419" s="116">
        <f t="shared" si="287"/>
        <v>0</v>
      </c>
      <c r="U419" s="116">
        <f t="shared" si="288"/>
        <v>0</v>
      </c>
      <c r="V419" s="118">
        <f t="shared" si="289"/>
        <v>0</v>
      </c>
      <c r="W419" s="118">
        <f t="shared" si="303"/>
        <v>0</v>
      </c>
      <c r="X419" s="118">
        <f t="shared" si="304"/>
        <v>0</v>
      </c>
      <c r="Y419" s="118">
        <f t="shared" si="305"/>
        <v>0</v>
      </c>
      <c r="Z419" s="118">
        <f t="shared" si="306"/>
        <v>0</v>
      </c>
      <c r="AA419" s="119">
        <v>0</v>
      </c>
      <c r="AB419" s="120">
        <f t="shared" si="290"/>
        <v>0</v>
      </c>
      <c r="AC419" s="118">
        <f t="shared" si="291"/>
        <v>0</v>
      </c>
      <c r="AD419" s="118">
        <f t="shared" si="307"/>
        <v>0</v>
      </c>
      <c r="AE419" s="118">
        <f t="shared" si="292"/>
        <v>0</v>
      </c>
      <c r="AF419" s="121">
        <f t="shared" si="308"/>
        <v>1</v>
      </c>
      <c r="AG419" s="122">
        <f t="shared" si="293"/>
        <v>0</v>
      </c>
      <c r="AH419" s="122">
        <f t="shared" si="294"/>
        <v>0</v>
      </c>
      <c r="AI419" s="122">
        <f t="shared" si="295"/>
        <v>0</v>
      </c>
      <c r="AJ419" s="122">
        <f t="shared" si="296"/>
        <v>0</v>
      </c>
      <c r="AK419" s="122">
        <f t="shared" si="297"/>
        <v>0</v>
      </c>
      <c r="AL419" s="122">
        <f t="shared" si="298"/>
        <v>0</v>
      </c>
      <c r="AM419" s="123">
        <f t="shared" si="299"/>
        <v>0</v>
      </c>
      <c r="AN419" s="123">
        <f t="shared" si="315"/>
        <v>0</v>
      </c>
      <c r="AO419" s="124">
        <f t="shared" si="300"/>
        <v>0</v>
      </c>
      <c r="AP419" s="125">
        <f t="shared" si="310"/>
        <v>0</v>
      </c>
      <c r="AU419" s="109">
        <f>IF(BA419=1,IF(AU418=MiscData!$F$1,EOMONTH(AU418,-11),EOMONTH(AU418,1)),AU418)</f>
        <v>42338</v>
      </c>
      <c r="AV419" s="108" t="str">
        <f t="shared" si="311"/>
        <v>20140101LGRSE540</v>
      </c>
      <c r="AW419" s="126" t="str">
        <f t="shared" si="312"/>
        <v>20140101VFD</v>
      </c>
      <c r="AX419">
        <f>MiscData!$X$5</f>
        <v>20140101</v>
      </c>
      <c r="BA419" s="98">
        <f>IF(BA418+1&gt;MiscData!$Z$42,1,BA418+1)</f>
        <v>36</v>
      </c>
      <c r="BB419" s="98" t="str">
        <f>VLOOKUP(BA419,MiscData!$Z$5:$AB$46,2,FALSE)</f>
        <v>LGRSE540</v>
      </c>
      <c r="BC419" s="98" t="str">
        <f>VLOOKUP(BA419,MiscData!$Z$5:$AB$46,3,FALSE)</f>
        <v>VFD</v>
      </c>
    </row>
    <row r="420" spans="1:55">
      <c r="A420" s="108">
        <v>397</v>
      </c>
      <c r="B420" s="109" t="str">
        <f t="shared" si="301"/>
        <v>Nov 2015</v>
      </c>
      <c r="C420" s="110" t="str">
        <f t="shared" si="313"/>
        <v>LEV</v>
      </c>
      <c r="D420" s="110" t="str">
        <f t="shared" si="302"/>
        <v>LGRSE543</v>
      </c>
      <c r="E420" s="111">
        <f t="shared" si="274"/>
        <v>20</v>
      </c>
      <c r="F420" s="112">
        <v>0</v>
      </c>
      <c r="G420" s="111">
        <f t="shared" si="275"/>
        <v>14974</v>
      </c>
      <c r="H420" s="111">
        <f t="shared" si="276"/>
        <v>8705</v>
      </c>
      <c r="I420" s="111">
        <f t="shared" si="277"/>
        <v>5454</v>
      </c>
      <c r="J420" s="111">
        <f t="shared" si="278"/>
        <v>29133</v>
      </c>
      <c r="K420" s="113">
        <f t="shared" si="279"/>
        <v>0</v>
      </c>
      <c r="L420" s="113">
        <f t="shared" si="280"/>
        <v>0</v>
      </c>
      <c r="M420" s="113">
        <f t="shared" si="281"/>
        <v>0</v>
      </c>
      <c r="N420" s="116">
        <f t="shared" si="282"/>
        <v>10.75</v>
      </c>
      <c r="O420" s="117">
        <f t="shared" si="271"/>
        <v>5.8200000000000002E-2</v>
      </c>
      <c r="P420" s="117">
        <f t="shared" si="283"/>
        <v>7.8990000000000005E-2</v>
      </c>
      <c r="Q420" s="117">
        <f t="shared" si="284"/>
        <v>0.14451000000000003</v>
      </c>
      <c r="R420" s="117">
        <f t="shared" si="285"/>
        <v>2.725E-2</v>
      </c>
      <c r="S420" s="116">
        <f t="shared" si="286"/>
        <v>0</v>
      </c>
      <c r="T420" s="116">
        <f t="shared" si="287"/>
        <v>0</v>
      </c>
      <c r="U420" s="116">
        <f t="shared" si="288"/>
        <v>0</v>
      </c>
      <c r="V420" s="118">
        <f t="shared" si="289"/>
        <v>215</v>
      </c>
      <c r="W420" s="118">
        <f t="shared" si="303"/>
        <v>2347.25</v>
      </c>
      <c r="X420" s="118">
        <f t="shared" si="304"/>
        <v>0</v>
      </c>
      <c r="Y420" s="118">
        <f t="shared" si="305"/>
        <v>0</v>
      </c>
      <c r="Z420" s="118">
        <f t="shared" si="306"/>
        <v>0</v>
      </c>
      <c r="AA420" s="119">
        <v>0</v>
      </c>
      <c r="AB420" s="120">
        <f t="shared" si="290"/>
        <v>0</v>
      </c>
      <c r="AC420" s="118">
        <f t="shared" si="291"/>
        <v>0</v>
      </c>
      <c r="AD420" s="118">
        <f t="shared" si="307"/>
        <v>2562.25</v>
      </c>
      <c r="AE420" s="118">
        <f t="shared" si="292"/>
        <v>0</v>
      </c>
      <c r="AF420" s="121">
        <f t="shared" si="308"/>
        <v>0</v>
      </c>
      <c r="AG420" s="122">
        <f t="shared" si="293"/>
        <v>0</v>
      </c>
      <c r="AH420" s="122">
        <f t="shared" si="294"/>
        <v>0</v>
      </c>
      <c r="AI420" s="122">
        <f t="shared" si="295"/>
        <v>0</v>
      </c>
      <c r="AJ420" s="122">
        <f t="shared" si="296"/>
        <v>0</v>
      </c>
      <c r="AK420" s="122">
        <f t="shared" si="297"/>
        <v>0</v>
      </c>
      <c r="AL420" s="122">
        <f t="shared" si="298"/>
        <v>0</v>
      </c>
      <c r="AM420" s="123">
        <f t="shared" si="299"/>
        <v>2562.25</v>
      </c>
      <c r="AN420" s="123">
        <f t="shared" si="315"/>
        <v>-2562.25</v>
      </c>
      <c r="AO420" s="124">
        <f t="shared" si="300"/>
        <v>793.87</v>
      </c>
      <c r="AP420" s="125">
        <f t="shared" si="310"/>
        <v>1553.38</v>
      </c>
      <c r="AU420" s="109">
        <f>IF(BA420=1,IF(AU419=MiscData!$F$1,EOMONTH(AU419,-11),EOMONTH(AU419,1)),AU419)</f>
        <v>42338</v>
      </c>
      <c r="AV420" s="108" t="str">
        <f t="shared" si="311"/>
        <v>20140101LGRSE543</v>
      </c>
      <c r="AW420" s="126" t="str">
        <f t="shared" si="312"/>
        <v>20140101LEV</v>
      </c>
      <c r="AX420">
        <f>MiscData!$X$5</f>
        <v>20140101</v>
      </c>
      <c r="BA420" s="98">
        <f>IF(BA419+1&gt;MiscData!$Z$42,1,BA419+1)</f>
        <v>37</v>
      </c>
      <c r="BB420" s="98" t="str">
        <f>VLOOKUP(BA420,MiscData!$Z$5:$AB$46,2,FALSE)</f>
        <v>LGRSE543</v>
      </c>
      <c r="BC420" s="98" t="str">
        <f>VLOOKUP(BA420,MiscData!$Z$5:$AB$46,3,FALSE)</f>
        <v>LEV</v>
      </c>
    </row>
    <row r="421" spans="1:55">
      <c r="A421" s="108">
        <v>398</v>
      </c>
      <c r="B421" s="109" t="str">
        <f t="shared" si="301"/>
        <v>Nov 2015</v>
      </c>
      <c r="C421" s="110" t="str">
        <f t="shared" si="313"/>
        <v>LEV</v>
      </c>
      <c r="D421" s="110" t="str">
        <f t="shared" si="302"/>
        <v>LGRSE547</v>
      </c>
      <c r="E421" s="111">
        <f t="shared" si="274"/>
        <v>0</v>
      </c>
      <c r="F421" s="112">
        <v>0</v>
      </c>
      <c r="G421" s="111">
        <f t="shared" si="275"/>
        <v>0</v>
      </c>
      <c r="H421" s="111">
        <f t="shared" si="276"/>
        <v>0</v>
      </c>
      <c r="I421" s="111">
        <f t="shared" si="277"/>
        <v>0</v>
      </c>
      <c r="J421" s="111">
        <f t="shared" si="278"/>
        <v>0</v>
      </c>
      <c r="K421" s="113">
        <f t="shared" si="279"/>
        <v>0</v>
      </c>
      <c r="L421" s="113">
        <f t="shared" si="280"/>
        <v>0</v>
      </c>
      <c r="M421" s="113">
        <f t="shared" si="281"/>
        <v>0</v>
      </c>
      <c r="N421" s="116">
        <f t="shared" si="282"/>
        <v>10.75</v>
      </c>
      <c r="O421" s="117">
        <f t="shared" si="271"/>
        <v>5.8200000000000002E-2</v>
      </c>
      <c r="P421" s="117">
        <f t="shared" si="283"/>
        <v>7.8990000000000005E-2</v>
      </c>
      <c r="Q421" s="117">
        <f t="shared" si="284"/>
        <v>0.14451000000000003</v>
      </c>
      <c r="R421" s="117">
        <f t="shared" si="285"/>
        <v>2.725E-2</v>
      </c>
      <c r="S421" s="116">
        <f t="shared" si="286"/>
        <v>0</v>
      </c>
      <c r="T421" s="116">
        <f t="shared" si="287"/>
        <v>0</v>
      </c>
      <c r="U421" s="116">
        <f t="shared" si="288"/>
        <v>0</v>
      </c>
      <c r="V421" s="118">
        <f t="shared" si="289"/>
        <v>0</v>
      </c>
      <c r="W421" s="118">
        <f t="shared" si="303"/>
        <v>0</v>
      </c>
      <c r="X421" s="118">
        <f t="shared" si="304"/>
        <v>0</v>
      </c>
      <c r="Y421" s="118">
        <f t="shared" si="305"/>
        <v>0</v>
      </c>
      <c r="Z421" s="118">
        <f t="shared" si="306"/>
        <v>0</v>
      </c>
      <c r="AA421" s="119">
        <v>0</v>
      </c>
      <c r="AB421" s="120">
        <f t="shared" si="290"/>
        <v>0</v>
      </c>
      <c r="AC421" s="118">
        <f t="shared" si="291"/>
        <v>0</v>
      </c>
      <c r="AD421" s="118">
        <f t="shared" si="307"/>
        <v>0</v>
      </c>
      <c r="AE421" s="118">
        <f t="shared" si="292"/>
        <v>0</v>
      </c>
      <c r="AF421" s="121">
        <f t="shared" si="308"/>
        <v>1</v>
      </c>
      <c r="AG421" s="122">
        <f t="shared" si="293"/>
        <v>0</v>
      </c>
      <c r="AH421" s="122">
        <f t="shared" si="294"/>
        <v>0</v>
      </c>
      <c r="AI421" s="122">
        <f t="shared" si="295"/>
        <v>0</v>
      </c>
      <c r="AJ421" s="122">
        <f t="shared" si="296"/>
        <v>0</v>
      </c>
      <c r="AK421" s="122">
        <f t="shared" si="297"/>
        <v>0</v>
      </c>
      <c r="AL421" s="122">
        <f t="shared" si="298"/>
        <v>0</v>
      </c>
      <c r="AM421" s="123">
        <f t="shared" si="299"/>
        <v>0</v>
      </c>
      <c r="AN421" s="123">
        <f t="shared" si="315"/>
        <v>0</v>
      </c>
      <c r="AO421" s="124">
        <f t="shared" si="300"/>
        <v>0</v>
      </c>
      <c r="AP421" s="125">
        <f t="shared" si="310"/>
        <v>0</v>
      </c>
      <c r="AU421" s="109">
        <f>IF(BA421=1,IF(AU420=MiscData!$F$1,EOMONTH(AU420,-11),EOMONTH(AU420,1)),AU420)</f>
        <v>42338</v>
      </c>
      <c r="AV421" s="108" t="str">
        <f t="shared" si="311"/>
        <v>20140101LGRSE547</v>
      </c>
      <c r="AW421" s="126" t="str">
        <f t="shared" si="312"/>
        <v>20140101LEV</v>
      </c>
      <c r="AX421">
        <f>MiscData!$X$5</f>
        <v>20140101</v>
      </c>
      <c r="BA421" s="98">
        <f>IF(BA420+1&gt;MiscData!$Z$42,1,BA420+1)</f>
        <v>38</v>
      </c>
      <c r="BB421" s="98" t="str">
        <f>VLOOKUP(BA421,MiscData!$Z$5:$AB$46,2,FALSE)</f>
        <v>LGRSE547</v>
      </c>
      <c r="BC421" s="98" t="str">
        <f>VLOOKUP(BA421,MiscData!$Z$5:$AB$46,3,FALSE)</f>
        <v>LEV</v>
      </c>
    </row>
    <row r="422" spans="1:55">
      <c r="A422" s="108">
        <v>399</v>
      </c>
      <c r="B422" s="109" t="str">
        <f t="shared" si="301"/>
        <v>Dec 2015</v>
      </c>
      <c r="C422" s="110" t="str">
        <f t="shared" si="313"/>
        <v>FLSP</v>
      </c>
      <c r="D422" s="110" t="str">
        <f t="shared" si="302"/>
        <v>LGINE682</v>
      </c>
      <c r="E422" s="111">
        <f t="shared" si="274"/>
        <v>0</v>
      </c>
      <c r="F422" s="112">
        <v>0</v>
      </c>
      <c r="G422" s="111">
        <f t="shared" si="275"/>
        <v>0</v>
      </c>
      <c r="H422" s="111">
        <f t="shared" si="276"/>
        <v>0</v>
      </c>
      <c r="I422" s="111">
        <f t="shared" si="277"/>
        <v>0</v>
      </c>
      <c r="J422" s="111">
        <f t="shared" si="278"/>
        <v>0</v>
      </c>
      <c r="K422" s="113">
        <f t="shared" si="279"/>
        <v>0</v>
      </c>
      <c r="L422" s="113">
        <f t="shared" si="280"/>
        <v>0</v>
      </c>
      <c r="M422" s="113">
        <f t="shared" si="281"/>
        <v>0</v>
      </c>
      <c r="N422" s="116">
        <f t="shared" si="282"/>
        <v>750</v>
      </c>
      <c r="O422" s="117">
        <f t="shared" si="271"/>
        <v>3.61E-2</v>
      </c>
      <c r="P422" s="117">
        <f t="shared" si="283"/>
        <v>0</v>
      </c>
      <c r="Q422" s="117">
        <f t="shared" si="284"/>
        <v>0</v>
      </c>
      <c r="R422" s="117">
        <f t="shared" si="285"/>
        <v>2.725E-2</v>
      </c>
      <c r="S422" s="116">
        <f t="shared" si="286"/>
        <v>1.8900000000000001</v>
      </c>
      <c r="T422" s="116">
        <f t="shared" si="287"/>
        <v>1.8900000000000001</v>
      </c>
      <c r="U422" s="116">
        <f t="shared" si="288"/>
        <v>2.94</v>
      </c>
      <c r="V422" s="118">
        <f t="shared" si="289"/>
        <v>0</v>
      </c>
      <c r="W422" s="118">
        <f t="shared" si="303"/>
        <v>0</v>
      </c>
      <c r="X422" s="118">
        <f t="shared" si="304"/>
        <v>0</v>
      </c>
      <c r="Y422" s="118">
        <f t="shared" si="305"/>
        <v>0</v>
      </c>
      <c r="Z422" s="118">
        <f t="shared" si="306"/>
        <v>0</v>
      </c>
      <c r="AA422" s="119">
        <v>0</v>
      </c>
      <c r="AB422" s="120">
        <f t="shared" si="290"/>
        <v>0</v>
      </c>
      <c r="AC422" s="118">
        <f t="shared" si="291"/>
        <v>0</v>
      </c>
      <c r="AD422" s="118">
        <f t="shared" si="307"/>
        <v>0</v>
      </c>
      <c r="AE422" s="118">
        <f t="shared" si="292"/>
        <v>0</v>
      </c>
      <c r="AF422" s="121">
        <f t="shared" si="308"/>
        <v>1</v>
      </c>
      <c r="AG422" s="122">
        <f t="shared" si="293"/>
        <v>0</v>
      </c>
      <c r="AH422" s="122">
        <f t="shared" si="294"/>
        <v>0</v>
      </c>
      <c r="AI422" s="122">
        <f t="shared" si="295"/>
        <v>0</v>
      </c>
      <c r="AJ422" s="122">
        <f t="shared" si="296"/>
        <v>0</v>
      </c>
      <c r="AK422" s="122">
        <f t="shared" si="297"/>
        <v>0</v>
      </c>
      <c r="AL422" s="122">
        <f t="shared" si="298"/>
        <v>0</v>
      </c>
      <c r="AM422" s="123">
        <f t="shared" si="299"/>
        <v>0</v>
      </c>
      <c r="AN422" s="123">
        <f t="shared" si="315"/>
        <v>0</v>
      </c>
      <c r="AO422" s="124">
        <f t="shared" si="300"/>
        <v>0</v>
      </c>
      <c r="AP422" s="125">
        <f t="shared" si="310"/>
        <v>0</v>
      </c>
      <c r="AU422" s="109">
        <f>IF(BA422=1,IF(AU421=MiscData!$F$1,EOMONTH(AU421,-11),EOMONTH(AU421,1)),AU421)</f>
        <v>42369</v>
      </c>
      <c r="AV422" s="108" t="str">
        <f t="shared" si="311"/>
        <v>20140101LGINE682</v>
      </c>
      <c r="AW422" s="126" t="str">
        <f t="shared" si="312"/>
        <v>20140101FLSP</v>
      </c>
      <c r="AX422">
        <f>MiscData!$X$5</f>
        <v>20140101</v>
      </c>
      <c r="BA422" s="98">
        <f>IF(BA421+1&gt;MiscData!$Z$42,1,BA421+1)</f>
        <v>1</v>
      </c>
      <c r="BB422" s="98" t="str">
        <f>VLOOKUP(BA422,MiscData!$Z$5:$AB$46,2,FALSE)</f>
        <v>LGINE682</v>
      </c>
      <c r="BC422" s="98" t="str">
        <f>VLOOKUP(BA422,MiscData!$Z$5:$AB$46,3,FALSE)</f>
        <v>FLSP</v>
      </c>
    </row>
    <row r="423" spans="1:55">
      <c r="A423" s="108">
        <v>400</v>
      </c>
      <c r="B423" s="109" t="str">
        <f t="shared" si="301"/>
        <v>Dec 2015</v>
      </c>
      <c r="C423" s="110" t="str">
        <f t="shared" si="313"/>
        <v>FLST</v>
      </c>
      <c r="D423" s="110" t="str">
        <f t="shared" si="302"/>
        <v>LGINE683</v>
      </c>
      <c r="E423" s="111">
        <f t="shared" si="274"/>
        <v>0</v>
      </c>
      <c r="F423" s="112">
        <v>0</v>
      </c>
      <c r="G423" s="111">
        <f t="shared" si="275"/>
        <v>0</v>
      </c>
      <c r="H423" s="111">
        <f t="shared" si="276"/>
        <v>0</v>
      </c>
      <c r="I423" s="111">
        <f t="shared" si="277"/>
        <v>0</v>
      </c>
      <c r="J423" s="111">
        <f t="shared" si="278"/>
        <v>0</v>
      </c>
      <c r="K423" s="113">
        <f t="shared" si="279"/>
        <v>0</v>
      </c>
      <c r="L423" s="113">
        <f t="shared" si="280"/>
        <v>0</v>
      </c>
      <c r="M423" s="113">
        <f t="shared" si="281"/>
        <v>0</v>
      </c>
      <c r="N423" s="116">
        <f t="shared" si="282"/>
        <v>750</v>
      </c>
      <c r="O423" s="117">
        <f t="shared" si="271"/>
        <v>3.61E-2</v>
      </c>
      <c r="P423" s="117">
        <f t="shared" si="283"/>
        <v>0</v>
      </c>
      <c r="Q423" s="117">
        <f t="shared" si="284"/>
        <v>0</v>
      </c>
      <c r="R423" s="117">
        <f t="shared" si="285"/>
        <v>2.725E-2</v>
      </c>
      <c r="S423" s="116">
        <f t="shared" si="286"/>
        <v>1.1400000000000001</v>
      </c>
      <c r="T423" s="116">
        <f t="shared" si="287"/>
        <v>1.8900000000000001</v>
      </c>
      <c r="U423" s="116">
        <f t="shared" si="288"/>
        <v>2.94</v>
      </c>
      <c r="V423" s="118">
        <f t="shared" si="289"/>
        <v>0</v>
      </c>
      <c r="W423" s="118">
        <f t="shared" si="303"/>
        <v>0</v>
      </c>
      <c r="X423" s="118">
        <f t="shared" si="304"/>
        <v>0</v>
      </c>
      <c r="Y423" s="118">
        <f t="shared" si="305"/>
        <v>0</v>
      </c>
      <c r="Z423" s="118">
        <f t="shared" si="306"/>
        <v>0</v>
      </c>
      <c r="AA423" s="119">
        <v>0</v>
      </c>
      <c r="AB423" s="120">
        <f t="shared" si="290"/>
        <v>0</v>
      </c>
      <c r="AC423" s="118">
        <f t="shared" si="291"/>
        <v>0</v>
      </c>
      <c r="AD423" s="118">
        <f t="shared" si="307"/>
        <v>0</v>
      </c>
      <c r="AE423" s="118">
        <f t="shared" si="292"/>
        <v>0</v>
      </c>
      <c r="AF423" s="121">
        <f t="shared" si="308"/>
        <v>1</v>
      </c>
      <c r="AG423" s="122">
        <f t="shared" si="293"/>
        <v>0</v>
      </c>
      <c r="AH423" s="122">
        <f t="shared" si="294"/>
        <v>0</v>
      </c>
      <c r="AI423" s="122">
        <f t="shared" si="295"/>
        <v>0</v>
      </c>
      <c r="AJ423" s="122">
        <f t="shared" si="296"/>
        <v>0</v>
      </c>
      <c r="AK423" s="122">
        <f t="shared" si="297"/>
        <v>0</v>
      </c>
      <c r="AL423" s="122">
        <f t="shared" si="298"/>
        <v>0</v>
      </c>
      <c r="AM423" s="123">
        <f t="shared" si="299"/>
        <v>0</v>
      </c>
      <c r="AN423" s="123">
        <f t="shared" si="315"/>
        <v>0</v>
      </c>
      <c r="AO423" s="124">
        <f t="shared" si="300"/>
        <v>0</v>
      </c>
      <c r="AP423" s="125">
        <f t="shared" si="310"/>
        <v>0</v>
      </c>
      <c r="AU423" s="109">
        <f>IF(BA423=1,IF(AU422=MiscData!$F$1,EOMONTH(AU422,-11),EOMONTH(AU422,1)),AU422)</f>
        <v>42369</v>
      </c>
      <c r="AV423" s="108" t="str">
        <f t="shared" si="311"/>
        <v>20140101LGINE683</v>
      </c>
      <c r="AW423" s="126" t="str">
        <f t="shared" si="312"/>
        <v>20140101FLST</v>
      </c>
      <c r="AX423">
        <f>MiscData!$X$5</f>
        <v>20140101</v>
      </c>
      <c r="BA423" s="98">
        <f>IF(BA422+1&gt;MiscData!$Z$42,1,BA422+1)</f>
        <v>2</v>
      </c>
      <c r="BB423" s="98" t="str">
        <f>VLOOKUP(BA423,MiscData!$Z$5:$AB$46,2,FALSE)</f>
        <v>LGINE683</v>
      </c>
      <c r="BC423" s="98" t="str">
        <f>VLOOKUP(BA423,MiscData!$Z$5:$AB$46,3,FALSE)</f>
        <v>FLST</v>
      </c>
    </row>
    <row r="424" spans="1:55">
      <c r="A424" s="108">
        <v>401</v>
      </c>
      <c r="B424" s="109" t="str">
        <f t="shared" si="301"/>
        <v>Dec 2015</v>
      </c>
      <c r="C424" s="110" t="s">
        <v>902</v>
      </c>
      <c r="D424" s="110" t="str">
        <f t="shared" si="302"/>
        <v>LGCME451</v>
      </c>
      <c r="E424" s="111">
        <f t="shared" si="274"/>
        <v>0</v>
      </c>
      <c r="F424" s="112">
        <v>0</v>
      </c>
      <c r="G424" s="111">
        <f t="shared" si="275"/>
        <v>0</v>
      </c>
      <c r="H424" s="111">
        <f t="shared" si="276"/>
        <v>0</v>
      </c>
      <c r="I424" s="111">
        <f t="shared" si="277"/>
        <v>0</v>
      </c>
      <c r="J424" s="111">
        <f t="shared" si="278"/>
        <v>0</v>
      </c>
      <c r="K424" s="113">
        <f t="shared" si="279"/>
        <v>0</v>
      </c>
      <c r="L424" s="113">
        <f t="shared" si="280"/>
        <v>0</v>
      </c>
      <c r="M424" s="113">
        <f t="shared" si="281"/>
        <v>0</v>
      </c>
      <c r="N424" s="116">
        <f t="shared" si="282"/>
        <v>0</v>
      </c>
      <c r="O424" s="117">
        <f t="shared" si="271"/>
        <v>9.1340000000000005E-2</v>
      </c>
      <c r="P424" s="117">
        <f t="shared" si="283"/>
        <v>0</v>
      </c>
      <c r="Q424" s="117">
        <f t="shared" si="284"/>
        <v>0</v>
      </c>
      <c r="R424" s="117">
        <f t="shared" si="285"/>
        <v>2.725E-2</v>
      </c>
      <c r="S424" s="116">
        <f t="shared" si="286"/>
        <v>0</v>
      </c>
      <c r="T424" s="116">
        <f t="shared" si="287"/>
        <v>0</v>
      </c>
      <c r="U424" s="116">
        <f t="shared" si="288"/>
        <v>0</v>
      </c>
      <c r="V424" s="118">
        <f t="shared" si="289"/>
        <v>0</v>
      </c>
      <c r="W424" s="118">
        <f t="shared" si="303"/>
        <v>0</v>
      </c>
      <c r="X424" s="118">
        <f t="shared" si="304"/>
        <v>0</v>
      </c>
      <c r="Y424" s="118">
        <f t="shared" si="305"/>
        <v>0</v>
      </c>
      <c r="Z424" s="118">
        <f t="shared" si="306"/>
        <v>0</v>
      </c>
      <c r="AA424" s="119">
        <v>0</v>
      </c>
      <c r="AB424" s="120">
        <f t="shared" si="290"/>
        <v>0</v>
      </c>
      <c r="AC424" s="118">
        <f t="shared" si="291"/>
        <v>0</v>
      </c>
      <c r="AD424" s="118">
        <f t="shared" si="307"/>
        <v>0</v>
      </c>
      <c r="AE424" s="118">
        <f t="shared" si="292"/>
        <v>0</v>
      </c>
      <c r="AF424" s="121">
        <f t="shared" si="308"/>
        <v>1</v>
      </c>
      <c r="AG424" s="122">
        <f t="shared" si="293"/>
        <v>0</v>
      </c>
      <c r="AH424" s="122">
        <f t="shared" si="294"/>
        <v>0</v>
      </c>
      <c r="AI424" s="122">
        <f t="shared" si="295"/>
        <v>0</v>
      </c>
      <c r="AJ424" s="122">
        <f t="shared" si="296"/>
        <v>0</v>
      </c>
      <c r="AK424" s="122">
        <f t="shared" si="297"/>
        <v>0</v>
      </c>
      <c r="AL424" s="122">
        <f t="shared" si="298"/>
        <v>0</v>
      </c>
      <c r="AM424" s="123">
        <f t="shared" si="299"/>
        <v>0</v>
      </c>
      <c r="AN424" s="123">
        <f t="shared" ref="AN424:AN428" si="316">ROUND(AL424-AM424,2)</f>
        <v>0</v>
      </c>
      <c r="AO424" s="124">
        <f t="shared" si="300"/>
        <v>0</v>
      </c>
      <c r="AP424" s="125">
        <f t="shared" si="310"/>
        <v>0</v>
      </c>
      <c r="AU424" s="109">
        <f>IF(BA424=1,IF(AU423=MiscData!$F$1,EOMONTH(AU423,-11),EOMONTH(AU423,1)),AU423)</f>
        <v>42369</v>
      </c>
      <c r="AV424" s="108" t="str">
        <f t="shared" si="311"/>
        <v>20140101LGCME451</v>
      </c>
      <c r="AW424" s="126" t="str">
        <f t="shared" si="312"/>
        <v>20140101GSS</v>
      </c>
      <c r="AX424">
        <f>MiscData!$X$5</f>
        <v>20140101</v>
      </c>
      <c r="BA424" s="98">
        <f>IF(BA423+1&gt;MiscData!$Z$42,1,BA423+1)</f>
        <v>3</v>
      </c>
      <c r="BB424" s="98" t="str">
        <f>VLOOKUP(BA424,MiscData!$Z$5:$AB$46,2,FALSE)</f>
        <v>LGCME451</v>
      </c>
      <c r="BC424" s="98" t="str">
        <f>VLOOKUP(BA424,MiscData!$Z$5:$AB$46,3,FALSE)</f>
        <v>GSS</v>
      </c>
    </row>
    <row r="425" spans="1:55">
      <c r="A425" s="108">
        <v>402</v>
      </c>
      <c r="B425" s="109" t="str">
        <f t="shared" si="301"/>
        <v>Dec 2015</v>
      </c>
      <c r="C425" s="110" t="s">
        <v>902</v>
      </c>
      <c r="D425" s="110" t="str">
        <f t="shared" si="302"/>
        <v>LGCME550</v>
      </c>
      <c r="E425" s="111">
        <f t="shared" si="274"/>
        <v>0</v>
      </c>
      <c r="F425" s="112">
        <v>0</v>
      </c>
      <c r="G425" s="111">
        <f t="shared" si="275"/>
        <v>0</v>
      </c>
      <c r="H425" s="111">
        <f t="shared" si="276"/>
        <v>0</v>
      </c>
      <c r="I425" s="111">
        <f t="shared" si="277"/>
        <v>0</v>
      </c>
      <c r="J425" s="111">
        <f t="shared" si="278"/>
        <v>0</v>
      </c>
      <c r="K425" s="113">
        <f t="shared" si="279"/>
        <v>0</v>
      </c>
      <c r="L425" s="113">
        <f t="shared" si="280"/>
        <v>0</v>
      </c>
      <c r="M425" s="113">
        <f t="shared" si="281"/>
        <v>0</v>
      </c>
      <c r="N425" s="116">
        <f t="shared" si="282"/>
        <v>20</v>
      </c>
      <c r="O425" s="117">
        <f t="shared" ref="O425:O459" si="317">SUMIF(L_Rates_Tariff_Rate_Category,$AV425,L_Rates_Energy)</f>
        <v>9.1340000000000005E-2</v>
      </c>
      <c r="P425" s="117">
        <f t="shared" si="283"/>
        <v>0</v>
      </c>
      <c r="Q425" s="117">
        <f t="shared" si="284"/>
        <v>0</v>
      </c>
      <c r="R425" s="117">
        <f t="shared" si="285"/>
        <v>2.725E-2</v>
      </c>
      <c r="S425" s="116">
        <f t="shared" si="286"/>
        <v>0</v>
      </c>
      <c r="T425" s="116">
        <f t="shared" si="287"/>
        <v>0</v>
      </c>
      <c r="U425" s="116">
        <f t="shared" si="288"/>
        <v>0</v>
      </c>
      <c r="V425" s="118">
        <f t="shared" si="289"/>
        <v>0</v>
      </c>
      <c r="W425" s="118">
        <f t="shared" si="303"/>
        <v>0</v>
      </c>
      <c r="X425" s="118">
        <f t="shared" si="304"/>
        <v>0</v>
      </c>
      <c r="Y425" s="118">
        <f t="shared" si="305"/>
        <v>0</v>
      </c>
      <c r="Z425" s="118">
        <f t="shared" si="306"/>
        <v>0</v>
      </c>
      <c r="AA425" s="119">
        <v>0</v>
      </c>
      <c r="AB425" s="120">
        <f t="shared" si="290"/>
        <v>0</v>
      </c>
      <c r="AC425" s="118">
        <f t="shared" si="291"/>
        <v>0</v>
      </c>
      <c r="AD425" s="118">
        <f t="shared" si="307"/>
        <v>0</v>
      </c>
      <c r="AE425" s="118">
        <f t="shared" si="292"/>
        <v>0</v>
      </c>
      <c r="AF425" s="121">
        <f t="shared" si="308"/>
        <v>1</v>
      </c>
      <c r="AG425" s="122">
        <f t="shared" si="293"/>
        <v>0</v>
      </c>
      <c r="AH425" s="122">
        <f t="shared" si="294"/>
        <v>0</v>
      </c>
      <c r="AI425" s="122">
        <f t="shared" si="295"/>
        <v>0</v>
      </c>
      <c r="AJ425" s="122">
        <f t="shared" si="296"/>
        <v>0</v>
      </c>
      <c r="AK425" s="122">
        <f t="shared" si="297"/>
        <v>0</v>
      </c>
      <c r="AL425" s="122">
        <f t="shared" si="298"/>
        <v>0</v>
      </c>
      <c r="AM425" s="123">
        <f t="shared" si="299"/>
        <v>0</v>
      </c>
      <c r="AN425" s="123">
        <f t="shared" si="316"/>
        <v>0</v>
      </c>
      <c r="AO425" s="124">
        <f t="shared" si="300"/>
        <v>0</v>
      </c>
      <c r="AP425" s="125">
        <f t="shared" si="310"/>
        <v>0</v>
      </c>
      <c r="AU425" s="109">
        <f>IF(BA425=1,IF(AU424=MiscData!$F$1,EOMONTH(AU424,-11),EOMONTH(AU424,1)),AU424)</f>
        <v>42369</v>
      </c>
      <c r="AV425" s="108" t="str">
        <f t="shared" si="311"/>
        <v>20140101LGCME550</v>
      </c>
      <c r="AW425" s="126" t="str">
        <f t="shared" si="312"/>
        <v>20140101GSS</v>
      </c>
      <c r="AX425">
        <f>MiscData!$X$5</f>
        <v>20140101</v>
      </c>
      <c r="BA425" s="98">
        <f>IF(BA424+1&gt;MiscData!$Z$42,1,BA424+1)</f>
        <v>4</v>
      </c>
      <c r="BB425" s="98" t="str">
        <f>VLOOKUP(BA425,MiscData!$Z$5:$AB$46,2,FALSE)</f>
        <v>LGCME550</v>
      </c>
      <c r="BC425" s="98" t="str">
        <f>VLOOKUP(BA425,MiscData!$Z$5:$AB$46,3,FALSE)</f>
        <v>GSS</v>
      </c>
    </row>
    <row r="426" spans="1:55">
      <c r="A426" s="108">
        <v>403</v>
      </c>
      <c r="B426" s="109" t="str">
        <f t="shared" si="301"/>
        <v>Dec 2015</v>
      </c>
      <c r="C426" s="110" t="s">
        <v>902</v>
      </c>
      <c r="D426" s="110" t="str">
        <f t="shared" si="302"/>
        <v>LGCME551</v>
      </c>
      <c r="E426" s="111">
        <f t="shared" si="274"/>
        <v>28209</v>
      </c>
      <c r="F426" s="112">
        <v>0</v>
      </c>
      <c r="G426" s="111">
        <f t="shared" si="275"/>
        <v>0</v>
      </c>
      <c r="H426" s="111">
        <f t="shared" si="276"/>
        <v>0</v>
      </c>
      <c r="I426" s="111">
        <f t="shared" si="277"/>
        <v>0</v>
      </c>
      <c r="J426" s="111">
        <f t="shared" si="278"/>
        <v>30941036</v>
      </c>
      <c r="K426" s="113">
        <f t="shared" si="279"/>
        <v>0</v>
      </c>
      <c r="L426" s="113">
        <f t="shared" si="280"/>
        <v>0</v>
      </c>
      <c r="M426" s="113">
        <f t="shared" si="281"/>
        <v>0</v>
      </c>
      <c r="N426" s="116">
        <f t="shared" si="282"/>
        <v>20</v>
      </c>
      <c r="O426" s="117">
        <f t="shared" si="317"/>
        <v>9.1340000000000005E-2</v>
      </c>
      <c r="P426" s="117">
        <f t="shared" si="283"/>
        <v>0</v>
      </c>
      <c r="Q426" s="117">
        <f t="shared" si="284"/>
        <v>0</v>
      </c>
      <c r="R426" s="117">
        <f t="shared" si="285"/>
        <v>2.725E-2</v>
      </c>
      <c r="S426" s="116">
        <f t="shared" si="286"/>
        <v>0</v>
      </c>
      <c r="T426" s="116">
        <f t="shared" si="287"/>
        <v>0</v>
      </c>
      <c r="U426" s="116">
        <f t="shared" si="288"/>
        <v>0</v>
      </c>
      <c r="V426" s="118">
        <f t="shared" si="289"/>
        <v>564180</v>
      </c>
      <c r="W426" s="118">
        <f t="shared" si="303"/>
        <v>2826154.23</v>
      </c>
      <c r="X426" s="118">
        <f t="shared" si="304"/>
        <v>0</v>
      </c>
      <c r="Y426" s="118">
        <f t="shared" si="305"/>
        <v>0</v>
      </c>
      <c r="Z426" s="118">
        <f t="shared" si="306"/>
        <v>0</v>
      </c>
      <c r="AA426" s="119">
        <v>0</v>
      </c>
      <c r="AB426" s="120">
        <f t="shared" si="290"/>
        <v>0</v>
      </c>
      <c r="AC426" s="118">
        <f t="shared" si="291"/>
        <v>0</v>
      </c>
      <c r="AD426" s="118">
        <f t="shared" si="307"/>
        <v>3390334.23</v>
      </c>
      <c r="AE426" s="118">
        <f t="shared" si="292"/>
        <v>3390344</v>
      </c>
      <c r="AF426" s="121">
        <f t="shared" si="308"/>
        <v>1.000003</v>
      </c>
      <c r="AG426" s="122">
        <f t="shared" si="293"/>
        <v>-24269</v>
      </c>
      <c r="AH426" s="122">
        <f t="shared" si="294"/>
        <v>69310</v>
      </c>
      <c r="AI426" s="122">
        <f t="shared" si="295"/>
        <v>286700</v>
      </c>
      <c r="AJ426" s="122">
        <f t="shared" si="296"/>
        <v>0</v>
      </c>
      <c r="AK426" s="122">
        <f t="shared" si="297"/>
        <v>0</v>
      </c>
      <c r="AL426" s="122">
        <f t="shared" si="298"/>
        <v>3722085</v>
      </c>
      <c r="AM426" s="123">
        <f t="shared" si="299"/>
        <v>3722075.23</v>
      </c>
      <c r="AN426" s="123">
        <f t="shared" si="316"/>
        <v>9.77</v>
      </c>
      <c r="AO426" s="124">
        <f t="shared" si="300"/>
        <v>843143.23</v>
      </c>
      <c r="AP426" s="125">
        <f t="shared" si="310"/>
        <v>1983011</v>
      </c>
      <c r="AU426" s="109">
        <f>IF(BA426=1,IF(AU425=MiscData!$F$1,EOMONTH(AU425,-11),EOMONTH(AU425,1)),AU425)</f>
        <v>42369</v>
      </c>
      <c r="AV426" s="108" t="str">
        <f t="shared" si="311"/>
        <v>20140101LGCME551</v>
      </c>
      <c r="AW426" s="126" t="str">
        <f t="shared" si="312"/>
        <v>20140101GSS</v>
      </c>
      <c r="AX426">
        <f>MiscData!$X$5</f>
        <v>20140101</v>
      </c>
      <c r="BA426" s="98">
        <f>IF(BA425+1&gt;MiscData!$Z$42,1,BA425+1)</f>
        <v>5</v>
      </c>
      <c r="BB426" s="98" t="str">
        <f>VLOOKUP(BA426,MiscData!$Z$5:$AB$46,2,FALSE)</f>
        <v>LGCME551</v>
      </c>
      <c r="BC426" s="98" t="str">
        <f>VLOOKUP(BA426,MiscData!$Z$5:$AB$46,3,FALSE)</f>
        <v>GSS</v>
      </c>
    </row>
    <row r="427" spans="1:55">
      <c r="A427" s="108">
        <v>404</v>
      </c>
      <c r="B427" s="109" t="str">
        <f t="shared" si="301"/>
        <v>Dec 2015</v>
      </c>
      <c r="C427" s="110" t="s">
        <v>902</v>
      </c>
      <c r="D427" s="110" t="str">
        <f t="shared" si="302"/>
        <v>LGCME551UM</v>
      </c>
      <c r="E427" s="111">
        <f t="shared" si="274"/>
        <v>0</v>
      </c>
      <c r="F427" s="112">
        <v>0</v>
      </c>
      <c r="G427" s="111">
        <f t="shared" si="275"/>
        <v>0</v>
      </c>
      <c r="H427" s="111">
        <f t="shared" si="276"/>
        <v>0</v>
      </c>
      <c r="I427" s="111">
        <f t="shared" si="277"/>
        <v>0</v>
      </c>
      <c r="J427" s="111">
        <f t="shared" si="278"/>
        <v>0</v>
      </c>
      <c r="K427" s="113">
        <f t="shared" si="279"/>
        <v>0</v>
      </c>
      <c r="L427" s="113">
        <f t="shared" si="280"/>
        <v>0</v>
      </c>
      <c r="M427" s="113">
        <f t="shared" si="281"/>
        <v>0</v>
      </c>
      <c r="N427" s="116">
        <f t="shared" si="282"/>
        <v>20</v>
      </c>
      <c r="O427" s="117">
        <f t="shared" si="317"/>
        <v>9.1340000000000005E-2</v>
      </c>
      <c r="P427" s="117">
        <f t="shared" si="283"/>
        <v>0</v>
      </c>
      <c r="Q427" s="117">
        <f t="shared" si="284"/>
        <v>0</v>
      </c>
      <c r="R427" s="117">
        <f t="shared" si="285"/>
        <v>2.725E-2</v>
      </c>
      <c r="S427" s="116">
        <f t="shared" si="286"/>
        <v>0</v>
      </c>
      <c r="T427" s="116">
        <f t="shared" si="287"/>
        <v>0</v>
      </c>
      <c r="U427" s="116">
        <f t="shared" si="288"/>
        <v>0</v>
      </c>
      <c r="V427" s="118">
        <f t="shared" si="289"/>
        <v>0</v>
      </c>
      <c r="W427" s="118">
        <f t="shared" si="303"/>
        <v>0</v>
      </c>
      <c r="X427" s="118">
        <f t="shared" si="304"/>
        <v>0</v>
      </c>
      <c r="Y427" s="118">
        <f t="shared" si="305"/>
        <v>0</v>
      </c>
      <c r="Z427" s="118">
        <f t="shared" si="306"/>
        <v>0</v>
      </c>
      <c r="AA427" s="119">
        <v>0</v>
      </c>
      <c r="AB427" s="120">
        <f t="shared" si="290"/>
        <v>0</v>
      </c>
      <c r="AC427" s="118">
        <f t="shared" si="291"/>
        <v>0</v>
      </c>
      <c r="AD427" s="118">
        <f t="shared" si="307"/>
        <v>0</v>
      </c>
      <c r="AE427" s="118">
        <f t="shared" si="292"/>
        <v>0</v>
      </c>
      <c r="AF427" s="121">
        <f t="shared" si="308"/>
        <v>1</v>
      </c>
      <c r="AG427" s="122">
        <f t="shared" si="293"/>
        <v>0</v>
      </c>
      <c r="AH427" s="122">
        <f t="shared" si="294"/>
        <v>0</v>
      </c>
      <c r="AI427" s="122">
        <f t="shared" si="295"/>
        <v>0</v>
      </c>
      <c r="AJ427" s="122">
        <f t="shared" si="296"/>
        <v>0</v>
      </c>
      <c r="AK427" s="122">
        <f t="shared" si="297"/>
        <v>0</v>
      </c>
      <c r="AL427" s="122">
        <f t="shared" si="298"/>
        <v>0</v>
      </c>
      <c r="AM427" s="123">
        <f t="shared" si="299"/>
        <v>0</v>
      </c>
      <c r="AN427" s="123">
        <f t="shared" si="316"/>
        <v>0</v>
      </c>
      <c r="AO427" s="124">
        <f t="shared" si="300"/>
        <v>0</v>
      </c>
      <c r="AP427" s="125">
        <f t="shared" si="310"/>
        <v>0</v>
      </c>
      <c r="AU427" s="109">
        <f>IF(BA427=1,IF(AU426=MiscData!$F$1,EOMONTH(AU426,-11),EOMONTH(AU426,1)),AU426)</f>
        <v>42369</v>
      </c>
      <c r="AV427" s="108" t="str">
        <f t="shared" si="311"/>
        <v>20140101LGCME551UM</v>
      </c>
      <c r="AW427" s="126" t="str">
        <f t="shared" si="312"/>
        <v>20140101GSS</v>
      </c>
      <c r="AX427">
        <f>MiscData!$X$5</f>
        <v>20140101</v>
      </c>
      <c r="BA427" s="98">
        <f>IF(BA426+1&gt;MiscData!$Z$42,1,BA426+1)</f>
        <v>6</v>
      </c>
      <c r="BB427" s="98" t="str">
        <f>VLOOKUP(BA427,MiscData!$Z$5:$AB$46,2,FALSE)</f>
        <v>LGCME551UM</v>
      </c>
      <c r="BC427" s="98" t="str">
        <f>VLOOKUP(BA427,MiscData!$Z$5:$AB$46,3,FALSE)</f>
        <v>GSS</v>
      </c>
    </row>
    <row r="428" spans="1:55">
      <c r="A428" s="108">
        <v>405</v>
      </c>
      <c r="B428" s="109" t="str">
        <f t="shared" si="301"/>
        <v>Dec 2015</v>
      </c>
      <c r="C428" s="110" t="s">
        <v>902</v>
      </c>
      <c r="D428" s="110" t="str">
        <f t="shared" si="302"/>
        <v>LGCME552</v>
      </c>
      <c r="E428" s="111">
        <f t="shared" si="274"/>
        <v>0</v>
      </c>
      <c r="F428" s="112">
        <v>0</v>
      </c>
      <c r="G428" s="111">
        <f t="shared" si="275"/>
        <v>0</v>
      </c>
      <c r="H428" s="111">
        <f t="shared" si="276"/>
        <v>0</v>
      </c>
      <c r="I428" s="111">
        <f t="shared" si="277"/>
        <v>0</v>
      </c>
      <c r="J428" s="111">
        <f t="shared" si="278"/>
        <v>0</v>
      </c>
      <c r="K428" s="113">
        <f t="shared" si="279"/>
        <v>0</v>
      </c>
      <c r="L428" s="113">
        <f t="shared" si="280"/>
        <v>0</v>
      </c>
      <c r="M428" s="113">
        <f t="shared" si="281"/>
        <v>0</v>
      </c>
      <c r="N428" s="116">
        <f t="shared" si="282"/>
        <v>0</v>
      </c>
      <c r="O428" s="117">
        <f t="shared" si="317"/>
        <v>9.1340000000000005E-2</v>
      </c>
      <c r="P428" s="117">
        <f t="shared" si="283"/>
        <v>0</v>
      </c>
      <c r="Q428" s="117">
        <f t="shared" si="284"/>
        <v>0</v>
      </c>
      <c r="R428" s="117">
        <f t="shared" si="285"/>
        <v>2.725E-2</v>
      </c>
      <c r="S428" s="116">
        <f t="shared" si="286"/>
        <v>0</v>
      </c>
      <c r="T428" s="116">
        <f t="shared" si="287"/>
        <v>0</v>
      </c>
      <c r="U428" s="116">
        <f t="shared" si="288"/>
        <v>0</v>
      </c>
      <c r="V428" s="118">
        <f t="shared" si="289"/>
        <v>0</v>
      </c>
      <c r="W428" s="118">
        <f t="shared" si="303"/>
        <v>0</v>
      </c>
      <c r="X428" s="118">
        <f t="shared" si="304"/>
        <v>0</v>
      </c>
      <c r="Y428" s="118">
        <f t="shared" si="305"/>
        <v>0</v>
      </c>
      <c r="Z428" s="118">
        <f t="shared" si="306"/>
        <v>0</v>
      </c>
      <c r="AA428" s="119">
        <v>0</v>
      </c>
      <c r="AB428" s="120">
        <f t="shared" si="290"/>
        <v>0</v>
      </c>
      <c r="AC428" s="118">
        <f t="shared" si="291"/>
        <v>0</v>
      </c>
      <c r="AD428" s="118">
        <f t="shared" si="307"/>
        <v>0</v>
      </c>
      <c r="AE428" s="118">
        <f t="shared" si="292"/>
        <v>0</v>
      </c>
      <c r="AF428" s="121">
        <f t="shared" si="308"/>
        <v>1</v>
      </c>
      <c r="AG428" s="122">
        <f t="shared" si="293"/>
        <v>0</v>
      </c>
      <c r="AH428" s="122">
        <f t="shared" si="294"/>
        <v>0</v>
      </c>
      <c r="AI428" s="122">
        <f t="shared" si="295"/>
        <v>0</v>
      </c>
      <c r="AJ428" s="122">
        <f t="shared" si="296"/>
        <v>0</v>
      </c>
      <c r="AK428" s="122">
        <f t="shared" si="297"/>
        <v>0</v>
      </c>
      <c r="AL428" s="122">
        <f t="shared" si="298"/>
        <v>0</v>
      </c>
      <c r="AM428" s="123">
        <f t="shared" si="299"/>
        <v>0</v>
      </c>
      <c r="AN428" s="123">
        <f t="shared" si="316"/>
        <v>0</v>
      </c>
      <c r="AO428" s="124">
        <f t="shared" si="300"/>
        <v>0</v>
      </c>
      <c r="AP428" s="125">
        <f t="shared" si="310"/>
        <v>0</v>
      </c>
      <c r="AU428" s="109">
        <f>IF(BA428=1,IF(AU427=MiscData!$F$1,EOMONTH(AU427,-11),EOMONTH(AU427,1)),AU427)</f>
        <v>42369</v>
      </c>
      <c r="AV428" s="108" t="str">
        <f t="shared" si="311"/>
        <v>20140101LGCME552</v>
      </c>
      <c r="AW428" s="126" t="str">
        <f t="shared" si="312"/>
        <v>20140101GSS</v>
      </c>
      <c r="AX428">
        <f>MiscData!$X$5</f>
        <v>20140101</v>
      </c>
      <c r="BA428" s="98">
        <f>IF(BA427+1&gt;MiscData!$Z$42,1,BA427+1)</f>
        <v>7</v>
      </c>
      <c r="BB428" s="98" t="str">
        <f>VLOOKUP(BA428,MiscData!$Z$5:$AB$46,2,FALSE)</f>
        <v>LGCME552</v>
      </c>
      <c r="BC428" s="98" t="str">
        <f>VLOOKUP(BA428,MiscData!$Z$5:$AB$46,3,FALSE)</f>
        <v>GSS</v>
      </c>
    </row>
    <row r="429" spans="1:55">
      <c r="A429" s="108">
        <v>406</v>
      </c>
      <c r="B429" s="109" t="str">
        <f t="shared" si="301"/>
        <v>Dec 2015</v>
      </c>
      <c r="C429" s="110" t="s">
        <v>902</v>
      </c>
      <c r="D429" s="110" t="str">
        <f t="shared" si="302"/>
        <v>LGCME557</v>
      </c>
      <c r="E429" s="111">
        <f t="shared" si="274"/>
        <v>0</v>
      </c>
      <c r="F429" s="112">
        <v>0</v>
      </c>
      <c r="G429" s="111">
        <f t="shared" si="275"/>
        <v>0</v>
      </c>
      <c r="H429" s="111">
        <f t="shared" si="276"/>
        <v>0</v>
      </c>
      <c r="I429" s="111">
        <f t="shared" si="277"/>
        <v>0</v>
      </c>
      <c r="J429" s="111">
        <f t="shared" si="278"/>
        <v>0</v>
      </c>
      <c r="K429" s="113">
        <f t="shared" si="279"/>
        <v>0</v>
      </c>
      <c r="L429" s="113">
        <f t="shared" si="280"/>
        <v>0</v>
      </c>
      <c r="M429" s="113">
        <f t="shared" si="281"/>
        <v>0</v>
      </c>
      <c r="N429" s="116">
        <f t="shared" si="282"/>
        <v>20</v>
      </c>
      <c r="O429" s="117">
        <f t="shared" si="317"/>
        <v>9.1340000000000005E-2</v>
      </c>
      <c r="P429" s="117">
        <f t="shared" si="283"/>
        <v>0</v>
      </c>
      <c r="Q429" s="117">
        <f t="shared" si="284"/>
        <v>0</v>
      </c>
      <c r="R429" s="117">
        <f t="shared" si="285"/>
        <v>2.725E-2</v>
      </c>
      <c r="S429" s="116">
        <f t="shared" si="286"/>
        <v>0</v>
      </c>
      <c r="T429" s="116">
        <f t="shared" si="287"/>
        <v>0</v>
      </c>
      <c r="U429" s="116">
        <f t="shared" si="288"/>
        <v>0</v>
      </c>
      <c r="V429" s="118">
        <f t="shared" si="289"/>
        <v>0</v>
      </c>
      <c r="W429" s="118">
        <f t="shared" si="303"/>
        <v>0</v>
      </c>
      <c r="X429" s="118">
        <f t="shared" si="304"/>
        <v>0</v>
      </c>
      <c r="Y429" s="118">
        <f t="shared" si="305"/>
        <v>0</v>
      </c>
      <c r="Z429" s="118">
        <f t="shared" si="306"/>
        <v>0</v>
      </c>
      <c r="AA429" s="119">
        <v>0</v>
      </c>
      <c r="AB429" s="120">
        <f t="shared" si="290"/>
        <v>0</v>
      </c>
      <c r="AC429" s="118">
        <f t="shared" si="291"/>
        <v>0</v>
      </c>
      <c r="AD429" s="118">
        <f t="shared" si="307"/>
        <v>0</v>
      </c>
      <c r="AE429" s="118">
        <f t="shared" si="292"/>
        <v>0</v>
      </c>
      <c r="AF429" s="121">
        <f t="shared" si="308"/>
        <v>1</v>
      </c>
      <c r="AG429" s="122">
        <f t="shared" si="293"/>
        <v>0</v>
      </c>
      <c r="AH429" s="122">
        <f t="shared" si="294"/>
        <v>0</v>
      </c>
      <c r="AI429" s="122">
        <f t="shared" si="295"/>
        <v>0</v>
      </c>
      <c r="AJ429" s="122">
        <f t="shared" si="296"/>
        <v>0</v>
      </c>
      <c r="AK429" s="122">
        <f t="shared" si="297"/>
        <v>0</v>
      </c>
      <c r="AL429" s="122">
        <f t="shared" si="298"/>
        <v>0</v>
      </c>
      <c r="AM429" s="123">
        <f t="shared" si="299"/>
        <v>0</v>
      </c>
      <c r="AN429" s="123">
        <f t="shared" si="315"/>
        <v>0</v>
      </c>
      <c r="AO429" s="124">
        <f t="shared" si="300"/>
        <v>0</v>
      </c>
      <c r="AP429" s="125">
        <f t="shared" si="310"/>
        <v>0</v>
      </c>
      <c r="AU429" s="109">
        <f>IF(BA429=1,IF(AU428=MiscData!$F$1,EOMONTH(AU428,-11),EOMONTH(AU428,1)),AU428)</f>
        <v>42369</v>
      </c>
      <c r="AV429" s="108" t="str">
        <f t="shared" si="311"/>
        <v>20140101LGCME557</v>
      </c>
      <c r="AW429" s="126" t="str">
        <f t="shared" si="312"/>
        <v>20140101GSS</v>
      </c>
      <c r="AX429">
        <f>MiscData!$X$5</f>
        <v>20140101</v>
      </c>
      <c r="BA429" s="98">
        <f>IF(BA428+1&gt;MiscData!$Z$42,1,BA428+1)</f>
        <v>8</v>
      </c>
      <c r="BB429" s="98" t="str">
        <f>VLOOKUP(BA429,MiscData!$Z$5:$AB$46,2,FALSE)</f>
        <v>LGCME557</v>
      </c>
      <c r="BC429" s="98" t="str">
        <f>VLOOKUP(BA429,MiscData!$Z$5:$AB$46,3,FALSE)</f>
        <v>GSS</v>
      </c>
    </row>
    <row r="430" spans="1:55">
      <c r="A430" s="108">
        <v>407</v>
      </c>
      <c r="B430" s="109" t="str">
        <f t="shared" si="301"/>
        <v>Dec 2015</v>
      </c>
      <c r="C430" s="110" t="str">
        <f t="shared" si="313"/>
        <v>PSS</v>
      </c>
      <c r="D430" s="110" t="str">
        <f t="shared" si="302"/>
        <v>LGCME561</v>
      </c>
      <c r="E430" s="111">
        <f t="shared" si="274"/>
        <v>2579</v>
      </c>
      <c r="F430" s="112">
        <v>0</v>
      </c>
      <c r="G430" s="111">
        <f t="shared" si="275"/>
        <v>0</v>
      </c>
      <c r="H430" s="111">
        <f t="shared" si="276"/>
        <v>0</v>
      </c>
      <c r="I430" s="111">
        <f t="shared" si="277"/>
        <v>0</v>
      </c>
      <c r="J430" s="111">
        <f t="shared" si="278"/>
        <v>135751631</v>
      </c>
      <c r="K430" s="113">
        <f t="shared" si="279"/>
        <v>0</v>
      </c>
      <c r="L430" s="113">
        <f t="shared" si="280"/>
        <v>333856</v>
      </c>
      <c r="M430" s="113">
        <f t="shared" si="281"/>
        <v>0</v>
      </c>
      <c r="N430" s="116">
        <f t="shared" si="282"/>
        <v>90</v>
      </c>
      <c r="O430" s="117">
        <f t="shared" si="317"/>
        <v>4.0599999999999997E-2</v>
      </c>
      <c r="P430" s="117">
        <f t="shared" si="283"/>
        <v>0</v>
      </c>
      <c r="Q430" s="117">
        <f t="shared" si="284"/>
        <v>0</v>
      </c>
      <c r="R430" s="117">
        <f t="shared" si="285"/>
        <v>2.725E-2</v>
      </c>
      <c r="S430" s="116">
        <f t="shared" si="286"/>
        <v>0</v>
      </c>
      <c r="T430" s="116">
        <f t="shared" si="287"/>
        <v>14.010000000000002</v>
      </c>
      <c r="U430" s="116">
        <f t="shared" si="288"/>
        <v>16.399999999999999</v>
      </c>
      <c r="V430" s="118">
        <f t="shared" si="289"/>
        <v>232110</v>
      </c>
      <c r="W430" s="118">
        <f t="shared" si="303"/>
        <v>5511516.2199999997</v>
      </c>
      <c r="X430" s="118">
        <f t="shared" si="304"/>
        <v>0</v>
      </c>
      <c r="Y430" s="118">
        <f t="shared" si="305"/>
        <v>4677322.5599999996</v>
      </c>
      <c r="Z430" s="118">
        <f t="shared" si="306"/>
        <v>0</v>
      </c>
      <c r="AA430" s="119">
        <v>0</v>
      </c>
      <c r="AB430" s="120">
        <f t="shared" si="290"/>
        <v>0</v>
      </c>
      <c r="AC430" s="118">
        <f t="shared" si="291"/>
        <v>4677322.5599999996</v>
      </c>
      <c r="AD430" s="118">
        <f t="shared" si="307"/>
        <v>10420948.779999999</v>
      </c>
      <c r="AE430" s="118">
        <f t="shared" si="292"/>
        <v>10420953</v>
      </c>
      <c r="AF430" s="121">
        <f t="shared" si="308"/>
        <v>1</v>
      </c>
      <c r="AG430" s="122">
        <f t="shared" si="293"/>
        <v>-106478</v>
      </c>
      <c r="AH430" s="122">
        <f t="shared" si="294"/>
        <v>304092</v>
      </c>
      <c r="AI430" s="122">
        <f t="shared" si="295"/>
        <v>1257877</v>
      </c>
      <c r="AJ430" s="122">
        <f t="shared" si="296"/>
        <v>0</v>
      </c>
      <c r="AK430" s="122">
        <f t="shared" si="297"/>
        <v>0</v>
      </c>
      <c r="AL430" s="122">
        <f t="shared" si="298"/>
        <v>11876444</v>
      </c>
      <c r="AM430" s="123">
        <f t="shared" si="299"/>
        <v>11876439.779999999</v>
      </c>
      <c r="AN430" s="123">
        <f t="shared" si="315"/>
        <v>4.2200000006705523</v>
      </c>
      <c r="AO430" s="124">
        <f t="shared" si="300"/>
        <v>3699231.94</v>
      </c>
      <c r="AP430" s="125">
        <f t="shared" si="310"/>
        <v>1812284.2799999998</v>
      </c>
      <c r="AU430" s="109">
        <f>IF(BA430=1,IF(AU429=MiscData!$F$1,EOMONTH(AU429,-11),EOMONTH(AU429,1)),AU429)</f>
        <v>42369</v>
      </c>
      <c r="AV430" s="108" t="str">
        <f t="shared" si="311"/>
        <v>20140101LGCME561</v>
      </c>
      <c r="AW430" s="126" t="str">
        <f t="shared" si="312"/>
        <v>20140101PSS</v>
      </c>
      <c r="AX430">
        <f>MiscData!$X$5</f>
        <v>20140101</v>
      </c>
      <c r="BA430" s="98">
        <f>IF(BA429+1&gt;MiscData!$Z$42,1,BA429+1)</f>
        <v>9</v>
      </c>
      <c r="BB430" s="98" t="str">
        <f>VLOOKUP(BA430,MiscData!$Z$5:$AB$46,2,FALSE)</f>
        <v>LGCME561</v>
      </c>
      <c r="BC430" s="98" t="str">
        <f>VLOOKUP(BA430,MiscData!$Z$5:$AB$46,3,FALSE)</f>
        <v>PSS</v>
      </c>
    </row>
    <row r="431" spans="1:55">
      <c r="A431" s="108">
        <v>408</v>
      </c>
      <c r="B431" s="109" t="str">
        <f t="shared" si="301"/>
        <v>Dec 2015</v>
      </c>
      <c r="C431" s="110" t="str">
        <f t="shared" si="313"/>
        <v>PSP</v>
      </c>
      <c r="D431" s="110" t="str">
        <f t="shared" si="302"/>
        <v>LGCME563</v>
      </c>
      <c r="E431" s="111">
        <f t="shared" si="274"/>
        <v>52</v>
      </c>
      <c r="F431" s="112">
        <v>0</v>
      </c>
      <c r="G431" s="111">
        <f t="shared" si="275"/>
        <v>0</v>
      </c>
      <c r="H431" s="111">
        <f t="shared" si="276"/>
        <v>0</v>
      </c>
      <c r="I431" s="111">
        <f t="shared" si="277"/>
        <v>0</v>
      </c>
      <c r="J431" s="111">
        <f t="shared" si="278"/>
        <v>11973010</v>
      </c>
      <c r="K431" s="113">
        <f t="shared" si="279"/>
        <v>0</v>
      </c>
      <c r="L431" s="113">
        <f t="shared" si="280"/>
        <v>28734</v>
      </c>
      <c r="M431" s="113">
        <f t="shared" si="281"/>
        <v>0</v>
      </c>
      <c r="N431" s="116">
        <f t="shared" si="282"/>
        <v>170</v>
      </c>
      <c r="O431" s="117">
        <f t="shared" si="317"/>
        <v>3.9260000000000003E-2</v>
      </c>
      <c r="P431" s="117">
        <f t="shared" si="283"/>
        <v>0</v>
      </c>
      <c r="Q431" s="117">
        <f t="shared" si="284"/>
        <v>0</v>
      </c>
      <c r="R431" s="117">
        <f t="shared" si="285"/>
        <v>2.725E-2</v>
      </c>
      <c r="S431" s="116">
        <f t="shared" si="286"/>
        <v>0</v>
      </c>
      <c r="T431" s="116">
        <f t="shared" si="287"/>
        <v>11.660000000000002</v>
      </c>
      <c r="U431" s="116">
        <f t="shared" si="288"/>
        <v>13.950000000000001</v>
      </c>
      <c r="V431" s="118">
        <f t="shared" si="289"/>
        <v>8840</v>
      </c>
      <c r="W431" s="118">
        <f t="shared" si="303"/>
        <v>470060.37</v>
      </c>
      <c r="X431" s="118">
        <f t="shared" si="304"/>
        <v>0</v>
      </c>
      <c r="Y431" s="118">
        <f t="shared" si="305"/>
        <v>335038.44</v>
      </c>
      <c r="Z431" s="118">
        <f t="shared" si="306"/>
        <v>0</v>
      </c>
      <c r="AA431" s="119">
        <v>0</v>
      </c>
      <c r="AB431" s="120">
        <f t="shared" si="290"/>
        <v>0</v>
      </c>
      <c r="AC431" s="118">
        <f t="shared" si="291"/>
        <v>335038.44</v>
      </c>
      <c r="AD431" s="118">
        <f t="shared" si="307"/>
        <v>813938.81</v>
      </c>
      <c r="AE431" s="118">
        <f t="shared" si="292"/>
        <v>813936</v>
      </c>
      <c r="AF431" s="121">
        <f t="shared" si="308"/>
        <v>0.99999700000000002</v>
      </c>
      <c r="AG431" s="122">
        <f t="shared" si="293"/>
        <v>-9391</v>
      </c>
      <c r="AH431" s="122">
        <f t="shared" si="294"/>
        <v>26820</v>
      </c>
      <c r="AI431" s="122">
        <f t="shared" si="295"/>
        <v>110942</v>
      </c>
      <c r="AJ431" s="122">
        <f t="shared" si="296"/>
        <v>0</v>
      </c>
      <c r="AK431" s="122">
        <f t="shared" si="297"/>
        <v>0</v>
      </c>
      <c r="AL431" s="122">
        <f t="shared" si="298"/>
        <v>942307</v>
      </c>
      <c r="AM431" s="123">
        <f t="shared" si="299"/>
        <v>942309.81</v>
      </c>
      <c r="AN431" s="123">
        <f t="shared" ref="AN431:AN459" si="318">AL431-AM431</f>
        <v>-2.8100000000558794</v>
      </c>
      <c r="AO431" s="124">
        <f t="shared" si="300"/>
        <v>326264.52</v>
      </c>
      <c r="AP431" s="125">
        <f t="shared" si="310"/>
        <v>143795.84999999998</v>
      </c>
      <c r="AU431" s="109">
        <f>IF(BA431=1,IF(AU430=MiscData!$F$1,EOMONTH(AU430,-11),EOMONTH(AU430,1)),AU430)</f>
        <v>42369</v>
      </c>
      <c r="AV431" s="108" t="str">
        <f t="shared" si="311"/>
        <v>20140101LGCME563</v>
      </c>
      <c r="AW431" s="126" t="str">
        <f t="shared" si="312"/>
        <v>20140101PSP</v>
      </c>
      <c r="AX431">
        <f>MiscData!$X$5</f>
        <v>20140101</v>
      </c>
      <c r="BA431" s="98">
        <f>IF(BA430+1&gt;MiscData!$Z$42,1,BA430+1)</f>
        <v>10</v>
      </c>
      <c r="BB431" s="98" t="str">
        <f>VLOOKUP(BA431,MiscData!$Z$5:$AB$46,2,FALSE)</f>
        <v>LGCME563</v>
      </c>
      <c r="BC431" s="98" t="str">
        <f>VLOOKUP(BA431,MiscData!$Z$5:$AB$46,3,FALSE)</f>
        <v>PSP</v>
      </c>
    </row>
    <row r="432" spans="1:55">
      <c r="A432" s="108">
        <v>409</v>
      </c>
      <c r="B432" s="109" t="str">
        <f t="shared" si="301"/>
        <v>Dec 2015</v>
      </c>
      <c r="C432" s="110" t="str">
        <f t="shared" si="313"/>
        <v>PSS</v>
      </c>
      <c r="D432" s="110" t="str">
        <f t="shared" si="302"/>
        <v>LGCME567</v>
      </c>
      <c r="E432" s="111">
        <f t="shared" si="274"/>
        <v>0</v>
      </c>
      <c r="F432" s="112">
        <v>0</v>
      </c>
      <c r="G432" s="111">
        <f t="shared" si="275"/>
        <v>0</v>
      </c>
      <c r="H432" s="111">
        <f t="shared" si="276"/>
        <v>0</v>
      </c>
      <c r="I432" s="111">
        <f t="shared" si="277"/>
        <v>0</v>
      </c>
      <c r="J432" s="111">
        <f t="shared" si="278"/>
        <v>0</v>
      </c>
      <c r="K432" s="113">
        <f t="shared" si="279"/>
        <v>0</v>
      </c>
      <c r="L432" s="113">
        <f t="shared" si="280"/>
        <v>0</v>
      </c>
      <c r="M432" s="113">
        <f t="shared" si="281"/>
        <v>0</v>
      </c>
      <c r="N432" s="116">
        <f t="shared" si="282"/>
        <v>90</v>
      </c>
      <c r="O432" s="117">
        <f t="shared" si="317"/>
        <v>4.0599999999999997E-2</v>
      </c>
      <c r="P432" s="117">
        <f t="shared" si="283"/>
        <v>0</v>
      </c>
      <c r="Q432" s="117">
        <f t="shared" si="284"/>
        <v>0</v>
      </c>
      <c r="R432" s="117">
        <f t="shared" si="285"/>
        <v>2.725E-2</v>
      </c>
      <c r="S432" s="116">
        <f t="shared" si="286"/>
        <v>0</v>
      </c>
      <c r="T432" s="116">
        <f t="shared" si="287"/>
        <v>14.010000000000002</v>
      </c>
      <c r="U432" s="116">
        <f t="shared" si="288"/>
        <v>16.399999999999999</v>
      </c>
      <c r="V432" s="118">
        <f t="shared" si="289"/>
        <v>0</v>
      </c>
      <c r="W432" s="118">
        <f t="shared" si="303"/>
        <v>0</v>
      </c>
      <c r="X432" s="118">
        <f t="shared" si="304"/>
        <v>0</v>
      </c>
      <c r="Y432" s="118">
        <f t="shared" si="305"/>
        <v>0</v>
      </c>
      <c r="Z432" s="118">
        <f t="shared" si="306"/>
        <v>0</v>
      </c>
      <c r="AA432" s="119">
        <v>0</v>
      </c>
      <c r="AB432" s="120">
        <f t="shared" si="290"/>
        <v>0</v>
      </c>
      <c r="AC432" s="118">
        <f t="shared" si="291"/>
        <v>0</v>
      </c>
      <c r="AD432" s="118">
        <f t="shared" si="307"/>
        <v>0</v>
      </c>
      <c r="AE432" s="118">
        <f t="shared" si="292"/>
        <v>0</v>
      </c>
      <c r="AF432" s="121">
        <f t="shared" si="308"/>
        <v>1</v>
      </c>
      <c r="AG432" s="122">
        <f t="shared" si="293"/>
        <v>0</v>
      </c>
      <c r="AH432" s="122">
        <f t="shared" si="294"/>
        <v>0</v>
      </c>
      <c r="AI432" s="122">
        <f t="shared" si="295"/>
        <v>0</v>
      </c>
      <c r="AJ432" s="122">
        <f t="shared" si="296"/>
        <v>0</v>
      </c>
      <c r="AK432" s="122">
        <f t="shared" si="297"/>
        <v>0</v>
      </c>
      <c r="AL432" s="122">
        <f t="shared" si="298"/>
        <v>0</v>
      </c>
      <c r="AM432" s="123">
        <f t="shared" si="299"/>
        <v>0</v>
      </c>
      <c r="AN432" s="123">
        <f t="shared" si="318"/>
        <v>0</v>
      </c>
      <c r="AO432" s="124">
        <f t="shared" si="300"/>
        <v>0</v>
      </c>
      <c r="AP432" s="125">
        <f t="shared" si="310"/>
        <v>0</v>
      </c>
      <c r="AU432" s="109">
        <f>IF(BA432=1,IF(AU431=MiscData!$F$1,EOMONTH(AU431,-11),EOMONTH(AU431,1)),AU431)</f>
        <v>42369</v>
      </c>
      <c r="AV432" s="108" t="str">
        <f t="shared" si="311"/>
        <v>20140101LGCME567</v>
      </c>
      <c r="AW432" s="126" t="str">
        <f t="shared" si="312"/>
        <v>20140101PSS</v>
      </c>
      <c r="AX432">
        <f>MiscData!$X$5</f>
        <v>20140101</v>
      </c>
      <c r="BA432" s="98">
        <f>IF(BA431+1&gt;MiscData!$Z$42,1,BA431+1)</f>
        <v>11</v>
      </c>
      <c r="BB432" s="98" t="str">
        <f>VLOOKUP(BA432,MiscData!$Z$5:$AB$46,2,FALSE)</f>
        <v>LGCME567</v>
      </c>
      <c r="BC432" s="98" t="str">
        <f>VLOOKUP(BA432,MiscData!$Z$5:$AB$46,3,FALSE)</f>
        <v>PSS</v>
      </c>
    </row>
    <row r="433" spans="1:55">
      <c r="A433" s="108">
        <v>410</v>
      </c>
      <c r="B433" s="109" t="str">
        <f t="shared" si="301"/>
        <v>Dec 2015</v>
      </c>
      <c r="C433" s="110" t="str">
        <f t="shared" si="313"/>
        <v>TODS</v>
      </c>
      <c r="D433" s="110" t="str">
        <f t="shared" si="302"/>
        <v>LGCME591</v>
      </c>
      <c r="E433" s="111">
        <f t="shared" si="274"/>
        <v>221</v>
      </c>
      <c r="F433" s="112">
        <v>0</v>
      </c>
      <c r="G433" s="111">
        <f t="shared" si="275"/>
        <v>0</v>
      </c>
      <c r="H433" s="111">
        <f t="shared" si="276"/>
        <v>0</v>
      </c>
      <c r="I433" s="111">
        <f t="shared" si="277"/>
        <v>0</v>
      </c>
      <c r="J433" s="111">
        <f t="shared" si="278"/>
        <v>63933591</v>
      </c>
      <c r="K433" s="113">
        <f t="shared" si="279"/>
        <v>139785</v>
      </c>
      <c r="L433" s="113">
        <f t="shared" si="280"/>
        <v>130277</v>
      </c>
      <c r="M433" s="113">
        <f t="shared" si="281"/>
        <v>127194</v>
      </c>
      <c r="N433" s="116">
        <f t="shared" si="282"/>
        <v>200</v>
      </c>
      <c r="O433" s="117">
        <f t="shared" si="317"/>
        <v>3.9899999999999998E-2</v>
      </c>
      <c r="P433" s="117">
        <f t="shared" si="283"/>
        <v>0</v>
      </c>
      <c r="Q433" s="117">
        <f t="shared" si="284"/>
        <v>0</v>
      </c>
      <c r="R433" s="117">
        <f t="shared" si="285"/>
        <v>2.725E-2</v>
      </c>
      <c r="S433" s="116">
        <f t="shared" si="286"/>
        <v>4</v>
      </c>
      <c r="T433" s="116">
        <f t="shared" si="287"/>
        <v>4.5100000000000007</v>
      </c>
      <c r="U433" s="116">
        <f t="shared" si="288"/>
        <v>6.11</v>
      </c>
      <c r="V433" s="118">
        <f t="shared" si="289"/>
        <v>44200</v>
      </c>
      <c r="W433" s="118">
        <f t="shared" si="303"/>
        <v>2550950.2799999998</v>
      </c>
      <c r="X433" s="118">
        <f t="shared" si="304"/>
        <v>559140</v>
      </c>
      <c r="Y433" s="118">
        <f t="shared" si="305"/>
        <v>587549.27</v>
      </c>
      <c r="Z433" s="118">
        <f t="shared" si="306"/>
        <v>777155.34</v>
      </c>
      <c r="AA433" s="119">
        <v>0</v>
      </c>
      <c r="AB433" s="120">
        <f t="shared" si="290"/>
        <v>0</v>
      </c>
      <c r="AC433" s="118">
        <f t="shared" si="291"/>
        <v>1923844.6099999999</v>
      </c>
      <c r="AD433" s="118">
        <f t="shared" si="307"/>
        <v>4518994.8899999997</v>
      </c>
      <c r="AE433" s="118">
        <f t="shared" si="292"/>
        <v>4518992</v>
      </c>
      <c r="AF433" s="121">
        <f t="shared" si="308"/>
        <v>0.99999899999999997</v>
      </c>
      <c r="AG433" s="122">
        <f t="shared" si="293"/>
        <v>-50147</v>
      </c>
      <c r="AH433" s="122">
        <f t="shared" si="294"/>
        <v>143215</v>
      </c>
      <c r="AI433" s="122">
        <f t="shared" si="295"/>
        <v>592410</v>
      </c>
      <c r="AJ433" s="122">
        <f t="shared" si="296"/>
        <v>0</v>
      </c>
      <c r="AK433" s="122">
        <f t="shared" si="297"/>
        <v>0</v>
      </c>
      <c r="AL433" s="122">
        <f t="shared" si="298"/>
        <v>5204470</v>
      </c>
      <c r="AM433" s="123">
        <f t="shared" si="299"/>
        <v>5204472.8899999997</v>
      </c>
      <c r="AN433" s="123">
        <f t="shared" si="318"/>
        <v>-2.8899999996647239</v>
      </c>
      <c r="AO433" s="124">
        <f t="shared" si="300"/>
        <v>1742190.35</v>
      </c>
      <c r="AP433" s="125">
        <f t="shared" si="310"/>
        <v>808759.9299999997</v>
      </c>
      <c r="AU433" s="109">
        <f>IF(BA433=1,IF(AU432=MiscData!$F$1,EOMONTH(AU432,-11),EOMONTH(AU432,1)),AU432)</f>
        <v>42369</v>
      </c>
      <c r="AV433" s="108" t="str">
        <f t="shared" si="311"/>
        <v>20140101LGCME591</v>
      </c>
      <c r="AW433" s="126" t="str">
        <f t="shared" si="312"/>
        <v>20140101TODS</v>
      </c>
      <c r="AX433">
        <f>MiscData!$X$5</f>
        <v>20140101</v>
      </c>
      <c r="BA433" s="98">
        <f>IF(BA432+1&gt;MiscData!$Z$42,1,BA432+1)</f>
        <v>12</v>
      </c>
      <c r="BB433" s="98" t="str">
        <f>VLOOKUP(BA433,MiscData!$Z$5:$AB$46,2,FALSE)</f>
        <v>LGCME591</v>
      </c>
      <c r="BC433" s="98" t="str">
        <f>VLOOKUP(BA433,MiscData!$Z$5:$AB$46,3,FALSE)</f>
        <v>TODS</v>
      </c>
    </row>
    <row r="434" spans="1:55">
      <c r="A434" s="108">
        <v>411</v>
      </c>
      <c r="B434" s="109" t="str">
        <f t="shared" si="301"/>
        <v>Dec 2015</v>
      </c>
      <c r="C434" s="110" t="str">
        <f t="shared" si="313"/>
        <v>CTODP</v>
      </c>
      <c r="D434" s="110" t="str">
        <f t="shared" si="302"/>
        <v>LGCME593</v>
      </c>
      <c r="E434" s="111">
        <f t="shared" si="274"/>
        <v>39</v>
      </c>
      <c r="F434" s="112">
        <v>0</v>
      </c>
      <c r="G434" s="111">
        <f t="shared" si="275"/>
        <v>0</v>
      </c>
      <c r="H434" s="111">
        <f t="shared" si="276"/>
        <v>0</v>
      </c>
      <c r="I434" s="111">
        <f t="shared" si="277"/>
        <v>0</v>
      </c>
      <c r="J434" s="111">
        <f t="shared" si="278"/>
        <v>29882690</v>
      </c>
      <c r="K434" s="113">
        <f t="shared" si="279"/>
        <v>72450</v>
      </c>
      <c r="L434" s="113">
        <f t="shared" si="280"/>
        <v>66090</v>
      </c>
      <c r="M434" s="113">
        <f t="shared" si="281"/>
        <v>62924</v>
      </c>
      <c r="N434" s="116">
        <f t="shared" si="282"/>
        <v>300</v>
      </c>
      <c r="O434" s="117">
        <f t="shared" si="317"/>
        <v>3.8100000000000002E-2</v>
      </c>
      <c r="P434" s="117">
        <f t="shared" si="283"/>
        <v>0</v>
      </c>
      <c r="Q434" s="117">
        <f t="shared" si="284"/>
        <v>0</v>
      </c>
      <c r="R434" s="117">
        <f t="shared" si="285"/>
        <v>2.725E-2</v>
      </c>
      <c r="S434" s="116">
        <f t="shared" si="286"/>
        <v>3.9800000000000004</v>
      </c>
      <c r="T434" s="116">
        <f t="shared" si="287"/>
        <v>4.13</v>
      </c>
      <c r="U434" s="116">
        <f t="shared" si="288"/>
        <v>5.83</v>
      </c>
      <c r="V434" s="118">
        <f t="shared" si="289"/>
        <v>11700</v>
      </c>
      <c r="W434" s="118">
        <f t="shared" si="303"/>
        <v>1138530.49</v>
      </c>
      <c r="X434" s="118">
        <f t="shared" si="304"/>
        <v>288351</v>
      </c>
      <c r="Y434" s="118">
        <f t="shared" si="305"/>
        <v>272951.7</v>
      </c>
      <c r="Z434" s="118">
        <f t="shared" si="306"/>
        <v>366846.92</v>
      </c>
      <c r="AA434" s="119">
        <v>0</v>
      </c>
      <c r="AB434" s="120">
        <f t="shared" si="290"/>
        <v>0</v>
      </c>
      <c r="AC434" s="118">
        <f t="shared" si="291"/>
        <v>928149.61999999988</v>
      </c>
      <c r="AD434" s="118">
        <f t="shared" si="307"/>
        <v>2078380.1099999999</v>
      </c>
      <c r="AE434" s="118">
        <f t="shared" si="292"/>
        <v>2078377</v>
      </c>
      <c r="AF434" s="121">
        <f t="shared" si="308"/>
        <v>0.99999899999999997</v>
      </c>
      <c r="AG434" s="122">
        <f t="shared" si="293"/>
        <v>-23439</v>
      </c>
      <c r="AH434" s="122">
        <f t="shared" si="294"/>
        <v>66939</v>
      </c>
      <c r="AI434" s="122">
        <f t="shared" si="295"/>
        <v>276894</v>
      </c>
      <c r="AJ434" s="122">
        <f t="shared" si="296"/>
        <v>0</v>
      </c>
      <c r="AK434" s="122">
        <f t="shared" si="297"/>
        <v>0</v>
      </c>
      <c r="AL434" s="122">
        <f t="shared" si="298"/>
        <v>2398771</v>
      </c>
      <c r="AM434" s="123">
        <f t="shared" si="299"/>
        <v>2398774.11</v>
      </c>
      <c r="AN434" s="123">
        <f>ROUND(AL434-AM434,2)</f>
        <v>-3.11</v>
      </c>
      <c r="AO434" s="124">
        <f t="shared" si="300"/>
        <v>814303.3</v>
      </c>
      <c r="AP434" s="125">
        <f t="shared" si="310"/>
        <v>324227.18999999994</v>
      </c>
      <c r="AU434" s="109">
        <f>IF(BA434=1,IF(AU433=MiscData!$F$1,EOMONTH(AU433,-11),EOMONTH(AU433,1)),AU433)</f>
        <v>42369</v>
      </c>
      <c r="AV434" s="108" t="str">
        <f t="shared" si="311"/>
        <v>20140101LGCME593</v>
      </c>
      <c r="AW434" s="126" t="str">
        <f t="shared" si="312"/>
        <v>20140101CTODP</v>
      </c>
      <c r="AX434">
        <f>MiscData!$X$5</f>
        <v>20140101</v>
      </c>
      <c r="BA434" s="98">
        <f>IF(BA433+1&gt;MiscData!$Z$42,1,BA433+1)</f>
        <v>13</v>
      </c>
      <c r="BB434" s="98" t="str">
        <f>VLOOKUP(BA434,MiscData!$Z$5:$AB$46,2,FALSE)</f>
        <v>LGCME593</v>
      </c>
      <c r="BC434" s="98" t="str">
        <f>VLOOKUP(BA434,MiscData!$Z$5:$AB$46,3,FALSE)</f>
        <v>CTODP</v>
      </c>
    </row>
    <row r="435" spans="1:55">
      <c r="A435" s="108">
        <v>412</v>
      </c>
      <c r="B435" s="109" t="str">
        <f t="shared" si="301"/>
        <v>Dec 2015</v>
      </c>
      <c r="C435" s="110" t="str">
        <f t="shared" si="313"/>
        <v>GS3</v>
      </c>
      <c r="D435" s="110" t="str">
        <f t="shared" si="302"/>
        <v>LGCME650</v>
      </c>
      <c r="E435" s="111">
        <f t="shared" si="274"/>
        <v>0</v>
      </c>
      <c r="F435" s="112">
        <v>0</v>
      </c>
      <c r="G435" s="111">
        <f t="shared" si="275"/>
        <v>0</v>
      </c>
      <c r="H435" s="111">
        <f t="shared" si="276"/>
        <v>0</v>
      </c>
      <c r="I435" s="111">
        <f t="shared" si="277"/>
        <v>0</v>
      </c>
      <c r="J435" s="111">
        <f t="shared" si="278"/>
        <v>0</v>
      </c>
      <c r="K435" s="113">
        <f t="shared" si="279"/>
        <v>0</v>
      </c>
      <c r="L435" s="113">
        <f t="shared" si="280"/>
        <v>0</v>
      </c>
      <c r="M435" s="113">
        <f t="shared" si="281"/>
        <v>0</v>
      </c>
      <c r="N435" s="116">
        <f t="shared" si="282"/>
        <v>35</v>
      </c>
      <c r="O435" s="117">
        <f t="shared" si="317"/>
        <v>9.1340000000000005E-2</v>
      </c>
      <c r="P435" s="117">
        <f t="shared" si="283"/>
        <v>0</v>
      </c>
      <c r="Q435" s="117">
        <f t="shared" si="284"/>
        <v>0</v>
      </c>
      <c r="R435" s="117">
        <f t="shared" si="285"/>
        <v>2.725E-2</v>
      </c>
      <c r="S435" s="116">
        <f t="shared" si="286"/>
        <v>0</v>
      </c>
      <c r="T435" s="116">
        <f t="shared" si="287"/>
        <v>0</v>
      </c>
      <c r="U435" s="116">
        <f t="shared" si="288"/>
        <v>0</v>
      </c>
      <c r="V435" s="118">
        <f t="shared" si="289"/>
        <v>0</v>
      </c>
      <c r="W435" s="118">
        <f t="shared" si="303"/>
        <v>0</v>
      </c>
      <c r="X435" s="118">
        <f t="shared" si="304"/>
        <v>0</v>
      </c>
      <c r="Y435" s="118">
        <f t="shared" si="305"/>
        <v>0</v>
      </c>
      <c r="Z435" s="118">
        <f t="shared" si="306"/>
        <v>0</v>
      </c>
      <c r="AA435" s="119">
        <v>0</v>
      </c>
      <c r="AB435" s="120">
        <f t="shared" si="290"/>
        <v>0</v>
      </c>
      <c r="AC435" s="118">
        <f t="shared" si="291"/>
        <v>0</v>
      </c>
      <c r="AD435" s="118">
        <f t="shared" si="307"/>
        <v>0</v>
      </c>
      <c r="AE435" s="118">
        <f t="shared" si="292"/>
        <v>0</v>
      </c>
      <c r="AF435" s="121">
        <f t="shared" si="308"/>
        <v>1</v>
      </c>
      <c r="AG435" s="122">
        <f t="shared" si="293"/>
        <v>0</v>
      </c>
      <c r="AH435" s="122">
        <f t="shared" si="294"/>
        <v>0</v>
      </c>
      <c r="AI435" s="122">
        <f t="shared" si="295"/>
        <v>0</v>
      </c>
      <c r="AJ435" s="122">
        <f t="shared" si="296"/>
        <v>0</v>
      </c>
      <c r="AK435" s="122">
        <f t="shared" si="297"/>
        <v>0</v>
      </c>
      <c r="AL435" s="122">
        <f t="shared" si="298"/>
        <v>0</v>
      </c>
      <c r="AM435" s="123">
        <f t="shared" si="299"/>
        <v>0</v>
      </c>
      <c r="AN435" s="123">
        <f t="shared" si="318"/>
        <v>0</v>
      </c>
      <c r="AO435" s="124">
        <f t="shared" si="300"/>
        <v>0</v>
      </c>
      <c r="AP435" s="125">
        <f t="shared" si="310"/>
        <v>0</v>
      </c>
      <c r="AU435" s="109">
        <f>IF(BA435=1,IF(AU434=MiscData!$F$1,EOMONTH(AU434,-11),EOMONTH(AU434,1)),AU434)</f>
        <v>42369</v>
      </c>
      <c r="AV435" s="108" t="str">
        <f t="shared" si="311"/>
        <v>20140101LGCME650</v>
      </c>
      <c r="AW435" s="126" t="str">
        <f t="shared" si="312"/>
        <v>20140101GS3</v>
      </c>
      <c r="AX435">
        <f>MiscData!$X$5</f>
        <v>20140101</v>
      </c>
      <c r="BA435" s="98">
        <f>IF(BA434+1&gt;MiscData!$Z$42,1,BA434+1)</f>
        <v>14</v>
      </c>
      <c r="BB435" s="98" t="str">
        <f>VLOOKUP(BA435,MiscData!$Z$5:$AB$46,2,FALSE)</f>
        <v>LGCME650</v>
      </c>
      <c r="BC435" s="98" t="str">
        <f>VLOOKUP(BA435,MiscData!$Z$5:$AB$46,3,FALSE)</f>
        <v>GS3</v>
      </c>
    </row>
    <row r="436" spans="1:55">
      <c r="A436" s="108">
        <v>413</v>
      </c>
      <c r="B436" s="109" t="str">
        <f t="shared" si="301"/>
        <v>Dec 2015</v>
      </c>
      <c r="C436" s="110" t="str">
        <f t="shared" si="313"/>
        <v>GS3</v>
      </c>
      <c r="D436" s="110" t="str">
        <f t="shared" si="302"/>
        <v>LGCME651</v>
      </c>
      <c r="E436" s="111">
        <f t="shared" si="274"/>
        <v>16380</v>
      </c>
      <c r="F436" s="112">
        <v>0</v>
      </c>
      <c r="G436" s="111">
        <f t="shared" si="275"/>
        <v>0</v>
      </c>
      <c r="H436" s="111">
        <f t="shared" si="276"/>
        <v>0</v>
      </c>
      <c r="I436" s="111">
        <f t="shared" si="277"/>
        <v>0</v>
      </c>
      <c r="J436" s="111">
        <f t="shared" si="278"/>
        <v>78915468</v>
      </c>
      <c r="K436" s="113">
        <f t="shared" si="279"/>
        <v>192223</v>
      </c>
      <c r="L436" s="113">
        <f t="shared" si="280"/>
        <v>0</v>
      </c>
      <c r="M436" s="113">
        <f t="shared" si="281"/>
        <v>0</v>
      </c>
      <c r="N436" s="116">
        <f t="shared" si="282"/>
        <v>35</v>
      </c>
      <c r="O436" s="117">
        <f t="shared" si="317"/>
        <v>9.1340000000000005E-2</v>
      </c>
      <c r="P436" s="117">
        <f t="shared" si="283"/>
        <v>0</v>
      </c>
      <c r="Q436" s="117">
        <f t="shared" si="284"/>
        <v>0</v>
      </c>
      <c r="R436" s="117">
        <f t="shared" si="285"/>
        <v>2.725E-2</v>
      </c>
      <c r="S436" s="116">
        <f t="shared" si="286"/>
        <v>0</v>
      </c>
      <c r="T436" s="116">
        <f t="shared" si="287"/>
        <v>0</v>
      </c>
      <c r="U436" s="116">
        <f t="shared" si="288"/>
        <v>0</v>
      </c>
      <c r="V436" s="118">
        <f t="shared" si="289"/>
        <v>573300</v>
      </c>
      <c r="W436" s="118">
        <f t="shared" si="303"/>
        <v>7208138.8499999996</v>
      </c>
      <c r="X436" s="118">
        <f t="shared" si="304"/>
        <v>0</v>
      </c>
      <c r="Y436" s="118">
        <f t="shared" si="305"/>
        <v>0</v>
      </c>
      <c r="Z436" s="118">
        <f t="shared" si="306"/>
        <v>0</v>
      </c>
      <c r="AA436" s="119">
        <v>0</v>
      </c>
      <c r="AB436" s="120">
        <f t="shared" si="290"/>
        <v>0</v>
      </c>
      <c r="AC436" s="118">
        <f t="shared" si="291"/>
        <v>0</v>
      </c>
      <c r="AD436" s="118">
        <f t="shared" si="307"/>
        <v>7781438.8499999996</v>
      </c>
      <c r="AE436" s="118">
        <f t="shared" si="292"/>
        <v>7781422</v>
      </c>
      <c r="AF436" s="121">
        <f t="shared" si="308"/>
        <v>0.99999800000000005</v>
      </c>
      <c r="AG436" s="122">
        <f t="shared" si="293"/>
        <v>-61898</v>
      </c>
      <c r="AH436" s="122">
        <f t="shared" si="294"/>
        <v>176775</v>
      </c>
      <c r="AI436" s="122">
        <f t="shared" si="295"/>
        <v>731232</v>
      </c>
      <c r="AJ436" s="122">
        <f t="shared" si="296"/>
        <v>0</v>
      </c>
      <c r="AK436" s="122">
        <f t="shared" si="297"/>
        <v>0</v>
      </c>
      <c r="AL436" s="122">
        <f t="shared" si="298"/>
        <v>8627531</v>
      </c>
      <c r="AM436" s="123">
        <f t="shared" si="299"/>
        <v>8627547.8499999996</v>
      </c>
      <c r="AN436" s="123">
        <f t="shared" si="318"/>
        <v>-16.849999999627471</v>
      </c>
      <c r="AO436" s="124">
        <f t="shared" si="300"/>
        <v>2150446.5</v>
      </c>
      <c r="AP436" s="125">
        <f t="shared" si="310"/>
        <v>5057692.3499999996</v>
      </c>
      <c r="AU436" s="109">
        <f>IF(BA436=1,IF(AU435=MiscData!$F$1,EOMONTH(AU435,-11),EOMONTH(AU435,1)),AU435)</f>
        <v>42369</v>
      </c>
      <c r="AV436" s="108" t="str">
        <f t="shared" si="311"/>
        <v>20140101LGCME651</v>
      </c>
      <c r="AW436" s="126" t="str">
        <f t="shared" si="312"/>
        <v>20140101GS3</v>
      </c>
      <c r="AX436">
        <f>MiscData!$X$5</f>
        <v>20140101</v>
      </c>
      <c r="BA436" s="98">
        <f>IF(BA435+1&gt;MiscData!$Z$42,1,BA435+1)</f>
        <v>15</v>
      </c>
      <c r="BB436" s="98" t="str">
        <f>VLOOKUP(BA436,MiscData!$Z$5:$AB$46,2,FALSE)</f>
        <v>LGCME651</v>
      </c>
      <c r="BC436" s="98" t="str">
        <f>VLOOKUP(BA436,MiscData!$Z$5:$AB$46,3,FALSE)</f>
        <v>GS3</v>
      </c>
    </row>
    <row r="437" spans="1:55">
      <c r="A437" s="108">
        <v>414</v>
      </c>
      <c r="B437" s="109" t="str">
        <f t="shared" si="301"/>
        <v>Dec 2015</v>
      </c>
      <c r="C437" s="110" t="str">
        <f t="shared" si="313"/>
        <v>GS3</v>
      </c>
      <c r="D437" s="110" t="str">
        <f t="shared" si="302"/>
        <v>LGCME652</v>
      </c>
      <c r="E437" s="111">
        <f t="shared" si="274"/>
        <v>0</v>
      </c>
      <c r="F437" s="112">
        <v>0</v>
      </c>
      <c r="G437" s="111">
        <f t="shared" si="275"/>
        <v>0</v>
      </c>
      <c r="H437" s="111">
        <f t="shared" si="276"/>
        <v>0</v>
      </c>
      <c r="I437" s="111">
        <f t="shared" si="277"/>
        <v>0</v>
      </c>
      <c r="J437" s="111">
        <f t="shared" si="278"/>
        <v>0</v>
      </c>
      <c r="K437" s="113">
        <f t="shared" si="279"/>
        <v>0</v>
      </c>
      <c r="L437" s="113">
        <f t="shared" si="280"/>
        <v>0</v>
      </c>
      <c r="M437" s="113">
        <f t="shared" si="281"/>
        <v>0</v>
      </c>
      <c r="N437" s="116">
        <f t="shared" si="282"/>
        <v>0</v>
      </c>
      <c r="O437" s="117">
        <f t="shared" si="317"/>
        <v>9.1340000000000005E-2</v>
      </c>
      <c r="P437" s="117">
        <f t="shared" si="283"/>
        <v>0</v>
      </c>
      <c r="Q437" s="117">
        <f t="shared" si="284"/>
        <v>0</v>
      </c>
      <c r="R437" s="117">
        <f t="shared" si="285"/>
        <v>2.725E-2</v>
      </c>
      <c r="S437" s="116">
        <f t="shared" si="286"/>
        <v>0</v>
      </c>
      <c r="T437" s="116">
        <f t="shared" si="287"/>
        <v>0</v>
      </c>
      <c r="U437" s="116">
        <f t="shared" si="288"/>
        <v>0</v>
      </c>
      <c r="V437" s="118">
        <f t="shared" si="289"/>
        <v>0</v>
      </c>
      <c r="W437" s="118">
        <f t="shared" si="303"/>
        <v>0</v>
      </c>
      <c r="X437" s="118">
        <f t="shared" si="304"/>
        <v>0</v>
      </c>
      <c r="Y437" s="118">
        <f t="shared" si="305"/>
        <v>0</v>
      </c>
      <c r="Z437" s="118">
        <f t="shared" si="306"/>
        <v>0</v>
      </c>
      <c r="AA437" s="119">
        <v>0</v>
      </c>
      <c r="AB437" s="120">
        <f t="shared" si="290"/>
        <v>0</v>
      </c>
      <c r="AC437" s="118">
        <f t="shared" si="291"/>
        <v>0</v>
      </c>
      <c r="AD437" s="118">
        <f t="shared" si="307"/>
        <v>0</v>
      </c>
      <c r="AE437" s="118">
        <f t="shared" si="292"/>
        <v>0</v>
      </c>
      <c r="AF437" s="121">
        <f t="shared" si="308"/>
        <v>1</v>
      </c>
      <c r="AG437" s="122">
        <f t="shared" si="293"/>
        <v>0</v>
      </c>
      <c r="AH437" s="122">
        <f t="shared" si="294"/>
        <v>0</v>
      </c>
      <c r="AI437" s="122">
        <f t="shared" si="295"/>
        <v>0</v>
      </c>
      <c r="AJ437" s="122">
        <f t="shared" si="296"/>
        <v>0</v>
      </c>
      <c r="AK437" s="122">
        <f t="shared" si="297"/>
        <v>0</v>
      </c>
      <c r="AL437" s="122">
        <f t="shared" si="298"/>
        <v>0</v>
      </c>
      <c r="AM437" s="123">
        <f t="shared" si="299"/>
        <v>0</v>
      </c>
      <c r="AN437" s="123">
        <f t="shared" ref="AN437:AN443" si="319">ROUND(AL437-AM437,2)</f>
        <v>0</v>
      </c>
      <c r="AO437" s="124">
        <f t="shared" si="300"/>
        <v>0</v>
      </c>
      <c r="AP437" s="125">
        <f t="shared" si="310"/>
        <v>0</v>
      </c>
      <c r="AU437" s="109">
        <f>IF(BA437=1,IF(AU436=MiscData!$F$1,EOMONTH(AU436,-11),EOMONTH(AU436,1)),AU436)</f>
        <v>42369</v>
      </c>
      <c r="AV437" s="108" t="str">
        <f t="shared" si="311"/>
        <v>20140101LGCME652</v>
      </c>
      <c r="AW437" s="126" t="str">
        <f t="shared" si="312"/>
        <v>20140101GS3</v>
      </c>
      <c r="AX437">
        <f>MiscData!$X$5</f>
        <v>20140101</v>
      </c>
      <c r="BA437" s="98">
        <f>IF(BA436+1&gt;MiscData!$Z$42,1,BA436+1)</f>
        <v>16</v>
      </c>
      <c r="BB437" s="98" t="str">
        <f>VLOOKUP(BA437,MiscData!$Z$5:$AB$46,2,FALSE)</f>
        <v>LGCME652</v>
      </c>
      <c r="BC437" s="98" t="str">
        <f>VLOOKUP(BA437,MiscData!$Z$5:$AB$46,3,FALSE)</f>
        <v>GS3</v>
      </c>
    </row>
    <row r="438" spans="1:55">
      <c r="A438" s="108">
        <v>415</v>
      </c>
      <c r="B438" s="109" t="str">
        <f t="shared" si="301"/>
        <v>Dec 2015</v>
      </c>
      <c r="C438" s="110" t="str">
        <f t="shared" si="313"/>
        <v>GS3</v>
      </c>
      <c r="D438" s="110" t="str">
        <f t="shared" si="302"/>
        <v>LGCME657</v>
      </c>
      <c r="E438" s="111">
        <f t="shared" si="274"/>
        <v>0</v>
      </c>
      <c r="F438" s="112">
        <v>0</v>
      </c>
      <c r="G438" s="111">
        <f t="shared" si="275"/>
        <v>0</v>
      </c>
      <c r="H438" s="111">
        <f t="shared" si="276"/>
        <v>0</v>
      </c>
      <c r="I438" s="111">
        <f t="shared" si="277"/>
        <v>0</v>
      </c>
      <c r="J438" s="111">
        <f t="shared" si="278"/>
        <v>0</v>
      </c>
      <c r="K438" s="113">
        <f t="shared" si="279"/>
        <v>0</v>
      </c>
      <c r="L438" s="113">
        <f t="shared" si="280"/>
        <v>0</v>
      </c>
      <c r="M438" s="113">
        <f t="shared" si="281"/>
        <v>0</v>
      </c>
      <c r="N438" s="116">
        <f t="shared" si="282"/>
        <v>35</v>
      </c>
      <c r="O438" s="117">
        <f t="shared" si="317"/>
        <v>9.1340000000000005E-2</v>
      </c>
      <c r="P438" s="117">
        <f t="shared" si="283"/>
        <v>0</v>
      </c>
      <c r="Q438" s="117">
        <f t="shared" si="284"/>
        <v>0</v>
      </c>
      <c r="R438" s="117">
        <f t="shared" si="285"/>
        <v>2.725E-2</v>
      </c>
      <c r="S438" s="116">
        <f t="shared" si="286"/>
        <v>0</v>
      </c>
      <c r="T438" s="116">
        <f t="shared" si="287"/>
        <v>0</v>
      </c>
      <c r="U438" s="116">
        <f t="shared" si="288"/>
        <v>0</v>
      </c>
      <c r="V438" s="118">
        <f t="shared" si="289"/>
        <v>0</v>
      </c>
      <c r="W438" s="118">
        <f t="shared" si="303"/>
        <v>0</v>
      </c>
      <c r="X438" s="118">
        <f t="shared" si="304"/>
        <v>0</v>
      </c>
      <c r="Y438" s="118">
        <f t="shared" si="305"/>
        <v>0</v>
      </c>
      <c r="Z438" s="118">
        <f t="shared" si="306"/>
        <v>0</v>
      </c>
      <c r="AA438" s="119">
        <v>0</v>
      </c>
      <c r="AB438" s="120">
        <f t="shared" si="290"/>
        <v>0</v>
      </c>
      <c r="AC438" s="118">
        <f t="shared" si="291"/>
        <v>0</v>
      </c>
      <c r="AD438" s="118">
        <f t="shared" si="307"/>
        <v>0</v>
      </c>
      <c r="AE438" s="118">
        <f t="shared" si="292"/>
        <v>0</v>
      </c>
      <c r="AF438" s="121">
        <f t="shared" si="308"/>
        <v>1</v>
      </c>
      <c r="AG438" s="122">
        <f t="shared" si="293"/>
        <v>0</v>
      </c>
      <c r="AH438" s="122">
        <f t="shared" si="294"/>
        <v>0</v>
      </c>
      <c r="AI438" s="122">
        <f t="shared" si="295"/>
        <v>0</v>
      </c>
      <c r="AJ438" s="122">
        <f t="shared" si="296"/>
        <v>0</v>
      </c>
      <c r="AK438" s="122">
        <f t="shared" si="297"/>
        <v>0</v>
      </c>
      <c r="AL438" s="122">
        <f t="shared" si="298"/>
        <v>0</v>
      </c>
      <c r="AM438" s="123">
        <f t="shared" si="299"/>
        <v>0</v>
      </c>
      <c r="AN438" s="123">
        <f t="shared" si="319"/>
        <v>0</v>
      </c>
      <c r="AO438" s="124">
        <f t="shared" si="300"/>
        <v>0</v>
      </c>
      <c r="AP438" s="125">
        <f t="shared" si="310"/>
        <v>0</v>
      </c>
      <c r="AU438" s="109">
        <f>IF(BA438=1,IF(AU437=MiscData!$F$1,EOMONTH(AU437,-11),EOMONTH(AU437,1)),AU437)</f>
        <v>42369</v>
      </c>
      <c r="AV438" s="108" t="str">
        <f t="shared" si="311"/>
        <v>20140101LGCME657</v>
      </c>
      <c r="AW438" s="126" t="str">
        <f t="shared" si="312"/>
        <v>20140101GS3</v>
      </c>
      <c r="AX438">
        <f>MiscData!$X$5</f>
        <v>20140101</v>
      </c>
      <c r="BA438" s="98">
        <f>IF(BA437+1&gt;MiscData!$Z$42,1,BA437+1)</f>
        <v>17</v>
      </c>
      <c r="BB438" s="98" t="str">
        <f>VLOOKUP(BA438,MiscData!$Z$5:$AB$46,2,FALSE)</f>
        <v>LGCME657</v>
      </c>
      <c r="BC438" s="98" t="str">
        <f>VLOOKUP(BA438,MiscData!$Z$5:$AB$46,3,FALSE)</f>
        <v>GS3</v>
      </c>
    </row>
    <row r="439" spans="1:55">
      <c r="A439" s="108">
        <v>416</v>
      </c>
      <c r="B439" s="109" t="str">
        <f t="shared" si="301"/>
        <v>Dec 2015</v>
      </c>
      <c r="C439" s="110" t="str">
        <f t="shared" si="313"/>
        <v>LWC</v>
      </c>
      <c r="D439" s="110" t="str">
        <f t="shared" si="302"/>
        <v>LGCME671</v>
      </c>
      <c r="E439" s="111">
        <f t="shared" si="274"/>
        <v>2</v>
      </c>
      <c r="F439" s="112">
        <v>0</v>
      </c>
      <c r="G439" s="111">
        <f t="shared" si="275"/>
        <v>0</v>
      </c>
      <c r="H439" s="111">
        <f t="shared" si="276"/>
        <v>0</v>
      </c>
      <c r="I439" s="111">
        <f t="shared" si="277"/>
        <v>0</v>
      </c>
      <c r="J439" s="111">
        <f t="shared" si="278"/>
        <v>4790100</v>
      </c>
      <c r="K439" s="113">
        <f t="shared" si="279"/>
        <v>0</v>
      </c>
      <c r="L439" s="113">
        <f t="shared" si="280"/>
        <v>9472</v>
      </c>
      <c r="M439" s="113">
        <f t="shared" si="281"/>
        <v>0</v>
      </c>
      <c r="N439" s="116">
        <f t="shared" si="282"/>
        <v>0</v>
      </c>
      <c r="O439" s="117">
        <f t="shared" si="317"/>
        <v>3.7019999999999997E-2</v>
      </c>
      <c r="P439" s="117">
        <f t="shared" si="283"/>
        <v>0</v>
      </c>
      <c r="Q439" s="117">
        <f t="shared" si="284"/>
        <v>0</v>
      </c>
      <c r="R439" s="117">
        <f t="shared" si="285"/>
        <v>2.725E-2</v>
      </c>
      <c r="S439" s="116">
        <f t="shared" si="286"/>
        <v>0</v>
      </c>
      <c r="T439" s="116">
        <f t="shared" si="287"/>
        <v>10.35</v>
      </c>
      <c r="U439" s="116">
        <f t="shared" si="288"/>
        <v>10.35</v>
      </c>
      <c r="V439" s="118">
        <f t="shared" si="289"/>
        <v>0</v>
      </c>
      <c r="W439" s="118">
        <f t="shared" si="303"/>
        <v>177329.5</v>
      </c>
      <c r="X439" s="118">
        <f t="shared" si="304"/>
        <v>0</v>
      </c>
      <c r="Y439" s="118">
        <f t="shared" si="305"/>
        <v>98035.199999999997</v>
      </c>
      <c r="Z439" s="118">
        <f t="shared" si="306"/>
        <v>0</v>
      </c>
      <c r="AA439" s="119">
        <v>0</v>
      </c>
      <c r="AB439" s="120">
        <f t="shared" si="290"/>
        <v>0</v>
      </c>
      <c r="AC439" s="118">
        <f t="shared" si="291"/>
        <v>98035.199999999997</v>
      </c>
      <c r="AD439" s="118">
        <f t="shared" si="307"/>
        <v>275364.7</v>
      </c>
      <c r="AE439" s="118">
        <f t="shared" si="292"/>
        <v>275364</v>
      </c>
      <c r="AF439" s="121">
        <f t="shared" si="308"/>
        <v>0.99999700000000002</v>
      </c>
      <c r="AG439" s="122">
        <f t="shared" si="293"/>
        <v>-3757</v>
      </c>
      <c r="AH439" s="122">
        <f t="shared" si="294"/>
        <v>0</v>
      </c>
      <c r="AI439" s="122">
        <f t="shared" si="295"/>
        <v>44385</v>
      </c>
      <c r="AJ439" s="122">
        <f t="shared" si="296"/>
        <v>0</v>
      </c>
      <c r="AK439" s="122">
        <f t="shared" si="297"/>
        <v>0</v>
      </c>
      <c r="AL439" s="122">
        <f t="shared" si="298"/>
        <v>315992</v>
      </c>
      <c r="AM439" s="123">
        <f t="shared" si="299"/>
        <v>315992.7</v>
      </c>
      <c r="AN439" s="123">
        <f t="shared" si="319"/>
        <v>-0.7</v>
      </c>
      <c r="AO439" s="124">
        <f t="shared" si="300"/>
        <v>130530.23</v>
      </c>
      <c r="AP439" s="125">
        <f t="shared" si="310"/>
        <v>46799.270000000004</v>
      </c>
      <c r="AU439" s="109">
        <f>IF(BA439=1,IF(AU438=MiscData!$F$1,EOMONTH(AU438,-11),EOMONTH(AU438,1)),AU438)</f>
        <v>42369</v>
      </c>
      <c r="AV439" s="108" t="str">
        <f t="shared" si="311"/>
        <v>20140101LGCME671</v>
      </c>
      <c r="AW439" s="126" t="str">
        <f t="shared" si="312"/>
        <v>20140101LWC</v>
      </c>
      <c r="AX439">
        <f>MiscData!$X$5</f>
        <v>20140101</v>
      </c>
      <c r="BA439" s="98">
        <f>IF(BA438+1&gt;MiscData!$Z$42,1,BA438+1)</f>
        <v>18</v>
      </c>
      <c r="BB439" s="98" t="str">
        <f>VLOOKUP(BA439,MiscData!$Z$5:$AB$46,2,FALSE)</f>
        <v>LGCME671</v>
      </c>
      <c r="BC439" s="98" t="str">
        <f>VLOOKUP(BA439,MiscData!$Z$5:$AB$46,3,FALSE)</f>
        <v>LWC</v>
      </c>
    </row>
    <row r="440" spans="1:55">
      <c r="A440" s="108">
        <v>417</v>
      </c>
      <c r="B440" s="109" t="str">
        <f t="shared" si="301"/>
        <v>Dec 2015</v>
      </c>
      <c r="C440" s="110" t="str">
        <f t="shared" si="313"/>
        <v>CSR</v>
      </c>
      <c r="D440" s="110" t="str">
        <f t="shared" si="302"/>
        <v>LGCSR760</v>
      </c>
      <c r="E440" s="111">
        <f t="shared" si="274"/>
        <v>0</v>
      </c>
      <c r="F440" s="112">
        <v>0</v>
      </c>
      <c r="G440" s="111">
        <f t="shared" si="275"/>
        <v>0</v>
      </c>
      <c r="H440" s="111">
        <f t="shared" si="276"/>
        <v>0</v>
      </c>
      <c r="I440" s="111">
        <f t="shared" si="277"/>
        <v>0</v>
      </c>
      <c r="J440" s="111">
        <f t="shared" si="278"/>
        <v>0</v>
      </c>
      <c r="K440" s="113">
        <f t="shared" si="279"/>
        <v>0</v>
      </c>
      <c r="L440" s="113">
        <f t="shared" si="280"/>
        <v>0</v>
      </c>
      <c r="M440" s="113">
        <f t="shared" si="281"/>
        <v>0</v>
      </c>
      <c r="N440" s="116">
        <f t="shared" si="282"/>
        <v>0</v>
      </c>
      <c r="O440" s="117">
        <f t="shared" si="317"/>
        <v>0</v>
      </c>
      <c r="P440" s="117">
        <f t="shared" si="283"/>
        <v>0</v>
      </c>
      <c r="Q440" s="117">
        <f t="shared" si="284"/>
        <v>0</v>
      </c>
      <c r="R440" s="117">
        <f t="shared" si="285"/>
        <v>0</v>
      </c>
      <c r="S440" s="116">
        <f t="shared" si="286"/>
        <v>0</v>
      </c>
      <c r="T440" s="116">
        <f t="shared" si="287"/>
        <v>0</v>
      </c>
      <c r="U440" s="116">
        <f t="shared" si="288"/>
        <v>0</v>
      </c>
      <c r="V440" s="118">
        <f t="shared" si="289"/>
        <v>0</v>
      </c>
      <c r="W440" s="118">
        <f t="shared" si="303"/>
        <v>0</v>
      </c>
      <c r="X440" s="118">
        <f t="shared" si="304"/>
        <v>0</v>
      </c>
      <c r="Y440" s="118">
        <f t="shared" si="305"/>
        <v>0</v>
      </c>
      <c r="Z440" s="118">
        <f t="shared" si="306"/>
        <v>0</v>
      </c>
      <c r="AA440" s="119">
        <v>0</v>
      </c>
      <c r="AB440" s="120">
        <f t="shared" si="290"/>
        <v>0</v>
      </c>
      <c r="AC440" s="118">
        <f t="shared" si="291"/>
        <v>0</v>
      </c>
      <c r="AD440" s="118">
        <f t="shared" si="307"/>
        <v>0</v>
      </c>
      <c r="AE440" s="118">
        <f t="shared" si="292"/>
        <v>0</v>
      </c>
      <c r="AF440" s="121">
        <f t="shared" si="308"/>
        <v>1</v>
      </c>
      <c r="AG440" s="122">
        <f t="shared" si="293"/>
        <v>0</v>
      </c>
      <c r="AH440" s="122">
        <f t="shared" si="294"/>
        <v>0</v>
      </c>
      <c r="AI440" s="122">
        <f t="shared" si="295"/>
        <v>0</v>
      </c>
      <c r="AJ440" s="122">
        <f t="shared" si="296"/>
        <v>0</v>
      </c>
      <c r="AK440" s="122">
        <f t="shared" si="297"/>
        <v>-286526</v>
      </c>
      <c r="AL440" s="122">
        <f t="shared" si="298"/>
        <v>-286526</v>
      </c>
      <c r="AM440" s="123">
        <f t="shared" si="299"/>
        <v>-286526</v>
      </c>
      <c r="AN440" s="123">
        <f t="shared" si="319"/>
        <v>0</v>
      </c>
      <c r="AO440" s="124">
        <f t="shared" si="300"/>
        <v>0</v>
      </c>
      <c r="AP440" s="125">
        <f t="shared" si="310"/>
        <v>0</v>
      </c>
      <c r="AU440" s="109">
        <f>IF(BA440=1,IF(AU439=MiscData!$F$1,EOMONTH(AU439,-11),EOMONTH(AU439,1)),AU439)</f>
        <v>42369</v>
      </c>
      <c r="AV440" s="108" t="str">
        <f t="shared" si="311"/>
        <v>20140101LGCSR760</v>
      </c>
      <c r="AW440" s="126" t="str">
        <f t="shared" si="312"/>
        <v>20140101CSR</v>
      </c>
      <c r="AX440">
        <f>MiscData!$X$5</f>
        <v>20140101</v>
      </c>
      <c r="BA440" s="98">
        <f>IF(BA439+1&gt;MiscData!$Z$42,1,BA439+1)</f>
        <v>19</v>
      </c>
      <c r="BB440" s="98" t="str">
        <f>VLOOKUP(BA440,MiscData!$Z$5:$AB$46,2,FALSE)</f>
        <v>LGCSR760</v>
      </c>
      <c r="BC440" s="98" t="str">
        <f>VLOOKUP(BA440,MiscData!$Z$5:$AB$46,3,FALSE)</f>
        <v>CSR</v>
      </c>
    </row>
    <row r="441" spans="1:55">
      <c r="A441" s="108">
        <v>418</v>
      </c>
      <c r="B441" s="109" t="str">
        <f t="shared" si="301"/>
        <v>Dec 2015</v>
      </c>
      <c r="C441" s="110" t="str">
        <f t="shared" si="313"/>
        <v>CSR</v>
      </c>
      <c r="D441" s="110" t="str">
        <f t="shared" si="302"/>
        <v>LGCSR780</v>
      </c>
      <c r="E441" s="111">
        <f t="shared" si="274"/>
        <v>0</v>
      </c>
      <c r="F441" s="112">
        <v>0</v>
      </c>
      <c r="G441" s="111">
        <f t="shared" si="275"/>
        <v>0</v>
      </c>
      <c r="H441" s="111">
        <f t="shared" si="276"/>
        <v>0</v>
      </c>
      <c r="I441" s="111">
        <f t="shared" si="277"/>
        <v>0</v>
      </c>
      <c r="J441" s="111">
        <f t="shared" si="278"/>
        <v>0</v>
      </c>
      <c r="K441" s="113">
        <f t="shared" si="279"/>
        <v>0</v>
      </c>
      <c r="L441" s="113">
        <f t="shared" si="280"/>
        <v>0</v>
      </c>
      <c r="M441" s="113">
        <f t="shared" si="281"/>
        <v>0</v>
      </c>
      <c r="N441" s="116">
        <f t="shared" si="282"/>
        <v>0</v>
      </c>
      <c r="O441" s="117">
        <f t="shared" si="317"/>
        <v>0</v>
      </c>
      <c r="P441" s="117">
        <f t="shared" si="283"/>
        <v>0</v>
      </c>
      <c r="Q441" s="117">
        <f t="shared" si="284"/>
        <v>0</v>
      </c>
      <c r="R441" s="117">
        <f t="shared" si="285"/>
        <v>0</v>
      </c>
      <c r="S441" s="116">
        <f t="shared" si="286"/>
        <v>0</v>
      </c>
      <c r="T441" s="116">
        <f t="shared" si="287"/>
        <v>0</v>
      </c>
      <c r="U441" s="116">
        <f t="shared" si="288"/>
        <v>0</v>
      </c>
      <c r="V441" s="118">
        <f t="shared" si="289"/>
        <v>0</v>
      </c>
      <c r="W441" s="118">
        <f t="shared" si="303"/>
        <v>0</v>
      </c>
      <c r="X441" s="118">
        <f t="shared" si="304"/>
        <v>0</v>
      </c>
      <c r="Y441" s="118">
        <f t="shared" si="305"/>
        <v>0</v>
      </c>
      <c r="Z441" s="118">
        <f t="shared" si="306"/>
        <v>0</v>
      </c>
      <c r="AA441" s="119">
        <v>0</v>
      </c>
      <c r="AB441" s="120">
        <f t="shared" si="290"/>
        <v>0</v>
      </c>
      <c r="AC441" s="118">
        <f t="shared" si="291"/>
        <v>0</v>
      </c>
      <c r="AD441" s="118">
        <f t="shared" si="307"/>
        <v>0</v>
      </c>
      <c r="AE441" s="118">
        <f t="shared" si="292"/>
        <v>0</v>
      </c>
      <c r="AF441" s="121">
        <f t="shared" si="308"/>
        <v>1</v>
      </c>
      <c r="AG441" s="122">
        <f t="shared" si="293"/>
        <v>0</v>
      </c>
      <c r="AH441" s="122">
        <f t="shared" si="294"/>
        <v>0</v>
      </c>
      <c r="AI441" s="122">
        <f t="shared" si="295"/>
        <v>0</v>
      </c>
      <c r="AJ441" s="122">
        <f t="shared" si="296"/>
        <v>0</v>
      </c>
      <c r="AK441" s="122">
        <f t="shared" si="297"/>
        <v>0</v>
      </c>
      <c r="AL441" s="122">
        <f t="shared" si="298"/>
        <v>0</v>
      </c>
      <c r="AM441" s="123">
        <f t="shared" si="299"/>
        <v>0</v>
      </c>
      <c r="AN441" s="123">
        <f t="shared" si="319"/>
        <v>0</v>
      </c>
      <c r="AO441" s="124">
        <f t="shared" si="300"/>
        <v>0</v>
      </c>
      <c r="AP441" s="125">
        <f t="shared" si="310"/>
        <v>0</v>
      </c>
      <c r="AU441" s="109">
        <f>IF(BA441=1,IF(AU440=MiscData!$F$1,EOMONTH(AU440,-11),EOMONTH(AU440,1)),AU440)</f>
        <v>42369</v>
      </c>
      <c r="AV441" s="108" t="str">
        <f t="shared" si="311"/>
        <v>20140101LGCSR780</v>
      </c>
      <c r="AW441" s="126" t="str">
        <f t="shared" si="312"/>
        <v>20140101CSR</v>
      </c>
      <c r="AX441">
        <f>MiscData!$X$5</f>
        <v>20140101</v>
      </c>
      <c r="BA441" s="98">
        <f>IF(BA440+1&gt;MiscData!$Z$42,1,BA440+1)</f>
        <v>20</v>
      </c>
      <c r="BB441" s="98" t="str">
        <f>VLOOKUP(BA441,MiscData!$Z$5:$AB$46,2,FALSE)</f>
        <v>LGCSR780</v>
      </c>
      <c r="BC441" s="98" t="str">
        <f>VLOOKUP(BA441,MiscData!$Z$5:$AB$46,3,FALSE)</f>
        <v>CSR</v>
      </c>
    </row>
    <row r="442" spans="1:55">
      <c r="A442" s="108">
        <v>419</v>
      </c>
      <c r="B442" s="109" t="str">
        <f t="shared" si="301"/>
        <v>Dec 2015</v>
      </c>
      <c r="C442" s="110" t="str">
        <f t="shared" si="313"/>
        <v>FK</v>
      </c>
      <c r="D442" s="110" t="str">
        <f t="shared" si="302"/>
        <v>LGINE599</v>
      </c>
      <c r="E442" s="111">
        <f t="shared" si="274"/>
        <v>1</v>
      </c>
      <c r="F442" s="112">
        <v>0</v>
      </c>
      <c r="G442" s="111">
        <f t="shared" si="275"/>
        <v>0</v>
      </c>
      <c r="H442" s="111">
        <f t="shared" si="276"/>
        <v>0</v>
      </c>
      <c r="I442" s="111">
        <f t="shared" si="277"/>
        <v>0</v>
      </c>
      <c r="J442" s="111">
        <f t="shared" si="278"/>
        <v>9529000</v>
      </c>
      <c r="K442" s="113">
        <f t="shared" si="279"/>
        <v>0</v>
      </c>
      <c r="L442" s="113">
        <f t="shared" si="280"/>
        <v>12334</v>
      </c>
      <c r="M442" s="113">
        <f t="shared" si="281"/>
        <v>0</v>
      </c>
      <c r="N442" s="116">
        <f t="shared" si="282"/>
        <v>0</v>
      </c>
      <c r="O442" s="117">
        <f t="shared" si="317"/>
        <v>3.7400000000000003E-2</v>
      </c>
      <c r="P442" s="117">
        <f t="shared" si="283"/>
        <v>0</v>
      </c>
      <c r="Q442" s="117">
        <f t="shared" si="284"/>
        <v>0</v>
      </c>
      <c r="R442" s="117">
        <f t="shared" si="285"/>
        <v>2.725E-2</v>
      </c>
      <c r="S442" s="116">
        <f t="shared" si="286"/>
        <v>0</v>
      </c>
      <c r="T442" s="116">
        <f t="shared" si="287"/>
        <v>12.72</v>
      </c>
      <c r="U442" s="116">
        <f t="shared" si="288"/>
        <v>15.040000000000001</v>
      </c>
      <c r="V442" s="118">
        <f t="shared" si="289"/>
        <v>0</v>
      </c>
      <c r="W442" s="118">
        <f t="shared" si="303"/>
        <v>356384.6</v>
      </c>
      <c r="X442" s="118">
        <f t="shared" si="304"/>
        <v>0</v>
      </c>
      <c r="Y442" s="118">
        <f t="shared" si="305"/>
        <v>156888.48000000001</v>
      </c>
      <c r="Z442" s="118">
        <f t="shared" si="306"/>
        <v>0</v>
      </c>
      <c r="AA442" s="119">
        <v>0</v>
      </c>
      <c r="AB442" s="120">
        <f t="shared" si="290"/>
        <v>0</v>
      </c>
      <c r="AC442" s="118">
        <f t="shared" si="291"/>
        <v>156888.48000000001</v>
      </c>
      <c r="AD442" s="118">
        <f>SUM(V442:AB442)</f>
        <v>513273.07999999996</v>
      </c>
      <c r="AE442" s="118">
        <f t="shared" si="292"/>
        <v>513273</v>
      </c>
      <c r="AF442" s="121">
        <f t="shared" si="308"/>
        <v>1</v>
      </c>
      <c r="AG442" s="122">
        <f t="shared" si="293"/>
        <v>-7474</v>
      </c>
      <c r="AH442" s="122">
        <f t="shared" si="294"/>
        <v>0</v>
      </c>
      <c r="AI442" s="122">
        <f t="shared" si="295"/>
        <v>88296</v>
      </c>
      <c r="AJ442" s="122">
        <f t="shared" si="296"/>
        <v>0</v>
      </c>
      <c r="AK442" s="122">
        <f t="shared" si="297"/>
        <v>0</v>
      </c>
      <c r="AL442" s="122">
        <f t="shared" si="298"/>
        <v>594095</v>
      </c>
      <c r="AM442" s="123">
        <f t="shared" si="299"/>
        <v>594095.07999999996</v>
      </c>
      <c r="AN442" s="123">
        <f t="shared" si="319"/>
        <v>-0.08</v>
      </c>
      <c r="AO442" s="124">
        <f t="shared" si="300"/>
        <v>259665.25</v>
      </c>
      <c r="AP442" s="125">
        <f t="shared" si="310"/>
        <v>96719.349999999977</v>
      </c>
      <c r="AU442" s="109">
        <f>IF(BA442=1,IF(AU441=MiscData!$F$1,EOMONTH(AU441,-11),EOMONTH(AU441,1)),AU441)</f>
        <v>42369</v>
      </c>
      <c r="AV442" s="108" t="str">
        <f t="shared" si="311"/>
        <v>20140101LGINE599</v>
      </c>
      <c r="AW442" s="126" t="str">
        <f t="shared" si="312"/>
        <v>20140101FK</v>
      </c>
      <c r="AX442">
        <f>MiscData!$X$5</f>
        <v>20140101</v>
      </c>
      <c r="BA442" s="98">
        <f>IF(BA441+1&gt;MiscData!$Z$42,1,BA441+1)</f>
        <v>21</v>
      </c>
      <c r="BB442" s="98" t="str">
        <f>VLOOKUP(BA442,MiscData!$Z$5:$AB$46,2,FALSE)</f>
        <v>LGINE599</v>
      </c>
      <c r="BC442" s="98" t="str">
        <f>VLOOKUP(BA442,MiscData!$Z$5:$AB$46,3,FALSE)</f>
        <v>FK</v>
      </c>
    </row>
    <row r="443" spans="1:55">
      <c r="A443" s="108">
        <v>420</v>
      </c>
      <c r="B443" s="109" t="str">
        <f t="shared" si="301"/>
        <v>Dec 2015</v>
      </c>
      <c r="C443" s="110" t="str">
        <f t="shared" si="313"/>
        <v>RTS</v>
      </c>
      <c r="D443" s="110" t="str">
        <f t="shared" si="302"/>
        <v>LGINE643</v>
      </c>
      <c r="E443" s="111">
        <f t="shared" si="274"/>
        <v>12</v>
      </c>
      <c r="F443" s="112">
        <v>0</v>
      </c>
      <c r="G443" s="111">
        <f t="shared" si="275"/>
        <v>0</v>
      </c>
      <c r="H443" s="111">
        <f t="shared" si="276"/>
        <v>0</v>
      </c>
      <c r="I443" s="111">
        <f t="shared" si="277"/>
        <v>0</v>
      </c>
      <c r="J443" s="111">
        <f t="shared" si="278"/>
        <v>76289433</v>
      </c>
      <c r="K443" s="113">
        <f t="shared" si="279"/>
        <v>155352</v>
      </c>
      <c r="L443" s="113">
        <f t="shared" si="280"/>
        <v>147641</v>
      </c>
      <c r="M443" s="113">
        <f t="shared" si="281"/>
        <v>99948</v>
      </c>
      <c r="N443" s="116">
        <f t="shared" si="282"/>
        <v>750</v>
      </c>
      <c r="O443" s="117">
        <f t="shared" si="317"/>
        <v>3.61E-2</v>
      </c>
      <c r="P443" s="117">
        <f t="shared" si="283"/>
        <v>0</v>
      </c>
      <c r="Q443" s="117">
        <f t="shared" si="284"/>
        <v>0</v>
      </c>
      <c r="R443" s="117">
        <f t="shared" si="285"/>
        <v>2.725E-2</v>
      </c>
      <c r="S443" s="116">
        <f t="shared" si="286"/>
        <v>2.75</v>
      </c>
      <c r="T443" s="116">
        <f t="shared" si="287"/>
        <v>3</v>
      </c>
      <c r="U443" s="116">
        <f t="shared" si="288"/>
        <v>4.5500000000000007</v>
      </c>
      <c r="V443" s="118">
        <f t="shared" si="289"/>
        <v>9000</v>
      </c>
      <c r="W443" s="118">
        <f t="shared" si="303"/>
        <v>2754048.53</v>
      </c>
      <c r="X443" s="118">
        <f t="shared" si="304"/>
        <v>427218</v>
      </c>
      <c r="Y443" s="118">
        <f t="shared" si="305"/>
        <v>442923</v>
      </c>
      <c r="Z443" s="118">
        <f t="shared" si="306"/>
        <v>454763.4</v>
      </c>
      <c r="AA443" s="119">
        <v>0</v>
      </c>
      <c r="AB443" s="120">
        <f t="shared" si="290"/>
        <v>0</v>
      </c>
      <c r="AC443" s="118">
        <f t="shared" si="291"/>
        <v>1324904.3999999999</v>
      </c>
      <c r="AD443" s="118">
        <f t="shared" si="307"/>
        <v>4087952.9299999997</v>
      </c>
      <c r="AE443" s="118">
        <f t="shared" si="292"/>
        <v>4087952</v>
      </c>
      <c r="AF443" s="121">
        <f t="shared" si="308"/>
        <v>1</v>
      </c>
      <c r="AG443" s="122">
        <f t="shared" si="293"/>
        <v>-59838</v>
      </c>
      <c r="AH443" s="122">
        <f t="shared" si="294"/>
        <v>0</v>
      </c>
      <c r="AI443" s="122">
        <f t="shared" si="295"/>
        <v>706900</v>
      </c>
      <c r="AJ443" s="122">
        <f t="shared" si="296"/>
        <v>0</v>
      </c>
      <c r="AK443" s="122">
        <f t="shared" si="297"/>
        <v>0</v>
      </c>
      <c r="AL443" s="122">
        <f t="shared" si="298"/>
        <v>4735014</v>
      </c>
      <c r="AM443" s="123">
        <f t="shared" si="299"/>
        <v>4735014.93</v>
      </c>
      <c r="AN443" s="123">
        <f t="shared" si="319"/>
        <v>-0.93</v>
      </c>
      <c r="AO443" s="124">
        <f t="shared" si="300"/>
        <v>2078887.05</v>
      </c>
      <c r="AP443" s="125">
        <f t="shared" si="310"/>
        <v>675161.47999999975</v>
      </c>
      <c r="AU443" s="109">
        <f>IF(BA443=1,IF(AU442=MiscData!$F$1,EOMONTH(AU442,-11),EOMONTH(AU442,1)),AU442)</f>
        <v>42369</v>
      </c>
      <c r="AV443" s="108" t="str">
        <f t="shared" si="311"/>
        <v>20140101LGINE643</v>
      </c>
      <c r="AW443" s="126" t="str">
        <f t="shared" si="312"/>
        <v>20140101RTS</v>
      </c>
      <c r="AX443">
        <f>MiscData!$X$5</f>
        <v>20140101</v>
      </c>
      <c r="BA443" s="98">
        <f>IF(BA442+1&gt;MiscData!$Z$42,1,BA442+1)</f>
        <v>22</v>
      </c>
      <c r="BB443" s="98" t="str">
        <f>VLOOKUP(BA443,MiscData!$Z$5:$AB$46,2,FALSE)</f>
        <v>LGINE643</v>
      </c>
      <c r="BC443" s="98" t="str">
        <f>VLOOKUP(BA443,MiscData!$Z$5:$AB$46,3,FALSE)</f>
        <v>RTS</v>
      </c>
    </row>
    <row r="444" spans="1:55">
      <c r="A444" s="108">
        <v>421</v>
      </c>
      <c r="B444" s="109" t="str">
        <f t="shared" si="301"/>
        <v>Dec 2015</v>
      </c>
      <c r="C444" s="110" t="str">
        <f t="shared" si="313"/>
        <v>PSS</v>
      </c>
      <c r="D444" s="110" t="str">
        <f t="shared" si="302"/>
        <v>LGINE661</v>
      </c>
      <c r="E444" s="111">
        <f t="shared" si="274"/>
        <v>214</v>
      </c>
      <c r="F444" s="112">
        <v>0</v>
      </c>
      <c r="G444" s="111">
        <f t="shared" si="275"/>
        <v>0</v>
      </c>
      <c r="H444" s="111">
        <f t="shared" si="276"/>
        <v>0</v>
      </c>
      <c r="I444" s="111">
        <f t="shared" si="277"/>
        <v>0</v>
      </c>
      <c r="J444" s="111">
        <f t="shared" si="278"/>
        <v>18982755</v>
      </c>
      <c r="K444" s="113">
        <f t="shared" si="279"/>
        <v>0</v>
      </c>
      <c r="L444" s="113">
        <f t="shared" si="280"/>
        <v>59075</v>
      </c>
      <c r="M444" s="113">
        <f t="shared" si="281"/>
        <v>0</v>
      </c>
      <c r="N444" s="116">
        <f t="shared" si="282"/>
        <v>90</v>
      </c>
      <c r="O444" s="117">
        <f t="shared" si="317"/>
        <v>4.0599999999999997E-2</v>
      </c>
      <c r="P444" s="117">
        <f t="shared" si="283"/>
        <v>0</v>
      </c>
      <c r="Q444" s="117">
        <f t="shared" si="284"/>
        <v>0</v>
      </c>
      <c r="R444" s="117">
        <f t="shared" si="285"/>
        <v>2.725E-2</v>
      </c>
      <c r="S444" s="116">
        <f t="shared" si="286"/>
        <v>0</v>
      </c>
      <c r="T444" s="116">
        <f t="shared" si="287"/>
        <v>14.010000000000002</v>
      </c>
      <c r="U444" s="116">
        <f t="shared" si="288"/>
        <v>16.399999999999999</v>
      </c>
      <c r="V444" s="118">
        <f t="shared" si="289"/>
        <v>19260</v>
      </c>
      <c r="W444" s="118">
        <f t="shared" si="303"/>
        <v>770699.85</v>
      </c>
      <c r="X444" s="118">
        <f t="shared" si="304"/>
        <v>0</v>
      </c>
      <c r="Y444" s="118">
        <f t="shared" si="305"/>
        <v>827640.75</v>
      </c>
      <c r="Z444" s="118">
        <f t="shared" si="306"/>
        <v>0</v>
      </c>
      <c r="AA444" s="119">
        <v>0</v>
      </c>
      <c r="AB444" s="120">
        <f t="shared" si="290"/>
        <v>0</v>
      </c>
      <c r="AC444" s="118">
        <f t="shared" si="291"/>
        <v>827640.75</v>
      </c>
      <c r="AD444" s="118">
        <f t="shared" si="307"/>
        <v>1617600.6</v>
      </c>
      <c r="AE444" s="118">
        <f t="shared" si="292"/>
        <v>1617602</v>
      </c>
      <c r="AF444" s="121">
        <f t="shared" si="308"/>
        <v>1.0000009999999999</v>
      </c>
      <c r="AG444" s="122">
        <f t="shared" si="293"/>
        <v>-14889</v>
      </c>
      <c r="AH444" s="122">
        <f t="shared" si="294"/>
        <v>42523</v>
      </c>
      <c r="AI444" s="122">
        <f t="shared" si="295"/>
        <v>175895</v>
      </c>
      <c r="AJ444" s="122">
        <f t="shared" si="296"/>
        <v>0</v>
      </c>
      <c r="AK444" s="122">
        <f t="shared" si="297"/>
        <v>0</v>
      </c>
      <c r="AL444" s="122">
        <f t="shared" si="298"/>
        <v>1821131</v>
      </c>
      <c r="AM444" s="123">
        <f t="shared" si="299"/>
        <v>1821129.6</v>
      </c>
      <c r="AN444" s="123">
        <f t="shared" si="318"/>
        <v>1.3999999999068677</v>
      </c>
      <c r="AO444" s="124">
        <f t="shared" si="300"/>
        <v>517280.07</v>
      </c>
      <c r="AP444" s="125">
        <f t="shared" si="310"/>
        <v>253419.77999999997</v>
      </c>
      <c r="AU444" s="109">
        <f>IF(BA444=1,IF(AU443=MiscData!$F$1,EOMONTH(AU443,-11),EOMONTH(AU443,1)),AU443)</f>
        <v>42369</v>
      </c>
      <c r="AV444" s="108" t="str">
        <f t="shared" si="311"/>
        <v>20140101LGINE661</v>
      </c>
      <c r="AW444" s="126" t="str">
        <f t="shared" si="312"/>
        <v>20140101PSS</v>
      </c>
      <c r="AX444">
        <f>MiscData!$X$5</f>
        <v>20140101</v>
      </c>
      <c r="BA444" s="98">
        <f>IF(BA443+1&gt;MiscData!$Z$42,1,BA443+1)</f>
        <v>23</v>
      </c>
      <c r="BB444" s="98" t="str">
        <f>VLOOKUP(BA444,MiscData!$Z$5:$AB$46,2,FALSE)</f>
        <v>LGINE661</v>
      </c>
      <c r="BC444" s="98" t="str">
        <f>VLOOKUP(BA444,MiscData!$Z$5:$AB$46,3,FALSE)</f>
        <v>PSS</v>
      </c>
    </row>
    <row r="445" spans="1:55">
      <c r="A445" s="108">
        <v>422</v>
      </c>
      <c r="B445" s="109" t="str">
        <f t="shared" si="301"/>
        <v>Dec 2015</v>
      </c>
      <c r="C445" s="110" t="str">
        <f t="shared" si="313"/>
        <v>PSP</v>
      </c>
      <c r="D445" s="110" t="str">
        <f t="shared" si="302"/>
        <v>LGINE663</v>
      </c>
      <c r="E445" s="111">
        <f t="shared" si="274"/>
        <v>21</v>
      </c>
      <c r="F445" s="112">
        <v>0</v>
      </c>
      <c r="G445" s="111">
        <f t="shared" si="275"/>
        <v>0</v>
      </c>
      <c r="H445" s="111">
        <f t="shared" si="276"/>
        <v>0</v>
      </c>
      <c r="I445" s="111">
        <f t="shared" si="277"/>
        <v>0</v>
      </c>
      <c r="J445" s="111">
        <f t="shared" si="278"/>
        <v>1085432</v>
      </c>
      <c r="K445" s="113">
        <f t="shared" si="279"/>
        <v>0</v>
      </c>
      <c r="L445" s="113">
        <f t="shared" si="280"/>
        <v>3901</v>
      </c>
      <c r="M445" s="113">
        <f t="shared" si="281"/>
        <v>0</v>
      </c>
      <c r="N445" s="116">
        <f t="shared" si="282"/>
        <v>170</v>
      </c>
      <c r="O445" s="117">
        <f t="shared" si="317"/>
        <v>3.9260000000000003E-2</v>
      </c>
      <c r="P445" s="117">
        <f t="shared" si="283"/>
        <v>0</v>
      </c>
      <c r="Q445" s="117">
        <f t="shared" si="284"/>
        <v>0</v>
      </c>
      <c r="R445" s="117">
        <f t="shared" si="285"/>
        <v>2.725E-2</v>
      </c>
      <c r="S445" s="116">
        <f t="shared" si="286"/>
        <v>0</v>
      </c>
      <c r="T445" s="116">
        <f t="shared" si="287"/>
        <v>11.660000000000002</v>
      </c>
      <c r="U445" s="116">
        <f t="shared" si="288"/>
        <v>13.950000000000001</v>
      </c>
      <c r="V445" s="118">
        <f t="shared" si="289"/>
        <v>3570</v>
      </c>
      <c r="W445" s="118">
        <f t="shared" si="303"/>
        <v>42614.06</v>
      </c>
      <c r="X445" s="118">
        <f t="shared" si="304"/>
        <v>0</v>
      </c>
      <c r="Y445" s="118">
        <f t="shared" si="305"/>
        <v>45485.66</v>
      </c>
      <c r="Z445" s="118">
        <f t="shared" si="306"/>
        <v>0</v>
      </c>
      <c r="AA445" s="119">
        <v>0</v>
      </c>
      <c r="AB445" s="120">
        <f t="shared" si="290"/>
        <v>0</v>
      </c>
      <c r="AC445" s="118">
        <f t="shared" si="291"/>
        <v>45485.66</v>
      </c>
      <c r="AD445" s="118">
        <f t="shared" si="307"/>
        <v>91669.72</v>
      </c>
      <c r="AE445" s="118">
        <f t="shared" si="292"/>
        <v>91670</v>
      </c>
      <c r="AF445" s="121">
        <f t="shared" si="308"/>
        <v>1.000003</v>
      </c>
      <c r="AG445" s="122">
        <f t="shared" si="293"/>
        <v>-851</v>
      </c>
      <c r="AH445" s="122">
        <f t="shared" si="294"/>
        <v>2431</v>
      </c>
      <c r="AI445" s="122">
        <f t="shared" si="295"/>
        <v>10058</v>
      </c>
      <c r="AJ445" s="122">
        <f t="shared" si="296"/>
        <v>0</v>
      </c>
      <c r="AK445" s="122">
        <f t="shared" si="297"/>
        <v>0</v>
      </c>
      <c r="AL445" s="122">
        <f t="shared" si="298"/>
        <v>103308</v>
      </c>
      <c r="AM445" s="123">
        <f t="shared" si="299"/>
        <v>103307.72</v>
      </c>
      <c r="AN445" s="123">
        <f t="shared" si="318"/>
        <v>0.27999999999883585</v>
      </c>
      <c r="AO445" s="124">
        <f t="shared" si="300"/>
        <v>29578.02</v>
      </c>
      <c r="AP445" s="125">
        <f t="shared" si="310"/>
        <v>13036.039999999997</v>
      </c>
      <c r="AU445" s="109">
        <f>IF(BA445=1,IF(AU444=MiscData!$F$1,EOMONTH(AU444,-11),EOMONTH(AU444,1)),AU444)</f>
        <v>42369</v>
      </c>
      <c r="AV445" s="108" t="str">
        <f t="shared" si="311"/>
        <v>20140101LGINE663</v>
      </c>
      <c r="AW445" s="126" t="str">
        <f t="shared" si="312"/>
        <v>20140101PSP</v>
      </c>
      <c r="AX445">
        <f>MiscData!$X$5</f>
        <v>20140101</v>
      </c>
      <c r="BA445" s="98">
        <f>IF(BA444+1&gt;MiscData!$Z$42,1,BA444+1)</f>
        <v>24</v>
      </c>
      <c r="BB445" s="98" t="str">
        <f>VLOOKUP(BA445,MiscData!$Z$5:$AB$46,2,FALSE)</f>
        <v>LGINE663</v>
      </c>
      <c r="BC445" s="98" t="str">
        <f>VLOOKUP(BA445,MiscData!$Z$5:$AB$46,3,FALSE)</f>
        <v>PSP</v>
      </c>
    </row>
    <row r="446" spans="1:55">
      <c r="A446" s="108">
        <v>423</v>
      </c>
      <c r="B446" s="109" t="str">
        <f t="shared" si="301"/>
        <v>Dec 2015</v>
      </c>
      <c r="C446" s="110" t="str">
        <f t="shared" si="313"/>
        <v>TODS</v>
      </c>
      <c r="D446" s="110" t="str">
        <f t="shared" si="302"/>
        <v>LGINE691</v>
      </c>
      <c r="E446" s="111">
        <f t="shared" si="274"/>
        <v>98</v>
      </c>
      <c r="F446" s="112">
        <v>0</v>
      </c>
      <c r="G446" s="111">
        <f t="shared" si="275"/>
        <v>0</v>
      </c>
      <c r="H446" s="111">
        <f t="shared" si="276"/>
        <v>0</v>
      </c>
      <c r="I446" s="111">
        <f t="shared" si="277"/>
        <v>0</v>
      </c>
      <c r="J446" s="111">
        <f t="shared" si="278"/>
        <v>20700534</v>
      </c>
      <c r="K446" s="113">
        <f t="shared" si="279"/>
        <v>51840</v>
      </c>
      <c r="L446" s="113">
        <f t="shared" si="280"/>
        <v>48096</v>
      </c>
      <c r="M446" s="113">
        <f t="shared" si="281"/>
        <v>46727</v>
      </c>
      <c r="N446" s="116">
        <f t="shared" si="282"/>
        <v>200</v>
      </c>
      <c r="O446" s="117">
        <f t="shared" si="317"/>
        <v>3.9899999999999998E-2</v>
      </c>
      <c r="P446" s="117">
        <f t="shared" si="283"/>
        <v>0</v>
      </c>
      <c r="Q446" s="117">
        <f t="shared" si="284"/>
        <v>0</v>
      </c>
      <c r="R446" s="117">
        <f t="shared" si="285"/>
        <v>2.725E-2</v>
      </c>
      <c r="S446" s="116">
        <f t="shared" si="286"/>
        <v>4</v>
      </c>
      <c r="T446" s="116">
        <f t="shared" si="287"/>
        <v>4.5100000000000007</v>
      </c>
      <c r="U446" s="116">
        <f t="shared" si="288"/>
        <v>6.11</v>
      </c>
      <c r="V446" s="118">
        <f t="shared" si="289"/>
        <v>19600</v>
      </c>
      <c r="W446" s="118">
        <f t="shared" si="303"/>
        <v>825951.31</v>
      </c>
      <c r="X446" s="118">
        <f t="shared" si="304"/>
        <v>207360</v>
      </c>
      <c r="Y446" s="118">
        <f t="shared" si="305"/>
        <v>216912.96</v>
      </c>
      <c r="Z446" s="118">
        <f t="shared" si="306"/>
        <v>285501.96999999997</v>
      </c>
      <c r="AA446" s="119">
        <v>0</v>
      </c>
      <c r="AB446" s="120">
        <f t="shared" si="290"/>
        <v>0</v>
      </c>
      <c r="AC446" s="118">
        <f t="shared" si="291"/>
        <v>709774.92999999993</v>
      </c>
      <c r="AD446" s="118">
        <f t="shared" si="307"/>
        <v>1555326.24</v>
      </c>
      <c r="AE446" s="118">
        <f t="shared" si="292"/>
        <v>1555332</v>
      </c>
      <c r="AF446" s="121">
        <f t="shared" si="308"/>
        <v>1.0000039999999999</v>
      </c>
      <c r="AG446" s="122">
        <f t="shared" si="293"/>
        <v>-16237</v>
      </c>
      <c r="AH446" s="122">
        <f t="shared" si="294"/>
        <v>46370</v>
      </c>
      <c r="AI446" s="122">
        <f t="shared" si="295"/>
        <v>191812</v>
      </c>
      <c r="AJ446" s="122">
        <f t="shared" si="296"/>
        <v>0</v>
      </c>
      <c r="AK446" s="122">
        <f t="shared" si="297"/>
        <v>0</v>
      </c>
      <c r="AL446" s="122">
        <f t="shared" si="298"/>
        <v>1777277</v>
      </c>
      <c r="AM446" s="123">
        <f t="shared" si="299"/>
        <v>1777271.24</v>
      </c>
      <c r="AN446" s="123">
        <f t="shared" si="318"/>
        <v>5.7600000000093132</v>
      </c>
      <c r="AO446" s="124">
        <f t="shared" si="300"/>
        <v>564089.55000000005</v>
      </c>
      <c r="AP446" s="125">
        <f t="shared" si="310"/>
        <v>261861.76000000001</v>
      </c>
      <c r="AU446" s="109">
        <f>IF(BA446=1,IF(AU445=MiscData!$F$1,EOMONTH(AU445,-11),EOMONTH(AU445,1)),AU445)</f>
        <v>42369</v>
      </c>
      <c r="AV446" s="108" t="str">
        <f t="shared" si="311"/>
        <v>20140101LGINE691</v>
      </c>
      <c r="AW446" s="126" t="str">
        <f t="shared" si="312"/>
        <v>20140101TODS</v>
      </c>
      <c r="AX446">
        <f>MiscData!$X$5</f>
        <v>20140101</v>
      </c>
      <c r="BA446" s="98">
        <f>IF(BA445+1&gt;MiscData!$Z$42,1,BA445+1)</f>
        <v>25</v>
      </c>
      <c r="BB446" s="98" t="str">
        <f>VLOOKUP(BA446,MiscData!$Z$5:$AB$46,2,FALSE)</f>
        <v>LGINE691</v>
      </c>
      <c r="BC446" s="98" t="str">
        <f>VLOOKUP(BA446,MiscData!$Z$5:$AB$46,3,FALSE)</f>
        <v>TODS</v>
      </c>
    </row>
    <row r="447" spans="1:55">
      <c r="A447" s="108">
        <v>424</v>
      </c>
      <c r="B447" s="109" t="str">
        <f t="shared" si="301"/>
        <v>Dec 2015</v>
      </c>
      <c r="C447" s="110" t="str">
        <f t="shared" si="313"/>
        <v>ITODP</v>
      </c>
      <c r="D447" s="110" t="str">
        <f t="shared" si="302"/>
        <v>LGINE693</v>
      </c>
      <c r="E447" s="111">
        <f t="shared" si="274"/>
        <v>70</v>
      </c>
      <c r="F447" s="112">
        <v>0</v>
      </c>
      <c r="G447" s="111">
        <f t="shared" si="275"/>
        <v>0</v>
      </c>
      <c r="H447" s="111">
        <f t="shared" si="276"/>
        <v>0</v>
      </c>
      <c r="I447" s="111">
        <f t="shared" si="277"/>
        <v>0</v>
      </c>
      <c r="J447" s="111">
        <f t="shared" si="278"/>
        <v>136872012</v>
      </c>
      <c r="K447" s="113">
        <f t="shared" si="279"/>
        <v>333146</v>
      </c>
      <c r="L447" s="113">
        <f t="shared" si="280"/>
        <v>302451</v>
      </c>
      <c r="M447" s="113">
        <f t="shared" si="281"/>
        <v>298433</v>
      </c>
      <c r="N447" s="116">
        <f t="shared" si="282"/>
        <v>300</v>
      </c>
      <c r="O447" s="117">
        <f t="shared" si="317"/>
        <v>3.5380000000000002E-2</v>
      </c>
      <c r="P447" s="117">
        <f t="shared" si="283"/>
        <v>0</v>
      </c>
      <c r="Q447" s="117">
        <f t="shared" si="284"/>
        <v>0</v>
      </c>
      <c r="R447" s="117">
        <f t="shared" si="285"/>
        <v>2.725E-2</v>
      </c>
      <c r="S447" s="116">
        <f t="shared" si="286"/>
        <v>3.6300000000000003</v>
      </c>
      <c r="T447" s="116">
        <f t="shared" si="287"/>
        <v>3.7900000000000005</v>
      </c>
      <c r="U447" s="116">
        <f t="shared" si="288"/>
        <v>4.63</v>
      </c>
      <c r="V447" s="118">
        <f t="shared" si="289"/>
        <v>21000</v>
      </c>
      <c r="W447" s="118">
        <f t="shared" si="303"/>
        <v>4842531.78</v>
      </c>
      <c r="X447" s="118">
        <f t="shared" si="304"/>
        <v>1209319.98</v>
      </c>
      <c r="Y447" s="118">
        <f t="shared" si="305"/>
        <v>1146289.29</v>
      </c>
      <c r="Z447" s="118">
        <f t="shared" si="306"/>
        <v>1381744.79</v>
      </c>
      <c r="AA447" s="119">
        <v>0</v>
      </c>
      <c r="AB447" s="120">
        <f t="shared" si="290"/>
        <v>0</v>
      </c>
      <c r="AC447" s="118">
        <f t="shared" si="291"/>
        <v>3737354.06</v>
      </c>
      <c r="AD447" s="118">
        <f t="shared" si="307"/>
        <v>8600885.8399999999</v>
      </c>
      <c r="AE447" s="118">
        <f t="shared" si="292"/>
        <v>8600887</v>
      </c>
      <c r="AF447" s="121">
        <f t="shared" si="308"/>
        <v>1</v>
      </c>
      <c r="AG447" s="122">
        <f t="shared" si="293"/>
        <v>-107356</v>
      </c>
      <c r="AH447" s="122">
        <f t="shared" si="294"/>
        <v>306601</v>
      </c>
      <c r="AI447" s="122">
        <f t="shared" si="295"/>
        <v>1268259</v>
      </c>
      <c r="AJ447" s="122">
        <f t="shared" si="296"/>
        <v>0</v>
      </c>
      <c r="AK447" s="122">
        <f t="shared" si="297"/>
        <v>0</v>
      </c>
      <c r="AL447" s="122">
        <f t="shared" si="298"/>
        <v>10068391</v>
      </c>
      <c r="AM447" s="123">
        <f t="shared" si="299"/>
        <v>10068389.84</v>
      </c>
      <c r="AN447" s="123">
        <f t="shared" si="318"/>
        <v>1.1600000001490116</v>
      </c>
      <c r="AO447" s="124">
        <f t="shared" si="300"/>
        <v>3729762.33</v>
      </c>
      <c r="AP447" s="125">
        <f t="shared" si="310"/>
        <v>1112769.4500000002</v>
      </c>
      <c r="AU447" s="109">
        <f>IF(BA447=1,IF(AU434=MiscData!$F$1,EOMONTH(AU434,-11),EOMONTH(AU434,1)),AU434)</f>
        <v>42369</v>
      </c>
      <c r="AV447" s="108" t="str">
        <f t="shared" si="311"/>
        <v>20140101LGINE693</v>
      </c>
      <c r="AW447" s="126" t="str">
        <f t="shared" si="312"/>
        <v>20140101ITODP</v>
      </c>
      <c r="AX447">
        <f>MiscData!$X$5</f>
        <v>20140101</v>
      </c>
      <c r="BA447" s="98">
        <f>IF(BA446+1&gt;MiscData!$Z$42,1,BA446+1)</f>
        <v>26</v>
      </c>
      <c r="BB447" s="98" t="str">
        <f>VLOOKUP(BA447,MiscData!$Z$5:$AB$46,2,FALSE)</f>
        <v>LGINE693</v>
      </c>
      <c r="BC447" s="98" t="str">
        <f>VLOOKUP(BA447,MiscData!$Z$5:$AB$46,3,FALSE)</f>
        <v>ITODP</v>
      </c>
    </row>
    <row r="448" spans="1:55">
      <c r="A448" s="108">
        <v>425</v>
      </c>
      <c r="B448" s="109" t="str">
        <f t="shared" ref="B448" si="320">TEXT(AU448,"mmm yyyy")</f>
        <v>Dec 2015</v>
      </c>
      <c r="C448" s="110" t="str">
        <f t="shared" ref="C448" si="321">BC448</f>
        <v>ITODP</v>
      </c>
      <c r="D448" s="110" t="str">
        <f t="shared" ref="D448" si="322">BB448</f>
        <v>LGINE694</v>
      </c>
      <c r="E448" s="111">
        <f t="shared" si="274"/>
        <v>0</v>
      </c>
      <c r="F448" s="112">
        <v>0</v>
      </c>
      <c r="G448" s="111">
        <f t="shared" si="275"/>
        <v>0</v>
      </c>
      <c r="H448" s="111">
        <f t="shared" si="276"/>
        <v>0</v>
      </c>
      <c r="I448" s="111">
        <f t="shared" si="277"/>
        <v>0</v>
      </c>
      <c r="J448" s="111">
        <f t="shared" si="278"/>
        <v>0</v>
      </c>
      <c r="K448" s="113">
        <f t="shared" si="279"/>
        <v>0</v>
      </c>
      <c r="L448" s="113">
        <f t="shared" si="280"/>
        <v>0</v>
      </c>
      <c r="M448" s="113">
        <f t="shared" si="281"/>
        <v>0</v>
      </c>
      <c r="N448" s="116">
        <f t="shared" ref="N448" si="323">SUMIF(L_Rates_Tariff_Rate_Category,AV448,L_Rates_BSC)</f>
        <v>300</v>
      </c>
      <c r="O448" s="117">
        <f t="shared" si="317"/>
        <v>3.5380000000000002E-2</v>
      </c>
      <c r="P448" s="117">
        <f t="shared" si="283"/>
        <v>0</v>
      </c>
      <c r="Q448" s="117">
        <f t="shared" si="284"/>
        <v>0</v>
      </c>
      <c r="R448" s="117">
        <f t="shared" si="285"/>
        <v>2.725E-2</v>
      </c>
      <c r="S448" s="116">
        <f t="shared" si="286"/>
        <v>3.6300000000000003</v>
      </c>
      <c r="T448" s="116">
        <f t="shared" si="287"/>
        <v>3.7900000000000005</v>
      </c>
      <c r="U448" s="116">
        <f t="shared" si="288"/>
        <v>4.63</v>
      </c>
      <c r="V448" s="118">
        <f t="shared" si="289"/>
        <v>0</v>
      </c>
      <c r="W448" s="118">
        <f t="shared" si="303"/>
        <v>0</v>
      </c>
      <c r="X448" s="118">
        <f t="shared" si="304"/>
        <v>0</v>
      </c>
      <c r="Y448" s="118">
        <f t="shared" si="305"/>
        <v>0</v>
      </c>
      <c r="Z448" s="118">
        <f t="shared" si="306"/>
        <v>0</v>
      </c>
      <c r="AA448" s="119">
        <v>0</v>
      </c>
      <c r="AB448" s="120">
        <f t="shared" si="290"/>
        <v>0</v>
      </c>
      <c r="AC448" s="118">
        <f t="shared" si="291"/>
        <v>0</v>
      </c>
      <c r="AD448" s="118">
        <f t="shared" si="307"/>
        <v>0</v>
      </c>
      <c r="AE448" s="118">
        <f t="shared" ref="AE448" si="324">AL448-SUM(AG448:AK448)</f>
        <v>0</v>
      </c>
      <c r="AF448" s="121">
        <f t="shared" ref="AF448" si="325">IF(AND(AD448=0,AE448=0),1,IF(AD448=0,0,ROUND(AE448/AD448,6)))</f>
        <v>1</v>
      </c>
      <c r="AG448" s="122">
        <f t="shared" si="293"/>
        <v>0</v>
      </c>
      <c r="AH448" s="122">
        <f t="shared" si="294"/>
        <v>0</v>
      </c>
      <c r="AI448" s="122">
        <f t="shared" si="295"/>
        <v>0</v>
      </c>
      <c r="AJ448" s="122">
        <f t="shared" si="296"/>
        <v>0</v>
      </c>
      <c r="AK448" s="122">
        <f t="shared" si="297"/>
        <v>0</v>
      </c>
      <c r="AL448" s="122">
        <f t="shared" si="298"/>
        <v>0</v>
      </c>
      <c r="AM448" s="123">
        <f t="shared" ref="AM448" si="326">SUM(AD448,AG448:AK448)</f>
        <v>0</v>
      </c>
      <c r="AN448" s="123">
        <f t="shared" ref="AN448" si="327">AL448-AM448</f>
        <v>0</v>
      </c>
      <c r="AO448" s="124">
        <f t="shared" si="300"/>
        <v>0</v>
      </c>
      <c r="AP448" s="125">
        <f t="shared" si="310"/>
        <v>0</v>
      </c>
      <c r="AU448" s="109">
        <f>IF(BA448=1,IF(AU435=MiscData!$F$1,EOMONTH(AU435,-11),EOMONTH(AU435,1)),AU435)</f>
        <v>42369</v>
      </c>
      <c r="AV448" s="108" t="str">
        <f t="shared" ref="AV448" si="328">CONCATENATE(AX448&amp;BB448)</f>
        <v>20140101LGINE694</v>
      </c>
      <c r="AW448" s="126" t="str">
        <f t="shared" ref="AW448" si="329">CONCATENATE(AX448&amp;BC448)</f>
        <v>20140101ITODP</v>
      </c>
      <c r="AX448">
        <f>MiscData!$X$5</f>
        <v>20140101</v>
      </c>
      <c r="BA448" s="98">
        <f>IF(BA447+1&gt;MiscData!$Z$42,1,BA447+1)</f>
        <v>27</v>
      </c>
      <c r="BB448" s="98" t="str">
        <f>VLOOKUP(BA448,MiscData!$Z$5:$AB$46,2,FALSE)</f>
        <v>LGINE694</v>
      </c>
      <c r="BC448" s="98" t="str">
        <f>VLOOKUP(BA448,MiscData!$Z$5:$AB$46,3,FALSE)</f>
        <v>ITODP</v>
      </c>
    </row>
    <row r="449" spans="1:55">
      <c r="A449" s="108">
        <v>426</v>
      </c>
      <c r="B449" s="109" t="str">
        <f t="shared" si="301"/>
        <v>Dec 2015</v>
      </c>
      <c r="C449" s="110" t="str">
        <f t="shared" si="313"/>
        <v>LE</v>
      </c>
      <c r="D449" s="110" t="str">
        <f t="shared" si="302"/>
        <v>LGMLE570</v>
      </c>
      <c r="E449" s="111">
        <f t="shared" si="274"/>
        <v>0</v>
      </c>
      <c r="F449" s="112">
        <v>0</v>
      </c>
      <c r="G449" s="111">
        <f t="shared" si="275"/>
        <v>0</v>
      </c>
      <c r="H449" s="111">
        <f t="shared" si="276"/>
        <v>0</v>
      </c>
      <c r="I449" s="111">
        <f t="shared" si="277"/>
        <v>0</v>
      </c>
      <c r="J449" s="111">
        <f t="shared" si="278"/>
        <v>0</v>
      </c>
      <c r="K449" s="113">
        <f t="shared" si="279"/>
        <v>0</v>
      </c>
      <c r="L449" s="113">
        <f t="shared" si="280"/>
        <v>0</v>
      </c>
      <c r="M449" s="113">
        <f t="shared" si="281"/>
        <v>0</v>
      </c>
      <c r="N449" s="116">
        <f t="shared" si="282"/>
        <v>0</v>
      </c>
      <c r="O449" s="117">
        <f t="shared" si="317"/>
        <v>6.4610000000000001E-2</v>
      </c>
      <c r="P449" s="117">
        <f t="shared" si="283"/>
        <v>0</v>
      </c>
      <c r="Q449" s="117">
        <f t="shared" si="284"/>
        <v>0</v>
      </c>
      <c r="R449" s="117">
        <f t="shared" si="285"/>
        <v>2.725E-2</v>
      </c>
      <c r="S449" s="116">
        <f t="shared" si="286"/>
        <v>0</v>
      </c>
      <c r="T449" s="116">
        <f t="shared" si="287"/>
        <v>0</v>
      </c>
      <c r="U449" s="116">
        <f t="shared" si="288"/>
        <v>0</v>
      </c>
      <c r="V449" s="118">
        <f t="shared" si="289"/>
        <v>0</v>
      </c>
      <c r="W449" s="118">
        <f t="shared" si="303"/>
        <v>0</v>
      </c>
      <c r="X449" s="118">
        <f t="shared" si="304"/>
        <v>0</v>
      </c>
      <c r="Y449" s="118">
        <f t="shared" si="305"/>
        <v>0</v>
      </c>
      <c r="Z449" s="118">
        <f t="shared" si="306"/>
        <v>0</v>
      </c>
      <c r="AA449" s="119">
        <v>0</v>
      </c>
      <c r="AB449" s="120">
        <f t="shared" si="290"/>
        <v>0</v>
      </c>
      <c r="AC449" s="118">
        <f t="shared" si="291"/>
        <v>0</v>
      </c>
      <c r="AD449" s="118">
        <f t="shared" si="307"/>
        <v>0</v>
      </c>
      <c r="AE449" s="118">
        <f t="shared" si="292"/>
        <v>0</v>
      </c>
      <c r="AF449" s="121">
        <f t="shared" si="308"/>
        <v>1</v>
      </c>
      <c r="AG449" s="122">
        <f t="shared" si="293"/>
        <v>0</v>
      </c>
      <c r="AH449" s="122">
        <f t="shared" si="294"/>
        <v>0</v>
      </c>
      <c r="AI449" s="122">
        <f t="shared" si="295"/>
        <v>0</v>
      </c>
      <c r="AJ449" s="122">
        <f t="shared" si="296"/>
        <v>0</v>
      </c>
      <c r="AK449" s="122">
        <f t="shared" si="297"/>
        <v>0</v>
      </c>
      <c r="AL449" s="122">
        <f t="shared" si="298"/>
        <v>0</v>
      </c>
      <c r="AM449" s="123">
        <f t="shared" si="299"/>
        <v>0</v>
      </c>
      <c r="AN449" s="123">
        <f t="shared" si="318"/>
        <v>0</v>
      </c>
      <c r="AO449" s="124">
        <f t="shared" si="300"/>
        <v>0</v>
      </c>
      <c r="AP449" s="125">
        <f t="shared" si="310"/>
        <v>0</v>
      </c>
      <c r="AU449" s="109">
        <f>IF(BA449=1,IF(AU436=MiscData!$F$1,EOMONTH(AU436,-11),EOMONTH(AU436,1)),AU436)</f>
        <v>42369</v>
      </c>
      <c r="AV449" s="108" t="str">
        <f t="shared" si="311"/>
        <v>20140101LGMLE570</v>
      </c>
      <c r="AW449" s="126" t="str">
        <f t="shared" si="312"/>
        <v>20140101LE</v>
      </c>
      <c r="AX449">
        <f>MiscData!$X$5</f>
        <v>20140101</v>
      </c>
      <c r="BA449" s="98">
        <f>IF(BA448+1&gt;MiscData!$Z$42,1,BA448+1)</f>
        <v>28</v>
      </c>
      <c r="BB449" s="98" t="str">
        <f>VLOOKUP(BA449,MiscData!$Z$5:$AB$46,2,FALSE)</f>
        <v>LGMLE570</v>
      </c>
      <c r="BC449" s="98" t="str">
        <f>VLOOKUP(BA449,MiscData!$Z$5:$AB$46,3,FALSE)</f>
        <v>LE</v>
      </c>
    </row>
    <row r="450" spans="1:55">
      <c r="A450" s="108">
        <v>427</v>
      </c>
      <c r="B450" s="109" t="str">
        <f t="shared" ref="B450" si="330">TEXT(AU450,"mmm yyyy")</f>
        <v>Dec 2015</v>
      </c>
      <c r="C450" s="110" t="str">
        <f t="shared" ref="C450" si="331">BC450</f>
        <v>LE</v>
      </c>
      <c r="D450" s="110" t="str">
        <f t="shared" ref="D450" si="332">BB450</f>
        <v>LGMLE571</v>
      </c>
      <c r="E450" s="111">
        <f t="shared" si="274"/>
        <v>156</v>
      </c>
      <c r="F450" s="112">
        <v>0</v>
      </c>
      <c r="G450" s="111">
        <f t="shared" si="275"/>
        <v>0</v>
      </c>
      <c r="H450" s="111">
        <f t="shared" si="276"/>
        <v>0</v>
      </c>
      <c r="I450" s="111">
        <f t="shared" si="277"/>
        <v>0</v>
      </c>
      <c r="J450" s="111">
        <f t="shared" si="278"/>
        <v>359458</v>
      </c>
      <c r="K450" s="113">
        <f t="shared" si="279"/>
        <v>0</v>
      </c>
      <c r="L450" s="113">
        <f t="shared" si="280"/>
        <v>0</v>
      </c>
      <c r="M450" s="113">
        <f t="shared" si="281"/>
        <v>0</v>
      </c>
      <c r="N450" s="116">
        <f t="shared" ref="N450" si="333">SUMIF(L_Rates_Tariff_Rate_Category,AV450,L_Rates_BSC)</f>
        <v>0</v>
      </c>
      <c r="O450" s="117">
        <f t="shared" si="317"/>
        <v>6.4610000000000001E-2</v>
      </c>
      <c r="P450" s="117">
        <f t="shared" si="283"/>
        <v>0</v>
      </c>
      <c r="Q450" s="117">
        <f t="shared" si="284"/>
        <v>0</v>
      </c>
      <c r="R450" s="117">
        <f t="shared" si="285"/>
        <v>2.725E-2</v>
      </c>
      <c r="S450" s="116">
        <f t="shared" si="286"/>
        <v>0</v>
      </c>
      <c r="T450" s="116">
        <f t="shared" si="287"/>
        <v>0</v>
      </c>
      <c r="U450" s="116">
        <f t="shared" si="288"/>
        <v>0</v>
      </c>
      <c r="V450" s="118">
        <f t="shared" si="289"/>
        <v>0</v>
      </c>
      <c r="W450" s="118">
        <f t="shared" si="303"/>
        <v>23224.58</v>
      </c>
      <c r="X450" s="118">
        <f t="shared" si="304"/>
        <v>0</v>
      </c>
      <c r="Y450" s="118">
        <f t="shared" si="305"/>
        <v>0</v>
      </c>
      <c r="Z450" s="118">
        <f t="shared" si="306"/>
        <v>0</v>
      </c>
      <c r="AA450" s="119">
        <v>0</v>
      </c>
      <c r="AB450" s="120">
        <f t="shared" si="290"/>
        <v>0</v>
      </c>
      <c r="AC450" s="118">
        <f t="shared" si="291"/>
        <v>0</v>
      </c>
      <c r="AD450" s="118">
        <f t="shared" si="307"/>
        <v>23224.58</v>
      </c>
      <c r="AE450" s="118">
        <f t="shared" ref="AE450" si="334">AL450-SUM(AG450:AK450)</f>
        <v>0</v>
      </c>
      <c r="AF450" s="121">
        <f t="shared" ref="AF450" si="335">IF(AND(AD450=0,AE450=0),1,IF(AD450=0,0,ROUND(AE450/AD450,6)))</f>
        <v>0</v>
      </c>
      <c r="AG450" s="122">
        <f t="shared" si="293"/>
        <v>0</v>
      </c>
      <c r="AH450" s="122">
        <f t="shared" si="294"/>
        <v>0</v>
      </c>
      <c r="AI450" s="122">
        <f t="shared" si="295"/>
        <v>0</v>
      </c>
      <c r="AJ450" s="122">
        <f t="shared" si="296"/>
        <v>0</v>
      </c>
      <c r="AK450" s="122">
        <f t="shared" si="297"/>
        <v>0</v>
      </c>
      <c r="AL450" s="122">
        <f t="shared" si="298"/>
        <v>0</v>
      </c>
      <c r="AM450" s="123">
        <f t="shared" ref="AM450" si="336">SUM(AD450,AG450:AK450)</f>
        <v>23224.58</v>
      </c>
      <c r="AN450" s="123">
        <f t="shared" ref="AN450" si="337">AL450-AM450</f>
        <v>-23224.58</v>
      </c>
      <c r="AO450" s="124">
        <f t="shared" si="300"/>
        <v>9795.23</v>
      </c>
      <c r="AP450" s="125">
        <f t="shared" si="310"/>
        <v>13429.350000000002</v>
      </c>
      <c r="AU450" s="109">
        <f>IF(BA450=1,IF(AU437=MiscData!$F$1,EOMONTH(AU437,-11),EOMONTH(AU437,1)),AU437)</f>
        <v>42369</v>
      </c>
      <c r="AV450" s="108" t="str">
        <f t="shared" ref="AV450" si="338">CONCATENATE(AX450&amp;BB450)</f>
        <v>20140101LGMLE571</v>
      </c>
      <c r="AW450" s="126" t="str">
        <f t="shared" ref="AW450" si="339">CONCATENATE(AX450&amp;BC450)</f>
        <v>20140101LE</v>
      </c>
      <c r="AX450">
        <f>MiscData!$X$5</f>
        <v>20140101</v>
      </c>
      <c r="BA450" s="98">
        <f>IF(BA449+1&gt;MiscData!$Z$42,1,BA449+1)</f>
        <v>29</v>
      </c>
      <c r="BB450" s="98" t="str">
        <f>VLOOKUP(BA450,MiscData!$Z$5:$AB$46,2,FALSE)</f>
        <v>LGMLE571</v>
      </c>
      <c r="BC450" s="98" t="str">
        <f>VLOOKUP(BA450,MiscData!$Z$5:$AB$46,3,FALSE)</f>
        <v>LE</v>
      </c>
    </row>
    <row r="451" spans="1:55">
      <c r="A451" s="108">
        <v>428</v>
      </c>
      <c r="B451" s="109" t="str">
        <f t="shared" si="301"/>
        <v>Dec 2015</v>
      </c>
      <c r="C451" s="110" t="str">
        <f t="shared" si="313"/>
        <v>LE</v>
      </c>
      <c r="D451" s="110" t="str">
        <f t="shared" si="302"/>
        <v>LGMLE572</v>
      </c>
      <c r="E451" s="111">
        <f t="shared" si="274"/>
        <v>0</v>
      </c>
      <c r="F451" s="112">
        <v>0</v>
      </c>
      <c r="G451" s="111">
        <f t="shared" si="275"/>
        <v>0</v>
      </c>
      <c r="H451" s="111">
        <f t="shared" si="276"/>
        <v>0</v>
      </c>
      <c r="I451" s="111">
        <f t="shared" si="277"/>
        <v>0</v>
      </c>
      <c r="J451" s="111">
        <f t="shared" si="278"/>
        <v>0</v>
      </c>
      <c r="K451" s="113">
        <f t="shared" si="279"/>
        <v>0</v>
      </c>
      <c r="L451" s="113">
        <f t="shared" si="280"/>
        <v>0</v>
      </c>
      <c r="M451" s="113">
        <f t="shared" si="281"/>
        <v>0</v>
      </c>
      <c r="N451" s="116">
        <f t="shared" si="282"/>
        <v>0</v>
      </c>
      <c r="O451" s="117">
        <f t="shared" si="317"/>
        <v>6.4610000000000001E-2</v>
      </c>
      <c r="P451" s="117">
        <f t="shared" si="283"/>
        <v>0</v>
      </c>
      <c r="Q451" s="117">
        <f t="shared" si="284"/>
        <v>0</v>
      </c>
      <c r="R451" s="117">
        <f t="shared" si="285"/>
        <v>2.725E-2</v>
      </c>
      <c r="S451" s="116">
        <f t="shared" si="286"/>
        <v>0</v>
      </c>
      <c r="T451" s="116">
        <f t="shared" si="287"/>
        <v>0</v>
      </c>
      <c r="U451" s="116">
        <f t="shared" si="288"/>
        <v>0</v>
      </c>
      <c r="V451" s="118">
        <f t="shared" si="289"/>
        <v>0</v>
      </c>
      <c r="W451" s="118">
        <f t="shared" si="303"/>
        <v>0</v>
      </c>
      <c r="X451" s="118">
        <f t="shared" si="304"/>
        <v>0</v>
      </c>
      <c r="Y451" s="118">
        <f t="shared" si="305"/>
        <v>0</v>
      </c>
      <c r="Z451" s="118">
        <f t="shared" si="306"/>
        <v>0</v>
      </c>
      <c r="AA451" s="119">
        <v>0</v>
      </c>
      <c r="AB451" s="120">
        <f t="shared" si="290"/>
        <v>0</v>
      </c>
      <c r="AC451" s="118">
        <f t="shared" si="291"/>
        <v>0</v>
      </c>
      <c r="AD451" s="118">
        <f t="shared" si="307"/>
        <v>0</v>
      </c>
      <c r="AE451" s="118">
        <f t="shared" si="292"/>
        <v>0</v>
      </c>
      <c r="AF451" s="121">
        <f t="shared" si="308"/>
        <v>1</v>
      </c>
      <c r="AG451" s="122">
        <f t="shared" si="293"/>
        <v>0</v>
      </c>
      <c r="AH451" s="122">
        <f t="shared" si="294"/>
        <v>0</v>
      </c>
      <c r="AI451" s="122">
        <f t="shared" si="295"/>
        <v>0</v>
      </c>
      <c r="AJ451" s="122">
        <f t="shared" si="296"/>
        <v>0</v>
      </c>
      <c r="AK451" s="122">
        <f t="shared" si="297"/>
        <v>0</v>
      </c>
      <c r="AL451" s="122">
        <f t="shared" si="298"/>
        <v>0</v>
      </c>
      <c r="AM451" s="123">
        <f t="shared" si="299"/>
        <v>0</v>
      </c>
      <c r="AN451" s="123">
        <f t="shared" si="318"/>
        <v>0</v>
      </c>
      <c r="AO451" s="124">
        <f t="shared" si="300"/>
        <v>0</v>
      </c>
      <c r="AP451" s="125">
        <f t="shared" si="310"/>
        <v>0</v>
      </c>
      <c r="AU451" s="109">
        <f>IF(BA451=1,IF(AU438=MiscData!$F$1,EOMONTH(AU438,-11),EOMONTH(AU438,1)),AU438)</f>
        <v>42369</v>
      </c>
      <c r="AV451" s="108" t="str">
        <f t="shared" si="311"/>
        <v>20140101LGMLE572</v>
      </c>
      <c r="AW451" s="126" t="str">
        <f t="shared" si="312"/>
        <v>20140101LE</v>
      </c>
      <c r="AX451">
        <f>MiscData!$X$5</f>
        <v>20140101</v>
      </c>
      <c r="BA451" s="98">
        <f>IF(BA450+1&gt;MiscData!$Z$42,1,BA450+1)</f>
        <v>30</v>
      </c>
      <c r="BB451" s="98" t="str">
        <f>VLOOKUP(BA451,MiscData!$Z$5:$AB$46,2,FALSE)</f>
        <v>LGMLE572</v>
      </c>
      <c r="BC451" s="98" t="str">
        <f>VLOOKUP(BA451,MiscData!$Z$5:$AB$46,3,FALSE)</f>
        <v>LE</v>
      </c>
    </row>
    <row r="452" spans="1:55">
      <c r="A452" s="108">
        <v>429</v>
      </c>
      <c r="B452" s="109" t="str">
        <f t="shared" ref="B452" si="340">TEXT(AU452,"mmm yyyy")</f>
        <v>Dec 2015</v>
      </c>
      <c r="C452" s="110" t="str">
        <f t="shared" ref="C452" si="341">BC452</f>
        <v>TE</v>
      </c>
      <c r="D452" s="110" t="str">
        <f t="shared" ref="D452" si="342">BB452</f>
        <v>LGMLE573</v>
      </c>
      <c r="E452" s="111">
        <f t="shared" si="274"/>
        <v>905</v>
      </c>
      <c r="F452" s="112">
        <v>0</v>
      </c>
      <c r="G452" s="111">
        <f t="shared" si="275"/>
        <v>0</v>
      </c>
      <c r="H452" s="111">
        <f t="shared" si="276"/>
        <v>0</v>
      </c>
      <c r="I452" s="111">
        <f t="shared" si="277"/>
        <v>0</v>
      </c>
      <c r="J452" s="111">
        <f t="shared" si="278"/>
        <v>295991</v>
      </c>
      <c r="K452" s="113">
        <f t="shared" si="279"/>
        <v>0</v>
      </c>
      <c r="L452" s="113">
        <f t="shared" si="280"/>
        <v>0</v>
      </c>
      <c r="M452" s="113">
        <f t="shared" si="281"/>
        <v>0</v>
      </c>
      <c r="N452" s="116">
        <f t="shared" ref="N452" si="343">SUMIF(L_Rates_Tariff_Rate_Category,AV452,L_Rates_BSC)</f>
        <v>3.25</v>
      </c>
      <c r="O452" s="117">
        <f t="shared" si="317"/>
        <v>7.6579999999999995E-2</v>
      </c>
      <c r="P452" s="117">
        <f t="shared" si="283"/>
        <v>0</v>
      </c>
      <c r="Q452" s="117">
        <f t="shared" si="284"/>
        <v>0</v>
      </c>
      <c r="R452" s="117">
        <f t="shared" si="285"/>
        <v>2.725E-2</v>
      </c>
      <c r="S452" s="116">
        <f t="shared" si="286"/>
        <v>0</v>
      </c>
      <c r="T452" s="116">
        <f t="shared" si="287"/>
        <v>0</v>
      </c>
      <c r="U452" s="116">
        <f t="shared" si="288"/>
        <v>0</v>
      </c>
      <c r="V452" s="118">
        <f t="shared" ref="V452:V459" si="344">ROUND(($E452+$F452)*$N452,2)</f>
        <v>2941.25</v>
      </c>
      <c r="W452" s="683">
        <f t="shared" si="303"/>
        <v>22666.99</v>
      </c>
      <c r="X452" s="118">
        <f t="shared" si="304"/>
        <v>0</v>
      </c>
      <c r="Y452" s="118">
        <f t="shared" si="305"/>
        <v>0</v>
      </c>
      <c r="Z452" s="118">
        <f t="shared" si="306"/>
        <v>0</v>
      </c>
      <c r="AA452" s="119">
        <v>0</v>
      </c>
      <c r="AB452" s="120">
        <f t="shared" si="290"/>
        <v>0</v>
      </c>
      <c r="AC452" s="118">
        <f t="shared" ref="AC452:AC459" si="345">SUM(X452:AB452)</f>
        <v>0</v>
      </c>
      <c r="AD452" s="118">
        <f t="shared" si="307"/>
        <v>25608.240000000002</v>
      </c>
      <c r="AE452" s="118">
        <f t="shared" ref="AE452" si="346">AL452-SUM(AG452:AK452)</f>
        <v>0</v>
      </c>
      <c r="AF452" s="121">
        <f t="shared" ref="AF452" si="347">IF(AND(AD452=0,AE452=0),1,IF(AD452=0,0,ROUND(AE452/AD452,6)))</f>
        <v>0</v>
      </c>
      <c r="AG452" s="122">
        <f t="shared" si="293"/>
        <v>0</v>
      </c>
      <c r="AH452" s="122">
        <f t="shared" si="294"/>
        <v>0</v>
      </c>
      <c r="AI452" s="122">
        <f t="shared" si="295"/>
        <v>0</v>
      </c>
      <c r="AJ452" s="122">
        <f t="shared" si="296"/>
        <v>0</v>
      </c>
      <c r="AK452" s="122">
        <f t="shared" ref="AK452:AK459" si="348">SUMIFS(L_SBR_CSR,L_SBR_Revenue_Month,$B452,L_SBR_Rate_Category,$D452)</f>
        <v>0</v>
      </c>
      <c r="AL452" s="122">
        <f t="shared" si="298"/>
        <v>0</v>
      </c>
      <c r="AM452" s="123">
        <f t="shared" ref="AM452" si="349">SUM(AD452,AG452:AK452)</f>
        <v>25608.240000000002</v>
      </c>
      <c r="AN452" s="123">
        <f t="shared" ref="AN452" si="350">AL452-AM452</f>
        <v>-25608.240000000002</v>
      </c>
      <c r="AO452" s="124">
        <f t="shared" ref="AO452:AO459" si="351">ROUND(J452*R452,2)</f>
        <v>8065.75</v>
      </c>
      <c r="AP452" s="125">
        <f t="shared" si="310"/>
        <v>14601.240000000002</v>
      </c>
      <c r="AU452" s="109">
        <f>IF(BA452=1,IF(AU439=MiscData!$F$1,EOMONTH(AU439,-11),EOMONTH(AU439,1)),AU439)</f>
        <v>42369</v>
      </c>
      <c r="AV452" s="108" t="str">
        <f t="shared" ref="AV452" si="352">CONCATENATE(AX452&amp;BB452)</f>
        <v>20140101LGMLE573</v>
      </c>
      <c r="AW452" s="126" t="str">
        <f t="shared" ref="AW452" si="353">CONCATENATE(AX452&amp;BC452)</f>
        <v>20140101TE</v>
      </c>
      <c r="AX452">
        <f>MiscData!$X$5</f>
        <v>20140101</v>
      </c>
      <c r="BA452" s="98">
        <f>IF(BA451+1&gt;MiscData!$Z$42,1,BA451+1)</f>
        <v>31</v>
      </c>
      <c r="BB452" s="98" t="str">
        <f>VLOOKUP(BA452,MiscData!$Z$5:$AB$46,2,FALSE)</f>
        <v>LGMLE573</v>
      </c>
      <c r="BC452" s="98" t="str">
        <f>VLOOKUP(BA452,MiscData!$Z$5:$AB$46,3,FALSE)</f>
        <v>TE</v>
      </c>
    </row>
    <row r="453" spans="1:55">
      <c r="A453" s="108">
        <v>430</v>
      </c>
      <c r="B453" s="109" t="str">
        <f t="shared" si="301"/>
        <v>Dec 2015</v>
      </c>
      <c r="C453" s="110" t="str">
        <f t="shared" si="313"/>
        <v>TE</v>
      </c>
      <c r="D453" s="110" t="str">
        <f t="shared" si="302"/>
        <v>LGMLE574</v>
      </c>
      <c r="E453" s="111">
        <f t="shared" si="274"/>
        <v>0</v>
      </c>
      <c r="F453" s="112">
        <v>0</v>
      </c>
      <c r="G453" s="111">
        <f t="shared" si="275"/>
        <v>0</v>
      </c>
      <c r="H453" s="111">
        <f t="shared" si="276"/>
        <v>0</v>
      </c>
      <c r="I453" s="111">
        <f t="shared" si="277"/>
        <v>0</v>
      </c>
      <c r="J453" s="111">
        <f t="shared" si="278"/>
        <v>0</v>
      </c>
      <c r="K453" s="113">
        <f t="shared" si="279"/>
        <v>0</v>
      </c>
      <c r="L453" s="113">
        <f t="shared" si="280"/>
        <v>0</v>
      </c>
      <c r="M453" s="113">
        <f t="shared" si="281"/>
        <v>0</v>
      </c>
      <c r="N453" s="116">
        <f t="shared" si="282"/>
        <v>3.25</v>
      </c>
      <c r="O453" s="117">
        <f t="shared" si="317"/>
        <v>7.6579999999999995E-2</v>
      </c>
      <c r="P453" s="117">
        <f t="shared" si="283"/>
        <v>0</v>
      </c>
      <c r="Q453" s="117">
        <f t="shared" si="284"/>
        <v>0</v>
      </c>
      <c r="R453" s="117">
        <f t="shared" si="285"/>
        <v>2.725E-2</v>
      </c>
      <c r="S453" s="116">
        <f t="shared" si="286"/>
        <v>0</v>
      </c>
      <c r="T453" s="116">
        <f t="shared" si="287"/>
        <v>0</v>
      </c>
      <c r="U453" s="116">
        <f t="shared" si="288"/>
        <v>0</v>
      </c>
      <c r="V453" s="118">
        <f t="shared" si="344"/>
        <v>0</v>
      </c>
      <c r="W453" s="683">
        <f t="shared" ref="W453:W459" si="354">ROUND(IF(G453=0,J453*O453,SUMPRODUCT(G453:I453,O453:Q453)),2)</f>
        <v>0</v>
      </c>
      <c r="X453" s="118">
        <f t="shared" ref="X453:X459" si="355">ROUND(K453*S453,2)</f>
        <v>0</v>
      </c>
      <c r="Y453" s="118">
        <f t="shared" ref="Y453:Y459" si="356">ROUND(L453*T453,2)</f>
        <v>0</v>
      </c>
      <c r="Z453" s="118">
        <f t="shared" ref="Z453:Z459" si="357">ROUND(M453*U453,2)</f>
        <v>0</v>
      </c>
      <c r="AA453" s="119">
        <v>0</v>
      </c>
      <c r="AB453" s="120">
        <f t="shared" si="290"/>
        <v>0</v>
      </c>
      <c r="AC453" s="118">
        <f t="shared" si="345"/>
        <v>0</v>
      </c>
      <c r="AD453" s="118">
        <f t="shared" ref="AD453:AD459" si="358">SUM(V453:AB453)</f>
        <v>0</v>
      </c>
      <c r="AE453" s="118">
        <f t="shared" si="292"/>
        <v>0</v>
      </c>
      <c r="AF453" s="121">
        <f t="shared" si="308"/>
        <v>1</v>
      </c>
      <c r="AG453" s="122">
        <f t="shared" si="293"/>
        <v>0</v>
      </c>
      <c r="AH453" s="122">
        <f t="shared" si="294"/>
        <v>0</v>
      </c>
      <c r="AI453" s="122">
        <f t="shared" si="295"/>
        <v>0</v>
      </c>
      <c r="AJ453" s="122">
        <f t="shared" si="296"/>
        <v>0</v>
      </c>
      <c r="AK453" s="122">
        <f t="shared" si="348"/>
        <v>0</v>
      </c>
      <c r="AL453" s="122">
        <f t="shared" si="298"/>
        <v>0</v>
      </c>
      <c r="AM453" s="123">
        <f t="shared" si="299"/>
        <v>0</v>
      </c>
      <c r="AN453" s="123">
        <f t="shared" si="318"/>
        <v>0</v>
      </c>
      <c r="AO453" s="124">
        <f t="shared" si="351"/>
        <v>0</v>
      </c>
      <c r="AP453" s="125">
        <f t="shared" ref="AP453:AP459" si="359">W453-AO453</f>
        <v>0</v>
      </c>
      <c r="AU453" s="109">
        <f>IF(BA453=1,IF(AU440=MiscData!$F$1,EOMONTH(AU440,-11),EOMONTH(AU440,1)),AU440)</f>
        <v>42369</v>
      </c>
      <c r="AV453" s="108" t="str">
        <f t="shared" si="311"/>
        <v>20140101LGMLE574</v>
      </c>
      <c r="AW453" s="126" t="str">
        <f t="shared" si="312"/>
        <v>20140101TE</v>
      </c>
      <c r="AX453">
        <f>MiscData!$X$5</f>
        <v>20140101</v>
      </c>
      <c r="BA453" s="98">
        <f>IF(BA452+1&gt;MiscData!$Z$42,1,BA452+1)</f>
        <v>32</v>
      </c>
      <c r="BB453" s="98" t="str">
        <f>VLOOKUP(BA453,MiscData!$Z$5:$AB$46,2,FALSE)</f>
        <v>LGMLE574</v>
      </c>
      <c r="BC453" s="98" t="str">
        <f>VLOOKUP(BA453,MiscData!$Z$5:$AB$46,3,FALSE)</f>
        <v>TE</v>
      </c>
    </row>
    <row r="454" spans="1:55">
      <c r="A454" s="108">
        <v>431</v>
      </c>
      <c r="B454" s="109" t="str">
        <f t="shared" ref="B454" si="360">TEXT(AU454,"mmm yyyy")</f>
        <v>Dec 2015</v>
      </c>
      <c r="C454" s="110" t="str">
        <f t="shared" ref="C454" si="361">BC454</f>
        <v>RS</v>
      </c>
      <c r="D454" s="110" t="str">
        <f t="shared" ref="D454" si="362">BB454</f>
        <v>LGRSE411</v>
      </c>
      <c r="E454" s="111">
        <f t="shared" si="274"/>
        <v>0</v>
      </c>
      <c r="F454" s="112">
        <v>0</v>
      </c>
      <c r="G454" s="111">
        <f t="shared" si="275"/>
        <v>0</v>
      </c>
      <c r="H454" s="111">
        <f t="shared" si="276"/>
        <v>0</v>
      </c>
      <c r="I454" s="111">
        <f t="shared" si="277"/>
        <v>0</v>
      </c>
      <c r="J454" s="111">
        <f t="shared" si="278"/>
        <v>0</v>
      </c>
      <c r="K454" s="113">
        <f t="shared" si="279"/>
        <v>0</v>
      </c>
      <c r="L454" s="113">
        <f t="shared" si="280"/>
        <v>0</v>
      </c>
      <c r="M454" s="113">
        <f t="shared" si="281"/>
        <v>0</v>
      </c>
      <c r="N454" s="116">
        <f t="shared" ref="N454" si="363">SUMIF(L_Rates_Tariff_Rate_Category,AV454,L_Rates_BSC)</f>
        <v>0</v>
      </c>
      <c r="O454" s="117">
        <f t="shared" si="317"/>
        <v>8.0760000000000012E-2</v>
      </c>
      <c r="P454" s="117">
        <f t="shared" si="283"/>
        <v>0</v>
      </c>
      <c r="Q454" s="117">
        <f t="shared" si="284"/>
        <v>0</v>
      </c>
      <c r="R454" s="117">
        <f t="shared" si="285"/>
        <v>2.725E-2</v>
      </c>
      <c r="S454" s="116">
        <f t="shared" si="286"/>
        <v>0</v>
      </c>
      <c r="T454" s="116">
        <f t="shared" si="287"/>
        <v>0</v>
      </c>
      <c r="U454" s="116">
        <f t="shared" si="288"/>
        <v>0</v>
      </c>
      <c r="V454" s="118">
        <f t="shared" si="344"/>
        <v>0</v>
      </c>
      <c r="W454" s="118">
        <f t="shared" si="354"/>
        <v>0</v>
      </c>
      <c r="X454" s="118">
        <f t="shared" si="355"/>
        <v>0</v>
      </c>
      <c r="Y454" s="118">
        <f t="shared" si="356"/>
        <v>0</v>
      </c>
      <c r="Z454" s="118">
        <f t="shared" si="357"/>
        <v>0</v>
      </c>
      <c r="AA454" s="119">
        <v>0</v>
      </c>
      <c r="AB454" s="120">
        <f t="shared" si="290"/>
        <v>0</v>
      </c>
      <c r="AC454" s="118">
        <f t="shared" si="345"/>
        <v>0</v>
      </c>
      <c r="AD454" s="118">
        <f t="shared" si="358"/>
        <v>0</v>
      </c>
      <c r="AE454" s="118">
        <f t="shared" ref="AE454" si="364">AL454-SUM(AG454:AK454)</f>
        <v>0</v>
      </c>
      <c r="AF454" s="121">
        <f t="shared" ref="AF454" si="365">IF(AND(AD454=0,AE454=0),1,IF(AD454=0,0,ROUND(AE454/AD454,6)))</f>
        <v>1</v>
      </c>
      <c r="AG454" s="122">
        <f t="shared" si="293"/>
        <v>0</v>
      </c>
      <c r="AH454" s="122">
        <f t="shared" si="294"/>
        <v>0</v>
      </c>
      <c r="AI454" s="122">
        <f t="shared" si="295"/>
        <v>0</v>
      </c>
      <c r="AJ454" s="122">
        <f t="shared" si="296"/>
        <v>0</v>
      </c>
      <c r="AK454" s="122">
        <f t="shared" si="348"/>
        <v>0</v>
      </c>
      <c r="AL454" s="122">
        <f t="shared" si="298"/>
        <v>0</v>
      </c>
      <c r="AM454" s="123">
        <f t="shared" ref="AM454" si="366">SUM(AD454,AG454:AK454)</f>
        <v>0</v>
      </c>
      <c r="AN454" s="123">
        <f t="shared" ref="AN454" si="367">AL454-AM454</f>
        <v>0</v>
      </c>
      <c r="AO454" s="124">
        <f t="shared" si="351"/>
        <v>0</v>
      </c>
      <c r="AP454" s="125">
        <f t="shared" si="359"/>
        <v>0</v>
      </c>
      <c r="AU454" s="109">
        <f>IF(BA454=1,IF(AU441=MiscData!$F$1,EOMONTH(AU441,-11),EOMONTH(AU441,1)),AU441)</f>
        <v>42369</v>
      </c>
      <c r="AV454" s="108" t="str">
        <f t="shared" ref="AV454" si="368">CONCATENATE(AX454&amp;BB454)</f>
        <v>20140101LGRSE411</v>
      </c>
      <c r="AW454" s="126" t="str">
        <f t="shared" ref="AW454" si="369">CONCATENATE(AX454&amp;BC454)</f>
        <v>20140101RS</v>
      </c>
      <c r="AX454">
        <f>MiscData!$X$5</f>
        <v>20140101</v>
      </c>
      <c r="BA454" s="98">
        <f>IF(BA453+1&gt;MiscData!$Z$42,1,BA453+1)</f>
        <v>33</v>
      </c>
      <c r="BB454" s="98" t="str">
        <f>VLOOKUP(BA454,MiscData!$Z$5:$AB$46,2,FALSE)</f>
        <v>LGRSE411</v>
      </c>
      <c r="BC454" s="98" t="str">
        <f>VLOOKUP(BA454,MiscData!$Z$5:$AB$46,3,FALSE)</f>
        <v>RS</v>
      </c>
    </row>
    <row r="455" spans="1:55">
      <c r="A455" s="108">
        <v>432</v>
      </c>
      <c r="B455" s="109" t="str">
        <f t="shared" si="301"/>
        <v>Dec 2015</v>
      </c>
      <c r="C455" s="110" t="str">
        <f t="shared" si="313"/>
        <v>RS</v>
      </c>
      <c r="D455" s="110" t="str">
        <f t="shared" si="302"/>
        <v>LGRSE511</v>
      </c>
      <c r="E455" s="111">
        <f t="shared" si="274"/>
        <v>361403</v>
      </c>
      <c r="F455" s="112">
        <v>0</v>
      </c>
      <c r="G455" s="111">
        <f t="shared" si="275"/>
        <v>0</v>
      </c>
      <c r="H455" s="111">
        <f t="shared" si="276"/>
        <v>0</v>
      </c>
      <c r="I455" s="111">
        <f t="shared" si="277"/>
        <v>0</v>
      </c>
      <c r="J455" s="111">
        <f t="shared" si="278"/>
        <v>335470235</v>
      </c>
      <c r="K455" s="113">
        <f t="shared" si="279"/>
        <v>0</v>
      </c>
      <c r="L455" s="113">
        <f t="shared" si="280"/>
        <v>0</v>
      </c>
      <c r="M455" s="113">
        <f t="shared" si="281"/>
        <v>0</v>
      </c>
      <c r="N455" s="116">
        <f t="shared" si="282"/>
        <v>10.75</v>
      </c>
      <c r="O455" s="117">
        <f t="shared" si="317"/>
        <v>8.0760000000000012E-2</v>
      </c>
      <c r="P455" s="117">
        <f t="shared" si="283"/>
        <v>0</v>
      </c>
      <c r="Q455" s="117">
        <f t="shared" si="284"/>
        <v>0</v>
      </c>
      <c r="R455" s="117">
        <f t="shared" si="285"/>
        <v>2.725E-2</v>
      </c>
      <c r="S455" s="116">
        <f t="shared" si="286"/>
        <v>0</v>
      </c>
      <c r="T455" s="116">
        <f t="shared" si="287"/>
        <v>0</v>
      </c>
      <c r="U455" s="116">
        <f t="shared" si="288"/>
        <v>0</v>
      </c>
      <c r="V455" s="118">
        <f t="shared" si="344"/>
        <v>3885082.25</v>
      </c>
      <c r="W455" s="118">
        <f t="shared" si="354"/>
        <v>27092576.18</v>
      </c>
      <c r="X455" s="118">
        <f t="shared" si="355"/>
        <v>0</v>
      </c>
      <c r="Y455" s="118">
        <f t="shared" si="356"/>
        <v>0</v>
      </c>
      <c r="Z455" s="118">
        <f t="shared" si="357"/>
        <v>0</v>
      </c>
      <c r="AA455" s="119">
        <v>0</v>
      </c>
      <c r="AB455" s="120">
        <f t="shared" si="290"/>
        <v>0</v>
      </c>
      <c r="AC455" s="118">
        <f t="shared" si="345"/>
        <v>0</v>
      </c>
      <c r="AD455" s="118">
        <f t="shared" si="358"/>
        <v>30977658.43</v>
      </c>
      <c r="AE455" s="118">
        <f t="shared" si="292"/>
        <v>30979932</v>
      </c>
      <c r="AF455" s="121">
        <f t="shared" si="308"/>
        <v>1.000073</v>
      </c>
      <c r="AG455" s="122">
        <f t="shared" si="293"/>
        <v>-263148</v>
      </c>
      <c r="AH455" s="122">
        <f t="shared" si="294"/>
        <v>751530</v>
      </c>
      <c r="AI455" s="122">
        <f t="shared" si="295"/>
        <v>3108711</v>
      </c>
      <c r="AJ455" s="122">
        <f t="shared" si="296"/>
        <v>0</v>
      </c>
      <c r="AK455" s="122">
        <f t="shared" si="348"/>
        <v>0</v>
      </c>
      <c r="AL455" s="122">
        <f t="shared" si="298"/>
        <v>34577025</v>
      </c>
      <c r="AM455" s="123">
        <f t="shared" si="299"/>
        <v>34574751.43</v>
      </c>
      <c r="AN455" s="123">
        <f t="shared" si="318"/>
        <v>2273.570000000298</v>
      </c>
      <c r="AO455" s="124">
        <f t="shared" si="351"/>
        <v>9141563.9000000004</v>
      </c>
      <c r="AP455" s="125">
        <f t="shared" si="359"/>
        <v>17951012.280000001</v>
      </c>
      <c r="AU455" s="109">
        <f>IF(BA455=1,IF(AU442=MiscData!$F$1,EOMONTH(AU442,-11),EOMONTH(AU442,1)),AU442)</f>
        <v>42369</v>
      </c>
      <c r="AV455" s="108" t="str">
        <f t="shared" si="311"/>
        <v>20140101LGRSE511</v>
      </c>
      <c r="AW455" s="126" t="str">
        <f t="shared" si="312"/>
        <v>20140101RS</v>
      </c>
      <c r="AX455">
        <f>MiscData!$X$5</f>
        <v>20140101</v>
      </c>
      <c r="BA455" s="98">
        <f>IF(BA454+1&gt;MiscData!$Z$42,1,BA454+1)</f>
        <v>34</v>
      </c>
      <c r="BB455" s="98" t="str">
        <f>VLOOKUP(BA455,MiscData!$Z$5:$AB$46,2,FALSE)</f>
        <v>LGRSE511</v>
      </c>
      <c r="BC455" s="98" t="str">
        <f>VLOOKUP(BA455,MiscData!$Z$5:$AB$46,3,FALSE)</f>
        <v>RS</v>
      </c>
    </row>
    <row r="456" spans="1:55">
      <c r="A456" s="108">
        <v>433</v>
      </c>
      <c r="B456" s="109" t="str">
        <f t="shared" ref="B456" si="370">TEXT(AU456,"mmm yyyy")</f>
        <v>Dec 2015</v>
      </c>
      <c r="C456" s="110" t="str">
        <f t="shared" ref="C456" si="371">BC456</f>
        <v>RS</v>
      </c>
      <c r="D456" s="110" t="str">
        <f t="shared" ref="D456" si="372">BB456</f>
        <v>LGRSE519</v>
      </c>
      <c r="E456" s="111">
        <f t="shared" si="274"/>
        <v>0</v>
      </c>
      <c r="F456" s="112">
        <v>0</v>
      </c>
      <c r="G456" s="111">
        <f t="shared" si="275"/>
        <v>0</v>
      </c>
      <c r="H456" s="111">
        <f t="shared" si="276"/>
        <v>0</v>
      </c>
      <c r="I456" s="111">
        <f t="shared" si="277"/>
        <v>0</v>
      </c>
      <c r="J456" s="111">
        <f t="shared" si="278"/>
        <v>0</v>
      </c>
      <c r="K456" s="113">
        <f t="shared" si="279"/>
        <v>0</v>
      </c>
      <c r="L456" s="113">
        <f t="shared" si="280"/>
        <v>0</v>
      </c>
      <c r="M456" s="113">
        <f t="shared" si="281"/>
        <v>0</v>
      </c>
      <c r="N456" s="116">
        <f t="shared" ref="N456" si="373">SUMIF(L_Rates_Tariff_Rate_Category,AV456,L_Rates_BSC)</f>
        <v>10.75</v>
      </c>
      <c r="O456" s="117">
        <f t="shared" si="317"/>
        <v>8.0760000000000012E-2</v>
      </c>
      <c r="P456" s="117">
        <f t="shared" si="283"/>
        <v>0</v>
      </c>
      <c r="Q456" s="117">
        <f t="shared" si="284"/>
        <v>0</v>
      </c>
      <c r="R456" s="117">
        <f t="shared" si="285"/>
        <v>2.725E-2</v>
      </c>
      <c r="S456" s="116">
        <f t="shared" si="286"/>
        <v>0</v>
      </c>
      <c r="T456" s="116">
        <f t="shared" si="287"/>
        <v>0</v>
      </c>
      <c r="U456" s="116">
        <f t="shared" si="288"/>
        <v>0</v>
      </c>
      <c r="V456" s="118">
        <f t="shared" si="344"/>
        <v>0</v>
      </c>
      <c r="W456" s="118">
        <f t="shared" si="354"/>
        <v>0</v>
      </c>
      <c r="X456" s="118">
        <f t="shared" si="355"/>
        <v>0</v>
      </c>
      <c r="Y456" s="118">
        <f t="shared" si="356"/>
        <v>0</v>
      </c>
      <c r="Z456" s="118">
        <f t="shared" si="357"/>
        <v>0</v>
      </c>
      <c r="AA456" s="119">
        <v>0</v>
      </c>
      <c r="AB456" s="120">
        <f t="shared" si="290"/>
        <v>0</v>
      </c>
      <c r="AC456" s="118">
        <f t="shared" si="345"/>
        <v>0</v>
      </c>
      <c r="AD456" s="118">
        <f t="shared" si="358"/>
        <v>0</v>
      </c>
      <c r="AE456" s="118">
        <f t="shared" ref="AE456" si="374">AL456-SUM(AG456:AK456)</f>
        <v>0</v>
      </c>
      <c r="AF456" s="121">
        <f t="shared" ref="AF456" si="375">IF(AND(AD456=0,AE456=0),1,IF(AD456=0,0,ROUND(AE456/AD456,6)))</f>
        <v>1</v>
      </c>
      <c r="AG456" s="122">
        <f t="shared" si="293"/>
        <v>0</v>
      </c>
      <c r="AH456" s="122">
        <f t="shared" si="294"/>
        <v>0</v>
      </c>
      <c r="AI456" s="122">
        <f t="shared" si="295"/>
        <v>0</v>
      </c>
      <c r="AJ456" s="122">
        <f t="shared" si="296"/>
        <v>0</v>
      </c>
      <c r="AK456" s="122">
        <f t="shared" si="348"/>
        <v>0</v>
      </c>
      <c r="AL456" s="122">
        <f t="shared" si="298"/>
        <v>0</v>
      </c>
      <c r="AM456" s="123">
        <f t="shared" ref="AM456" si="376">SUM(AD456,AG456:AK456)</f>
        <v>0</v>
      </c>
      <c r="AN456" s="123">
        <f t="shared" ref="AN456" si="377">AL456-AM456</f>
        <v>0</v>
      </c>
      <c r="AO456" s="124">
        <f t="shared" si="351"/>
        <v>0</v>
      </c>
      <c r="AP456" s="125">
        <f t="shared" si="359"/>
        <v>0</v>
      </c>
      <c r="AU456" s="109">
        <f>IF(BA456=1,IF(AU443=MiscData!$F$1,EOMONTH(AU443,-11),EOMONTH(AU443,1)),AU443)</f>
        <v>42369</v>
      </c>
      <c r="AV456" s="108" t="str">
        <f t="shared" ref="AV456" si="378">CONCATENATE(AX456&amp;BB456)</f>
        <v>20140101LGRSE519</v>
      </c>
      <c r="AW456" s="126" t="str">
        <f t="shared" ref="AW456" si="379">CONCATENATE(AX456&amp;BC456)</f>
        <v>20140101RS</v>
      </c>
      <c r="AX456">
        <f>MiscData!$X$5</f>
        <v>20140101</v>
      </c>
      <c r="BA456" s="98">
        <f>IF(BA455+1&gt;MiscData!$Z$42,1,BA455+1)</f>
        <v>35</v>
      </c>
      <c r="BB456" s="98" t="str">
        <f>VLOOKUP(BA456,MiscData!$Z$5:$AB$46,2,FALSE)</f>
        <v>LGRSE519</v>
      </c>
      <c r="BC456" s="98" t="str">
        <f>VLOOKUP(BA456,MiscData!$Z$5:$AB$46,3,FALSE)</f>
        <v>RS</v>
      </c>
    </row>
    <row r="457" spans="1:55">
      <c r="A457" s="108">
        <v>434</v>
      </c>
      <c r="B457" s="109" t="str">
        <f t="shared" si="301"/>
        <v>Dec 2015</v>
      </c>
      <c r="C457" s="110" t="s">
        <v>13</v>
      </c>
      <c r="D457" s="110" t="str">
        <f t="shared" si="302"/>
        <v>LGRSE540</v>
      </c>
      <c r="E457" s="111">
        <f t="shared" si="274"/>
        <v>0</v>
      </c>
      <c r="F457" s="112">
        <v>0</v>
      </c>
      <c r="G457" s="111">
        <f t="shared" si="275"/>
        <v>0</v>
      </c>
      <c r="H457" s="111">
        <f t="shared" si="276"/>
        <v>0</v>
      </c>
      <c r="I457" s="111">
        <f t="shared" si="277"/>
        <v>0</v>
      </c>
      <c r="J457" s="111">
        <f t="shared" si="278"/>
        <v>0</v>
      </c>
      <c r="K457" s="113">
        <f t="shared" si="279"/>
        <v>0</v>
      </c>
      <c r="L457" s="113">
        <f t="shared" si="280"/>
        <v>0</v>
      </c>
      <c r="M457" s="113">
        <f t="shared" si="281"/>
        <v>0</v>
      </c>
      <c r="N457" s="116">
        <f t="shared" si="282"/>
        <v>10.75</v>
      </c>
      <c r="O457" s="117">
        <f t="shared" si="317"/>
        <v>8.0760000000000012E-2</v>
      </c>
      <c r="P457" s="117">
        <f t="shared" si="283"/>
        <v>0</v>
      </c>
      <c r="Q457" s="117">
        <f t="shared" si="284"/>
        <v>0</v>
      </c>
      <c r="R457" s="117">
        <f t="shared" si="285"/>
        <v>2.725E-2</v>
      </c>
      <c r="S457" s="116">
        <f t="shared" si="286"/>
        <v>0</v>
      </c>
      <c r="T457" s="116">
        <f t="shared" si="287"/>
        <v>0</v>
      </c>
      <c r="U457" s="116">
        <f t="shared" si="288"/>
        <v>0</v>
      </c>
      <c r="V457" s="118">
        <f t="shared" si="344"/>
        <v>0</v>
      </c>
      <c r="W457" s="118">
        <f t="shared" si="354"/>
        <v>0</v>
      </c>
      <c r="X457" s="118">
        <f t="shared" si="355"/>
        <v>0</v>
      </c>
      <c r="Y457" s="118">
        <f t="shared" si="356"/>
        <v>0</v>
      </c>
      <c r="Z457" s="118">
        <f t="shared" si="357"/>
        <v>0</v>
      </c>
      <c r="AA457" s="119">
        <v>0</v>
      </c>
      <c r="AB457" s="120">
        <f t="shared" si="290"/>
        <v>0</v>
      </c>
      <c r="AC457" s="118">
        <f t="shared" si="345"/>
        <v>0</v>
      </c>
      <c r="AD457" s="118">
        <f t="shared" si="358"/>
        <v>0</v>
      </c>
      <c r="AE457" s="118">
        <f t="shared" si="292"/>
        <v>0</v>
      </c>
      <c r="AF457" s="121">
        <f t="shared" si="308"/>
        <v>1</v>
      </c>
      <c r="AG457" s="122">
        <f t="shared" si="293"/>
        <v>0</v>
      </c>
      <c r="AH457" s="122">
        <f t="shared" si="294"/>
        <v>0</v>
      </c>
      <c r="AI457" s="122">
        <f t="shared" si="295"/>
        <v>0</v>
      </c>
      <c r="AJ457" s="122">
        <f t="shared" si="296"/>
        <v>0</v>
      </c>
      <c r="AK457" s="122">
        <f t="shared" si="348"/>
        <v>0</v>
      </c>
      <c r="AL457" s="122">
        <f t="shared" si="298"/>
        <v>0</v>
      </c>
      <c r="AM457" s="123">
        <f t="shared" si="299"/>
        <v>0</v>
      </c>
      <c r="AN457" s="123">
        <f t="shared" si="318"/>
        <v>0</v>
      </c>
      <c r="AO457" s="124">
        <f t="shared" si="351"/>
        <v>0</v>
      </c>
      <c r="AP457" s="125">
        <f t="shared" si="359"/>
        <v>0</v>
      </c>
      <c r="AU457" s="109">
        <f>IF(BA457=1,IF(AU444=MiscData!$F$1,EOMONTH(AU444,-11),EOMONTH(AU444,1)),AU444)</f>
        <v>42369</v>
      </c>
      <c r="AV457" s="108" t="str">
        <f t="shared" si="311"/>
        <v>20140101LGRSE540</v>
      </c>
      <c r="AW457" s="126" t="str">
        <f t="shared" si="312"/>
        <v>20140101VFD</v>
      </c>
      <c r="AX457">
        <f>MiscData!$X$5</f>
        <v>20140101</v>
      </c>
      <c r="BA457" s="98">
        <f>IF(BA456+1&gt;MiscData!$Z$42,1,BA456+1)</f>
        <v>36</v>
      </c>
      <c r="BB457" s="98" t="str">
        <f>VLOOKUP(BA457,MiscData!$Z$5:$AB$46,2,FALSE)</f>
        <v>LGRSE540</v>
      </c>
      <c r="BC457" s="98" t="str">
        <f>VLOOKUP(BA457,MiscData!$Z$5:$AB$46,3,FALSE)</f>
        <v>VFD</v>
      </c>
    </row>
    <row r="458" spans="1:55">
      <c r="A458" s="108">
        <v>435</v>
      </c>
      <c r="B458" s="109" t="str">
        <f t="shared" ref="B458" si="380">TEXT(AU458,"mmm yyyy")</f>
        <v>Dec 2015</v>
      </c>
      <c r="C458" s="110" t="str">
        <f t="shared" ref="C458" si="381">BC458</f>
        <v>LEV</v>
      </c>
      <c r="D458" s="110" t="str">
        <f t="shared" ref="D458" si="382">BB458</f>
        <v>LGRSE543</v>
      </c>
      <c r="E458" s="111">
        <f t="shared" si="274"/>
        <v>20</v>
      </c>
      <c r="F458" s="112">
        <v>0</v>
      </c>
      <c r="G458" s="111">
        <f t="shared" si="275"/>
        <v>12835</v>
      </c>
      <c r="H458" s="111">
        <f t="shared" si="276"/>
        <v>7619</v>
      </c>
      <c r="I458" s="111">
        <f t="shared" si="277"/>
        <v>5042</v>
      </c>
      <c r="J458" s="111">
        <f t="shared" si="278"/>
        <v>25496</v>
      </c>
      <c r="K458" s="113">
        <f t="shared" si="279"/>
        <v>0</v>
      </c>
      <c r="L458" s="113">
        <f t="shared" si="280"/>
        <v>0</v>
      </c>
      <c r="M458" s="113">
        <f t="shared" si="281"/>
        <v>0</v>
      </c>
      <c r="N458" s="116">
        <f t="shared" ref="N458" si="383">SUMIF(L_Rates_Tariff_Rate_Category,AV458,L_Rates_BSC)</f>
        <v>10.75</v>
      </c>
      <c r="O458" s="117">
        <f t="shared" si="317"/>
        <v>5.8200000000000002E-2</v>
      </c>
      <c r="P458" s="117">
        <f t="shared" si="283"/>
        <v>7.8990000000000005E-2</v>
      </c>
      <c r="Q458" s="117">
        <f t="shared" si="284"/>
        <v>0.14451000000000003</v>
      </c>
      <c r="R458" s="117">
        <f t="shared" si="285"/>
        <v>2.725E-2</v>
      </c>
      <c r="S458" s="116">
        <f t="shared" si="286"/>
        <v>0</v>
      </c>
      <c r="T458" s="116">
        <f t="shared" si="287"/>
        <v>0</v>
      </c>
      <c r="U458" s="116">
        <f t="shared" si="288"/>
        <v>0</v>
      </c>
      <c r="V458" s="118">
        <f t="shared" si="344"/>
        <v>215</v>
      </c>
      <c r="W458" s="118">
        <f t="shared" si="354"/>
        <v>2077.44</v>
      </c>
      <c r="X458" s="118">
        <f t="shared" si="355"/>
        <v>0</v>
      </c>
      <c r="Y458" s="118">
        <f t="shared" si="356"/>
        <v>0</v>
      </c>
      <c r="Z458" s="118">
        <f t="shared" si="357"/>
        <v>0</v>
      </c>
      <c r="AA458" s="119">
        <v>0</v>
      </c>
      <c r="AB458" s="120">
        <f t="shared" si="290"/>
        <v>0</v>
      </c>
      <c r="AC458" s="118">
        <f t="shared" si="345"/>
        <v>0</v>
      </c>
      <c r="AD458" s="118">
        <f t="shared" si="358"/>
        <v>2292.44</v>
      </c>
      <c r="AE458" s="118">
        <f t="shared" ref="AE458" si="384">AL458-SUM(AG458:AK458)</f>
        <v>0</v>
      </c>
      <c r="AF458" s="121">
        <f t="shared" ref="AF458" si="385">IF(AND(AD458=0,AE458=0),1,IF(AD458=0,0,ROUND(AE458/AD458,6)))</f>
        <v>0</v>
      </c>
      <c r="AG458" s="122">
        <f t="shared" si="293"/>
        <v>0</v>
      </c>
      <c r="AH458" s="122">
        <f t="shared" si="294"/>
        <v>0</v>
      </c>
      <c r="AI458" s="122">
        <f t="shared" si="295"/>
        <v>0</v>
      </c>
      <c r="AJ458" s="122">
        <f t="shared" si="296"/>
        <v>0</v>
      </c>
      <c r="AK458" s="122">
        <f t="shared" si="348"/>
        <v>0</v>
      </c>
      <c r="AL458" s="122">
        <f t="shared" si="298"/>
        <v>0</v>
      </c>
      <c r="AM458" s="123">
        <f t="shared" ref="AM458" si="386">SUM(AD458,AG458:AK458)</f>
        <v>2292.44</v>
      </c>
      <c r="AN458" s="123">
        <f t="shared" ref="AN458" si="387">AL458-AM458</f>
        <v>-2292.44</v>
      </c>
      <c r="AO458" s="124">
        <f t="shared" si="351"/>
        <v>694.77</v>
      </c>
      <c r="AP458" s="125">
        <f t="shared" si="359"/>
        <v>1382.67</v>
      </c>
      <c r="AU458" s="109">
        <f>IF(BA458=1,IF(AU445=MiscData!$F$1,EOMONTH(AU445,-11),EOMONTH(AU445,1)),AU445)</f>
        <v>42369</v>
      </c>
      <c r="AV458" s="108" t="str">
        <f t="shared" ref="AV458" si="388">CONCATENATE(AX458&amp;BB458)</f>
        <v>20140101LGRSE543</v>
      </c>
      <c r="AW458" s="126" t="str">
        <f t="shared" ref="AW458" si="389">CONCATENATE(AX458&amp;BC458)</f>
        <v>20140101LEV</v>
      </c>
      <c r="AX458">
        <f>MiscData!$X$5</f>
        <v>20140101</v>
      </c>
      <c r="BA458" s="98">
        <f>IF(BA457+1&gt;MiscData!$Z$42,1,BA457+1)</f>
        <v>37</v>
      </c>
      <c r="BB458" s="98" t="str">
        <f>VLOOKUP(BA458,MiscData!$Z$5:$AB$46,2,FALSE)</f>
        <v>LGRSE543</v>
      </c>
      <c r="BC458" s="98" t="str">
        <f>VLOOKUP(BA458,MiscData!$Z$5:$AB$46,3,FALSE)</f>
        <v>LEV</v>
      </c>
    </row>
    <row r="459" spans="1:55">
      <c r="A459" s="108">
        <v>436</v>
      </c>
      <c r="B459" s="109" t="str">
        <f t="shared" si="301"/>
        <v>Dec 2015</v>
      </c>
      <c r="C459" s="110" t="str">
        <f t="shared" si="313"/>
        <v>LEV</v>
      </c>
      <c r="D459" s="110" t="str">
        <f t="shared" si="302"/>
        <v>LGRSE547</v>
      </c>
      <c r="E459" s="111">
        <f t="shared" si="274"/>
        <v>0</v>
      </c>
      <c r="F459" s="112">
        <v>0</v>
      </c>
      <c r="G459" s="111">
        <f t="shared" si="275"/>
        <v>0</v>
      </c>
      <c r="H459" s="111">
        <f t="shared" si="276"/>
        <v>0</v>
      </c>
      <c r="I459" s="111">
        <f t="shared" si="277"/>
        <v>0</v>
      </c>
      <c r="J459" s="111">
        <f t="shared" si="278"/>
        <v>0</v>
      </c>
      <c r="K459" s="113">
        <f t="shared" si="279"/>
        <v>0</v>
      </c>
      <c r="L459" s="113">
        <f t="shared" si="280"/>
        <v>0</v>
      </c>
      <c r="M459" s="113">
        <f t="shared" si="281"/>
        <v>0</v>
      </c>
      <c r="N459" s="116">
        <f t="shared" si="282"/>
        <v>10.75</v>
      </c>
      <c r="O459" s="117">
        <f t="shared" si="317"/>
        <v>5.8200000000000002E-2</v>
      </c>
      <c r="P459" s="117">
        <f t="shared" si="283"/>
        <v>7.8990000000000005E-2</v>
      </c>
      <c r="Q459" s="117">
        <f t="shared" si="284"/>
        <v>0.14451000000000003</v>
      </c>
      <c r="R459" s="117">
        <f t="shared" si="285"/>
        <v>2.725E-2</v>
      </c>
      <c r="S459" s="116">
        <f t="shared" si="286"/>
        <v>0</v>
      </c>
      <c r="T459" s="116">
        <f t="shared" si="287"/>
        <v>0</v>
      </c>
      <c r="U459" s="116">
        <f t="shared" si="288"/>
        <v>0</v>
      </c>
      <c r="V459" s="118">
        <f t="shared" si="344"/>
        <v>0</v>
      </c>
      <c r="W459" s="118">
        <f t="shared" si="354"/>
        <v>0</v>
      </c>
      <c r="X459" s="118">
        <f t="shared" si="355"/>
        <v>0</v>
      </c>
      <c r="Y459" s="118">
        <f t="shared" si="356"/>
        <v>0</v>
      </c>
      <c r="Z459" s="118">
        <f t="shared" si="357"/>
        <v>0</v>
      </c>
      <c r="AA459" s="119">
        <v>0</v>
      </c>
      <c r="AB459" s="120">
        <f t="shared" si="290"/>
        <v>0</v>
      </c>
      <c r="AC459" s="118">
        <f t="shared" si="345"/>
        <v>0</v>
      </c>
      <c r="AD459" s="118">
        <f t="shared" si="358"/>
        <v>0</v>
      </c>
      <c r="AE459" s="118">
        <f t="shared" si="292"/>
        <v>0</v>
      </c>
      <c r="AF459" s="121">
        <f t="shared" si="308"/>
        <v>1</v>
      </c>
      <c r="AG459" s="122">
        <f t="shared" si="293"/>
        <v>0</v>
      </c>
      <c r="AH459" s="122">
        <f t="shared" si="294"/>
        <v>0</v>
      </c>
      <c r="AI459" s="122">
        <f t="shared" si="295"/>
        <v>0</v>
      </c>
      <c r="AJ459" s="122">
        <f t="shared" si="296"/>
        <v>0</v>
      </c>
      <c r="AK459" s="122">
        <f t="shared" si="348"/>
        <v>0</v>
      </c>
      <c r="AL459" s="122">
        <f t="shared" si="298"/>
        <v>0</v>
      </c>
      <c r="AM459" s="123">
        <f t="shared" si="299"/>
        <v>0</v>
      </c>
      <c r="AN459" s="123">
        <f t="shared" si="318"/>
        <v>0</v>
      </c>
      <c r="AO459" s="124">
        <f t="shared" si="351"/>
        <v>0</v>
      </c>
      <c r="AP459" s="125">
        <f t="shared" si="359"/>
        <v>0</v>
      </c>
      <c r="AU459" s="109">
        <f>IF(BA459=1,IF(AU446=MiscData!$F$1,EOMONTH(AU446,-11),EOMONTH(AU446,1)),AU446)</f>
        <v>42369</v>
      </c>
      <c r="AV459" s="108" t="str">
        <f t="shared" si="311"/>
        <v>20140101LGRSE547</v>
      </c>
      <c r="AW459" s="126" t="str">
        <f t="shared" si="312"/>
        <v>20140101LEV</v>
      </c>
      <c r="AX459">
        <f>MiscData!$X$5</f>
        <v>20140101</v>
      </c>
      <c r="BA459" s="98">
        <f>IF(BA458+1&gt;MiscData!$Z$42,1,BA458+1)</f>
        <v>38</v>
      </c>
      <c r="BB459" s="98" t="str">
        <f>VLOOKUP(BA459,MiscData!$Z$5:$AB$46,2,FALSE)</f>
        <v>LGRSE547</v>
      </c>
      <c r="BC459" s="98" t="str">
        <f>VLOOKUP(BA459,MiscData!$Z$5:$AB$46,3,FALSE)</f>
        <v>LEV</v>
      </c>
    </row>
    <row r="460" spans="1:55">
      <c r="F460" s="127"/>
      <c r="AU460" s="109"/>
      <c r="AV460" s="108"/>
      <c r="AW460" s="126"/>
    </row>
    <row r="461" spans="1:55">
      <c r="F461" s="127"/>
      <c r="AU461" s="109"/>
      <c r="AV461" s="108"/>
      <c r="AW461" s="126"/>
    </row>
    <row r="462" spans="1:55">
      <c r="E462" s="128">
        <f t="shared" ref="E462:M462" si="390">SUM(E4:E461)</f>
        <v>4925879</v>
      </c>
      <c r="F462" s="128">
        <f t="shared" si="390"/>
        <v>0</v>
      </c>
      <c r="G462" s="128">
        <f t="shared" si="390"/>
        <v>185122</v>
      </c>
      <c r="H462" s="128">
        <f t="shared" si="390"/>
        <v>82977</v>
      </c>
      <c r="I462" s="128">
        <f t="shared" si="390"/>
        <v>63254</v>
      </c>
      <c r="J462" s="128">
        <f t="shared" si="390"/>
        <v>11915088745</v>
      </c>
      <c r="K462" s="129">
        <f t="shared" si="390"/>
        <v>11847193</v>
      </c>
      <c r="L462" s="129">
        <f t="shared" si="390"/>
        <v>11756900</v>
      </c>
      <c r="M462" s="129">
        <f t="shared" si="390"/>
        <v>10412531</v>
      </c>
      <c r="N462" s="128"/>
      <c r="O462" s="128"/>
      <c r="P462" s="128"/>
      <c r="Q462" s="128"/>
      <c r="R462" s="128"/>
      <c r="S462" s="128"/>
      <c r="T462" s="128"/>
      <c r="U462" s="128"/>
      <c r="V462" s="128">
        <f t="shared" ref="V462:AE462" si="391">SUM(V4:V461)</f>
        <v>64760396.75</v>
      </c>
      <c r="W462" s="128">
        <f t="shared" si="391"/>
        <v>710476637.16999984</v>
      </c>
      <c r="X462" s="128">
        <f t="shared" si="391"/>
        <v>33159133.77</v>
      </c>
      <c r="Y462" s="128">
        <f t="shared" si="391"/>
        <v>76141000.920000002</v>
      </c>
      <c r="Z462" s="128">
        <f t="shared" si="391"/>
        <v>81972646.079999998</v>
      </c>
      <c r="AA462" s="128">
        <f t="shared" si="391"/>
        <v>0</v>
      </c>
      <c r="AB462" s="128">
        <f t="shared" si="391"/>
        <v>0</v>
      </c>
      <c r="AC462" s="128">
        <f t="shared" si="391"/>
        <v>191272780.76999998</v>
      </c>
      <c r="AD462" s="128">
        <f t="shared" si="391"/>
        <v>966509814.6899997</v>
      </c>
      <c r="AE462" s="128">
        <f t="shared" si="391"/>
        <v>966014689</v>
      </c>
      <c r="AF462" s="128"/>
      <c r="AG462" s="128">
        <f t="shared" ref="AG462:AN462" si="392">SUM(AG4:AG461)</f>
        <v>-2928867</v>
      </c>
      <c r="AH462" s="128">
        <f t="shared" si="392"/>
        <v>20379920</v>
      </c>
      <c r="AI462" s="128">
        <f t="shared" si="392"/>
        <v>107011845</v>
      </c>
      <c r="AJ462" s="128">
        <f t="shared" si="392"/>
        <v>0</v>
      </c>
      <c r="AK462" s="128">
        <f t="shared" si="392"/>
        <v>-3438312</v>
      </c>
      <c r="AL462" s="128">
        <f t="shared" si="392"/>
        <v>1087039275</v>
      </c>
      <c r="AM462" s="128">
        <f t="shared" si="392"/>
        <v>1087534400.6899998</v>
      </c>
      <c r="AN462" s="128">
        <f t="shared" si="392"/>
        <v>-495125.69000000088</v>
      </c>
      <c r="AU462" s="109"/>
      <c r="AV462" s="108"/>
      <c r="AW462" s="126"/>
    </row>
    <row r="463" spans="1:55">
      <c r="D463" s="95" t="s">
        <v>835</v>
      </c>
      <c r="AE463" s="128">
        <f>'12MonLights'!K891</f>
        <v>18015579</v>
      </c>
      <c r="AU463" s="109"/>
      <c r="AV463" s="108"/>
      <c r="AW463" s="126"/>
    </row>
    <row r="464" spans="1:55">
      <c r="AE464" s="130">
        <f>AE462+AE463</f>
        <v>984030268</v>
      </c>
      <c r="AU464" s="109"/>
      <c r="AV464" s="108"/>
      <c r="AW464" s="126"/>
    </row>
    <row r="465" spans="3:49">
      <c r="AE465" s="130"/>
      <c r="AU465" s="109"/>
      <c r="AV465" s="108"/>
      <c r="AW465" s="126"/>
    </row>
    <row r="466" spans="3:49">
      <c r="C466" s="95" t="s">
        <v>22</v>
      </c>
      <c r="AD466" s="25">
        <f>SUMIF(L_12MonResults_RateClass,$C466,L_12MonResults_Revenue_Base_Calculated)</f>
        <v>0</v>
      </c>
      <c r="AE466" s="25">
        <f t="shared" ref="AE466:AE478" si="393">SUMIF(L_12MonResults_RateClass,$C466,L_12MonResults_Revenue_Actual_Base)</f>
        <v>0</v>
      </c>
      <c r="AF466" s="121">
        <f>IF(AND(AD466=0,AE466=0),1,IF(AE466=0,0,ROUND(AD466/AE466,6)))</f>
        <v>1</v>
      </c>
      <c r="AG466" s="25">
        <f t="shared" ref="AG466:AG480" si="394">SUMIF(L_12MonResults_RateClass,$C466,L_12MonResults_Revenue_FAC)</f>
        <v>0</v>
      </c>
      <c r="AH466" s="25">
        <f t="shared" ref="AH466:AH480" si="395">SUMIF(L_12MonResults_RateClass,$C466,L_12MonResults_Revenue_DSM)</f>
        <v>0</v>
      </c>
      <c r="AI466" s="25">
        <f t="shared" ref="AI466:AI480" si="396">SUMIF(L_12MonResults_RateClass,$C466,L_12MonResults_Revenue_ECR)</f>
        <v>0</v>
      </c>
      <c r="AJ466" s="13"/>
      <c r="AK466" s="25">
        <f t="shared" ref="AK466:AK482" si="397">SUMIF(L_12MonResults_RateClass,$C466,L_12MonResults_Revenue_CSR)</f>
        <v>0</v>
      </c>
      <c r="AL466" s="25">
        <f t="shared" ref="AL466:AL480" si="398">SUMIF(L_12MonResults_RateClass,$C466,L_12MonResults_Revenue_Total)</f>
        <v>0</v>
      </c>
      <c r="AM466" s="334"/>
      <c r="AU466" s="109"/>
      <c r="AV466" s="108"/>
      <c r="AW466" s="126"/>
    </row>
    <row r="467" spans="3:49">
      <c r="C467" s="95" t="s">
        <v>23</v>
      </c>
      <c r="W467" s="123"/>
      <c r="AD467" s="25">
        <f>SUMIF(L_12MonResults_RateClass,$C467,L_12MonResults_Revenue_Base_Calculated)</f>
        <v>0</v>
      </c>
      <c r="AE467" s="25">
        <f t="shared" si="393"/>
        <v>0</v>
      </c>
      <c r="AF467" s="121">
        <f t="shared" ref="AF467" si="399">IF(AND(AD467=0,AE467=0),1,IF(AE467=0,0,ROUND(AD467/AE467,6)))</f>
        <v>1</v>
      </c>
      <c r="AG467" s="25">
        <f t="shared" si="394"/>
        <v>0</v>
      </c>
      <c r="AH467" s="25">
        <f t="shared" si="395"/>
        <v>0</v>
      </c>
      <c r="AI467" s="25">
        <f t="shared" si="396"/>
        <v>0</v>
      </c>
      <c r="AJ467" s="13"/>
      <c r="AK467" s="25">
        <f t="shared" si="397"/>
        <v>0</v>
      </c>
      <c r="AL467" s="25">
        <f t="shared" si="398"/>
        <v>0</v>
      </c>
      <c r="AM467" s="13"/>
      <c r="AU467" s="109"/>
      <c r="AV467" s="108"/>
      <c r="AW467" s="126"/>
    </row>
    <row r="468" spans="3:49">
      <c r="C468" s="95" t="s">
        <v>902</v>
      </c>
      <c r="W468" s="123"/>
      <c r="AC468" s="123"/>
      <c r="AD468" s="503">
        <f t="shared" ref="AD468:AD479" si="400">ROUND(SUMIF(L_12MonResults_RateClass,$C468,L_12MonResults_Revenue_Base_Calculated),0)</f>
        <v>42387815</v>
      </c>
      <c r="AE468" s="503">
        <f t="shared" si="393"/>
        <v>42387823</v>
      </c>
      <c r="AF468" s="121">
        <f t="shared" ref="AF468:AF482" si="401">AD468/AE468</f>
        <v>0.99999981126655169</v>
      </c>
      <c r="AG468" s="25">
        <f t="shared" si="394"/>
        <v>-102020</v>
      </c>
      <c r="AH468" s="25">
        <f t="shared" si="395"/>
        <v>733097</v>
      </c>
      <c r="AI468" s="25">
        <f t="shared" si="396"/>
        <v>3511579</v>
      </c>
      <c r="AJ468" s="13"/>
      <c r="AK468" s="25">
        <f t="shared" si="397"/>
        <v>0</v>
      </c>
      <c r="AL468" s="25">
        <f t="shared" si="398"/>
        <v>46530479</v>
      </c>
      <c r="AU468" s="109"/>
      <c r="AV468" s="108"/>
      <c r="AW468" s="126"/>
    </row>
    <row r="469" spans="3:49">
      <c r="C469" s="134" t="s">
        <v>20</v>
      </c>
      <c r="E469" s="131"/>
      <c r="F469" s="131"/>
      <c r="G469" s="131"/>
      <c r="H469" s="131"/>
      <c r="I469" s="132"/>
      <c r="J469" s="131"/>
      <c r="AD469" s="503">
        <f t="shared" si="400"/>
        <v>158946782</v>
      </c>
      <c r="AE469" s="503">
        <f t="shared" si="393"/>
        <v>158946786</v>
      </c>
      <c r="AF469" s="121">
        <f t="shared" si="401"/>
        <v>0.99999997483434488</v>
      </c>
      <c r="AG469" s="25">
        <f t="shared" si="394"/>
        <v>-521202</v>
      </c>
      <c r="AH469" s="25">
        <f t="shared" si="395"/>
        <v>3703933</v>
      </c>
      <c r="AI469" s="25">
        <f t="shared" si="396"/>
        <v>17790883</v>
      </c>
      <c r="AJ469" s="13"/>
      <c r="AK469" s="25">
        <f t="shared" si="397"/>
        <v>0</v>
      </c>
      <c r="AL469" s="25">
        <f t="shared" si="398"/>
        <v>179920400</v>
      </c>
      <c r="AU469" s="109"/>
      <c r="AV469" s="108"/>
      <c r="AW469" s="126"/>
    </row>
    <row r="470" spans="3:49">
      <c r="C470" s="134" t="s">
        <v>21</v>
      </c>
      <c r="E470" s="131"/>
      <c r="F470" s="131"/>
      <c r="G470" s="131"/>
      <c r="H470" s="131"/>
      <c r="I470" s="132"/>
      <c r="J470" s="131"/>
      <c r="AD470" s="503">
        <f t="shared" si="400"/>
        <v>11774229</v>
      </c>
      <c r="AE470" s="503">
        <f t="shared" si="393"/>
        <v>11774189</v>
      </c>
      <c r="AF470" s="121">
        <f t="shared" si="401"/>
        <v>1.0000033972615863</v>
      </c>
      <c r="AG470" s="25">
        <f t="shared" si="394"/>
        <v>-37281</v>
      </c>
      <c r="AH470" s="25">
        <f t="shared" si="395"/>
        <v>307902</v>
      </c>
      <c r="AI470" s="25">
        <f t="shared" si="396"/>
        <v>1472676</v>
      </c>
      <c r="AJ470" s="13"/>
      <c r="AK470" s="25">
        <f t="shared" si="397"/>
        <v>0</v>
      </c>
      <c r="AL470" s="25">
        <f t="shared" si="398"/>
        <v>13517486</v>
      </c>
      <c r="AU470" s="109"/>
      <c r="AV470" s="108"/>
      <c r="AW470" s="126"/>
    </row>
    <row r="471" spans="3:49">
      <c r="C471" s="98" t="s">
        <v>1006</v>
      </c>
      <c r="E471" s="131"/>
      <c r="F471" s="131"/>
      <c r="G471" s="131"/>
      <c r="H471" s="131"/>
      <c r="I471" s="132"/>
      <c r="J471" s="131"/>
      <c r="AD471" s="503">
        <f t="shared" si="400"/>
        <v>75126987</v>
      </c>
      <c r="AE471" s="503">
        <f t="shared" si="393"/>
        <v>75126993</v>
      </c>
      <c r="AF471" s="121">
        <f t="shared" si="401"/>
        <v>0.9999999201352302</v>
      </c>
      <c r="AG471" s="25">
        <f t="shared" si="394"/>
        <v>-270983</v>
      </c>
      <c r="AH471" s="25">
        <f t="shared" si="395"/>
        <v>1965777</v>
      </c>
      <c r="AI471" s="25">
        <f t="shared" si="396"/>
        <v>9427672</v>
      </c>
      <c r="AJ471" s="13"/>
      <c r="AK471" s="25">
        <f t="shared" si="397"/>
        <v>0</v>
      </c>
      <c r="AL471" s="25">
        <f t="shared" si="398"/>
        <v>86249459</v>
      </c>
      <c r="AU471" s="109"/>
      <c r="AV471" s="108"/>
      <c r="AW471" s="126"/>
    </row>
    <row r="472" spans="3:49">
      <c r="C472" s="98" t="s">
        <v>409</v>
      </c>
      <c r="E472" s="131"/>
      <c r="F472" s="131"/>
      <c r="G472" s="131"/>
      <c r="H472" s="131"/>
      <c r="I472" s="132"/>
      <c r="J472" s="131"/>
      <c r="AD472" s="503">
        <f t="shared" si="400"/>
        <v>25953510</v>
      </c>
      <c r="AE472" s="503">
        <f t="shared" si="393"/>
        <v>25953502</v>
      </c>
      <c r="AF472" s="121">
        <f t="shared" si="401"/>
        <v>1.0000003082435658</v>
      </c>
      <c r="AG472" s="25">
        <f t="shared" si="394"/>
        <v>-88079</v>
      </c>
      <c r="AH472" s="25">
        <f t="shared" si="395"/>
        <v>704109</v>
      </c>
      <c r="AI472" s="25">
        <f t="shared" si="396"/>
        <v>3368651</v>
      </c>
      <c r="AJ472" s="13"/>
      <c r="AK472" s="25">
        <f t="shared" si="397"/>
        <v>0</v>
      </c>
      <c r="AL472" s="25">
        <f t="shared" si="398"/>
        <v>29938183</v>
      </c>
      <c r="AU472" s="109"/>
      <c r="AV472" s="108"/>
      <c r="AW472" s="126"/>
    </row>
    <row r="473" spans="3:49">
      <c r="C473" s="133" t="s">
        <v>14</v>
      </c>
      <c r="E473" s="131"/>
      <c r="F473" s="131"/>
      <c r="G473" s="131"/>
      <c r="H473" s="131"/>
      <c r="I473" s="132"/>
      <c r="J473" s="131"/>
      <c r="AD473" s="503">
        <f t="shared" si="400"/>
        <v>97755998</v>
      </c>
      <c r="AE473" s="503">
        <f t="shared" si="393"/>
        <v>97755984</v>
      </c>
      <c r="AF473" s="121">
        <f t="shared" si="401"/>
        <v>1.0000001432137393</v>
      </c>
      <c r="AG473" s="25">
        <f t="shared" si="394"/>
        <v>-258931</v>
      </c>
      <c r="AH473" s="25">
        <f t="shared" si="395"/>
        <v>1870474</v>
      </c>
      <c r="AI473" s="25">
        <f t="shared" si="396"/>
        <v>8958596</v>
      </c>
      <c r="AJ473" s="13"/>
      <c r="AK473" s="25">
        <f t="shared" si="397"/>
        <v>0</v>
      </c>
      <c r="AL473" s="25">
        <f t="shared" si="398"/>
        <v>108326123</v>
      </c>
      <c r="AU473" s="109"/>
      <c r="AV473" s="108"/>
      <c r="AW473" s="126"/>
    </row>
    <row r="474" spans="3:49">
      <c r="C474" s="98" t="s">
        <v>425</v>
      </c>
      <c r="E474" s="131"/>
      <c r="F474" s="131"/>
      <c r="G474" s="131"/>
      <c r="H474" s="131"/>
      <c r="I474" s="132"/>
      <c r="J474" s="131"/>
      <c r="AD474" s="503">
        <f t="shared" si="400"/>
        <v>3298944</v>
      </c>
      <c r="AE474" s="503">
        <f t="shared" si="393"/>
        <v>3298968</v>
      </c>
      <c r="AF474" s="121">
        <f t="shared" si="401"/>
        <v>0.99999272499763558</v>
      </c>
      <c r="AG474" s="25">
        <f t="shared" si="394"/>
        <v>-23805</v>
      </c>
      <c r="AH474" s="25">
        <f t="shared" si="395"/>
        <v>0</v>
      </c>
      <c r="AI474" s="25">
        <f t="shared" si="396"/>
        <v>522424</v>
      </c>
      <c r="AJ474" s="13"/>
      <c r="AK474" s="25">
        <f t="shared" si="397"/>
        <v>0</v>
      </c>
      <c r="AL474" s="25">
        <f t="shared" si="398"/>
        <v>3797587</v>
      </c>
      <c r="AU474" s="109"/>
      <c r="AV474" s="108"/>
      <c r="AW474" s="126"/>
    </row>
    <row r="475" spans="3:49">
      <c r="C475" s="98" t="s">
        <v>63</v>
      </c>
      <c r="E475" s="131"/>
      <c r="F475" s="131"/>
      <c r="G475" s="131"/>
      <c r="H475" s="131"/>
      <c r="I475" s="132"/>
      <c r="J475" s="131"/>
      <c r="AD475" s="503">
        <f t="shared" si="400"/>
        <v>0</v>
      </c>
      <c r="AE475" s="503">
        <f t="shared" si="393"/>
        <v>0</v>
      </c>
      <c r="AF475" s="121" t="e">
        <f t="shared" si="401"/>
        <v>#DIV/0!</v>
      </c>
      <c r="AG475" s="25">
        <f t="shared" si="394"/>
        <v>0</v>
      </c>
      <c r="AH475" s="25">
        <f t="shared" si="395"/>
        <v>0</v>
      </c>
      <c r="AI475" s="25">
        <f t="shared" si="396"/>
        <v>0</v>
      </c>
      <c r="AJ475" s="13"/>
      <c r="AK475" s="25">
        <f t="shared" si="397"/>
        <v>-3438312</v>
      </c>
      <c r="AL475" s="25">
        <f t="shared" si="398"/>
        <v>-3438312</v>
      </c>
      <c r="AU475" s="109"/>
      <c r="AV475" s="108"/>
      <c r="AW475" s="126"/>
    </row>
    <row r="476" spans="3:49">
      <c r="C476" s="98" t="s">
        <v>412</v>
      </c>
      <c r="E476" s="131"/>
      <c r="F476" s="131"/>
      <c r="G476" s="131"/>
      <c r="H476" s="131"/>
      <c r="I476" s="132"/>
      <c r="J476" s="131"/>
      <c r="AD476" s="503">
        <f t="shared" si="400"/>
        <v>6295323</v>
      </c>
      <c r="AE476" s="503">
        <f t="shared" si="393"/>
        <v>6295326</v>
      </c>
      <c r="AF476" s="121">
        <f t="shared" si="401"/>
        <v>0.99999952345597354</v>
      </c>
      <c r="AG476" s="25">
        <f t="shared" si="394"/>
        <v>-44645</v>
      </c>
      <c r="AH476" s="25">
        <f t="shared" si="395"/>
        <v>0</v>
      </c>
      <c r="AI476" s="25">
        <f t="shared" si="396"/>
        <v>990192</v>
      </c>
      <c r="AJ476" s="13"/>
      <c r="AK476" s="25">
        <f t="shared" si="397"/>
        <v>0</v>
      </c>
      <c r="AL476" s="25">
        <f t="shared" si="398"/>
        <v>7240873</v>
      </c>
      <c r="AU476" s="109"/>
      <c r="AV476" s="108"/>
      <c r="AW476" s="126"/>
    </row>
    <row r="477" spans="3:49">
      <c r="C477" s="98" t="s">
        <v>15</v>
      </c>
      <c r="E477" s="131"/>
      <c r="F477" s="131"/>
      <c r="G477" s="131"/>
      <c r="H477" s="131"/>
      <c r="I477" s="132"/>
      <c r="J477" s="131"/>
      <c r="AD477" s="503">
        <f t="shared" si="400"/>
        <v>47838357</v>
      </c>
      <c r="AE477" s="503">
        <f t="shared" si="393"/>
        <v>47838363</v>
      </c>
      <c r="AF477" s="121">
        <f t="shared" si="401"/>
        <v>0.99999987457764805</v>
      </c>
      <c r="AG477" s="25">
        <f t="shared" si="394"/>
        <v>-258694</v>
      </c>
      <c r="AH477" s="25">
        <f t="shared" si="395"/>
        <v>0</v>
      </c>
      <c r="AI477" s="25">
        <f t="shared" si="396"/>
        <v>8051886</v>
      </c>
      <c r="AJ477" s="13"/>
      <c r="AK477" s="25">
        <f t="shared" si="397"/>
        <v>0</v>
      </c>
      <c r="AL477" s="25">
        <f t="shared" si="398"/>
        <v>55631555</v>
      </c>
      <c r="AV477" s="108"/>
      <c r="AW477" s="126"/>
    </row>
    <row r="478" spans="3:49">
      <c r="C478" s="95" t="s">
        <v>421</v>
      </c>
      <c r="E478" s="131"/>
      <c r="F478" s="131"/>
      <c r="G478" s="131"/>
      <c r="H478" s="131"/>
      <c r="I478" s="132"/>
      <c r="J478" s="131"/>
      <c r="AD478" s="503">
        <f t="shared" si="400"/>
        <v>105394195</v>
      </c>
      <c r="AE478" s="503">
        <f t="shared" si="393"/>
        <v>105394201</v>
      </c>
      <c r="AF478" s="121">
        <f t="shared" si="401"/>
        <v>0.99999994307087159</v>
      </c>
      <c r="AG478" s="25">
        <f t="shared" si="394"/>
        <v>-495205</v>
      </c>
      <c r="AH478" s="25">
        <f t="shared" si="395"/>
        <v>3151617</v>
      </c>
      <c r="AI478" s="25">
        <f t="shared" si="396"/>
        <v>15216647</v>
      </c>
      <c r="AJ478" s="13"/>
      <c r="AK478" s="25">
        <f t="shared" si="397"/>
        <v>0</v>
      </c>
      <c r="AL478" s="25">
        <f t="shared" si="398"/>
        <v>123267260</v>
      </c>
      <c r="AV478" s="108"/>
      <c r="AW478" s="126"/>
    </row>
    <row r="479" spans="3:49">
      <c r="C479" s="95" t="s">
        <v>17</v>
      </c>
      <c r="E479" s="131"/>
      <c r="F479" s="131"/>
      <c r="G479" s="131"/>
      <c r="H479" s="131"/>
      <c r="I479" s="132"/>
      <c r="J479" s="131"/>
      <c r="AD479" s="503">
        <f t="shared" si="400"/>
        <v>222435</v>
      </c>
      <c r="AE479" s="503">
        <f>AD479</f>
        <v>222435</v>
      </c>
      <c r="AF479" s="121">
        <f t="shared" si="401"/>
        <v>1</v>
      </c>
      <c r="AG479" s="25">
        <f t="shared" si="394"/>
        <v>0</v>
      </c>
      <c r="AH479" s="25">
        <f t="shared" si="395"/>
        <v>0</v>
      </c>
      <c r="AI479" s="25">
        <f t="shared" si="396"/>
        <v>0</v>
      </c>
      <c r="AJ479" s="13"/>
      <c r="AK479" s="25">
        <f t="shared" si="397"/>
        <v>0</v>
      </c>
      <c r="AL479" s="25">
        <f t="shared" si="398"/>
        <v>0</v>
      </c>
      <c r="AV479" s="108"/>
      <c r="AW479" s="126"/>
    </row>
    <row r="480" spans="3:49">
      <c r="C480" s="95" t="s">
        <v>18</v>
      </c>
      <c r="E480" s="131"/>
      <c r="F480" s="131"/>
      <c r="G480" s="131"/>
      <c r="H480" s="131"/>
      <c r="I480" s="132"/>
      <c r="J480" s="131"/>
      <c r="AD480" s="503">
        <f>ROUND(SUMIF(L_12MonResults_RateClass,$C480,L_12MonResults_Revenue_Base_Calculated),0)</f>
        <v>272978</v>
      </c>
      <c r="AE480" s="503">
        <v>272978</v>
      </c>
      <c r="AF480" s="121">
        <f t="shared" si="401"/>
        <v>1</v>
      </c>
      <c r="AG480" s="25">
        <f t="shared" si="394"/>
        <v>0</v>
      </c>
      <c r="AH480" s="25">
        <f t="shared" si="395"/>
        <v>0</v>
      </c>
      <c r="AI480" s="25">
        <f t="shared" si="396"/>
        <v>0</v>
      </c>
      <c r="AJ480" s="13"/>
      <c r="AK480" s="25">
        <f t="shared" si="397"/>
        <v>0</v>
      </c>
      <c r="AL480" s="25">
        <f t="shared" si="398"/>
        <v>0</v>
      </c>
      <c r="AV480" s="108"/>
      <c r="AW480" s="126"/>
    </row>
    <row r="481" spans="3:49">
      <c r="C481" s="95" t="s">
        <v>13</v>
      </c>
      <c r="E481" s="131"/>
      <c r="F481" s="131"/>
      <c r="G481" s="131"/>
      <c r="H481" s="131"/>
      <c r="I481" s="132"/>
      <c r="J481" s="131"/>
      <c r="AD481" s="503">
        <f>ROUND(SUMIF(L_12MonResults_RateClass,$C481,L_12MonResults_Revenue_Base_Calculated),0)</f>
        <v>391213181</v>
      </c>
      <c r="AE481" s="503">
        <f>AL481-SUM(AG481:AI481)</f>
        <v>391213471</v>
      </c>
      <c r="AF481" s="121">
        <f t="shared" si="401"/>
        <v>0.99999925871673268</v>
      </c>
      <c r="AG481" s="647">
        <f>ROUND(LEV!$I$107,0)</f>
        <v>-827983</v>
      </c>
      <c r="AH481" s="647">
        <f>ROUND(LEV!$I$108,0)</f>
        <v>7942641</v>
      </c>
      <c r="AI481" s="647">
        <f>ROUND(LEV!$I$109,0)</f>
        <v>37698882</v>
      </c>
      <c r="AJ481" s="13"/>
      <c r="AK481" s="25">
        <f t="shared" si="397"/>
        <v>0</v>
      </c>
      <c r="AL481" s="647">
        <f>ROUND(LEV!$I$111,0)</f>
        <v>436027011</v>
      </c>
      <c r="AV481" s="108"/>
      <c r="AW481" s="126"/>
    </row>
    <row r="482" spans="3:49">
      <c r="C482" s="95" t="s">
        <v>641</v>
      </c>
      <c r="E482" s="131"/>
      <c r="F482" s="131"/>
      <c r="G482" s="131"/>
      <c r="H482" s="131"/>
      <c r="I482" s="132"/>
      <c r="J482" s="131"/>
      <c r="AD482" s="503">
        <v>29082</v>
      </c>
      <c r="AE482" s="503">
        <f>AL482-SUM(AG482:AI482)</f>
        <v>29082</v>
      </c>
      <c r="AF482" s="121">
        <f t="shared" si="401"/>
        <v>1</v>
      </c>
      <c r="AG482" s="25">
        <f>ROUND(LEV!$E$107,0)</f>
        <v>-39</v>
      </c>
      <c r="AH482" s="25">
        <f>ROUND(LEV!$E$108,0)</f>
        <v>370</v>
      </c>
      <c r="AI482" s="25">
        <f>ROUND(LEV!$E$109,0)</f>
        <v>1757</v>
      </c>
      <c r="AJ482" s="13"/>
      <c r="AK482" s="25">
        <f t="shared" si="397"/>
        <v>0</v>
      </c>
      <c r="AL482" s="25">
        <f>ROUND(LEV!$E$111,0)</f>
        <v>31170</v>
      </c>
      <c r="AV482" s="108"/>
      <c r="AW482" s="126"/>
    </row>
    <row r="483" spans="3:49">
      <c r="C483" s="95" t="s">
        <v>1508</v>
      </c>
      <c r="E483" s="131"/>
      <c r="F483" s="131"/>
      <c r="G483" s="131"/>
      <c r="H483" s="131"/>
      <c r="I483" s="132"/>
      <c r="J483" s="131"/>
      <c r="AD483" s="607">
        <f>ROUND(AD468+AD473,0)</f>
        <v>140143813</v>
      </c>
      <c r="AE483" s="607">
        <f>AE468+AE473</f>
        <v>140143807</v>
      </c>
      <c r="AF483" s="121">
        <f>AD483/AE483</f>
        <v>1.0000000428131655</v>
      </c>
      <c r="AG483" s="131"/>
      <c r="AI483" s="131"/>
      <c r="AJ483" s="131"/>
      <c r="AV483" s="108"/>
      <c r="AW483" s="126"/>
    </row>
    <row r="484" spans="3:49">
      <c r="C484" s="95" t="s">
        <v>1510</v>
      </c>
      <c r="E484" s="131"/>
      <c r="F484" s="131"/>
      <c r="G484" s="131"/>
      <c r="H484" s="131"/>
      <c r="I484" s="132"/>
      <c r="J484" s="131"/>
      <c r="AD484" s="607">
        <f>ROUND(AD472+AD478,0)</f>
        <v>131347705</v>
      </c>
      <c r="AE484" s="607">
        <f>ROUND(AE472+AE478,0)</f>
        <v>131347703</v>
      </c>
      <c r="AF484" s="121">
        <f>AD484/AE484</f>
        <v>1.0000000152267603</v>
      </c>
      <c r="AG484" s="131"/>
      <c r="AI484" s="131"/>
      <c r="AJ484" s="131"/>
      <c r="AV484" s="108"/>
      <c r="AW484" s="126"/>
    </row>
    <row r="485" spans="3:49">
      <c r="C485"/>
      <c r="E485" s="131"/>
      <c r="F485" s="131"/>
      <c r="G485" s="131"/>
      <c r="H485" s="131"/>
      <c r="I485" s="132"/>
      <c r="J485" s="131"/>
      <c r="AE485" s="131"/>
      <c r="AG485" s="131"/>
      <c r="AI485" s="131"/>
      <c r="AJ485" s="131"/>
      <c r="AV485" s="108"/>
      <c r="AW485" s="126"/>
    </row>
    <row r="486" spans="3:49">
      <c r="C486"/>
      <c r="E486" s="131"/>
      <c r="F486" s="131"/>
      <c r="G486" s="131"/>
      <c r="H486" s="131"/>
      <c r="I486" s="132"/>
      <c r="J486" s="131"/>
      <c r="AE486" s="131"/>
      <c r="AG486" s="131"/>
      <c r="AI486" s="131"/>
      <c r="AJ486" s="131"/>
      <c r="AV486" s="108"/>
      <c r="AW486" s="126"/>
    </row>
    <row r="487" spans="3:49">
      <c r="C487"/>
      <c r="E487" s="131"/>
      <c r="F487" s="131"/>
      <c r="G487" s="131"/>
      <c r="H487" s="131"/>
      <c r="I487" s="132"/>
      <c r="J487" s="131"/>
      <c r="AE487" s="131"/>
      <c r="AG487" s="131"/>
      <c r="AI487" s="131"/>
      <c r="AJ487" s="131"/>
      <c r="AV487" s="108"/>
      <c r="AW487" s="126"/>
    </row>
    <row r="488" spans="3:49">
      <c r="C488"/>
      <c r="E488" s="131"/>
      <c r="F488" s="131"/>
      <c r="G488" s="131"/>
      <c r="H488" s="131"/>
      <c r="I488" s="132"/>
      <c r="J488" s="131"/>
      <c r="AE488" s="131"/>
      <c r="AG488" s="131"/>
      <c r="AI488" s="131"/>
      <c r="AJ488" s="131"/>
      <c r="AV488" s="108"/>
      <c r="AW488" s="126"/>
    </row>
    <row r="489" spans="3:49">
      <c r="C489"/>
      <c r="E489" s="131"/>
      <c r="F489" s="131"/>
      <c r="G489" s="131"/>
      <c r="H489" s="131"/>
      <c r="I489" s="132"/>
      <c r="J489" s="131"/>
      <c r="AE489" s="713"/>
      <c r="AG489" s="131"/>
      <c r="AI489" s="131"/>
      <c r="AJ489" s="131"/>
      <c r="AV489" s="108"/>
      <c r="AW489" s="126"/>
    </row>
    <row r="490" spans="3:49">
      <c r="C490"/>
      <c r="E490" s="131"/>
      <c r="F490" s="131"/>
      <c r="G490" s="131"/>
      <c r="H490" s="131"/>
      <c r="I490" s="132"/>
      <c r="J490" s="131"/>
      <c r="AE490" s="131"/>
      <c r="AG490" s="131"/>
      <c r="AI490" s="131"/>
      <c r="AJ490" s="131"/>
      <c r="AV490" s="108"/>
      <c r="AW490" s="126"/>
    </row>
    <row r="491" spans="3:49">
      <c r="C491"/>
      <c r="G491" s="132"/>
      <c r="H491" s="132"/>
      <c r="I491" s="132"/>
      <c r="AE491" s="95"/>
      <c r="AG491" s="95"/>
      <c r="AI491" s="96"/>
      <c r="AV491" s="108"/>
      <c r="AW491" s="126"/>
    </row>
    <row r="492" spans="3:49">
      <c r="C492"/>
      <c r="E492" s="131"/>
      <c r="F492" s="131"/>
      <c r="G492" s="131"/>
      <c r="H492" s="131"/>
      <c r="I492" s="132"/>
      <c r="J492" s="131"/>
      <c r="AE492" s="131"/>
      <c r="AG492" s="131"/>
      <c r="AI492" s="131"/>
      <c r="AJ492" s="131"/>
      <c r="AV492" s="108"/>
      <c r="AW492" s="126"/>
    </row>
    <row r="493" spans="3:49">
      <c r="C493"/>
      <c r="G493" s="132"/>
      <c r="H493" s="131"/>
      <c r="I493" s="132"/>
      <c r="AV493" s="108"/>
      <c r="AW493" s="126"/>
    </row>
    <row r="494" spans="3:49">
      <c r="C494"/>
      <c r="G494" s="132"/>
      <c r="H494" s="132"/>
      <c r="I494" s="132"/>
      <c r="AV494" s="108"/>
      <c r="AW494" s="126"/>
    </row>
    <row r="495" spans="3:49">
      <c r="C495"/>
      <c r="G495" s="132"/>
      <c r="H495" s="132"/>
      <c r="I495" s="132"/>
      <c r="AV495" s="108"/>
      <c r="AW495" s="126"/>
    </row>
    <row r="496" spans="3:49">
      <c r="C496"/>
      <c r="G496" s="132"/>
      <c r="H496" s="132"/>
      <c r="I496" s="132"/>
      <c r="AV496" s="108"/>
      <c r="AW496" s="126"/>
    </row>
    <row r="497" spans="3:49" ht="12.6" customHeight="1">
      <c r="C497"/>
      <c r="G497" s="132"/>
      <c r="H497" s="132"/>
      <c r="I497" s="132"/>
      <c r="AV497" s="108"/>
      <c r="AW497" s="126"/>
    </row>
    <row r="498" spans="3:49" ht="12.6" customHeight="1">
      <c r="C498"/>
      <c r="G498" s="132"/>
      <c r="H498" s="132"/>
      <c r="I498" s="132"/>
      <c r="AV498" s="108"/>
      <c r="AW498" s="126"/>
    </row>
    <row r="499" spans="3:49" ht="12.6" customHeight="1">
      <c r="C499"/>
      <c r="G499" s="132"/>
      <c r="H499" s="132"/>
      <c r="I499" s="132"/>
      <c r="AV499" s="108"/>
      <c r="AW499" s="126"/>
    </row>
    <row r="500" spans="3:49">
      <c r="C500"/>
      <c r="G500" s="132"/>
      <c r="H500" s="132"/>
      <c r="I500" s="132"/>
      <c r="AV500" s="108"/>
      <c r="AW500" s="126"/>
    </row>
    <row r="501" spans="3:49">
      <c r="C501"/>
      <c r="G501" s="132"/>
      <c r="H501" s="132"/>
      <c r="I501" s="132"/>
      <c r="AV501" s="108"/>
      <c r="AW501" s="126"/>
    </row>
    <row r="502" spans="3:49">
      <c r="C502"/>
      <c r="G502" s="132"/>
      <c r="H502" s="132"/>
      <c r="I502" s="132"/>
      <c r="AV502" s="108"/>
      <c r="AW502" s="126"/>
    </row>
    <row r="503" spans="3:49">
      <c r="C503"/>
      <c r="G503" s="132"/>
      <c r="H503" s="132"/>
      <c r="I503" s="132"/>
      <c r="AV503" s="108"/>
      <c r="AW503" s="126"/>
    </row>
    <row r="504" spans="3:49">
      <c r="C504"/>
      <c r="G504" s="132"/>
      <c r="H504" s="132"/>
      <c r="I504" s="132"/>
      <c r="AV504" s="108"/>
      <c r="AW504" s="126"/>
    </row>
    <row r="505" spans="3:49">
      <c r="C505"/>
      <c r="G505" s="132"/>
      <c r="H505" s="132"/>
      <c r="I505" s="132"/>
      <c r="AV505" s="108"/>
      <c r="AW505" s="126"/>
    </row>
    <row r="506" spans="3:49">
      <c r="C506"/>
      <c r="G506" s="132"/>
      <c r="H506" s="132"/>
      <c r="I506" s="132"/>
      <c r="AV506" s="108"/>
      <c r="AW506" s="126"/>
    </row>
    <row r="507" spans="3:49">
      <c r="C507"/>
      <c r="G507" s="132"/>
      <c r="H507" s="132"/>
      <c r="I507" s="132"/>
      <c r="AV507" s="108"/>
      <c r="AW507" s="126"/>
    </row>
    <row r="508" spans="3:49">
      <c r="C508"/>
      <c r="G508" s="132"/>
      <c r="H508" s="132"/>
      <c r="I508" s="132"/>
      <c r="AV508" s="108"/>
      <c r="AW508" s="126"/>
    </row>
    <row r="509" spans="3:49">
      <c r="C509"/>
      <c r="AV509" s="108"/>
      <c r="AW509" s="126"/>
    </row>
    <row r="510" spans="3:49">
      <c r="C510"/>
      <c r="AV510" s="108"/>
      <c r="AW510" s="126"/>
    </row>
    <row r="511" spans="3:49">
      <c r="C511"/>
      <c r="AV511" s="108"/>
      <c r="AW511" s="126"/>
    </row>
    <row r="512" spans="3:49">
      <c r="C512"/>
      <c r="AV512" s="108"/>
      <c r="AW512" s="126"/>
    </row>
    <row r="513" spans="3:49">
      <c r="C513"/>
      <c r="AV513" s="108"/>
      <c r="AW513" s="126"/>
    </row>
    <row r="514" spans="3:49">
      <c r="C514"/>
      <c r="AV514" s="108"/>
      <c r="AW514" s="126"/>
    </row>
    <row r="515" spans="3:49">
      <c r="C515"/>
      <c r="AV515" s="108"/>
      <c r="AW515" s="126"/>
    </row>
    <row r="516" spans="3:49">
      <c r="C516"/>
      <c r="AV516" s="108"/>
      <c r="AW516" s="126"/>
    </row>
    <row r="517" spans="3:49">
      <c r="C517"/>
      <c r="AV517" s="108"/>
      <c r="AW517" s="126"/>
    </row>
    <row r="518" spans="3:49">
      <c r="C518"/>
      <c r="AV518" s="108"/>
      <c r="AW518" s="126"/>
    </row>
    <row r="519" spans="3:49">
      <c r="C519"/>
      <c r="AV519" s="108"/>
      <c r="AW519" s="126"/>
    </row>
    <row r="520" spans="3:49">
      <c r="C520"/>
      <c r="AV520" s="108"/>
      <c r="AW520" s="126"/>
    </row>
    <row r="521" spans="3:49">
      <c r="C521"/>
      <c r="AV521" s="108"/>
      <c r="AW521" s="126"/>
    </row>
    <row r="522" spans="3:49">
      <c r="C522"/>
      <c r="AV522" s="108"/>
      <c r="AW522" s="126"/>
    </row>
    <row r="523" spans="3:49">
      <c r="C523"/>
      <c r="AV523" s="108"/>
      <c r="AW523" s="126"/>
    </row>
    <row r="524" spans="3:49">
      <c r="C524"/>
      <c r="AV524" s="108"/>
      <c r="AW524" s="126"/>
    </row>
    <row r="525" spans="3:49">
      <c r="C525"/>
      <c r="AV525" s="108"/>
      <c r="AW525" s="126"/>
    </row>
    <row r="526" spans="3:49">
      <c r="C526"/>
      <c r="AV526" s="108"/>
      <c r="AW526" s="126"/>
    </row>
    <row r="527" spans="3:49">
      <c r="C527"/>
      <c r="AV527" s="108"/>
      <c r="AW527" s="126"/>
    </row>
    <row r="528" spans="3:49">
      <c r="C528"/>
      <c r="AV528" s="108"/>
      <c r="AW528" s="126"/>
    </row>
    <row r="529" spans="3:49">
      <c r="C529"/>
      <c r="AV529" s="108"/>
      <c r="AW529" s="126"/>
    </row>
    <row r="530" spans="3:49">
      <c r="C530"/>
      <c r="AV530" s="108"/>
      <c r="AW530" s="126"/>
    </row>
    <row r="531" spans="3:49">
      <c r="C531"/>
      <c r="AV531" s="108"/>
      <c r="AW531" s="126"/>
    </row>
    <row r="532" spans="3:49">
      <c r="C532"/>
      <c r="AV532" s="108"/>
      <c r="AW532" s="126"/>
    </row>
    <row r="533" spans="3:49">
      <c r="C533"/>
      <c r="AV533" s="108"/>
      <c r="AW533" s="126"/>
    </row>
    <row r="534" spans="3:49">
      <c r="C534"/>
      <c r="AV534" s="108"/>
      <c r="AW534" s="126"/>
    </row>
    <row r="535" spans="3:49">
      <c r="C535"/>
      <c r="AV535" s="108"/>
      <c r="AW535" s="126"/>
    </row>
    <row r="536" spans="3:49">
      <c r="C536"/>
      <c r="AV536" s="108"/>
      <c r="AW536" s="126"/>
    </row>
    <row r="537" spans="3:49">
      <c r="C537"/>
      <c r="AV537" s="108"/>
      <c r="AW537" s="126"/>
    </row>
    <row r="538" spans="3:49">
      <c r="C538"/>
      <c r="AV538" s="108"/>
      <c r="AW538" s="126"/>
    </row>
    <row r="539" spans="3:49">
      <c r="C539"/>
      <c r="AV539" s="108"/>
      <c r="AW539" s="126"/>
    </row>
    <row r="540" spans="3:49">
      <c r="C540"/>
      <c r="AV540" s="108"/>
      <c r="AW540" s="126"/>
    </row>
    <row r="541" spans="3:49">
      <c r="C541"/>
      <c r="AV541" s="108"/>
      <c r="AW541" s="126"/>
    </row>
    <row r="542" spans="3:49">
      <c r="C542"/>
      <c r="AV542" s="108"/>
      <c r="AW542" s="126"/>
    </row>
    <row r="543" spans="3:49">
      <c r="C543"/>
      <c r="AV543" s="108"/>
      <c r="AW543" s="126"/>
    </row>
    <row r="544" spans="3:49">
      <c r="C544"/>
      <c r="AV544" s="108"/>
      <c r="AW544" s="126"/>
    </row>
    <row r="545" spans="3:49">
      <c r="C545"/>
      <c r="AV545" s="108"/>
      <c r="AW545" s="126"/>
    </row>
    <row r="546" spans="3:49">
      <c r="C546"/>
      <c r="AV546" s="108"/>
      <c r="AW546" s="126"/>
    </row>
    <row r="547" spans="3:49">
      <c r="C547"/>
      <c r="AV547" s="108"/>
      <c r="AW547" s="126"/>
    </row>
    <row r="548" spans="3:49">
      <c r="C548"/>
      <c r="AV548" s="108"/>
      <c r="AW548" s="126"/>
    </row>
    <row r="549" spans="3:49">
      <c r="C549"/>
      <c r="AV549" s="108"/>
      <c r="AW549" s="126"/>
    </row>
    <row r="550" spans="3:49">
      <c r="C550"/>
      <c r="AV550" s="108"/>
      <c r="AW550" s="126"/>
    </row>
    <row r="551" spans="3:49">
      <c r="C551"/>
      <c r="AV551" s="108"/>
      <c r="AW551" s="126"/>
    </row>
    <row r="552" spans="3:49">
      <c r="C552"/>
      <c r="AV552" s="108"/>
      <c r="AW552" s="126"/>
    </row>
    <row r="553" spans="3:49">
      <c r="C553"/>
      <c r="AV553" s="108"/>
      <c r="AW553" s="126"/>
    </row>
    <row r="554" spans="3:49">
      <c r="C554"/>
      <c r="AV554" s="108"/>
      <c r="AW554" s="126"/>
    </row>
    <row r="555" spans="3:49">
      <c r="C555"/>
      <c r="AV555" s="108"/>
      <c r="AW555" s="126"/>
    </row>
    <row r="556" spans="3:49">
      <c r="C556"/>
      <c r="AV556" s="108"/>
      <c r="AW556" s="126"/>
    </row>
    <row r="557" spans="3:49">
      <c r="C557"/>
      <c r="AV557" s="108"/>
      <c r="AW557" s="126"/>
    </row>
    <row r="558" spans="3:49">
      <c r="C558"/>
      <c r="AV558" s="108"/>
      <c r="AW558" s="126"/>
    </row>
    <row r="559" spans="3:49">
      <c r="C559"/>
      <c r="AV559" s="108"/>
      <c r="AW559" s="126"/>
    </row>
    <row r="560" spans="3:49">
      <c r="C560"/>
      <c r="AV560" s="108"/>
      <c r="AW560" s="126"/>
    </row>
    <row r="561" spans="3:49">
      <c r="C561"/>
      <c r="AV561" s="108"/>
      <c r="AW561" s="126"/>
    </row>
    <row r="562" spans="3:49">
      <c r="C562"/>
      <c r="AV562" s="108"/>
      <c r="AW562" s="126"/>
    </row>
    <row r="563" spans="3:49">
      <c r="C563"/>
      <c r="AV563" s="108"/>
      <c r="AW563" s="126"/>
    </row>
    <row r="564" spans="3:49">
      <c r="C564"/>
      <c r="AV564" s="108"/>
      <c r="AW564" s="126"/>
    </row>
    <row r="565" spans="3:49">
      <c r="C565"/>
      <c r="AV565" s="108"/>
      <c r="AW565" s="126"/>
    </row>
    <row r="566" spans="3:49">
      <c r="C566"/>
      <c r="AV566" s="108"/>
      <c r="AW566" s="126"/>
    </row>
    <row r="567" spans="3:49">
      <c r="C567"/>
      <c r="AV567" s="108"/>
      <c r="AW567" s="126"/>
    </row>
    <row r="568" spans="3:49">
      <c r="C568"/>
      <c r="AV568" s="108"/>
      <c r="AW568" s="126"/>
    </row>
    <row r="569" spans="3:49">
      <c r="C569"/>
      <c r="AV569" s="108"/>
      <c r="AW569" s="126"/>
    </row>
    <row r="570" spans="3:49">
      <c r="C570"/>
      <c r="AV570" s="108"/>
      <c r="AW570" s="126"/>
    </row>
    <row r="571" spans="3:49">
      <c r="C571"/>
      <c r="AV571" s="108"/>
      <c r="AW571" s="126"/>
    </row>
    <row r="572" spans="3:49">
      <c r="C572"/>
      <c r="AV572" s="108"/>
      <c r="AW572" s="126"/>
    </row>
    <row r="573" spans="3:49">
      <c r="C573"/>
      <c r="AV573" s="108"/>
      <c r="AW573" s="126"/>
    </row>
    <row r="574" spans="3:49">
      <c r="C574"/>
      <c r="AV574" s="108"/>
      <c r="AW574" s="126"/>
    </row>
    <row r="575" spans="3:49">
      <c r="C575"/>
      <c r="AV575" s="108"/>
      <c r="AW575" s="126"/>
    </row>
    <row r="576" spans="3:49">
      <c r="C576"/>
      <c r="AV576" s="108"/>
      <c r="AW576" s="126"/>
    </row>
    <row r="577" spans="3:49">
      <c r="C577"/>
      <c r="AV577" s="108"/>
      <c r="AW577" s="126"/>
    </row>
    <row r="578" spans="3:49">
      <c r="C578"/>
      <c r="AV578" s="108"/>
      <c r="AW578" s="126"/>
    </row>
    <row r="579" spans="3:49">
      <c r="C579"/>
      <c r="AV579" s="108"/>
      <c r="AW579" s="126"/>
    </row>
    <row r="580" spans="3:49">
      <c r="C580"/>
      <c r="AV580" s="108"/>
      <c r="AW580" s="126"/>
    </row>
    <row r="581" spans="3:49">
      <c r="C581"/>
      <c r="AV581" s="108"/>
      <c r="AW581" s="126"/>
    </row>
    <row r="582" spans="3:49">
      <c r="C582"/>
      <c r="AV582" s="108"/>
      <c r="AW582" s="126"/>
    </row>
    <row r="583" spans="3:49">
      <c r="C583"/>
      <c r="AV583" s="108"/>
      <c r="AW583" s="126"/>
    </row>
    <row r="584" spans="3:49">
      <c r="C584"/>
      <c r="AV584" s="108"/>
      <c r="AW584" s="126"/>
    </row>
    <row r="585" spans="3:49">
      <c r="C585"/>
      <c r="AV585" s="108"/>
      <c r="AW585" s="126"/>
    </row>
    <row r="586" spans="3:49">
      <c r="C586"/>
    </row>
    <row r="587" spans="3:49">
      <c r="C587"/>
    </row>
    <row r="588" spans="3:49">
      <c r="C588"/>
    </row>
    <row r="589" spans="3:49">
      <c r="C589"/>
    </row>
    <row r="590" spans="3:49">
      <c r="C590"/>
    </row>
    <row r="591" spans="3:49">
      <c r="C591"/>
    </row>
    <row r="592" spans="3:49">
      <c r="C592"/>
    </row>
    <row r="593" spans="3:3">
      <c r="C593"/>
    </row>
    <row r="594" spans="3:3">
      <c r="C594"/>
    </row>
    <row r="595" spans="3:3">
      <c r="C595"/>
    </row>
    <row r="596" spans="3:3">
      <c r="C596"/>
    </row>
    <row r="597" spans="3:3">
      <c r="C597"/>
    </row>
    <row r="598" spans="3:3">
      <c r="C598"/>
    </row>
    <row r="599" spans="3:3">
      <c r="C599"/>
    </row>
    <row r="600" spans="3:3">
      <c r="C600"/>
    </row>
    <row r="601" spans="3:3">
      <c r="C601"/>
    </row>
    <row r="602" spans="3:3">
      <c r="C602"/>
    </row>
    <row r="603" spans="3:3">
      <c r="C603"/>
    </row>
    <row r="604" spans="3:3">
      <c r="C604"/>
    </row>
    <row r="605" spans="3:3">
      <c r="C605"/>
    </row>
    <row r="606" spans="3:3">
      <c r="C606"/>
    </row>
    <row r="607" spans="3:3">
      <c r="C607"/>
    </row>
    <row r="608" spans="3:3">
      <c r="C608"/>
    </row>
    <row r="609" spans="3:3">
      <c r="C609"/>
    </row>
    <row r="610" spans="3:3">
      <c r="C610"/>
    </row>
    <row r="611" spans="3:3">
      <c r="C611"/>
    </row>
    <row r="612" spans="3:3">
      <c r="C612"/>
    </row>
    <row r="613" spans="3:3">
      <c r="C613"/>
    </row>
    <row r="614" spans="3:3">
      <c r="C614"/>
    </row>
    <row r="615" spans="3:3">
      <c r="C615"/>
    </row>
    <row r="616" spans="3:3">
      <c r="C616"/>
    </row>
    <row r="617" spans="3:3">
      <c r="C617"/>
    </row>
    <row r="618" spans="3:3">
      <c r="C618"/>
    </row>
    <row r="619" spans="3:3">
      <c r="C619"/>
    </row>
    <row r="620" spans="3:3">
      <c r="C620"/>
    </row>
    <row r="621" spans="3:3">
      <c r="C621"/>
    </row>
    <row r="622" spans="3:3">
      <c r="C622"/>
    </row>
    <row r="623" spans="3:3">
      <c r="C623"/>
    </row>
    <row r="624" spans="3:3">
      <c r="C624"/>
    </row>
    <row r="625" spans="3:3">
      <c r="C625"/>
    </row>
    <row r="626" spans="3:3">
      <c r="C626"/>
    </row>
    <row r="627" spans="3:3">
      <c r="C627"/>
    </row>
    <row r="628" spans="3:3">
      <c r="C628"/>
    </row>
    <row r="629" spans="3:3">
      <c r="C629"/>
    </row>
    <row r="630" spans="3:3">
      <c r="C630"/>
    </row>
    <row r="631" spans="3:3">
      <c r="C631"/>
    </row>
    <row r="632" spans="3:3">
      <c r="C632"/>
    </row>
    <row r="633" spans="3:3">
      <c r="C633"/>
    </row>
    <row r="634" spans="3:3">
      <c r="C634"/>
    </row>
    <row r="635" spans="3:3">
      <c r="C635"/>
    </row>
    <row r="636" spans="3:3">
      <c r="C636"/>
    </row>
    <row r="637" spans="3:3">
      <c r="C637"/>
    </row>
    <row r="638" spans="3:3">
      <c r="C638"/>
    </row>
    <row r="639" spans="3:3">
      <c r="C639"/>
    </row>
    <row r="640" spans="3:3">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c r="C69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c r="C704"/>
    </row>
    <row r="705" spans="3:3">
      <c r="C705"/>
    </row>
    <row r="706" spans="3:3">
      <c r="C706"/>
    </row>
    <row r="707" spans="3:3">
      <c r="C707"/>
    </row>
    <row r="708" spans="3:3">
      <c r="C708"/>
    </row>
    <row r="709" spans="3:3">
      <c r="C709"/>
    </row>
    <row r="710" spans="3:3">
      <c r="C710"/>
    </row>
    <row r="711" spans="3:3">
      <c r="C711"/>
    </row>
    <row r="712" spans="3:3">
      <c r="C712"/>
    </row>
    <row r="713" spans="3:3">
      <c r="C713"/>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c r="C750"/>
    </row>
    <row r="751" spans="3:3">
      <c r="C751"/>
    </row>
    <row r="752" spans="3:3">
      <c r="C752"/>
    </row>
    <row r="753" spans="3:3">
      <c r="C753"/>
    </row>
    <row r="754" spans="3:3">
      <c r="C754"/>
    </row>
    <row r="755" spans="3:3">
      <c r="C755"/>
    </row>
    <row r="756" spans="3:3">
      <c r="C756"/>
    </row>
    <row r="757" spans="3:3">
      <c r="C757"/>
    </row>
    <row r="758" spans="3:3">
      <c r="C758"/>
    </row>
    <row r="759" spans="3:3">
      <c r="C759"/>
    </row>
    <row r="760" spans="3:3">
      <c r="C760"/>
    </row>
    <row r="761" spans="3:3">
      <c r="C761"/>
    </row>
    <row r="762" spans="3:3">
      <c r="C762"/>
    </row>
    <row r="763" spans="3:3">
      <c r="C763"/>
    </row>
    <row r="764" spans="3:3">
      <c r="C764"/>
    </row>
    <row r="765" spans="3:3">
      <c r="C765"/>
    </row>
    <row r="766" spans="3:3">
      <c r="C766"/>
    </row>
    <row r="767" spans="3:3">
      <c r="C767"/>
    </row>
    <row r="768" spans="3:3">
      <c r="C768"/>
    </row>
    <row r="769" spans="3:3">
      <c r="C769"/>
    </row>
    <row r="770" spans="3:3">
      <c r="C770"/>
    </row>
    <row r="771" spans="3:3">
      <c r="C771"/>
    </row>
    <row r="772" spans="3:3">
      <c r="C772"/>
    </row>
    <row r="773" spans="3:3">
      <c r="C773"/>
    </row>
    <row r="774" spans="3:3">
      <c r="C774"/>
    </row>
    <row r="775" spans="3:3">
      <c r="C775"/>
    </row>
    <row r="776" spans="3:3">
      <c r="C776"/>
    </row>
    <row r="777" spans="3:3">
      <c r="C777"/>
    </row>
    <row r="778" spans="3:3">
      <c r="C778"/>
    </row>
    <row r="779" spans="3:3">
      <c r="C779"/>
    </row>
    <row r="780" spans="3:3">
      <c r="C780"/>
    </row>
    <row r="781" spans="3:3">
      <c r="C781"/>
    </row>
    <row r="782" spans="3:3">
      <c r="C782"/>
    </row>
    <row r="783" spans="3:3">
      <c r="C783"/>
    </row>
    <row r="784" spans="3:3">
      <c r="C784"/>
    </row>
    <row r="785" spans="3:3">
      <c r="C785"/>
    </row>
    <row r="786" spans="3:3">
      <c r="C786"/>
    </row>
    <row r="787" spans="3:3">
      <c r="C787"/>
    </row>
    <row r="788" spans="3:3">
      <c r="C788"/>
    </row>
    <row r="789" spans="3:3">
      <c r="C789"/>
    </row>
    <row r="790" spans="3:3">
      <c r="C790"/>
    </row>
    <row r="791" spans="3:3">
      <c r="C791"/>
    </row>
    <row r="792" spans="3:3">
      <c r="C792"/>
    </row>
    <row r="793" spans="3:3">
      <c r="C793"/>
    </row>
    <row r="794" spans="3:3">
      <c r="C794"/>
    </row>
    <row r="795" spans="3:3">
      <c r="C795"/>
    </row>
    <row r="796" spans="3:3">
      <c r="C796"/>
    </row>
    <row r="797" spans="3:3">
      <c r="C797"/>
    </row>
    <row r="798" spans="3:3">
      <c r="C798"/>
    </row>
    <row r="799" spans="3:3">
      <c r="C799"/>
    </row>
    <row r="800" spans="3:3">
      <c r="C800"/>
    </row>
    <row r="801" spans="3:3">
      <c r="C801"/>
    </row>
    <row r="802" spans="3:3">
      <c r="C802"/>
    </row>
    <row r="803" spans="3:3">
      <c r="C803"/>
    </row>
    <row r="804" spans="3:3">
      <c r="C804"/>
    </row>
    <row r="805" spans="3:3">
      <c r="C805"/>
    </row>
    <row r="806" spans="3:3">
      <c r="C806"/>
    </row>
    <row r="807" spans="3:3">
      <c r="C807"/>
    </row>
    <row r="808" spans="3:3">
      <c r="C808"/>
    </row>
    <row r="809" spans="3:3">
      <c r="C809"/>
    </row>
    <row r="810" spans="3:3">
      <c r="C810"/>
    </row>
    <row r="811" spans="3:3">
      <c r="C811"/>
    </row>
    <row r="812" spans="3:3">
      <c r="C812"/>
    </row>
    <row r="813" spans="3:3">
      <c r="C813"/>
    </row>
    <row r="814" spans="3:3">
      <c r="C814"/>
    </row>
    <row r="815" spans="3:3">
      <c r="C815"/>
    </row>
    <row r="816" spans="3:3">
      <c r="C816"/>
    </row>
    <row r="817" spans="3:3">
      <c r="C817"/>
    </row>
    <row r="818" spans="3:3">
      <c r="C818"/>
    </row>
    <row r="819" spans="3:3">
      <c r="C819"/>
    </row>
    <row r="820" spans="3:3">
      <c r="C820"/>
    </row>
    <row r="821" spans="3:3">
      <c r="C821"/>
    </row>
    <row r="822" spans="3:3">
      <c r="C822"/>
    </row>
    <row r="823" spans="3:3">
      <c r="C823"/>
    </row>
    <row r="824" spans="3:3">
      <c r="C824"/>
    </row>
    <row r="825" spans="3:3">
      <c r="C825"/>
    </row>
    <row r="826" spans="3:3">
      <c r="C826"/>
    </row>
    <row r="827" spans="3:3">
      <c r="C827"/>
    </row>
    <row r="828" spans="3:3">
      <c r="C828"/>
    </row>
    <row r="829" spans="3:3">
      <c r="C829"/>
    </row>
    <row r="830" spans="3:3">
      <c r="C830"/>
    </row>
    <row r="831" spans="3:3">
      <c r="C831"/>
    </row>
    <row r="832" spans="3:3">
      <c r="C832"/>
    </row>
    <row r="833" spans="3:3">
      <c r="C833"/>
    </row>
    <row r="834" spans="3:3">
      <c r="C834"/>
    </row>
    <row r="835" spans="3:3">
      <c r="C835"/>
    </row>
    <row r="836" spans="3:3">
      <c r="C836"/>
    </row>
    <row r="837" spans="3:3">
      <c r="C837"/>
    </row>
    <row r="838" spans="3:3">
      <c r="C838"/>
    </row>
    <row r="839" spans="3:3">
      <c r="C839"/>
    </row>
    <row r="840" spans="3:3">
      <c r="C840"/>
    </row>
    <row r="841" spans="3:3">
      <c r="C841"/>
    </row>
    <row r="842" spans="3:3">
      <c r="C842"/>
    </row>
    <row r="843" spans="3:3">
      <c r="C843"/>
    </row>
    <row r="844" spans="3:3">
      <c r="C844"/>
    </row>
    <row r="845" spans="3:3">
      <c r="C845"/>
    </row>
    <row r="846" spans="3:3">
      <c r="C846"/>
    </row>
    <row r="847" spans="3:3">
      <c r="C847"/>
    </row>
    <row r="848" spans="3:3">
      <c r="C848"/>
    </row>
    <row r="849" spans="3:3">
      <c r="C849"/>
    </row>
    <row r="850" spans="3:3">
      <c r="C850"/>
    </row>
    <row r="851" spans="3:3">
      <c r="C851"/>
    </row>
    <row r="852" spans="3:3">
      <c r="C852"/>
    </row>
    <row r="853" spans="3:3">
      <c r="C853"/>
    </row>
    <row r="854" spans="3:3">
      <c r="C854"/>
    </row>
    <row r="855" spans="3:3">
      <c r="C855"/>
    </row>
    <row r="856" spans="3:3">
      <c r="C856"/>
    </row>
    <row r="857" spans="3:3">
      <c r="C857"/>
    </row>
    <row r="858" spans="3:3">
      <c r="C858"/>
    </row>
    <row r="859" spans="3:3">
      <c r="C859"/>
    </row>
    <row r="860" spans="3:3">
      <c r="C860"/>
    </row>
    <row r="861" spans="3:3">
      <c r="C861"/>
    </row>
    <row r="862" spans="3:3">
      <c r="C862"/>
    </row>
    <row r="863" spans="3:3">
      <c r="C863"/>
    </row>
    <row r="864" spans="3:3">
      <c r="C864"/>
    </row>
    <row r="865" spans="3:3">
      <c r="C865"/>
    </row>
    <row r="866" spans="3:3">
      <c r="C866"/>
    </row>
    <row r="867" spans="3:3">
      <c r="C867"/>
    </row>
    <row r="868" spans="3:3">
      <c r="C868"/>
    </row>
    <row r="869" spans="3:3">
      <c r="C869"/>
    </row>
    <row r="870" spans="3:3">
      <c r="C870"/>
    </row>
    <row r="871" spans="3:3">
      <c r="C871"/>
    </row>
    <row r="872" spans="3:3">
      <c r="C872"/>
    </row>
    <row r="873" spans="3:3">
      <c r="C873"/>
    </row>
    <row r="874" spans="3:3">
      <c r="C874"/>
    </row>
    <row r="875" spans="3:3">
      <c r="C875"/>
    </row>
    <row r="876" spans="3:3">
      <c r="C876"/>
    </row>
    <row r="877" spans="3:3">
      <c r="C877"/>
    </row>
    <row r="878" spans="3:3">
      <c r="C878"/>
    </row>
    <row r="879" spans="3:3">
      <c r="C879"/>
    </row>
    <row r="880" spans="3:3">
      <c r="C880"/>
    </row>
    <row r="881" spans="3:3">
      <c r="C881"/>
    </row>
    <row r="882" spans="3:3">
      <c r="C882"/>
    </row>
    <row r="883" spans="3:3">
      <c r="C883"/>
    </row>
    <row r="884" spans="3:3">
      <c r="C884"/>
    </row>
    <row r="885" spans="3:3">
      <c r="C885"/>
    </row>
    <row r="886" spans="3:3">
      <c r="C886"/>
    </row>
    <row r="887" spans="3:3">
      <c r="C887"/>
    </row>
    <row r="888" spans="3:3">
      <c r="C888"/>
    </row>
    <row r="889" spans="3:3">
      <c r="C889"/>
    </row>
    <row r="890" spans="3:3">
      <c r="C890"/>
    </row>
    <row r="891" spans="3:3">
      <c r="C891"/>
    </row>
    <row r="892" spans="3:3">
      <c r="C892"/>
    </row>
    <row r="893" spans="3:3">
      <c r="C893"/>
    </row>
    <row r="894" spans="3:3">
      <c r="C894"/>
    </row>
    <row r="895" spans="3:3">
      <c r="C895"/>
    </row>
    <row r="896" spans="3:3">
      <c r="C896"/>
    </row>
    <row r="897" spans="3:3">
      <c r="C897"/>
    </row>
    <row r="898" spans="3:3">
      <c r="C898"/>
    </row>
    <row r="899" spans="3:3">
      <c r="C899"/>
    </row>
    <row r="900" spans="3:3">
      <c r="C900"/>
    </row>
    <row r="901" spans="3:3">
      <c r="C901"/>
    </row>
    <row r="902" spans="3:3">
      <c r="C902"/>
    </row>
    <row r="903" spans="3:3">
      <c r="C903"/>
    </row>
    <row r="904" spans="3:3">
      <c r="C904"/>
    </row>
    <row r="905" spans="3:3">
      <c r="C905"/>
    </row>
    <row r="906" spans="3:3">
      <c r="C906"/>
    </row>
    <row r="907" spans="3:3">
      <c r="C907"/>
    </row>
    <row r="908" spans="3:3">
      <c r="C908"/>
    </row>
    <row r="909" spans="3:3">
      <c r="C909"/>
    </row>
    <row r="910" spans="3:3">
      <c r="C910"/>
    </row>
    <row r="911" spans="3:3">
      <c r="C911"/>
    </row>
    <row r="912" spans="3:3">
      <c r="C912"/>
    </row>
    <row r="913" spans="3:3">
      <c r="C913"/>
    </row>
    <row r="914" spans="3:3">
      <c r="C914"/>
    </row>
    <row r="915" spans="3:3">
      <c r="C915"/>
    </row>
    <row r="916" spans="3:3">
      <c r="C916"/>
    </row>
    <row r="917" spans="3:3">
      <c r="C917"/>
    </row>
    <row r="918" spans="3:3">
      <c r="C918"/>
    </row>
    <row r="919" spans="3:3">
      <c r="C919"/>
    </row>
    <row r="920" spans="3:3">
      <c r="C920"/>
    </row>
    <row r="921" spans="3:3">
      <c r="C921"/>
    </row>
  </sheetData>
  <autoFilter ref="A3:AX459"/>
  <sortState ref="C168:AN208">
    <sortCondition ref="D168:D208"/>
  </sortState>
  <mergeCells count="1">
    <mergeCell ref="AU1:AW2"/>
  </mergeCells>
  <conditionalFormatting sqref="AF4:AF446 AF459">
    <cfRule type="cellIs" dxfId="44" priority="22" operator="notEqual">
      <formula>1</formula>
    </cfRule>
  </conditionalFormatting>
  <conditionalFormatting sqref="AF458">
    <cfRule type="cellIs" dxfId="43" priority="17" operator="notEqual">
      <formula>1</formula>
    </cfRule>
  </conditionalFormatting>
  <conditionalFormatting sqref="AF457">
    <cfRule type="cellIs" dxfId="42" priority="16" operator="notEqual">
      <formula>1</formula>
    </cfRule>
  </conditionalFormatting>
  <conditionalFormatting sqref="AF456">
    <cfRule type="cellIs" dxfId="41" priority="15" operator="notEqual">
      <formula>1</formula>
    </cfRule>
  </conditionalFormatting>
  <conditionalFormatting sqref="AF455">
    <cfRule type="cellIs" dxfId="40" priority="14" operator="notEqual">
      <formula>1</formula>
    </cfRule>
  </conditionalFormatting>
  <conditionalFormatting sqref="AF454">
    <cfRule type="cellIs" dxfId="39" priority="13" operator="notEqual">
      <formula>1</formula>
    </cfRule>
  </conditionalFormatting>
  <conditionalFormatting sqref="AF453">
    <cfRule type="cellIs" dxfId="38" priority="12" operator="notEqual">
      <formula>1</formula>
    </cfRule>
  </conditionalFormatting>
  <conditionalFormatting sqref="AF452">
    <cfRule type="cellIs" dxfId="37" priority="11" operator="notEqual">
      <formula>1</formula>
    </cfRule>
  </conditionalFormatting>
  <conditionalFormatting sqref="AF451">
    <cfRule type="cellIs" dxfId="36" priority="10" operator="notEqual">
      <formula>1</formula>
    </cfRule>
  </conditionalFormatting>
  <conditionalFormatting sqref="AF450">
    <cfRule type="cellIs" dxfId="35" priority="9" operator="notEqual">
      <formula>1</formula>
    </cfRule>
  </conditionalFormatting>
  <conditionalFormatting sqref="AF449">
    <cfRule type="cellIs" dxfId="34" priority="8" operator="notEqual">
      <formula>1</formula>
    </cfRule>
  </conditionalFormatting>
  <conditionalFormatting sqref="AF448">
    <cfRule type="cellIs" dxfId="33" priority="7" operator="notEqual">
      <formula>1</formula>
    </cfRule>
  </conditionalFormatting>
  <conditionalFormatting sqref="AF447">
    <cfRule type="cellIs" dxfId="32" priority="6" operator="notEqual">
      <formula>1</formula>
    </cfRule>
  </conditionalFormatting>
  <conditionalFormatting sqref="AF466:AF467">
    <cfRule type="cellIs" dxfId="31" priority="5" operator="notEqual">
      <formula>1</formula>
    </cfRule>
  </conditionalFormatting>
  <conditionalFormatting sqref="AF468:AF482">
    <cfRule type="cellIs" dxfId="30" priority="2" operator="notEqual">
      <formula>1</formula>
    </cfRule>
  </conditionalFormatting>
  <conditionalFormatting sqref="AF483">
    <cfRule type="cellIs" dxfId="29" priority="3" operator="notEqual">
      <formula>1</formula>
    </cfRule>
  </conditionalFormatting>
  <conditionalFormatting sqref="AF484">
    <cfRule type="cellIs" dxfId="28" priority="1" operator="notEqual">
      <formula>1</formula>
    </cfRule>
  </conditionalFormatting>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R1016"/>
  <sheetViews>
    <sheetView workbookViewId="0"/>
  </sheetViews>
  <sheetFormatPr defaultRowHeight="12"/>
  <cols>
    <col min="1" max="1" width="6.83203125" style="98" customWidth="1"/>
    <col min="2" max="2" width="12.33203125" style="95" bestFit="1" customWidth="1"/>
    <col min="3" max="3" width="9.5" style="95" bestFit="1" customWidth="1"/>
    <col min="4" max="4" width="15" style="95" bestFit="1" customWidth="1"/>
    <col min="5" max="5" width="12.1640625" style="127" customWidth="1"/>
    <col min="6" max="6" width="16.5" style="95" customWidth="1"/>
    <col min="7" max="8" width="11.33203125" style="95" customWidth="1"/>
    <col min="9" max="9" width="16" style="95" customWidth="1"/>
    <col min="10" max="11" width="15.33203125" style="98" bestFit="1" customWidth="1"/>
    <col min="12" max="13" width="14.33203125" style="98" bestFit="1" customWidth="1"/>
    <col min="14" max="14" width="13.33203125" style="98" customWidth="1"/>
    <col min="15" max="15" width="17.6640625" style="98" customWidth="1"/>
    <col min="16" max="16" width="17" style="98" customWidth="1"/>
    <col min="17" max="17" width="16" style="98" bestFit="1" customWidth="1"/>
    <col min="18" max="18" width="15.33203125" style="98" bestFit="1" customWidth="1"/>
    <col min="19" max="19" width="10.6640625" style="98" bestFit="1" customWidth="1"/>
    <col min="20" max="20" width="14.1640625" style="98" bestFit="1" customWidth="1"/>
    <col min="21" max="21" width="11.6640625" style="98" bestFit="1" customWidth="1"/>
    <col min="22" max="22" width="17.1640625" style="98" bestFit="1" customWidth="1"/>
    <col min="23" max="24" width="9.33203125" style="98"/>
    <col min="25" max="25" width="10.83203125" style="95" bestFit="1" customWidth="1"/>
    <col min="26" max="26" width="21.6640625" style="95" bestFit="1" customWidth="1"/>
    <col min="27" max="27" width="18.6640625" style="98" bestFit="1" customWidth="1"/>
    <col min="28" max="28" width="9.33203125" style="577"/>
    <col min="29" max="29" width="9.33203125" style="98"/>
    <col min="30" max="31" width="9.5" style="98" bestFit="1" customWidth="1"/>
    <col min="32" max="32" width="11.33203125" style="98" bestFit="1" customWidth="1"/>
    <col min="33" max="33" width="9.33203125" style="98"/>
    <col min="34" max="34" width="9.5" style="98" bestFit="1" customWidth="1"/>
    <col min="35" max="43" width="9.33203125" style="98"/>
    <col min="44" max="44" width="9.5" style="98" bestFit="1" customWidth="1"/>
    <col min="45" max="16384" width="9.33203125" style="98"/>
  </cols>
  <sheetData>
    <row r="1" spans="1:44">
      <c r="A1" s="133"/>
      <c r="B1" s="575"/>
      <c r="C1" s="98"/>
      <c r="D1" s="576"/>
      <c r="E1" s="576"/>
      <c r="F1" s="576"/>
      <c r="G1" s="98"/>
      <c r="H1" s="98"/>
      <c r="J1" s="95"/>
      <c r="K1" s="576"/>
      <c r="L1" s="97"/>
      <c r="P1" s="576"/>
      <c r="Q1" s="576"/>
      <c r="Y1" s="864"/>
      <c r="Z1" s="864"/>
      <c r="AA1" s="864"/>
    </row>
    <row r="2" spans="1:44">
      <c r="A2" s="133"/>
      <c r="B2" s="578"/>
      <c r="C2" s="98"/>
      <c r="D2" s="517"/>
      <c r="E2" s="98"/>
      <c r="F2" s="98"/>
      <c r="G2" s="98"/>
      <c r="H2" s="98"/>
      <c r="J2" s="95"/>
      <c r="K2" s="517"/>
      <c r="L2" s="97"/>
      <c r="M2" s="579"/>
      <c r="N2" s="579"/>
      <c r="O2" s="578"/>
      <c r="P2" s="517"/>
      <c r="Q2" s="95"/>
      <c r="Y2" s="864"/>
      <c r="Z2" s="864"/>
      <c r="AA2" s="864"/>
    </row>
    <row r="3" spans="1:44" s="107" customFormat="1" ht="50.25" customHeight="1">
      <c r="A3" s="100" t="s">
        <v>32</v>
      </c>
      <c r="B3" s="100" t="s">
        <v>62</v>
      </c>
      <c r="C3" s="100" t="s">
        <v>33</v>
      </c>
      <c r="D3" s="100" t="s">
        <v>52</v>
      </c>
      <c r="E3" s="101" t="s">
        <v>53</v>
      </c>
      <c r="F3" s="102" t="s">
        <v>34</v>
      </c>
      <c r="G3" s="102" t="s">
        <v>701</v>
      </c>
      <c r="H3" s="102" t="s">
        <v>799</v>
      </c>
      <c r="I3" s="102" t="s">
        <v>702</v>
      </c>
      <c r="J3" s="102" t="s">
        <v>44</v>
      </c>
      <c r="K3" s="102" t="s">
        <v>45</v>
      </c>
      <c r="L3" s="105" t="s">
        <v>46</v>
      </c>
      <c r="M3" s="100" t="s">
        <v>47</v>
      </c>
      <c r="N3" s="100" t="s">
        <v>49</v>
      </c>
      <c r="O3" s="100" t="s">
        <v>50</v>
      </c>
      <c r="P3" s="106" t="s">
        <v>794</v>
      </c>
      <c r="Q3" s="100" t="s">
        <v>674</v>
      </c>
      <c r="R3" s="100" t="s">
        <v>675</v>
      </c>
      <c r="S3" s="107" t="s">
        <v>796</v>
      </c>
      <c r="T3" s="107" t="s">
        <v>795</v>
      </c>
      <c r="U3" s="107" t="s">
        <v>799</v>
      </c>
      <c r="V3" s="107" t="s">
        <v>1107</v>
      </c>
      <c r="W3" s="107" t="s">
        <v>1433</v>
      </c>
      <c r="Y3" s="98" t="s">
        <v>681</v>
      </c>
      <c r="Z3" s="98" t="s">
        <v>682</v>
      </c>
      <c r="AA3" s="98" t="s">
        <v>683</v>
      </c>
      <c r="AB3" s="580"/>
      <c r="AD3" s="107" t="s">
        <v>698</v>
      </c>
      <c r="AF3" s="107" t="s">
        <v>4</v>
      </c>
      <c r="AG3" s="107" t="s">
        <v>9</v>
      </c>
    </row>
    <row r="4" spans="1:44">
      <c r="A4" s="108">
        <v>1</v>
      </c>
      <c r="B4" s="109" t="str">
        <f t="shared" ref="B4:B29" si="0">TEXT(Y4,"mmm yyyy")</f>
        <v>Jan 2016</v>
      </c>
      <c r="C4" s="110" t="str">
        <f t="shared" ref="C4:C29" si="1">AG4</f>
        <v>RLS</v>
      </c>
      <c r="D4" s="110" t="str">
        <f t="shared" ref="D4:D29" si="2">AF4</f>
        <v>LGUM_201</v>
      </c>
      <c r="E4" s="581">
        <f t="shared" ref="E4:E67" si="3">SUMIFS(L_1055_Count_Total,L_1055_Revenue_Month,$B4,L_1055_RateCategory,$D4)</f>
        <v>79</v>
      </c>
      <c r="F4" s="581">
        <f t="shared" ref="F4:F67" si="4">SUMIFS(L_SBR_KWH,L_SBR_Rate_Category,$D4,L_SBR_Revenue_Month,$B4)</f>
        <v>0</v>
      </c>
      <c r="G4" s="116">
        <f t="shared" ref="G4:G67" si="5">SUMIF(L_LightingRates_Tariff_Rate_Category,$Z4,L_LightingRates_UnitCharge)</f>
        <v>8.14</v>
      </c>
      <c r="H4" s="116">
        <f t="shared" ref="H4:H67" si="6">SUMIF(L_LightingRates_Tariff_Rate_Category,$Z4,L_LightingRates_FAC_Rate)</f>
        <v>1.0899999999999999</v>
      </c>
      <c r="I4" s="118">
        <f>ROUND($E4*$G4,2)</f>
        <v>643.05999999999995</v>
      </c>
      <c r="J4" s="118">
        <f t="shared" ref="J4:J67" si="7">SUM(I4:I4)</f>
        <v>643.05999999999995</v>
      </c>
      <c r="K4" s="570">
        <f>P4-SUM(M4:O4)</f>
        <v>0</v>
      </c>
      <c r="L4" s="121">
        <f t="shared" ref="L4:L67" si="8">IF(AND(J4=0,K4=0),1,IF(J4=0,0,K4/J4))</f>
        <v>0</v>
      </c>
      <c r="M4" s="122">
        <f t="shared" ref="M4:M67" si="9">SUMIFS(L_SBR_FAC,L_SBR_Revenue_Month,$B4,L_SBR_Rate_Category,$D4)</f>
        <v>0</v>
      </c>
      <c r="N4" s="122">
        <f t="shared" ref="N4:N67" si="10">SUMIFS(L_SBR_ECR,L_SBR_Revenue_Month,$B4,L_SBR_Rate_Category,$D4)</f>
        <v>0</v>
      </c>
      <c r="O4" s="122">
        <f t="shared" ref="O4:O67" si="11">SUMIFS(L_SBR_MSR,L_SBR_Revenue_Month,$B4,L_SBR_Rate_Category,$D4)</f>
        <v>0</v>
      </c>
      <c r="P4" s="122">
        <f t="shared" ref="P4:P67" si="12">SUMIFS(L_SBR_Revenue_Total,L_SBR_Revenue_Month,$B4,L_SBR_Rate_Category,$D4)</f>
        <v>0</v>
      </c>
      <c r="Q4" s="123">
        <f t="shared" ref="Q4:Q67" si="13">SUM(J4,M4:O4)</f>
        <v>643.05999999999995</v>
      </c>
      <c r="R4" s="123">
        <f>ROUND(P4-Q4,2)</f>
        <v>-643.05999999999995</v>
      </c>
      <c r="S4" s="582">
        <v>0</v>
      </c>
      <c r="T4" s="123">
        <f>R4-S4</f>
        <v>-643.05999999999995</v>
      </c>
      <c r="U4" s="25">
        <f t="shared" ref="U4:U67" si="14">ROUND(E4*H4,2)</f>
        <v>86.11</v>
      </c>
      <c r="V4" s="123">
        <f t="shared" ref="V4:V67" si="15">K4-U4</f>
        <v>-86.11</v>
      </c>
      <c r="W4" s="334">
        <f t="shared" ref="W4:W67" si="16">SUMIF(L_LightingRates_Tariff_Rate_Category,$Z4,L_LightingRates_ECR_Rate)*E4</f>
        <v>12.64</v>
      </c>
      <c r="Y4" s="136">
        <f>MiscData!$A$5</f>
        <v>42400</v>
      </c>
      <c r="Z4" s="108" t="str">
        <f t="shared" ref="Z4:Z29" si="17">CONCATENATE(AD4&amp;AF4)</f>
        <v>20140101LGUM_201</v>
      </c>
      <c r="AA4" s="126" t="str">
        <f t="shared" ref="AA4:AA29" si="18">CONCATENATE(AD4&amp;AG4)</f>
        <v>20140101RLS</v>
      </c>
      <c r="AB4" s="583" t="str">
        <f>RIGHT(AF4,3)</f>
        <v>201</v>
      </c>
      <c r="AD4" s="98">
        <f>MiscData!$X$5</f>
        <v>20140101</v>
      </c>
      <c r="AE4" s="98">
        <v>1</v>
      </c>
      <c r="AF4" s="98" t="str">
        <f>VLOOKUP(AE4,MiscData!$AC$5:$AD$77,2,FALSE)</f>
        <v>LGUM_201</v>
      </c>
      <c r="AG4" s="98" t="str">
        <f>VLOOKUP(AF4,MiscData!$AD$5:$AE$77,2,FALSE)</f>
        <v>RLS</v>
      </c>
      <c r="AP4" s="98" t="s">
        <v>137</v>
      </c>
      <c r="AR4" s="98">
        <v>-2.97</v>
      </c>
    </row>
    <row r="5" spans="1:44">
      <c r="A5" s="108">
        <f>A4+1</f>
        <v>2</v>
      </c>
      <c r="B5" s="109" t="str">
        <f t="shared" si="0"/>
        <v>Jan 2016</v>
      </c>
      <c r="C5" s="110" t="str">
        <f t="shared" si="1"/>
        <v>RLS</v>
      </c>
      <c r="D5" s="110" t="str">
        <f t="shared" si="2"/>
        <v>LGUM_203</v>
      </c>
      <c r="E5" s="581">
        <f t="shared" si="3"/>
        <v>3887</v>
      </c>
      <c r="F5" s="581">
        <f t="shared" si="4"/>
        <v>0</v>
      </c>
      <c r="G5" s="116">
        <f t="shared" si="5"/>
        <v>10.959999999999999</v>
      </c>
      <c r="H5" s="116">
        <f t="shared" si="6"/>
        <v>2.7099999999999991</v>
      </c>
      <c r="I5" s="118">
        <f t="shared" ref="I5:I68" si="19">ROUND($E5*$G5,2)</f>
        <v>42601.52</v>
      </c>
      <c r="J5" s="118">
        <f t="shared" si="7"/>
        <v>42601.52</v>
      </c>
      <c r="K5" s="570">
        <f t="shared" ref="K5:K68" si="20">P5-SUM(M5:O5)</f>
        <v>0</v>
      </c>
      <c r="L5" s="121">
        <f t="shared" si="8"/>
        <v>0</v>
      </c>
      <c r="M5" s="122">
        <f t="shared" si="9"/>
        <v>0</v>
      </c>
      <c r="N5" s="122">
        <f t="shared" si="10"/>
        <v>0</v>
      </c>
      <c r="O5" s="122">
        <f t="shared" si="11"/>
        <v>0</v>
      </c>
      <c r="P5" s="122">
        <f t="shared" si="12"/>
        <v>0</v>
      </c>
      <c r="Q5" s="123">
        <f t="shared" si="13"/>
        <v>42601.52</v>
      </c>
      <c r="R5" s="123">
        <f t="shared" ref="R5:R68" si="21">ROUND(P5-Q5,2)</f>
        <v>-42601.52</v>
      </c>
      <c r="S5" s="582">
        <v>0</v>
      </c>
      <c r="T5" s="123">
        <f t="shared" ref="T5:T68" si="22">R5-S5</f>
        <v>-42601.52</v>
      </c>
      <c r="U5" s="25">
        <f t="shared" si="14"/>
        <v>10533.77</v>
      </c>
      <c r="V5" s="123">
        <f t="shared" si="15"/>
        <v>-10533.77</v>
      </c>
      <c r="W5" s="334">
        <f t="shared" si="16"/>
        <v>699.66</v>
      </c>
      <c r="Y5" s="109">
        <f>IF(AE5=1,IF(Y4=MiscData!$F$1,EOMONTH(Y4,-11),EOMONTH(Y4,1)),Y4)</f>
        <v>42400</v>
      </c>
      <c r="Z5" s="108" t="str">
        <f t="shared" si="17"/>
        <v>20140101LGUM_203</v>
      </c>
      <c r="AA5" s="126" t="str">
        <f t="shared" si="18"/>
        <v>20140101RLS</v>
      </c>
      <c r="AB5" s="583" t="str">
        <f t="shared" ref="AB5:AB68" si="23">RIGHT(AF5,3)</f>
        <v>203</v>
      </c>
      <c r="AD5" s="98">
        <f>MiscData!$X$5</f>
        <v>20140101</v>
      </c>
      <c r="AE5" s="98">
        <f>IF(AE4+1&gt;MiscData!$AC$77,1,AE4+1)</f>
        <v>2</v>
      </c>
      <c r="AF5" s="98" t="str">
        <f>VLOOKUP(AE5,MiscData!$AC$5:$AD$77,2,FALSE)</f>
        <v>LGUM_203</v>
      </c>
      <c r="AG5" s="98" t="str">
        <f>VLOOKUP(AF5,MiscData!$AD$5:$AE$77,2,FALSE)</f>
        <v>RLS</v>
      </c>
      <c r="AP5" s="98" t="s">
        <v>138</v>
      </c>
      <c r="AR5" s="98">
        <v>-51.31</v>
      </c>
    </row>
    <row r="6" spans="1:44">
      <c r="A6" s="108">
        <f t="shared" ref="A6:A69" si="24">A5+1</f>
        <v>3</v>
      </c>
      <c r="B6" s="109" t="str">
        <f t="shared" si="0"/>
        <v>Jan 2016</v>
      </c>
      <c r="C6" s="110" t="str">
        <f t="shared" si="1"/>
        <v>RLS</v>
      </c>
      <c r="D6" s="110" t="str">
        <f t="shared" si="2"/>
        <v>LGUM_204</v>
      </c>
      <c r="E6" s="581">
        <f t="shared" si="3"/>
        <v>3853</v>
      </c>
      <c r="F6" s="581">
        <f t="shared" si="4"/>
        <v>0</v>
      </c>
      <c r="G6" s="116">
        <f t="shared" si="5"/>
        <v>13.510000000000002</v>
      </c>
      <c r="H6" s="116">
        <f t="shared" si="6"/>
        <v>4.2000000000000011</v>
      </c>
      <c r="I6" s="118">
        <f t="shared" si="19"/>
        <v>52054.03</v>
      </c>
      <c r="J6" s="118">
        <f t="shared" si="7"/>
        <v>52054.03</v>
      </c>
      <c r="K6" s="570">
        <f t="shared" si="20"/>
        <v>0</v>
      </c>
      <c r="L6" s="121">
        <f t="shared" si="8"/>
        <v>0</v>
      </c>
      <c r="M6" s="122">
        <f t="shared" si="9"/>
        <v>0</v>
      </c>
      <c r="N6" s="122">
        <f t="shared" si="10"/>
        <v>0</v>
      </c>
      <c r="O6" s="122">
        <f t="shared" si="11"/>
        <v>0</v>
      </c>
      <c r="P6" s="122">
        <f t="shared" si="12"/>
        <v>0</v>
      </c>
      <c r="Q6" s="123">
        <f t="shared" si="13"/>
        <v>52054.03</v>
      </c>
      <c r="R6" s="123">
        <f t="shared" si="21"/>
        <v>-52054.03</v>
      </c>
      <c r="S6" s="582">
        <v>0</v>
      </c>
      <c r="T6" s="123">
        <f t="shared" si="22"/>
        <v>-52054.03</v>
      </c>
      <c r="U6" s="25">
        <f t="shared" si="14"/>
        <v>16182.6</v>
      </c>
      <c r="V6" s="123">
        <f t="shared" si="15"/>
        <v>-16182.6</v>
      </c>
      <c r="W6" s="334">
        <f t="shared" si="16"/>
        <v>847.66</v>
      </c>
      <c r="Y6" s="109">
        <f>IF(AE6=1,IF(Y5=MiscData!$F$1,EOMONTH(Y5,-11),EOMONTH(Y5,1)),Y5)</f>
        <v>42400</v>
      </c>
      <c r="Z6" s="108" t="str">
        <f t="shared" si="17"/>
        <v>20140101LGUM_204</v>
      </c>
      <c r="AA6" s="126" t="str">
        <f t="shared" si="18"/>
        <v>20140101RLS</v>
      </c>
      <c r="AB6" s="583" t="str">
        <f t="shared" si="23"/>
        <v>204</v>
      </c>
      <c r="AD6" s="98">
        <f>MiscData!$X$5</f>
        <v>20140101</v>
      </c>
      <c r="AE6" s="98">
        <f>IF(AE5+1&gt;MiscData!$AC$77,1,AE5+1)</f>
        <v>3</v>
      </c>
      <c r="AF6" s="98" t="str">
        <f>VLOOKUP(AE6,MiscData!$AC$5:$AD$77,2,FALSE)</f>
        <v>LGUM_204</v>
      </c>
      <c r="AG6" s="98" t="str">
        <f>VLOOKUP(AF6,MiscData!$AD$5:$AE$77,2,FALSE)</f>
        <v>RLS</v>
      </c>
      <c r="AP6" s="98" t="s">
        <v>139</v>
      </c>
      <c r="AR6" s="98">
        <v>-44.16</v>
      </c>
    </row>
    <row r="7" spans="1:44">
      <c r="A7" s="108">
        <f t="shared" si="24"/>
        <v>4</v>
      </c>
      <c r="B7" s="109" t="str">
        <f t="shared" si="0"/>
        <v>Jan 2016</v>
      </c>
      <c r="C7" s="110" t="str">
        <f t="shared" si="1"/>
        <v>RLS</v>
      </c>
      <c r="D7" s="110" t="str">
        <f t="shared" si="2"/>
        <v>LGUM_206</v>
      </c>
      <c r="E7" s="581">
        <f t="shared" si="3"/>
        <v>97</v>
      </c>
      <c r="F7" s="581">
        <f t="shared" si="4"/>
        <v>0</v>
      </c>
      <c r="G7" s="116">
        <f t="shared" si="5"/>
        <v>12.450000000000001</v>
      </c>
      <c r="H7" s="116">
        <f t="shared" si="6"/>
        <v>1.0899999999999999</v>
      </c>
      <c r="I7" s="118">
        <f t="shared" si="19"/>
        <v>1207.6500000000001</v>
      </c>
      <c r="J7" s="118">
        <f t="shared" si="7"/>
        <v>1207.6500000000001</v>
      </c>
      <c r="K7" s="570">
        <f t="shared" si="20"/>
        <v>0</v>
      </c>
      <c r="L7" s="121">
        <f t="shared" si="8"/>
        <v>0</v>
      </c>
      <c r="M7" s="122">
        <f t="shared" si="9"/>
        <v>0</v>
      </c>
      <c r="N7" s="122">
        <f t="shared" si="10"/>
        <v>0</v>
      </c>
      <c r="O7" s="122">
        <f t="shared" si="11"/>
        <v>0</v>
      </c>
      <c r="P7" s="122">
        <f t="shared" si="12"/>
        <v>0</v>
      </c>
      <c r="Q7" s="123">
        <f t="shared" si="13"/>
        <v>1207.6500000000001</v>
      </c>
      <c r="R7" s="123">
        <f t="shared" si="21"/>
        <v>-1207.6500000000001</v>
      </c>
      <c r="S7" s="582">
        <v>0</v>
      </c>
      <c r="T7" s="123">
        <f t="shared" si="22"/>
        <v>-1207.6500000000001</v>
      </c>
      <c r="U7" s="25">
        <f t="shared" si="14"/>
        <v>105.73</v>
      </c>
      <c r="V7" s="123">
        <f t="shared" si="15"/>
        <v>-105.73</v>
      </c>
      <c r="W7" s="334">
        <f t="shared" si="16"/>
        <v>15.52</v>
      </c>
      <c r="Y7" s="109">
        <f>IF(AE7=1,IF(Y6=MiscData!$F$1,EOMONTH(Y6,-11),EOMONTH(Y6,1)),Y6)</f>
        <v>42400</v>
      </c>
      <c r="Z7" s="108" t="str">
        <f t="shared" si="17"/>
        <v>20140101LGUM_206</v>
      </c>
      <c r="AA7" s="126" t="str">
        <f t="shared" si="18"/>
        <v>20140101RLS</v>
      </c>
      <c r="AB7" s="583" t="str">
        <f t="shared" si="23"/>
        <v>206</v>
      </c>
      <c r="AD7" s="98">
        <f>MiscData!$X$5</f>
        <v>20140101</v>
      </c>
      <c r="AE7" s="98">
        <f>IF(AE6+1&gt;MiscData!$AC$77,1,AE6+1)</f>
        <v>4</v>
      </c>
      <c r="AF7" s="98" t="str">
        <f>VLOOKUP(AE7,MiscData!$AC$5:$AD$77,2,FALSE)</f>
        <v>LGUM_206</v>
      </c>
      <c r="AG7" s="98" t="str">
        <f>VLOOKUP(AF7,MiscData!$AD$5:$AE$77,2,FALSE)</f>
        <v>RLS</v>
      </c>
      <c r="AP7" s="98" t="s">
        <v>140</v>
      </c>
      <c r="AR7" s="98">
        <v>-13.39</v>
      </c>
    </row>
    <row r="8" spans="1:44">
      <c r="A8" s="108">
        <f t="shared" si="24"/>
        <v>5</v>
      </c>
      <c r="B8" s="109" t="str">
        <f t="shared" si="0"/>
        <v>Jan 2016</v>
      </c>
      <c r="C8" s="110" t="str">
        <f t="shared" si="1"/>
        <v>RLS</v>
      </c>
      <c r="D8" s="110" t="str">
        <f t="shared" si="2"/>
        <v>LGUM_207</v>
      </c>
      <c r="E8" s="581">
        <f t="shared" si="3"/>
        <v>767</v>
      </c>
      <c r="F8" s="581">
        <f t="shared" si="4"/>
        <v>0</v>
      </c>
      <c r="G8" s="116">
        <f t="shared" si="5"/>
        <v>15.54</v>
      </c>
      <c r="H8" s="116">
        <f t="shared" si="6"/>
        <v>4.2000000000000011</v>
      </c>
      <c r="I8" s="118">
        <f t="shared" si="19"/>
        <v>11919.18</v>
      </c>
      <c r="J8" s="118">
        <f t="shared" si="7"/>
        <v>11919.18</v>
      </c>
      <c r="K8" s="570">
        <f t="shared" si="20"/>
        <v>0</v>
      </c>
      <c r="L8" s="121">
        <f t="shared" si="8"/>
        <v>0</v>
      </c>
      <c r="M8" s="122">
        <f t="shared" si="9"/>
        <v>0</v>
      </c>
      <c r="N8" s="122">
        <f t="shared" si="10"/>
        <v>0</v>
      </c>
      <c r="O8" s="122">
        <f t="shared" si="11"/>
        <v>0</v>
      </c>
      <c r="P8" s="122">
        <f t="shared" si="12"/>
        <v>0</v>
      </c>
      <c r="Q8" s="123">
        <f t="shared" si="13"/>
        <v>11919.18</v>
      </c>
      <c r="R8" s="123">
        <f t="shared" si="21"/>
        <v>-11919.18</v>
      </c>
      <c r="S8" s="582">
        <v>0</v>
      </c>
      <c r="T8" s="123">
        <f t="shared" si="22"/>
        <v>-11919.18</v>
      </c>
      <c r="U8" s="25">
        <f t="shared" si="14"/>
        <v>3221.4</v>
      </c>
      <c r="V8" s="123">
        <f t="shared" si="15"/>
        <v>-3221.4</v>
      </c>
      <c r="W8" s="334">
        <f t="shared" si="16"/>
        <v>168.74</v>
      </c>
      <c r="Y8" s="109">
        <f>IF(AE8=1,IF(Y7=MiscData!$F$1,EOMONTH(Y7,-11),EOMONTH(Y7,1)),Y7)</f>
        <v>42400</v>
      </c>
      <c r="Z8" s="108" t="str">
        <f t="shared" si="17"/>
        <v>20140101LGUM_207</v>
      </c>
      <c r="AA8" s="126" t="str">
        <f t="shared" si="18"/>
        <v>20140101RLS</v>
      </c>
      <c r="AB8" s="583" t="str">
        <f t="shared" si="23"/>
        <v>207</v>
      </c>
      <c r="AD8" s="98">
        <f>MiscData!$X$5</f>
        <v>20140101</v>
      </c>
      <c r="AE8" s="98">
        <f>IF(AE7+1&gt;MiscData!$AC$77,1,AE7+1)</f>
        <v>5</v>
      </c>
      <c r="AF8" s="98" t="str">
        <f>VLOOKUP(AE8,MiscData!$AC$5:$AD$77,2,FALSE)</f>
        <v>LGUM_207</v>
      </c>
      <c r="AG8" s="98" t="str">
        <f>VLOOKUP(AF8,MiscData!$AD$5:$AE$77,2,FALSE)</f>
        <v>RLS</v>
      </c>
      <c r="AP8" s="98" t="s">
        <v>141</v>
      </c>
      <c r="AR8" s="98">
        <v>-5.58</v>
      </c>
    </row>
    <row r="9" spans="1:44">
      <c r="A9" s="108">
        <f t="shared" si="24"/>
        <v>6</v>
      </c>
      <c r="B9" s="109" t="str">
        <f t="shared" si="0"/>
        <v>Jan 2016</v>
      </c>
      <c r="C9" s="110" t="str">
        <f t="shared" si="1"/>
        <v>RLS</v>
      </c>
      <c r="D9" s="110" t="str">
        <f t="shared" si="2"/>
        <v>LGUM_208</v>
      </c>
      <c r="E9" s="581">
        <f t="shared" si="3"/>
        <v>1414</v>
      </c>
      <c r="F9" s="581">
        <f t="shared" si="4"/>
        <v>0</v>
      </c>
      <c r="G9" s="116">
        <f t="shared" si="5"/>
        <v>14.24</v>
      </c>
      <c r="H9" s="116">
        <f t="shared" si="6"/>
        <v>1.9100000000000001</v>
      </c>
      <c r="I9" s="118">
        <f t="shared" si="19"/>
        <v>20135.36</v>
      </c>
      <c r="J9" s="118">
        <f t="shared" si="7"/>
        <v>20135.36</v>
      </c>
      <c r="K9" s="570">
        <f t="shared" si="20"/>
        <v>0</v>
      </c>
      <c r="L9" s="121">
        <f t="shared" si="8"/>
        <v>0</v>
      </c>
      <c r="M9" s="122">
        <f t="shared" si="9"/>
        <v>0</v>
      </c>
      <c r="N9" s="122">
        <f t="shared" si="10"/>
        <v>0</v>
      </c>
      <c r="O9" s="122">
        <f t="shared" si="11"/>
        <v>0</v>
      </c>
      <c r="P9" s="122">
        <f t="shared" si="12"/>
        <v>0</v>
      </c>
      <c r="Q9" s="123">
        <f t="shared" si="13"/>
        <v>20135.36</v>
      </c>
      <c r="R9" s="123">
        <f t="shared" si="21"/>
        <v>-20135.36</v>
      </c>
      <c r="S9" s="582">
        <v>0</v>
      </c>
      <c r="T9" s="123">
        <f t="shared" si="22"/>
        <v>-20135.36</v>
      </c>
      <c r="U9" s="25">
        <f t="shared" si="14"/>
        <v>2700.74</v>
      </c>
      <c r="V9" s="123">
        <f t="shared" si="15"/>
        <v>-2700.74</v>
      </c>
      <c r="W9" s="334">
        <f t="shared" si="16"/>
        <v>226.24</v>
      </c>
      <c r="Y9" s="109">
        <f>IF(AE9=1,IF(Y8=MiscData!$F$1,EOMONTH(Y8,-11),EOMONTH(Y8,1)),Y8)</f>
        <v>42400</v>
      </c>
      <c r="Z9" s="108" t="str">
        <f t="shared" si="17"/>
        <v>20140101LGUM_208</v>
      </c>
      <c r="AA9" s="126" t="str">
        <f t="shared" si="18"/>
        <v>20140101RLS</v>
      </c>
      <c r="AB9" s="583" t="str">
        <f t="shared" si="23"/>
        <v>208</v>
      </c>
      <c r="AD9" s="98">
        <f>MiscData!$X$5</f>
        <v>20140101</v>
      </c>
      <c r="AE9" s="98">
        <f>IF(AE8+1&gt;MiscData!$AC$77,1,AE8+1)</f>
        <v>6</v>
      </c>
      <c r="AF9" s="98" t="str">
        <f>VLOOKUP(AE9,MiscData!$AC$5:$AD$77,2,FALSE)</f>
        <v>LGUM_208</v>
      </c>
      <c r="AG9" s="98" t="str">
        <f>VLOOKUP(AF9,MiscData!$AD$5:$AE$77,2,FALSE)</f>
        <v>RLS</v>
      </c>
      <c r="AP9" s="98" t="s">
        <v>465</v>
      </c>
      <c r="AR9" s="98">
        <v>0</v>
      </c>
    </row>
    <row r="10" spans="1:44">
      <c r="A10" s="108">
        <f t="shared" si="24"/>
        <v>7</v>
      </c>
      <c r="B10" s="109" t="str">
        <f t="shared" si="0"/>
        <v>Jan 2016</v>
      </c>
      <c r="C10" s="110" t="str">
        <f t="shared" si="1"/>
        <v>RLS</v>
      </c>
      <c r="D10" s="110" t="str">
        <f t="shared" si="2"/>
        <v>LGUM_209</v>
      </c>
      <c r="E10" s="581">
        <f t="shared" si="3"/>
        <v>45</v>
      </c>
      <c r="F10" s="581">
        <f t="shared" si="4"/>
        <v>0</v>
      </c>
      <c r="G10" s="116">
        <f t="shared" si="5"/>
        <v>27.69</v>
      </c>
      <c r="H10" s="116">
        <f t="shared" si="6"/>
        <v>10.170000000000002</v>
      </c>
      <c r="I10" s="118">
        <f t="shared" si="19"/>
        <v>1246.05</v>
      </c>
      <c r="J10" s="118">
        <f t="shared" si="7"/>
        <v>1246.05</v>
      </c>
      <c r="K10" s="570">
        <f t="shared" si="20"/>
        <v>0</v>
      </c>
      <c r="L10" s="121">
        <f t="shared" si="8"/>
        <v>0</v>
      </c>
      <c r="M10" s="122">
        <f t="shared" si="9"/>
        <v>0</v>
      </c>
      <c r="N10" s="122">
        <f t="shared" si="10"/>
        <v>0</v>
      </c>
      <c r="O10" s="122">
        <f t="shared" si="11"/>
        <v>0</v>
      </c>
      <c r="P10" s="122">
        <f t="shared" si="12"/>
        <v>0</v>
      </c>
      <c r="Q10" s="123">
        <f t="shared" si="13"/>
        <v>1246.05</v>
      </c>
      <c r="R10" s="123">
        <f t="shared" si="21"/>
        <v>-1246.05</v>
      </c>
      <c r="S10" s="582">
        <v>0</v>
      </c>
      <c r="T10" s="123">
        <f t="shared" si="22"/>
        <v>-1246.05</v>
      </c>
      <c r="U10" s="25">
        <f t="shared" si="14"/>
        <v>457.65</v>
      </c>
      <c r="V10" s="123">
        <f t="shared" si="15"/>
        <v>-457.65</v>
      </c>
      <c r="W10" s="334">
        <f t="shared" si="16"/>
        <v>18.45</v>
      </c>
      <c r="Y10" s="109">
        <f>IF(AE10=1,IF(Y9=MiscData!$F$1,EOMONTH(Y9,-11),EOMONTH(Y9,1)),Y9)</f>
        <v>42400</v>
      </c>
      <c r="Z10" s="108" t="str">
        <f t="shared" si="17"/>
        <v>20140101LGUM_209</v>
      </c>
      <c r="AA10" s="126" t="str">
        <f t="shared" si="18"/>
        <v>20140101RLS</v>
      </c>
      <c r="AB10" s="583" t="str">
        <f t="shared" si="23"/>
        <v>209</v>
      </c>
      <c r="AD10" s="98">
        <f>MiscData!$X$5</f>
        <v>20140101</v>
      </c>
      <c r="AE10" s="98">
        <f>IF(AE9+1&gt;MiscData!$AC$77,1,AE9+1)</f>
        <v>7</v>
      </c>
      <c r="AF10" s="98" t="str">
        <f>VLOOKUP(AE10,MiscData!$AC$5:$AD$77,2,FALSE)</f>
        <v>LGUM_209</v>
      </c>
      <c r="AG10" s="98" t="str">
        <f>VLOOKUP(AF10,MiscData!$AD$5:$AE$77,2,FALSE)</f>
        <v>RLS</v>
      </c>
      <c r="AP10" s="98" t="s">
        <v>142</v>
      </c>
      <c r="AR10" s="98">
        <v>0</v>
      </c>
    </row>
    <row r="11" spans="1:44">
      <c r="A11" s="108">
        <f t="shared" si="24"/>
        <v>8</v>
      </c>
      <c r="B11" s="109" t="str">
        <f t="shared" si="0"/>
        <v>Jan 2016</v>
      </c>
      <c r="C11" s="110" t="str">
        <f t="shared" si="1"/>
        <v>RLS</v>
      </c>
      <c r="D11" s="110" t="str">
        <f t="shared" si="2"/>
        <v>LGUM_210</v>
      </c>
      <c r="E11" s="581">
        <f t="shared" si="3"/>
        <v>365</v>
      </c>
      <c r="F11" s="581">
        <f t="shared" si="4"/>
        <v>0</v>
      </c>
      <c r="G11" s="116">
        <f t="shared" si="5"/>
        <v>28.89</v>
      </c>
      <c r="H11" s="116">
        <f t="shared" si="6"/>
        <v>10.170000000000002</v>
      </c>
      <c r="I11" s="118">
        <f t="shared" si="19"/>
        <v>10544.85</v>
      </c>
      <c r="J11" s="118">
        <f t="shared" si="7"/>
        <v>10544.85</v>
      </c>
      <c r="K11" s="570">
        <f t="shared" si="20"/>
        <v>0</v>
      </c>
      <c r="L11" s="121">
        <f t="shared" si="8"/>
        <v>0</v>
      </c>
      <c r="M11" s="122">
        <f t="shared" si="9"/>
        <v>0</v>
      </c>
      <c r="N11" s="122">
        <f t="shared" si="10"/>
        <v>0</v>
      </c>
      <c r="O11" s="122">
        <f t="shared" si="11"/>
        <v>0</v>
      </c>
      <c r="P11" s="122">
        <f t="shared" si="12"/>
        <v>0</v>
      </c>
      <c r="Q11" s="123">
        <f t="shared" si="13"/>
        <v>10544.85</v>
      </c>
      <c r="R11" s="123">
        <f t="shared" si="21"/>
        <v>-10544.85</v>
      </c>
      <c r="S11" s="582">
        <v>0</v>
      </c>
      <c r="T11" s="123">
        <f t="shared" si="22"/>
        <v>-10544.85</v>
      </c>
      <c r="U11" s="25">
        <f t="shared" si="14"/>
        <v>3712.05</v>
      </c>
      <c r="V11" s="123">
        <f t="shared" si="15"/>
        <v>-3712.05</v>
      </c>
      <c r="W11" s="334">
        <f t="shared" si="16"/>
        <v>149.64999999999998</v>
      </c>
      <c r="Y11" s="109">
        <f>IF(AE11=1,IF(Y10=MiscData!$F$1,EOMONTH(Y10,-11),EOMONTH(Y10,1)),Y10)</f>
        <v>42400</v>
      </c>
      <c r="Z11" s="108" t="str">
        <f t="shared" si="17"/>
        <v>20140101LGUM_210</v>
      </c>
      <c r="AA11" s="126" t="str">
        <f t="shared" si="18"/>
        <v>20140101RLS</v>
      </c>
      <c r="AB11" s="583" t="str">
        <f t="shared" si="23"/>
        <v>210</v>
      </c>
      <c r="AD11" s="98">
        <f>MiscData!$X$5</f>
        <v>20140101</v>
      </c>
      <c r="AE11" s="98">
        <f>IF(AE10+1&gt;MiscData!$AC$77,1,AE10+1)</f>
        <v>8</v>
      </c>
      <c r="AF11" s="98" t="str">
        <f>VLOOKUP(AE11,MiscData!$AC$5:$AD$77,2,FALSE)</f>
        <v>LGUM_210</v>
      </c>
      <c r="AG11" s="98" t="str">
        <f>VLOOKUP(AF11,MiscData!$AD$5:$AE$77,2,FALSE)</f>
        <v>RLS</v>
      </c>
      <c r="AP11" s="98" t="s">
        <v>143</v>
      </c>
      <c r="AR11" s="98">
        <v>0</v>
      </c>
    </row>
    <row r="12" spans="1:44">
      <c r="A12" s="108">
        <f t="shared" si="24"/>
        <v>9</v>
      </c>
      <c r="B12" s="109" t="str">
        <f t="shared" si="0"/>
        <v>Jan 2016</v>
      </c>
      <c r="C12" s="110" t="str">
        <f t="shared" si="1"/>
        <v>RLS</v>
      </c>
      <c r="D12" s="110" t="str">
        <f t="shared" si="2"/>
        <v>LGUM_252</v>
      </c>
      <c r="E12" s="581">
        <f t="shared" si="3"/>
        <v>4021</v>
      </c>
      <c r="F12" s="581">
        <f t="shared" si="4"/>
        <v>0</v>
      </c>
      <c r="G12" s="116">
        <f t="shared" si="5"/>
        <v>9.57</v>
      </c>
      <c r="H12" s="116">
        <f t="shared" si="6"/>
        <v>1.9099999999999993</v>
      </c>
      <c r="I12" s="118">
        <f t="shared" si="19"/>
        <v>38480.97</v>
      </c>
      <c r="J12" s="118">
        <f t="shared" si="7"/>
        <v>38480.97</v>
      </c>
      <c r="K12" s="570">
        <f t="shared" si="20"/>
        <v>0</v>
      </c>
      <c r="L12" s="121">
        <f t="shared" si="8"/>
        <v>0</v>
      </c>
      <c r="M12" s="122">
        <f t="shared" si="9"/>
        <v>0</v>
      </c>
      <c r="N12" s="122">
        <f t="shared" si="10"/>
        <v>0</v>
      </c>
      <c r="O12" s="122">
        <f t="shared" si="11"/>
        <v>0</v>
      </c>
      <c r="P12" s="122">
        <f t="shared" si="12"/>
        <v>0</v>
      </c>
      <c r="Q12" s="123">
        <f t="shared" si="13"/>
        <v>38480.97</v>
      </c>
      <c r="R12" s="123">
        <f t="shared" si="21"/>
        <v>-38480.97</v>
      </c>
      <c r="S12" s="582">
        <v>0</v>
      </c>
      <c r="T12" s="123">
        <f t="shared" si="22"/>
        <v>-38480.97</v>
      </c>
      <c r="U12" s="25">
        <f t="shared" si="14"/>
        <v>7680.11</v>
      </c>
      <c r="V12" s="123">
        <f t="shared" si="15"/>
        <v>-7680.11</v>
      </c>
      <c r="W12" s="334">
        <f t="shared" si="16"/>
        <v>643.36</v>
      </c>
      <c r="Y12" s="109">
        <f>IF(AE12=1,IF(Y11=MiscData!$F$1,EOMONTH(Y11,-11),EOMONTH(Y11,1)),Y11)</f>
        <v>42400</v>
      </c>
      <c r="Z12" s="108" t="str">
        <f t="shared" si="17"/>
        <v>20140101LGUM_252</v>
      </c>
      <c r="AA12" s="126" t="str">
        <f t="shared" si="18"/>
        <v>20140101RLS</v>
      </c>
      <c r="AB12" s="583" t="str">
        <f t="shared" si="23"/>
        <v>252</v>
      </c>
      <c r="AD12" s="98">
        <f>MiscData!$X$5</f>
        <v>20140101</v>
      </c>
      <c r="AE12" s="98">
        <f>IF(AE11+1&gt;MiscData!$AC$77,1,AE11+1)</f>
        <v>9</v>
      </c>
      <c r="AF12" s="98" t="str">
        <f>VLOOKUP(AE12,MiscData!$AC$5:$AD$77,2,FALSE)</f>
        <v>LGUM_252</v>
      </c>
      <c r="AG12" s="98" t="str">
        <f>VLOOKUP(AF12,MiscData!$AD$5:$AE$77,2,FALSE)</f>
        <v>RLS</v>
      </c>
      <c r="AP12" s="98" t="s">
        <v>469</v>
      </c>
      <c r="AR12" s="98">
        <v>0</v>
      </c>
    </row>
    <row r="13" spans="1:44">
      <c r="A13" s="108">
        <f t="shared" si="24"/>
        <v>10</v>
      </c>
      <c r="B13" s="109" t="str">
        <f t="shared" si="0"/>
        <v>Jan 2016</v>
      </c>
      <c r="C13" s="110" t="str">
        <f t="shared" si="1"/>
        <v>RLS</v>
      </c>
      <c r="D13" s="110" t="str">
        <f t="shared" si="2"/>
        <v>LGUM_266</v>
      </c>
      <c r="E13" s="581">
        <f t="shared" si="3"/>
        <v>2034</v>
      </c>
      <c r="F13" s="581">
        <f t="shared" si="4"/>
        <v>0</v>
      </c>
      <c r="G13" s="116">
        <f t="shared" si="5"/>
        <v>27.34</v>
      </c>
      <c r="H13" s="116">
        <f t="shared" si="6"/>
        <v>2.8000000000000007</v>
      </c>
      <c r="I13" s="118">
        <f t="shared" si="19"/>
        <v>55609.56</v>
      </c>
      <c r="J13" s="118">
        <f t="shared" si="7"/>
        <v>55609.56</v>
      </c>
      <c r="K13" s="570">
        <f t="shared" si="20"/>
        <v>0</v>
      </c>
      <c r="L13" s="121">
        <f t="shared" si="8"/>
        <v>0</v>
      </c>
      <c r="M13" s="122">
        <f t="shared" si="9"/>
        <v>0</v>
      </c>
      <c r="N13" s="122">
        <f t="shared" si="10"/>
        <v>0</v>
      </c>
      <c r="O13" s="122">
        <f t="shared" si="11"/>
        <v>0</v>
      </c>
      <c r="P13" s="122">
        <f t="shared" si="12"/>
        <v>0</v>
      </c>
      <c r="Q13" s="123">
        <f t="shared" si="13"/>
        <v>55609.56</v>
      </c>
      <c r="R13" s="123">
        <f t="shared" si="21"/>
        <v>-55609.56</v>
      </c>
      <c r="S13" s="582">
        <v>0</v>
      </c>
      <c r="T13" s="123">
        <f t="shared" si="22"/>
        <v>-55609.56</v>
      </c>
      <c r="U13" s="25">
        <f t="shared" si="14"/>
        <v>5695.2</v>
      </c>
      <c r="V13" s="123">
        <f t="shared" si="15"/>
        <v>-5695.2</v>
      </c>
      <c r="W13" s="334">
        <f t="shared" si="16"/>
        <v>549.18000000000006</v>
      </c>
      <c r="Y13" s="109">
        <f>IF(AE13=1,IF(Y12=MiscData!$F$1,EOMONTH(Y12,-11),EOMONTH(Y12,1)),Y12)</f>
        <v>42400</v>
      </c>
      <c r="Z13" s="108" t="str">
        <f t="shared" si="17"/>
        <v>20140101LGUM_266</v>
      </c>
      <c r="AA13" s="126" t="str">
        <f t="shared" si="18"/>
        <v>20140101RLS</v>
      </c>
      <c r="AB13" s="583" t="str">
        <f t="shared" si="23"/>
        <v>266</v>
      </c>
      <c r="AD13" s="98">
        <f>MiscData!$X$5</f>
        <v>20140101</v>
      </c>
      <c r="AE13" s="98">
        <f>IF(AE12+1&gt;MiscData!$AC$77,1,AE12+1)</f>
        <v>10</v>
      </c>
      <c r="AF13" s="98" t="str">
        <f>VLOOKUP(AE13,MiscData!$AC$5:$AD$77,2,FALSE)</f>
        <v>LGUM_266</v>
      </c>
      <c r="AG13" s="98" t="str">
        <f>VLOOKUP(AF13,MiscData!$AD$5:$AE$77,2,FALSE)</f>
        <v>RLS</v>
      </c>
      <c r="AP13" s="98" t="s">
        <v>144</v>
      </c>
      <c r="AR13" s="98">
        <v>0</v>
      </c>
    </row>
    <row r="14" spans="1:44">
      <c r="A14" s="108">
        <f t="shared" si="24"/>
        <v>11</v>
      </c>
      <c r="B14" s="109" t="str">
        <f t="shared" si="0"/>
        <v>Jan 2016</v>
      </c>
      <c r="C14" s="110" t="str">
        <f t="shared" si="1"/>
        <v>RLS</v>
      </c>
      <c r="D14" s="110" t="str">
        <f t="shared" si="2"/>
        <v>LGUM_267</v>
      </c>
      <c r="E14" s="581">
        <f t="shared" si="3"/>
        <v>2265</v>
      </c>
      <c r="F14" s="581">
        <f t="shared" si="4"/>
        <v>0</v>
      </c>
      <c r="G14" s="116">
        <f t="shared" si="5"/>
        <v>31.4</v>
      </c>
      <c r="H14" s="116">
        <f t="shared" si="6"/>
        <v>4.4499999999999993</v>
      </c>
      <c r="I14" s="118">
        <f t="shared" si="19"/>
        <v>71121</v>
      </c>
      <c r="J14" s="118">
        <f t="shared" si="7"/>
        <v>71121</v>
      </c>
      <c r="K14" s="570">
        <f t="shared" si="20"/>
        <v>0</v>
      </c>
      <c r="L14" s="121">
        <f t="shared" si="8"/>
        <v>0</v>
      </c>
      <c r="M14" s="122">
        <f t="shared" si="9"/>
        <v>0</v>
      </c>
      <c r="N14" s="122">
        <f t="shared" si="10"/>
        <v>0</v>
      </c>
      <c r="O14" s="122">
        <f t="shared" si="11"/>
        <v>0</v>
      </c>
      <c r="P14" s="122">
        <f t="shared" si="12"/>
        <v>0</v>
      </c>
      <c r="Q14" s="123">
        <f t="shared" si="13"/>
        <v>71121</v>
      </c>
      <c r="R14" s="123">
        <f t="shared" si="21"/>
        <v>-71121</v>
      </c>
      <c r="S14" s="582">
        <v>0</v>
      </c>
      <c r="T14" s="123">
        <f t="shared" si="22"/>
        <v>-71121</v>
      </c>
      <c r="U14" s="25">
        <f t="shared" si="14"/>
        <v>10079.25</v>
      </c>
      <c r="V14" s="123">
        <f t="shared" si="15"/>
        <v>-10079.25</v>
      </c>
      <c r="W14" s="334">
        <f t="shared" si="16"/>
        <v>656.84999999999991</v>
      </c>
      <c r="Y14" s="109">
        <f>IF(AE14=1,IF(Y13=MiscData!$F$1,EOMONTH(Y13,-11),EOMONTH(Y13,1)),Y13)</f>
        <v>42400</v>
      </c>
      <c r="Z14" s="108" t="str">
        <f t="shared" si="17"/>
        <v>20140101LGUM_267</v>
      </c>
      <c r="AA14" s="126" t="str">
        <f t="shared" si="18"/>
        <v>20140101RLS</v>
      </c>
      <c r="AB14" s="583" t="str">
        <f t="shared" si="23"/>
        <v>267</v>
      </c>
      <c r="AD14" s="98">
        <f>MiscData!$X$5</f>
        <v>20140101</v>
      </c>
      <c r="AE14" s="98">
        <f>IF(AE13+1&gt;MiscData!$AC$77,1,AE13+1)</f>
        <v>11</v>
      </c>
      <c r="AF14" s="98" t="str">
        <f>VLOOKUP(AE14,MiscData!$AC$5:$AD$77,2,FALSE)</f>
        <v>LGUM_267</v>
      </c>
      <c r="AG14" s="98" t="str">
        <f>VLOOKUP(AF14,MiscData!$AD$5:$AE$77,2,FALSE)</f>
        <v>RLS</v>
      </c>
      <c r="AP14" s="98" t="s">
        <v>145</v>
      </c>
      <c r="AR14" s="98">
        <v>0</v>
      </c>
    </row>
    <row r="15" spans="1:44">
      <c r="A15" s="108">
        <f t="shared" si="24"/>
        <v>12</v>
      </c>
      <c r="B15" s="109" t="str">
        <f t="shared" si="0"/>
        <v>Jan 2016</v>
      </c>
      <c r="C15" s="110" t="str">
        <f t="shared" si="1"/>
        <v>RLS</v>
      </c>
      <c r="D15" s="110" t="str">
        <f t="shared" si="2"/>
        <v>LGUM_274</v>
      </c>
      <c r="E15" s="581">
        <f t="shared" si="3"/>
        <v>16883</v>
      </c>
      <c r="F15" s="581">
        <f t="shared" si="4"/>
        <v>0</v>
      </c>
      <c r="G15" s="116">
        <f t="shared" si="5"/>
        <v>17.189999999999998</v>
      </c>
      <c r="H15" s="116">
        <f t="shared" si="6"/>
        <v>1.2699999999999996</v>
      </c>
      <c r="I15" s="118">
        <f t="shared" si="19"/>
        <v>290218.77</v>
      </c>
      <c r="J15" s="118">
        <f t="shared" si="7"/>
        <v>290218.77</v>
      </c>
      <c r="K15" s="570">
        <f t="shared" si="20"/>
        <v>0</v>
      </c>
      <c r="L15" s="121">
        <f t="shared" si="8"/>
        <v>0</v>
      </c>
      <c r="M15" s="122">
        <f t="shared" si="9"/>
        <v>0</v>
      </c>
      <c r="N15" s="122">
        <f t="shared" si="10"/>
        <v>0</v>
      </c>
      <c r="O15" s="122">
        <f t="shared" si="11"/>
        <v>0</v>
      </c>
      <c r="P15" s="122">
        <f t="shared" si="12"/>
        <v>0</v>
      </c>
      <c r="Q15" s="123">
        <f t="shared" si="13"/>
        <v>290218.77</v>
      </c>
      <c r="R15" s="123">
        <f t="shared" si="21"/>
        <v>-290218.77</v>
      </c>
      <c r="S15" s="582">
        <v>0</v>
      </c>
      <c r="T15" s="123">
        <f t="shared" si="22"/>
        <v>-290218.77</v>
      </c>
      <c r="U15" s="25">
        <f t="shared" si="14"/>
        <v>21441.41</v>
      </c>
      <c r="V15" s="123">
        <f t="shared" si="15"/>
        <v>-21441.41</v>
      </c>
      <c r="W15" s="334">
        <f t="shared" si="16"/>
        <v>4558.41</v>
      </c>
      <c r="Y15" s="109">
        <f>IF(AE15=1,IF(Y14=MiscData!$F$1,EOMONTH(Y14,-11),EOMONTH(Y14,1)),Y14)</f>
        <v>42400</v>
      </c>
      <c r="Z15" s="108" t="str">
        <f t="shared" si="17"/>
        <v>20140101LGUM_274</v>
      </c>
      <c r="AA15" s="126" t="str">
        <f t="shared" si="18"/>
        <v>20140101RLS</v>
      </c>
      <c r="AB15" s="583" t="str">
        <f t="shared" si="23"/>
        <v>274</v>
      </c>
      <c r="AD15" s="98">
        <f>MiscData!$X$5</f>
        <v>20140101</v>
      </c>
      <c r="AE15" s="98">
        <f>IF(AE14+1&gt;MiscData!$AC$77,1,AE14+1)</f>
        <v>12</v>
      </c>
      <c r="AF15" s="98" t="str">
        <f>VLOOKUP(AE15,MiscData!$AC$5:$AD$77,2,FALSE)</f>
        <v>LGUM_274</v>
      </c>
      <c r="AG15" s="98" t="str">
        <f>VLOOKUP(AF15,MiscData!$AD$5:$AE$77,2,FALSE)</f>
        <v>RLS</v>
      </c>
      <c r="AP15" s="98" t="s">
        <v>146</v>
      </c>
      <c r="AR15" s="98">
        <v>0</v>
      </c>
    </row>
    <row r="16" spans="1:44">
      <c r="A16" s="108">
        <f t="shared" si="24"/>
        <v>13</v>
      </c>
      <c r="B16" s="109" t="str">
        <f t="shared" si="0"/>
        <v>Jan 2016</v>
      </c>
      <c r="C16" s="110" t="str">
        <f t="shared" si="1"/>
        <v>RLS</v>
      </c>
      <c r="D16" s="110" t="str">
        <f t="shared" si="2"/>
        <v>LGUM_275</v>
      </c>
      <c r="E16" s="581">
        <f t="shared" si="3"/>
        <v>520</v>
      </c>
      <c r="F16" s="581">
        <f t="shared" si="4"/>
        <v>0</v>
      </c>
      <c r="G16" s="116">
        <f t="shared" si="5"/>
        <v>24.89</v>
      </c>
      <c r="H16" s="116">
        <f t="shared" si="6"/>
        <v>1.7899999999999991</v>
      </c>
      <c r="I16" s="118">
        <f t="shared" si="19"/>
        <v>12942.8</v>
      </c>
      <c r="J16" s="118">
        <f t="shared" si="7"/>
        <v>12942.8</v>
      </c>
      <c r="K16" s="570">
        <f t="shared" si="20"/>
        <v>0</v>
      </c>
      <c r="L16" s="121">
        <f t="shared" si="8"/>
        <v>0</v>
      </c>
      <c r="M16" s="122">
        <f t="shared" si="9"/>
        <v>0</v>
      </c>
      <c r="N16" s="122">
        <f t="shared" si="10"/>
        <v>0</v>
      </c>
      <c r="O16" s="122">
        <f t="shared" si="11"/>
        <v>0</v>
      </c>
      <c r="P16" s="122">
        <f t="shared" si="12"/>
        <v>0</v>
      </c>
      <c r="Q16" s="123">
        <f t="shared" si="13"/>
        <v>12942.8</v>
      </c>
      <c r="R16" s="123">
        <f t="shared" si="21"/>
        <v>-12942.8</v>
      </c>
      <c r="S16" s="582">
        <v>0</v>
      </c>
      <c r="T16" s="123">
        <f t="shared" si="22"/>
        <v>-12942.8</v>
      </c>
      <c r="U16" s="25">
        <f t="shared" si="14"/>
        <v>930.8</v>
      </c>
      <c r="V16" s="123">
        <f t="shared" si="15"/>
        <v>-930.8</v>
      </c>
      <c r="W16" s="334">
        <f t="shared" si="16"/>
        <v>124.8</v>
      </c>
      <c r="Y16" s="109">
        <f>IF(AE16=1,IF(Y15=MiscData!$F$1,EOMONTH(Y15,-11),EOMONTH(Y15,1)),Y15)</f>
        <v>42400</v>
      </c>
      <c r="Z16" s="108" t="str">
        <f t="shared" si="17"/>
        <v>20140101LGUM_275</v>
      </c>
      <c r="AA16" s="126" t="str">
        <f t="shared" si="18"/>
        <v>20140101RLS</v>
      </c>
      <c r="AB16" s="583" t="str">
        <f t="shared" si="23"/>
        <v>275</v>
      </c>
      <c r="AD16" s="98">
        <f>MiscData!$X$5</f>
        <v>20140101</v>
      </c>
      <c r="AE16" s="98">
        <f>IF(AE15+1&gt;MiscData!$AC$77,1,AE15+1)</f>
        <v>13</v>
      </c>
      <c r="AF16" s="98" t="str">
        <f>VLOOKUP(AE16,MiscData!$AC$5:$AD$77,2,FALSE)</f>
        <v>LGUM_275</v>
      </c>
      <c r="AG16" s="98" t="str">
        <f>VLOOKUP(AF16,MiscData!$AD$5:$AE$77,2,FALSE)</f>
        <v>RLS</v>
      </c>
      <c r="AP16" s="98" t="s">
        <v>147</v>
      </c>
      <c r="AR16" s="98">
        <v>17.64</v>
      </c>
    </row>
    <row r="17" spans="1:44">
      <c r="A17" s="108">
        <f t="shared" si="24"/>
        <v>14</v>
      </c>
      <c r="B17" s="109" t="str">
        <f t="shared" si="0"/>
        <v>Jan 2016</v>
      </c>
      <c r="C17" s="110" t="str">
        <f t="shared" si="1"/>
        <v>RLS</v>
      </c>
      <c r="D17" s="110" t="str">
        <f t="shared" si="2"/>
        <v>LGUM_276</v>
      </c>
      <c r="E17" s="581">
        <f t="shared" si="3"/>
        <v>1329</v>
      </c>
      <c r="F17" s="581">
        <f t="shared" si="4"/>
        <v>0</v>
      </c>
      <c r="G17" s="116">
        <f t="shared" si="5"/>
        <v>14.17</v>
      </c>
      <c r="H17" s="116">
        <f t="shared" si="6"/>
        <v>0.88000000000000078</v>
      </c>
      <c r="I17" s="118">
        <f t="shared" si="19"/>
        <v>18831.93</v>
      </c>
      <c r="J17" s="118">
        <f t="shared" si="7"/>
        <v>18831.93</v>
      </c>
      <c r="K17" s="570">
        <f t="shared" si="20"/>
        <v>0</v>
      </c>
      <c r="L17" s="121">
        <f t="shared" si="8"/>
        <v>0</v>
      </c>
      <c r="M17" s="122">
        <f t="shared" si="9"/>
        <v>0</v>
      </c>
      <c r="N17" s="122">
        <f t="shared" si="10"/>
        <v>0</v>
      </c>
      <c r="O17" s="122">
        <f t="shared" si="11"/>
        <v>0</v>
      </c>
      <c r="P17" s="122">
        <f t="shared" si="12"/>
        <v>0</v>
      </c>
      <c r="Q17" s="123">
        <f t="shared" si="13"/>
        <v>18831.93</v>
      </c>
      <c r="R17" s="123">
        <f t="shared" si="21"/>
        <v>-18831.93</v>
      </c>
      <c r="S17" s="582">
        <v>0</v>
      </c>
      <c r="T17" s="123">
        <f t="shared" si="22"/>
        <v>-18831.93</v>
      </c>
      <c r="U17" s="25">
        <f t="shared" si="14"/>
        <v>1169.52</v>
      </c>
      <c r="V17" s="123">
        <f t="shared" si="15"/>
        <v>-1169.52</v>
      </c>
      <c r="W17" s="334">
        <f t="shared" si="16"/>
        <v>345.54</v>
      </c>
      <c r="Y17" s="109">
        <f>IF(AE17=1,IF(Y16=MiscData!$F$1,EOMONTH(Y16,-11),EOMONTH(Y16,1)),Y16)</f>
        <v>42400</v>
      </c>
      <c r="Z17" s="108" t="str">
        <f t="shared" si="17"/>
        <v>20140101LGUM_276</v>
      </c>
      <c r="AA17" s="126" t="str">
        <f t="shared" si="18"/>
        <v>20140101RLS</v>
      </c>
      <c r="AB17" s="583" t="str">
        <f t="shared" si="23"/>
        <v>276</v>
      </c>
      <c r="AD17" s="98">
        <f>MiscData!$X$5</f>
        <v>20140101</v>
      </c>
      <c r="AE17" s="98">
        <f>IF(AE16+1&gt;MiscData!$AC$77,1,AE16+1)</f>
        <v>14</v>
      </c>
      <c r="AF17" s="98" t="str">
        <f>VLOOKUP(AE17,MiscData!$AC$5:$AD$77,2,FALSE)</f>
        <v>LGUM_276</v>
      </c>
      <c r="AG17" s="98" t="str">
        <f>VLOOKUP(AF17,MiscData!$AD$5:$AE$77,2,FALSE)</f>
        <v>RLS</v>
      </c>
      <c r="AP17" s="98" t="s">
        <v>475</v>
      </c>
      <c r="AR17" s="98">
        <v>0</v>
      </c>
    </row>
    <row r="18" spans="1:44">
      <c r="A18" s="108">
        <f t="shared" si="24"/>
        <v>15</v>
      </c>
      <c r="B18" s="109" t="str">
        <f t="shared" si="0"/>
        <v>Jan 2016</v>
      </c>
      <c r="C18" s="110" t="str">
        <f t="shared" si="1"/>
        <v>RLS</v>
      </c>
      <c r="D18" s="110" t="str">
        <f t="shared" si="2"/>
        <v>LGUM_277</v>
      </c>
      <c r="E18" s="581">
        <f t="shared" si="3"/>
        <v>2276</v>
      </c>
      <c r="F18" s="581">
        <f t="shared" si="4"/>
        <v>0</v>
      </c>
      <c r="G18" s="116">
        <f t="shared" si="5"/>
        <v>22.15</v>
      </c>
      <c r="H18" s="116">
        <f t="shared" si="6"/>
        <v>1.7900000000000027</v>
      </c>
      <c r="I18" s="118">
        <f t="shared" si="19"/>
        <v>50413.4</v>
      </c>
      <c r="J18" s="118">
        <f t="shared" si="7"/>
        <v>50413.4</v>
      </c>
      <c r="K18" s="570">
        <f t="shared" si="20"/>
        <v>0</v>
      </c>
      <c r="L18" s="121">
        <f t="shared" si="8"/>
        <v>0</v>
      </c>
      <c r="M18" s="122">
        <f t="shared" si="9"/>
        <v>0</v>
      </c>
      <c r="N18" s="122">
        <f t="shared" si="10"/>
        <v>0</v>
      </c>
      <c r="O18" s="122">
        <f t="shared" si="11"/>
        <v>0</v>
      </c>
      <c r="P18" s="122">
        <f t="shared" si="12"/>
        <v>0</v>
      </c>
      <c r="Q18" s="123">
        <f t="shared" si="13"/>
        <v>50413.4</v>
      </c>
      <c r="R18" s="123">
        <f t="shared" si="21"/>
        <v>-50413.4</v>
      </c>
      <c r="S18" s="582">
        <v>0</v>
      </c>
      <c r="T18" s="123">
        <f t="shared" si="22"/>
        <v>-50413.4</v>
      </c>
      <c r="U18" s="25">
        <f t="shared" si="14"/>
        <v>4074.04</v>
      </c>
      <c r="V18" s="123">
        <f t="shared" si="15"/>
        <v>-4074.04</v>
      </c>
      <c r="W18" s="334">
        <f t="shared" si="16"/>
        <v>546.24</v>
      </c>
      <c r="Y18" s="109">
        <f>IF(AE18=1,IF(Y17=MiscData!$F$1,EOMONTH(Y17,-11),EOMONTH(Y17,1)),Y17)</f>
        <v>42400</v>
      </c>
      <c r="Z18" s="108" t="str">
        <f t="shared" si="17"/>
        <v>20140101LGUM_277</v>
      </c>
      <c r="AA18" s="126" t="str">
        <f t="shared" si="18"/>
        <v>20140101RLS</v>
      </c>
      <c r="AB18" s="583" t="str">
        <f t="shared" si="23"/>
        <v>277</v>
      </c>
      <c r="AD18" s="98">
        <f>MiscData!$X$5</f>
        <v>20140101</v>
      </c>
      <c r="AE18" s="98">
        <f>IF(AE17+1&gt;MiscData!$AC$77,1,AE17+1)</f>
        <v>15</v>
      </c>
      <c r="AF18" s="98" t="str">
        <f>VLOOKUP(AE18,MiscData!$AC$5:$AD$77,2,FALSE)</f>
        <v>LGUM_277</v>
      </c>
      <c r="AG18" s="98" t="str">
        <f>VLOOKUP(AF18,MiscData!$AD$5:$AE$77,2,FALSE)</f>
        <v>RLS</v>
      </c>
      <c r="AP18" s="98" t="s">
        <v>477</v>
      </c>
      <c r="AR18" s="98">
        <v>0</v>
      </c>
    </row>
    <row r="19" spans="1:44">
      <c r="A19" s="108">
        <f t="shared" si="24"/>
        <v>16</v>
      </c>
      <c r="B19" s="109" t="str">
        <f t="shared" si="0"/>
        <v>Jan 2016</v>
      </c>
      <c r="C19" s="110" t="str">
        <f t="shared" si="1"/>
        <v>RLS</v>
      </c>
      <c r="D19" s="110" t="str">
        <f t="shared" si="2"/>
        <v>LGUM_278</v>
      </c>
      <c r="E19" s="581">
        <f t="shared" si="3"/>
        <v>17</v>
      </c>
      <c r="F19" s="581">
        <f t="shared" si="4"/>
        <v>0</v>
      </c>
      <c r="G19" s="116">
        <f t="shared" si="5"/>
        <v>72.550000000000011</v>
      </c>
      <c r="H19" s="116">
        <f t="shared" si="6"/>
        <v>9.8400000000000034</v>
      </c>
      <c r="I19" s="118">
        <f t="shared" si="19"/>
        <v>1233.3499999999999</v>
      </c>
      <c r="J19" s="118">
        <f t="shared" si="7"/>
        <v>1233.3499999999999</v>
      </c>
      <c r="K19" s="570">
        <f t="shared" si="20"/>
        <v>0</v>
      </c>
      <c r="L19" s="121">
        <f t="shared" si="8"/>
        <v>0</v>
      </c>
      <c r="M19" s="122">
        <f t="shared" si="9"/>
        <v>0</v>
      </c>
      <c r="N19" s="122">
        <f t="shared" si="10"/>
        <v>0</v>
      </c>
      <c r="O19" s="122">
        <f t="shared" si="11"/>
        <v>0</v>
      </c>
      <c r="P19" s="122">
        <f t="shared" si="12"/>
        <v>0</v>
      </c>
      <c r="Q19" s="123">
        <f t="shared" si="13"/>
        <v>1233.3499999999999</v>
      </c>
      <c r="R19" s="123">
        <f t="shared" si="21"/>
        <v>-1233.3499999999999</v>
      </c>
      <c r="S19" s="582">
        <v>0</v>
      </c>
      <c r="T19" s="123">
        <f t="shared" si="22"/>
        <v>-1233.3499999999999</v>
      </c>
      <c r="U19" s="25">
        <f t="shared" si="14"/>
        <v>167.28</v>
      </c>
      <c r="V19" s="123">
        <f t="shared" si="15"/>
        <v>-167.28</v>
      </c>
      <c r="W19" s="334">
        <f t="shared" si="16"/>
        <v>15.3</v>
      </c>
      <c r="Y19" s="109">
        <f>IF(AE19=1,IF(Y18=MiscData!$F$1,EOMONTH(Y18,-11),EOMONTH(Y18,1)),Y18)</f>
        <v>42400</v>
      </c>
      <c r="Z19" s="108" t="str">
        <f t="shared" si="17"/>
        <v>20140101LGUM_278</v>
      </c>
      <c r="AA19" s="126" t="str">
        <f t="shared" si="18"/>
        <v>20140101RLS</v>
      </c>
      <c r="AB19" s="583" t="str">
        <f t="shared" si="23"/>
        <v>278</v>
      </c>
      <c r="AD19" s="98">
        <f>MiscData!$X$5</f>
        <v>20140101</v>
      </c>
      <c r="AE19" s="98">
        <f>IF(AE18+1&gt;MiscData!$AC$77,1,AE18+1)</f>
        <v>16</v>
      </c>
      <c r="AF19" s="98" t="str">
        <f>VLOOKUP(AE19,MiscData!$AC$5:$AD$77,2,FALSE)</f>
        <v>LGUM_278</v>
      </c>
      <c r="AG19" s="98" t="str">
        <f>VLOOKUP(AF19,MiscData!$AD$5:$AE$77,2,FALSE)</f>
        <v>RLS</v>
      </c>
      <c r="AP19" s="98" t="s">
        <v>148</v>
      </c>
      <c r="AR19" s="98">
        <v>0</v>
      </c>
    </row>
    <row r="20" spans="1:44">
      <c r="A20" s="108">
        <f t="shared" si="24"/>
        <v>17</v>
      </c>
      <c r="B20" s="109" t="str">
        <f t="shared" si="0"/>
        <v>Jan 2016</v>
      </c>
      <c r="C20" s="110" t="str">
        <f t="shared" si="1"/>
        <v>RLS</v>
      </c>
      <c r="D20" s="110" t="str">
        <f t="shared" si="2"/>
        <v>LGUM_279</v>
      </c>
      <c r="E20" s="581">
        <f t="shared" si="3"/>
        <v>11</v>
      </c>
      <c r="F20" s="581">
        <f t="shared" si="4"/>
        <v>0</v>
      </c>
      <c r="G20" s="116">
        <f t="shared" si="5"/>
        <v>41.43</v>
      </c>
      <c r="H20" s="116">
        <f t="shared" si="6"/>
        <v>9.8399999999999963</v>
      </c>
      <c r="I20" s="118">
        <f t="shared" si="19"/>
        <v>455.73</v>
      </c>
      <c r="J20" s="118">
        <f t="shared" si="7"/>
        <v>455.73</v>
      </c>
      <c r="K20" s="570">
        <f t="shared" si="20"/>
        <v>0</v>
      </c>
      <c r="L20" s="121">
        <f t="shared" si="8"/>
        <v>0</v>
      </c>
      <c r="M20" s="122">
        <f t="shared" si="9"/>
        <v>0</v>
      </c>
      <c r="N20" s="122">
        <f t="shared" si="10"/>
        <v>0</v>
      </c>
      <c r="O20" s="122">
        <f t="shared" si="11"/>
        <v>0</v>
      </c>
      <c r="P20" s="122">
        <f t="shared" si="12"/>
        <v>0</v>
      </c>
      <c r="Q20" s="123">
        <f t="shared" si="13"/>
        <v>455.73</v>
      </c>
      <c r="R20" s="123">
        <f t="shared" si="21"/>
        <v>-455.73</v>
      </c>
      <c r="S20" s="582">
        <v>0</v>
      </c>
      <c r="T20" s="123">
        <f t="shared" si="22"/>
        <v>-455.73</v>
      </c>
      <c r="U20" s="25">
        <f t="shared" si="14"/>
        <v>108.24</v>
      </c>
      <c r="V20" s="123">
        <f t="shared" si="15"/>
        <v>-108.24</v>
      </c>
      <c r="W20" s="334">
        <f t="shared" si="16"/>
        <v>9.9</v>
      </c>
      <c r="Y20" s="109">
        <f>IF(AE20=1,IF(Y19=MiscData!$F$1,EOMONTH(Y19,-11),EOMONTH(Y19,1)),Y19)</f>
        <v>42400</v>
      </c>
      <c r="Z20" s="108" t="str">
        <f t="shared" si="17"/>
        <v>20140101LGUM_279</v>
      </c>
      <c r="AA20" s="126" t="str">
        <f t="shared" si="18"/>
        <v>20140101RLS</v>
      </c>
      <c r="AB20" s="583" t="str">
        <f t="shared" si="23"/>
        <v>279</v>
      </c>
      <c r="AD20" s="98">
        <f>MiscData!$X$5</f>
        <v>20140101</v>
      </c>
      <c r="AE20" s="98">
        <f>IF(AE19+1&gt;MiscData!$AC$77,1,AE19+1)</f>
        <v>17</v>
      </c>
      <c r="AF20" s="98" t="str">
        <f>VLOOKUP(AE20,MiscData!$AC$5:$AD$77,2,FALSE)</f>
        <v>LGUM_279</v>
      </c>
      <c r="AG20" s="98" t="str">
        <f>VLOOKUP(AF20,MiscData!$AD$5:$AE$77,2,FALSE)</f>
        <v>RLS</v>
      </c>
      <c r="AP20" s="98" t="s">
        <v>149</v>
      </c>
      <c r="AR20" s="98">
        <v>0</v>
      </c>
    </row>
    <row r="21" spans="1:44">
      <c r="A21" s="108">
        <f t="shared" si="24"/>
        <v>18</v>
      </c>
      <c r="B21" s="109" t="str">
        <f t="shared" si="0"/>
        <v>Jan 2016</v>
      </c>
      <c r="C21" s="110" t="str">
        <f t="shared" si="1"/>
        <v>RLS</v>
      </c>
      <c r="D21" s="110" t="str">
        <f t="shared" si="2"/>
        <v>LGUM_280</v>
      </c>
      <c r="E21" s="581">
        <f t="shared" si="3"/>
        <v>45</v>
      </c>
      <c r="F21" s="581">
        <f t="shared" si="4"/>
        <v>0</v>
      </c>
      <c r="G21" s="116">
        <f t="shared" si="5"/>
        <v>19.38</v>
      </c>
      <c r="H21" s="116">
        <f t="shared" si="6"/>
        <v>0.87999999999999901</v>
      </c>
      <c r="I21" s="118">
        <f t="shared" si="19"/>
        <v>872.1</v>
      </c>
      <c r="J21" s="118">
        <f t="shared" si="7"/>
        <v>872.1</v>
      </c>
      <c r="K21" s="570">
        <f t="shared" si="20"/>
        <v>0</v>
      </c>
      <c r="L21" s="121">
        <f t="shared" si="8"/>
        <v>0</v>
      </c>
      <c r="M21" s="122">
        <f t="shared" si="9"/>
        <v>0</v>
      </c>
      <c r="N21" s="122">
        <f t="shared" si="10"/>
        <v>0</v>
      </c>
      <c r="O21" s="122">
        <f t="shared" si="11"/>
        <v>0</v>
      </c>
      <c r="P21" s="122">
        <f t="shared" si="12"/>
        <v>0</v>
      </c>
      <c r="Q21" s="123">
        <f t="shared" si="13"/>
        <v>872.1</v>
      </c>
      <c r="R21" s="123">
        <f t="shared" si="21"/>
        <v>-872.1</v>
      </c>
      <c r="S21" s="582">
        <v>0</v>
      </c>
      <c r="T21" s="123">
        <f t="shared" si="22"/>
        <v>-872.1</v>
      </c>
      <c r="U21" s="25">
        <f t="shared" si="14"/>
        <v>39.6</v>
      </c>
      <c r="V21" s="123">
        <f t="shared" si="15"/>
        <v>-39.6</v>
      </c>
      <c r="W21" s="334">
        <f t="shared" si="16"/>
        <v>11.700000000000001</v>
      </c>
      <c r="Y21" s="109">
        <f>IF(AE21=1,IF(Y20=MiscData!$F$1,EOMONTH(Y20,-11),EOMONTH(Y20,1)),Y20)</f>
        <v>42400</v>
      </c>
      <c r="Z21" s="108" t="str">
        <f t="shared" si="17"/>
        <v>20140101LGUM_280</v>
      </c>
      <c r="AA21" s="126" t="str">
        <f t="shared" si="18"/>
        <v>20140101RLS</v>
      </c>
      <c r="AB21" s="583" t="str">
        <f t="shared" si="23"/>
        <v>280</v>
      </c>
      <c r="AD21" s="98">
        <f>MiscData!$X$5</f>
        <v>20140101</v>
      </c>
      <c r="AE21" s="98">
        <f>IF(AE20+1&gt;MiscData!$AC$77,1,AE20+1)</f>
        <v>18</v>
      </c>
      <c r="AF21" s="98" t="str">
        <f>VLOOKUP(AE21,MiscData!$AC$5:$AD$77,2,FALSE)</f>
        <v>LGUM_280</v>
      </c>
      <c r="AG21" s="98" t="str">
        <f>VLOOKUP(AF21,MiscData!$AD$5:$AE$77,2,FALSE)</f>
        <v>RLS</v>
      </c>
      <c r="AP21" s="98" t="s">
        <v>150</v>
      </c>
      <c r="AR21" s="98">
        <v>0</v>
      </c>
    </row>
    <row r="22" spans="1:44">
      <c r="A22" s="108">
        <f t="shared" si="24"/>
        <v>19</v>
      </c>
      <c r="B22" s="109" t="str">
        <f t="shared" si="0"/>
        <v>Jan 2016</v>
      </c>
      <c r="C22" s="110" t="str">
        <f t="shared" si="1"/>
        <v>RLS</v>
      </c>
      <c r="D22" s="110" t="str">
        <f t="shared" si="2"/>
        <v>LGUM_281</v>
      </c>
      <c r="E22" s="581">
        <f t="shared" si="3"/>
        <v>243</v>
      </c>
      <c r="F22" s="581">
        <f t="shared" si="4"/>
        <v>0</v>
      </c>
      <c r="G22" s="116">
        <f t="shared" si="5"/>
        <v>20.349999999999998</v>
      </c>
      <c r="H22" s="116">
        <f t="shared" si="6"/>
        <v>1.2699999999999996</v>
      </c>
      <c r="I22" s="118">
        <f t="shared" si="19"/>
        <v>4945.05</v>
      </c>
      <c r="J22" s="118">
        <f t="shared" si="7"/>
        <v>4945.05</v>
      </c>
      <c r="K22" s="570">
        <f t="shared" si="20"/>
        <v>0</v>
      </c>
      <c r="L22" s="121">
        <f t="shared" si="8"/>
        <v>0</v>
      </c>
      <c r="M22" s="122">
        <f t="shared" si="9"/>
        <v>0</v>
      </c>
      <c r="N22" s="122">
        <f t="shared" si="10"/>
        <v>0</v>
      </c>
      <c r="O22" s="122">
        <f t="shared" si="11"/>
        <v>0</v>
      </c>
      <c r="P22" s="122">
        <f t="shared" si="12"/>
        <v>0</v>
      </c>
      <c r="Q22" s="123">
        <f t="shared" si="13"/>
        <v>4945.05</v>
      </c>
      <c r="R22" s="123">
        <f t="shared" si="21"/>
        <v>-4945.05</v>
      </c>
      <c r="S22" s="582">
        <v>0</v>
      </c>
      <c r="T22" s="123">
        <f t="shared" si="22"/>
        <v>-4945.05</v>
      </c>
      <c r="U22" s="25">
        <f t="shared" si="14"/>
        <v>308.61</v>
      </c>
      <c r="V22" s="123">
        <f t="shared" si="15"/>
        <v>-308.61</v>
      </c>
      <c r="W22" s="334">
        <f t="shared" si="16"/>
        <v>65.61</v>
      </c>
      <c r="Y22" s="109">
        <f>IF(AE22=1,IF(Y21=MiscData!$F$1,EOMONTH(Y21,-11),EOMONTH(Y21,1)),Y21)</f>
        <v>42400</v>
      </c>
      <c r="Z22" s="108" t="str">
        <f t="shared" si="17"/>
        <v>20140101LGUM_281</v>
      </c>
      <c r="AA22" s="126" t="str">
        <f t="shared" si="18"/>
        <v>20140101RLS</v>
      </c>
      <c r="AB22" s="583" t="str">
        <f t="shared" si="23"/>
        <v>281</v>
      </c>
      <c r="AD22" s="98">
        <f>MiscData!$X$5</f>
        <v>20140101</v>
      </c>
      <c r="AE22" s="98">
        <f>IF(AE21+1&gt;MiscData!$AC$77,1,AE21+1)</f>
        <v>19</v>
      </c>
      <c r="AF22" s="98" t="str">
        <f>VLOOKUP(AE22,MiscData!$AC$5:$AD$77,2,FALSE)</f>
        <v>LGUM_281</v>
      </c>
      <c r="AG22" s="98" t="str">
        <f>VLOOKUP(AF22,MiscData!$AD$5:$AE$77,2,FALSE)</f>
        <v>RLS</v>
      </c>
      <c r="AP22" s="98" t="s">
        <v>482</v>
      </c>
      <c r="AR22" s="98">
        <v>0</v>
      </c>
    </row>
    <row r="23" spans="1:44">
      <c r="A23" s="108">
        <f t="shared" si="24"/>
        <v>20</v>
      </c>
      <c r="B23" s="109" t="str">
        <f t="shared" si="0"/>
        <v>Jan 2016</v>
      </c>
      <c r="C23" s="110" t="str">
        <f t="shared" si="1"/>
        <v>RLS</v>
      </c>
      <c r="D23" s="110" t="str">
        <f t="shared" si="2"/>
        <v>LGUM_282</v>
      </c>
      <c r="E23" s="581">
        <f t="shared" si="3"/>
        <v>104</v>
      </c>
      <c r="F23" s="581">
        <f t="shared" si="4"/>
        <v>0</v>
      </c>
      <c r="G23" s="116">
        <f t="shared" si="5"/>
        <v>19.53</v>
      </c>
      <c r="H23" s="116">
        <f t="shared" si="6"/>
        <v>0.87999999999999901</v>
      </c>
      <c r="I23" s="118">
        <f t="shared" si="19"/>
        <v>2031.12</v>
      </c>
      <c r="J23" s="118">
        <f t="shared" si="7"/>
        <v>2031.12</v>
      </c>
      <c r="K23" s="570">
        <f t="shared" si="20"/>
        <v>0</v>
      </c>
      <c r="L23" s="121">
        <f t="shared" si="8"/>
        <v>0</v>
      </c>
      <c r="M23" s="122">
        <f t="shared" si="9"/>
        <v>0</v>
      </c>
      <c r="N23" s="122">
        <f t="shared" si="10"/>
        <v>0</v>
      </c>
      <c r="O23" s="122">
        <f t="shared" si="11"/>
        <v>0</v>
      </c>
      <c r="P23" s="122">
        <f t="shared" si="12"/>
        <v>0</v>
      </c>
      <c r="Q23" s="123">
        <f t="shared" si="13"/>
        <v>2031.12</v>
      </c>
      <c r="R23" s="123">
        <f t="shared" si="21"/>
        <v>-2031.12</v>
      </c>
      <c r="S23" s="582">
        <v>0</v>
      </c>
      <c r="T23" s="123">
        <f t="shared" si="22"/>
        <v>-2031.12</v>
      </c>
      <c r="U23" s="25">
        <f t="shared" si="14"/>
        <v>91.52</v>
      </c>
      <c r="V23" s="123">
        <f t="shared" si="15"/>
        <v>-91.52</v>
      </c>
      <c r="W23" s="334">
        <f t="shared" si="16"/>
        <v>27.04</v>
      </c>
      <c r="Y23" s="109">
        <f>IF(AE23=1,IF(Y22=MiscData!$F$1,EOMONTH(Y22,-11),EOMONTH(Y22,1)),Y22)</f>
        <v>42400</v>
      </c>
      <c r="Z23" s="108" t="str">
        <f t="shared" si="17"/>
        <v>20140101LGUM_282</v>
      </c>
      <c r="AA23" s="126" t="str">
        <f t="shared" si="18"/>
        <v>20140101RLS</v>
      </c>
      <c r="AB23" s="583" t="str">
        <f t="shared" si="23"/>
        <v>282</v>
      </c>
      <c r="AD23" s="98">
        <f>MiscData!$X$5</f>
        <v>20140101</v>
      </c>
      <c r="AE23" s="98">
        <f>IF(AE22+1&gt;MiscData!$AC$77,1,AE22+1)</f>
        <v>20</v>
      </c>
      <c r="AF23" s="98" t="str">
        <f>VLOOKUP(AE23,MiscData!$AC$5:$AD$77,2,FALSE)</f>
        <v>LGUM_282</v>
      </c>
      <c r="AG23" s="98" t="str">
        <f>VLOOKUP(AF23,MiscData!$AD$5:$AE$77,2,FALSE)</f>
        <v>RLS</v>
      </c>
      <c r="AP23" s="98" t="s">
        <v>485</v>
      </c>
      <c r="AR23" s="98">
        <v>0</v>
      </c>
    </row>
    <row r="24" spans="1:44">
      <c r="A24" s="108">
        <f t="shared" si="24"/>
        <v>21</v>
      </c>
      <c r="B24" s="109" t="str">
        <f t="shared" si="0"/>
        <v>Jan 2016</v>
      </c>
      <c r="C24" s="110" t="str">
        <f t="shared" si="1"/>
        <v>RLS</v>
      </c>
      <c r="D24" s="110" t="str">
        <f t="shared" si="2"/>
        <v>LGUM_283</v>
      </c>
      <c r="E24" s="581">
        <f t="shared" si="3"/>
        <v>81</v>
      </c>
      <c r="F24" s="581">
        <f t="shared" si="4"/>
        <v>0</v>
      </c>
      <c r="G24" s="116">
        <f t="shared" si="5"/>
        <v>20.819999999999997</v>
      </c>
      <c r="H24" s="116">
        <f t="shared" si="6"/>
        <v>1.2699999999999996</v>
      </c>
      <c r="I24" s="118">
        <f t="shared" si="19"/>
        <v>1686.42</v>
      </c>
      <c r="J24" s="118">
        <f t="shared" si="7"/>
        <v>1686.42</v>
      </c>
      <c r="K24" s="570">
        <f t="shared" si="20"/>
        <v>0</v>
      </c>
      <c r="L24" s="121">
        <f t="shared" si="8"/>
        <v>0</v>
      </c>
      <c r="M24" s="122">
        <f t="shared" si="9"/>
        <v>0</v>
      </c>
      <c r="N24" s="122">
        <f t="shared" si="10"/>
        <v>0</v>
      </c>
      <c r="O24" s="122">
        <f t="shared" si="11"/>
        <v>0</v>
      </c>
      <c r="P24" s="122">
        <f t="shared" si="12"/>
        <v>0</v>
      </c>
      <c r="Q24" s="123">
        <f t="shared" si="13"/>
        <v>1686.42</v>
      </c>
      <c r="R24" s="123">
        <f t="shared" si="21"/>
        <v>-1686.42</v>
      </c>
      <c r="S24" s="582">
        <v>0</v>
      </c>
      <c r="T24" s="123">
        <f t="shared" si="22"/>
        <v>-1686.42</v>
      </c>
      <c r="U24" s="25">
        <f t="shared" si="14"/>
        <v>102.87</v>
      </c>
      <c r="V24" s="123">
        <f t="shared" si="15"/>
        <v>-102.87</v>
      </c>
      <c r="W24" s="334">
        <f t="shared" si="16"/>
        <v>21.87</v>
      </c>
      <c r="Y24" s="109">
        <f>IF(AE24=1,IF(Y23=MiscData!$F$1,EOMONTH(Y23,-11),EOMONTH(Y23,1)),Y23)</f>
        <v>42400</v>
      </c>
      <c r="Z24" s="108" t="str">
        <f t="shared" si="17"/>
        <v>20140101LGUM_283</v>
      </c>
      <c r="AA24" s="126" t="str">
        <f t="shared" si="18"/>
        <v>20140101RLS</v>
      </c>
      <c r="AB24" s="583" t="str">
        <f t="shared" si="23"/>
        <v>283</v>
      </c>
      <c r="AD24" s="98">
        <f>MiscData!$X$5</f>
        <v>20140101</v>
      </c>
      <c r="AE24" s="98">
        <f>IF(AE23+1&gt;MiscData!$AC$77,1,AE23+1)</f>
        <v>21</v>
      </c>
      <c r="AF24" s="98" t="str">
        <f>VLOOKUP(AE24,MiscData!$AC$5:$AD$77,2,FALSE)</f>
        <v>LGUM_283</v>
      </c>
      <c r="AG24" s="98" t="str">
        <f>VLOOKUP(AF24,MiscData!$AD$5:$AE$77,2,FALSE)</f>
        <v>RLS</v>
      </c>
      <c r="AP24" s="98" t="s">
        <v>151</v>
      </c>
      <c r="AR24" s="98">
        <v>0</v>
      </c>
    </row>
    <row r="25" spans="1:44">
      <c r="A25" s="108">
        <f t="shared" si="24"/>
        <v>22</v>
      </c>
      <c r="B25" s="109" t="str">
        <f t="shared" si="0"/>
        <v>Jan 2016</v>
      </c>
      <c r="C25" s="110" t="str">
        <f t="shared" si="1"/>
        <v>RLS</v>
      </c>
      <c r="D25" s="110" t="str">
        <f t="shared" si="2"/>
        <v>LGUM_314</v>
      </c>
      <c r="E25" s="581">
        <f t="shared" si="3"/>
        <v>550</v>
      </c>
      <c r="F25" s="581">
        <f t="shared" si="4"/>
        <v>0</v>
      </c>
      <c r="G25" s="116">
        <f t="shared" si="5"/>
        <v>19.2</v>
      </c>
      <c r="H25" s="116">
        <f t="shared" si="6"/>
        <v>2.7100000000000009</v>
      </c>
      <c r="I25" s="118">
        <f t="shared" si="19"/>
        <v>10560</v>
      </c>
      <c r="J25" s="118">
        <f t="shared" si="7"/>
        <v>10560</v>
      </c>
      <c r="K25" s="570">
        <f t="shared" si="20"/>
        <v>0</v>
      </c>
      <c r="L25" s="121">
        <f t="shared" si="8"/>
        <v>0</v>
      </c>
      <c r="M25" s="122">
        <f t="shared" si="9"/>
        <v>0</v>
      </c>
      <c r="N25" s="122">
        <f t="shared" si="10"/>
        <v>0</v>
      </c>
      <c r="O25" s="122">
        <f t="shared" si="11"/>
        <v>0</v>
      </c>
      <c r="P25" s="122">
        <f t="shared" si="12"/>
        <v>0</v>
      </c>
      <c r="Q25" s="123">
        <f t="shared" si="13"/>
        <v>10560</v>
      </c>
      <c r="R25" s="123">
        <f t="shared" si="21"/>
        <v>-10560</v>
      </c>
      <c r="S25" s="582">
        <v>0</v>
      </c>
      <c r="T25" s="123">
        <f t="shared" si="22"/>
        <v>-10560</v>
      </c>
      <c r="U25" s="25">
        <f t="shared" si="14"/>
        <v>1490.5</v>
      </c>
      <c r="V25" s="123">
        <f t="shared" si="15"/>
        <v>-1490.5</v>
      </c>
      <c r="W25" s="334">
        <f t="shared" si="16"/>
        <v>99</v>
      </c>
      <c r="Y25" s="109">
        <f>IF(AE25=1,IF(Y24=MiscData!$F$1,EOMONTH(Y24,-11),EOMONTH(Y24,1)),Y24)</f>
        <v>42400</v>
      </c>
      <c r="Z25" s="108" t="str">
        <f t="shared" si="17"/>
        <v>20140101LGUM_314</v>
      </c>
      <c r="AA25" s="126" t="str">
        <f t="shared" si="18"/>
        <v>20140101RLS</v>
      </c>
      <c r="AB25" s="583" t="str">
        <f t="shared" si="23"/>
        <v>314</v>
      </c>
      <c r="AD25" s="98">
        <f>MiscData!$X$5</f>
        <v>20140101</v>
      </c>
      <c r="AE25" s="98">
        <f>IF(AE24+1&gt;MiscData!$AC$77,1,AE24+1)</f>
        <v>22</v>
      </c>
      <c r="AF25" s="98" t="str">
        <f>VLOOKUP(AE25,MiscData!$AC$5:$AD$77,2,FALSE)</f>
        <v>LGUM_314</v>
      </c>
      <c r="AG25" s="98" t="str">
        <f>VLOOKUP(AF25,MiscData!$AD$5:$AE$77,2,FALSE)</f>
        <v>RLS</v>
      </c>
      <c r="AP25" s="98" t="s">
        <v>152</v>
      </c>
      <c r="AR25" s="98">
        <v>0</v>
      </c>
    </row>
    <row r="26" spans="1:44">
      <c r="A26" s="108">
        <f t="shared" si="24"/>
        <v>23</v>
      </c>
      <c r="B26" s="109" t="str">
        <f t="shared" si="0"/>
        <v>Jan 2016</v>
      </c>
      <c r="C26" s="110" t="str">
        <f t="shared" si="1"/>
        <v>RLS</v>
      </c>
      <c r="D26" s="110" t="str">
        <f t="shared" si="2"/>
        <v>LGUM_315</v>
      </c>
      <c r="E26" s="581">
        <f t="shared" si="3"/>
        <v>527</v>
      </c>
      <c r="F26" s="581">
        <f t="shared" si="4"/>
        <v>0</v>
      </c>
      <c r="G26" s="116">
        <f t="shared" si="5"/>
        <v>22.949999999999996</v>
      </c>
      <c r="H26" s="116">
        <f t="shared" si="6"/>
        <v>4.1999999999999993</v>
      </c>
      <c r="I26" s="118">
        <f t="shared" si="19"/>
        <v>12094.65</v>
      </c>
      <c r="J26" s="118">
        <f t="shared" si="7"/>
        <v>12094.65</v>
      </c>
      <c r="K26" s="570">
        <f t="shared" si="20"/>
        <v>0</v>
      </c>
      <c r="L26" s="121">
        <f t="shared" si="8"/>
        <v>0</v>
      </c>
      <c r="M26" s="122">
        <f t="shared" si="9"/>
        <v>0</v>
      </c>
      <c r="N26" s="122">
        <f t="shared" si="10"/>
        <v>0</v>
      </c>
      <c r="O26" s="122">
        <f t="shared" si="11"/>
        <v>0</v>
      </c>
      <c r="P26" s="122">
        <f t="shared" si="12"/>
        <v>0</v>
      </c>
      <c r="Q26" s="123">
        <f t="shared" si="13"/>
        <v>12094.65</v>
      </c>
      <c r="R26" s="123">
        <f t="shared" si="21"/>
        <v>-12094.65</v>
      </c>
      <c r="S26" s="582">
        <v>0</v>
      </c>
      <c r="T26" s="123">
        <f t="shared" si="22"/>
        <v>-12094.65</v>
      </c>
      <c r="U26" s="25">
        <f t="shared" si="14"/>
        <v>2213.4</v>
      </c>
      <c r="V26" s="123">
        <f t="shared" si="15"/>
        <v>-2213.4</v>
      </c>
      <c r="W26" s="334">
        <f t="shared" si="16"/>
        <v>115.94</v>
      </c>
      <c r="Y26" s="109">
        <f>IF(AE26=1,IF(Y25=MiscData!$F$1,EOMONTH(Y25,-11),EOMONTH(Y25,1)),Y25)</f>
        <v>42400</v>
      </c>
      <c r="Z26" s="108" t="str">
        <f t="shared" si="17"/>
        <v>20140101LGUM_315</v>
      </c>
      <c r="AA26" s="126" t="str">
        <f t="shared" si="18"/>
        <v>20140101RLS</v>
      </c>
      <c r="AB26" s="583" t="str">
        <f t="shared" si="23"/>
        <v>315</v>
      </c>
      <c r="AD26" s="98">
        <f>MiscData!$X$5</f>
        <v>20140101</v>
      </c>
      <c r="AE26" s="98">
        <f>IF(AE25+1&gt;MiscData!$AC$77,1,AE25+1)</f>
        <v>23</v>
      </c>
      <c r="AF26" s="98" t="str">
        <f>VLOOKUP(AE26,MiscData!$AC$5:$AD$77,2,FALSE)</f>
        <v>LGUM_315</v>
      </c>
      <c r="AG26" s="98" t="str">
        <f>VLOOKUP(AF26,MiscData!$AD$5:$AE$77,2,FALSE)</f>
        <v>RLS</v>
      </c>
      <c r="AP26" s="98" t="s">
        <v>153</v>
      </c>
      <c r="AR26" s="98">
        <v>-2.83</v>
      </c>
    </row>
    <row r="27" spans="1:44">
      <c r="A27" s="108">
        <f t="shared" si="24"/>
        <v>24</v>
      </c>
      <c r="B27" s="109" t="str">
        <f t="shared" si="0"/>
        <v>Jan 2016</v>
      </c>
      <c r="C27" s="110" t="str">
        <f t="shared" si="1"/>
        <v>RLS</v>
      </c>
      <c r="D27" s="110" t="str">
        <f t="shared" si="2"/>
        <v>LGUM_318</v>
      </c>
      <c r="E27" s="581">
        <f t="shared" si="3"/>
        <v>53</v>
      </c>
      <c r="F27" s="581">
        <f t="shared" si="4"/>
        <v>0</v>
      </c>
      <c r="G27" s="116">
        <f t="shared" si="5"/>
        <v>17.419999999999998</v>
      </c>
      <c r="H27" s="116">
        <f t="shared" si="6"/>
        <v>1.9100000000000001</v>
      </c>
      <c r="I27" s="118">
        <f t="shared" si="19"/>
        <v>923.26</v>
      </c>
      <c r="J27" s="118">
        <f t="shared" si="7"/>
        <v>923.26</v>
      </c>
      <c r="K27" s="570">
        <f t="shared" si="20"/>
        <v>0</v>
      </c>
      <c r="L27" s="121">
        <f t="shared" si="8"/>
        <v>0</v>
      </c>
      <c r="M27" s="122">
        <f t="shared" si="9"/>
        <v>0</v>
      </c>
      <c r="N27" s="122">
        <f t="shared" si="10"/>
        <v>0</v>
      </c>
      <c r="O27" s="122">
        <f t="shared" si="11"/>
        <v>0</v>
      </c>
      <c r="P27" s="122">
        <f t="shared" si="12"/>
        <v>0</v>
      </c>
      <c r="Q27" s="123">
        <f t="shared" si="13"/>
        <v>923.26</v>
      </c>
      <c r="R27" s="123">
        <f t="shared" si="21"/>
        <v>-923.26</v>
      </c>
      <c r="S27" s="582">
        <v>0</v>
      </c>
      <c r="T27" s="123">
        <f t="shared" si="22"/>
        <v>-923.26</v>
      </c>
      <c r="U27" s="25">
        <f t="shared" si="14"/>
        <v>101.23</v>
      </c>
      <c r="V27" s="123">
        <f t="shared" si="15"/>
        <v>-101.23</v>
      </c>
      <c r="W27" s="334">
        <f t="shared" si="16"/>
        <v>8.48</v>
      </c>
      <c r="Y27" s="109">
        <f>IF(AE27=1,IF(Y26=MiscData!$F$1,EOMONTH(Y26,-11),EOMONTH(Y26,1)),Y26)</f>
        <v>42400</v>
      </c>
      <c r="Z27" s="108" t="str">
        <f t="shared" si="17"/>
        <v>20140101LGUM_318</v>
      </c>
      <c r="AA27" s="126" t="str">
        <f t="shared" si="18"/>
        <v>20140101RLS</v>
      </c>
      <c r="AB27" s="583" t="str">
        <f t="shared" si="23"/>
        <v>318</v>
      </c>
      <c r="AD27" s="98">
        <f>MiscData!$X$5</f>
        <v>20140101</v>
      </c>
      <c r="AE27" s="98">
        <f>IF(AE26+1&gt;MiscData!$AC$77,1,AE26+1)</f>
        <v>24</v>
      </c>
      <c r="AF27" s="98" t="str">
        <f>VLOOKUP(AE27,MiscData!$AC$5:$AD$77,2,FALSE)</f>
        <v>LGUM_318</v>
      </c>
      <c r="AG27" s="98" t="str">
        <f>VLOOKUP(AF27,MiscData!$AD$5:$AE$77,2,FALSE)</f>
        <v>RLS</v>
      </c>
      <c r="AP27" s="98" t="s">
        <v>154</v>
      </c>
      <c r="AR27" s="98">
        <v>-45.72</v>
      </c>
    </row>
    <row r="28" spans="1:44">
      <c r="A28" s="108">
        <f t="shared" si="24"/>
        <v>25</v>
      </c>
      <c r="B28" s="109" t="str">
        <f t="shared" si="0"/>
        <v>Jan 2016</v>
      </c>
      <c r="C28" s="110" t="str">
        <f t="shared" si="1"/>
        <v>RLS</v>
      </c>
      <c r="D28" s="110" t="str">
        <f t="shared" si="2"/>
        <v>LGUM_347</v>
      </c>
      <c r="E28" s="581">
        <f t="shared" si="3"/>
        <v>0</v>
      </c>
      <c r="F28" s="581">
        <f t="shared" si="4"/>
        <v>0</v>
      </c>
      <c r="G28" s="116">
        <f t="shared" si="5"/>
        <v>22.939999999999998</v>
      </c>
      <c r="H28" s="116">
        <f t="shared" si="6"/>
        <v>26.14</v>
      </c>
      <c r="I28" s="118">
        <f t="shared" si="19"/>
        <v>0</v>
      </c>
      <c r="J28" s="118">
        <f t="shared" si="7"/>
        <v>0</v>
      </c>
      <c r="K28" s="570">
        <f t="shared" si="20"/>
        <v>0</v>
      </c>
      <c r="L28" s="121">
        <f t="shared" si="8"/>
        <v>1</v>
      </c>
      <c r="M28" s="122">
        <f t="shared" si="9"/>
        <v>0</v>
      </c>
      <c r="N28" s="122">
        <f t="shared" si="10"/>
        <v>0</v>
      </c>
      <c r="O28" s="122">
        <f t="shared" si="11"/>
        <v>0</v>
      </c>
      <c r="P28" s="122">
        <f t="shared" si="12"/>
        <v>0</v>
      </c>
      <c r="Q28" s="123">
        <f t="shared" si="13"/>
        <v>0</v>
      </c>
      <c r="R28" s="123">
        <f t="shared" si="21"/>
        <v>0</v>
      </c>
      <c r="S28" s="582">
        <v>0</v>
      </c>
      <c r="T28" s="123">
        <f t="shared" si="22"/>
        <v>0</v>
      </c>
      <c r="U28" s="25">
        <f t="shared" si="14"/>
        <v>0</v>
      </c>
      <c r="V28" s="123">
        <f t="shared" si="15"/>
        <v>0</v>
      </c>
      <c r="W28" s="334">
        <f t="shared" si="16"/>
        <v>0</v>
      </c>
      <c r="Y28" s="109">
        <f>IF(AE28=1,IF(Y27=MiscData!$F$1,EOMONTH(Y27,-11),EOMONTH(Y27,1)),Y27)</f>
        <v>42400</v>
      </c>
      <c r="Z28" s="108" t="str">
        <f t="shared" si="17"/>
        <v>20140101LGUM_347</v>
      </c>
      <c r="AA28" s="126" t="str">
        <f t="shared" si="18"/>
        <v>20140101RLS</v>
      </c>
      <c r="AB28" s="583" t="str">
        <f t="shared" si="23"/>
        <v>347</v>
      </c>
      <c r="AD28" s="98">
        <f>MiscData!$X$5</f>
        <v>20140101</v>
      </c>
      <c r="AE28" s="98">
        <f>IF(AE27+1&gt;MiscData!$AC$77,1,AE27+1)</f>
        <v>25</v>
      </c>
      <c r="AF28" s="98" t="str">
        <f>VLOOKUP(AE28,MiscData!$AC$5:$AD$77,2,FALSE)</f>
        <v>LGUM_347</v>
      </c>
      <c r="AG28" s="98" t="str">
        <f>VLOOKUP(AF28,MiscData!$AD$5:$AE$77,2,FALSE)</f>
        <v>RLS</v>
      </c>
      <c r="AP28" s="98" t="s">
        <v>495</v>
      </c>
      <c r="AR28" s="98">
        <v>0</v>
      </c>
    </row>
    <row r="29" spans="1:44">
      <c r="A29" s="108">
        <f t="shared" si="24"/>
        <v>26</v>
      </c>
      <c r="B29" s="109" t="str">
        <f t="shared" si="0"/>
        <v>Jan 2016</v>
      </c>
      <c r="C29" s="110" t="str">
        <f t="shared" si="1"/>
        <v>RLS</v>
      </c>
      <c r="D29" s="110" t="str">
        <f t="shared" si="2"/>
        <v>LGUM_348</v>
      </c>
      <c r="E29" s="581">
        <f t="shared" si="3"/>
        <v>39</v>
      </c>
      <c r="F29" s="581">
        <f t="shared" si="4"/>
        <v>0</v>
      </c>
      <c r="G29" s="116">
        <f t="shared" si="5"/>
        <v>13.12</v>
      </c>
      <c r="H29" s="116">
        <f t="shared" si="6"/>
        <v>2.9800000000000004</v>
      </c>
      <c r="I29" s="118">
        <f t="shared" si="19"/>
        <v>511.68</v>
      </c>
      <c r="J29" s="118">
        <f t="shared" si="7"/>
        <v>511.68</v>
      </c>
      <c r="K29" s="570">
        <f t="shared" si="20"/>
        <v>0</v>
      </c>
      <c r="L29" s="121">
        <f t="shared" si="8"/>
        <v>0</v>
      </c>
      <c r="M29" s="122">
        <f t="shared" si="9"/>
        <v>0</v>
      </c>
      <c r="N29" s="122">
        <f t="shared" si="10"/>
        <v>0</v>
      </c>
      <c r="O29" s="122">
        <f t="shared" si="11"/>
        <v>0</v>
      </c>
      <c r="P29" s="122">
        <f t="shared" si="12"/>
        <v>0</v>
      </c>
      <c r="Q29" s="123">
        <f t="shared" si="13"/>
        <v>511.68</v>
      </c>
      <c r="R29" s="123">
        <f t="shared" si="21"/>
        <v>-511.68</v>
      </c>
      <c r="S29" s="582">
        <v>0</v>
      </c>
      <c r="T29" s="123">
        <f t="shared" si="22"/>
        <v>-511.68</v>
      </c>
      <c r="U29" s="25">
        <f t="shared" si="14"/>
        <v>116.22</v>
      </c>
      <c r="V29" s="123">
        <f t="shared" si="15"/>
        <v>-116.22</v>
      </c>
      <c r="W29" s="334">
        <f t="shared" si="16"/>
        <v>7.41</v>
      </c>
      <c r="Y29" s="109">
        <f>IF(AE29=1,IF(Y28=MiscData!$F$1,EOMONTH(Y28,-11),EOMONTH(Y28,1)),Y28)</f>
        <v>42400</v>
      </c>
      <c r="Z29" s="108" t="str">
        <f t="shared" si="17"/>
        <v>20140101LGUM_348</v>
      </c>
      <c r="AA29" s="126" t="str">
        <f t="shared" si="18"/>
        <v>20140101RLS</v>
      </c>
      <c r="AB29" s="583" t="str">
        <f t="shared" si="23"/>
        <v>348</v>
      </c>
      <c r="AD29" s="98">
        <f>MiscData!$X$5</f>
        <v>20140101</v>
      </c>
      <c r="AE29" s="98">
        <f>IF(AE28+1&gt;MiscData!$AC$77,1,AE28+1)</f>
        <v>26</v>
      </c>
      <c r="AF29" s="98" t="str">
        <f>VLOOKUP(AE29,MiscData!$AC$5:$AD$77,2,FALSE)</f>
        <v>LGUM_348</v>
      </c>
      <c r="AG29" s="98" t="str">
        <f>VLOOKUP(AF29,MiscData!$AD$5:$AE$77,2,FALSE)</f>
        <v>RLS</v>
      </c>
      <c r="AP29" s="98" t="s">
        <v>155</v>
      </c>
      <c r="AR29" s="98">
        <v>-7.55</v>
      </c>
    </row>
    <row r="30" spans="1:44">
      <c r="A30" s="108">
        <f t="shared" si="24"/>
        <v>27</v>
      </c>
      <c r="B30" s="109" t="str">
        <f t="shared" ref="B30:B93" si="25">TEXT(Y30,"mmm yyyy")</f>
        <v>Jan 2016</v>
      </c>
      <c r="C30" s="110" t="str">
        <f t="shared" ref="C30:C93" si="26">AG30</f>
        <v>RLS</v>
      </c>
      <c r="D30" s="110" t="str">
        <f t="shared" ref="D30:D93" si="27">AF30</f>
        <v>LGUM_349</v>
      </c>
      <c r="E30" s="581">
        <f t="shared" si="3"/>
        <v>17</v>
      </c>
      <c r="F30" s="581">
        <f t="shared" si="4"/>
        <v>0</v>
      </c>
      <c r="G30" s="116">
        <f t="shared" si="5"/>
        <v>9.0200000000000014</v>
      </c>
      <c r="H30" s="116">
        <f t="shared" si="6"/>
        <v>0.91000000000000014</v>
      </c>
      <c r="I30" s="118">
        <f t="shared" si="19"/>
        <v>153.34</v>
      </c>
      <c r="J30" s="118">
        <f t="shared" si="7"/>
        <v>153.34</v>
      </c>
      <c r="K30" s="570">
        <f t="shared" si="20"/>
        <v>0</v>
      </c>
      <c r="L30" s="121">
        <f t="shared" si="8"/>
        <v>0</v>
      </c>
      <c r="M30" s="122">
        <f t="shared" si="9"/>
        <v>0</v>
      </c>
      <c r="N30" s="122">
        <f t="shared" si="10"/>
        <v>0</v>
      </c>
      <c r="O30" s="122">
        <f t="shared" si="11"/>
        <v>0</v>
      </c>
      <c r="P30" s="122">
        <f t="shared" si="12"/>
        <v>0</v>
      </c>
      <c r="Q30" s="123">
        <f t="shared" si="13"/>
        <v>153.34</v>
      </c>
      <c r="R30" s="123">
        <f t="shared" si="21"/>
        <v>-153.34</v>
      </c>
      <c r="S30" s="582">
        <v>0</v>
      </c>
      <c r="T30" s="123">
        <f t="shared" si="22"/>
        <v>-153.34</v>
      </c>
      <c r="U30" s="25">
        <f t="shared" si="14"/>
        <v>15.47</v>
      </c>
      <c r="V30" s="123">
        <f t="shared" si="15"/>
        <v>-15.47</v>
      </c>
      <c r="W30" s="334">
        <f t="shared" si="16"/>
        <v>2.3800000000000003</v>
      </c>
      <c r="Y30" s="109">
        <f>IF(AE30=1,IF(Y29=MiscData!$F$1,EOMONTH(Y29,-11),EOMONTH(Y29,1)),Y29)</f>
        <v>42400</v>
      </c>
      <c r="Z30" s="108" t="str">
        <f t="shared" ref="Z30:Z93" si="28">CONCATENATE(AD30&amp;AF30)</f>
        <v>20140101LGUM_349</v>
      </c>
      <c r="AA30" s="126" t="str">
        <f t="shared" ref="AA30:AA93" si="29">CONCATENATE(AD30&amp;AG30)</f>
        <v>20140101RLS</v>
      </c>
      <c r="AB30" s="583" t="str">
        <f t="shared" si="23"/>
        <v>349</v>
      </c>
      <c r="AD30" s="98">
        <f>MiscData!$X$5</f>
        <v>20140101</v>
      </c>
      <c r="AE30" s="98">
        <f>IF(AE29+1&gt;MiscData!$AC$77,1,AE29+1)</f>
        <v>27</v>
      </c>
      <c r="AF30" s="98" t="str">
        <f>VLOOKUP(AE30,MiscData!$AC$5:$AD$77,2,FALSE)</f>
        <v>LGUM_349</v>
      </c>
      <c r="AG30" s="98" t="str">
        <f>VLOOKUP(AF30,MiscData!$AD$5:$AE$77,2,FALSE)</f>
        <v>RLS</v>
      </c>
      <c r="AP30" s="98" t="s">
        <v>156</v>
      </c>
      <c r="AR30" s="98">
        <v>0</v>
      </c>
    </row>
    <row r="31" spans="1:44">
      <c r="A31" s="108">
        <f t="shared" si="24"/>
        <v>28</v>
      </c>
      <c r="B31" s="109" t="str">
        <f t="shared" si="25"/>
        <v>Jan 2016</v>
      </c>
      <c r="C31" s="110" t="str">
        <f t="shared" si="26"/>
        <v xml:space="preserve">LS </v>
      </c>
      <c r="D31" s="110" t="str">
        <f t="shared" si="27"/>
        <v>LGUM_400</v>
      </c>
      <c r="E31" s="581">
        <f t="shared" si="3"/>
        <v>32</v>
      </c>
      <c r="F31" s="581">
        <f t="shared" si="4"/>
        <v>0</v>
      </c>
      <c r="G31" s="116">
        <f t="shared" si="5"/>
        <v>23.89</v>
      </c>
      <c r="H31" s="116">
        <f t="shared" si="6"/>
        <v>1.0199999999999996</v>
      </c>
      <c r="I31" s="118">
        <f t="shared" si="19"/>
        <v>764.48</v>
      </c>
      <c r="J31" s="118">
        <f t="shared" si="7"/>
        <v>764.48</v>
      </c>
      <c r="K31" s="570">
        <f t="shared" si="20"/>
        <v>0</v>
      </c>
      <c r="L31" s="121">
        <f t="shared" si="8"/>
        <v>0</v>
      </c>
      <c r="M31" s="122">
        <f t="shared" si="9"/>
        <v>0</v>
      </c>
      <c r="N31" s="122">
        <f t="shared" si="10"/>
        <v>0</v>
      </c>
      <c r="O31" s="122">
        <f t="shared" si="11"/>
        <v>0</v>
      </c>
      <c r="P31" s="122">
        <f t="shared" si="12"/>
        <v>0</v>
      </c>
      <c r="Q31" s="123">
        <f t="shared" si="13"/>
        <v>764.48</v>
      </c>
      <c r="R31" s="123">
        <f t="shared" si="21"/>
        <v>-764.48</v>
      </c>
      <c r="S31" s="582">
        <v>0</v>
      </c>
      <c r="T31" s="123">
        <f t="shared" si="22"/>
        <v>-764.48</v>
      </c>
      <c r="U31" s="25">
        <f t="shared" si="14"/>
        <v>32.64</v>
      </c>
      <c r="V31" s="123">
        <f t="shared" si="15"/>
        <v>-32.64</v>
      </c>
      <c r="W31" s="334">
        <f t="shared" si="16"/>
        <v>11.84</v>
      </c>
      <c r="Y31" s="109">
        <f>IF(AE31=1,IF(Y30=MiscData!$F$1,EOMONTH(Y30,-11),EOMONTH(Y30,1)),Y30)</f>
        <v>42400</v>
      </c>
      <c r="Z31" s="108" t="str">
        <f t="shared" si="28"/>
        <v>20140101LGUM_400</v>
      </c>
      <c r="AA31" s="126" t="str">
        <f t="shared" si="29"/>
        <v xml:space="preserve">20140101LS </v>
      </c>
      <c r="AB31" s="583" t="str">
        <f t="shared" si="23"/>
        <v>400</v>
      </c>
      <c r="AD31" s="98">
        <f>MiscData!$X$5</f>
        <v>20140101</v>
      </c>
      <c r="AE31" s="98">
        <f>IF(AE30+1&gt;MiscData!$AC$77,1,AE30+1)</f>
        <v>28</v>
      </c>
      <c r="AF31" s="98" t="str">
        <f>VLOOKUP(AE31,MiscData!$AC$5:$AD$77,2,FALSE)</f>
        <v>LGUM_400</v>
      </c>
      <c r="AG31" s="98" t="str">
        <f>VLOOKUP(AF31,MiscData!$AD$5:$AE$77,2,FALSE)</f>
        <v xml:space="preserve">LS </v>
      </c>
      <c r="AP31" s="98" t="s">
        <v>361</v>
      </c>
      <c r="AR31" s="98">
        <v>0</v>
      </c>
    </row>
    <row r="32" spans="1:44">
      <c r="A32" s="108">
        <f t="shared" si="24"/>
        <v>29</v>
      </c>
      <c r="B32" s="109" t="str">
        <f t="shared" si="25"/>
        <v>Jan 2016</v>
      </c>
      <c r="C32" s="110" t="str">
        <f t="shared" si="26"/>
        <v xml:space="preserve">LS </v>
      </c>
      <c r="D32" s="110" t="str">
        <f t="shared" si="27"/>
        <v>LGUM_401</v>
      </c>
      <c r="E32" s="581">
        <f t="shared" si="3"/>
        <v>4</v>
      </c>
      <c r="F32" s="581">
        <f t="shared" si="4"/>
        <v>0</v>
      </c>
      <c r="G32" s="116">
        <f t="shared" si="5"/>
        <v>24.9</v>
      </c>
      <c r="H32" s="116">
        <f t="shared" si="6"/>
        <v>1.0599999999999987</v>
      </c>
      <c r="I32" s="118">
        <f t="shared" si="19"/>
        <v>99.6</v>
      </c>
      <c r="J32" s="118">
        <f t="shared" si="7"/>
        <v>99.6</v>
      </c>
      <c r="K32" s="570">
        <f t="shared" si="20"/>
        <v>0</v>
      </c>
      <c r="L32" s="121">
        <f t="shared" si="8"/>
        <v>0</v>
      </c>
      <c r="M32" s="122">
        <f t="shared" si="9"/>
        <v>0</v>
      </c>
      <c r="N32" s="122">
        <f t="shared" si="10"/>
        <v>0</v>
      </c>
      <c r="O32" s="122">
        <f t="shared" si="11"/>
        <v>0</v>
      </c>
      <c r="P32" s="122">
        <f t="shared" si="12"/>
        <v>0</v>
      </c>
      <c r="Q32" s="123">
        <f t="shared" si="13"/>
        <v>99.6</v>
      </c>
      <c r="R32" s="123">
        <f t="shared" si="21"/>
        <v>-99.6</v>
      </c>
      <c r="S32" s="582">
        <v>0</v>
      </c>
      <c r="T32" s="123">
        <f t="shared" si="22"/>
        <v>-99.6</v>
      </c>
      <c r="U32" s="25">
        <f t="shared" si="14"/>
        <v>4.24</v>
      </c>
      <c r="V32" s="123">
        <f t="shared" si="15"/>
        <v>-4.24</v>
      </c>
      <c r="W32" s="334">
        <f t="shared" si="16"/>
        <v>1.08</v>
      </c>
      <c r="Y32" s="109">
        <f>IF(AE32=1,IF(Y31=MiscData!$F$1,EOMONTH(Y31,-11),EOMONTH(Y31,1)),Y31)</f>
        <v>42400</v>
      </c>
      <c r="Z32" s="108" t="str">
        <f t="shared" si="28"/>
        <v>20140101LGUM_401</v>
      </c>
      <c r="AA32" s="126" t="str">
        <f t="shared" si="29"/>
        <v xml:space="preserve">20140101LS </v>
      </c>
      <c r="AB32" s="583" t="str">
        <f t="shared" si="23"/>
        <v>401</v>
      </c>
      <c r="AD32" s="98">
        <f>MiscData!$X$5</f>
        <v>20140101</v>
      </c>
      <c r="AE32" s="98">
        <f>IF(AE31+1&gt;MiscData!$AC$77,1,AE31+1)</f>
        <v>29</v>
      </c>
      <c r="AF32" s="98" t="str">
        <f>VLOOKUP(AE32,MiscData!$AC$5:$AD$77,2,FALSE)</f>
        <v>LGUM_401</v>
      </c>
      <c r="AG32" s="98" t="str">
        <f>VLOOKUP(AF32,MiscData!$AD$5:$AE$77,2,FALSE)</f>
        <v xml:space="preserve">LS </v>
      </c>
      <c r="AP32" s="98" t="s">
        <v>502</v>
      </c>
      <c r="AR32" s="98">
        <v>0</v>
      </c>
    </row>
    <row r="33" spans="1:44">
      <c r="A33" s="108">
        <f t="shared" si="24"/>
        <v>30</v>
      </c>
      <c r="B33" s="109" t="str">
        <f t="shared" si="25"/>
        <v>Jan 2016</v>
      </c>
      <c r="C33" s="110" t="str">
        <f t="shared" si="26"/>
        <v xml:space="preserve">LS </v>
      </c>
      <c r="D33" s="110" t="str">
        <f t="shared" si="27"/>
        <v>LGUM_412</v>
      </c>
      <c r="E33" s="581">
        <f t="shared" si="3"/>
        <v>222</v>
      </c>
      <c r="F33" s="581">
        <f t="shared" si="4"/>
        <v>0</v>
      </c>
      <c r="G33" s="116">
        <f t="shared" si="5"/>
        <v>19.79</v>
      </c>
      <c r="H33" s="116">
        <f t="shared" si="6"/>
        <v>0.74999999999999645</v>
      </c>
      <c r="I33" s="118">
        <f t="shared" si="19"/>
        <v>4393.38</v>
      </c>
      <c r="J33" s="118">
        <f t="shared" si="7"/>
        <v>4393.38</v>
      </c>
      <c r="K33" s="570">
        <f t="shared" si="20"/>
        <v>0</v>
      </c>
      <c r="L33" s="121">
        <f t="shared" si="8"/>
        <v>0</v>
      </c>
      <c r="M33" s="122">
        <f t="shared" si="9"/>
        <v>0</v>
      </c>
      <c r="N33" s="122">
        <f t="shared" si="10"/>
        <v>0</v>
      </c>
      <c r="O33" s="122">
        <f t="shared" si="11"/>
        <v>0</v>
      </c>
      <c r="P33" s="122">
        <f t="shared" si="12"/>
        <v>0</v>
      </c>
      <c r="Q33" s="123">
        <f t="shared" si="13"/>
        <v>4393.38</v>
      </c>
      <c r="R33" s="123">
        <f t="shared" si="21"/>
        <v>-4393.38</v>
      </c>
      <c r="S33" s="582">
        <v>0</v>
      </c>
      <c r="T33" s="123">
        <f t="shared" si="22"/>
        <v>-4393.38</v>
      </c>
      <c r="U33" s="25">
        <f t="shared" si="14"/>
        <v>166.5</v>
      </c>
      <c r="V33" s="123">
        <f t="shared" si="15"/>
        <v>-166.5</v>
      </c>
      <c r="W33" s="334">
        <f t="shared" si="16"/>
        <v>57.72</v>
      </c>
      <c r="Y33" s="109">
        <f>IF(AE33=1,IF(Y32=MiscData!$F$1,EOMONTH(Y32,-11),EOMONTH(Y32,1)),Y32)</f>
        <v>42400</v>
      </c>
      <c r="Z33" s="108" t="str">
        <f t="shared" si="28"/>
        <v>20140101LGUM_412</v>
      </c>
      <c r="AA33" s="126" t="str">
        <f t="shared" si="29"/>
        <v xml:space="preserve">20140101LS </v>
      </c>
      <c r="AB33" s="583" t="str">
        <f t="shared" si="23"/>
        <v>412</v>
      </c>
      <c r="AD33" s="98">
        <f>MiscData!$X$5</f>
        <v>20140101</v>
      </c>
      <c r="AE33" s="98">
        <f>IF(AE32+1&gt;MiscData!$AC$77,1,AE32+1)</f>
        <v>30</v>
      </c>
      <c r="AF33" s="98" t="str">
        <f>VLOOKUP(AE33,MiscData!$AC$5:$AD$77,2,FALSE)</f>
        <v>LGUM_412</v>
      </c>
      <c r="AG33" s="98" t="str">
        <f>VLOOKUP(AF33,MiscData!$AD$5:$AE$77,2,FALSE)</f>
        <v xml:space="preserve">LS </v>
      </c>
      <c r="AP33" s="98" t="s">
        <v>157</v>
      </c>
      <c r="AR33" s="98">
        <v>-9.34</v>
      </c>
    </row>
    <row r="34" spans="1:44">
      <c r="A34" s="108">
        <f t="shared" si="24"/>
        <v>31</v>
      </c>
      <c r="B34" s="109" t="str">
        <f t="shared" si="25"/>
        <v>Jan 2016</v>
      </c>
      <c r="C34" s="110" t="str">
        <f t="shared" si="26"/>
        <v xml:space="preserve">LS </v>
      </c>
      <c r="D34" s="110" t="str">
        <f t="shared" si="27"/>
        <v>LGUM_413</v>
      </c>
      <c r="E34" s="581">
        <f t="shared" si="3"/>
        <v>2037</v>
      </c>
      <c r="F34" s="581">
        <f t="shared" si="4"/>
        <v>0</v>
      </c>
      <c r="G34" s="116">
        <f t="shared" si="5"/>
        <v>20.49</v>
      </c>
      <c r="H34" s="116">
        <f t="shared" si="6"/>
        <v>1.0599999999999987</v>
      </c>
      <c r="I34" s="118">
        <f t="shared" si="19"/>
        <v>41738.129999999997</v>
      </c>
      <c r="J34" s="118">
        <f t="shared" si="7"/>
        <v>41738.129999999997</v>
      </c>
      <c r="K34" s="570">
        <f t="shared" si="20"/>
        <v>0</v>
      </c>
      <c r="L34" s="121">
        <f t="shared" si="8"/>
        <v>0</v>
      </c>
      <c r="M34" s="122">
        <f t="shared" si="9"/>
        <v>0</v>
      </c>
      <c r="N34" s="122">
        <f t="shared" si="10"/>
        <v>0</v>
      </c>
      <c r="O34" s="122">
        <f t="shared" si="11"/>
        <v>0</v>
      </c>
      <c r="P34" s="122">
        <f t="shared" si="12"/>
        <v>0</v>
      </c>
      <c r="Q34" s="123">
        <f t="shared" si="13"/>
        <v>41738.129999999997</v>
      </c>
      <c r="R34" s="123">
        <f t="shared" si="21"/>
        <v>-41738.129999999997</v>
      </c>
      <c r="S34" s="582">
        <v>0</v>
      </c>
      <c r="T34" s="123">
        <f t="shared" si="22"/>
        <v>-41738.129999999997</v>
      </c>
      <c r="U34" s="25">
        <f t="shared" si="14"/>
        <v>2159.2199999999998</v>
      </c>
      <c r="V34" s="123">
        <f t="shared" si="15"/>
        <v>-2159.2199999999998</v>
      </c>
      <c r="W34" s="334">
        <f t="shared" si="16"/>
        <v>549.99</v>
      </c>
      <c r="Y34" s="109">
        <f>IF(AE34=1,IF(Y33=MiscData!$F$1,EOMONTH(Y33,-11),EOMONTH(Y33,1)),Y33)</f>
        <v>42400</v>
      </c>
      <c r="Z34" s="108" t="str">
        <f t="shared" si="28"/>
        <v>20140101LGUM_413</v>
      </c>
      <c r="AA34" s="126" t="str">
        <f t="shared" si="29"/>
        <v xml:space="preserve">20140101LS </v>
      </c>
      <c r="AB34" s="583" t="str">
        <f t="shared" si="23"/>
        <v>413</v>
      </c>
      <c r="AD34" s="98">
        <f>MiscData!$X$5</f>
        <v>20140101</v>
      </c>
      <c r="AE34" s="98">
        <f>IF(AE33+1&gt;MiscData!$AC$77,1,AE33+1)</f>
        <v>31</v>
      </c>
      <c r="AF34" s="98" t="str">
        <f>VLOOKUP(AE34,MiscData!$AC$5:$AD$77,2,FALSE)</f>
        <v>LGUM_413</v>
      </c>
      <c r="AG34" s="98" t="str">
        <f>VLOOKUP(AF34,MiscData!$AD$5:$AE$77,2,FALSE)</f>
        <v xml:space="preserve">LS </v>
      </c>
      <c r="AP34" s="98" t="s">
        <v>158</v>
      </c>
      <c r="AR34" s="98">
        <v>-9</v>
      </c>
    </row>
    <row r="35" spans="1:44">
      <c r="A35" s="108">
        <f t="shared" si="24"/>
        <v>32</v>
      </c>
      <c r="B35" s="109" t="str">
        <f t="shared" si="25"/>
        <v>Jan 2016</v>
      </c>
      <c r="C35" s="110" t="str">
        <f t="shared" si="26"/>
        <v xml:space="preserve">LS </v>
      </c>
      <c r="D35" s="110" t="str">
        <f t="shared" si="27"/>
        <v>LGUM_415</v>
      </c>
      <c r="E35" s="581">
        <f t="shared" si="3"/>
        <v>31</v>
      </c>
      <c r="F35" s="581">
        <f t="shared" si="4"/>
        <v>0</v>
      </c>
      <c r="G35" s="116">
        <f t="shared" si="5"/>
        <v>20.18</v>
      </c>
      <c r="H35" s="116">
        <f t="shared" si="6"/>
        <v>0.75</v>
      </c>
      <c r="I35" s="118">
        <f t="shared" si="19"/>
        <v>625.58000000000004</v>
      </c>
      <c r="J35" s="118">
        <f t="shared" si="7"/>
        <v>625.58000000000004</v>
      </c>
      <c r="K35" s="570">
        <f t="shared" si="20"/>
        <v>0</v>
      </c>
      <c r="L35" s="121">
        <f t="shared" si="8"/>
        <v>0</v>
      </c>
      <c r="M35" s="122">
        <f t="shared" si="9"/>
        <v>0</v>
      </c>
      <c r="N35" s="122">
        <f t="shared" si="10"/>
        <v>0</v>
      </c>
      <c r="O35" s="122">
        <f t="shared" si="11"/>
        <v>0</v>
      </c>
      <c r="P35" s="122">
        <f t="shared" si="12"/>
        <v>0</v>
      </c>
      <c r="Q35" s="123">
        <f t="shared" si="13"/>
        <v>625.58000000000004</v>
      </c>
      <c r="R35" s="123">
        <f t="shared" si="21"/>
        <v>-625.58000000000004</v>
      </c>
      <c r="S35" s="582">
        <v>0</v>
      </c>
      <c r="T35" s="123">
        <f t="shared" si="22"/>
        <v>-625.58000000000004</v>
      </c>
      <c r="U35" s="25">
        <f t="shared" si="14"/>
        <v>23.25</v>
      </c>
      <c r="V35" s="123">
        <f t="shared" si="15"/>
        <v>-23.25</v>
      </c>
      <c r="W35" s="334">
        <f t="shared" si="16"/>
        <v>8.06</v>
      </c>
      <c r="Y35" s="109">
        <f>IF(AE35=1,IF(Y34=MiscData!$F$1,EOMONTH(Y34,-11),EOMONTH(Y34,1)),Y34)</f>
        <v>42400</v>
      </c>
      <c r="Z35" s="108" t="str">
        <f t="shared" si="28"/>
        <v>20140101LGUM_415</v>
      </c>
      <c r="AA35" s="126" t="str">
        <f t="shared" si="29"/>
        <v xml:space="preserve">20140101LS </v>
      </c>
      <c r="AB35" s="583" t="str">
        <f t="shared" si="23"/>
        <v>415</v>
      </c>
      <c r="AD35" s="98">
        <f>MiscData!$X$5</f>
        <v>20140101</v>
      </c>
      <c r="AE35" s="98">
        <f>IF(AE34+1&gt;MiscData!$AC$77,1,AE34+1)</f>
        <v>32</v>
      </c>
      <c r="AF35" s="98" t="str">
        <f>VLOOKUP(AE35,MiscData!$AC$5:$AD$77,2,FALSE)</f>
        <v>LGUM_415</v>
      </c>
      <c r="AG35" s="98" t="str">
        <f>VLOOKUP(AF35,MiscData!$AD$5:$AE$77,2,FALSE)</f>
        <v xml:space="preserve">LS </v>
      </c>
      <c r="AP35" s="98" t="s">
        <v>159</v>
      </c>
      <c r="AR35" s="98">
        <v>-10.15</v>
      </c>
    </row>
    <row r="36" spans="1:44">
      <c r="A36" s="108">
        <f t="shared" si="24"/>
        <v>33</v>
      </c>
      <c r="B36" s="109" t="str">
        <f t="shared" si="25"/>
        <v>Jan 2016</v>
      </c>
      <c r="C36" s="110" t="str">
        <f t="shared" si="26"/>
        <v xml:space="preserve">LS </v>
      </c>
      <c r="D36" s="110" t="str">
        <f t="shared" si="27"/>
        <v>LGUM_416</v>
      </c>
      <c r="E36" s="581">
        <f t="shared" si="3"/>
        <v>1810</v>
      </c>
      <c r="F36" s="581">
        <f t="shared" si="4"/>
        <v>0</v>
      </c>
      <c r="G36" s="116">
        <f t="shared" si="5"/>
        <v>22.56</v>
      </c>
      <c r="H36" s="116">
        <f t="shared" si="6"/>
        <v>1.0599999999999987</v>
      </c>
      <c r="I36" s="118">
        <f t="shared" si="19"/>
        <v>40833.599999999999</v>
      </c>
      <c r="J36" s="118">
        <f t="shared" si="7"/>
        <v>40833.599999999999</v>
      </c>
      <c r="K36" s="570">
        <f t="shared" si="20"/>
        <v>0</v>
      </c>
      <c r="L36" s="121">
        <f t="shared" si="8"/>
        <v>0</v>
      </c>
      <c r="M36" s="122">
        <f t="shared" si="9"/>
        <v>0</v>
      </c>
      <c r="N36" s="122">
        <f t="shared" si="10"/>
        <v>0</v>
      </c>
      <c r="O36" s="122">
        <f t="shared" si="11"/>
        <v>0</v>
      </c>
      <c r="P36" s="122">
        <f t="shared" si="12"/>
        <v>0</v>
      </c>
      <c r="Q36" s="123">
        <f t="shared" si="13"/>
        <v>40833.599999999999</v>
      </c>
      <c r="R36" s="123">
        <f t="shared" si="21"/>
        <v>-40833.599999999999</v>
      </c>
      <c r="S36" s="582">
        <v>0</v>
      </c>
      <c r="T36" s="123">
        <f t="shared" si="22"/>
        <v>-40833.599999999999</v>
      </c>
      <c r="U36" s="25">
        <f t="shared" si="14"/>
        <v>1918.6</v>
      </c>
      <c r="V36" s="123">
        <f t="shared" si="15"/>
        <v>-1918.6</v>
      </c>
      <c r="W36" s="334">
        <f t="shared" si="16"/>
        <v>488.70000000000005</v>
      </c>
      <c r="Y36" s="109">
        <f>IF(AE36=1,IF(Y35=MiscData!$F$1,EOMONTH(Y35,-11),EOMONTH(Y35,1)),Y35)</f>
        <v>42400</v>
      </c>
      <c r="Z36" s="108" t="str">
        <f t="shared" si="28"/>
        <v>20140101LGUM_416</v>
      </c>
      <c r="AA36" s="126" t="str">
        <f t="shared" si="29"/>
        <v xml:space="preserve">20140101LS </v>
      </c>
      <c r="AB36" s="583" t="str">
        <f t="shared" si="23"/>
        <v>416</v>
      </c>
      <c r="AD36" s="98">
        <f>MiscData!$X$5</f>
        <v>20140101</v>
      </c>
      <c r="AE36" s="98">
        <f>IF(AE35+1&gt;MiscData!$AC$77,1,AE35+1)</f>
        <v>33</v>
      </c>
      <c r="AF36" s="98" t="str">
        <f>VLOOKUP(AE36,MiscData!$AC$5:$AD$77,2,FALSE)</f>
        <v>LGUM_416</v>
      </c>
      <c r="AG36" s="98" t="str">
        <f>VLOOKUP(AF36,MiscData!$AD$5:$AE$77,2,FALSE)</f>
        <v xml:space="preserve">LS </v>
      </c>
      <c r="AP36" s="98" t="s">
        <v>160</v>
      </c>
      <c r="AR36" s="98">
        <v>0</v>
      </c>
    </row>
    <row r="37" spans="1:44">
      <c r="A37" s="108">
        <f t="shared" si="24"/>
        <v>34</v>
      </c>
      <c r="B37" s="109" t="str">
        <f t="shared" si="25"/>
        <v>Jan 2016</v>
      </c>
      <c r="C37" s="110" t="str">
        <f t="shared" si="26"/>
        <v>RLS</v>
      </c>
      <c r="D37" s="110" t="str">
        <f t="shared" si="27"/>
        <v>LGUM_417</v>
      </c>
      <c r="E37" s="581">
        <f t="shared" si="3"/>
        <v>35</v>
      </c>
      <c r="F37" s="581">
        <f t="shared" si="4"/>
        <v>0</v>
      </c>
      <c r="G37" s="116">
        <f t="shared" si="5"/>
        <v>23.68</v>
      </c>
      <c r="H37" s="116">
        <f t="shared" si="6"/>
        <v>1.0300000000000011</v>
      </c>
      <c r="I37" s="118">
        <f t="shared" si="19"/>
        <v>828.8</v>
      </c>
      <c r="J37" s="118">
        <f t="shared" si="7"/>
        <v>828.8</v>
      </c>
      <c r="K37" s="570">
        <f t="shared" si="20"/>
        <v>0</v>
      </c>
      <c r="L37" s="121">
        <f t="shared" si="8"/>
        <v>0</v>
      </c>
      <c r="M37" s="122">
        <f t="shared" si="9"/>
        <v>0</v>
      </c>
      <c r="N37" s="122">
        <f t="shared" si="10"/>
        <v>0</v>
      </c>
      <c r="O37" s="122">
        <f t="shared" si="11"/>
        <v>0</v>
      </c>
      <c r="P37" s="122">
        <f t="shared" si="12"/>
        <v>0</v>
      </c>
      <c r="Q37" s="123">
        <f t="shared" si="13"/>
        <v>828.8</v>
      </c>
      <c r="R37" s="123">
        <f t="shared" si="21"/>
        <v>-828.8</v>
      </c>
      <c r="S37" s="582">
        <v>0</v>
      </c>
      <c r="T37" s="123">
        <f t="shared" si="22"/>
        <v>-828.8</v>
      </c>
      <c r="U37" s="25">
        <f t="shared" si="14"/>
        <v>36.049999999999997</v>
      </c>
      <c r="V37" s="123">
        <f t="shared" si="15"/>
        <v>-36.049999999999997</v>
      </c>
      <c r="W37" s="334">
        <f t="shared" si="16"/>
        <v>9.4500000000000011</v>
      </c>
      <c r="Y37" s="109">
        <f>IF(AE37=1,IF(Y36=MiscData!$F$1,EOMONTH(Y36,-11),EOMONTH(Y36,1)),Y36)</f>
        <v>42400</v>
      </c>
      <c r="Z37" s="108" t="str">
        <f t="shared" si="28"/>
        <v>20140101LGUM_417</v>
      </c>
      <c r="AA37" s="126" t="str">
        <f t="shared" si="29"/>
        <v>20140101RLS</v>
      </c>
      <c r="AB37" s="583" t="str">
        <f t="shared" si="23"/>
        <v>417</v>
      </c>
      <c r="AD37" s="98">
        <f>MiscData!$X$5</f>
        <v>20140101</v>
      </c>
      <c r="AE37" s="98">
        <f>IF(AE36+1&gt;MiscData!$AC$77,1,AE36+1)</f>
        <v>34</v>
      </c>
      <c r="AF37" s="98" t="str">
        <f>VLOOKUP(AE37,MiscData!$AC$5:$AD$77,2,FALSE)</f>
        <v>LGUM_417</v>
      </c>
      <c r="AG37" s="98" t="str">
        <f>VLOOKUP(AF37,MiscData!$AD$5:$AE$77,2,FALSE)</f>
        <v>RLS</v>
      </c>
      <c r="AP37" s="98" t="s">
        <v>161</v>
      </c>
      <c r="AR37" s="98">
        <v>0</v>
      </c>
    </row>
    <row r="38" spans="1:44">
      <c r="A38" s="108">
        <f t="shared" si="24"/>
        <v>35</v>
      </c>
      <c r="B38" s="109" t="str">
        <f t="shared" si="25"/>
        <v>Jan 2016</v>
      </c>
      <c r="C38" s="110" t="str">
        <f t="shared" si="26"/>
        <v>RLS</v>
      </c>
      <c r="D38" s="110" t="str">
        <f t="shared" si="27"/>
        <v>LGUM_419</v>
      </c>
      <c r="E38" s="581">
        <f t="shared" si="3"/>
        <v>111</v>
      </c>
      <c r="F38" s="581">
        <f t="shared" si="4"/>
        <v>0</v>
      </c>
      <c r="G38" s="116">
        <f t="shared" si="5"/>
        <v>24.77</v>
      </c>
      <c r="H38" s="116">
        <f t="shared" si="6"/>
        <v>1.6499999999999986</v>
      </c>
      <c r="I38" s="118">
        <f t="shared" si="19"/>
        <v>2749.47</v>
      </c>
      <c r="J38" s="118">
        <f t="shared" si="7"/>
        <v>2749.47</v>
      </c>
      <c r="K38" s="570">
        <f t="shared" si="20"/>
        <v>0</v>
      </c>
      <c r="L38" s="121">
        <f t="shared" si="8"/>
        <v>0</v>
      </c>
      <c r="M38" s="122">
        <f t="shared" si="9"/>
        <v>0</v>
      </c>
      <c r="N38" s="122">
        <f t="shared" si="10"/>
        <v>0</v>
      </c>
      <c r="O38" s="122">
        <f t="shared" si="11"/>
        <v>0</v>
      </c>
      <c r="P38" s="122">
        <f t="shared" si="12"/>
        <v>0</v>
      </c>
      <c r="Q38" s="123">
        <f t="shared" si="13"/>
        <v>2749.47</v>
      </c>
      <c r="R38" s="123">
        <f t="shared" si="21"/>
        <v>-2749.47</v>
      </c>
      <c r="S38" s="582">
        <v>0</v>
      </c>
      <c r="T38" s="123">
        <f t="shared" si="22"/>
        <v>-2749.47</v>
      </c>
      <c r="U38" s="25">
        <f t="shared" si="14"/>
        <v>183.15</v>
      </c>
      <c r="V38" s="123">
        <f t="shared" si="15"/>
        <v>-183.15</v>
      </c>
      <c r="W38" s="334">
        <f t="shared" si="16"/>
        <v>41.07</v>
      </c>
      <c r="Y38" s="109">
        <f>IF(AE38=1,IF(Y37=MiscData!$F$1,EOMONTH(Y37,-11),EOMONTH(Y37,1)),Y37)</f>
        <v>42400</v>
      </c>
      <c r="Z38" s="108" t="str">
        <f t="shared" si="28"/>
        <v>20140101LGUM_419</v>
      </c>
      <c r="AA38" s="126" t="str">
        <f t="shared" si="29"/>
        <v>20140101RLS</v>
      </c>
      <c r="AB38" s="583" t="str">
        <f t="shared" si="23"/>
        <v>419</v>
      </c>
      <c r="AD38" s="98">
        <f>MiscData!$X$5</f>
        <v>20140101</v>
      </c>
      <c r="AE38" s="98">
        <f>IF(AE37+1&gt;MiscData!$AC$77,1,AE37+1)</f>
        <v>35</v>
      </c>
      <c r="AF38" s="98" t="str">
        <f>VLOOKUP(AE38,MiscData!$AC$5:$AD$77,2,FALSE)</f>
        <v>LGUM_419</v>
      </c>
      <c r="AG38" s="98" t="str">
        <f>VLOOKUP(AF38,MiscData!$AD$5:$AE$77,2,FALSE)</f>
        <v>RLS</v>
      </c>
      <c r="AP38" s="98" t="s">
        <v>162</v>
      </c>
      <c r="AR38" s="98">
        <v>-2.08</v>
      </c>
    </row>
    <row r="39" spans="1:44">
      <c r="A39" s="108">
        <f t="shared" si="24"/>
        <v>36</v>
      </c>
      <c r="B39" s="109" t="str">
        <f t="shared" si="25"/>
        <v>Jan 2016</v>
      </c>
      <c r="C39" s="110" t="str">
        <f t="shared" si="26"/>
        <v xml:space="preserve">LS </v>
      </c>
      <c r="D39" s="110" t="str">
        <f t="shared" si="27"/>
        <v>LGUM_420</v>
      </c>
      <c r="E39" s="581">
        <f t="shared" si="3"/>
        <v>47</v>
      </c>
      <c r="F39" s="581">
        <f t="shared" si="4"/>
        <v>0</v>
      </c>
      <c r="G39" s="116">
        <f t="shared" si="5"/>
        <v>29.889999999999997</v>
      </c>
      <c r="H39" s="116">
        <f t="shared" si="6"/>
        <v>1.6499999999999986</v>
      </c>
      <c r="I39" s="118">
        <f t="shared" si="19"/>
        <v>1404.83</v>
      </c>
      <c r="J39" s="118">
        <f t="shared" si="7"/>
        <v>1404.83</v>
      </c>
      <c r="K39" s="570">
        <f t="shared" si="20"/>
        <v>0</v>
      </c>
      <c r="L39" s="121">
        <f t="shared" si="8"/>
        <v>0</v>
      </c>
      <c r="M39" s="122">
        <f t="shared" si="9"/>
        <v>0</v>
      </c>
      <c r="N39" s="122">
        <f t="shared" si="10"/>
        <v>0</v>
      </c>
      <c r="O39" s="122">
        <f t="shared" si="11"/>
        <v>0</v>
      </c>
      <c r="P39" s="122">
        <f t="shared" si="12"/>
        <v>0</v>
      </c>
      <c r="Q39" s="123">
        <f t="shared" si="13"/>
        <v>1404.83</v>
      </c>
      <c r="R39" s="123">
        <f t="shared" si="21"/>
        <v>-1404.83</v>
      </c>
      <c r="S39" s="582">
        <v>0</v>
      </c>
      <c r="T39" s="123">
        <f t="shared" si="22"/>
        <v>-1404.83</v>
      </c>
      <c r="U39" s="25">
        <f t="shared" si="14"/>
        <v>77.55</v>
      </c>
      <c r="V39" s="123">
        <f t="shared" si="15"/>
        <v>-77.55</v>
      </c>
      <c r="W39" s="334">
        <f t="shared" si="16"/>
        <v>11.28</v>
      </c>
      <c r="Y39" s="109">
        <f>IF(AE39=1,IF(Y38=MiscData!$F$1,EOMONTH(Y38,-11),EOMONTH(Y38,1)),Y38)</f>
        <v>42400</v>
      </c>
      <c r="Z39" s="108" t="str">
        <f t="shared" si="28"/>
        <v>20140101LGUM_420</v>
      </c>
      <c r="AA39" s="126" t="str">
        <f t="shared" si="29"/>
        <v xml:space="preserve">20140101LS </v>
      </c>
      <c r="AB39" s="583" t="str">
        <f t="shared" si="23"/>
        <v>420</v>
      </c>
      <c r="AD39" s="98">
        <f>MiscData!$X$5</f>
        <v>20140101</v>
      </c>
      <c r="AE39" s="98">
        <f>IF(AE38+1&gt;MiscData!$AC$77,1,AE38+1)</f>
        <v>36</v>
      </c>
      <c r="AF39" s="98" t="str">
        <f>VLOOKUP(AE39,MiscData!$AC$5:$AD$77,2,FALSE)</f>
        <v>LGUM_420</v>
      </c>
      <c r="AG39" s="98" t="str">
        <f>VLOOKUP(AF39,MiscData!$AD$5:$AE$77,2,FALSE)</f>
        <v xml:space="preserve">LS </v>
      </c>
      <c r="AP39" s="98" t="s">
        <v>163</v>
      </c>
      <c r="AR39" s="98">
        <v>0</v>
      </c>
    </row>
    <row r="40" spans="1:44">
      <c r="A40" s="108">
        <f t="shared" si="24"/>
        <v>37</v>
      </c>
      <c r="B40" s="109" t="str">
        <f t="shared" si="25"/>
        <v>Jan 2016</v>
      </c>
      <c r="C40" s="110" t="str">
        <f t="shared" si="26"/>
        <v xml:space="preserve">LS </v>
      </c>
      <c r="D40" s="110" t="str">
        <f t="shared" si="27"/>
        <v>LGUM_421</v>
      </c>
      <c r="E40" s="581">
        <f t="shared" si="3"/>
        <v>176</v>
      </c>
      <c r="F40" s="581">
        <f t="shared" si="4"/>
        <v>0</v>
      </c>
      <c r="G40" s="116">
        <f t="shared" si="5"/>
        <v>32.860000000000007</v>
      </c>
      <c r="H40" s="116">
        <f t="shared" si="6"/>
        <v>2.6700000000000017</v>
      </c>
      <c r="I40" s="118">
        <f t="shared" si="19"/>
        <v>5783.36</v>
      </c>
      <c r="J40" s="118">
        <f t="shared" si="7"/>
        <v>5783.36</v>
      </c>
      <c r="K40" s="570">
        <f t="shared" si="20"/>
        <v>0</v>
      </c>
      <c r="L40" s="121">
        <f t="shared" si="8"/>
        <v>0</v>
      </c>
      <c r="M40" s="122">
        <f t="shared" si="9"/>
        <v>0</v>
      </c>
      <c r="N40" s="122">
        <f t="shared" si="10"/>
        <v>0</v>
      </c>
      <c r="O40" s="122">
        <f t="shared" si="11"/>
        <v>0</v>
      </c>
      <c r="P40" s="122">
        <f t="shared" si="12"/>
        <v>0</v>
      </c>
      <c r="Q40" s="123">
        <f t="shared" si="13"/>
        <v>5783.36</v>
      </c>
      <c r="R40" s="123">
        <f t="shared" si="21"/>
        <v>-5783.36</v>
      </c>
      <c r="S40" s="582">
        <v>0</v>
      </c>
      <c r="T40" s="123">
        <f t="shared" si="22"/>
        <v>-5783.36</v>
      </c>
      <c r="U40" s="25">
        <f t="shared" si="14"/>
        <v>469.92</v>
      </c>
      <c r="V40" s="123">
        <f t="shared" si="15"/>
        <v>-469.92</v>
      </c>
      <c r="W40" s="334">
        <f t="shared" si="16"/>
        <v>47.52</v>
      </c>
      <c r="Y40" s="109">
        <f>IF(AE40=1,IF(Y39=MiscData!$F$1,EOMONTH(Y39,-11),EOMONTH(Y39,1)),Y39)</f>
        <v>42400</v>
      </c>
      <c r="Z40" s="108" t="str">
        <f t="shared" si="28"/>
        <v>20140101LGUM_421</v>
      </c>
      <c r="AA40" s="126" t="str">
        <f t="shared" si="29"/>
        <v xml:space="preserve">20140101LS </v>
      </c>
      <c r="AB40" s="583" t="str">
        <f t="shared" si="23"/>
        <v>421</v>
      </c>
      <c r="AD40" s="98">
        <f>MiscData!$X$5</f>
        <v>20140101</v>
      </c>
      <c r="AE40" s="98">
        <f>IF(AE39+1&gt;MiscData!$AC$77,1,AE39+1)</f>
        <v>37</v>
      </c>
      <c r="AF40" s="98" t="str">
        <f>VLOOKUP(AE40,MiscData!$AC$5:$AD$77,2,FALSE)</f>
        <v>LGUM_421</v>
      </c>
      <c r="AG40" s="98" t="str">
        <f>VLOOKUP(AF40,MiscData!$AD$5:$AE$77,2,FALSE)</f>
        <v xml:space="preserve">LS </v>
      </c>
      <c r="AP40" s="98" t="s">
        <v>164</v>
      </c>
      <c r="AR40" s="98">
        <v>0</v>
      </c>
    </row>
    <row r="41" spans="1:44">
      <c r="A41" s="108">
        <f t="shared" si="24"/>
        <v>38</v>
      </c>
      <c r="B41" s="109" t="str">
        <f t="shared" si="25"/>
        <v>Jan 2016</v>
      </c>
      <c r="C41" s="110" t="str">
        <f t="shared" si="26"/>
        <v xml:space="preserve">LS </v>
      </c>
      <c r="D41" s="110" t="str">
        <f t="shared" si="27"/>
        <v>LGUM_422</v>
      </c>
      <c r="E41" s="581">
        <f t="shared" si="3"/>
        <v>355</v>
      </c>
      <c r="F41" s="581">
        <f t="shared" si="4"/>
        <v>0</v>
      </c>
      <c r="G41" s="116">
        <f t="shared" si="5"/>
        <v>38.389999999999993</v>
      </c>
      <c r="H41" s="116">
        <f t="shared" si="6"/>
        <v>4.279999999999994</v>
      </c>
      <c r="I41" s="118">
        <f t="shared" si="19"/>
        <v>13628.45</v>
      </c>
      <c r="J41" s="118">
        <f t="shared" si="7"/>
        <v>13628.45</v>
      </c>
      <c r="K41" s="570">
        <f t="shared" si="20"/>
        <v>0</v>
      </c>
      <c r="L41" s="121">
        <f t="shared" si="8"/>
        <v>0</v>
      </c>
      <c r="M41" s="122">
        <f t="shared" si="9"/>
        <v>0</v>
      </c>
      <c r="N41" s="122">
        <f t="shared" si="10"/>
        <v>0</v>
      </c>
      <c r="O41" s="122">
        <f t="shared" si="11"/>
        <v>0</v>
      </c>
      <c r="P41" s="122">
        <f t="shared" si="12"/>
        <v>0</v>
      </c>
      <c r="Q41" s="123">
        <f t="shared" si="13"/>
        <v>13628.45</v>
      </c>
      <c r="R41" s="123">
        <f t="shared" si="21"/>
        <v>-13628.45</v>
      </c>
      <c r="S41" s="582">
        <v>0</v>
      </c>
      <c r="T41" s="123">
        <f t="shared" si="22"/>
        <v>-13628.45</v>
      </c>
      <c r="U41" s="25">
        <f t="shared" si="14"/>
        <v>1519.4</v>
      </c>
      <c r="V41" s="123">
        <f t="shared" si="15"/>
        <v>-1519.4</v>
      </c>
      <c r="W41" s="334">
        <f t="shared" si="16"/>
        <v>102.94999999999999</v>
      </c>
      <c r="Y41" s="109">
        <f>IF(AE41=1,IF(Y40=MiscData!$F$1,EOMONTH(Y40,-11),EOMONTH(Y40,1)),Y40)</f>
        <v>42400</v>
      </c>
      <c r="Z41" s="108" t="str">
        <f t="shared" si="28"/>
        <v>20140101LGUM_422</v>
      </c>
      <c r="AA41" s="126" t="str">
        <f t="shared" si="29"/>
        <v xml:space="preserve">20140101LS </v>
      </c>
      <c r="AB41" s="583" t="str">
        <f t="shared" si="23"/>
        <v>422</v>
      </c>
      <c r="AD41" s="98">
        <f>MiscData!$X$5</f>
        <v>20140101</v>
      </c>
      <c r="AE41" s="98">
        <f>IF(AE40+1&gt;MiscData!$AC$77,1,AE40+1)</f>
        <v>38</v>
      </c>
      <c r="AF41" s="98" t="str">
        <f>VLOOKUP(AE41,MiscData!$AC$5:$AD$77,2,FALSE)</f>
        <v>LGUM_422</v>
      </c>
      <c r="AG41" s="98" t="str">
        <f>VLOOKUP(AF41,MiscData!$AD$5:$AE$77,2,FALSE)</f>
        <v xml:space="preserve">LS </v>
      </c>
      <c r="AP41" s="98" t="s">
        <v>165</v>
      </c>
      <c r="AR41" s="98">
        <v>0</v>
      </c>
    </row>
    <row r="42" spans="1:44">
      <c r="A42" s="108">
        <f t="shared" si="24"/>
        <v>39</v>
      </c>
      <c r="B42" s="109" t="str">
        <f t="shared" si="25"/>
        <v>Jan 2016</v>
      </c>
      <c r="C42" s="110" t="str">
        <f t="shared" si="26"/>
        <v xml:space="preserve">LS </v>
      </c>
      <c r="D42" s="110" t="str">
        <f t="shared" si="27"/>
        <v>LGUM_423</v>
      </c>
      <c r="E42" s="581">
        <f t="shared" si="3"/>
        <v>17</v>
      </c>
      <c r="F42" s="581">
        <f t="shared" si="4"/>
        <v>0</v>
      </c>
      <c r="G42" s="116">
        <f t="shared" si="5"/>
        <v>26.349999999999998</v>
      </c>
      <c r="H42" s="116">
        <f t="shared" si="6"/>
        <v>1.6500000000000021</v>
      </c>
      <c r="I42" s="118">
        <f t="shared" si="19"/>
        <v>447.95</v>
      </c>
      <c r="J42" s="118">
        <f t="shared" si="7"/>
        <v>447.95</v>
      </c>
      <c r="K42" s="570">
        <f t="shared" si="20"/>
        <v>0</v>
      </c>
      <c r="L42" s="121">
        <f t="shared" si="8"/>
        <v>0</v>
      </c>
      <c r="M42" s="122">
        <f t="shared" si="9"/>
        <v>0</v>
      </c>
      <c r="N42" s="122">
        <f t="shared" si="10"/>
        <v>0</v>
      </c>
      <c r="O42" s="122">
        <f t="shared" si="11"/>
        <v>0</v>
      </c>
      <c r="P42" s="122">
        <f t="shared" si="12"/>
        <v>0</v>
      </c>
      <c r="Q42" s="123">
        <f t="shared" si="13"/>
        <v>447.95</v>
      </c>
      <c r="R42" s="123">
        <f t="shared" si="21"/>
        <v>-447.95</v>
      </c>
      <c r="S42" s="582">
        <v>0</v>
      </c>
      <c r="T42" s="123">
        <f t="shared" si="22"/>
        <v>-447.95</v>
      </c>
      <c r="U42" s="25">
        <f t="shared" si="14"/>
        <v>28.05</v>
      </c>
      <c r="V42" s="123">
        <f t="shared" si="15"/>
        <v>-28.05</v>
      </c>
      <c r="W42" s="334">
        <f t="shared" si="16"/>
        <v>4.08</v>
      </c>
      <c r="Y42" s="109">
        <f>IF(AE42=1,IF(Y41=MiscData!$F$1,EOMONTH(Y41,-11),EOMONTH(Y41,1)),Y41)</f>
        <v>42400</v>
      </c>
      <c r="Z42" s="108" t="str">
        <f t="shared" si="28"/>
        <v>20140101LGUM_423</v>
      </c>
      <c r="AA42" s="126" t="str">
        <f t="shared" si="29"/>
        <v xml:space="preserve">20140101LS </v>
      </c>
      <c r="AB42" s="583" t="str">
        <f t="shared" si="23"/>
        <v>423</v>
      </c>
      <c r="AD42" s="98">
        <f>MiscData!$X$5</f>
        <v>20140101</v>
      </c>
      <c r="AE42" s="98">
        <f>IF(AE41+1&gt;MiscData!$AC$77,1,AE41+1)</f>
        <v>39</v>
      </c>
      <c r="AF42" s="98" t="str">
        <f>VLOOKUP(AE42,MiscData!$AC$5:$AD$77,2,FALSE)</f>
        <v>LGUM_423</v>
      </c>
      <c r="AG42" s="98" t="str">
        <f>VLOOKUP(AF42,MiscData!$AD$5:$AE$77,2,FALSE)</f>
        <v xml:space="preserve">LS </v>
      </c>
      <c r="AP42" s="98" t="s">
        <v>166</v>
      </c>
      <c r="AR42" s="98">
        <v>-11.46</v>
      </c>
    </row>
    <row r="43" spans="1:44">
      <c r="A43" s="108">
        <f t="shared" si="24"/>
        <v>40</v>
      </c>
      <c r="B43" s="109" t="str">
        <f t="shared" si="25"/>
        <v>Jan 2016</v>
      </c>
      <c r="C43" s="110" t="str">
        <f t="shared" si="26"/>
        <v xml:space="preserve">LS </v>
      </c>
      <c r="D43" s="110" t="str">
        <f t="shared" si="27"/>
        <v>LGUM_424</v>
      </c>
      <c r="E43" s="581">
        <f t="shared" si="3"/>
        <v>385</v>
      </c>
      <c r="F43" s="581">
        <f t="shared" si="4"/>
        <v>0</v>
      </c>
      <c r="G43" s="116">
        <f t="shared" si="5"/>
        <v>28.45</v>
      </c>
      <c r="H43" s="116">
        <f t="shared" si="6"/>
        <v>3.9800000000000004</v>
      </c>
      <c r="I43" s="118">
        <f t="shared" si="19"/>
        <v>10953.25</v>
      </c>
      <c r="J43" s="118">
        <f t="shared" si="7"/>
        <v>10953.25</v>
      </c>
      <c r="K43" s="570">
        <f t="shared" si="20"/>
        <v>0</v>
      </c>
      <c r="L43" s="121">
        <f t="shared" si="8"/>
        <v>0</v>
      </c>
      <c r="M43" s="122">
        <f t="shared" si="9"/>
        <v>0</v>
      </c>
      <c r="N43" s="122">
        <f t="shared" si="10"/>
        <v>0</v>
      </c>
      <c r="O43" s="122">
        <f t="shared" si="11"/>
        <v>0</v>
      </c>
      <c r="P43" s="122">
        <f t="shared" si="12"/>
        <v>0</v>
      </c>
      <c r="Q43" s="123">
        <f t="shared" si="13"/>
        <v>10953.25</v>
      </c>
      <c r="R43" s="123">
        <f t="shared" si="21"/>
        <v>-10953.25</v>
      </c>
      <c r="S43" s="582">
        <v>0</v>
      </c>
      <c r="T43" s="123">
        <f t="shared" si="22"/>
        <v>-10953.25</v>
      </c>
      <c r="U43" s="25">
        <f t="shared" si="14"/>
        <v>1532.3</v>
      </c>
      <c r="V43" s="123">
        <f t="shared" si="15"/>
        <v>-1532.3</v>
      </c>
      <c r="W43" s="334">
        <f t="shared" si="16"/>
        <v>103.95</v>
      </c>
      <c r="Y43" s="109">
        <f>IF(AE43=1,IF(Y42=MiscData!$F$1,EOMONTH(Y42,-11),EOMONTH(Y42,1)),Y42)</f>
        <v>42400</v>
      </c>
      <c r="Z43" s="108" t="str">
        <f t="shared" si="28"/>
        <v>20140101LGUM_424</v>
      </c>
      <c r="AA43" s="126" t="str">
        <f t="shared" si="29"/>
        <v xml:space="preserve">20140101LS </v>
      </c>
      <c r="AB43" s="583" t="str">
        <f t="shared" si="23"/>
        <v>424</v>
      </c>
      <c r="AD43" s="98">
        <f>MiscData!$X$5</f>
        <v>20140101</v>
      </c>
      <c r="AE43" s="98">
        <f>IF(AE42+1&gt;MiscData!$AC$77,1,AE42+1)</f>
        <v>40</v>
      </c>
      <c r="AF43" s="98" t="str">
        <f>VLOOKUP(AE43,MiscData!$AC$5:$AD$77,2,FALSE)</f>
        <v>LGUM_424</v>
      </c>
      <c r="AG43" s="98" t="str">
        <f>VLOOKUP(AF43,MiscData!$AD$5:$AE$77,2,FALSE)</f>
        <v xml:space="preserve">LS </v>
      </c>
      <c r="AP43" s="98" t="s">
        <v>167</v>
      </c>
      <c r="AR43" s="98">
        <v>0</v>
      </c>
    </row>
    <row r="44" spans="1:44">
      <c r="A44" s="108">
        <f t="shared" si="24"/>
        <v>41</v>
      </c>
      <c r="B44" s="109" t="str">
        <f t="shared" si="25"/>
        <v>Jan 2016</v>
      </c>
      <c r="C44" s="110" t="str">
        <f t="shared" si="26"/>
        <v xml:space="preserve">LS </v>
      </c>
      <c r="D44" s="110" t="str">
        <f t="shared" si="27"/>
        <v>LGUM_425</v>
      </c>
      <c r="E44" s="581">
        <f t="shared" si="3"/>
        <v>34</v>
      </c>
      <c r="F44" s="581">
        <f t="shared" si="4"/>
        <v>0</v>
      </c>
      <c r="G44" s="116">
        <f t="shared" si="5"/>
        <v>34.029999999999994</v>
      </c>
      <c r="H44" s="116">
        <f t="shared" si="6"/>
        <v>4.2799999999999976</v>
      </c>
      <c r="I44" s="118">
        <f t="shared" si="19"/>
        <v>1157.02</v>
      </c>
      <c r="J44" s="118">
        <f t="shared" si="7"/>
        <v>1157.02</v>
      </c>
      <c r="K44" s="570">
        <f t="shared" si="20"/>
        <v>0</v>
      </c>
      <c r="L44" s="121">
        <f t="shared" si="8"/>
        <v>0</v>
      </c>
      <c r="M44" s="122">
        <f t="shared" si="9"/>
        <v>0</v>
      </c>
      <c r="N44" s="122">
        <f t="shared" si="10"/>
        <v>0</v>
      </c>
      <c r="O44" s="122">
        <f t="shared" si="11"/>
        <v>0</v>
      </c>
      <c r="P44" s="122">
        <f t="shared" si="12"/>
        <v>0</v>
      </c>
      <c r="Q44" s="123">
        <f t="shared" si="13"/>
        <v>1157.02</v>
      </c>
      <c r="R44" s="123">
        <f t="shared" si="21"/>
        <v>-1157.02</v>
      </c>
      <c r="S44" s="582">
        <v>0</v>
      </c>
      <c r="T44" s="123">
        <f t="shared" si="22"/>
        <v>-1157.02</v>
      </c>
      <c r="U44" s="25">
        <f t="shared" si="14"/>
        <v>145.52000000000001</v>
      </c>
      <c r="V44" s="123">
        <f t="shared" si="15"/>
        <v>-145.52000000000001</v>
      </c>
      <c r="W44" s="334">
        <f t="shared" si="16"/>
        <v>9.86</v>
      </c>
      <c r="Y44" s="109">
        <f>IF(AE44=1,IF(Y43=MiscData!$F$1,EOMONTH(Y43,-11),EOMONTH(Y43,1)),Y43)</f>
        <v>42400</v>
      </c>
      <c r="Z44" s="108" t="str">
        <f t="shared" si="28"/>
        <v>20140101LGUM_425</v>
      </c>
      <c r="AA44" s="126" t="str">
        <f t="shared" si="29"/>
        <v xml:space="preserve">20140101LS </v>
      </c>
      <c r="AB44" s="583" t="str">
        <f t="shared" si="23"/>
        <v>425</v>
      </c>
      <c r="AD44" s="98">
        <f>MiscData!$X$5</f>
        <v>20140101</v>
      </c>
      <c r="AE44" s="98">
        <f>IF(AE43+1&gt;MiscData!$AC$77,1,AE43+1)</f>
        <v>41</v>
      </c>
      <c r="AF44" s="98" t="str">
        <f>VLOOKUP(AE44,MiscData!$AC$5:$AD$77,2,FALSE)</f>
        <v>LGUM_425</v>
      </c>
      <c r="AG44" s="98" t="str">
        <f>VLOOKUP(AF44,MiscData!$AD$5:$AE$77,2,FALSE)</f>
        <v xml:space="preserve">LS </v>
      </c>
      <c r="AP44" s="98" t="s">
        <v>514</v>
      </c>
      <c r="AR44" s="98">
        <v>0</v>
      </c>
    </row>
    <row r="45" spans="1:44">
      <c r="A45" s="108">
        <f t="shared" si="24"/>
        <v>42</v>
      </c>
      <c r="B45" s="109" t="str">
        <f t="shared" si="25"/>
        <v>Jan 2016</v>
      </c>
      <c r="C45" s="110" t="str">
        <f t="shared" si="26"/>
        <v>RLS</v>
      </c>
      <c r="D45" s="110" t="str">
        <f t="shared" si="27"/>
        <v>LGUM_426</v>
      </c>
      <c r="E45" s="581">
        <f t="shared" si="3"/>
        <v>40</v>
      </c>
      <c r="F45" s="581">
        <f t="shared" si="4"/>
        <v>0</v>
      </c>
      <c r="G45" s="116">
        <f t="shared" si="5"/>
        <v>33.22</v>
      </c>
      <c r="H45" s="116">
        <f t="shared" si="6"/>
        <v>0.75</v>
      </c>
      <c r="I45" s="118">
        <f t="shared" si="19"/>
        <v>1328.8</v>
      </c>
      <c r="J45" s="118">
        <f t="shared" si="7"/>
        <v>1328.8</v>
      </c>
      <c r="K45" s="570">
        <f t="shared" si="20"/>
        <v>0</v>
      </c>
      <c r="L45" s="121">
        <f t="shared" si="8"/>
        <v>0</v>
      </c>
      <c r="M45" s="122">
        <f t="shared" si="9"/>
        <v>0</v>
      </c>
      <c r="N45" s="122">
        <f t="shared" si="10"/>
        <v>0</v>
      </c>
      <c r="O45" s="122">
        <f t="shared" si="11"/>
        <v>0</v>
      </c>
      <c r="P45" s="122">
        <f t="shared" si="12"/>
        <v>0</v>
      </c>
      <c r="Q45" s="123">
        <f t="shared" si="13"/>
        <v>1328.8</v>
      </c>
      <c r="R45" s="123">
        <f t="shared" si="21"/>
        <v>-1328.8</v>
      </c>
      <c r="S45" s="582">
        <v>0</v>
      </c>
      <c r="T45" s="123">
        <f t="shared" si="22"/>
        <v>-1328.8</v>
      </c>
      <c r="U45" s="25">
        <f t="shared" si="14"/>
        <v>30</v>
      </c>
      <c r="V45" s="123">
        <f t="shared" si="15"/>
        <v>-30</v>
      </c>
      <c r="W45" s="334">
        <f t="shared" si="16"/>
        <v>10.4</v>
      </c>
      <c r="Y45" s="109">
        <f>IF(AE45=1,IF(Y44=MiscData!$F$1,EOMONTH(Y44,-11),EOMONTH(Y44,1)),Y44)</f>
        <v>42400</v>
      </c>
      <c r="Z45" s="108" t="str">
        <f t="shared" si="28"/>
        <v>20140101LGUM_426</v>
      </c>
      <c r="AA45" s="126" t="str">
        <f t="shared" si="29"/>
        <v>20140101RLS</v>
      </c>
      <c r="AB45" s="583" t="str">
        <f t="shared" si="23"/>
        <v>426</v>
      </c>
      <c r="AD45" s="98">
        <f>MiscData!$X$5</f>
        <v>20140101</v>
      </c>
      <c r="AE45" s="98">
        <f>IF(AE44+1&gt;MiscData!$AC$77,1,AE44+1)</f>
        <v>42</v>
      </c>
      <c r="AF45" s="98" t="str">
        <f>VLOOKUP(AE45,MiscData!$AC$5:$AD$77,2,FALSE)</f>
        <v>LGUM_426</v>
      </c>
      <c r="AG45" s="98" t="str">
        <f>VLOOKUP(AF45,MiscData!$AD$5:$AE$77,2,FALSE)</f>
        <v>RLS</v>
      </c>
      <c r="AP45" s="98" t="s">
        <v>516</v>
      </c>
      <c r="AR45" s="98">
        <v>0</v>
      </c>
    </row>
    <row r="46" spans="1:44">
      <c r="A46" s="108">
        <f t="shared" si="24"/>
        <v>43</v>
      </c>
      <c r="B46" s="109" t="str">
        <f t="shared" si="25"/>
        <v>Jan 2016</v>
      </c>
      <c r="C46" s="110" t="str">
        <f t="shared" si="26"/>
        <v xml:space="preserve">LS </v>
      </c>
      <c r="D46" s="110" t="str">
        <f t="shared" si="27"/>
        <v>LGUM_427</v>
      </c>
      <c r="E46" s="581">
        <f t="shared" si="3"/>
        <v>52</v>
      </c>
      <c r="F46" s="581">
        <f t="shared" si="4"/>
        <v>0</v>
      </c>
      <c r="G46" s="116">
        <f t="shared" si="5"/>
        <v>35.199999999999996</v>
      </c>
      <c r="H46" s="116">
        <f t="shared" si="6"/>
        <v>0.75</v>
      </c>
      <c r="I46" s="118">
        <f t="shared" si="19"/>
        <v>1830.4</v>
      </c>
      <c r="J46" s="118">
        <f t="shared" si="7"/>
        <v>1830.4</v>
      </c>
      <c r="K46" s="570">
        <f t="shared" si="20"/>
        <v>0</v>
      </c>
      <c r="L46" s="121">
        <f t="shared" si="8"/>
        <v>0</v>
      </c>
      <c r="M46" s="122">
        <f t="shared" si="9"/>
        <v>0</v>
      </c>
      <c r="N46" s="122">
        <f t="shared" si="10"/>
        <v>0</v>
      </c>
      <c r="O46" s="122">
        <f t="shared" si="11"/>
        <v>0</v>
      </c>
      <c r="P46" s="122">
        <f t="shared" si="12"/>
        <v>0</v>
      </c>
      <c r="Q46" s="123">
        <f t="shared" si="13"/>
        <v>1830.4</v>
      </c>
      <c r="R46" s="123">
        <f t="shared" si="21"/>
        <v>-1830.4</v>
      </c>
      <c r="S46" s="582">
        <v>0</v>
      </c>
      <c r="T46" s="123">
        <f t="shared" si="22"/>
        <v>-1830.4</v>
      </c>
      <c r="U46" s="25">
        <f t="shared" si="14"/>
        <v>39</v>
      </c>
      <c r="V46" s="123">
        <f t="shared" si="15"/>
        <v>-39</v>
      </c>
      <c r="W46" s="334">
        <f t="shared" si="16"/>
        <v>13.52</v>
      </c>
      <c r="Y46" s="109">
        <f>IF(AE46=1,IF(Y45=MiscData!$F$1,EOMONTH(Y45,-11),EOMONTH(Y45,1)),Y45)</f>
        <v>42400</v>
      </c>
      <c r="Z46" s="108" t="str">
        <f t="shared" si="28"/>
        <v>20140101LGUM_427</v>
      </c>
      <c r="AA46" s="126" t="str">
        <f t="shared" si="29"/>
        <v xml:space="preserve">20140101LS </v>
      </c>
      <c r="AB46" s="583" t="str">
        <f t="shared" si="23"/>
        <v>427</v>
      </c>
      <c r="AD46" s="98">
        <f>MiscData!$X$5</f>
        <v>20140101</v>
      </c>
      <c r="AE46" s="98">
        <f>IF(AE45+1&gt;MiscData!$AC$77,1,AE45+1)</f>
        <v>43</v>
      </c>
      <c r="AF46" s="98" t="str">
        <f>VLOOKUP(AE46,MiscData!$AC$5:$AD$77,2,FALSE)</f>
        <v>LGUM_427</v>
      </c>
      <c r="AG46" s="98" t="str">
        <f>VLOOKUP(AF46,MiscData!$AD$5:$AE$77,2,FALSE)</f>
        <v xml:space="preserve">LS </v>
      </c>
      <c r="AP46" s="98" t="s">
        <v>518</v>
      </c>
      <c r="AR46" s="98">
        <v>0</v>
      </c>
    </row>
    <row r="47" spans="1:44">
      <c r="A47" s="108">
        <f t="shared" si="24"/>
        <v>44</v>
      </c>
      <c r="B47" s="109" t="str">
        <f t="shared" si="25"/>
        <v>Jan 2016</v>
      </c>
      <c r="C47" s="110" t="str">
        <f t="shared" si="26"/>
        <v>RLS</v>
      </c>
      <c r="D47" s="110" t="str">
        <f t="shared" si="27"/>
        <v>LGUM_428</v>
      </c>
      <c r="E47" s="581">
        <f t="shared" si="3"/>
        <v>205</v>
      </c>
      <c r="F47" s="581">
        <f t="shared" si="4"/>
        <v>0</v>
      </c>
      <c r="G47" s="116">
        <f t="shared" si="5"/>
        <v>34.090000000000003</v>
      </c>
      <c r="H47" s="116">
        <f t="shared" si="6"/>
        <v>1.0600000000000023</v>
      </c>
      <c r="I47" s="118">
        <f t="shared" si="19"/>
        <v>6988.45</v>
      </c>
      <c r="J47" s="118">
        <f t="shared" si="7"/>
        <v>6988.45</v>
      </c>
      <c r="K47" s="570">
        <f t="shared" si="20"/>
        <v>0</v>
      </c>
      <c r="L47" s="121">
        <f t="shared" si="8"/>
        <v>0</v>
      </c>
      <c r="M47" s="122">
        <f t="shared" si="9"/>
        <v>0</v>
      </c>
      <c r="N47" s="122">
        <f t="shared" si="10"/>
        <v>0</v>
      </c>
      <c r="O47" s="122">
        <f t="shared" si="11"/>
        <v>0</v>
      </c>
      <c r="P47" s="122">
        <f t="shared" si="12"/>
        <v>0</v>
      </c>
      <c r="Q47" s="123">
        <f t="shared" si="13"/>
        <v>6988.45</v>
      </c>
      <c r="R47" s="123">
        <f t="shared" si="21"/>
        <v>-6988.45</v>
      </c>
      <c r="S47" s="582">
        <v>0</v>
      </c>
      <c r="T47" s="123">
        <f t="shared" si="22"/>
        <v>-6988.45</v>
      </c>
      <c r="U47" s="25">
        <f t="shared" si="14"/>
        <v>217.3</v>
      </c>
      <c r="V47" s="123">
        <f t="shared" si="15"/>
        <v>-217.3</v>
      </c>
      <c r="W47" s="334">
        <f t="shared" si="16"/>
        <v>55.35</v>
      </c>
      <c r="Y47" s="109">
        <f>IF(AE47=1,IF(Y46=MiscData!$F$1,EOMONTH(Y46,-11),EOMONTH(Y46,1)),Y46)</f>
        <v>42400</v>
      </c>
      <c r="Z47" s="108" t="str">
        <f t="shared" si="28"/>
        <v>20140101LGUM_428</v>
      </c>
      <c r="AA47" s="126" t="str">
        <f t="shared" si="29"/>
        <v>20140101RLS</v>
      </c>
      <c r="AB47" s="583" t="str">
        <f t="shared" si="23"/>
        <v>428</v>
      </c>
      <c r="AD47" s="98">
        <f>MiscData!$X$5</f>
        <v>20140101</v>
      </c>
      <c r="AE47" s="98">
        <f>IF(AE46+1&gt;MiscData!$AC$77,1,AE46+1)</f>
        <v>44</v>
      </c>
      <c r="AF47" s="98" t="str">
        <f>VLOOKUP(AE47,MiscData!$AC$5:$AD$77,2,FALSE)</f>
        <v>LGUM_428</v>
      </c>
      <c r="AG47" s="98" t="str">
        <f>VLOOKUP(AF47,MiscData!$AD$5:$AE$77,2,FALSE)</f>
        <v>RLS</v>
      </c>
      <c r="AP47" s="98" t="s">
        <v>338</v>
      </c>
      <c r="AR47" s="98">
        <v>0</v>
      </c>
    </row>
    <row r="48" spans="1:44">
      <c r="A48" s="108">
        <f t="shared" si="24"/>
        <v>45</v>
      </c>
      <c r="B48" s="109" t="str">
        <f t="shared" si="25"/>
        <v>Jan 2016</v>
      </c>
      <c r="C48" s="110" t="str">
        <f t="shared" si="26"/>
        <v xml:space="preserve">LS </v>
      </c>
      <c r="D48" s="110" t="str">
        <f t="shared" si="27"/>
        <v>LGUM_429</v>
      </c>
      <c r="E48" s="581">
        <f t="shared" si="3"/>
        <v>190</v>
      </c>
      <c r="F48" s="581">
        <f t="shared" si="4"/>
        <v>0</v>
      </c>
      <c r="G48" s="116">
        <f t="shared" si="5"/>
        <v>36.07</v>
      </c>
      <c r="H48" s="116">
        <f t="shared" si="6"/>
        <v>1.0599999999999952</v>
      </c>
      <c r="I48" s="118">
        <f t="shared" si="19"/>
        <v>6853.3</v>
      </c>
      <c r="J48" s="118">
        <f t="shared" si="7"/>
        <v>6853.3</v>
      </c>
      <c r="K48" s="570">
        <f t="shared" si="20"/>
        <v>0</v>
      </c>
      <c r="L48" s="121">
        <f t="shared" si="8"/>
        <v>0</v>
      </c>
      <c r="M48" s="122">
        <f t="shared" si="9"/>
        <v>0</v>
      </c>
      <c r="N48" s="122">
        <f t="shared" si="10"/>
        <v>0</v>
      </c>
      <c r="O48" s="122">
        <f t="shared" si="11"/>
        <v>0</v>
      </c>
      <c r="P48" s="122">
        <f t="shared" si="12"/>
        <v>0</v>
      </c>
      <c r="Q48" s="123">
        <f t="shared" si="13"/>
        <v>6853.3</v>
      </c>
      <c r="R48" s="123">
        <f t="shared" si="21"/>
        <v>-6853.3</v>
      </c>
      <c r="S48" s="582">
        <v>0</v>
      </c>
      <c r="T48" s="123">
        <f t="shared" si="22"/>
        <v>-6853.3</v>
      </c>
      <c r="U48" s="25">
        <f t="shared" si="14"/>
        <v>201.4</v>
      </c>
      <c r="V48" s="123">
        <f t="shared" si="15"/>
        <v>-201.4</v>
      </c>
      <c r="W48" s="334">
        <f t="shared" si="16"/>
        <v>51.300000000000004</v>
      </c>
      <c r="Y48" s="109">
        <f>IF(AE48=1,IF(Y47=MiscData!$F$1,EOMONTH(Y47,-11),EOMONTH(Y47,1)),Y47)</f>
        <v>42400</v>
      </c>
      <c r="Z48" s="108" t="str">
        <f t="shared" si="28"/>
        <v>20140101LGUM_429</v>
      </c>
      <c r="AA48" s="126" t="str">
        <f t="shared" si="29"/>
        <v xml:space="preserve">20140101LS </v>
      </c>
      <c r="AB48" s="583" t="str">
        <f t="shared" si="23"/>
        <v>429</v>
      </c>
      <c r="AD48" s="98">
        <f>MiscData!$X$5</f>
        <v>20140101</v>
      </c>
      <c r="AE48" s="98">
        <f>IF(AE47+1&gt;MiscData!$AC$77,1,AE47+1)</f>
        <v>45</v>
      </c>
      <c r="AF48" s="98" t="str">
        <f>VLOOKUP(AE48,MiscData!$AC$5:$AD$77,2,FALSE)</f>
        <v>LGUM_429</v>
      </c>
      <c r="AG48" s="98" t="str">
        <f>VLOOKUP(AF48,MiscData!$AD$5:$AE$77,2,FALSE)</f>
        <v xml:space="preserve">LS </v>
      </c>
      <c r="AP48" s="98" t="s">
        <v>168</v>
      </c>
      <c r="AR48" s="98">
        <v>0</v>
      </c>
    </row>
    <row r="49" spans="1:44">
      <c r="A49" s="108">
        <f t="shared" si="24"/>
        <v>46</v>
      </c>
      <c r="B49" s="109" t="str">
        <f t="shared" si="25"/>
        <v>Jan 2016</v>
      </c>
      <c r="C49" s="110" t="str">
        <f t="shared" si="26"/>
        <v>RLS</v>
      </c>
      <c r="D49" s="110" t="str">
        <f t="shared" si="27"/>
        <v>LGUM_430</v>
      </c>
      <c r="E49" s="581">
        <f t="shared" si="3"/>
        <v>13</v>
      </c>
      <c r="F49" s="581">
        <f t="shared" si="4"/>
        <v>0</v>
      </c>
      <c r="G49" s="116">
        <f t="shared" si="5"/>
        <v>32.26</v>
      </c>
      <c r="H49" s="116">
        <f t="shared" si="6"/>
        <v>0.75</v>
      </c>
      <c r="I49" s="118">
        <f t="shared" si="19"/>
        <v>419.38</v>
      </c>
      <c r="J49" s="118">
        <f t="shared" si="7"/>
        <v>419.38</v>
      </c>
      <c r="K49" s="570">
        <f t="shared" si="20"/>
        <v>0</v>
      </c>
      <c r="L49" s="121">
        <f t="shared" si="8"/>
        <v>0</v>
      </c>
      <c r="M49" s="122">
        <f t="shared" si="9"/>
        <v>0</v>
      </c>
      <c r="N49" s="122">
        <f t="shared" si="10"/>
        <v>0</v>
      </c>
      <c r="O49" s="122">
        <f t="shared" si="11"/>
        <v>0</v>
      </c>
      <c r="P49" s="122">
        <f t="shared" si="12"/>
        <v>0</v>
      </c>
      <c r="Q49" s="123">
        <f t="shared" si="13"/>
        <v>419.38</v>
      </c>
      <c r="R49" s="123">
        <f t="shared" si="21"/>
        <v>-419.38</v>
      </c>
      <c r="S49" s="582">
        <v>0</v>
      </c>
      <c r="T49" s="123">
        <f t="shared" si="22"/>
        <v>-419.38</v>
      </c>
      <c r="U49" s="25">
        <f t="shared" si="14"/>
        <v>9.75</v>
      </c>
      <c r="V49" s="123">
        <f t="shared" si="15"/>
        <v>-9.75</v>
      </c>
      <c r="W49" s="334">
        <f t="shared" si="16"/>
        <v>3.38</v>
      </c>
      <c r="Y49" s="109">
        <f>IF(AE49=1,IF(Y48=MiscData!$F$1,EOMONTH(Y48,-11),EOMONTH(Y48,1)),Y48)</f>
        <v>42400</v>
      </c>
      <c r="Z49" s="108" t="str">
        <f t="shared" si="28"/>
        <v>20140101LGUM_430</v>
      </c>
      <c r="AA49" s="126" t="str">
        <f t="shared" si="29"/>
        <v>20140101RLS</v>
      </c>
      <c r="AB49" s="583" t="str">
        <f t="shared" si="23"/>
        <v>430</v>
      </c>
      <c r="AD49" s="98">
        <f>MiscData!$X$5</f>
        <v>20140101</v>
      </c>
      <c r="AE49" s="98">
        <f>IF(AE48+1&gt;MiscData!$AC$77,1,AE48+1)</f>
        <v>46</v>
      </c>
      <c r="AF49" s="98" t="str">
        <f>VLOOKUP(AE49,MiscData!$AC$5:$AD$77,2,FALSE)</f>
        <v>LGUM_430</v>
      </c>
      <c r="AG49" s="98" t="str">
        <f>VLOOKUP(AF49,MiscData!$AD$5:$AE$77,2,FALSE)</f>
        <v>RLS</v>
      </c>
      <c r="AP49" s="98" t="s">
        <v>522</v>
      </c>
      <c r="AR49" s="98">
        <v>0</v>
      </c>
    </row>
    <row r="50" spans="1:44">
      <c r="A50" s="108">
        <f t="shared" si="24"/>
        <v>47</v>
      </c>
      <c r="B50" s="109" t="str">
        <f t="shared" si="25"/>
        <v>Jan 2016</v>
      </c>
      <c r="C50" s="110" t="str">
        <f t="shared" si="26"/>
        <v xml:space="preserve">LS </v>
      </c>
      <c r="D50" s="110" t="str">
        <f t="shared" si="27"/>
        <v>LGUM_431</v>
      </c>
      <c r="E50" s="581">
        <f t="shared" si="3"/>
        <v>44</v>
      </c>
      <c r="F50" s="581">
        <f t="shared" si="4"/>
        <v>0</v>
      </c>
      <c r="G50" s="116">
        <f t="shared" si="5"/>
        <v>32.93</v>
      </c>
      <c r="H50" s="116">
        <f t="shared" si="6"/>
        <v>0.75</v>
      </c>
      <c r="I50" s="118">
        <f t="shared" si="19"/>
        <v>1448.92</v>
      </c>
      <c r="J50" s="118">
        <f t="shared" si="7"/>
        <v>1448.92</v>
      </c>
      <c r="K50" s="570">
        <f t="shared" si="20"/>
        <v>0</v>
      </c>
      <c r="L50" s="121">
        <f t="shared" si="8"/>
        <v>0</v>
      </c>
      <c r="M50" s="122">
        <f t="shared" si="9"/>
        <v>0</v>
      </c>
      <c r="N50" s="122">
        <f t="shared" si="10"/>
        <v>0</v>
      </c>
      <c r="O50" s="122">
        <f t="shared" si="11"/>
        <v>0</v>
      </c>
      <c r="P50" s="122">
        <f t="shared" si="12"/>
        <v>0</v>
      </c>
      <c r="Q50" s="123">
        <f t="shared" si="13"/>
        <v>1448.92</v>
      </c>
      <c r="R50" s="123">
        <f t="shared" si="21"/>
        <v>-1448.92</v>
      </c>
      <c r="S50" s="582">
        <v>0</v>
      </c>
      <c r="T50" s="123">
        <f t="shared" si="22"/>
        <v>-1448.92</v>
      </c>
      <c r="U50" s="25">
        <f t="shared" si="14"/>
        <v>33</v>
      </c>
      <c r="V50" s="123">
        <f t="shared" si="15"/>
        <v>-33</v>
      </c>
      <c r="W50" s="334">
        <f t="shared" si="16"/>
        <v>11.440000000000001</v>
      </c>
      <c r="Y50" s="109">
        <f>IF(AE50=1,IF(Y49=MiscData!$F$1,EOMONTH(Y49,-11),EOMONTH(Y49,1)),Y49)</f>
        <v>42400</v>
      </c>
      <c r="Z50" s="108" t="str">
        <f t="shared" si="28"/>
        <v>20140101LGUM_431</v>
      </c>
      <c r="AA50" s="126" t="str">
        <f t="shared" si="29"/>
        <v xml:space="preserve">20140101LS </v>
      </c>
      <c r="AB50" s="583" t="str">
        <f t="shared" si="23"/>
        <v>431</v>
      </c>
      <c r="AD50" s="98">
        <f>MiscData!$X$5</f>
        <v>20140101</v>
      </c>
      <c r="AE50" s="98">
        <f>IF(AE49+1&gt;MiscData!$AC$77,1,AE49+1)</f>
        <v>47</v>
      </c>
      <c r="AF50" s="98" t="str">
        <f>VLOOKUP(AE50,MiscData!$AC$5:$AD$77,2,FALSE)</f>
        <v>LGUM_431</v>
      </c>
      <c r="AG50" s="98" t="str">
        <f>VLOOKUP(AF50,MiscData!$AD$5:$AE$77,2,FALSE)</f>
        <v xml:space="preserve">LS </v>
      </c>
      <c r="AP50" s="98" t="s">
        <v>169</v>
      </c>
      <c r="AR50" s="98">
        <v>-3.68</v>
      </c>
    </row>
    <row r="51" spans="1:44">
      <c r="A51" s="108">
        <f t="shared" si="24"/>
        <v>48</v>
      </c>
      <c r="B51" s="109" t="str">
        <f t="shared" si="25"/>
        <v>Jan 2016</v>
      </c>
      <c r="C51" s="110" t="str">
        <f t="shared" si="26"/>
        <v>RLS</v>
      </c>
      <c r="D51" s="110" t="str">
        <f t="shared" si="27"/>
        <v>LGUM_432</v>
      </c>
      <c r="E51" s="581">
        <f t="shared" si="3"/>
        <v>10</v>
      </c>
      <c r="F51" s="581">
        <f t="shared" si="4"/>
        <v>0</v>
      </c>
      <c r="G51" s="116">
        <f t="shared" si="5"/>
        <v>34.330000000000005</v>
      </c>
      <c r="H51" s="116">
        <f t="shared" si="6"/>
        <v>1.0600000000000023</v>
      </c>
      <c r="I51" s="118">
        <f t="shared" si="19"/>
        <v>343.3</v>
      </c>
      <c r="J51" s="118">
        <f t="shared" si="7"/>
        <v>343.3</v>
      </c>
      <c r="K51" s="570">
        <f t="shared" si="20"/>
        <v>0</v>
      </c>
      <c r="L51" s="121">
        <f t="shared" si="8"/>
        <v>0</v>
      </c>
      <c r="M51" s="122">
        <f t="shared" si="9"/>
        <v>0</v>
      </c>
      <c r="N51" s="122">
        <f t="shared" si="10"/>
        <v>0</v>
      </c>
      <c r="O51" s="122">
        <f t="shared" si="11"/>
        <v>0</v>
      </c>
      <c r="P51" s="122">
        <f t="shared" si="12"/>
        <v>0</v>
      </c>
      <c r="Q51" s="123">
        <f t="shared" si="13"/>
        <v>343.3</v>
      </c>
      <c r="R51" s="123">
        <f t="shared" si="21"/>
        <v>-343.3</v>
      </c>
      <c r="S51" s="582">
        <v>0</v>
      </c>
      <c r="T51" s="123">
        <f t="shared" si="22"/>
        <v>-343.3</v>
      </c>
      <c r="U51" s="25">
        <f t="shared" si="14"/>
        <v>10.6</v>
      </c>
      <c r="V51" s="123">
        <f t="shared" si="15"/>
        <v>-10.6</v>
      </c>
      <c r="W51" s="334">
        <f t="shared" si="16"/>
        <v>2.7</v>
      </c>
      <c r="Y51" s="109">
        <f>IF(AE51=1,IF(Y50=MiscData!$F$1,EOMONTH(Y50,-11),EOMONTH(Y50,1)),Y50)</f>
        <v>42400</v>
      </c>
      <c r="Z51" s="108" t="str">
        <f t="shared" si="28"/>
        <v>20140101LGUM_432</v>
      </c>
      <c r="AA51" s="126" t="str">
        <f t="shared" si="29"/>
        <v>20140101RLS</v>
      </c>
      <c r="AB51" s="583" t="str">
        <f t="shared" si="23"/>
        <v>432</v>
      </c>
      <c r="AD51" s="98">
        <f>MiscData!$X$5</f>
        <v>20140101</v>
      </c>
      <c r="AE51" s="98">
        <f>IF(AE50+1&gt;MiscData!$AC$77,1,AE50+1)</f>
        <v>48</v>
      </c>
      <c r="AF51" s="98" t="str">
        <f>VLOOKUP(AE51,MiscData!$AC$5:$AD$77,2,FALSE)</f>
        <v>LGUM_432</v>
      </c>
      <c r="AG51" s="98" t="str">
        <f>VLOOKUP(AF51,MiscData!$AD$5:$AE$77,2,FALSE)</f>
        <v>RLS</v>
      </c>
      <c r="AP51" s="98" t="s">
        <v>170</v>
      </c>
      <c r="AR51" s="98">
        <v>48.35</v>
      </c>
    </row>
    <row r="52" spans="1:44">
      <c r="A52" s="108">
        <f t="shared" si="24"/>
        <v>49</v>
      </c>
      <c r="B52" s="109" t="str">
        <f t="shared" si="25"/>
        <v>Jan 2016</v>
      </c>
      <c r="C52" s="110" t="str">
        <f t="shared" si="26"/>
        <v xml:space="preserve">LS </v>
      </c>
      <c r="D52" s="110" t="str">
        <f t="shared" si="27"/>
        <v>LGUM_433</v>
      </c>
      <c r="E52" s="581">
        <f t="shared" si="3"/>
        <v>188</v>
      </c>
      <c r="F52" s="581">
        <f t="shared" si="4"/>
        <v>0</v>
      </c>
      <c r="G52" s="116">
        <f t="shared" si="5"/>
        <v>34.99</v>
      </c>
      <c r="H52" s="116">
        <f t="shared" si="6"/>
        <v>1.0600000000000023</v>
      </c>
      <c r="I52" s="118">
        <f t="shared" si="19"/>
        <v>6578.12</v>
      </c>
      <c r="J52" s="118">
        <f t="shared" si="7"/>
        <v>6578.12</v>
      </c>
      <c r="K52" s="570">
        <f t="shared" si="20"/>
        <v>0</v>
      </c>
      <c r="L52" s="121">
        <f t="shared" si="8"/>
        <v>0</v>
      </c>
      <c r="M52" s="122">
        <f t="shared" si="9"/>
        <v>0</v>
      </c>
      <c r="N52" s="122">
        <f t="shared" si="10"/>
        <v>0</v>
      </c>
      <c r="O52" s="122">
        <f t="shared" si="11"/>
        <v>0</v>
      </c>
      <c r="P52" s="122">
        <f t="shared" si="12"/>
        <v>0</v>
      </c>
      <c r="Q52" s="123">
        <f t="shared" si="13"/>
        <v>6578.12</v>
      </c>
      <c r="R52" s="123">
        <f t="shared" si="21"/>
        <v>-6578.12</v>
      </c>
      <c r="S52" s="582">
        <v>0</v>
      </c>
      <c r="T52" s="123">
        <f t="shared" si="22"/>
        <v>-6578.12</v>
      </c>
      <c r="U52" s="25">
        <f t="shared" si="14"/>
        <v>199.28</v>
      </c>
      <c r="V52" s="123">
        <f t="shared" si="15"/>
        <v>-199.28</v>
      </c>
      <c r="W52" s="334">
        <f t="shared" si="16"/>
        <v>50.760000000000005</v>
      </c>
      <c r="Y52" s="109">
        <f>IF(AE52=1,IF(Y51=MiscData!$F$1,EOMONTH(Y51,-11),EOMONTH(Y51,1)),Y51)</f>
        <v>42400</v>
      </c>
      <c r="Z52" s="108" t="str">
        <f t="shared" si="28"/>
        <v>20140101LGUM_433</v>
      </c>
      <c r="AA52" s="126" t="str">
        <f t="shared" si="29"/>
        <v xml:space="preserve">20140101LS </v>
      </c>
      <c r="AB52" s="583" t="str">
        <f t="shared" si="23"/>
        <v>433</v>
      </c>
      <c r="AD52" s="98">
        <f>MiscData!$X$5</f>
        <v>20140101</v>
      </c>
      <c r="AE52" s="98">
        <f>IF(AE51+1&gt;MiscData!$AC$77,1,AE51+1)</f>
        <v>49</v>
      </c>
      <c r="AF52" s="98" t="str">
        <f>VLOOKUP(AE52,MiscData!$AC$5:$AD$77,2,FALSE)</f>
        <v>LGUM_433</v>
      </c>
      <c r="AG52" s="98" t="str">
        <f>VLOOKUP(AF52,MiscData!$AD$5:$AE$77,2,FALSE)</f>
        <v xml:space="preserve">LS </v>
      </c>
      <c r="AP52" s="98" t="s">
        <v>171</v>
      </c>
      <c r="AR52" s="98">
        <v>-163.51</v>
      </c>
    </row>
    <row r="53" spans="1:44">
      <c r="A53" s="108">
        <f t="shared" si="24"/>
        <v>50</v>
      </c>
      <c r="B53" s="109" t="str">
        <f t="shared" si="25"/>
        <v>Jan 2016</v>
      </c>
      <c r="C53" s="110" t="str">
        <f t="shared" si="26"/>
        <v xml:space="preserve">LS </v>
      </c>
      <c r="D53" s="110" t="str">
        <f t="shared" si="27"/>
        <v>LGUM_439</v>
      </c>
      <c r="E53" s="581">
        <f t="shared" si="3"/>
        <v>0</v>
      </c>
      <c r="F53" s="581">
        <f t="shared" si="4"/>
        <v>0</v>
      </c>
      <c r="G53" s="116">
        <f t="shared" si="5"/>
        <v>16.459999999999997</v>
      </c>
      <c r="H53" s="116">
        <f t="shared" si="6"/>
        <v>1.6499999999999986</v>
      </c>
      <c r="I53" s="118">
        <f t="shared" si="19"/>
        <v>0</v>
      </c>
      <c r="J53" s="118">
        <f t="shared" si="7"/>
        <v>0</v>
      </c>
      <c r="K53" s="570">
        <f t="shared" si="20"/>
        <v>0</v>
      </c>
      <c r="L53" s="121">
        <f t="shared" si="8"/>
        <v>1</v>
      </c>
      <c r="M53" s="122">
        <f t="shared" si="9"/>
        <v>0</v>
      </c>
      <c r="N53" s="122">
        <f t="shared" si="10"/>
        <v>0</v>
      </c>
      <c r="O53" s="122">
        <f t="shared" si="11"/>
        <v>0</v>
      </c>
      <c r="P53" s="122">
        <f t="shared" si="12"/>
        <v>0</v>
      </c>
      <c r="Q53" s="123">
        <f t="shared" si="13"/>
        <v>0</v>
      </c>
      <c r="R53" s="123">
        <f t="shared" si="21"/>
        <v>0</v>
      </c>
      <c r="S53" s="582">
        <v>0</v>
      </c>
      <c r="T53" s="123">
        <f t="shared" si="22"/>
        <v>0</v>
      </c>
      <c r="U53" s="25">
        <f t="shared" si="14"/>
        <v>0</v>
      </c>
      <c r="V53" s="123">
        <f t="shared" si="15"/>
        <v>0</v>
      </c>
      <c r="W53" s="334">
        <f t="shared" si="16"/>
        <v>0</v>
      </c>
      <c r="Y53" s="109">
        <f>IF(AE53=1,IF(Y52=MiscData!$F$1,EOMONTH(Y52,-11),EOMONTH(Y52,1)),Y52)</f>
        <v>42400</v>
      </c>
      <c r="Z53" s="108" t="str">
        <f t="shared" si="28"/>
        <v>20140101LGUM_439</v>
      </c>
      <c r="AA53" s="126" t="str">
        <f t="shared" si="29"/>
        <v xml:space="preserve">20140101LS </v>
      </c>
      <c r="AB53" s="583" t="str">
        <f t="shared" si="23"/>
        <v>439</v>
      </c>
      <c r="AD53" s="98">
        <f>MiscData!$X$5</f>
        <v>20140101</v>
      </c>
      <c r="AE53" s="98">
        <f>IF(AE52+1&gt;MiscData!$AC$77,1,AE52+1)</f>
        <v>50</v>
      </c>
      <c r="AF53" s="98" t="str">
        <f>VLOOKUP(AE53,MiscData!$AC$5:$AD$77,2,FALSE)</f>
        <v>LGUM_439</v>
      </c>
      <c r="AG53" s="98" t="str">
        <f>VLOOKUP(AF53,MiscData!$AD$5:$AE$77,2,FALSE)</f>
        <v xml:space="preserve">LS </v>
      </c>
      <c r="AP53" s="98" t="s">
        <v>172</v>
      </c>
      <c r="AR53" s="98">
        <v>-72.03</v>
      </c>
    </row>
    <row r="54" spans="1:44">
      <c r="A54" s="108">
        <f t="shared" si="24"/>
        <v>51</v>
      </c>
      <c r="B54" s="109" t="str">
        <f t="shared" si="25"/>
        <v>Jan 2016</v>
      </c>
      <c r="C54" s="110" t="str">
        <f t="shared" si="26"/>
        <v xml:space="preserve">LS </v>
      </c>
      <c r="D54" s="110" t="str">
        <f t="shared" si="27"/>
        <v>LGUM_440</v>
      </c>
      <c r="E54" s="581">
        <f t="shared" si="3"/>
        <v>2</v>
      </c>
      <c r="F54" s="581">
        <f t="shared" si="4"/>
        <v>0</v>
      </c>
      <c r="G54" s="116">
        <f t="shared" si="5"/>
        <v>18.279999999999998</v>
      </c>
      <c r="H54" s="116">
        <f t="shared" si="6"/>
        <v>2.67</v>
      </c>
      <c r="I54" s="118">
        <f t="shared" si="19"/>
        <v>36.56</v>
      </c>
      <c r="J54" s="118">
        <f t="shared" si="7"/>
        <v>36.56</v>
      </c>
      <c r="K54" s="570">
        <f t="shared" si="20"/>
        <v>0</v>
      </c>
      <c r="L54" s="121">
        <f t="shared" si="8"/>
        <v>0</v>
      </c>
      <c r="M54" s="122">
        <f t="shared" si="9"/>
        <v>0</v>
      </c>
      <c r="N54" s="122">
        <f t="shared" si="10"/>
        <v>0</v>
      </c>
      <c r="O54" s="122">
        <f t="shared" si="11"/>
        <v>0</v>
      </c>
      <c r="P54" s="122">
        <f t="shared" si="12"/>
        <v>0</v>
      </c>
      <c r="Q54" s="123">
        <f t="shared" si="13"/>
        <v>36.56</v>
      </c>
      <c r="R54" s="123">
        <f t="shared" si="21"/>
        <v>-36.56</v>
      </c>
      <c r="S54" s="582">
        <v>0</v>
      </c>
      <c r="T54" s="123">
        <f t="shared" si="22"/>
        <v>-36.56</v>
      </c>
      <c r="U54" s="25">
        <f t="shared" si="14"/>
        <v>5.34</v>
      </c>
      <c r="V54" s="123">
        <f t="shared" si="15"/>
        <v>-5.34</v>
      </c>
      <c r="W54" s="334">
        <f t="shared" si="16"/>
        <v>0.54</v>
      </c>
      <c r="Y54" s="109">
        <f>IF(AE54=1,IF(Y53=MiscData!$F$1,EOMONTH(Y53,-11),EOMONTH(Y53,1)),Y53)</f>
        <v>42400</v>
      </c>
      <c r="Z54" s="108" t="str">
        <f t="shared" si="28"/>
        <v>20140101LGUM_440</v>
      </c>
      <c r="AA54" s="126" t="str">
        <f t="shared" si="29"/>
        <v xml:space="preserve">20140101LS </v>
      </c>
      <c r="AB54" s="583" t="str">
        <f t="shared" si="23"/>
        <v>440</v>
      </c>
      <c r="AD54" s="98">
        <f>MiscData!$X$5</f>
        <v>20140101</v>
      </c>
      <c r="AE54" s="98">
        <f>IF(AE53+1&gt;MiscData!$AC$77,1,AE53+1)</f>
        <v>51</v>
      </c>
      <c r="AF54" s="98" t="str">
        <f>VLOOKUP(AE54,MiscData!$AC$5:$AD$77,2,FALSE)</f>
        <v>LGUM_440</v>
      </c>
      <c r="AG54" s="98" t="str">
        <f>VLOOKUP(AF54,MiscData!$AD$5:$AE$77,2,FALSE)</f>
        <v xml:space="preserve">LS </v>
      </c>
      <c r="AP54" s="98" t="s">
        <v>173</v>
      </c>
      <c r="AR54" s="98">
        <v>0</v>
      </c>
    </row>
    <row r="55" spans="1:44">
      <c r="A55" s="108">
        <f t="shared" si="24"/>
        <v>52</v>
      </c>
      <c r="B55" s="109" t="str">
        <f t="shared" si="25"/>
        <v>Jan 2016</v>
      </c>
      <c r="C55" s="110" t="str">
        <f t="shared" si="26"/>
        <v xml:space="preserve">LS </v>
      </c>
      <c r="D55" s="110" t="str">
        <f t="shared" si="27"/>
        <v>LGUM_441</v>
      </c>
      <c r="E55" s="581">
        <f t="shared" si="3"/>
        <v>14</v>
      </c>
      <c r="F55" s="581">
        <f t="shared" si="4"/>
        <v>0</v>
      </c>
      <c r="G55" s="116">
        <f t="shared" si="5"/>
        <v>22.32</v>
      </c>
      <c r="H55" s="116">
        <f t="shared" si="6"/>
        <v>4.2800000000000011</v>
      </c>
      <c r="I55" s="118">
        <f t="shared" si="19"/>
        <v>312.48</v>
      </c>
      <c r="J55" s="118">
        <f t="shared" si="7"/>
        <v>312.48</v>
      </c>
      <c r="K55" s="570">
        <f t="shared" si="20"/>
        <v>0</v>
      </c>
      <c r="L55" s="121">
        <f t="shared" si="8"/>
        <v>0</v>
      </c>
      <c r="M55" s="122">
        <f t="shared" si="9"/>
        <v>0</v>
      </c>
      <c r="N55" s="122">
        <f t="shared" si="10"/>
        <v>0</v>
      </c>
      <c r="O55" s="122">
        <f t="shared" si="11"/>
        <v>0</v>
      </c>
      <c r="P55" s="122">
        <f t="shared" si="12"/>
        <v>0</v>
      </c>
      <c r="Q55" s="123">
        <f t="shared" si="13"/>
        <v>312.48</v>
      </c>
      <c r="R55" s="123">
        <f t="shared" si="21"/>
        <v>-312.48</v>
      </c>
      <c r="S55" s="582">
        <v>0</v>
      </c>
      <c r="T55" s="123">
        <f t="shared" si="22"/>
        <v>-312.48</v>
      </c>
      <c r="U55" s="25">
        <f t="shared" si="14"/>
        <v>59.92</v>
      </c>
      <c r="V55" s="123">
        <f t="shared" si="15"/>
        <v>-59.92</v>
      </c>
      <c r="W55" s="334">
        <f t="shared" si="16"/>
        <v>4.0599999999999996</v>
      </c>
      <c r="Y55" s="109">
        <f>IF(AE55=1,IF(Y54=MiscData!$F$1,EOMONTH(Y54,-11),EOMONTH(Y54,1)),Y54)</f>
        <v>42400</v>
      </c>
      <c r="Z55" s="108" t="str">
        <f t="shared" si="28"/>
        <v>20140101LGUM_441</v>
      </c>
      <c r="AA55" s="126" t="str">
        <f t="shared" si="29"/>
        <v xml:space="preserve">20140101LS </v>
      </c>
      <c r="AB55" s="583" t="str">
        <f t="shared" si="23"/>
        <v>441</v>
      </c>
      <c r="AD55" s="98">
        <f>MiscData!$X$5</f>
        <v>20140101</v>
      </c>
      <c r="AE55" s="98">
        <f>IF(AE54+1&gt;MiscData!$AC$77,1,AE54+1)</f>
        <v>52</v>
      </c>
      <c r="AF55" s="98" t="str">
        <f>VLOOKUP(AE55,MiscData!$AC$5:$AD$77,2,FALSE)</f>
        <v>LGUM_441</v>
      </c>
      <c r="AG55" s="98" t="str">
        <f>VLOOKUP(AF55,MiscData!$AD$5:$AE$77,2,FALSE)</f>
        <v xml:space="preserve">LS </v>
      </c>
      <c r="AP55" s="98" t="s">
        <v>174</v>
      </c>
      <c r="AR55" s="98">
        <v>0</v>
      </c>
    </row>
    <row r="56" spans="1:44">
      <c r="A56" s="108">
        <f t="shared" si="24"/>
        <v>53</v>
      </c>
      <c r="B56" s="109" t="str">
        <f t="shared" si="25"/>
        <v>Jan 2016</v>
      </c>
      <c r="C56" s="110" t="str">
        <f t="shared" si="26"/>
        <v xml:space="preserve">LS </v>
      </c>
      <c r="D56" s="110" t="str">
        <f t="shared" si="27"/>
        <v>LGUM_452</v>
      </c>
      <c r="E56" s="581">
        <f t="shared" si="3"/>
        <v>6373</v>
      </c>
      <c r="F56" s="581">
        <f t="shared" si="4"/>
        <v>0</v>
      </c>
      <c r="G56" s="116">
        <f t="shared" si="5"/>
        <v>12.82</v>
      </c>
      <c r="H56" s="116">
        <f t="shared" si="6"/>
        <v>1.6500000000000004</v>
      </c>
      <c r="I56" s="118">
        <f t="shared" si="19"/>
        <v>81701.86</v>
      </c>
      <c r="J56" s="118">
        <f t="shared" si="7"/>
        <v>81701.86</v>
      </c>
      <c r="K56" s="570">
        <f t="shared" si="20"/>
        <v>0</v>
      </c>
      <c r="L56" s="121">
        <f t="shared" si="8"/>
        <v>0</v>
      </c>
      <c r="M56" s="122">
        <f t="shared" si="9"/>
        <v>0</v>
      </c>
      <c r="N56" s="122">
        <f t="shared" si="10"/>
        <v>0</v>
      </c>
      <c r="O56" s="122">
        <f t="shared" si="11"/>
        <v>0</v>
      </c>
      <c r="P56" s="122">
        <f t="shared" si="12"/>
        <v>0</v>
      </c>
      <c r="Q56" s="123">
        <f t="shared" si="13"/>
        <v>81701.86</v>
      </c>
      <c r="R56" s="123">
        <f t="shared" si="21"/>
        <v>-81701.86</v>
      </c>
      <c r="S56" s="582">
        <v>0</v>
      </c>
      <c r="T56" s="123">
        <f t="shared" si="22"/>
        <v>-81701.86</v>
      </c>
      <c r="U56" s="25">
        <f t="shared" si="14"/>
        <v>10515.45</v>
      </c>
      <c r="V56" s="123">
        <f t="shared" si="15"/>
        <v>-10515.45</v>
      </c>
      <c r="W56" s="334">
        <f t="shared" si="16"/>
        <v>1529.52</v>
      </c>
      <c r="Y56" s="109">
        <f>IF(AE56=1,IF(Y55=MiscData!$F$1,EOMONTH(Y55,-11),EOMONTH(Y55,1)),Y55)</f>
        <v>42400</v>
      </c>
      <c r="Z56" s="108" t="str">
        <f t="shared" si="28"/>
        <v>20140101LGUM_452</v>
      </c>
      <c r="AA56" s="126" t="str">
        <f t="shared" si="29"/>
        <v xml:space="preserve">20140101LS </v>
      </c>
      <c r="AB56" s="583" t="str">
        <f t="shared" si="23"/>
        <v>452</v>
      </c>
      <c r="AD56" s="98">
        <f>MiscData!$X$5</f>
        <v>20140101</v>
      </c>
      <c r="AE56" s="98">
        <f>IF(AE55+1&gt;MiscData!$AC$77,1,AE55+1)</f>
        <v>53</v>
      </c>
      <c r="AF56" s="98" t="str">
        <f>VLOOKUP(AE56,MiscData!$AC$5:$AD$77,2,FALSE)</f>
        <v>LGUM_452</v>
      </c>
      <c r="AG56" s="98" t="str">
        <f>VLOOKUP(AF56,MiscData!$AD$5:$AE$77,2,FALSE)</f>
        <v xml:space="preserve">LS </v>
      </c>
      <c r="AP56" s="98" t="s">
        <v>175</v>
      </c>
      <c r="AR56" s="98">
        <v>-35.76</v>
      </c>
    </row>
    <row r="57" spans="1:44">
      <c r="A57" s="108">
        <f t="shared" si="24"/>
        <v>54</v>
      </c>
      <c r="B57" s="109" t="str">
        <f t="shared" si="25"/>
        <v>Jan 2016</v>
      </c>
      <c r="C57" s="110" t="str">
        <f t="shared" si="26"/>
        <v xml:space="preserve">LS </v>
      </c>
      <c r="D57" s="110" t="str">
        <f t="shared" si="27"/>
        <v>LGUM_453</v>
      </c>
      <c r="E57" s="581">
        <f t="shared" si="3"/>
        <v>8953</v>
      </c>
      <c r="F57" s="581">
        <f t="shared" si="4"/>
        <v>0</v>
      </c>
      <c r="G57" s="116">
        <f t="shared" si="5"/>
        <v>15.08</v>
      </c>
      <c r="H57" s="116">
        <f t="shared" si="6"/>
        <v>3.9800000000000004</v>
      </c>
      <c r="I57" s="118">
        <f t="shared" si="19"/>
        <v>135011.24</v>
      </c>
      <c r="J57" s="118">
        <f t="shared" si="7"/>
        <v>135011.24</v>
      </c>
      <c r="K57" s="570">
        <f t="shared" si="20"/>
        <v>0</v>
      </c>
      <c r="L57" s="121">
        <f t="shared" si="8"/>
        <v>0</v>
      </c>
      <c r="M57" s="122">
        <f t="shared" si="9"/>
        <v>0</v>
      </c>
      <c r="N57" s="122">
        <f t="shared" si="10"/>
        <v>0</v>
      </c>
      <c r="O57" s="122">
        <f t="shared" si="11"/>
        <v>0</v>
      </c>
      <c r="P57" s="122">
        <f t="shared" si="12"/>
        <v>0</v>
      </c>
      <c r="Q57" s="123">
        <f t="shared" si="13"/>
        <v>135011.24</v>
      </c>
      <c r="R57" s="123">
        <f t="shared" si="21"/>
        <v>-135011.24</v>
      </c>
      <c r="S57" s="582">
        <v>0</v>
      </c>
      <c r="T57" s="123">
        <f t="shared" si="22"/>
        <v>-135011.24</v>
      </c>
      <c r="U57" s="25">
        <f t="shared" si="14"/>
        <v>35632.94</v>
      </c>
      <c r="V57" s="123">
        <f t="shared" si="15"/>
        <v>-35632.94</v>
      </c>
      <c r="W57" s="334">
        <f t="shared" si="16"/>
        <v>2417.31</v>
      </c>
      <c r="Y57" s="109">
        <f>IF(AE57=1,IF(Y56=MiscData!$F$1,EOMONTH(Y56,-11),EOMONTH(Y56,1)),Y56)</f>
        <v>42400</v>
      </c>
      <c r="Z57" s="108" t="str">
        <f t="shared" si="28"/>
        <v>20140101LGUM_453</v>
      </c>
      <c r="AA57" s="126" t="str">
        <f t="shared" si="29"/>
        <v xml:space="preserve">20140101LS </v>
      </c>
      <c r="AB57" s="583" t="str">
        <f t="shared" si="23"/>
        <v>453</v>
      </c>
      <c r="AD57" s="98">
        <f>MiscData!$X$5</f>
        <v>20140101</v>
      </c>
      <c r="AE57" s="98">
        <f>IF(AE56+1&gt;MiscData!$AC$77,1,AE56+1)</f>
        <v>54</v>
      </c>
      <c r="AF57" s="98" t="str">
        <f>VLOOKUP(AE57,MiscData!$AC$5:$AD$77,2,FALSE)</f>
        <v>LGUM_453</v>
      </c>
      <c r="AG57" s="98" t="str">
        <f>VLOOKUP(AF57,MiscData!$AD$5:$AE$77,2,FALSE)</f>
        <v xml:space="preserve">LS </v>
      </c>
      <c r="AP57" s="98" t="s">
        <v>176</v>
      </c>
      <c r="AR57" s="98">
        <v>-4.6399999999999997</v>
      </c>
    </row>
    <row r="58" spans="1:44">
      <c r="A58" s="108">
        <f t="shared" si="24"/>
        <v>55</v>
      </c>
      <c r="B58" s="109" t="str">
        <f t="shared" si="25"/>
        <v>Jan 2016</v>
      </c>
      <c r="C58" s="110" t="str">
        <f t="shared" si="26"/>
        <v xml:space="preserve">LS </v>
      </c>
      <c r="D58" s="110" t="str">
        <f t="shared" si="27"/>
        <v>LGUM_454</v>
      </c>
      <c r="E58" s="581">
        <f t="shared" si="3"/>
        <v>5659</v>
      </c>
      <c r="F58" s="581">
        <f t="shared" si="4"/>
        <v>0</v>
      </c>
      <c r="G58" s="116">
        <f t="shared" si="5"/>
        <v>17.38</v>
      </c>
      <c r="H58" s="116">
        <f t="shared" si="6"/>
        <v>4.2800000000000011</v>
      </c>
      <c r="I58" s="118">
        <f t="shared" si="19"/>
        <v>98353.42</v>
      </c>
      <c r="J58" s="118">
        <f t="shared" si="7"/>
        <v>98353.42</v>
      </c>
      <c r="K58" s="570">
        <f t="shared" si="20"/>
        <v>0</v>
      </c>
      <c r="L58" s="121">
        <f t="shared" si="8"/>
        <v>0</v>
      </c>
      <c r="M58" s="122">
        <f t="shared" si="9"/>
        <v>0</v>
      </c>
      <c r="N58" s="122">
        <f t="shared" si="10"/>
        <v>0</v>
      </c>
      <c r="O58" s="122">
        <f t="shared" si="11"/>
        <v>0</v>
      </c>
      <c r="P58" s="122">
        <f t="shared" si="12"/>
        <v>0</v>
      </c>
      <c r="Q58" s="123">
        <f t="shared" si="13"/>
        <v>98353.42</v>
      </c>
      <c r="R58" s="123">
        <f t="shared" si="21"/>
        <v>-98353.42</v>
      </c>
      <c r="S58" s="582">
        <v>0</v>
      </c>
      <c r="T58" s="123">
        <f t="shared" si="22"/>
        <v>-98353.42</v>
      </c>
      <c r="U58" s="25">
        <f t="shared" si="14"/>
        <v>24220.52</v>
      </c>
      <c r="V58" s="123">
        <f t="shared" si="15"/>
        <v>-24220.52</v>
      </c>
      <c r="W58" s="334">
        <f t="shared" si="16"/>
        <v>1641.11</v>
      </c>
      <c r="Y58" s="109">
        <f>IF(AE58=1,IF(Y57=MiscData!$F$1,EOMONTH(Y57,-11),EOMONTH(Y57,1)),Y57)</f>
        <v>42400</v>
      </c>
      <c r="Z58" s="108" t="str">
        <f t="shared" si="28"/>
        <v>20140101LGUM_454</v>
      </c>
      <c r="AA58" s="126" t="str">
        <f t="shared" si="29"/>
        <v xml:space="preserve">20140101LS </v>
      </c>
      <c r="AB58" s="583" t="str">
        <f t="shared" si="23"/>
        <v>454</v>
      </c>
      <c r="AD58" s="98">
        <f>MiscData!$X$5</f>
        <v>20140101</v>
      </c>
      <c r="AE58" s="98">
        <f>IF(AE57+1&gt;MiscData!$AC$77,1,AE57+1)</f>
        <v>55</v>
      </c>
      <c r="AF58" s="98" t="str">
        <f>VLOOKUP(AE58,MiscData!$AC$5:$AD$77,2,FALSE)</f>
        <v>LGUM_454</v>
      </c>
      <c r="AG58" s="98" t="str">
        <f>VLOOKUP(AF58,MiscData!$AD$5:$AE$77,2,FALSE)</f>
        <v xml:space="preserve">LS </v>
      </c>
      <c r="AP58" s="98" t="s">
        <v>177</v>
      </c>
      <c r="AR58" s="98">
        <v>1.99</v>
      </c>
    </row>
    <row r="59" spans="1:44">
      <c r="A59" s="108">
        <f t="shared" si="24"/>
        <v>56</v>
      </c>
      <c r="B59" s="109" t="str">
        <f t="shared" si="25"/>
        <v>Jan 2016</v>
      </c>
      <c r="C59" s="110" t="str">
        <f t="shared" si="26"/>
        <v xml:space="preserve">LS </v>
      </c>
      <c r="D59" s="110" t="str">
        <f t="shared" si="27"/>
        <v>LGUM_455</v>
      </c>
      <c r="E59" s="581">
        <f t="shared" si="3"/>
        <v>412</v>
      </c>
      <c r="F59" s="581">
        <f t="shared" si="4"/>
        <v>0</v>
      </c>
      <c r="G59" s="116">
        <f t="shared" si="5"/>
        <v>13.77</v>
      </c>
      <c r="H59" s="116">
        <f t="shared" si="6"/>
        <v>1.6499999999999986</v>
      </c>
      <c r="I59" s="118">
        <f t="shared" si="19"/>
        <v>5673.24</v>
      </c>
      <c r="J59" s="118">
        <f t="shared" si="7"/>
        <v>5673.24</v>
      </c>
      <c r="K59" s="570">
        <f t="shared" si="20"/>
        <v>0</v>
      </c>
      <c r="L59" s="121">
        <f t="shared" si="8"/>
        <v>0</v>
      </c>
      <c r="M59" s="122">
        <f t="shared" si="9"/>
        <v>0</v>
      </c>
      <c r="N59" s="122">
        <f t="shared" si="10"/>
        <v>0</v>
      </c>
      <c r="O59" s="122">
        <f t="shared" si="11"/>
        <v>0</v>
      </c>
      <c r="P59" s="122">
        <f t="shared" si="12"/>
        <v>0</v>
      </c>
      <c r="Q59" s="123">
        <f t="shared" si="13"/>
        <v>5673.24</v>
      </c>
      <c r="R59" s="123">
        <f t="shared" si="21"/>
        <v>-5673.24</v>
      </c>
      <c r="S59" s="582">
        <v>0</v>
      </c>
      <c r="T59" s="123">
        <f t="shared" si="22"/>
        <v>-5673.24</v>
      </c>
      <c r="U59" s="25">
        <f t="shared" si="14"/>
        <v>679.8</v>
      </c>
      <c r="V59" s="123">
        <f t="shared" si="15"/>
        <v>-679.8</v>
      </c>
      <c r="W59" s="334">
        <f t="shared" si="16"/>
        <v>98.88</v>
      </c>
      <c r="Y59" s="109">
        <f>IF(AE59=1,IF(Y58=MiscData!$F$1,EOMONTH(Y58,-11),EOMONTH(Y58,1)),Y58)</f>
        <v>42400</v>
      </c>
      <c r="Z59" s="108" t="str">
        <f t="shared" si="28"/>
        <v>20140101LGUM_455</v>
      </c>
      <c r="AA59" s="126" t="str">
        <f t="shared" si="29"/>
        <v xml:space="preserve">20140101LS </v>
      </c>
      <c r="AB59" s="583" t="str">
        <f t="shared" si="23"/>
        <v>455</v>
      </c>
      <c r="AD59" s="98">
        <f>MiscData!$X$5</f>
        <v>20140101</v>
      </c>
      <c r="AE59" s="98">
        <f>IF(AE58+1&gt;MiscData!$AC$77,1,AE58+1)</f>
        <v>56</v>
      </c>
      <c r="AF59" s="98" t="str">
        <f>VLOOKUP(AE59,MiscData!$AC$5:$AD$77,2,FALSE)</f>
        <v>LGUM_455</v>
      </c>
      <c r="AG59" s="98" t="str">
        <f>VLOOKUP(AF59,MiscData!$AD$5:$AE$77,2,FALSE)</f>
        <v xml:space="preserve">LS </v>
      </c>
      <c r="AP59" s="98" t="s">
        <v>178</v>
      </c>
      <c r="AR59" s="98">
        <v>-17.97</v>
      </c>
    </row>
    <row r="60" spans="1:44">
      <c r="A60" s="108">
        <f t="shared" si="24"/>
        <v>57</v>
      </c>
      <c r="B60" s="109" t="str">
        <f t="shared" si="25"/>
        <v>Jan 2016</v>
      </c>
      <c r="C60" s="110" t="str">
        <f t="shared" si="26"/>
        <v xml:space="preserve">LS </v>
      </c>
      <c r="D60" s="110" t="str">
        <f t="shared" si="27"/>
        <v>LGUM_456</v>
      </c>
      <c r="E60" s="581">
        <f t="shared" si="3"/>
        <v>12971</v>
      </c>
      <c r="F60" s="581">
        <f t="shared" si="4"/>
        <v>0</v>
      </c>
      <c r="G60" s="116">
        <f t="shared" si="5"/>
        <v>18.21</v>
      </c>
      <c r="H60" s="116">
        <f t="shared" si="6"/>
        <v>4.2800000000000011</v>
      </c>
      <c r="I60" s="118">
        <f t="shared" si="19"/>
        <v>236201.91</v>
      </c>
      <c r="J60" s="118">
        <f t="shared" si="7"/>
        <v>236201.91</v>
      </c>
      <c r="K60" s="570">
        <f t="shared" si="20"/>
        <v>0</v>
      </c>
      <c r="L60" s="121">
        <f t="shared" si="8"/>
        <v>0</v>
      </c>
      <c r="M60" s="122">
        <f t="shared" si="9"/>
        <v>0</v>
      </c>
      <c r="N60" s="122">
        <f t="shared" si="10"/>
        <v>0</v>
      </c>
      <c r="O60" s="122">
        <f t="shared" si="11"/>
        <v>0</v>
      </c>
      <c r="P60" s="122">
        <f t="shared" si="12"/>
        <v>0</v>
      </c>
      <c r="Q60" s="123">
        <f t="shared" si="13"/>
        <v>236201.91</v>
      </c>
      <c r="R60" s="123">
        <f t="shared" si="21"/>
        <v>-236201.91</v>
      </c>
      <c r="S60" s="582">
        <v>0</v>
      </c>
      <c r="T60" s="123">
        <f t="shared" si="22"/>
        <v>-236201.91</v>
      </c>
      <c r="U60" s="25">
        <f t="shared" si="14"/>
        <v>55515.88</v>
      </c>
      <c r="V60" s="123">
        <f t="shared" si="15"/>
        <v>-55515.88</v>
      </c>
      <c r="W60" s="334">
        <f t="shared" si="16"/>
        <v>3761.5899999999997</v>
      </c>
      <c r="Y60" s="109">
        <f>IF(AE60=1,IF(Y59=MiscData!$F$1,EOMONTH(Y59,-11),EOMONTH(Y59,1)),Y59)</f>
        <v>42400</v>
      </c>
      <c r="Z60" s="108" t="str">
        <f t="shared" si="28"/>
        <v>20140101LGUM_456</v>
      </c>
      <c r="AA60" s="126" t="str">
        <f t="shared" si="29"/>
        <v xml:space="preserve">20140101LS </v>
      </c>
      <c r="AB60" s="583" t="str">
        <f t="shared" si="23"/>
        <v>456</v>
      </c>
      <c r="AD60" s="98">
        <f>MiscData!$X$5</f>
        <v>20140101</v>
      </c>
      <c r="AE60" s="98">
        <f>IF(AE59+1&gt;MiscData!$AC$77,1,AE59+1)</f>
        <v>57</v>
      </c>
      <c r="AF60" s="98" t="str">
        <f>VLOOKUP(AE60,MiscData!$AC$5:$AD$77,2,FALSE)</f>
        <v>LGUM_456</v>
      </c>
      <c r="AG60" s="98" t="str">
        <f>VLOOKUP(AF60,MiscData!$AD$5:$AE$77,2,FALSE)</f>
        <v xml:space="preserve">LS </v>
      </c>
      <c r="AP60" s="98" t="s">
        <v>179</v>
      </c>
      <c r="AR60" s="98">
        <v>34.5</v>
      </c>
    </row>
    <row r="61" spans="1:44">
      <c r="A61" s="108">
        <f t="shared" si="24"/>
        <v>58</v>
      </c>
      <c r="B61" s="109" t="str">
        <f t="shared" si="25"/>
        <v>Jan 2016</v>
      </c>
      <c r="C61" s="110" t="str">
        <f t="shared" si="26"/>
        <v xml:space="preserve">LS </v>
      </c>
      <c r="D61" s="110" t="str">
        <f t="shared" si="27"/>
        <v>LGUM_457</v>
      </c>
      <c r="E61" s="581">
        <f t="shared" si="3"/>
        <v>3281</v>
      </c>
      <c r="F61" s="581">
        <f t="shared" si="4"/>
        <v>0</v>
      </c>
      <c r="G61" s="116">
        <f t="shared" si="5"/>
        <v>10.86</v>
      </c>
      <c r="H61" s="116">
        <f t="shared" si="6"/>
        <v>1.0599999999999987</v>
      </c>
      <c r="I61" s="118">
        <f t="shared" si="19"/>
        <v>35631.660000000003</v>
      </c>
      <c r="J61" s="118">
        <f t="shared" si="7"/>
        <v>35631.660000000003</v>
      </c>
      <c r="K61" s="570">
        <f t="shared" si="20"/>
        <v>0</v>
      </c>
      <c r="L61" s="121">
        <f t="shared" si="8"/>
        <v>0</v>
      </c>
      <c r="M61" s="122">
        <f t="shared" si="9"/>
        <v>0</v>
      </c>
      <c r="N61" s="122">
        <f t="shared" si="10"/>
        <v>0</v>
      </c>
      <c r="O61" s="122">
        <f t="shared" si="11"/>
        <v>0</v>
      </c>
      <c r="P61" s="122">
        <f t="shared" si="12"/>
        <v>0</v>
      </c>
      <c r="Q61" s="123">
        <f t="shared" si="13"/>
        <v>35631.660000000003</v>
      </c>
      <c r="R61" s="123">
        <f t="shared" si="21"/>
        <v>-35631.660000000003</v>
      </c>
      <c r="S61" s="582">
        <v>0</v>
      </c>
      <c r="T61" s="123">
        <f t="shared" si="22"/>
        <v>-35631.660000000003</v>
      </c>
      <c r="U61" s="25">
        <f t="shared" si="14"/>
        <v>3477.86</v>
      </c>
      <c r="V61" s="123">
        <f t="shared" si="15"/>
        <v>-3477.86</v>
      </c>
      <c r="W61" s="334">
        <f t="shared" si="16"/>
        <v>885.87</v>
      </c>
      <c r="Y61" s="109">
        <f>IF(AE61=1,IF(Y60=MiscData!$F$1,EOMONTH(Y60,-11),EOMONTH(Y60,1)),Y60)</f>
        <v>42400</v>
      </c>
      <c r="Z61" s="108" t="str">
        <f t="shared" si="28"/>
        <v>20140101LGUM_457</v>
      </c>
      <c r="AA61" s="126" t="str">
        <f t="shared" si="29"/>
        <v xml:space="preserve">20140101LS </v>
      </c>
      <c r="AB61" s="583" t="str">
        <f t="shared" si="23"/>
        <v>457</v>
      </c>
      <c r="AD61" s="98">
        <f>MiscData!$X$5</f>
        <v>20140101</v>
      </c>
      <c r="AE61" s="98">
        <f>IF(AE60+1&gt;MiscData!$AC$77,1,AE60+1)</f>
        <v>58</v>
      </c>
      <c r="AF61" s="98" t="str">
        <f>VLOOKUP(AE61,MiscData!$AC$5:$AD$77,2,FALSE)</f>
        <v>LGUM_457</v>
      </c>
      <c r="AG61" s="98" t="str">
        <f>VLOOKUP(AF61,MiscData!$AD$5:$AE$77,2,FALSE)</f>
        <v xml:space="preserve">LS </v>
      </c>
      <c r="AP61" s="98" t="s">
        <v>180</v>
      </c>
      <c r="AR61" s="98">
        <v>33.200000000000003</v>
      </c>
    </row>
    <row r="62" spans="1:44">
      <c r="A62" s="108">
        <f t="shared" si="24"/>
        <v>59</v>
      </c>
      <c r="B62" s="109" t="str">
        <f t="shared" si="25"/>
        <v>Jan 2016</v>
      </c>
      <c r="C62" s="110" t="str">
        <f t="shared" si="26"/>
        <v>RLS</v>
      </c>
      <c r="D62" s="110" t="str">
        <f t="shared" si="27"/>
        <v>LGUM_458</v>
      </c>
      <c r="E62" s="581">
        <f t="shared" si="3"/>
        <v>5</v>
      </c>
      <c r="F62" s="581">
        <f t="shared" si="4"/>
        <v>0</v>
      </c>
      <c r="G62" s="116">
        <f t="shared" si="5"/>
        <v>11.13</v>
      </c>
      <c r="H62" s="116">
        <f t="shared" si="6"/>
        <v>3.7700000000000014</v>
      </c>
      <c r="I62" s="118">
        <f t="shared" si="19"/>
        <v>55.65</v>
      </c>
      <c r="J62" s="118">
        <f t="shared" si="7"/>
        <v>55.65</v>
      </c>
      <c r="K62" s="570">
        <f t="shared" si="20"/>
        <v>0</v>
      </c>
      <c r="L62" s="121">
        <f t="shared" si="8"/>
        <v>0</v>
      </c>
      <c r="M62" s="122">
        <f t="shared" si="9"/>
        <v>0</v>
      </c>
      <c r="N62" s="122">
        <f t="shared" si="10"/>
        <v>0</v>
      </c>
      <c r="O62" s="122">
        <f t="shared" si="11"/>
        <v>0</v>
      </c>
      <c r="P62" s="122">
        <f t="shared" si="12"/>
        <v>0</v>
      </c>
      <c r="Q62" s="123">
        <f t="shared" si="13"/>
        <v>55.65</v>
      </c>
      <c r="R62" s="123">
        <f t="shared" si="21"/>
        <v>-55.65</v>
      </c>
      <c r="S62" s="582">
        <v>0</v>
      </c>
      <c r="T62" s="123">
        <f t="shared" si="22"/>
        <v>-55.65</v>
      </c>
      <c r="U62" s="25">
        <f t="shared" si="14"/>
        <v>18.850000000000001</v>
      </c>
      <c r="V62" s="123">
        <f t="shared" si="15"/>
        <v>-18.850000000000001</v>
      </c>
      <c r="W62" s="334">
        <f t="shared" si="16"/>
        <v>0.8</v>
      </c>
      <c r="Y62" s="109">
        <f>IF(AE62=1,IF(Y61=MiscData!$F$1,EOMONTH(Y61,-11),EOMONTH(Y61,1)),Y61)</f>
        <v>42400</v>
      </c>
      <c r="Z62" s="108" t="str">
        <f t="shared" si="28"/>
        <v>20140101LGUM_458</v>
      </c>
      <c r="AA62" s="126" t="str">
        <f t="shared" si="29"/>
        <v>20140101RLS</v>
      </c>
      <c r="AB62" s="583" t="str">
        <f t="shared" si="23"/>
        <v>458</v>
      </c>
      <c r="AD62" s="98">
        <f>MiscData!$X$5</f>
        <v>20140101</v>
      </c>
      <c r="AE62" s="98">
        <f>IF(AE61+1&gt;MiscData!$AC$77,1,AE61+1)</f>
        <v>59</v>
      </c>
      <c r="AF62" s="98" t="str">
        <f>VLOOKUP(AE62,MiscData!$AC$5:$AD$77,2,FALSE)</f>
        <v>LGUM_458</v>
      </c>
      <c r="AG62" s="98" t="str">
        <f>VLOOKUP(AF62,MiscData!$AD$5:$AE$77,2,FALSE)</f>
        <v>RLS</v>
      </c>
      <c r="AP62" s="98" t="s">
        <v>181</v>
      </c>
      <c r="AR62" s="98">
        <v>-81.06</v>
      </c>
    </row>
    <row r="63" spans="1:44">
      <c r="A63" s="108">
        <f t="shared" si="24"/>
        <v>60</v>
      </c>
      <c r="B63" s="109" t="str">
        <f t="shared" si="25"/>
        <v>Jan 2016</v>
      </c>
      <c r="C63" s="110" t="str">
        <f t="shared" si="26"/>
        <v xml:space="preserve">LS </v>
      </c>
      <c r="D63" s="110" t="str">
        <f t="shared" si="27"/>
        <v>LGUM_470</v>
      </c>
      <c r="E63" s="581">
        <f t="shared" si="3"/>
        <v>22</v>
      </c>
      <c r="F63" s="581">
        <f t="shared" si="4"/>
        <v>0</v>
      </c>
      <c r="G63" s="116">
        <f t="shared" si="5"/>
        <v>12.79</v>
      </c>
      <c r="H63" s="116">
        <f t="shared" si="6"/>
        <v>1.3699999999999992</v>
      </c>
      <c r="I63" s="118">
        <f t="shared" si="19"/>
        <v>281.38</v>
      </c>
      <c r="J63" s="118">
        <f t="shared" si="7"/>
        <v>281.38</v>
      </c>
      <c r="K63" s="570">
        <f t="shared" si="20"/>
        <v>0</v>
      </c>
      <c r="L63" s="121">
        <f t="shared" si="8"/>
        <v>0</v>
      </c>
      <c r="M63" s="122">
        <f t="shared" si="9"/>
        <v>0</v>
      </c>
      <c r="N63" s="122">
        <f t="shared" si="10"/>
        <v>0</v>
      </c>
      <c r="O63" s="122">
        <f t="shared" si="11"/>
        <v>0</v>
      </c>
      <c r="P63" s="122">
        <f t="shared" si="12"/>
        <v>0</v>
      </c>
      <c r="Q63" s="123">
        <f t="shared" si="13"/>
        <v>281.38</v>
      </c>
      <c r="R63" s="123">
        <f t="shared" si="21"/>
        <v>-281.38</v>
      </c>
      <c r="S63" s="582">
        <v>0</v>
      </c>
      <c r="T63" s="123">
        <f t="shared" si="22"/>
        <v>-281.38</v>
      </c>
      <c r="U63" s="25">
        <f t="shared" si="14"/>
        <v>30.14</v>
      </c>
      <c r="V63" s="123">
        <f t="shared" si="15"/>
        <v>-30.14</v>
      </c>
      <c r="W63" s="334">
        <f t="shared" si="16"/>
        <v>5.94</v>
      </c>
      <c r="Y63" s="109">
        <f>IF(AE63=1,IF(Y62=MiscData!$F$1,EOMONTH(Y62,-11),EOMONTH(Y62,1)),Y62)</f>
        <v>42400</v>
      </c>
      <c r="Z63" s="108" t="str">
        <f t="shared" si="28"/>
        <v>20140101LGUM_470</v>
      </c>
      <c r="AA63" s="126" t="str">
        <f t="shared" si="29"/>
        <v xml:space="preserve">20140101LS </v>
      </c>
      <c r="AB63" s="583" t="str">
        <f t="shared" si="23"/>
        <v>470</v>
      </c>
      <c r="AD63" s="98">
        <f>MiscData!$X$5</f>
        <v>20140101</v>
      </c>
      <c r="AE63" s="98">
        <f>IF(AE62+1&gt;MiscData!$AC$77,1,AE62+1)</f>
        <v>60</v>
      </c>
      <c r="AF63" s="98" t="str">
        <f>VLOOKUP(AE63,MiscData!$AC$5:$AD$77,2,FALSE)</f>
        <v>LGUM_470</v>
      </c>
      <c r="AG63" s="98" t="str">
        <f>VLOOKUP(AF63,MiscData!$AD$5:$AE$77,2,FALSE)</f>
        <v xml:space="preserve">LS </v>
      </c>
      <c r="AP63" s="98" t="s">
        <v>182</v>
      </c>
      <c r="AR63" s="98">
        <v>0</v>
      </c>
    </row>
    <row r="64" spans="1:44">
      <c r="A64" s="108">
        <f t="shared" si="24"/>
        <v>61</v>
      </c>
      <c r="B64" s="109" t="str">
        <f t="shared" si="25"/>
        <v>Jan 2016</v>
      </c>
      <c r="C64" s="110" t="str">
        <f t="shared" si="26"/>
        <v>RLS</v>
      </c>
      <c r="D64" s="110" t="str">
        <f t="shared" si="27"/>
        <v>LGUM_471</v>
      </c>
      <c r="E64" s="581">
        <f t="shared" si="3"/>
        <v>2</v>
      </c>
      <c r="F64" s="581">
        <f t="shared" si="4"/>
        <v>0</v>
      </c>
      <c r="G64" s="116">
        <f t="shared" si="5"/>
        <v>15.07</v>
      </c>
      <c r="H64" s="116">
        <f t="shared" si="6"/>
        <v>1.3699999999999992</v>
      </c>
      <c r="I64" s="118">
        <f t="shared" si="19"/>
        <v>30.14</v>
      </c>
      <c r="J64" s="118">
        <f t="shared" si="7"/>
        <v>30.14</v>
      </c>
      <c r="K64" s="570">
        <f t="shared" si="20"/>
        <v>0</v>
      </c>
      <c r="L64" s="121">
        <f t="shared" si="8"/>
        <v>0</v>
      </c>
      <c r="M64" s="122">
        <f t="shared" si="9"/>
        <v>0</v>
      </c>
      <c r="N64" s="122">
        <f t="shared" si="10"/>
        <v>0</v>
      </c>
      <c r="O64" s="122">
        <f t="shared" si="11"/>
        <v>0</v>
      </c>
      <c r="P64" s="122">
        <f t="shared" si="12"/>
        <v>0</v>
      </c>
      <c r="Q64" s="123">
        <f t="shared" si="13"/>
        <v>30.14</v>
      </c>
      <c r="R64" s="123">
        <f t="shared" si="21"/>
        <v>-30.14</v>
      </c>
      <c r="S64" s="582">
        <v>0</v>
      </c>
      <c r="T64" s="123">
        <f t="shared" si="22"/>
        <v>-30.14</v>
      </c>
      <c r="U64" s="25">
        <f t="shared" si="14"/>
        <v>2.74</v>
      </c>
      <c r="V64" s="123">
        <f t="shared" si="15"/>
        <v>-2.74</v>
      </c>
      <c r="W64" s="334">
        <f t="shared" si="16"/>
        <v>0.54</v>
      </c>
      <c r="Y64" s="109">
        <f>IF(AE64=1,IF(Y63=MiscData!$F$1,EOMONTH(Y63,-11),EOMONTH(Y63,1)),Y63)</f>
        <v>42400</v>
      </c>
      <c r="Z64" s="108" t="str">
        <f t="shared" si="28"/>
        <v>20140101LGUM_471</v>
      </c>
      <c r="AA64" s="126" t="str">
        <f t="shared" si="29"/>
        <v>20140101RLS</v>
      </c>
      <c r="AB64" s="583" t="str">
        <f t="shared" si="23"/>
        <v>471</v>
      </c>
      <c r="AD64" s="98">
        <f>MiscData!$X$5</f>
        <v>20140101</v>
      </c>
      <c r="AE64" s="98">
        <f>IF(AE63+1&gt;MiscData!$AC$77,1,AE63+1)</f>
        <v>61</v>
      </c>
      <c r="AF64" s="98" t="str">
        <f>VLOOKUP(AE64,MiscData!$AC$5:$AD$77,2,FALSE)</f>
        <v>LGUM_471</v>
      </c>
      <c r="AG64" s="98" t="str">
        <f>VLOOKUP(AF64,MiscData!$AD$5:$AE$77,2,FALSE)</f>
        <v>RLS</v>
      </c>
      <c r="AP64" s="98" t="s">
        <v>183</v>
      </c>
      <c r="AR64" s="98">
        <v>-157.97999999999999</v>
      </c>
    </row>
    <row r="65" spans="1:44">
      <c r="A65" s="108">
        <f t="shared" si="24"/>
        <v>62</v>
      </c>
      <c r="B65" s="109" t="str">
        <f t="shared" si="25"/>
        <v>Jan 2016</v>
      </c>
      <c r="C65" s="110" t="str">
        <f t="shared" si="26"/>
        <v xml:space="preserve">LS </v>
      </c>
      <c r="D65" s="110" t="str">
        <f t="shared" si="27"/>
        <v>LGUM_473</v>
      </c>
      <c r="E65" s="581">
        <f t="shared" si="3"/>
        <v>294</v>
      </c>
      <c r="F65" s="581">
        <f t="shared" si="4"/>
        <v>0</v>
      </c>
      <c r="G65" s="116">
        <f t="shared" si="5"/>
        <v>18.68</v>
      </c>
      <c r="H65" s="116">
        <f t="shared" si="6"/>
        <v>3.1799999999999979</v>
      </c>
      <c r="I65" s="118">
        <f t="shared" si="19"/>
        <v>5491.92</v>
      </c>
      <c r="J65" s="118">
        <f t="shared" si="7"/>
        <v>5491.92</v>
      </c>
      <c r="K65" s="570">
        <f t="shared" si="20"/>
        <v>0</v>
      </c>
      <c r="L65" s="121">
        <f t="shared" si="8"/>
        <v>0</v>
      </c>
      <c r="M65" s="122">
        <f t="shared" si="9"/>
        <v>0</v>
      </c>
      <c r="N65" s="122">
        <f t="shared" si="10"/>
        <v>0</v>
      </c>
      <c r="O65" s="122">
        <f t="shared" si="11"/>
        <v>0</v>
      </c>
      <c r="P65" s="122">
        <f t="shared" si="12"/>
        <v>0</v>
      </c>
      <c r="Q65" s="123">
        <f t="shared" si="13"/>
        <v>5491.92</v>
      </c>
      <c r="R65" s="123">
        <f t="shared" si="21"/>
        <v>-5491.92</v>
      </c>
      <c r="S65" s="582">
        <v>0</v>
      </c>
      <c r="T65" s="123">
        <f t="shared" si="22"/>
        <v>-5491.92</v>
      </c>
      <c r="U65" s="25">
        <f t="shared" si="14"/>
        <v>934.92</v>
      </c>
      <c r="V65" s="123">
        <f t="shared" si="15"/>
        <v>-934.92</v>
      </c>
      <c r="W65" s="334">
        <f t="shared" si="16"/>
        <v>88.2</v>
      </c>
      <c r="Y65" s="109">
        <f>IF(AE65=1,IF(Y64=MiscData!$F$1,EOMONTH(Y64,-11),EOMONTH(Y64,1)),Y64)</f>
        <v>42400</v>
      </c>
      <c r="Z65" s="108" t="str">
        <f t="shared" si="28"/>
        <v>20140101LGUM_473</v>
      </c>
      <c r="AA65" s="126" t="str">
        <f t="shared" si="29"/>
        <v xml:space="preserve">20140101LS </v>
      </c>
      <c r="AB65" s="583" t="str">
        <f t="shared" si="23"/>
        <v>473</v>
      </c>
      <c r="AD65" s="98">
        <f>MiscData!$X$5</f>
        <v>20140101</v>
      </c>
      <c r="AE65" s="98">
        <f>IF(AE64+1&gt;MiscData!$AC$77,1,AE64+1)</f>
        <v>62</v>
      </c>
      <c r="AF65" s="98" t="str">
        <f>VLOOKUP(AE65,MiscData!$AC$5:$AD$77,2,FALSE)</f>
        <v>LGUM_473</v>
      </c>
      <c r="AG65" s="98" t="str">
        <f>VLOOKUP(AF65,MiscData!$AD$5:$AE$77,2,FALSE)</f>
        <v xml:space="preserve">LS </v>
      </c>
      <c r="AP65" s="98" t="s">
        <v>184</v>
      </c>
      <c r="AR65" s="98">
        <v>-5.25</v>
      </c>
    </row>
    <row r="66" spans="1:44">
      <c r="A66" s="108">
        <f t="shared" si="24"/>
        <v>63</v>
      </c>
      <c r="B66" s="109" t="str">
        <f t="shared" si="25"/>
        <v>Jan 2016</v>
      </c>
      <c r="C66" s="110" t="str">
        <f t="shared" si="26"/>
        <v>RLS</v>
      </c>
      <c r="D66" s="110" t="str">
        <f t="shared" si="27"/>
        <v>LGUM_474</v>
      </c>
      <c r="E66" s="581">
        <f t="shared" si="3"/>
        <v>53</v>
      </c>
      <c r="F66" s="581">
        <f t="shared" si="4"/>
        <v>0</v>
      </c>
      <c r="G66" s="116">
        <f t="shared" si="5"/>
        <v>20.970000000000002</v>
      </c>
      <c r="H66" s="116">
        <f t="shared" si="6"/>
        <v>3.1799999999999997</v>
      </c>
      <c r="I66" s="118">
        <f t="shared" si="19"/>
        <v>1111.4100000000001</v>
      </c>
      <c r="J66" s="118">
        <f t="shared" si="7"/>
        <v>1111.4100000000001</v>
      </c>
      <c r="K66" s="570">
        <f t="shared" si="20"/>
        <v>0</v>
      </c>
      <c r="L66" s="121">
        <f t="shared" si="8"/>
        <v>0</v>
      </c>
      <c r="M66" s="122">
        <f t="shared" si="9"/>
        <v>0</v>
      </c>
      <c r="N66" s="122">
        <f t="shared" si="10"/>
        <v>0</v>
      </c>
      <c r="O66" s="122">
        <f t="shared" si="11"/>
        <v>0</v>
      </c>
      <c r="P66" s="122">
        <f t="shared" si="12"/>
        <v>0</v>
      </c>
      <c r="Q66" s="123">
        <f t="shared" si="13"/>
        <v>1111.4100000000001</v>
      </c>
      <c r="R66" s="123">
        <f t="shared" si="21"/>
        <v>-1111.4100000000001</v>
      </c>
      <c r="S66" s="582">
        <v>0</v>
      </c>
      <c r="T66" s="123">
        <f t="shared" si="22"/>
        <v>-1111.4100000000001</v>
      </c>
      <c r="U66" s="25">
        <f t="shared" si="14"/>
        <v>168.54</v>
      </c>
      <c r="V66" s="123">
        <f t="shared" si="15"/>
        <v>-168.54</v>
      </c>
      <c r="W66" s="334">
        <f t="shared" si="16"/>
        <v>15.899999999999999</v>
      </c>
      <c r="Y66" s="109">
        <f>IF(AE66=1,IF(Y65=MiscData!$F$1,EOMONTH(Y65,-11),EOMONTH(Y65,1)),Y65)</f>
        <v>42400</v>
      </c>
      <c r="Z66" s="108" t="str">
        <f t="shared" si="28"/>
        <v>20140101LGUM_474</v>
      </c>
      <c r="AA66" s="126" t="str">
        <f t="shared" si="29"/>
        <v>20140101RLS</v>
      </c>
      <c r="AB66" s="583" t="str">
        <f t="shared" si="23"/>
        <v>474</v>
      </c>
      <c r="AD66" s="98">
        <f>MiscData!$X$5</f>
        <v>20140101</v>
      </c>
      <c r="AE66" s="98">
        <f>IF(AE65+1&gt;MiscData!$AC$77,1,AE65+1)</f>
        <v>63</v>
      </c>
      <c r="AF66" s="98" t="str">
        <f>VLOOKUP(AE66,MiscData!$AC$5:$AD$77,2,FALSE)</f>
        <v>LGUM_474</v>
      </c>
      <c r="AG66" s="98" t="str">
        <f>VLOOKUP(AF66,MiscData!$AD$5:$AE$77,2,FALSE)</f>
        <v>RLS</v>
      </c>
      <c r="AP66" s="98" t="s">
        <v>185</v>
      </c>
      <c r="AR66" s="98">
        <v>0</v>
      </c>
    </row>
    <row r="67" spans="1:44">
      <c r="A67" s="108">
        <f t="shared" si="24"/>
        <v>64</v>
      </c>
      <c r="B67" s="109" t="str">
        <f t="shared" si="25"/>
        <v>Jan 2016</v>
      </c>
      <c r="C67" s="110" t="str">
        <f t="shared" si="26"/>
        <v>RLS</v>
      </c>
      <c r="D67" s="110" t="str">
        <f t="shared" si="27"/>
        <v>LGUM_475</v>
      </c>
      <c r="E67" s="581">
        <f t="shared" si="3"/>
        <v>2</v>
      </c>
      <c r="F67" s="581">
        <f t="shared" si="4"/>
        <v>0</v>
      </c>
      <c r="G67" s="116">
        <f t="shared" si="5"/>
        <v>28.42</v>
      </c>
      <c r="H67" s="116">
        <f t="shared" si="6"/>
        <v>3.1800000000000033</v>
      </c>
      <c r="I67" s="118">
        <f t="shared" si="19"/>
        <v>56.84</v>
      </c>
      <c r="J67" s="118">
        <f t="shared" si="7"/>
        <v>56.84</v>
      </c>
      <c r="K67" s="570">
        <f t="shared" si="20"/>
        <v>0</v>
      </c>
      <c r="L67" s="121">
        <f t="shared" si="8"/>
        <v>0</v>
      </c>
      <c r="M67" s="122">
        <f t="shared" si="9"/>
        <v>0</v>
      </c>
      <c r="N67" s="122">
        <f t="shared" si="10"/>
        <v>0</v>
      </c>
      <c r="O67" s="122">
        <f t="shared" si="11"/>
        <v>0</v>
      </c>
      <c r="P67" s="122">
        <f t="shared" si="12"/>
        <v>0</v>
      </c>
      <c r="Q67" s="123">
        <f t="shared" si="13"/>
        <v>56.84</v>
      </c>
      <c r="R67" s="123">
        <f t="shared" si="21"/>
        <v>-56.84</v>
      </c>
      <c r="S67" s="582">
        <v>0</v>
      </c>
      <c r="T67" s="123">
        <f t="shared" si="22"/>
        <v>-56.84</v>
      </c>
      <c r="U67" s="25">
        <f t="shared" si="14"/>
        <v>6.36</v>
      </c>
      <c r="V67" s="123">
        <f t="shared" si="15"/>
        <v>-6.36</v>
      </c>
      <c r="W67" s="334">
        <f t="shared" si="16"/>
        <v>0.6</v>
      </c>
      <c r="Y67" s="109">
        <f>IF(AE67=1,IF(Y66=MiscData!$F$1,EOMONTH(Y66,-11),EOMONTH(Y66,1)),Y66)</f>
        <v>42400</v>
      </c>
      <c r="Z67" s="108" t="str">
        <f t="shared" si="28"/>
        <v>20140101LGUM_475</v>
      </c>
      <c r="AA67" s="126" t="str">
        <f t="shared" si="29"/>
        <v>20140101RLS</v>
      </c>
      <c r="AB67" s="583" t="str">
        <f t="shared" si="23"/>
        <v>475</v>
      </c>
      <c r="AD67" s="98">
        <f>MiscData!$X$5</f>
        <v>20140101</v>
      </c>
      <c r="AE67" s="98">
        <f>IF(AE66+1&gt;MiscData!$AC$77,1,AE66+1)</f>
        <v>64</v>
      </c>
      <c r="AF67" s="98" t="str">
        <f>VLOOKUP(AE67,MiscData!$AC$5:$AD$77,2,FALSE)</f>
        <v>LGUM_475</v>
      </c>
      <c r="AG67" s="98" t="str">
        <f>VLOOKUP(AF67,MiscData!$AD$5:$AE$77,2,FALSE)</f>
        <v>RLS</v>
      </c>
      <c r="AP67" s="98" t="s">
        <v>186</v>
      </c>
      <c r="AR67" s="98">
        <v>0</v>
      </c>
    </row>
    <row r="68" spans="1:44">
      <c r="A68" s="108">
        <f t="shared" si="24"/>
        <v>65</v>
      </c>
      <c r="B68" s="109" t="str">
        <f t="shared" si="25"/>
        <v>Jan 2016</v>
      </c>
      <c r="C68" s="110" t="str">
        <f t="shared" si="26"/>
        <v xml:space="preserve">LS </v>
      </c>
      <c r="D68" s="110" t="str">
        <f t="shared" si="27"/>
        <v>LGUM_476</v>
      </c>
      <c r="E68" s="581">
        <f t="shared" ref="E68:E131" si="30">SUMIFS(L_1055_Count_Total,L_1055_Revenue_Month,$B68,L_1055_RateCategory,$D68)</f>
        <v>363</v>
      </c>
      <c r="F68" s="581">
        <f t="shared" ref="F68:F131" si="31">SUMIFS(L_SBR_KWH,L_SBR_Rate_Category,$D68,L_SBR_Revenue_Month,$B68)</f>
        <v>0</v>
      </c>
      <c r="G68" s="116">
        <f t="shared" ref="G68:G131" si="32">SUMIF(L_LightingRates_Tariff_Rate_Category,$Z68,L_LightingRates_UnitCharge)</f>
        <v>39.6</v>
      </c>
      <c r="H68" s="116">
        <f t="shared" ref="H68:H131" si="33">SUMIF(L_LightingRates_Tariff_Rate_Category,$Z68,L_LightingRates_FAC_Rate)</f>
        <v>9.8100000000000023</v>
      </c>
      <c r="I68" s="118">
        <f t="shared" si="19"/>
        <v>14374.8</v>
      </c>
      <c r="J68" s="118">
        <f t="shared" ref="J68:J131" si="34">SUM(I68:I68)</f>
        <v>14374.8</v>
      </c>
      <c r="K68" s="570">
        <f t="shared" si="20"/>
        <v>0</v>
      </c>
      <c r="L68" s="121">
        <f t="shared" ref="L68:L131" si="35">IF(AND(J68=0,K68=0),1,IF(J68=0,0,K68/J68))</f>
        <v>0</v>
      </c>
      <c r="M68" s="122">
        <f t="shared" ref="M68:M131" si="36">SUMIFS(L_SBR_FAC,L_SBR_Revenue_Month,$B68,L_SBR_Rate_Category,$D68)</f>
        <v>0</v>
      </c>
      <c r="N68" s="122">
        <f t="shared" ref="N68:N131" si="37">SUMIFS(L_SBR_ECR,L_SBR_Revenue_Month,$B68,L_SBR_Rate_Category,$D68)</f>
        <v>0</v>
      </c>
      <c r="O68" s="122">
        <f t="shared" ref="O68:O131" si="38">SUMIFS(L_SBR_MSR,L_SBR_Revenue_Month,$B68,L_SBR_Rate_Category,$D68)</f>
        <v>0</v>
      </c>
      <c r="P68" s="122">
        <f t="shared" ref="P68:P131" si="39">SUMIFS(L_SBR_Revenue_Total,L_SBR_Revenue_Month,$B68,L_SBR_Rate_Category,$D68)</f>
        <v>0</v>
      </c>
      <c r="Q68" s="123">
        <f t="shared" ref="Q68:Q131" si="40">SUM(J68,M68:O68)</f>
        <v>14374.8</v>
      </c>
      <c r="R68" s="123">
        <f t="shared" si="21"/>
        <v>-14374.8</v>
      </c>
      <c r="S68" s="582">
        <v>0</v>
      </c>
      <c r="T68" s="123">
        <f t="shared" si="22"/>
        <v>-14374.8</v>
      </c>
      <c r="U68" s="25">
        <f t="shared" ref="U68:U131" si="41">ROUND(E68*H68,2)</f>
        <v>3561.03</v>
      </c>
      <c r="V68" s="123">
        <f t="shared" ref="V68:V131" si="42">K68-U68</f>
        <v>-3561.03</v>
      </c>
      <c r="W68" s="334">
        <f t="shared" ref="W68:W131" si="43">SUMIF(L_LightingRates_Tariff_Rate_Category,$Z68,L_LightingRates_ECR_Rate)*E68</f>
        <v>221.43</v>
      </c>
      <c r="Y68" s="109">
        <f>IF(AE68=1,IF(Y67=MiscData!$F$1,EOMONTH(Y67,-11),EOMONTH(Y67,1)),Y67)</f>
        <v>42400</v>
      </c>
      <c r="Z68" s="108" t="str">
        <f t="shared" si="28"/>
        <v>20140101LGUM_476</v>
      </c>
      <c r="AA68" s="126" t="str">
        <f t="shared" si="29"/>
        <v xml:space="preserve">20140101LS </v>
      </c>
      <c r="AB68" s="583" t="str">
        <f t="shared" si="23"/>
        <v>476</v>
      </c>
      <c r="AD68" s="98">
        <f>MiscData!$X$5</f>
        <v>20140101</v>
      </c>
      <c r="AE68" s="98">
        <f>IF(AE67+1&gt;MiscData!$AC$77,1,AE67+1)</f>
        <v>65</v>
      </c>
      <c r="AF68" s="98" t="str">
        <f>VLOOKUP(AE68,MiscData!$AC$5:$AD$77,2,FALSE)</f>
        <v>LGUM_476</v>
      </c>
      <c r="AG68" s="98" t="str">
        <f>VLOOKUP(AF68,MiscData!$AD$5:$AE$77,2,FALSE)</f>
        <v xml:space="preserve">LS </v>
      </c>
      <c r="AP68" s="98" t="s">
        <v>483</v>
      </c>
      <c r="AR68" s="98">
        <v>0</v>
      </c>
    </row>
    <row r="69" spans="1:44">
      <c r="A69" s="108">
        <f t="shared" si="24"/>
        <v>66</v>
      </c>
      <c r="B69" s="109" t="str">
        <f t="shared" si="25"/>
        <v>Jan 2016</v>
      </c>
      <c r="C69" s="110" t="str">
        <f t="shared" si="26"/>
        <v>RLS</v>
      </c>
      <c r="D69" s="110" t="str">
        <f t="shared" si="27"/>
        <v>LGUM_477</v>
      </c>
      <c r="E69" s="581">
        <f t="shared" si="30"/>
        <v>60</v>
      </c>
      <c r="F69" s="581">
        <f t="shared" si="31"/>
        <v>0</v>
      </c>
      <c r="G69" s="116">
        <f t="shared" si="32"/>
        <v>42.78</v>
      </c>
      <c r="H69" s="116">
        <f t="shared" si="33"/>
        <v>9.8100000000000023</v>
      </c>
      <c r="I69" s="118">
        <f t="shared" ref="I69:I132" si="44">ROUND($E69*$G69,2)</f>
        <v>2566.8000000000002</v>
      </c>
      <c r="J69" s="118">
        <f t="shared" si="34"/>
        <v>2566.8000000000002</v>
      </c>
      <c r="K69" s="570">
        <f t="shared" ref="K69:K132" si="45">P69-SUM(M69:O69)</f>
        <v>0</v>
      </c>
      <c r="L69" s="121">
        <f t="shared" si="35"/>
        <v>0</v>
      </c>
      <c r="M69" s="122">
        <f t="shared" si="36"/>
        <v>0</v>
      </c>
      <c r="N69" s="122">
        <f t="shared" si="37"/>
        <v>0</v>
      </c>
      <c r="O69" s="122">
        <f t="shared" si="38"/>
        <v>0</v>
      </c>
      <c r="P69" s="122">
        <f t="shared" si="39"/>
        <v>0</v>
      </c>
      <c r="Q69" s="123">
        <f t="shared" si="40"/>
        <v>2566.8000000000002</v>
      </c>
      <c r="R69" s="123">
        <f t="shared" ref="R69:R132" si="46">ROUND(P69-Q69,2)</f>
        <v>-2566.8000000000002</v>
      </c>
      <c r="S69" s="582">
        <v>0</v>
      </c>
      <c r="T69" s="123">
        <f t="shared" ref="T69:T132" si="47">R69-S69</f>
        <v>-2566.8000000000002</v>
      </c>
      <c r="U69" s="25">
        <f t="shared" si="41"/>
        <v>588.6</v>
      </c>
      <c r="V69" s="123">
        <f t="shared" si="42"/>
        <v>-588.6</v>
      </c>
      <c r="W69" s="334">
        <f t="shared" si="43"/>
        <v>36.6</v>
      </c>
      <c r="Y69" s="109">
        <f>IF(AE69=1,IF(Y68=MiscData!$F$1,EOMONTH(Y68,-11),EOMONTH(Y68,1)),Y68)</f>
        <v>42400</v>
      </c>
      <c r="Z69" s="108" t="str">
        <f t="shared" si="28"/>
        <v>20140101LGUM_477</v>
      </c>
      <c r="AA69" s="126" t="str">
        <f t="shared" si="29"/>
        <v>20140101RLS</v>
      </c>
      <c r="AB69" s="583" t="str">
        <f t="shared" ref="AB69:AB132" si="48">RIGHT(AF69,3)</f>
        <v>477</v>
      </c>
      <c r="AD69" s="98">
        <f>MiscData!$X$5</f>
        <v>20140101</v>
      </c>
      <c r="AE69" s="98">
        <f>IF(AE68+1&gt;MiscData!$AC$77,1,AE68+1)</f>
        <v>66</v>
      </c>
      <c r="AF69" s="98" t="str">
        <f>VLOOKUP(AE69,MiscData!$AC$5:$AD$77,2,FALSE)</f>
        <v>LGUM_477</v>
      </c>
      <c r="AG69" s="98" t="str">
        <f>VLOOKUP(AF69,MiscData!$AD$5:$AE$77,2,FALSE)</f>
        <v>RLS</v>
      </c>
      <c r="AP69" s="98" t="s">
        <v>487</v>
      </c>
      <c r="AR69" s="98">
        <v>0</v>
      </c>
    </row>
    <row r="70" spans="1:44">
      <c r="A70" s="108">
        <f t="shared" ref="A70:A133" si="49">A69+1</f>
        <v>67</v>
      </c>
      <c r="B70" s="109" t="str">
        <f t="shared" si="25"/>
        <v>Jan 2016</v>
      </c>
      <c r="C70" s="110" t="str">
        <f t="shared" si="26"/>
        <v xml:space="preserve">LS </v>
      </c>
      <c r="D70" s="110" t="str">
        <f t="shared" si="27"/>
        <v>LGUM_479</v>
      </c>
      <c r="E70" s="581">
        <f t="shared" si="30"/>
        <v>0</v>
      </c>
      <c r="F70" s="581">
        <f t="shared" si="31"/>
        <v>0</v>
      </c>
      <c r="G70" s="116">
        <f t="shared" si="32"/>
        <v>14.06</v>
      </c>
      <c r="H70" s="116">
        <f t="shared" si="33"/>
        <v>1.370000000000001</v>
      </c>
      <c r="I70" s="118">
        <f t="shared" si="44"/>
        <v>0</v>
      </c>
      <c r="J70" s="118">
        <f t="shared" si="34"/>
        <v>0</v>
      </c>
      <c r="K70" s="570">
        <f t="shared" si="45"/>
        <v>0</v>
      </c>
      <c r="L70" s="121">
        <f t="shared" si="35"/>
        <v>1</v>
      </c>
      <c r="M70" s="122">
        <f t="shared" si="36"/>
        <v>0</v>
      </c>
      <c r="N70" s="122">
        <f t="shared" si="37"/>
        <v>0</v>
      </c>
      <c r="O70" s="122">
        <f t="shared" si="38"/>
        <v>0</v>
      </c>
      <c r="P70" s="122">
        <f t="shared" si="39"/>
        <v>0</v>
      </c>
      <c r="Q70" s="123">
        <f t="shared" si="40"/>
        <v>0</v>
      </c>
      <c r="R70" s="123">
        <f t="shared" si="46"/>
        <v>0</v>
      </c>
      <c r="S70" s="582">
        <v>0</v>
      </c>
      <c r="T70" s="123">
        <f t="shared" si="47"/>
        <v>0</v>
      </c>
      <c r="U70" s="25">
        <f t="shared" si="41"/>
        <v>0</v>
      </c>
      <c r="V70" s="123">
        <f t="shared" si="42"/>
        <v>0</v>
      </c>
      <c r="W70" s="334">
        <f t="shared" si="43"/>
        <v>0</v>
      </c>
      <c r="Y70" s="109">
        <f>IF(AE70=1,IF(Y69=MiscData!$F$1,EOMONTH(Y69,-11),EOMONTH(Y69,1)),Y69)</f>
        <v>42400</v>
      </c>
      <c r="Z70" s="108" t="str">
        <f t="shared" si="28"/>
        <v>20140101LGUM_479</v>
      </c>
      <c r="AA70" s="126" t="str">
        <f t="shared" si="29"/>
        <v xml:space="preserve">20140101LS </v>
      </c>
      <c r="AB70" s="583" t="str">
        <f t="shared" si="48"/>
        <v>479</v>
      </c>
      <c r="AD70" s="98">
        <f>MiscData!$X$5</f>
        <v>20140101</v>
      </c>
      <c r="AE70" s="98">
        <f>IF(AE69+1&gt;MiscData!$AC$77,1,AE69+1)</f>
        <v>67</v>
      </c>
      <c r="AF70" s="98" t="str">
        <f>VLOOKUP(AE70,MiscData!$AC$5:$AD$77,2,FALSE)</f>
        <v>LGUM_479</v>
      </c>
      <c r="AG70" s="98" t="str">
        <f>VLOOKUP(AF70,MiscData!$AD$5:$AE$77,2,FALSE)</f>
        <v xml:space="preserve">LS </v>
      </c>
      <c r="AP70" s="98" t="s">
        <v>187</v>
      </c>
      <c r="AR70" s="98">
        <v>0</v>
      </c>
    </row>
    <row r="71" spans="1:44">
      <c r="A71" s="108">
        <f t="shared" si="49"/>
        <v>68</v>
      </c>
      <c r="B71" s="109" t="str">
        <f t="shared" si="25"/>
        <v>Jan 2016</v>
      </c>
      <c r="C71" s="110" t="str">
        <f t="shared" si="26"/>
        <v xml:space="preserve">LS </v>
      </c>
      <c r="D71" s="110" t="str">
        <f t="shared" si="27"/>
        <v>LGUM_480</v>
      </c>
      <c r="E71" s="581">
        <f t="shared" si="30"/>
        <v>18</v>
      </c>
      <c r="F71" s="581">
        <f t="shared" si="31"/>
        <v>0</v>
      </c>
      <c r="G71" s="116">
        <f t="shared" si="32"/>
        <v>23.83</v>
      </c>
      <c r="H71" s="116">
        <f t="shared" si="33"/>
        <v>1.370000000000001</v>
      </c>
      <c r="I71" s="118">
        <f t="shared" si="44"/>
        <v>428.94</v>
      </c>
      <c r="J71" s="118">
        <f t="shared" si="34"/>
        <v>428.94</v>
      </c>
      <c r="K71" s="570">
        <f t="shared" si="45"/>
        <v>0</v>
      </c>
      <c r="L71" s="121">
        <f t="shared" si="35"/>
        <v>0</v>
      </c>
      <c r="M71" s="122">
        <f t="shared" si="36"/>
        <v>0</v>
      </c>
      <c r="N71" s="122">
        <f t="shared" si="37"/>
        <v>0</v>
      </c>
      <c r="O71" s="122">
        <f t="shared" si="38"/>
        <v>0</v>
      </c>
      <c r="P71" s="122">
        <f t="shared" si="39"/>
        <v>0</v>
      </c>
      <c r="Q71" s="123">
        <f t="shared" si="40"/>
        <v>428.94</v>
      </c>
      <c r="R71" s="123">
        <f t="shared" si="46"/>
        <v>-428.94</v>
      </c>
      <c r="S71" s="582">
        <v>0</v>
      </c>
      <c r="T71" s="123">
        <f t="shared" si="47"/>
        <v>-428.94</v>
      </c>
      <c r="U71" s="25">
        <f t="shared" si="41"/>
        <v>24.66</v>
      </c>
      <c r="V71" s="123">
        <f t="shared" si="42"/>
        <v>-24.66</v>
      </c>
      <c r="W71" s="334">
        <f t="shared" si="43"/>
        <v>4.8600000000000003</v>
      </c>
      <c r="Y71" s="109">
        <f>IF(AE71=1,IF(Y70=MiscData!$F$1,EOMONTH(Y70,-11),EOMONTH(Y70,1)),Y70)</f>
        <v>42400</v>
      </c>
      <c r="Z71" s="108" t="str">
        <f t="shared" si="28"/>
        <v>20140101LGUM_480</v>
      </c>
      <c r="AA71" s="126" t="str">
        <f t="shared" si="29"/>
        <v xml:space="preserve">20140101LS </v>
      </c>
      <c r="AB71" s="583" t="str">
        <f t="shared" si="48"/>
        <v>480</v>
      </c>
      <c r="AD71" s="98">
        <f>MiscData!$X$5</f>
        <v>20140101</v>
      </c>
      <c r="AE71" s="98">
        <f>IF(AE70+1&gt;MiscData!$AC$77,1,AE70+1)</f>
        <v>68</v>
      </c>
      <c r="AF71" s="98" t="str">
        <f>VLOOKUP(AE71,MiscData!$AC$5:$AD$77,2,FALSE)</f>
        <v>LGUM_480</v>
      </c>
      <c r="AG71" s="98" t="str">
        <f>VLOOKUP(AF71,MiscData!$AD$5:$AE$77,2,FALSE)</f>
        <v xml:space="preserve">LS </v>
      </c>
      <c r="AP71" s="98" t="s">
        <v>188</v>
      </c>
      <c r="AR71" s="98">
        <v>7.57</v>
      </c>
    </row>
    <row r="72" spans="1:44">
      <c r="A72" s="108">
        <f t="shared" si="49"/>
        <v>69</v>
      </c>
      <c r="B72" s="109" t="str">
        <f t="shared" si="25"/>
        <v>Jan 2016</v>
      </c>
      <c r="C72" s="110" t="str">
        <f t="shared" si="26"/>
        <v xml:space="preserve">LS </v>
      </c>
      <c r="D72" s="110" t="str">
        <f t="shared" si="27"/>
        <v>LGUM_481</v>
      </c>
      <c r="E72" s="581">
        <f t="shared" si="30"/>
        <v>4</v>
      </c>
      <c r="F72" s="581">
        <f t="shared" si="31"/>
        <v>0</v>
      </c>
      <c r="G72" s="116">
        <f t="shared" si="32"/>
        <v>20.46</v>
      </c>
      <c r="H72" s="116">
        <f t="shared" si="33"/>
        <v>3.1800000000000033</v>
      </c>
      <c r="I72" s="118">
        <f t="shared" si="44"/>
        <v>81.84</v>
      </c>
      <c r="J72" s="118">
        <f t="shared" si="34"/>
        <v>81.84</v>
      </c>
      <c r="K72" s="570">
        <f t="shared" si="45"/>
        <v>0</v>
      </c>
      <c r="L72" s="121">
        <f t="shared" si="35"/>
        <v>0</v>
      </c>
      <c r="M72" s="122">
        <f t="shared" si="36"/>
        <v>0</v>
      </c>
      <c r="N72" s="122">
        <f t="shared" si="37"/>
        <v>0</v>
      </c>
      <c r="O72" s="122">
        <f t="shared" si="38"/>
        <v>0</v>
      </c>
      <c r="P72" s="122">
        <f t="shared" si="39"/>
        <v>0</v>
      </c>
      <c r="Q72" s="123">
        <f t="shared" si="40"/>
        <v>81.84</v>
      </c>
      <c r="R72" s="123">
        <f t="shared" si="46"/>
        <v>-81.84</v>
      </c>
      <c r="S72" s="582">
        <v>0</v>
      </c>
      <c r="T72" s="123">
        <f t="shared" si="47"/>
        <v>-81.84</v>
      </c>
      <c r="U72" s="25">
        <f t="shared" si="41"/>
        <v>12.72</v>
      </c>
      <c r="V72" s="123">
        <f t="shared" si="42"/>
        <v>-12.72</v>
      </c>
      <c r="W72" s="334">
        <f t="shared" si="43"/>
        <v>1.2</v>
      </c>
      <c r="Y72" s="109">
        <f>IF(AE72=1,IF(Y71=MiscData!$F$1,EOMONTH(Y71,-11),EOMONTH(Y71,1)),Y71)</f>
        <v>42400</v>
      </c>
      <c r="Z72" s="108" t="str">
        <f t="shared" si="28"/>
        <v>20140101LGUM_481</v>
      </c>
      <c r="AA72" s="126" t="str">
        <f t="shared" si="29"/>
        <v xml:space="preserve">20140101LS </v>
      </c>
      <c r="AB72" s="583" t="str">
        <f t="shared" si="48"/>
        <v>481</v>
      </c>
      <c r="AD72" s="98">
        <f>MiscData!$X$5</f>
        <v>20140101</v>
      </c>
      <c r="AE72" s="98">
        <f>IF(AE71+1&gt;MiscData!$AC$77,1,AE71+1)</f>
        <v>69</v>
      </c>
      <c r="AF72" s="98" t="str">
        <f>VLOOKUP(AE72,MiscData!$AC$5:$AD$77,2,FALSE)</f>
        <v>LGUM_481</v>
      </c>
      <c r="AG72" s="98" t="str">
        <f>VLOOKUP(AF72,MiscData!$AD$5:$AE$77,2,FALSE)</f>
        <v xml:space="preserve">LS </v>
      </c>
      <c r="AP72" s="98" t="s">
        <v>189</v>
      </c>
      <c r="AR72" s="98">
        <v>0</v>
      </c>
    </row>
    <row r="73" spans="1:44">
      <c r="A73" s="108">
        <f t="shared" si="49"/>
        <v>70</v>
      </c>
      <c r="B73" s="109" t="str">
        <f t="shared" si="25"/>
        <v>Jan 2016</v>
      </c>
      <c r="C73" s="110" t="str">
        <f t="shared" si="26"/>
        <v xml:space="preserve">LS </v>
      </c>
      <c r="D73" s="110" t="str">
        <f t="shared" si="27"/>
        <v>LGUM_482</v>
      </c>
      <c r="E73" s="581">
        <f t="shared" si="30"/>
        <v>39</v>
      </c>
      <c r="F73" s="581">
        <f t="shared" si="31"/>
        <v>0</v>
      </c>
      <c r="G73" s="116">
        <f t="shared" si="32"/>
        <v>30.21</v>
      </c>
      <c r="H73" s="116">
        <f t="shared" si="33"/>
        <v>3.1800000000000033</v>
      </c>
      <c r="I73" s="118">
        <f t="shared" si="44"/>
        <v>1178.19</v>
      </c>
      <c r="J73" s="118">
        <f t="shared" si="34"/>
        <v>1178.19</v>
      </c>
      <c r="K73" s="570">
        <f t="shared" si="45"/>
        <v>0</v>
      </c>
      <c r="L73" s="121">
        <f t="shared" si="35"/>
        <v>0</v>
      </c>
      <c r="M73" s="122">
        <f t="shared" si="36"/>
        <v>0</v>
      </c>
      <c r="N73" s="122">
        <f t="shared" si="37"/>
        <v>0</v>
      </c>
      <c r="O73" s="122">
        <f t="shared" si="38"/>
        <v>0</v>
      </c>
      <c r="P73" s="122">
        <f t="shared" si="39"/>
        <v>0</v>
      </c>
      <c r="Q73" s="123">
        <f t="shared" si="40"/>
        <v>1178.19</v>
      </c>
      <c r="R73" s="123">
        <f t="shared" si="46"/>
        <v>-1178.19</v>
      </c>
      <c r="S73" s="582">
        <v>0</v>
      </c>
      <c r="T73" s="123">
        <f t="shared" si="47"/>
        <v>-1178.19</v>
      </c>
      <c r="U73" s="25">
        <f t="shared" si="41"/>
        <v>124.02</v>
      </c>
      <c r="V73" s="123">
        <f t="shared" si="42"/>
        <v>-124.02</v>
      </c>
      <c r="W73" s="334">
        <f t="shared" si="43"/>
        <v>11.7</v>
      </c>
      <c r="Y73" s="109">
        <f>IF(AE73=1,IF(Y72=MiscData!$F$1,EOMONTH(Y72,-11),EOMONTH(Y72,1)),Y72)</f>
        <v>42400</v>
      </c>
      <c r="Z73" s="108" t="str">
        <f t="shared" si="28"/>
        <v>20140101LGUM_482</v>
      </c>
      <c r="AA73" s="126" t="str">
        <f t="shared" si="29"/>
        <v xml:space="preserve">20140101LS </v>
      </c>
      <c r="AB73" s="583" t="str">
        <f t="shared" si="48"/>
        <v>482</v>
      </c>
      <c r="AD73" s="98">
        <f>MiscData!$X$5</f>
        <v>20140101</v>
      </c>
      <c r="AE73" s="98">
        <f>IF(AE72+1&gt;MiscData!$AC$77,1,AE72+1)</f>
        <v>70</v>
      </c>
      <c r="AF73" s="98" t="str">
        <f>VLOOKUP(AE73,MiscData!$AC$5:$AD$77,2,FALSE)</f>
        <v>LGUM_482</v>
      </c>
      <c r="AG73" s="98" t="str">
        <f>VLOOKUP(AF73,MiscData!$AD$5:$AE$77,2,FALSE)</f>
        <v xml:space="preserve">LS </v>
      </c>
      <c r="AP73" s="98" t="s">
        <v>190</v>
      </c>
      <c r="AR73" s="98">
        <v>113.01</v>
      </c>
    </row>
    <row r="74" spans="1:44">
      <c r="A74" s="108">
        <f t="shared" si="49"/>
        <v>71</v>
      </c>
      <c r="B74" s="109" t="str">
        <f t="shared" si="25"/>
        <v>Jan 2016</v>
      </c>
      <c r="C74" s="110" t="str">
        <f t="shared" si="26"/>
        <v xml:space="preserve">LS </v>
      </c>
      <c r="D74" s="110" t="str">
        <f t="shared" si="27"/>
        <v>LGUM_483</v>
      </c>
      <c r="E74" s="581">
        <f t="shared" si="30"/>
        <v>2</v>
      </c>
      <c r="F74" s="581">
        <f t="shared" si="31"/>
        <v>0</v>
      </c>
      <c r="G74" s="116">
        <f t="shared" si="32"/>
        <v>42.56</v>
      </c>
      <c r="H74" s="116">
        <f t="shared" si="33"/>
        <v>9.8100000000000023</v>
      </c>
      <c r="I74" s="118">
        <f t="shared" si="44"/>
        <v>85.12</v>
      </c>
      <c r="J74" s="118">
        <f t="shared" si="34"/>
        <v>85.12</v>
      </c>
      <c r="K74" s="570">
        <f t="shared" si="45"/>
        <v>0</v>
      </c>
      <c r="L74" s="121">
        <f t="shared" si="35"/>
        <v>0</v>
      </c>
      <c r="M74" s="122">
        <f t="shared" si="36"/>
        <v>0</v>
      </c>
      <c r="N74" s="122">
        <f t="shared" si="37"/>
        <v>0</v>
      </c>
      <c r="O74" s="122">
        <f t="shared" si="38"/>
        <v>0</v>
      </c>
      <c r="P74" s="122">
        <f t="shared" si="39"/>
        <v>0</v>
      </c>
      <c r="Q74" s="123">
        <f t="shared" si="40"/>
        <v>85.12</v>
      </c>
      <c r="R74" s="123">
        <f t="shared" si="46"/>
        <v>-85.12</v>
      </c>
      <c r="S74" s="582">
        <v>0</v>
      </c>
      <c r="T74" s="123">
        <f t="shared" si="47"/>
        <v>-85.12</v>
      </c>
      <c r="U74" s="25">
        <f t="shared" si="41"/>
        <v>19.62</v>
      </c>
      <c r="V74" s="123">
        <f t="shared" si="42"/>
        <v>-19.62</v>
      </c>
      <c r="W74" s="334">
        <f t="shared" si="43"/>
        <v>1.22</v>
      </c>
      <c r="Y74" s="109">
        <f>IF(AE74=1,IF(Y73=MiscData!$F$1,EOMONTH(Y73,-11),EOMONTH(Y73,1)),Y73)</f>
        <v>42400</v>
      </c>
      <c r="Z74" s="108" t="str">
        <f t="shared" si="28"/>
        <v>20140101LGUM_483</v>
      </c>
      <c r="AA74" s="126" t="str">
        <f t="shared" si="29"/>
        <v xml:space="preserve">20140101LS </v>
      </c>
      <c r="AB74" s="583" t="str">
        <f t="shared" si="48"/>
        <v>483</v>
      </c>
      <c r="AD74" s="98">
        <f>MiscData!$X$5</f>
        <v>20140101</v>
      </c>
      <c r="AE74" s="98">
        <f>IF(AE73+1&gt;MiscData!$AC$77,1,AE73+1)</f>
        <v>71</v>
      </c>
      <c r="AF74" s="98" t="str">
        <f>VLOOKUP(AE74,MiscData!$AC$5:$AD$77,2,FALSE)</f>
        <v>LGUM_483</v>
      </c>
      <c r="AG74" s="98" t="str">
        <f>VLOOKUP(AF74,MiscData!$AD$5:$AE$77,2,FALSE)</f>
        <v xml:space="preserve">LS </v>
      </c>
      <c r="AP74" s="98" t="s">
        <v>497</v>
      </c>
      <c r="AR74" s="98">
        <v>0</v>
      </c>
    </row>
    <row r="75" spans="1:44">
      <c r="A75" s="108">
        <f t="shared" si="49"/>
        <v>72</v>
      </c>
      <c r="B75" s="109" t="str">
        <f t="shared" si="25"/>
        <v>Jan 2016</v>
      </c>
      <c r="C75" s="110" t="str">
        <f t="shared" si="26"/>
        <v xml:space="preserve">LS </v>
      </c>
      <c r="D75" s="110" t="str">
        <f t="shared" si="27"/>
        <v>LGUM_484</v>
      </c>
      <c r="E75" s="581">
        <f t="shared" si="30"/>
        <v>13</v>
      </c>
      <c r="F75" s="581">
        <f t="shared" si="31"/>
        <v>0</v>
      </c>
      <c r="G75" s="116">
        <f t="shared" si="32"/>
        <v>52.31</v>
      </c>
      <c r="H75" s="116">
        <f t="shared" si="33"/>
        <v>9.8100000000000023</v>
      </c>
      <c r="I75" s="118">
        <f t="shared" si="44"/>
        <v>680.03</v>
      </c>
      <c r="J75" s="118">
        <f t="shared" si="34"/>
        <v>680.03</v>
      </c>
      <c r="K75" s="570">
        <f t="shared" si="45"/>
        <v>0</v>
      </c>
      <c r="L75" s="121">
        <f t="shared" si="35"/>
        <v>0</v>
      </c>
      <c r="M75" s="122">
        <f t="shared" si="36"/>
        <v>0</v>
      </c>
      <c r="N75" s="122">
        <f t="shared" si="37"/>
        <v>0</v>
      </c>
      <c r="O75" s="122">
        <f t="shared" si="38"/>
        <v>0</v>
      </c>
      <c r="P75" s="122">
        <f t="shared" si="39"/>
        <v>0</v>
      </c>
      <c r="Q75" s="123">
        <f t="shared" si="40"/>
        <v>680.03</v>
      </c>
      <c r="R75" s="123">
        <f t="shared" si="46"/>
        <v>-680.03</v>
      </c>
      <c r="S75" s="582">
        <v>0</v>
      </c>
      <c r="T75" s="123">
        <f t="shared" si="47"/>
        <v>-680.03</v>
      </c>
      <c r="U75" s="25">
        <f t="shared" si="41"/>
        <v>127.53</v>
      </c>
      <c r="V75" s="123">
        <f t="shared" si="42"/>
        <v>-127.53</v>
      </c>
      <c r="W75" s="334">
        <f t="shared" si="43"/>
        <v>7.93</v>
      </c>
      <c r="Y75" s="109">
        <f>IF(AE75=1,IF(Y74=MiscData!$F$1,EOMONTH(Y74,-11),EOMONTH(Y74,1)),Y74)</f>
        <v>42400</v>
      </c>
      <c r="Z75" s="108" t="str">
        <f t="shared" si="28"/>
        <v>20140101LGUM_484</v>
      </c>
      <c r="AA75" s="126" t="str">
        <f t="shared" si="29"/>
        <v xml:space="preserve">20140101LS </v>
      </c>
      <c r="AB75" s="583" t="str">
        <f t="shared" si="48"/>
        <v>484</v>
      </c>
      <c r="AD75" s="98">
        <f>MiscData!$X$5</f>
        <v>20140101</v>
      </c>
      <c r="AE75" s="98">
        <f>IF(AE74+1&gt;MiscData!$AC$77,1,AE74+1)</f>
        <v>72</v>
      </c>
      <c r="AF75" s="98" t="str">
        <f>VLOOKUP(AE75,MiscData!$AC$5:$AD$77,2,FALSE)</f>
        <v>LGUM_484</v>
      </c>
      <c r="AG75" s="98" t="str">
        <f>VLOOKUP(AF75,MiscData!$AD$5:$AE$77,2,FALSE)</f>
        <v xml:space="preserve">LS </v>
      </c>
      <c r="AP75" s="98" t="s">
        <v>191</v>
      </c>
      <c r="AR75" s="98">
        <v>0</v>
      </c>
    </row>
    <row r="76" spans="1:44">
      <c r="A76" s="108">
        <f t="shared" si="49"/>
        <v>73</v>
      </c>
      <c r="B76" s="109" t="str">
        <f t="shared" si="25"/>
        <v>Jan 2016</v>
      </c>
      <c r="C76" s="110" t="str">
        <f t="shared" si="26"/>
        <v>ODL</v>
      </c>
      <c r="D76" s="110" t="str">
        <f t="shared" si="27"/>
        <v>ODL</v>
      </c>
      <c r="E76" s="581">
        <f t="shared" si="30"/>
        <v>0</v>
      </c>
      <c r="F76" s="581">
        <f t="shared" si="31"/>
        <v>16278824</v>
      </c>
      <c r="G76" s="116">
        <f t="shared" si="32"/>
        <v>0</v>
      </c>
      <c r="H76" s="116">
        <f t="shared" si="33"/>
        <v>0</v>
      </c>
      <c r="I76" s="118">
        <f t="shared" si="44"/>
        <v>0</v>
      </c>
      <c r="J76" s="118">
        <f t="shared" si="34"/>
        <v>0</v>
      </c>
      <c r="K76" s="570">
        <f t="shared" si="45"/>
        <v>1560295</v>
      </c>
      <c r="L76" s="121">
        <f t="shared" si="35"/>
        <v>0</v>
      </c>
      <c r="M76" s="122">
        <f t="shared" si="36"/>
        <v>-41465</v>
      </c>
      <c r="N76" s="122">
        <f t="shared" si="37"/>
        <v>146115</v>
      </c>
      <c r="O76" s="122">
        <f t="shared" si="38"/>
        <v>0</v>
      </c>
      <c r="P76" s="122">
        <f t="shared" si="39"/>
        <v>1664945</v>
      </c>
      <c r="Q76" s="123">
        <f t="shared" si="40"/>
        <v>104650</v>
      </c>
      <c r="R76" s="123">
        <f t="shared" si="46"/>
        <v>1560295</v>
      </c>
      <c r="S76" s="582">
        <v>0</v>
      </c>
      <c r="T76" s="123">
        <f t="shared" si="47"/>
        <v>1560295</v>
      </c>
      <c r="U76" s="25">
        <f t="shared" si="41"/>
        <v>0</v>
      </c>
      <c r="V76" s="123">
        <f t="shared" si="42"/>
        <v>1560295</v>
      </c>
      <c r="W76" s="334">
        <f t="shared" si="43"/>
        <v>0</v>
      </c>
      <c r="Y76" s="109">
        <f>IF(AE76=1,IF(Y75=MiscData!$F$1,EOMONTH(Y75,-11),EOMONTH(Y75,1)),Y75)</f>
        <v>42400</v>
      </c>
      <c r="Z76" s="108" t="str">
        <f t="shared" si="28"/>
        <v>20140101ODL</v>
      </c>
      <c r="AA76" s="126" t="str">
        <f t="shared" si="29"/>
        <v>20140101ODL</v>
      </c>
      <c r="AB76" s="583" t="str">
        <f t="shared" si="48"/>
        <v>ODL</v>
      </c>
      <c r="AD76" s="98">
        <f>MiscData!$X$5</f>
        <v>20140101</v>
      </c>
      <c r="AE76" s="98">
        <f>IF(AE75+1&gt;MiscData!$AC$77,1,AE75+1)</f>
        <v>73</v>
      </c>
      <c r="AF76" s="98" t="str">
        <f>VLOOKUP(AE76,MiscData!$AC$5:$AD$77,2,FALSE)</f>
        <v>ODL</v>
      </c>
      <c r="AG76" s="98" t="str">
        <f>VLOOKUP(AF76,MiscData!$AD$5:$AE$77,2,FALSE)</f>
        <v>ODL</v>
      </c>
      <c r="AP76" s="98" t="s">
        <v>192</v>
      </c>
      <c r="AR76" s="98">
        <v>0</v>
      </c>
    </row>
    <row r="77" spans="1:44">
      <c r="A77" s="108">
        <f t="shared" si="49"/>
        <v>74</v>
      </c>
      <c r="B77" s="109" t="str">
        <f t="shared" si="25"/>
        <v>Feb 2016</v>
      </c>
      <c r="C77" s="110" t="str">
        <f t="shared" si="26"/>
        <v>RLS</v>
      </c>
      <c r="D77" s="110" t="str">
        <f t="shared" si="27"/>
        <v>LGUM_201</v>
      </c>
      <c r="E77" s="581">
        <f t="shared" si="30"/>
        <v>79</v>
      </c>
      <c r="F77" s="581">
        <f t="shared" si="31"/>
        <v>0</v>
      </c>
      <c r="G77" s="116">
        <f t="shared" si="32"/>
        <v>8.14</v>
      </c>
      <c r="H77" s="116">
        <f t="shared" si="33"/>
        <v>1.0899999999999999</v>
      </c>
      <c r="I77" s="118">
        <f t="shared" si="44"/>
        <v>643.05999999999995</v>
      </c>
      <c r="J77" s="118">
        <f t="shared" si="34"/>
        <v>643.05999999999995</v>
      </c>
      <c r="K77" s="570">
        <f t="shared" si="45"/>
        <v>0</v>
      </c>
      <c r="L77" s="121">
        <f t="shared" si="35"/>
        <v>0</v>
      </c>
      <c r="M77" s="122">
        <f t="shared" si="36"/>
        <v>0</v>
      </c>
      <c r="N77" s="122">
        <f t="shared" si="37"/>
        <v>0</v>
      </c>
      <c r="O77" s="122">
        <f t="shared" si="38"/>
        <v>0</v>
      </c>
      <c r="P77" s="122">
        <f t="shared" si="39"/>
        <v>0</v>
      </c>
      <c r="Q77" s="123">
        <f t="shared" si="40"/>
        <v>643.05999999999995</v>
      </c>
      <c r="R77" s="123">
        <f t="shared" si="46"/>
        <v>-643.05999999999995</v>
      </c>
      <c r="S77" s="582">
        <v>0</v>
      </c>
      <c r="T77" s="123">
        <f t="shared" si="47"/>
        <v>-643.05999999999995</v>
      </c>
      <c r="U77" s="25">
        <f t="shared" si="41"/>
        <v>86.11</v>
      </c>
      <c r="V77" s="123">
        <f t="shared" si="42"/>
        <v>-86.11</v>
      </c>
      <c r="W77" s="334">
        <f t="shared" si="43"/>
        <v>12.64</v>
      </c>
      <c r="Y77" s="109">
        <f>IF(AE77=1,IF(Y76=MiscData!$F$1,EOMONTH(Y76,-11),EOMONTH(Y76,1)),Y76)</f>
        <v>42429</v>
      </c>
      <c r="Z77" s="108" t="str">
        <f t="shared" si="28"/>
        <v>20140101LGUM_201</v>
      </c>
      <c r="AA77" s="126" t="str">
        <f t="shared" si="29"/>
        <v>20140101RLS</v>
      </c>
      <c r="AB77" s="583" t="str">
        <f t="shared" si="48"/>
        <v>201</v>
      </c>
      <c r="AD77" s="98">
        <f>MiscData!$X$5</f>
        <v>20140101</v>
      </c>
      <c r="AE77" s="98">
        <f>IF(AE76+1&gt;MiscData!$AC$77,1,AE76+1)</f>
        <v>1</v>
      </c>
      <c r="AF77" s="98" t="str">
        <f>VLOOKUP(AE77,MiscData!$AC$5:$AD$77,2,FALSE)</f>
        <v>LGUM_201</v>
      </c>
      <c r="AG77" s="98" t="str">
        <f>VLOOKUP(AF77,MiscData!$AD$5:$AE$77,2,FALSE)</f>
        <v>RLS</v>
      </c>
      <c r="AP77" s="98" t="s">
        <v>193</v>
      </c>
      <c r="AR77" s="98">
        <v>0</v>
      </c>
    </row>
    <row r="78" spans="1:44">
      <c r="A78" s="108">
        <f t="shared" si="49"/>
        <v>75</v>
      </c>
      <c r="B78" s="109" t="str">
        <f t="shared" si="25"/>
        <v>Feb 2016</v>
      </c>
      <c r="C78" s="110" t="str">
        <f t="shared" si="26"/>
        <v>RLS</v>
      </c>
      <c r="D78" s="110" t="str">
        <f t="shared" si="27"/>
        <v>LGUM_203</v>
      </c>
      <c r="E78" s="581">
        <f t="shared" si="30"/>
        <v>3863</v>
      </c>
      <c r="F78" s="581">
        <f t="shared" si="31"/>
        <v>0</v>
      </c>
      <c r="G78" s="116">
        <f t="shared" si="32"/>
        <v>10.959999999999999</v>
      </c>
      <c r="H78" s="116">
        <f t="shared" si="33"/>
        <v>2.7099999999999991</v>
      </c>
      <c r="I78" s="118">
        <f t="shared" si="44"/>
        <v>42338.48</v>
      </c>
      <c r="J78" s="118">
        <f t="shared" si="34"/>
        <v>42338.48</v>
      </c>
      <c r="K78" s="570">
        <f t="shared" si="45"/>
        <v>0</v>
      </c>
      <c r="L78" s="121">
        <f t="shared" si="35"/>
        <v>0</v>
      </c>
      <c r="M78" s="122">
        <f t="shared" si="36"/>
        <v>0</v>
      </c>
      <c r="N78" s="122">
        <f t="shared" si="37"/>
        <v>0</v>
      </c>
      <c r="O78" s="122">
        <f t="shared" si="38"/>
        <v>0</v>
      </c>
      <c r="P78" s="122">
        <f t="shared" si="39"/>
        <v>0</v>
      </c>
      <c r="Q78" s="123">
        <f t="shared" si="40"/>
        <v>42338.48</v>
      </c>
      <c r="R78" s="123">
        <f t="shared" si="46"/>
        <v>-42338.48</v>
      </c>
      <c r="S78" s="582">
        <v>0</v>
      </c>
      <c r="T78" s="123">
        <f t="shared" si="47"/>
        <v>-42338.48</v>
      </c>
      <c r="U78" s="25">
        <f t="shared" si="41"/>
        <v>10468.73</v>
      </c>
      <c r="V78" s="123">
        <f t="shared" si="42"/>
        <v>-10468.73</v>
      </c>
      <c r="W78" s="334">
        <f t="shared" si="43"/>
        <v>695.33999999999992</v>
      </c>
      <c r="Y78" s="109">
        <f>IF(AE78=1,IF(Y77=MiscData!$F$1,EOMONTH(Y77,-11),EOMONTH(Y77,1)),Y77)</f>
        <v>42429</v>
      </c>
      <c r="Z78" s="108" t="str">
        <f t="shared" si="28"/>
        <v>20140101LGUM_203</v>
      </c>
      <c r="AA78" s="126" t="str">
        <f t="shared" si="29"/>
        <v>20140101RLS</v>
      </c>
      <c r="AB78" s="583" t="str">
        <f t="shared" si="48"/>
        <v>203</v>
      </c>
      <c r="AD78" s="98">
        <f>MiscData!$X$5</f>
        <v>20140101</v>
      </c>
      <c r="AE78" s="98">
        <f>IF(AE77+1&gt;MiscData!$AC$77,1,AE77+1)</f>
        <v>2</v>
      </c>
      <c r="AF78" s="98" t="str">
        <f>VLOOKUP(AE78,MiscData!$AC$5:$AD$77,2,FALSE)</f>
        <v>LGUM_203</v>
      </c>
      <c r="AG78" s="98" t="str">
        <f>VLOOKUP(AF78,MiscData!$AD$5:$AE$77,2,FALSE)</f>
        <v>RLS</v>
      </c>
      <c r="AP78" s="98" t="s">
        <v>194</v>
      </c>
      <c r="AR78" s="98">
        <v>-38.409999999999997</v>
      </c>
    </row>
    <row r="79" spans="1:44">
      <c r="A79" s="108">
        <f t="shared" si="49"/>
        <v>76</v>
      </c>
      <c r="B79" s="109" t="str">
        <f t="shared" si="25"/>
        <v>Feb 2016</v>
      </c>
      <c r="C79" s="110" t="str">
        <f t="shared" si="26"/>
        <v>RLS</v>
      </c>
      <c r="D79" s="110" t="str">
        <f t="shared" si="27"/>
        <v>LGUM_204</v>
      </c>
      <c r="E79" s="581">
        <f t="shared" si="30"/>
        <v>3839</v>
      </c>
      <c r="F79" s="581">
        <f t="shared" si="31"/>
        <v>0</v>
      </c>
      <c r="G79" s="116">
        <f t="shared" si="32"/>
        <v>13.510000000000002</v>
      </c>
      <c r="H79" s="116">
        <f t="shared" si="33"/>
        <v>4.2000000000000011</v>
      </c>
      <c r="I79" s="118">
        <f t="shared" si="44"/>
        <v>51864.89</v>
      </c>
      <c r="J79" s="118">
        <f t="shared" si="34"/>
        <v>51864.89</v>
      </c>
      <c r="K79" s="570">
        <f t="shared" si="45"/>
        <v>0</v>
      </c>
      <c r="L79" s="121">
        <f t="shared" si="35"/>
        <v>0</v>
      </c>
      <c r="M79" s="122">
        <f t="shared" si="36"/>
        <v>0</v>
      </c>
      <c r="N79" s="122">
        <f t="shared" si="37"/>
        <v>0</v>
      </c>
      <c r="O79" s="122">
        <f t="shared" si="38"/>
        <v>0</v>
      </c>
      <c r="P79" s="122">
        <f t="shared" si="39"/>
        <v>0</v>
      </c>
      <c r="Q79" s="123">
        <f t="shared" si="40"/>
        <v>51864.89</v>
      </c>
      <c r="R79" s="123">
        <f t="shared" si="46"/>
        <v>-51864.89</v>
      </c>
      <c r="S79" s="582">
        <v>0</v>
      </c>
      <c r="T79" s="123">
        <f t="shared" si="47"/>
        <v>-51864.89</v>
      </c>
      <c r="U79" s="25">
        <f t="shared" si="41"/>
        <v>16123.8</v>
      </c>
      <c r="V79" s="123">
        <f t="shared" si="42"/>
        <v>-16123.8</v>
      </c>
      <c r="W79" s="334">
        <f t="shared" si="43"/>
        <v>844.58</v>
      </c>
      <c r="Y79" s="109">
        <f>IF(AE79=1,IF(Y78=MiscData!$F$1,EOMONTH(Y78,-11),EOMONTH(Y78,1)),Y78)</f>
        <v>42429</v>
      </c>
      <c r="Z79" s="108" t="str">
        <f t="shared" si="28"/>
        <v>20140101LGUM_204</v>
      </c>
      <c r="AA79" s="126" t="str">
        <f t="shared" si="29"/>
        <v>20140101RLS</v>
      </c>
      <c r="AB79" s="583" t="str">
        <f t="shared" si="48"/>
        <v>204</v>
      </c>
      <c r="AD79" s="98">
        <f>MiscData!$X$5</f>
        <v>20140101</v>
      </c>
      <c r="AE79" s="98">
        <f>IF(AE78+1&gt;MiscData!$AC$77,1,AE78+1)</f>
        <v>3</v>
      </c>
      <c r="AF79" s="98" t="str">
        <f>VLOOKUP(AE79,MiscData!$AC$5:$AD$77,2,FALSE)</f>
        <v>LGUM_204</v>
      </c>
      <c r="AG79" s="98" t="str">
        <f>VLOOKUP(AF79,MiscData!$AD$5:$AE$77,2,FALSE)</f>
        <v>RLS</v>
      </c>
      <c r="AP79" s="98" t="s">
        <v>195</v>
      </c>
      <c r="AR79" s="98">
        <v>-25.57</v>
      </c>
    </row>
    <row r="80" spans="1:44">
      <c r="A80" s="108">
        <f t="shared" si="49"/>
        <v>77</v>
      </c>
      <c r="B80" s="109" t="str">
        <f t="shared" si="25"/>
        <v>Feb 2016</v>
      </c>
      <c r="C80" s="110" t="str">
        <f t="shared" si="26"/>
        <v>RLS</v>
      </c>
      <c r="D80" s="110" t="str">
        <f t="shared" si="27"/>
        <v>LGUM_206</v>
      </c>
      <c r="E80" s="581">
        <f t="shared" si="30"/>
        <v>98</v>
      </c>
      <c r="F80" s="581">
        <f t="shared" si="31"/>
        <v>0</v>
      </c>
      <c r="G80" s="116">
        <f t="shared" si="32"/>
        <v>12.450000000000001</v>
      </c>
      <c r="H80" s="116">
        <f t="shared" si="33"/>
        <v>1.0899999999999999</v>
      </c>
      <c r="I80" s="118">
        <f t="shared" si="44"/>
        <v>1220.0999999999999</v>
      </c>
      <c r="J80" s="118">
        <f t="shared" si="34"/>
        <v>1220.0999999999999</v>
      </c>
      <c r="K80" s="570">
        <f t="shared" si="45"/>
        <v>0</v>
      </c>
      <c r="L80" s="121">
        <f t="shared" si="35"/>
        <v>0</v>
      </c>
      <c r="M80" s="122">
        <f t="shared" si="36"/>
        <v>0</v>
      </c>
      <c r="N80" s="122">
        <f t="shared" si="37"/>
        <v>0</v>
      </c>
      <c r="O80" s="122">
        <f t="shared" si="38"/>
        <v>0</v>
      </c>
      <c r="P80" s="122">
        <f t="shared" si="39"/>
        <v>0</v>
      </c>
      <c r="Q80" s="123">
        <f t="shared" si="40"/>
        <v>1220.0999999999999</v>
      </c>
      <c r="R80" s="123">
        <f t="shared" si="46"/>
        <v>-1220.0999999999999</v>
      </c>
      <c r="S80" s="582">
        <v>0</v>
      </c>
      <c r="T80" s="123">
        <f t="shared" si="47"/>
        <v>-1220.0999999999999</v>
      </c>
      <c r="U80" s="25">
        <f t="shared" si="41"/>
        <v>106.82</v>
      </c>
      <c r="V80" s="123">
        <f t="shared" si="42"/>
        <v>-106.82</v>
      </c>
      <c r="W80" s="334">
        <f t="shared" si="43"/>
        <v>15.68</v>
      </c>
      <c r="Y80" s="109">
        <f>IF(AE80=1,IF(Y79=MiscData!$F$1,EOMONTH(Y79,-11),EOMONTH(Y79,1)),Y79)</f>
        <v>42429</v>
      </c>
      <c r="Z80" s="108" t="str">
        <f t="shared" si="28"/>
        <v>20140101LGUM_206</v>
      </c>
      <c r="AA80" s="126" t="str">
        <f t="shared" si="29"/>
        <v>20140101RLS</v>
      </c>
      <c r="AB80" s="583" t="str">
        <f t="shared" si="48"/>
        <v>206</v>
      </c>
      <c r="AD80" s="98">
        <f>MiscData!$X$5</f>
        <v>20140101</v>
      </c>
      <c r="AE80" s="98">
        <f>IF(AE79+1&gt;MiscData!$AC$77,1,AE79+1)</f>
        <v>4</v>
      </c>
      <c r="AF80" s="98" t="str">
        <f>VLOOKUP(AE80,MiscData!$AC$5:$AD$77,2,FALSE)</f>
        <v>LGUM_206</v>
      </c>
      <c r="AG80" s="98" t="str">
        <f>VLOOKUP(AF80,MiscData!$AD$5:$AE$77,2,FALSE)</f>
        <v>RLS</v>
      </c>
      <c r="AP80" s="98" t="s">
        <v>196</v>
      </c>
      <c r="AR80" s="98">
        <v>-7.52</v>
      </c>
    </row>
    <row r="81" spans="1:44">
      <c r="A81" s="108">
        <f t="shared" si="49"/>
        <v>78</v>
      </c>
      <c r="B81" s="109" t="str">
        <f t="shared" si="25"/>
        <v>Feb 2016</v>
      </c>
      <c r="C81" s="110" t="str">
        <f t="shared" si="26"/>
        <v>RLS</v>
      </c>
      <c r="D81" s="110" t="str">
        <f t="shared" si="27"/>
        <v>LGUM_207</v>
      </c>
      <c r="E81" s="581">
        <f t="shared" si="30"/>
        <v>754</v>
      </c>
      <c r="F81" s="581">
        <f t="shared" si="31"/>
        <v>0</v>
      </c>
      <c r="G81" s="116">
        <f t="shared" si="32"/>
        <v>15.54</v>
      </c>
      <c r="H81" s="116">
        <f t="shared" si="33"/>
        <v>4.2000000000000011</v>
      </c>
      <c r="I81" s="118">
        <f t="shared" si="44"/>
        <v>11717.16</v>
      </c>
      <c r="J81" s="118">
        <f t="shared" si="34"/>
        <v>11717.16</v>
      </c>
      <c r="K81" s="570">
        <f t="shared" si="45"/>
        <v>0</v>
      </c>
      <c r="L81" s="121">
        <f t="shared" si="35"/>
        <v>0</v>
      </c>
      <c r="M81" s="122">
        <f t="shared" si="36"/>
        <v>0</v>
      </c>
      <c r="N81" s="122">
        <f t="shared" si="37"/>
        <v>0</v>
      </c>
      <c r="O81" s="122">
        <f t="shared" si="38"/>
        <v>0</v>
      </c>
      <c r="P81" s="122">
        <f t="shared" si="39"/>
        <v>0</v>
      </c>
      <c r="Q81" s="123">
        <f t="shared" si="40"/>
        <v>11717.16</v>
      </c>
      <c r="R81" s="123">
        <f t="shared" si="46"/>
        <v>-11717.16</v>
      </c>
      <c r="S81" s="582">
        <v>0</v>
      </c>
      <c r="T81" s="123">
        <f t="shared" si="47"/>
        <v>-11717.16</v>
      </c>
      <c r="U81" s="25">
        <f t="shared" si="41"/>
        <v>3166.8</v>
      </c>
      <c r="V81" s="123">
        <f t="shared" si="42"/>
        <v>-3166.8</v>
      </c>
      <c r="W81" s="334">
        <f t="shared" si="43"/>
        <v>165.88</v>
      </c>
      <c r="Y81" s="109">
        <f>IF(AE81=1,IF(Y80=MiscData!$F$1,EOMONTH(Y80,-11),EOMONTH(Y80,1)),Y80)</f>
        <v>42429</v>
      </c>
      <c r="Z81" s="108" t="str">
        <f t="shared" si="28"/>
        <v>20140101LGUM_207</v>
      </c>
      <c r="AA81" s="126" t="str">
        <f t="shared" si="29"/>
        <v>20140101RLS</v>
      </c>
      <c r="AB81" s="583" t="str">
        <f t="shared" si="48"/>
        <v>207</v>
      </c>
      <c r="AD81" s="98">
        <f>MiscData!$X$5</f>
        <v>20140101</v>
      </c>
      <c r="AE81" s="98">
        <f>IF(AE80+1&gt;MiscData!$AC$77,1,AE80+1)</f>
        <v>5</v>
      </c>
      <c r="AF81" s="98" t="str">
        <f>VLOOKUP(AE81,MiscData!$AC$5:$AD$77,2,FALSE)</f>
        <v>LGUM_207</v>
      </c>
      <c r="AG81" s="98" t="str">
        <f>VLOOKUP(AF81,MiscData!$AD$5:$AE$77,2,FALSE)</f>
        <v>RLS</v>
      </c>
      <c r="AP81" s="98" t="s">
        <v>197</v>
      </c>
      <c r="AR81" s="98">
        <v>-421.74</v>
      </c>
    </row>
    <row r="82" spans="1:44">
      <c r="A82" s="108">
        <f t="shared" si="49"/>
        <v>79</v>
      </c>
      <c r="B82" s="109" t="str">
        <f t="shared" si="25"/>
        <v>Feb 2016</v>
      </c>
      <c r="C82" s="110" t="str">
        <f t="shared" si="26"/>
        <v>RLS</v>
      </c>
      <c r="D82" s="110" t="str">
        <f t="shared" si="27"/>
        <v>LGUM_208</v>
      </c>
      <c r="E82" s="581">
        <f t="shared" si="30"/>
        <v>1413</v>
      </c>
      <c r="F82" s="581">
        <f t="shared" si="31"/>
        <v>0</v>
      </c>
      <c r="G82" s="116">
        <f t="shared" si="32"/>
        <v>14.24</v>
      </c>
      <c r="H82" s="116">
        <f t="shared" si="33"/>
        <v>1.9100000000000001</v>
      </c>
      <c r="I82" s="118">
        <f t="shared" si="44"/>
        <v>20121.12</v>
      </c>
      <c r="J82" s="118">
        <f t="shared" si="34"/>
        <v>20121.12</v>
      </c>
      <c r="K82" s="570">
        <f t="shared" si="45"/>
        <v>0</v>
      </c>
      <c r="L82" s="121">
        <f t="shared" si="35"/>
        <v>0</v>
      </c>
      <c r="M82" s="122">
        <f t="shared" si="36"/>
        <v>0</v>
      </c>
      <c r="N82" s="122">
        <f t="shared" si="37"/>
        <v>0</v>
      </c>
      <c r="O82" s="122">
        <f t="shared" si="38"/>
        <v>0</v>
      </c>
      <c r="P82" s="122">
        <f t="shared" si="39"/>
        <v>0</v>
      </c>
      <c r="Q82" s="123">
        <f t="shared" si="40"/>
        <v>20121.12</v>
      </c>
      <c r="R82" s="123">
        <f t="shared" si="46"/>
        <v>-20121.12</v>
      </c>
      <c r="S82" s="582">
        <v>0</v>
      </c>
      <c r="T82" s="123">
        <f t="shared" si="47"/>
        <v>-20121.12</v>
      </c>
      <c r="U82" s="25">
        <f t="shared" si="41"/>
        <v>2698.83</v>
      </c>
      <c r="V82" s="123">
        <f t="shared" si="42"/>
        <v>-2698.83</v>
      </c>
      <c r="W82" s="334">
        <f t="shared" si="43"/>
        <v>226.08</v>
      </c>
      <c r="Y82" s="109">
        <f>IF(AE82=1,IF(Y81=MiscData!$F$1,EOMONTH(Y81,-11),EOMONTH(Y81,1)),Y81)</f>
        <v>42429</v>
      </c>
      <c r="Z82" s="108" t="str">
        <f t="shared" si="28"/>
        <v>20140101LGUM_208</v>
      </c>
      <c r="AA82" s="126" t="str">
        <f t="shared" si="29"/>
        <v>20140101RLS</v>
      </c>
      <c r="AB82" s="583" t="str">
        <f t="shared" si="48"/>
        <v>208</v>
      </c>
      <c r="AD82" s="98">
        <f>MiscData!$X$5</f>
        <v>20140101</v>
      </c>
      <c r="AE82" s="98">
        <f>IF(AE81+1&gt;MiscData!$AC$77,1,AE81+1)</f>
        <v>6</v>
      </c>
      <c r="AF82" s="98" t="str">
        <f>VLOOKUP(AE82,MiscData!$AC$5:$AD$77,2,FALSE)</f>
        <v>LGUM_208</v>
      </c>
      <c r="AG82" s="98" t="str">
        <f>VLOOKUP(AF82,MiscData!$AD$5:$AE$77,2,FALSE)</f>
        <v>RLS</v>
      </c>
      <c r="AP82" s="98" t="s">
        <v>198</v>
      </c>
      <c r="AR82" s="98">
        <v>0</v>
      </c>
    </row>
    <row r="83" spans="1:44">
      <c r="A83" s="108">
        <f t="shared" si="49"/>
        <v>80</v>
      </c>
      <c r="B83" s="109" t="str">
        <f t="shared" si="25"/>
        <v>Feb 2016</v>
      </c>
      <c r="C83" s="110" t="str">
        <f t="shared" si="26"/>
        <v>RLS</v>
      </c>
      <c r="D83" s="110" t="str">
        <f t="shared" si="27"/>
        <v>LGUM_209</v>
      </c>
      <c r="E83" s="581">
        <f t="shared" si="30"/>
        <v>45</v>
      </c>
      <c r="F83" s="581">
        <f t="shared" si="31"/>
        <v>0</v>
      </c>
      <c r="G83" s="116">
        <f t="shared" si="32"/>
        <v>27.69</v>
      </c>
      <c r="H83" s="116">
        <f t="shared" si="33"/>
        <v>10.170000000000002</v>
      </c>
      <c r="I83" s="118">
        <f t="shared" si="44"/>
        <v>1246.05</v>
      </c>
      <c r="J83" s="118">
        <f t="shared" si="34"/>
        <v>1246.05</v>
      </c>
      <c r="K83" s="570">
        <f t="shared" si="45"/>
        <v>0</v>
      </c>
      <c r="L83" s="121">
        <f t="shared" si="35"/>
        <v>0</v>
      </c>
      <c r="M83" s="122">
        <f t="shared" si="36"/>
        <v>0</v>
      </c>
      <c r="N83" s="122">
        <f t="shared" si="37"/>
        <v>0</v>
      </c>
      <c r="O83" s="122">
        <f t="shared" si="38"/>
        <v>0</v>
      </c>
      <c r="P83" s="122">
        <f t="shared" si="39"/>
        <v>0</v>
      </c>
      <c r="Q83" s="123">
        <f t="shared" si="40"/>
        <v>1246.05</v>
      </c>
      <c r="R83" s="123">
        <f t="shared" si="46"/>
        <v>-1246.05</v>
      </c>
      <c r="S83" s="582">
        <v>0</v>
      </c>
      <c r="T83" s="123">
        <f t="shared" si="47"/>
        <v>-1246.05</v>
      </c>
      <c r="U83" s="25">
        <f t="shared" si="41"/>
        <v>457.65</v>
      </c>
      <c r="V83" s="123">
        <f t="shared" si="42"/>
        <v>-457.65</v>
      </c>
      <c r="W83" s="334">
        <f t="shared" si="43"/>
        <v>18.45</v>
      </c>
      <c r="Y83" s="109">
        <f>IF(AE83=1,IF(Y82=MiscData!$F$1,EOMONTH(Y82,-11),EOMONTH(Y82,1)),Y82)</f>
        <v>42429</v>
      </c>
      <c r="Z83" s="108" t="str">
        <f t="shared" si="28"/>
        <v>20140101LGUM_209</v>
      </c>
      <c r="AA83" s="126" t="str">
        <f t="shared" si="29"/>
        <v>20140101RLS</v>
      </c>
      <c r="AB83" s="583" t="str">
        <f t="shared" si="48"/>
        <v>209</v>
      </c>
      <c r="AD83" s="98">
        <f>MiscData!$X$5</f>
        <v>20140101</v>
      </c>
      <c r="AE83" s="98">
        <f>IF(AE82+1&gt;MiscData!$AC$77,1,AE82+1)</f>
        <v>7</v>
      </c>
      <c r="AF83" s="98" t="str">
        <f>VLOOKUP(AE83,MiscData!$AC$5:$AD$77,2,FALSE)</f>
        <v>LGUM_209</v>
      </c>
      <c r="AG83" s="98" t="str">
        <f>VLOOKUP(AF83,MiscData!$AD$5:$AE$77,2,FALSE)</f>
        <v>RLS</v>
      </c>
      <c r="AP83" s="98" t="s">
        <v>199</v>
      </c>
      <c r="AR83" s="98">
        <v>-382</v>
      </c>
    </row>
    <row r="84" spans="1:44">
      <c r="A84" s="108">
        <f t="shared" si="49"/>
        <v>81</v>
      </c>
      <c r="B84" s="109" t="str">
        <f t="shared" si="25"/>
        <v>Feb 2016</v>
      </c>
      <c r="C84" s="110" t="str">
        <f t="shared" si="26"/>
        <v>RLS</v>
      </c>
      <c r="D84" s="110" t="str">
        <f t="shared" si="27"/>
        <v>LGUM_210</v>
      </c>
      <c r="E84" s="581">
        <f t="shared" si="30"/>
        <v>356</v>
      </c>
      <c r="F84" s="581">
        <f t="shared" si="31"/>
        <v>0</v>
      </c>
      <c r="G84" s="116">
        <f t="shared" si="32"/>
        <v>28.89</v>
      </c>
      <c r="H84" s="116">
        <f t="shared" si="33"/>
        <v>10.170000000000002</v>
      </c>
      <c r="I84" s="118">
        <f t="shared" si="44"/>
        <v>10284.84</v>
      </c>
      <c r="J84" s="118">
        <f t="shared" si="34"/>
        <v>10284.84</v>
      </c>
      <c r="K84" s="570">
        <f t="shared" si="45"/>
        <v>0</v>
      </c>
      <c r="L84" s="121">
        <f t="shared" si="35"/>
        <v>0</v>
      </c>
      <c r="M84" s="122">
        <f t="shared" si="36"/>
        <v>0</v>
      </c>
      <c r="N84" s="122">
        <f t="shared" si="37"/>
        <v>0</v>
      </c>
      <c r="O84" s="122">
        <f t="shared" si="38"/>
        <v>0</v>
      </c>
      <c r="P84" s="122">
        <f t="shared" si="39"/>
        <v>0</v>
      </c>
      <c r="Q84" s="123">
        <f t="shared" si="40"/>
        <v>10284.84</v>
      </c>
      <c r="R84" s="123">
        <f t="shared" si="46"/>
        <v>-10284.84</v>
      </c>
      <c r="S84" s="582">
        <v>0</v>
      </c>
      <c r="T84" s="123">
        <f t="shared" si="47"/>
        <v>-10284.84</v>
      </c>
      <c r="U84" s="25">
        <f t="shared" si="41"/>
        <v>3620.52</v>
      </c>
      <c r="V84" s="123">
        <f t="shared" si="42"/>
        <v>-3620.52</v>
      </c>
      <c r="W84" s="334">
        <f t="shared" si="43"/>
        <v>145.95999999999998</v>
      </c>
      <c r="Y84" s="109">
        <f>IF(AE84=1,IF(Y83=MiscData!$F$1,EOMONTH(Y83,-11),EOMONTH(Y83,1)),Y83)</f>
        <v>42429</v>
      </c>
      <c r="Z84" s="108" t="str">
        <f t="shared" si="28"/>
        <v>20140101LGUM_210</v>
      </c>
      <c r="AA84" s="126" t="str">
        <f t="shared" si="29"/>
        <v>20140101RLS</v>
      </c>
      <c r="AB84" s="583" t="str">
        <f t="shared" si="48"/>
        <v>210</v>
      </c>
      <c r="AD84" s="98">
        <f>MiscData!$X$5</f>
        <v>20140101</v>
      </c>
      <c r="AE84" s="98">
        <f>IF(AE83+1&gt;MiscData!$AC$77,1,AE83+1)</f>
        <v>8</v>
      </c>
      <c r="AF84" s="98" t="str">
        <f>VLOOKUP(AE84,MiscData!$AC$5:$AD$77,2,FALSE)</f>
        <v>LGUM_210</v>
      </c>
      <c r="AG84" s="98" t="str">
        <f>VLOOKUP(AF84,MiscData!$AD$5:$AE$77,2,FALSE)</f>
        <v>RLS</v>
      </c>
      <c r="AP84" s="98" t="s">
        <v>200</v>
      </c>
      <c r="AR84" s="98">
        <v>96.81</v>
      </c>
    </row>
    <row r="85" spans="1:44">
      <c r="A85" s="108">
        <f t="shared" si="49"/>
        <v>82</v>
      </c>
      <c r="B85" s="109" t="str">
        <f t="shared" si="25"/>
        <v>Feb 2016</v>
      </c>
      <c r="C85" s="110" t="str">
        <f t="shared" si="26"/>
        <v>RLS</v>
      </c>
      <c r="D85" s="110" t="str">
        <f t="shared" si="27"/>
        <v>LGUM_252</v>
      </c>
      <c r="E85" s="581">
        <f t="shared" si="30"/>
        <v>4021</v>
      </c>
      <c r="F85" s="581">
        <f t="shared" si="31"/>
        <v>0</v>
      </c>
      <c r="G85" s="116">
        <f t="shared" si="32"/>
        <v>9.57</v>
      </c>
      <c r="H85" s="116">
        <f t="shared" si="33"/>
        <v>1.9099999999999993</v>
      </c>
      <c r="I85" s="118">
        <f t="shared" si="44"/>
        <v>38480.97</v>
      </c>
      <c r="J85" s="118">
        <f t="shared" si="34"/>
        <v>38480.97</v>
      </c>
      <c r="K85" s="570">
        <f t="shared" si="45"/>
        <v>0</v>
      </c>
      <c r="L85" s="121">
        <f t="shared" si="35"/>
        <v>0</v>
      </c>
      <c r="M85" s="122">
        <f t="shared" si="36"/>
        <v>0</v>
      </c>
      <c r="N85" s="122">
        <f t="shared" si="37"/>
        <v>0</v>
      </c>
      <c r="O85" s="122">
        <f t="shared" si="38"/>
        <v>0</v>
      </c>
      <c r="P85" s="122">
        <f t="shared" si="39"/>
        <v>0</v>
      </c>
      <c r="Q85" s="123">
        <f t="shared" si="40"/>
        <v>38480.97</v>
      </c>
      <c r="R85" s="123">
        <f t="shared" si="46"/>
        <v>-38480.97</v>
      </c>
      <c r="S85" s="582">
        <v>0</v>
      </c>
      <c r="T85" s="123">
        <f t="shared" si="47"/>
        <v>-38480.97</v>
      </c>
      <c r="U85" s="25">
        <f t="shared" si="41"/>
        <v>7680.11</v>
      </c>
      <c r="V85" s="123">
        <f t="shared" si="42"/>
        <v>-7680.11</v>
      </c>
      <c r="W85" s="334">
        <f t="shared" si="43"/>
        <v>643.36</v>
      </c>
      <c r="Y85" s="109">
        <f>IF(AE85=1,IF(Y84=MiscData!$F$1,EOMONTH(Y84,-11),EOMONTH(Y84,1)),Y84)</f>
        <v>42429</v>
      </c>
      <c r="Z85" s="108" t="str">
        <f t="shared" si="28"/>
        <v>20140101LGUM_252</v>
      </c>
      <c r="AA85" s="126" t="str">
        <f t="shared" si="29"/>
        <v>20140101RLS</v>
      </c>
      <c r="AB85" s="583" t="str">
        <f t="shared" si="48"/>
        <v>252</v>
      </c>
      <c r="AD85" s="98">
        <f>MiscData!$X$5</f>
        <v>20140101</v>
      </c>
      <c r="AE85" s="98">
        <f>IF(AE84+1&gt;MiscData!$AC$77,1,AE84+1)</f>
        <v>9</v>
      </c>
      <c r="AF85" s="98" t="str">
        <f>VLOOKUP(AE85,MiscData!$AC$5:$AD$77,2,FALSE)</f>
        <v>LGUM_252</v>
      </c>
      <c r="AG85" s="98" t="str">
        <f>VLOOKUP(AF85,MiscData!$AD$5:$AE$77,2,FALSE)</f>
        <v>RLS</v>
      </c>
      <c r="AP85" s="98" t="s">
        <v>201</v>
      </c>
      <c r="AR85" s="98">
        <v>-12.16</v>
      </c>
    </row>
    <row r="86" spans="1:44">
      <c r="A86" s="108">
        <f t="shared" si="49"/>
        <v>83</v>
      </c>
      <c r="B86" s="109" t="str">
        <f t="shared" si="25"/>
        <v>Feb 2016</v>
      </c>
      <c r="C86" s="110" t="str">
        <f t="shared" si="26"/>
        <v>RLS</v>
      </c>
      <c r="D86" s="110" t="str">
        <f t="shared" si="27"/>
        <v>LGUM_266</v>
      </c>
      <c r="E86" s="581">
        <f t="shared" si="30"/>
        <v>1931</v>
      </c>
      <c r="F86" s="581">
        <f t="shared" si="31"/>
        <v>0</v>
      </c>
      <c r="G86" s="116">
        <f t="shared" si="32"/>
        <v>27.34</v>
      </c>
      <c r="H86" s="116">
        <f t="shared" si="33"/>
        <v>2.8000000000000007</v>
      </c>
      <c r="I86" s="118">
        <f t="shared" si="44"/>
        <v>52793.54</v>
      </c>
      <c r="J86" s="118">
        <f t="shared" si="34"/>
        <v>52793.54</v>
      </c>
      <c r="K86" s="570">
        <f t="shared" si="45"/>
        <v>0</v>
      </c>
      <c r="L86" s="121">
        <f t="shared" si="35"/>
        <v>0</v>
      </c>
      <c r="M86" s="122">
        <f t="shared" si="36"/>
        <v>0</v>
      </c>
      <c r="N86" s="122">
        <f t="shared" si="37"/>
        <v>0</v>
      </c>
      <c r="O86" s="122">
        <f t="shared" si="38"/>
        <v>0</v>
      </c>
      <c r="P86" s="122">
        <f t="shared" si="39"/>
        <v>0</v>
      </c>
      <c r="Q86" s="123">
        <f t="shared" si="40"/>
        <v>52793.54</v>
      </c>
      <c r="R86" s="123">
        <f t="shared" si="46"/>
        <v>-52793.54</v>
      </c>
      <c r="S86" s="582">
        <v>0</v>
      </c>
      <c r="T86" s="123">
        <f t="shared" si="47"/>
        <v>-52793.54</v>
      </c>
      <c r="U86" s="25">
        <f t="shared" si="41"/>
        <v>5406.8</v>
      </c>
      <c r="V86" s="123">
        <f t="shared" si="42"/>
        <v>-5406.8</v>
      </c>
      <c r="W86" s="334">
        <f t="shared" si="43"/>
        <v>521.37</v>
      </c>
      <c r="Y86" s="109">
        <f>IF(AE86=1,IF(Y85=MiscData!$F$1,EOMONTH(Y85,-11),EOMONTH(Y85,1)),Y85)</f>
        <v>42429</v>
      </c>
      <c r="Z86" s="108" t="str">
        <f t="shared" si="28"/>
        <v>20140101LGUM_266</v>
      </c>
      <c r="AA86" s="126" t="str">
        <f t="shared" si="29"/>
        <v>20140101RLS</v>
      </c>
      <c r="AB86" s="583" t="str">
        <f t="shared" si="48"/>
        <v>266</v>
      </c>
      <c r="AD86" s="98">
        <f>MiscData!$X$5</f>
        <v>20140101</v>
      </c>
      <c r="AE86" s="98">
        <f>IF(AE85+1&gt;MiscData!$AC$77,1,AE85+1)</f>
        <v>10</v>
      </c>
      <c r="AF86" s="98" t="str">
        <f>VLOOKUP(AE86,MiscData!$AC$5:$AD$77,2,FALSE)</f>
        <v>LGUM_266</v>
      </c>
      <c r="AG86" s="98" t="str">
        <f>VLOOKUP(AF86,MiscData!$AD$5:$AE$77,2,FALSE)</f>
        <v>RLS</v>
      </c>
      <c r="AP86" s="98" t="s">
        <v>202</v>
      </c>
      <c r="AR86" s="98">
        <v>-796.05</v>
      </c>
    </row>
    <row r="87" spans="1:44">
      <c r="A87" s="108">
        <f t="shared" si="49"/>
        <v>84</v>
      </c>
      <c r="B87" s="109" t="str">
        <f t="shared" si="25"/>
        <v>Feb 2016</v>
      </c>
      <c r="C87" s="110" t="str">
        <f t="shared" si="26"/>
        <v>RLS</v>
      </c>
      <c r="D87" s="110" t="str">
        <f t="shared" si="27"/>
        <v>LGUM_267</v>
      </c>
      <c r="E87" s="581">
        <f t="shared" si="30"/>
        <v>2230</v>
      </c>
      <c r="F87" s="581">
        <f t="shared" si="31"/>
        <v>0</v>
      </c>
      <c r="G87" s="116">
        <f t="shared" si="32"/>
        <v>31.4</v>
      </c>
      <c r="H87" s="116">
        <f t="shared" si="33"/>
        <v>4.4499999999999993</v>
      </c>
      <c r="I87" s="118">
        <f t="shared" si="44"/>
        <v>70022</v>
      </c>
      <c r="J87" s="118">
        <f t="shared" si="34"/>
        <v>70022</v>
      </c>
      <c r="K87" s="570">
        <f t="shared" si="45"/>
        <v>0</v>
      </c>
      <c r="L87" s="121">
        <f t="shared" si="35"/>
        <v>0</v>
      </c>
      <c r="M87" s="122">
        <f t="shared" si="36"/>
        <v>0</v>
      </c>
      <c r="N87" s="122">
        <f t="shared" si="37"/>
        <v>0</v>
      </c>
      <c r="O87" s="122">
        <f t="shared" si="38"/>
        <v>0</v>
      </c>
      <c r="P87" s="122">
        <f t="shared" si="39"/>
        <v>0</v>
      </c>
      <c r="Q87" s="123">
        <f t="shared" si="40"/>
        <v>70022</v>
      </c>
      <c r="R87" s="123">
        <f t="shared" si="46"/>
        <v>-70022</v>
      </c>
      <c r="S87" s="582">
        <v>0</v>
      </c>
      <c r="T87" s="123">
        <f t="shared" si="47"/>
        <v>-70022</v>
      </c>
      <c r="U87" s="25">
        <f t="shared" si="41"/>
        <v>9923.5</v>
      </c>
      <c r="V87" s="123">
        <f t="shared" si="42"/>
        <v>-9923.5</v>
      </c>
      <c r="W87" s="334">
        <f t="shared" si="43"/>
        <v>646.69999999999993</v>
      </c>
      <c r="Y87" s="109">
        <f>IF(AE87=1,IF(Y86=MiscData!$F$1,EOMONTH(Y86,-11),EOMONTH(Y86,1)),Y86)</f>
        <v>42429</v>
      </c>
      <c r="Z87" s="108" t="str">
        <f t="shared" si="28"/>
        <v>20140101LGUM_267</v>
      </c>
      <c r="AA87" s="126" t="str">
        <f t="shared" si="29"/>
        <v>20140101RLS</v>
      </c>
      <c r="AB87" s="583" t="str">
        <f t="shared" si="48"/>
        <v>267</v>
      </c>
      <c r="AD87" s="98">
        <f>MiscData!$X$5</f>
        <v>20140101</v>
      </c>
      <c r="AE87" s="98">
        <f>IF(AE86+1&gt;MiscData!$AC$77,1,AE86+1)</f>
        <v>11</v>
      </c>
      <c r="AF87" s="98" t="str">
        <f>VLOOKUP(AE87,MiscData!$AC$5:$AD$77,2,FALSE)</f>
        <v>LGUM_267</v>
      </c>
      <c r="AG87" s="98" t="str">
        <f>VLOOKUP(AF87,MiscData!$AD$5:$AE$77,2,FALSE)</f>
        <v>RLS</v>
      </c>
      <c r="AP87" s="98" t="s">
        <v>203</v>
      </c>
      <c r="AR87" s="98">
        <v>0</v>
      </c>
    </row>
    <row r="88" spans="1:44">
      <c r="A88" s="108">
        <f t="shared" si="49"/>
        <v>85</v>
      </c>
      <c r="B88" s="109" t="str">
        <f t="shared" si="25"/>
        <v>Feb 2016</v>
      </c>
      <c r="C88" s="110" t="str">
        <f t="shared" si="26"/>
        <v>RLS</v>
      </c>
      <c r="D88" s="110" t="str">
        <f t="shared" si="27"/>
        <v>LGUM_274</v>
      </c>
      <c r="E88" s="581">
        <f t="shared" si="30"/>
        <v>16906</v>
      </c>
      <c r="F88" s="581">
        <f t="shared" si="31"/>
        <v>0</v>
      </c>
      <c r="G88" s="116">
        <f t="shared" si="32"/>
        <v>17.189999999999998</v>
      </c>
      <c r="H88" s="116">
        <f t="shared" si="33"/>
        <v>1.2699999999999996</v>
      </c>
      <c r="I88" s="118">
        <f t="shared" si="44"/>
        <v>290614.14</v>
      </c>
      <c r="J88" s="118">
        <f t="shared" si="34"/>
        <v>290614.14</v>
      </c>
      <c r="K88" s="570">
        <f t="shared" si="45"/>
        <v>0</v>
      </c>
      <c r="L88" s="121">
        <f t="shared" si="35"/>
        <v>0</v>
      </c>
      <c r="M88" s="122">
        <f t="shared" si="36"/>
        <v>0</v>
      </c>
      <c r="N88" s="122">
        <f t="shared" si="37"/>
        <v>0</v>
      </c>
      <c r="O88" s="122">
        <f t="shared" si="38"/>
        <v>0</v>
      </c>
      <c r="P88" s="122">
        <f t="shared" si="39"/>
        <v>0</v>
      </c>
      <c r="Q88" s="123">
        <f t="shared" si="40"/>
        <v>290614.14</v>
      </c>
      <c r="R88" s="123">
        <f t="shared" si="46"/>
        <v>-290614.14</v>
      </c>
      <c r="S88" s="582">
        <v>0</v>
      </c>
      <c r="T88" s="123">
        <f t="shared" si="47"/>
        <v>-290614.14</v>
      </c>
      <c r="U88" s="25">
        <f t="shared" si="41"/>
        <v>21470.62</v>
      </c>
      <c r="V88" s="123">
        <f t="shared" si="42"/>
        <v>-21470.62</v>
      </c>
      <c r="W88" s="334">
        <f t="shared" si="43"/>
        <v>4564.62</v>
      </c>
      <c r="Y88" s="109">
        <f>IF(AE88=1,IF(Y87=MiscData!$F$1,EOMONTH(Y87,-11),EOMONTH(Y87,1)),Y87)</f>
        <v>42429</v>
      </c>
      <c r="Z88" s="108" t="str">
        <f t="shared" si="28"/>
        <v>20140101LGUM_274</v>
      </c>
      <c r="AA88" s="126" t="str">
        <f t="shared" si="29"/>
        <v>20140101RLS</v>
      </c>
      <c r="AB88" s="583" t="str">
        <f t="shared" si="48"/>
        <v>274</v>
      </c>
      <c r="AD88" s="98">
        <f>MiscData!$X$5</f>
        <v>20140101</v>
      </c>
      <c r="AE88" s="98">
        <f>IF(AE87+1&gt;MiscData!$AC$77,1,AE87+1)</f>
        <v>12</v>
      </c>
      <c r="AF88" s="98" t="str">
        <f>VLOOKUP(AE88,MiscData!$AC$5:$AD$77,2,FALSE)</f>
        <v>LGUM_274</v>
      </c>
      <c r="AG88" s="98" t="str">
        <f>VLOOKUP(AF88,MiscData!$AD$5:$AE$77,2,FALSE)</f>
        <v>RLS</v>
      </c>
      <c r="AP88" s="98" t="s">
        <v>204</v>
      </c>
      <c r="AR88" s="98">
        <v>30.48</v>
      </c>
    </row>
    <row r="89" spans="1:44">
      <c r="A89" s="108">
        <f t="shared" si="49"/>
        <v>86</v>
      </c>
      <c r="B89" s="109" t="str">
        <f t="shared" si="25"/>
        <v>Feb 2016</v>
      </c>
      <c r="C89" s="110" t="str">
        <f t="shared" si="26"/>
        <v>RLS</v>
      </c>
      <c r="D89" s="110" t="str">
        <f t="shared" si="27"/>
        <v>LGUM_275</v>
      </c>
      <c r="E89" s="581">
        <f t="shared" si="30"/>
        <v>522</v>
      </c>
      <c r="F89" s="581">
        <f t="shared" si="31"/>
        <v>0</v>
      </c>
      <c r="G89" s="116">
        <f t="shared" si="32"/>
        <v>24.89</v>
      </c>
      <c r="H89" s="116">
        <f t="shared" si="33"/>
        <v>1.7899999999999991</v>
      </c>
      <c r="I89" s="118">
        <f t="shared" si="44"/>
        <v>12992.58</v>
      </c>
      <c r="J89" s="118">
        <f t="shared" si="34"/>
        <v>12992.58</v>
      </c>
      <c r="K89" s="570">
        <f t="shared" si="45"/>
        <v>0</v>
      </c>
      <c r="L89" s="121">
        <f t="shared" si="35"/>
        <v>0</v>
      </c>
      <c r="M89" s="122">
        <f t="shared" si="36"/>
        <v>0</v>
      </c>
      <c r="N89" s="122">
        <f t="shared" si="37"/>
        <v>0</v>
      </c>
      <c r="O89" s="122">
        <f t="shared" si="38"/>
        <v>0</v>
      </c>
      <c r="P89" s="122">
        <f t="shared" si="39"/>
        <v>0</v>
      </c>
      <c r="Q89" s="123">
        <f t="shared" si="40"/>
        <v>12992.58</v>
      </c>
      <c r="R89" s="123">
        <f t="shared" si="46"/>
        <v>-12992.58</v>
      </c>
      <c r="S89" s="582">
        <v>0</v>
      </c>
      <c r="T89" s="123">
        <f t="shared" si="47"/>
        <v>-12992.58</v>
      </c>
      <c r="U89" s="25">
        <f t="shared" si="41"/>
        <v>934.38</v>
      </c>
      <c r="V89" s="123">
        <f t="shared" si="42"/>
        <v>-934.38</v>
      </c>
      <c r="W89" s="334">
        <f t="shared" si="43"/>
        <v>125.28</v>
      </c>
      <c r="Y89" s="109">
        <f>IF(AE89=1,IF(Y88=MiscData!$F$1,EOMONTH(Y88,-11),EOMONTH(Y88,1)),Y88)</f>
        <v>42429</v>
      </c>
      <c r="Z89" s="108" t="str">
        <f t="shared" si="28"/>
        <v>20140101LGUM_275</v>
      </c>
      <c r="AA89" s="126" t="str">
        <f t="shared" si="29"/>
        <v>20140101RLS</v>
      </c>
      <c r="AB89" s="583" t="str">
        <f t="shared" si="48"/>
        <v>275</v>
      </c>
      <c r="AD89" s="98">
        <f>MiscData!$X$5</f>
        <v>20140101</v>
      </c>
      <c r="AE89" s="98">
        <f>IF(AE88+1&gt;MiscData!$AC$77,1,AE88+1)</f>
        <v>13</v>
      </c>
      <c r="AF89" s="98" t="str">
        <f>VLOOKUP(AE89,MiscData!$AC$5:$AD$77,2,FALSE)</f>
        <v>LGUM_275</v>
      </c>
      <c r="AG89" s="98" t="str">
        <f>VLOOKUP(AF89,MiscData!$AD$5:$AE$77,2,FALSE)</f>
        <v>RLS</v>
      </c>
      <c r="AP89" s="98" t="s">
        <v>205</v>
      </c>
      <c r="AR89" s="98">
        <v>-118.13</v>
      </c>
    </row>
    <row r="90" spans="1:44">
      <c r="A90" s="108">
        <f t="shared" si="49"/>
        <v>87</v>
      </c>
      <c r="B90" s="109" t="str">
        <f t="shared" si="25"/>
        <v>Feb 2016</v>
      </c>
      <c r="C90" s="110" t="str">
        <f t="shared" si="26"/>
        <v>RLS</v>
      </c>
      <c r="D90" s="110" t="str">
        <f t="shared" si="27"/>
        <v>LGUM_276</v>
      </c>
      <c r="E90" s="581">
        <f t="shared" si="30"/>
        <v>1334</v>
      </c>
      <c r="F90" s="581">
        <f t="shared" si="31"/>
        <v>0</v>
      </c>
      <c r="G90" s="116">
        <f t="shared" si="32"/>
        <v>14.17</v>
      </c>
      <c r="H90" s="116">
        <f t="shared" si="33"/>
        <v>0.88000000000000078</v>
      </c>
      <c r="I90" s="118">
        <f t="shared" si="44"/>
        <v>18902.78</v>
      </c>
      <c r="J90" s="118">
        <f t="shared" si="34"/>
        <v>18902.78</v>
      </c>
      <c r="K90" s="570">
        <f t="shared" si="45"/>
        <v>0</v>
      </c>
      <c r="L90" s="121">
        <f t="shared" si="35"/>
        <v>0</v>
      </c>
      <c r="M90" s="122">
        <f t="shared" si="36"/>
        <v>0</v>
      </c>
      <c r="N90" s="122">
        <f t="shared" si="37"/>
        <v>0</v>
      </c>
      <c r="O90" s="122">
        <f t="shared" si="38"/>
        <v>0</v>
      </c>
      <c r="P90" s="122">
        <f t="shared" si="39"/>
        <v>0</v>
      </c>
      <c r="Q90" s="123">
        <f t="shared" si="40"/>
        <v>18902.78</v>
      </c>
      <c r="R90" s="123">
        <f t="shared" si="46"/>
        <v>-18902.78</v>
      </c>
      <c r="S90" s="582">
        <v>0</v>
      </c>
      <c r="T90" s="123">
        <f t="shared" si="47"/>
        <v>-18902.78</v>
      </c>
      <c r="U90" s="25">
        <f t="shared" si="41"/>
        <v>1173.92</v>
      </c>
      <c r="V90" s="123">
        <f t="shared" si="42"/>
        <v>-1173.92</v>
      </c>
      <c r="W90" s="334">
        <f t="shared" si="43"/>
        <v>346.84000000000003</v>
      </c>
      <c r="Y90" s="109">
        <f>IF(AE90=1,IF(Y89=MiscData!$F$1,EOMONTH(Y89,-11),EOMONTH(Y89,1)),Y89)</f>
        <v>42429</v>
      </c>
      <c r="Z90" s="108" t="str">
        <f t="shared" si="28"/>
        <v>20140101LGUM_276</v>
      </c>
      <c r="AA90" s="126" t="str">
        <f t="shared" si="29"/>
        <v>20140101RLS</v>
      </c>
      <c r="AB90" s="583" t="str">
        <f t="shared" si="48"/>
        <v>276</v>
      </c>
      <c r="AD90" s="98">
        <f>MiscData!$X$5</f>
        <v>20140101</v>
      </c>
      <c r="AE90" s="98">
        <f>IF(AE89+1&gt;MiscData!$AC$77,1,AE89+1)</f>
        <v>14</v>
      </c>
      <c r="AF90" s="98" t="str">
        <f>VLOOKUP(AE90,MiscData!$AC$5:$AD$77,2,FALSE)</f>
        <v>LGUM_276</v>
      </c>
      <c r="AG90" s="98" t="str">
        <f>VLOOKUP(AF90,MiscData!$AD$5:$AE$77,2,FALSE)</f>
        <v>RLS</v>
      </c>
      <c r="AP90" s="98" t="s">
        <v>206</v>
      </c>
      <c r="AR90" s="98">
        <v>0</v>
      </c>
    </row>
    <row r="91" spans="1:44">
      <c r="A91" s="108">
        <f t="shared" si="49"/>
        <v>88</v>
      </c>
      <c r="B91" s="109" t="str">
        <f t="shared" si="25"/>
        <v>Feb 2016</v>
      </c>
      <c r="C91" s="110" t="str">
        <f t="shared" si="26"/>
        <v>RLS</v>
      </c>
      <c r="D91" s="110" t="str">
        <f t="shared" si="27"/>
        <v>LGUM_277</v>
      </c>
      <c r="E91" s="581">
        <f t="shared" si="30"/>
        <v>2275</v>
      </c>
      <c r="F91" s="581">
        <f t="shared" si="31"/>
        <v>0</v>
      </c>
      <c r="G91" s="116">
        <f t="shared" si="32"/>
        <v>22.15</v>
      </c>
      <c r="H91" s="116">
        <f t="shared" si="33"/>
        <v>1.7900000000000027</v>
      </c>
      <c r="I91" s="118">
        <f t="shared" si="44"/>
        <v>50391.25</v>
      </c>
      <c r="J91" s="118">
        <f t="shared" si="34"/>
        <v>50391.25</v>
      </c>
      <c r="K91" s="570">
        <f t="shared" si="45"/>
        <v>0</v>
      </c>
      <c r="L91" s="121">
        <f t="shared" si="35"/>
        <v>0</v>
      </c>
      <c r="M91" s="122">
        <f t="shared" si="36"/>
        <v>0</v>
      </c>
      <c r="N91" s="122">
        <f t="shared" si="37"/>
        <v>0</v>
      </c>
      <c r="O91" s="122">
        <f t="shared" si="38"/>
        <v>0</v>
      </c>
      <c r="P91" s="122">
        <f t="shared" si="39"/>
        <v>0</v>
      </c>
      <c r="Q91" s="123">
        <f t="shared" si="40"/>
        <v>50391.25</v>
      </c>
      <c r="R91" s="123">
        <f t="shared" si="46"/>
        <v>-50391.25</v>
      </c>
      <c r="S91" s="582">
        <v>0</v>
      </c>
      <c r="T91" s="123">
        <f t="shared" si="47"/>
        <v>-50391.25</v>
      </c>
      <c r="U91" s="25">
        <f t="shared" si="41"/>
        <v>4072.25</v>
      </c>
      <c r="V91" s="123">
        <f t="shared" si="42"/>
        <v>-4072.25</v>
      </c>
      <c r="W91" s="334">
        <f t="shared" si="43"/>
        <v>546</v>
      </c>
      <c r="Y91" s="109">
        <f>IF(AE91=1,IF(Y90=MiscData!$F$1,EOMONTH(Y90,-11),EOMONTH(Y90,1)),Y90)</f>
        <v>42429</v>
      </c>
      <c r="Z91" s="108" t="str">
        <f t="shared" si="28"/>
        <v>20140101LGUM_277</v>
      </c>
      <c r="AA91" s="126" t="str">
        <f t="shared" si="29"/>
        <v>20140101RLS</v>
      </c>
      <c r="AB91" s="583" t="str">
        <f t="shared" si="48"/>
        <v>277</v>
      </c>
      <c r="AD91" s="98">
        <f>MiscData!$X$5</f>
        <v>20140101</v>
      </c>
      <c r="AE91" s="98">
        <f>IF(AE90+1&gt;MiscData!$AC$77,1,AE90+1)</f>
        <v>15</v>
      </c>
      <c r="AF91" s="98" t="str">
        <f>VLOOKUP(AE91,MiscData!$AC$5:$AD$77,2,FALSE)</f>
        <v>LGUM_277</v>
      </c>
      <c r="AG91" s="98" t="str">
        <f>VLOOKUP(AF91,MiscData!$AD$5:$AE$77,2,FALSE)</f>
        <v>RLS</v>
      </c>
      <c r="AP91" s="98" t="s">
        <v>207</v>
      </c>
      <c r="AR91" s="98">
        <v>0</v>
      </c>
    </row>
    <row r="92" spans="1:44">
      <c r="A92" s="108">
        <f t="shared" si="49"/>
        <v>89</v>
      </c>
      <c r="B92" s="109" t="str">
        <f t="shared" si="25"/>
        <v>Feb 2016</v>
      </c>
      <c r="C92" s="110" t="str">
        <f t="shared" si="26"/>
        <v>RLS</v>
      </c>
      <c r="D92" s="110" t="str">
        <f t="shared" si="27"/>
        <v>LGUM_278</v>
      </c>
      <c r="E92" s="581">
        <f t="shared" si="30"/>
        <v>17</v>
      </c>
      <c r="F92" s="581">
        <f t="shared" si="31"/>
        <v>0</v>
      </c>
      <c r="G92" s="116">
        <f t="shared" si="32"/>
        <v>72.550000000000011</v>
      </c>
      <c r="H92" s="116">
        <f t="shared" si="33"/>
        <v>9.8400000000000034</v>
      </c>
      <c r="I92" s="118">
        <f t="shared" si="44"/>
        <v>1233.3499999999999</v>
      </c>
      <c r="J92" s="118">
        <f t="shared" si="34"/>
        <v>1233.3499999999999</v>
      </c>
      <c r="K92" s="570">
        <f t="shared" si="45"/>
        <v>0</v>
      </c>
      <c r="L92" s="121">
        <f t="shared" si="35"/>
        <v>0</v>
      </c>
      <c r="M92" s="122">
        <f t="shared" si="36"/>
        <v>0</v>
      </c>
      <c r="N92" s="122">
        <f t="shared" si="37"/>
        <v>0</v>
      </c>
      <c r="O92" s="122">
        <f t="shared" si="38"/>
        <v>0</v>
      </c>
      <c r="P92" s="122">
        <f t="shared" si="39"/>
        <v>0</v>
      </c>
      <c r="Q92" s="123">
        <f t="shared" si="40"/>
        <v>1233.3499999999999</v>
      </c>
      <c r="R92" s="123">
        <f t="shared" si="46"/>
        <v>-1233.3499999999999</v>
      </c>
      <c r="S92" s="582">
        <v>0</v>
      </c>
      <c r="T92" s="123">
        <f t="shared" si="47"/>
        <v>-1233.3499999999999</v>
      </c>
      <c r="U92" s="25">
        <f t="shared" si="41"/>
        <v>167.28</v>
      </c>
      <c r="V92" s="123">
        <f t="shared" si="42"/>
        <v>-167.28</v>
      </c>
      <c r="W92" s="334">
        <f t="shared" si="43"/>
        <v>15.3</v>
      </c>
      <c r="Y92" s="109">
        <f>IF(AE92=1,IF(Y91=MiscData!$F$1,EOMONTH(Y91,-11),EOMONTH(Y91,1)),Y91)</f>
        <v>42429</v>
      </c>
      <c r="Z92" s="108" t="str">
        <f t="shared" si="28"/>
        <v>20140101LGUM_278</v>
      </c>
      <c r="AA92" s="126" t="str">
        <f t="shared" si="29"/>
        <v>20140101RLS</v>
      </c>
      <c r="AB92" s="583" t="str">
        <f t="shared" si="48"/>
        <v>278</v>
      </c>
      <c r="AD92" s="98">
        <f>MiscData!$X$5</f>
        <v>20140101</v>
      </c>
      <c r="AE92" s="98">
        <f>IF(AE91+1&gt;MiscData!$AC$77,1,AE91+1)</f>
        <v>16</v>
      </c>
      <c r="AF92" s="98" t="str">
        <f>VLOOKUP(AE92,MiscData!$AC$5:$AD$77,2,FALSE)</f>
        <v>LGUM_278</v>
      </c>
      <c r="AG92" s="98" t="str">
        <f>VLOOKUP(AF92,MiscData!$AD$5:$AE$77,2,FALSE)</f>
        <v>RLS</v>
      </c>
      <c r="AP92" s="98" t="s">
        <v>208</v>
      </c>
      <c r="AR92" s="98">
        <v>0</v>
      </c>
    </row>
    <row r="93" spans="1:44">
      <c r="A93" s="108">
        <f t="shared" si="49"/>
        <v>90</v>
      </c>
      <c r="B93" s="109" t="str">
        <f t="shared" si="25"/>
        <v>Feb 2016</v>
      </c>
      <c r="C93" s="110" t="str">
        <f t="shared" si="26"/>
        <v>RLS</v>
      </c>
      <c r="D93" s="110" t="str">
        <f t="shared" si="27"/>
        <v>LGUM_279</v>
      </c>
      <c r="E93" s="581">
        <f t="shared" si="30"/>
        <v>11</v>
      </c>
      <c r="F93" s="581">
        <f t="shared" si="31"/>
        <v>0</v>
      </c>
      <c r="G93" s="116">
        <f t="shared" si="32"/>
        <v>41.43</v>
      </c>
      <c r="H93" s="116">
        <f t="shared" si="33"/>
        <v>9.8399999999999963</v>
      </c>
      <c r="I93" s="118">
        <f t="shared" si="44"/>
        <v>455.73</v>
      </c>
      <c r="J93" s="118">
        <f t="shared" si="34"/>
        <v>455.73</v>
      </c>
      <c r="K93" s="570">
        <f t="shared" si="45"/>
        <v>0</v>
      </c>
      <c r="L93" s="121">
        <f t="shared" si="35"/>
        <v>0</v>
      </c>
      <c r="M93" s="122">
        <f t="shared" si="36"/>
        <v>0</v>
      </c>
      <c r="N93" s="122">
        <f t="shared" si="37"/>
        <v>0</v>
      </c>
      <c r="O93" s="122">
        <f t="shared" si="38"/>
        <v>0</v>
      </c>
      <c r="P93" s="122">
        <f t="shared" si="39"/>
        <v>0</v>
      </c>
      <c r="Q93" s="123">
        <f t="shared" si="40"/>
        <v>455.73</v>
      </c>
      <c r="R93" s="123">
        <f t="shared" si="46"/>
        <v>-455.73</v>
      </c>
      <c r="S93" s="582">
        <v>0</v>
      </c>
      <c r="T93" s="123">
        <f t="shared" si="47"/>
        <v>-455.73</v>
      </c>
      <c r="U93" s="25">
        <f t="shared" si="41"/>
        <v>108.24</v>
      </c>
      <c r="V93" s="123">
        <f t="shared" si="42"/>
        <v>-108.24</v>
      </c>
      <c r="W93" s="334">
        <f t="shared" si="43"/>
        <v>9.9</v>
      </c>
      <c r="Y93" s="109">
        <f>IF(AE93=1,IF(Y92=MiscData!$F$1,EOMONTH(Y92,-11),EOMONTH(Y92,1)),Y92)</f>
        <v>42429</v>
      </c>
      <c r="Z93" s="108" t="str">
        <f t="shared" si="28"/>
        <v>20140101LGUM_279</v>
      </c>
      <c r="AA93" s="126" t="str">
        <f t="shared" si="29"/>
        <v>20140101RLS</v>
      </c>
      <c r="AB93" s="583" t="str">
        <f t="shared" si="48"/>
        <v>279</v>
      </c>
      <c r="AD93" s="98">
        <f>MiscData!$X$5</f>
        <v>20140101</v>
      </c>
      <c r="AE93" s="98">
        <f>IF(AE92+1&gt;MiscData!$AC$77,1,AE92+1)</f>
        <v>17</v>
      </c>
      <c r="AF93" s="98" t="str">
        <f>VLOOKUP(AE93,MiscData!$AC$5:$AD$77,2,FALSE)</f>
        <v>LGUM_279</v>
      </c>
      <c r="AG93" s="98" t="str">
        <f>VLOOKUP(AF93,MiscData!$AD$5:$AE$77,2,FALSE)</f>
        <v>RLS</v>
      </c>
      <c r="AP93" s="98" t="s">
        <v>209</v>
      </c>
      <c r="AR93" s="98">
        <v>0</v>
      </c>
    </row>
    <row r="94" spans="1:44">
      <c r="A94" s="108">
        <f t="shared" si="49"/>
        <v>91</v>
      </c>
      <c r="B94" s="109" t="str">
        <f t="shared" ref="B94:B157" si="50">TEXT(Y94,"mmm yyyy")</f>
        <v>Feb 2016</v>
      </c>
      <c r="C94" s="110" t="str">
        <f t="shared" ref="C94:C157" si="51">AG94</f>
        <v>RLS</v>
      </c>
      <c r="D94" s="110" t="str">
        <f t="shared" ref="D94:D157" si="52">AF94</f>
        <v>LGUM_280</v>
      </c>
      <c r="E94" s="581">
        <f t="shared" si="30"/>
        <v>45</v>
      </c>
      <c r="F94" s="581">
        <f t="shared" si="31"/>
        <v>0</v>
      </c>
      <c r="G94" s="116">
        <f t="shared" si="32"/>
        <v>19.38</v>
      </c>
      <c r="H94" s="116">
        <f t="shared" si="33"/>
        <v>0.87999999999999901</v>
      </c>
      <c r="I94" s="118">
        <f t="shared" si="44"/>
        <v>872.1</v>
      </c>
      <c r="J94" s="118">
        <f t="shared" si="34"/>
        <v>872.1</v>
      </c>
      <c r="K94" s="570">
        <f t="shared" si="45"/>
        <v>0</v>
      </c>
      <c r="L94" s="121">
        <f t="shared" si="35"/>
        <v>0</v>
      </c>
      <c r="M94" s="122">
        <f t="shared" si="36"/>
        <v>0</v>
      </c>
      <c r="N94" s="122">
        <f t="shared" si="37"/>
        <v>0</v>
      </c>
      <c r="O94" s="122">
        <f t="shared" si="38"/>
        <v>0</v>
      </c>
      <c r="P94" s="122">
        <f t="shared" si="39"/>
        <v>0</v>
      </c>
      <c r="Q94" s="123">
        <f t="shared" si="40"/>
        <v>872.1</v>
      </c>
      <c r="R94" s="123">
        <f t="shared" si="46"/>
        <v>-872.1</v>
      </c>
      <c r="S94" s="582">
        <v>0</v>
      </c>
      <c r="T94" s="123">
        <f t="shared" si="47"/>
        <v>-872.1</v>
      </c>
      <c r="U94" s="25">
        <f t="shared" si="41"/>
        <v>39.6</v>
      </c>
      <c r="V94" s="123">
        <f t="shared" si="42"/>
        <v>-39.6</v>
      </c>
      <c r="W94" s="334">
        <f t="shared" si="43"/>
        <v>11.700000000000001</v>
      </c>
      <c r="Y94" s="109">
        <f>IF(AE94=1,IF(Y93=MiscData!$F$1,EOMONTH(Y93,-11),EOMONTH(Y93,1)),Y93)</f>
        <v>42429</v>
      </c>
      <c r="Z94" s="108" t="str">
        <f t="shared" ref="Z94:Z157" si="53">CONCATENATE(AD94&amp;AF94)</f>
        <v>20140101LGUM_280</v>
      </c>
      <c r="AA94" s="126" t="str">
        <f t="shared" ref="AA94:AA157" si="54">CONCATENATE(AD94&amp;AG94)</f>
        <v>20140101RLS</v>
      </c>
      <c r="AB94" s="583" t="str">
        <f t="shared" si="48"/>
        <v>280</v>
      </c>
      <c r="AD94" s="98">
        <f>MiscData!$X$5</f>
        <v>20140101</v>
      </c>
      <c r="AE94" s="98">
        <f>IF(AE93+1&gt;MiscData!$AC$77,1,AE93+1)</f>
        <v>18</v>
      </c>
      <c r="AF94" s="98" t="str">
        <f>VLOOKUP(AE94,MiscData!$AC$5:$AD$77,2,FALSE)</f>
        <v>LGUM_280</v>
      </c>
      <c r="AG94" s="98" t="str">
        <f>VLOOKUP(AF94,MiscData!$AD$5:$AE$77,2,FALSE)</f>
        <v>RLS</v>
      </c>
      <c r="AP94" s="98" t="s">
        <v>210</v>
      </c>
      <c r="AR94" s="98">
        <v>0</v>
      </c>
    </row>
    <row r="95" spans="1:44">
      <c r="A95" s="108">
        <f t="shared" si="49"/>
        <v>92</v>
      </c>
      <c r="B95" s="109" t="str">
        <f t="shared" si="50"/>
        <v>Feb 2016</v>
      </c>
      <c r="C95" s="110" t="str">
        <f t="shared" si="51"/>
        <v>RLS</v>
      </c>
      <c r="D95" s="110" t="str">
        <f t="shared" si="52"/>
        <v>LGUM_281</v>
      </c>
      <c r="E95" s="581">
        <f t="shared" si="30"/>
        <v>243</v>
      </c>
      <c r="F95" s="581">
        <f t="shared" si="31"/>
        <v>0</v>
      </c>
      <c r="G95" s="116">
        <f t="shared" si="32"/>
        <v>20.349999999999998</v>
      </c>
      <c r="H95" s="116">
        <f t="shared" si="33"/>
        <v>1.2699999999999996</v>
      </c>
      <c r="I95" s="118">
        <f t="shared" si="44"/>
        <v>4945.05</v>
      </c>
      <c r="J95" s="118">
        <f t="shared" si="34"/>
        <v>4945.05</v>
      </c>
      <c r="K95" s="570">
        <f t="shared" si="45"/>
        <v>0</v>
      </c>
      <c r="L95" s="121">
        <f t="shared" si="35"/>
        <v>0</v>
      </c>
      <c r="M95" s="122">
        <f t="shared" si="36"/>
        <v>0</v>
      </c>
      <c r="N95" s="122">
        <f t="shared" si="37"/>
        <v>0</v>
      </c>
      <c r="O95" s="122">
        <f t="shared" si="38"/>
        <v>0</v>
      </c>
      <c r="P95" s="122">
        <f t="shared" si="39"/>
        <v>0</v>
      </c>
      <c r="Q95" s="123">
        <f t="shared" si="40"/>
        <v>4945.05</v>
      </c>
      <c r="R95" s="123">
        <f t="shared" si="46"/>
        <v>-4945.05</v>
      </c>
      <c r="S95" s="582">
        <v>0</v>
      </c>
      <c r="T95" s="123">
        <f t="shared" si="47"/>
        <v>-4945.05</v>
      </c>
      <c r="U95" s="25">
        <f t="shared" si="41"/>
        <v>308.61</v>
      </c>
      <c r="V95" s="123">
        <f t="shared" si="42"/>
        <v>-308.61</v>
      </c>
      <c r="W95" s="334">
        <f t="shared" si="43"/>
        <v>65.61</v>
      </c>
      <c r="Y95" s="109">
        <f>IF(AE95=1,IF(Y94=MiscData!$F$1,EOMONTH(Y94,-11),EOMONTH(Y94,1)),Y94)</f>
        <v>42429</v>
      </c>
      <c r="Z95" s="108" t="str">
        <f t="shared" si="53"/>
        <v>20140101LGUM_281</v>
      </c>
      <c r="AA95" s="126" t="str">
        <f t="shared" si="54"/>
        <v>20140101RLS</v>
      </c>
      <c r="AB95" s="583" t="str">
        <f t="shared" si="48"/>
        <v>281</v>
      </c>
      <c r="AD95" s="98">
        <f>MiscData!$X$5</f>
        <v>20140101</v>
      </c>
      <c r="AE95" s="98">
        <f>IF(AE94+1&gt;MiscData!$AC$77,1,AE94+1)</f>
        <v>19</v>
      </c>
      <c r="AF95" s="98" t="str">
        <f>VLOOKUP(AE95,MiscData!$AC$5:$AD$77,2,FALSE)</f>
        <v>LGUM_281</v>
      </c>
      <c r="AG95" s="98" t="str">
        <f>VLOOKUP(AF95,MiscData!$AD$5:$AE$77,2,FALSE)</f>
        <v>RLS</v>
      </c>
      <c r="AP95" s="98" t="s">
        <v>211</v>
      </c>
      <c r="AR95" s="98">
        <v>0</v>
      </c>
    </row>
    <row r="96" spans="1:44">
      <c r="A96" s="108">
        <f t="shared" si="49"/>
        <v>93</v>
      </c>
      <c r="B96" s="109" t="str">
        <f t="shared" si="50"/>
        <v>Feb 2016</v>
      </c>
      <c r="C96" s="110" t="str">
        <f t="shared" si="51"/>
        <v>RLS</v>
      </c>
      <c r="D96" s="110" t="str">
        <f t="shared" si="52"/>
        <v>LGUM_282</v>
      </c>
      <c r="E96" s="581">
        <f t="shared" si="30"/>
        <v>104</v>
      </c>
      <c r="F96" s="581">
        <f t="shared" si="31"/>
        <v>0</v>
      </c>
      <c r="G96" s="116">
        <f t="shared" si="32"/>
        <v>19.53</v>
      </c>
      <c r="H96" s="116">
        <f t="shared" si="33"/>
        <v>0.87999999999999901</v>
      </c>
      <c r="I96" s="118">
        <f t="shared" si="44"/>
        <v>2031.12</v>
      </c>
      <c r="J96" s="118">
        <f t="shared" si="34"/>
        <v>2031.12</v>
      </c>
      <c r="K96" s="570">
        <f t="shared" si="45"/>
        <v>0</v>
      </c>
      <c r="L96" s="121">
        <f t="shared" si="35"/>
        <v>0</v>
      </c>
      <c r="M96" s="122">
        <f t="shared" si="36"/>
        <v>0</v>
      </c>
      <c r="N96" s="122">
        <f t="shared" si="37"/>
        <v>0</v>
      </c>
      <c r="O96" s="122">
        <f t="shared" si="38"/>
        <v>0</v>
      </c>
      <c r="P96" s="122">
        <f t="shared" si="39"/>
        <v>0</v>
      </c>
      <c r="Q96" s="123">
        <f t="shared" si="40"/>
        <v>2031.12</v>
      </c>
      <c r="R96" s="123">
        <f t="shared" si="46"/>
        <v>-2031.12</v>
      </c>
      <c r="S96" s="582">
        <v>0</v>
      </c>
      <c r="T96" s="123">
        <f t="shared" si="47"/>
        <v>-2031.12</v>
      </c>
      <c r="U96" s="25">
        <f t="shared" si="41"/>
        <v>91.52</v>
      </c>
      <c r="V96" s="123">
        <f t="shared" si="42"/>
        <v>-91.52</v>
      </c>
      <c r="W96" s="334">
        <f t="shared" si="43"/>
        <v>27.04</v>
      </c>
      <c r="Y96" s="109">
        <f>IF(AE96=1,IF(Y95=MiscData!$F$1,EOMONTH(Y95,-11),EOMONTH(Y95,1)),Y95)</f>
        <v>42429</v>
      </c>
      <c r="Z96" s="108" t="str">
        <f t="shared" si="53"/>
        <v>20140101LGUM_282</v>
      </c>
      <c r="AA96" s="126" t="str">
        <f t="shared" si="54"/>
        <v>20140101RLS</v>
      </c>
      <c r="AB96" s="583" t="str">
        <f t="shared" si="48"/>
        <v>282</v>
      </c>
      <c r="AD96" s="98">
        <f>MiscData!$X$5</f>
        <v>20140101</v>
      </c>
      <c r="AE96" s="98">
        <f>IF(AE95+1&gt;MiscData!$AC$77,1,AE95+1)</f>
        <v>20</v>
      </c>
      <c r="AF96" s="98" t="str">
        <f>VLOOKUP(AE96,MiscData!$AC$5:$AD$77,2,FALSE)</f>
        <v>LGUM_282</v>
      </c>
      <c r="AG96" s="98" t="str">
        <f>VLOOKUP(AF96,MiscData!$AD$5:$AE$77,2,FALSE)</f>
        <v>RLS</v>
      </c>
      <c r="AP96" s="98" t="s">
        <v>342</v>
      </c>
      <c r="AR96" s="98">
        <v>0</v>
      </c>
    </row>
    <row r="97" spans="1:44">
      <c r="A97" s="108">
        <f t="shared" si="49"/>
        <v>94</v>
      </c>
      <c r="B97" s="109" t="str">
        <f t="shared" si="50"/>
        <v>Feb 2016</v>
      </c>
      <c r="C97" s="110" t="str">
        <f t="shared" si="51"/>
        <v>RLS</v>
      </c>
      <c r="D97" s="110" t="str">
        <f t="shared" si="52"/>
        <v>LGUM_283</v>
      </c>
      <c r="E97" s="581">
        <f t="shared" si="30"/>
        <v>81</v>
      </c>
      <c r="F97" s="581">
        <f t="shared" si="31"/>
        <v>0</v>
      </c>
      <c r="G97" s="116">
        <f t="shared" si="32"/>
        <v>20.819999999999997</v>
      </c>
      <c r="H97" s="116">
        <f t="shared" si="33"/>
        <v>1.2699999999999996</v>
      </c>
      <c r="I97" s="118">
        <f t="shared" si="44"/>
        <v>1686.42</v>
      </c>
      <c r="J97" s="118">
        <f t="shared" si="34"/>
        <v>1686.42</v>
      </c>
      <c r="K97" s="570">
        <f t="shared" si="45"/>
        <v>0</v>
      </c>
      <c r="L97" s="121">
        <f t="shared" si="35"/>
        <v>0</v>
      </c>
      <c r="M97" s="122">
        <f t="shared" si="36"/>
        <v>0</v>
      </c>
      <c r="N97" s="122">
        <f t="shared" si="37"/>
        <v>0</v>
      </c>
      <c r="O97" s="122">
        <f t="shared" si="38"/>
        <v>0</v>
      </c>
      <c r="P97" s="122">
        <f t="shared" si="39"/>
        <v>0</v>
      </c>
      <c r="Q97" s="123">
        <f t="shared" si="40"/>
        <v>1686.42</v>
      </c>
      <c r="R97" s="123">
        <f t="shared" si="46"/>
        <v>-1686.42</v>
      </c>
      <c r="S97" s="582">
        <v>0</v>
      </c>
      <c r="T97" s="123">
        <f t="shared" si="47"/>
        <v>-1686.42</v>
      </c>
      <c r="U97" s="25">
        <f t="shared" si="41"/>
        <v>102.87</v>
      </c>
      <c r="V97" s="123">
        <f t="shared" si="42"/>
        <v>-102.87</v>
      </c>
      <c r="W97" s="334">
        <f t="shared" si="43"/>
        <v>21.87</v>
      </c>
      <c r="Y97" s="109">
        <f>IF(AE97=1,IF(Y96=MiscData!$F$1,EOMONTH(Y96,-11),EOMONTH(Y96,1)),Y96)</f>
        <v>42429</v>
      </c>
      <c r="Z97" s="108" t="str">
        <f t="shared" si="53"/>
        <v>20140101LGUM_283</v>
      </c>
      <c r="AA97" s="126" t="str">
        <f t="shared" si="54"/>
        <v>20140101RLS</v>
      </c>
      <c r="AB97" s="583" t="str">
        <f t="shared" si="48"/>
        <v>283</v>
      </c>
      <c r="AD97" s="98">
        <f>MiscData!$X$5</f>
        <v>20140101</v>
      </c>
      <c r="AE97" s="98">
        <f>IF(AE96+1&gt;MiscData!$AC$77,1,AE96+1)</f>
        <v>21</v>
      </c>
      <c r="AF97" s="98" t="str">
        <f>VLOOKUP(AE97,MiscData!$AC$5:$AD$77,2,FALSE)</f>
        <v>LGUM_283</v>
      </c>
      <c r="AG97" s="98" t="str">
        <f>VLOOKUP(AF97,MiscData!$AD$5:$AE$77,2,FALSE)</f>
        <v>RLS</v>
      </c>
      <c r="AP97" s="98" t="s">
        <v>212</v>
      </c>
      <c r="AR97" s="98">
        <v>-14.17</v>
      </c>
    </row>
    <row r="98" spans="1:44">
      <c r="A98" s="108">
        <f t="shared" si="49"/>
        <v>95</v>
      </c>
      <c r="B98" s="109" t="str">
        <f t="shared" si="50"/>
        <v>Feb 2016</v>
      </c>
      <c r="C98" s="110" t="str">
        <f t="shared" si="51"/>
        <v>RLS</v>
      </c>
      <c r="D98" s="110" t="str">
        <f t="shared" si="52"/>
        <v>LGUM_314</v>
      </c>
      <c r="E98" s="581">
        <f t="shared" si="30"/>
        <v>546</v>
      </c>
      <c r="F98" s="581">
        <f t="shared" si="31"/>
        <v>0</v>
      </c>
      <c r="G98" s="116">
        <f t="shared" si="32"/>
        <v>19.2</v>
      </c>
      <c r="H98" s="116">
        <f t="shared" si="33"/>
        <v>2.7100000000000009</v>
      </c>
      <c r="I98" s="118">
        <f t="shared" si="44"/>
        <v>10483.200000000001</v>
      </c>
      <c r="J98" s="118">
        <f t="shared" si="34"/>
        <v>10483.200000000001</v>
      </c>
      <c r="K98" s="570">
        <f t="shared" si="45"/>
        <v>0</v>
      </c>
      <c r="L98" s="121">
        <f t="shared" si="35"/>
        <v>0</v>
      </c>
      <c r="M98" s="122">
        <f t="shared" si="36"/>
        <v>0</v>
      </c>
      <c r="N98" s="122">
        <f t="shared" si="37"/>
        <v>0</v>
      </c>
      <c r="O98" s="122">
        <f t="shared" si="38"/>
        <v>0</v>
      </c>
      <c r="P98" s="122">
        <f t="shared" si="39"/>
        <v>0</v>
      </c>
      <c r="Q98" s="123">
        <f t="shared" si="40"/>
        <v>10483.200000000001</v>
      </c>
      <c r="R98" s="123">
        <f t="shared" si="46"/>
        <v>-10483.200000000001</v>
      </c>
      <c r="S98" s="582">
        <v>0</v>
      </c>
      <c r="T98" s="123">
        <f t="shared" si="47"/>
        <v>-10483.200000000001</v>
      </c>
      <c r="U98" s="25">
        <f t="shared" si="41"/>
        <v>1479.66</v>
      </c>
      <c r="V98" s="123">
        <f t="shared" si="42"/>
        <v>-1479.66</v>
      </c>
      <c r="W98" s="334">
        <f t="shared" si="43"/>
        <v>98.28</v>
      </c>
      <c r="Y98" s="109">
        <f>IF(AE98=1,IF(Y97=MiscData!$F$1,EOMONTH(Y97,-11),EOMONTH(Y97,1)),Y97)</f>
        <v>42429</v>
      </c>
      <c r="Z98" s="108" t="str">
        <f t="shared" si="53"/>
        <v>20140101LGUM_314</v>
      </c>
      <c r="AA98" s="126" t="str">
        <f t="shared" si="54"/>
        <v>20140101RLS</v>
      </c>
      <c r="AB98" s="583" t="str">
        <f t="shared" si="48"/>
        <v>314</v>
      </c>
      <c r="AD98" s="98">
        <f>MiscData!$X$5</f>
        <v>20140101</v>
      </c>
      <c r="AE98" s="98">
        <f>IF(AE97+1&gt;MiscData!$AC$77,1,AE97+1)</f>
        <v>22</v>
      </c>
      <c r="AF98" s="98" t="str">
        <f>VLOOKUP(AE98,MiscData!$AC$5:$AD$77,2,FALSE)</f>
        <v>LGUM_314</v>
      </c>
      <c r="AG98" s="98" t="str">
        <f>VLOOKUP(AF98,MiscData!$AD$5:$AE$77,2,FALSE)</f>
        <v>RLS</v>
      </c>
      <c r="AP98" s="98" t="s">
        <v>213</v>
      </c>
      <c r="AR98" s="98">
        <v>-40.6</v>
      </c>
    </row>
    <row r="99" spans="1:44">
      <c r="A99" s="108">
        <f t="shared" si="49"/>
        <v>96</v>
      </c>
      <c r="B99" s="109" t="str">
        <f t="shared" si="50"/>
        <v>Feb 2016</v>
      </c>
      <c r="C99" s="110" t="str">
        <f t="shared" si="51"/>
        <v>RLS</v>
      </c>
      <c r="D99" s="110" t="str">
        <f t="shared" si="52"/>
        <v>LGUM_315</v>
      </c>
      <c r="E99" s="581">
        <f t="shared" si="30"/>
        <v>516</v>
      </c>
      <c r="F99" s="581">
        <f t="shared" si="31"/>
        <v>0</v>
      </c>
      <c r="G99" s="116">
        <f t="shared" si="32"/>
        <v>22.949999999999996</v>
      </c>
      <c r="H99" s="116">
        <f t="shared" si="33"/>
        <v>4.1999999999999993</v>
      </c>
      <c r="I99" s="118">
        <f t="shared" si="44"/>
        <v>11842.2</v>
      </c>
      <c r="J99" s="118">
        <f t="shared" si="34"/>
        <v>11842.2</v>
      </c>
      <c r="K99" s="570">
        <f t="shared" si="45"/>
        <v>0</v>
      </c>
      <c r="L99" s="121">
        <f t="shared" si="35"/>
        <v>0</v>
      </c>
      <c r="M99" s="122">
        <f t="shared" si="36"/>
        <v>0</v>
      </c>
      <c r="N99" s="122">
        <f t="shared" si="37"/>
        <v>0</v>
      </c>
      <c r="O99" s="122">
        <f t="shared" si="38"/>
        <v>0</v>
      </c>
      <c r="P99" s="122">
        <f t="shared" si="39"/>
        <v>0</v>
      </c>
      <c r="Q99" s="123">
        <f t="shared" si="40"/>
        <v>11842.2</v>
      </c>
      <c r="R99" s="123">
        <f t="shared" si="46"/>
        <v>-11842.2</v>
      </c>
      <c r="S99" s="582">
        <v>0</v>
      </c>
      <c r="T99" s="123">
        <f t="shared" si="47"/>
        <v>-11842.2</v>
      </c>
      <c r="U99" s="25">
        <f t="shared" si="41"/>
        <v>2167.1999999999998</v>
      </c>
      <c r="V99" s="123">
        <f t="shared" si="42"/>
        <v>-2167.1999999999998</v>
      </c>
      <c r="W99" s="334">
        <f t="shared" si="43"/>
        <v>113.52</v>
      </c>
      <c r="Y99" s="109">
        <f>IF(AE99=1,IF(Y98=MiscData!$F$1,EOMONTH(Y98,-11),EOMONTH(Y98,1)),Y98)</f>
        <v>42429</v>
      </c>
      <c r="Z99" s="108" t="str">
        <f t="shared" si="53"/>
        <v>20140101LGUM_315</v>
      </c>
      <c r="AA99" s="126" t="str">
        <f t="shared" si="54"/>
        <v>20140101RLS</v>
      </c>
      <c r="AB99" s="583" t="str">
        <f t="shared" si="48"/>
        <v>315</v>
      </c>
      <c r="AD99" s="98">
        <f>MiscData!$X$5</f>
        <v>20140101</v>
      </c>
      <c r="AE99" s="98">
        <f>IF(AE98+1&gt;MiscData!$AC$77,1,AE98+1)</f>
        <v>23</v>
      </c>
      <c r="AF99" s="98" t="str">
        <f>VLOOKUP(AE99,MiscData!$AC$5:$AD$77,2,FALSE)</f>
        <v>LGUM_315</v>
      </c>
      <c r="AG99" s="98" t="str">
        <f>VLOOKUP(AF99,MiscData!$AD$5:$AE$77,2,FALSE)</f>
        <v>RLS</v>
      </c>
      <c r="AP99" s="98" t="s">
        <v>214</v>
      </c>
      <c r="AR99" s="98">
        <v>0</v>
      </c>
    </row>
    <row r="100" spans="1:44">
      <c r="A100" s="108">
        <f t="shared" si="49"/>
        <v>97</v>
      </c>
      <c r="B100" s="109" t="str">
        <f t="shared" si="50"/>
        <v>Feb 2016</v>
      </c>
      <c r="C100" s="110" t="str">
        <f t="shared" si="51"/>
        <v>RLS</v>
      </c>
      <c r="D100" s="110" t="str">
        <f t="shared" si="52"/>
        <v>LGUM_318</v>
      </c>
      <c r="E100" s="581">
        <f t="shared" si="30"/>
        <v>53</v>
      </c>
      <c r="F100" s="581">
        <f t="shared" si="31"/>
        <v>0</v>
      </c>
      <c r="G100" s="116">
        <f t="shared" si="32"/>
        <v>17.419999999999998</v>
      </c>
      <c r="H100" s="116">
        <f t="shared" si="33"/>
        <v>1.9100000000000001</v>
      </c>
      <c r="I100" s="118">
        <f t="shared" si="44"/>
        <v>923.26</v>
      </c>
      <c r="J100" s="118">
        <f t="shared" si="34"/>
        <v>923.26</v>
      </c>
      <c r="K100" s="570">
        <f t="shared" si="45"/>
        <v>0</v>
      </c>
      <c r="L100" s="121">
        <f t="shared" si="35"/>
        <v>0</v>
      </c>
      <c r="M100" s="122">
        <f t="shared" si="36"/>
        <v>0</v>
      </c>
      <c r="N100" s="122">
        <f t="shared" si="37"/>
        <v>0</v>
      </c>
      <c r="O100" s="122">
        <f t="shared" si="38"/>
        <v>0</v>
      </c>
      <c r="P100" s="122">
        <f t="shared" si="39"/>
        <v>0</v>
      </c>
      <c r="Q100" s="123">
        <f t="shared" si="40"/>
        <v>923.26</v>
      </c>
      <c r="R100" s="123">
        <f t="shared" si="46"/>
        <v>-923.26</v>
      </c>
      <c r="S100" s="582">
        <v>0</v>
      </c>
      <c r="T100" s="123">
        <f t="shared" si="47"/>
        <v>-923.26</v>
      </c>
      <c r="U100" s="25">
        <f t="shared" si="41"/>
        <v>101.23</v>
      </c>
      <c r="V100" s="123">
        <f t="shared" si="42"/>
        <v>-101.23</v>
      </c>
      <c r="W100" s="334">
        <f t="shared" si="43"/>
        <v>8.48</v>
      </c>
      <c r="Y100" s="109">
        <f>IF(AE100=1,IF(Y99=MiscData!$F$1,EOMONTH(Y99,-11),EOMONTH(Y99,1)),Y99)</f>
        <v>42429</v>
      </c>
      <c r="Z100" s="108" t="str">
        <f t="shared" si="53"/>
        <v>20140101LGUM_318</v>
      </c>
      <c r="AA100" s="126" t="str">
        <f t="shared" si="54"/>
        <v>20140101RLS</v>
      </c>
      <c r="AB100" s="583" t="str">
        <f t="shared" si="48"/>
        <v>318</v>
      </c>
      <c r="AD100" s="98">
        <f>MiscData!$X$5</f>
        <v>20140101</v>
      </c>
      <c r="AE100" s="98">
        <f>IF(AE99+1&gt;MiscData!$AC$77,1,AE99+1)</f>
        <v>24</v>
      </c>
      <c r="AF100" s="98" t="str">
        <f>VLOOKUP(AE100,MiscData!$AC$5:$AD$77,2,FALSE)</f>
        <v>LGUM_318</v>
      </c>
      <c r="AG100" s="98" t="str">
        <f>VLOOKUP(AF100,MiscData!$AD$5:$AE$77,2,FALSE)</f>
        <v>RLS</v>
      </c>
      <c r="AP100" s="98" t="s">
        <v>343</v>
      </c>
      <c r="AR100" s="98">
        <v>0</v>
      </c>
    </row>
    <row r="101" spans="1:44">
      <c r="A101" s="108">
        <f t="shared" si="49"/>
        <v>98</v>
      </c>
      <c r="B101" s="109" t="str">
        <f t="shared" si="50"/>
        <v>Feb 2016</v>
      </c>
      <c r="C101" s="110" t="str">
        <f t="shared" si="51"/>
        <v>RLS</v>
      </c>
      <c r="D101" s="110" t="str">
        <f t="shared" si="52"/>
        <v>LGUM_347</v>
      </c>
      <c r="E101" s="581">
        <f t="shared" si="30"/>
        <v>0</v>
      </c>
      <c r="F101" s="581">
        <f t="shared" si="31"/>
        <v>0</v>
      </c>
      <c r="G101" s="116">
        <f t="shared" si="32"/>
        <v>22.939999999999998</v>
      </c>
      <c r="H101" s="116">
        <f t="shared" si="33"/>
        <v>26.14</v>
      </c>
      <c r="I101" s="118">
        <f t="shared" si="44"/>
        <v>0</v>
      </c>
      <c r="J101" s="118">
        <f t="shared" si="34"/>
        <v>0</v>
      </c>
      <c r="K101" s="570">
        <f t="shared" si="45"/>
        <v>0</v>
      </c>
      <c r="L101" s="121">
        <f t="shared" si="35"/>
        <v>1</v>
      </c>
      <c r="M101" s="122">
        <f t="shared" si="36"/>
        <v>0</v>
      </c>
      <c r="N101" s="122">
        <f t="shared" si="37"/>
        <v>0</v>
      </c>
      <c r="O101" s="122">
        <f t="shared" si="38"/>
        <v>0</v>
      </c>
      <c r="P101" s="122">
        <f t="shared" si="39"/>
        <v>0</v>
      </c>
      <c r="Q101" s="123">
        <f t="shared" si="40"/>
        <v>0</v>
      </c>
      <c r="R101" s="123">
        <f t="shared" si="46"/>
        <v>0</v>
      </c>
      <c r="S101" s="582">
        <v>0</v>
      </c>
      <c r="T101" s="123">
        <f t="shared" si="47"/>
        <v>0</v>
      </c>
      <c r="U101" s="25">
        <f t="shared" si="41"/>
        <v>0</v>
      </c>
      <c r="V101" s="123">
        <f t="shared" si="42"/>
        <v>0</v>
      </c>
      <c r="W101" s="334">
        <f t="shared" si="43"/>
        <v>0</v>
      </c>
      <c r="Y101" s="109">
        <f>IF(AE101=1,IF(Y100=MiscData!$F$1,EOMONTH(Y100,-11),EOMONTH(Y100,1)),Y100)</f>
        <v>42429</v>
      </c>
      <c r="Z101" s="108" t="str">
        <f t="shared" si="53"/>
        <v>20140101LGUM_347</v>
      </c>
      <c r="AA101" s="126" t="str">
        <f t="shared" si="54"/>
        <v>20140101RLS</v>
      </c>
      <c r="AB101" s="583" t="str">
        <f t="shared" si="48"/>
        <v>347</v>
      </c>
      <c r="AD101" s="98">
        <f>MiscData!$X$5</f>
        <v>20140101</v>
      </c>
      <c r="AE101" s="98">
        <f>IF(AE100+1&gt;MiscData!$AC$77,1,AE100+1)</f>
        <v>25</v>
      </c>
      <c r="AF101" s="98" t="str">
        <f>VLOOKUP(AE101,MiscData!$AC$5:$AD$77,2,FALSE)</f>
        <v>LGUM_347</v>
      </c>
      <c r="AG101" s="98" t="str">
        <f>VLOOKUP(AF101,MiscData!$AD$5:$AE$77,2,FALSE)</f>
        <v>RLS</v>
      </c>
      <c r="AP101" s="98" t="s">
        <v>215</v>
      </c>
      <c r="AR101" s="98">
        <v>0</v>
      </c>
    </row>
    <row r="102" spans="1:44">
      <c r="A102" s="108">
        <f t="shared" si="49"/>
        <v>99</v>
      </c>
      <c r="B102" s="109" t="str">
        <f t="shared" si="50"/>
        <v>Feb 2016</v>
      </c>
      <c r="C102" s="110" t="str">
        <f t="shared" si="51"/>
        <v>RLS</v>
      </c>
      <c r="D102" s="110" t="str">
        <f t="shared" si="52"/>
        <v>LGUM_348</v>
      </c>
      <c r="E102" s="581">
        <f t="shared" si="30"/>
        <v>39</v>
      </c>
      <c r="F102" s="581">
        <f t="shared" si="31"/>
        <v>0</v>
      </c>
      <c r="G102" s="116">
        <f t="shared" si="32"/>
        <v>13.12</v>
      </c>
      <c r="H102" s="116">
        <f t="shared" si="33"/>
        <v>2.9800000000000004</v>
      </c>
      <c r="I102" s="118">
        <f t="shared" si="44"/>
        <v>511.68</v>
      </c>
      <c r="J102" s="118">
        <f t="shared" si="34"/>
        <v>511.68</v>
      </c>
      <c r="K102" s="570">
        <f t="shared" si="45"/>
        <v>0</v>
      </c>
      <c r="L102" s="121">
        <f t="shared" si="35"/>
        <v>0</v>
      </c>
      <c r="M102" s="122">
        <f t="shared" si="36"/>
        <v>0</v>
      </c>
      <c r="N102" s="122">
        <f t="shared" si="37"/>
        <v>0</v>
      </c>
      <c r="O102" s="122">
        <f t="shared" si="38"/>
        <v>0</v>
      </c>
      <c r="P102" s="122">
        <f t="shared" si="39"/>
        <v>0</v>
      </c>
      <c r="Q102" s="123">
        <f t="shared" si="40"/>
        <v>511.68</v>
      </c>
      <c r="R102" s="123">
        <f t="shared" si="46"/>
        <v>-511.68</v>
      </c>
      <c r="S102" s="582">
        <v>0</v>
      </c>
      <c r="T102" s="123">
        <f t="shared" si="47"/>
        <v>-511.68</v>
      </c>
      <c r="U102" s="25">
        <f t="shared" si="41"/>
        <v>116.22</v>
      </c>
      <c r="V102" s="123">
        <f t="shared" si="42"/>
        <v>-116.22</v>
      </c>
      <c r="W102" s="334">
        <f t="shared" si="43"/>
        <v>7.41</v>
      </c>
      <c r="Y102" s="109">
        <f>IF(AE102=1,IF(Y101=MiscData!$F$1,EOMONTH(Y101,-11),EOMONTH(Y101,1)),Y101)</f>
        <v>42429</v>
      </c>
      <c r="Z102" s="108" t="str">
        <f t="shared" si="53"/>
        <v>20140101LGUM_348</v>
      </c>
      <c r="AA102" s="126" t="str">
        <f t="shared" si="54"/>
        <v>20140101RLS</v>
      </c>
      <c r="AB102" s="583" t="str">
        <f t="shared" si="48"/>
        <v>348</v>
      </c>
      <c r="AD102" s="98">
        <f>MiscData!$X$5</f>
        <v>20140101</v>
      </c>
      <c r="AE102" s="98">
        <f>IF(AE101+1&gt;MiscData!$AC$77,1,AE101+1)</f>
        <v>26</v>
      </c>
      <c r="AF102" s="98" t="str">
        <f>VLOOKUP(AE102,MiscData!$AC$5:$AD$77,2,FALSE)</f>
        <v>LGUM_348</v>
      </c>
      <c r="AG102" s="98" t="str">
        <f>VLOOKUP(AF102,MiscData!$AD$5:$AE$77,2,FALSE)</f>
        <v>RLS</v>
      </c>
      <c r="AP102" s="98" t="s">
        <v>216</v>
      </c>
      <c r="AR102" s="98">
        <v>-10.45</v>
      </c>
    </row>
    <row r="103" spans="1:44">
      <c r="A103" s="108">
        <f t="shared" si="49"/>
        <v>100</v>
      </c>
      <c r="B103" s="109" t="str">
        <f t="shared" si="50"/>
        <v>Feb 2016</v>
      </c>
      <c r="C103" s="110" t="str">
        <f t="shared" si="51"/>
        <v>RLS</v>
      </c>
      <c r="D103" s="110" t="str">
        <f t="shared" si="52"/>
        <v>LGUM_349</v>
      </c>
      <c r="E103" s="581">
        <f t="shared" si="30"/>
        <v>17</v>
      </c>
      <c r="F103" s="581">
        <f t="shared" si="31"/>
        <v>0</v>
      </c>
      <c r="G103" s="116">
        <f t="shared" si="32"/>
        <v>9.0200000000000014</v>
      </c>
      <c r="H103" s="116">
        <f t="shared" si="33"/>
        <v>0.91000000000000014</v>
      </c>
      <c r="I103" s="118">
        <f t="shared" si="44"/>
        <v>153.34</v>
      </c>
      <c r="J103" s="118">
        <f t="shared" si="34"/>
        <v>153.34</v>
      </c>
      <c r="K103" s="570">
        <f t="shared" si="45"/>
        <v>0</v>
      </c>
      <c r="L103" s="121">
        <f t="shared" si="35"/>
        <v>0</v>
      </c>
      <c r="M103" s="122">
        <f t="shared" si="36"/>
        <v>0</v>
      </c>
      <c r="N103" s="122">
        <f t="shared" si="37"/>
        <v>0</v>
      </c>
      <c r="O103" s="122">
        <f t="shared" si="38"/>
        <v>0</v>
      </c>
      <c r="P103" s="122">
        <f t="shared" si="39"/>
        <v>0</v>
      </c>
      <c r="Q103" s="123">
        <f t="shared" si="40"/>
        <v>153.34</v>
      </c>
      <c r="R103" s="123">
        <f t="shared" si="46"/>
        <v>-153.34</v>
      </c>
      <c r="S103" s="582">
        <v>0</v>
      </c>
      <c r="T103" s="123">
        <f t="shared" si="47"/>
        <v>-153.34</v>
      </c>
      <c r="U103" s="25">
        <f t="shared" si="41"/>
        <v>15.47</v>
      </c>
      <c r="V103" s="123">
        <f t="shared" si="42"/>
        <v>-15.47</v>
      </c>
      <c r="W103" s="334">
        <f t="shared" si="43"/>
        <v>2.3800000000000003</v>
      </c>
      <c r="Y103" s="109">
        <f>IF(AE103=1,IF(Y102=MiscData!$F$1,EOMONTH(Y102,-11),EOMONTH(Y102,1)),Y102)</f>
        <v>42429</v>
      </c>
      <c r="Z103" s="108" t="str">
        <f t="shared" si="53"/>
        <v>20140101LGUM_349</v>
      </c>
      <c r="AA103" s="126" t="str">
        <f t="shared" si="54"/>
        <v>20140101RLS</v>
      </c>
      <c r="AB103" s="583" t="str">
        <f t="shared" si="48"/>
        <v>349</v>
      </c>
      <c r="AD103" s="98">
        <f>MiscData!$X$5</f>
        <v>20140101</v>
      </c>
      <c r="AE103" s="98">
        <f>IF(AE102+1&gt;MiscData!$AC$77,1,AE102+1)</f>
        <v>27</v>
      </c>
      <c r="AF103" s="98" t="str">
        <f>VLOOKUP(AE103,MiscData!$AC$5:$AD$77,2,FALSE)</f>
        <v>LGUM_349</v>
      </c>
      <c r="AG103" s="98" t="str">
        <f>VLOOKUP(AF103,MiscData!$AD$5:$AE$77,2,FALSE)</f>
        <v>RLS</v>
      </c>
      <c r="AP103" s="98" t="s">
        <v>217</v>
      </c>
      <c r="AR103" s="98">
        <v>0</v>
      </c>
    </row>
    <row r="104" spans="1:44">
      <c r="A104" s="108">
        <f t="shared" si="49"/>
        <v>101</v>
      </c>
      <c r="B104" s="109" t="str">
        <f t="shared" si="50"/>
        <v>Feb 2016</v>
      </c>
      <c r="C104" s="110" t="str">
        <f t="shared" si="51"/>
        <v xml:space="preserve">LS </v>
      </c>
      <c r="D104" s="110" t="str">
        <f t="shared" si="52"/>
        <v>LGUM_400</v>
      </c>
      <c r="E104" s="581">
        <f t="shared" si="30"/>
        <v>33</v>
      </c>
      <c r="F104" s="581">
        <f t="shared" si="31"/>
        <v>0</v>
      </c>
      <c r="G104" s="116">
        <f t="shared" si="32"/>
        <v>23.89</v>
      </c>
      <c r="H104" s="116">
        <f t="shared" si="33"/>
        <v>1.0199999999999996</v>
      </c>
      <c r="I104" s="118">
        <f t="shared" si="44"/>
        <v>788.37</v>
      </c>
      <c r="J104" s="118">
        <f t="shared" si="34"/>
        <v>788.37</v>
      </c>
      <c r="K104" s="570">
        <f t="shared" si="45"/>
        <v>0</v>
      </c>
      <c r="L104" s="121">
        <f t="shared" si="35"/>
        <v>0</v>
      </c>
      <c r="M104" s="122">
        <f t="shared" si="36"/>
        <v>0</v>
      </c>
      <c r="N104" s="122">
        <f t="shared" si="37"/>
        <v>0</v>
      </c>
      <c r="O104" s="122">
        <f t="shared" si="38"/>
        <v>0</v>
      </c>
      <c r="P104" s="122">
        <f t="shared" si="39"/>
        <v>0</v>
      </c>
      <c r="Q104" s="123">
        <f t="shared" si="40"/>
        <v>788.37</v>
      </c>
      <c r="R104" s="123">
        <f t="shared" si="46"/>
        <v>-788.37</v>
      </c>
      <c r="S104" s="582">
        <v>0</v>
      </c>
      <c r="T104" s="123">
        <f t="shared" si="47"/>
        <v>-788.37</v>
      </c>
      <c r="U104" s="25">
        <f t="shared" si="41"/>
        <v>33.659999999999997</v>
      </c>
      <c r="V104" s="123">
        <f t="shared" si="42"/>
        <v>-33.659999999999997</v>
      </c>
      <c r="W104" s="334">
        <f t="shared" si="43"/>
        <v>12.209999999999999</v>
      </c>
      <c r="Y104" s="109">
        <f>IF(AE104=1,IF(Y103=MiscData!$F$1,EOMONTH(Y103,-11),EOMONTH(Y103,1)),Y103)</f>
        <v>42429</v>
      </c>
      <c r="Z104" s="108" t="str">
        <f t="shared" si="53"/>
        <v>20140101LGUM_400</v>
      </c>
      <c r="AA104" s="126" t="str">
        <f t="shared" si="54"/>
        <v xml:space="preserve">20140101LS </v>
      </c>
      <c r="AB104" s="583" t="str">
        <f t="shared" si="48"/>
        <v>400</v>
      </c>
      <c r="AD104" s="98">
        <f>MiscData!$X$5</f>
        <v>20140101</v>
      </c>
      <c r="AE104" s="98">
        <f>IF(AE103+1&gt;MiscData!$AC$77,1,AE103+1)</f>
        <v>28</v>
      </c>
      <c r="AF104" s="98" t="str">
        <f>VLOOKUP(AE104,MiscData!$AC$5:$AD$77,2,FALSE)</f>
        <v>LGUM_400</v>
      </c>
      <c r="AG104" s="98" t="str">
        <f>VLOOKUP(AF104,MiscData!$AD$5:$AE$77,2,FALSE)</f>
        <v xml:space="preserve">LS </v>
      </c>
      <c r="AP104" s="98" t="s">
        <v>344</v>
      </c>
      <c r="AR104" s="98">
        <v>0</v>
      </c>
    </row>
    <row r="105" spans="1:44">
      <c r="A105" s="108">
        <f t="shared" si="49"/>
        <v>102</v>
      </c>
      <c r="B105" s="109" t="str">
        <f t="shared" si="50"/>
        <v>Feb 2016</v>
      </c>
      <c r="C105" s="110" t="str">
        <f t="shared" si="51"/>
        <v xml:space="preserve">LS </v>
      </c>
      <c r="D105" s="110" t="str">
        <f t="shared" si="52"/>
        <v>LGUM_401</v>
      </c>
      <c r="E105" s="581">
        <f t="shared" si="30"/>
        <v>4</v>
      </c>
      <c r="F105" s="581">
        <f t="shared" si="31"/>
        <v>0</v>
      </c>
      <c r="G105" s="116">
        <f t="shared" si="32"/>
        <v>24.9</v>
      </c>
      <c r="H105" s="116">
        <f t="shared" si="33"/>
        <v>1.0599999999999987</v>
      </c>
      <c r="I105" s="118">
        <f t="shared" si="44"/>
        <v>99.6</v>
      </c>
      <c r="J105" s="118">
        <f t="shared" si="34"/>
        <v>99.6</v>
      </c>
      <c r="K105" s="570">
        <f t="shared" si="45"/>
        <v>0</v>
      </c>
      <c r="L105" s="121">
        <f t="shared" si="35"/>
        <v>0</v>
      </c>
      <c r="M105" s="122">
        <f t="shared" si="36"/>
        <v>0</v>
      </c>
      <c r="N105" s="122">
        <f t="shared" si="37"/>
        <v>0</v>
      </c>
      <c r="O105" s="122">
        <f t="shared" si="38"/>
        <v>0</v>
      </c>
      <c r="P105" s="122">
        <f t="shared" si="39"/>
        <v>0</v>
      </c>
      <c r="Q105" s="123">
        <f t="shared" si="40"/>
        <v>99.6</v>
      </c>
      <c r="R105" s="123">
        <f t="shared" si="46"/>
        <v>-99.6</v>
      </c>
      <c r="S105" s="582">
        <v>0</v>
      </c>
      <c r="T105" s="123">
        <f t="shared" si="47"/>
        <v>-99.6</v>
      </c>
      <c r="U105" s="25">
        <f t="shared" si="41"/>
        <v>4.24</v>
      </c>
      <c r="V105" s="123">
        <f t="shared" si="42"/>
        <v>-4.24</v>
      </c>
      <c r="W105" s="334">
        <f t="shared" si="43"/>
        <v>1.08</v>
      </c>
      <c r="Y105" s="109">
        <f>IF(AE105=1,IF(Y104=MiscData!$F$1,EOMONTH(Y104,-11),EOMONTH(Y104,1)),Y104)</f>
        <v>42429</v>
      </c>
      <c r="Z105" s="108" t="str">
        <f t="shared" si="53"/>
        <v>20140101LGUM_401</v>
      </c>
      <c r="AA105" s="126" t="str">
        <f t="shared" si="54"/>
        <v xml:space="preserve">20140101LS </v>
      </c>
      <c r="AB105" s="583" t="str">
        <f t="shared" si="48"/>
        <v>401</v>
      </c>
      <c r="AD105" s="98">
        <f>MiscData!$X$5</f>
        <v>20140101</v>
      </c>
      <c r="AE105" s="98">
        <f>IF(AE104+1&gt;MiscData!$AC$77,1,AE104+1)</f>
        <v>29</v>
      </c>
      <c r="AF105" s="98" t="str">
        <f>VLOOKUP(AE105,MiscData!$AC$5:$AD$77,2,FALSE)</f>
        <v>LGUM_401</v>
      </c>
      <c r="AG105" s="98" t="str">
        <f>VLOOKUP(AF105,MiscData!$AD$5:$AE$77,2,FALSE)</f>
        <v xml:space="preserve">LS </v>
      </c>
      <c r="AP105" s="98" t="s">
        <v>218</v>
      </c>
      <c r="AR105" s="98">
        <v>0</v>
      </c>
    </row>
    <row r="106" spans="1:44">
      <c r="A106" s="108">
        <f t="shared" si="49"/>
        <v>103</v>
      </c>
      <c r="B106" s="109" t="str">
        <f t="shared" si="50"/>
        <v>Feb 2016</v>
      </c>
      <c r="C106" s="110" t="str">
        <f t="shared" si="51"/>
        <v xml:space="preserve">LS </v>
      </c>
      <c r="D106" s="110" t="str">
        <f t="shared" si="52"/>
        <v>LGUM_412</v>
      </c>
      <c r="E106" s="581">
        <f t="shared" si="30"/>
        <v>223</v>
      </c>
      <c r="F106" s="581">
        <f t="shared" si="31"/>
        <v>0</v>
      </c>
      <c r="G106" s="116">
        <f t="shared" si="32"/>
        <v>19.79</v>
      </c>
      <c r="H106" s="116">
        <f t="shared" si="33"/>
        <v>0.74999999999999645</v>
      </c>
      <c r="I106" s="118">
        <f t="shared" si="44"/>
        <v>4413.17</v>
      </c>
      <c r="J106" s="118">
        <f t="shared" si="34"/>
        <v>4413.17</v>
      </c>
      <c r="K106" s="570">
        <f t="shared" si="45"/>
        <v>0</v>
      </c>
      <c r="L106" s="121">
        <f t="shared" si="35"/>
        <v>0</v>
      </c>
      <c r="M106" s="122">
        <f t="shared" si="36"/>
        <v>0</v>
      </c>
      <c r="N106" s="122">
        <f t="shared" si="37"/>
        <v>0</v>
      </c>
      <c r="O106" s="122">
        <f t="shared" si="38"/>
        <v>0</v>
      </c>
      <c r="P106" s="122">
        <f t="shared" si="39"/>
        <v>0</v>
      </c>
      <c r="Q106" s="123">
        <f t="shared" si="40"/>
        <v>4413.17</v>
      </c>
      <c r="R106" s="123">
        <f t="shared" si="46"/>
        <v>-4413.17</v>
      </c>
      <c r="S106" s="582">
        <v>0</v>
      </c>
      <c r="T106" s="123">
        <f t="shared" si="47"/>
        <v>-4413.17</v>
      </c>
      <c r="U106" s="25">
        <f t="shared" si="41"/>
        <v>167.25</v>
      </c>
      <c r="V106" s="123">
        <f t="shared" si="42"/>
        <v>-167.25</v>
      </c>
      <c r="W106" s="334">
        <f t="shared" si="43"/>
        <v>57.980000000000004</v>
      </c>
      <c r="Y106" s="109">
        <f>IF(AE106=1,IF(Y105=MiscData!$F$1,EOMONTH(Y105,-11),EOMONTH(Y105,1)),Y105)</f>
        <v>42429</v>
      </c>
      <c r="Z106" s="108" t="str">
        <f t="shared" si="53"/>
        <v>20140101LGUM_412</v>
      </c>
      <c r="AA106" s="126" t="str">
        <f t="shared" si="54"/>
        <v xml:space="preserve">20140101LS </v>
      </c>
      <c r="AB106" s="583" t="str">
        <f t="shared" si="48"/>
        <v>412</v>
      </c>
      <c r="AD106" s="98">
        <f>MiscData!$X$5</f>
        <v>20140101</v>
      </c>
      <c r="AE106" s="98">
        <f>IF(AE105+1&gt;MiscData!$AC$77,1,AE105+1)</f>
        <v>30</v>
      </c>
      <c r="AF106" s="98" t="str">
        <f>VLOOKUP(AE106,MiscData!$AC$5:$AD$77,2,FALSE)</f>
        <v>LGUM_412</v>
      </c>
      <c r="AG106" s="98" t="str">
        <f>VLOOKUP(AF106,MiscData!$AD$5:$AE$77,2,FALSE)</f>
        <v xml:space="preserve">LS </v>
      </c>
      <c r="AP106" s="98" t="s">
        <v>219</v>
      </c>
      <c r="AR106" s="98">
        <v>0</v>
      </c>
    </row>
    <row r="107" spans="1:44">
      <c r="A107" s="108">
        <f t="shared" si="49"/>
        <v>104</v>
      </c>
      <c r="B107" s="109" t="str">
        <f t="shared" si="50"/>
        <v>Feb 2016</v>
      </c>
      <c r="C107" s="110" t="str">
        <f t="shared" si="51"/>
        <v xml:space="preserve">LS </v>
      </c>
      <c r="D107" s="110" t="str">
        <f t="shared" si="52"/>
        <v>LGUM_413</v>
      </c>
      <c r="E107" s="581">
        <f t="shared" si="30"/>
        <v>2038</v>
      </c>
      <c r="F107" s="581">
        <f t="shared" si="31"/>
        <v>0</v>
      </c>
      <c r="G107" s="116">
        <f t="shared" si="32"/>
        <v>20.49</v>
      </c>
      <c r="H107" s="116">
        <f t="shared" si="33"/>
        <v>1.0599999999999987</v>
      </c>
      <c r="I107" s="118">
        <f t="shared" si="44"/>
        <v>41758.620000000003</v>
      </c>
      <c r="J107" s="118">
        <f t="shared" si="34"/>
        <v>41758.620000000003</v>
      </c>
      <c r="K107" s="570">
        <f t="shared" si="45"/>
        <v>0</v>
      </c>
      <c r="L107" s="121">
        <f t="shared" si="35"/>
        <v>0</v>
      </c>
      <c r="M107" s="122">
        <f t="shared" si="36"/>
        <v>0</v>
      </c>
      <c r="N107" s="122">
        <f t="shared" si="37"/>
        <v>0</v>
      </c>
      <c r="O107" s="122">
        <f t="shared" si="38"/>
        <v>0</v>
      </c>
      <c r="P107" s="122">
        <f t="shared" si="39"/>
        <v>0</v>
      </c>
      <c r="Q107" s="123">
        <f t="shared" si="40"/>
        <v>41758.620000000003</v>
      </c>
      <c r="R107" s="123">
        <f t="shared" si="46"/>
        <v>-41758.620000000003</v>
      </c>
      <c r="S107" s="582">
        <v>0</v>
      </c>
      <c r="T107" s="123">
        <f t="shared" si="47"/>
        <v>-41758.620000000003</v>
      </c>
      <c r="U107" s="25">
        <f t="shared" si="41"/>
        <v>2160.2800000000002</v>
      </c>
      <c r="V107" s="123">
        <f t="shared" si="42"/>
        <v>-2160.2800000000002</v>
      </c>
      <c r="W107" s="334">
        <f t="shared" si="43"/>
        <v>550.26</v>
      </c>
      <c r="Y107" s="109">
        <f>IF(AE107=1,IF(Y106=MiscData!$F$1,EOMONTH(Y106,-11),EOMONTH(Y106,1)),Y106)</f>
        <v>42429</v>
      </c>
      <c r="Z107" s="108" t="str">
        <f t="shared" si="53"/>
        <v>20140101LGUM_413</v>
      </c>
      <c r="AA107" s="126" t="str">
        <f t="shared" si="54"/>
        <v xml:space="preserve">20140101LS </v>
      </c>
      <c r="AB107" s="583" t="str">
        <f t="shared" si="48"/>
        <v>413</v>
      </c>
      <c r="AD107" s="98">
        <f>MiscData!$X$5</f>
        <v>20140101</v>
      </c>
      <c r="AE107" s="98">
        <f>IF(AE106+1&gt;MiscData!$AC$77,1,AE106+1)</f>
        <v>31</v>
      </c>
      <c r="AF107" s="98" t="str">
        <f>VLOOKUP(AE107,MiscData!$AC$5:$AD$77,2,FALSE)</f>
        <v>LGUM_413</v>
      </c>
      <c r="AG107" s="98" t="str">
        <f>VLOOKUP(AF107,MiscData!$AD$5:$AE$77,2,FALSE)</f>
        <v xml:space="preserve">LS </v>
      </c>
      <c r="AP107" s="98" t="s">
        <v>220</v>
      </c>
      <c r="AR107" s="98">
        <v>0</v>
      </c>
    </row>
    <row r="108" spans="1:44">
      <c r="A108" s="108">
        <f t="shared" si="49"/>
        <v>105</v>
      </c>
      <c r="B108" s="109" t="str">
        <f t="shared" si="50"/>
        <v>Feb 2016</v>
      </c>
      <c r="C108" s="110" t="str">
        <f t="shared" si="51"/>
        <v xml:space="preserve">LS </v>
      </c>
      <c r="D108" s="110" t="str">
        <f t="shared" si="52"/>
        <v>LGUM_415</v>
      </c>
      <c r="E108" s="581">
        <f t="shared" si="30"/>
        <v>32</v>
      </c>
      <c r="F108" s="581">
        <f t="shared" si="31"/>
        <v>0</v>
      </c>
      <c r="G108" s="116">
        <f t="shared" si="32"/>
        <v>20.18</v>
      </c>
      <c r="H108" s="116">
        <f t="shared" si="33"/>
        <v>0.75</v>
      </c>
      <c r="I108" s="118">
        <f t="shared" si="44"/>
        <v>645.76</v>
      </c>
      <c r="J108" s="118">
        <f t="shared" si="34"/>
        <v>645.76</v>
      </c>
      <c r="K108" s="570">
        <f t="shared" si="45"/>
        <v>0</v>
      </c>
      <c r="L108" s="121">
        <f t="shared" si="35"/>
        <v>0</v>
      </c>
      <c r="M108" s="122">
        <f t="shared" si="36"/>
        <v>0</v>
      </c>
      <c r="N108" s="122">
        <f t="shared" si="37"/>
        <v>0</v>
      </c>
      <c r="O108" s="122">
        <f t="shared" si="38"/>
        <v>0</v>
      </c>
      <c r="P108" s="122">
        <f t="shared" si="39"/>
        <v>0</v>
      </c>
      <c r="Q108" s="123">
        <f t="shared" si="40"/>
        <v>645.76</v>
      </c>
      <c r="R108" s="123">
        <f t="shared" si="46"/>
        <v>-645.76</v>
      </c>
      <c r="S108" s="582">
        <v>0</v>
      </c>
      <c r="T108" s="123">
        <f t="shared" si="47"/>
        <v>-645.76</v>
      </c>
      <c r="U108" s="25">
        <f t="shared" si="41"/>
        <v>24</v>
      </c>
      <c r="V108" s="123">
        <f t="shared" si="42"/>
        <v>-24</v>
      </c>
      <c r="W108" s="334">
        <f t="shared" si="43"/>
        <v>8.32</v>
      </c>
      <c r="Y108" s="109">
        <f>IF(AE108=1,IF(Y107=MiscData!$F$1,EOMONTH(Y107,-11),EOMONTH(Y107,1)),Y107)</f>
        <v>42429</v>
      </c>
      <c r="Z108" s="108" t="str">
        <f t="shared" si="53"/>
        <v>20140101LGUM_415</v>
      </c>
      <c r="AA108" s="126" t="str">
        <f t="shared" si="54"/>
        <v xml:space="preserve">20140101LS </v>
      </c>
      <c r="AB108" s="583" t="str">
        <f t="shared" si="48"/>
        <v>415</v>
      </c>
      <c r="AD108" s="98">
        <f>MiscData!$X$5</f>
        <v>20140101</v>
      </c>
      <c r="AE108" s="98">
        <f>IF(AE107+1&gt;MiscData!$AC$77,1,AE107+1)</f>
        <v>32</v>
      </c>
      <c r="AF108" s="98" t="str">
        <f>VLOOKUP(AE108,MiscData!$AC$5:$AD$77,2,FALSE)</f>
        <v>LGUM_415</v>
      </c>
      <c r="AG108" s="98" t="str">
        <f>VLOOKUP(AF108,MiscData!$AD$5:$AE$77,2,FALSE)</f>
        <v xml:space="preserve">LS </v>
      </c>
      <c r="AP108" s="98" t="s">
        <v>345</v>
      </c>
      <c r="AR108" s="98">
        <v>0</v>
      </c>
    </row>
    <row r="109" spans="1:44">
      <c r="A109" s="108">
        <f t="shared" si="49"/>
        <v>106</v>
      </c>
      <c r="B109" s="109" t="str">
        <f t="shared" si="50"/>
        <v>Feb 2016</v>
      </c>
      <c r="C109" s="110" t="str">
        <f t="shared" si="51"/>
        <v xml:space="preserve">LS </v>
      </c>
      <c r="D109" s="110" t="str">
        <f t="shared" si="52"/>
        <v>LGUM_416</v>
      </c>
      <c r="E109" s="581">
        <f t="shared" si="30"/>
        <v>1811</v>
      </c>
      <c r="F109" s="581">
        <f t="shared" si="31"/>
        <v>0</v>
      </c>
      <c r="G109" s="116">
        <f t="shared" si="32"/>
        <v>22.56</v>
      </c>
      <c r="H109" s="116">
        <f t="shared" si="33"/>
        <v>1.0599999999999987</v>
      </c>
      <c r="I109" s="118">
        <f t="shared" si="44"/>
        <v>40856.160000000003</v>
      </c>
      <c r="J109" s="118">
        <f t="shared" si="34"/>
        <v>40856.160000000003</v>
      </c>
      <c r="K109" s="570">
        <f t="shared" si="45"/>
        <v>0</v>
      </c>
      <c r="L109" s="121">
        <f t="shared" si="35"/>
        <v>0</v>
      </c>
      <c r="M109" s="122">
        <f t="shared" si="36"/>
        <v>0</v>
      </c>
      <c r="N109" s="122">
        <f t="shared" si="37"/>
        <v>0</v>
      </c>
      <c r="O109" s="122">
        <f t="shared" si="38"/>
        <v>0</v>
      </c>
      <c r="P109" s="122">
        <f t="shared" si="39"/>
        <v>0</v>
      </c>
      <c r="Q109" s="123">
        <f t="shared" si="40"/>
        <v>40856.160000000003</v>
      </c>
      <c r="R109" s="123">
        <f t="shared" si="46"/>
        <v>-40856.160000000003</v>
      </c>
      <c r="S109" s="582">
        <v>0</v>
      </c>
      <c r="T109" s="123">
        <f t="shared" si="47"/>
        <v>-40856.160000000003</v>
      </c>
      <c r="U109" s="25">
        <f t="shared" si="41"/>
        <v>1919.66</v>
      </c>
      <c r="V109" s="123">
        <f t="shared" si="42"/>
        <v>-1919.66</v>
      </c>
      <c r="W109" s="334">
        <f t="shared" si="43"/>
        <v>488.97</v>
      </c>
      <c r="Y109" s="109">
        <f>IF(AE109=1,IF(Y108=MiscData!$F$1,EOMONTH(Y108,-11),EOMONTH(Y108,1)),Y108)</f>
        <v>42429</v>
      </c>
      <c r="Z109" s="108" t="str">
        <f t="shared" si="53"/>
        <v>20140101LGUM_416</v>
      </c>
      <c r="AA109" s="126" t="str">
        <f t="shared" si="54"/>
        <v xml:space="preserve">20140101LS </v>
      </c>
      <c r="AB109" s="583" t="str">
        <f t="shared" si="48"/>
        <v>416</v>
      </c>
      <c r="AD109" s="98">
        <f>MiscData!$X$5</f>
        <v>20140101</v>
      </c>
      <c r="AE109" s="98">
        <f>IF(AE108+1&gt;MiscData!$AC$77,1,AE108+1)</f>
        <v>33</v>
      </c>
      <c r="AF109" s="98" t="str">
        <f>VLOOKUP(AE109,MiscData!$AC$5:$AD$77,2,FALSE)</f>
        <v>LGUM_416</v>
      </c>
      <c r="AG109" s="98" t="str">
        <f>VLOOKUP(AF109,MiscData!$AD$5:$AE$77,2,FALSE)</f>
        <v xml:space="preserve">LS </v>
      </c>
      <c r="AP109" s="98" t="s">
        <v>346</v>
      </c>
      <c r="AR109" s="98">
        <v>0</v>
      </c>
    </row>
    <row r="110" spans="1:44">
      <c r="A110" s="108">
        <f t="shared" si="49"/>
        <v>107</v>
      </c>
      <c r="B110" s="109" t="str">
        <f t="shared" si="50"/>
        <v>Feb 2016</v>
      </c>
      <c r="C110" s="110" t="str">
        <f t="shared" si="51"/>
        <v>RLS</v>
      </c>
      <c r="D110" s="110" t="str">
        <f t="shared" si="52"/>
        <v>LGUM_417</v>
      </c>
      <c r="E110" s="581">
        <f t="shared" si="30"/>
        <v>35</v>
      </c>
      <c r="F110" s="581">
        <f t="shared" si="31"/>
        <v>0</v>
      </c>
      <c r="G110" s="116">
        <f t="shared" si="32"/>
        <v>23.68</v>
      </c>
      <c r="H110" s="116">
        <f t="shared" si="33"/>
        <v>1.0300000000000011</v>
      </c>
      <c r="I110" s="118">
        <f t="shared" si="44"/>
        <v>828.8</v>
      </c>
      <c r="J110" s="118">
        <f t="shared" si="34"/>
        <v>828.8</v>
      </c>
      <c r="K110" s="570">
        <f t="shared" si="45"/>
        <v>0</v>
      </c>
      <c r="L110" s="121">
        <f t="shared" si="35"/>
        <v>0</v>
      </c>
      <c r="M110" s="122">
        <f t="shared" si="36"/>
        <v>0</v>
      </c>
      <c r="N110" s="122">
        <f t="shared" si="37"/>
        <v>0</v>
      </c>
      <c r="O110" s="122">
        <f t="shared" si="38"/>
        <v>0</v>
      </c>
      <c r="P110" s="122">
        <f t="shared" si="39"/>
        <v>0</v>
      </c>
      <c r="Q110" s="123">
        <f t="shared" si="40"/>
        <v>828.8</v>
      </c>
      <c r="R110" s="123">
        <f t="shared" si="46"/>
        <v>-828.8</v>
      </c>
      <c r="S110" s="582">
        <v>0</v>
      </c>
      <c r="T110" s="123">
        <f t="shared" si="47"/>
        <v>-828.8</v>
      </c>
      <c r="U110" s="25">
        <f t="shared" si="41"/>
        <v>36.049999999999997</v>
      </c>
      <c r="V110" s="123">
        <f t="shared" si="42"/>
        <v>-36.049999999999997</v>
      </c>
      <c r="W110" s="334">
        <f t="shared" si="43"/>
        <v>9.4500000000000011</v>
      </c>
      <c r="Y110" s="109">
        <f>IF(AE110=1,IF(Y109=MiscData!$F$1,EOMONTH(Y109,-11),EOMONTH(Y109,1)),Y109)</f>
        <v>42429</v>
      </c>
      <c r="Z110" s="108" t="str">
        <f t="shared" si="53"/>
        <v>20140101LGUM_417</v>
      </c>
      <c r="AA110" s="126" t="str">
        <f t="shared" si="54"/>
        <v>20140101RLS</v>
      </c>
      <c r="AB110" s="583" t="str">
        <f t="shared" si="48"/>
        <v>417</v>
      </c>
      <c r="AD110" s="98">
        <f>MiscData!$X$5</f>
        <v>20140101</v>
      </c>
      <c r="AE110" s="98">
        <f>IF(AE109+1&gt;MiscData!$AC$77,1,AE109+1)</f>
        <v>34</v>
      </c>
      <c r="AF110" s="98" t="str">
        <f>VLOOKUP(AE110,MiscData!$AC$5:$AD$77,2,FALSE)</f>
        <v>LGUM_417</v>
      </c>
      <c r="AG110" s="98" t="str">
        <f>VLOOKUP(AF110,MiscData!$AD$5:$AE$77,2,FALSE)</f>
        <v>RLS</v>
      </c>
      <c r="AP110" s="98" t="s">
        <v>347</v>
      </c>
      <c r="AR110" s="98">
        <v>0</v>
      </c>
    </row>
    <row r="111" spans="1:44">
      <c r="A111" s="108">
        <f t="shared" si="49"/>
        <v>108</v>
      </c>
      <c r="B111" s="109" t="str">
        <f t="shared" si="50"/>
        <v>Feb 2016</v>
      </c>
      <c r="C111" s="110" t="str">
        <f t="shared" si="51"/>
        <v>RLS</v>
      </c>
      <c r="D111" s="110" t="str">
        <f t="shared" si="52"/>
        <v>LGUM_419</v>
      </c>
      <c r="E111" s="581">
        <f t="shared" si="30"/>
        <v>111</v>
      </c>
      <c r="F111" s="581">
        <f t="shared" si="31"/>
        <v>0</v>
      </c>
      <c r="G111" s="116">
        <f t="shared" si="32"/>
        <v>24.77</v>
      </c>
      <c r="H111" s="116">
        <f t="shared" si="33"/>
        <v>1.6499999999999986</v>
      </c>
      <c r="I111" s="118">
        <f t="shared" si="44"/>
        <v>2749.47</v>
      </c>
      <c r="J111" s="118">
        <f t="shared" si="34"/>
        <v>2749.47</v>
      </c>
      <c r="K111" s="570">
        <f t="shared" si="45"/>
        <v>0</v>
      </c>
      <c r="L111" s="121">
        <f t="shared" si="35"/>
        <v>0</v>
      </c>
      <c r="M111" s="122">
        <f t="shared" si="36"/>
        <v>0</v>
      </c>
      <c r="N111" s="122">
        <f t="shared" si="37"/>
        <v>0</v>
      </c>
      <c r="O111" s="122">
        <f t="shared" si="38"/>
        <v>0</v>
      </c>
      <c r="P111" s="122">
        <f t="shared" si="39"/>
        <v>0</v>
      </c>
      <c r="Q111" s="123">
        <f t="shared" si="40"/>
        <v>2749.47</v>
      </c>
      <c r="R111" s="123">
        <f t="shared" si="46"/>
        <v>-2749.47</v>
      </c>
      <c r="S111" s="582">
        <v>0</v>
      </c>
      <c r="T111" s="123">
        <f t="shared" si="47"/>
        <v>-2749.47</v>
      </c>
      <c r="U111" s="25">
        <f t="shared" si="41"/>
        <v>183.15</v>
      </c>
      <c r="V111" s="123">
        <f t="shared" si="42"/>
        <v>-183.15</v>
      </c>
      <c r="W111" s="334">
        <f t="shared" si="43"/>
        <v>41.07</v>
      </c>
      <c r="Y111" s="109">
        <f>IF(AE111=1,IF(Y110=MiscData!$F$1,EOMONTH(Y110,-11),EOMONTH(Y110,1)),Y110)</f>
        <v>42429</v>
      </c>
      <c r="Z111" s="108" t="str">
        <f t="shared" si="53"/>
        <v>20140101LGUM_419</v>
      </c>
      <c r="AA111" s="126" t="str">
        <f t="shared" si="54"/>
        <v>20140101RLS</v>
      </c>
      <c r="AB111" s="583" t="str">
        <f t="shared" si="48"/>
        <v>419</v>
      </c>
      <c r="AD111" s="98">
        <f>MiscData!$X$5</f>
        <v>20140101</v>
      </c>
      <c r="AE111" s="98">
        <f>IF(AE110+1&gt;MiscData!$AC$77,1,AE110+1)</f>
        <v>35</v>
      </c>
      <c r="AF111" s="98" t="str">
        <f>VLOOKUP(AE111,MiscData!$AC$5:$AD$77,2,FALSE)</f>
        <v>LGUM_419</v>
      </c>
      <c r="AG111" s="98" t="str">
        <f>VLOOKUP(AF111,MiscData!$AD$5:$AE$77,2,FALSE)</f>
        <v>RLS</v>
      </c>
      <c r="AP111" s="98" t="s">
        <v>221</v>
      </c>
      <c r="AR111" s="98">
        <v>0</v>
      </c>
    </row>
    <row r="112" spans="1:44">
      <c r="A112" s="108">
        <f t="shared" si="49"/>
        <v>109</v>
      </c>
      <c r="B112" s="109" t="str">
        <f t="shared" si="50"/>
        <v>Feb 2016</v>
      </c>
      <c r="C112" s="110" t="str">
        <f t="shared" si="51"/>
        <v xml:space="preserve">LS </v>
      </c>
      <c r="D112" s="110" t="str">
        <f t="shared" si="52"/>
        <v>LGUM_420</v>
      </c>
      <c r="E112" s="581">
        <f t="shared" si="30"/>
        <v>53</v>
      </c>
      <c r="F112" s="581">
        <f t="shared" si="31"/>
        <v>0</v>
      </c>
      <c r="G112" s="116">
        <f t="shared" si="32"/>
        <v>29.889999999999997</v>
      </c>
      <c r="H112" s="116">
        <f t="shared" si="33"/>
        <v>1.6499999999999986</v>
      </c>
      <c r="I112" s="118">
        <f t="shared" si="44"/>
        <v>1584.17</v>
      </c>
      <c r="J112" s="118">
        <f t="shared" si="34"/>
        <v>1584.17</v>
      </c>
      <c r="K112" s="570">
        <f t="shared" si="45"/>
        <v>0</v>
      </c>
      <c r="L112" s="121">
        <f t="shared" si="35"/>
        <v>0</v>
      </c>
      <c r="M112" s="122">
        <f t="shared" si="36"/>
        <v>0</v>
      </c>
      <c r="N112" s="122">
        <f t="shared" si="37"/>
        <v>0</v>
      </c>
      <c r="O112" s="122">
        <f t="shared" si="38"/>
        <v>0</v>
      </c>
      <c r="P112" s="122">
        <f t="shared" si="39"/>
        <v>0</v>
      </c>
      <c r="Q112" s="123">
        <f t="shared" si="40"/>
        <v>1584.17</v>
      </c>
      <c r="R112" s="123">
        <f t="shared" si="46"/>
        <v>-1584.17</v>
      </c>
      <c r="S112" s="582">
        <v>0</v>
      </c>
      <c r="T112" s="123">
        <f t="shared" si="47"/>
        <v>-1584.17</v>
      </c>
      <c r="U112" s="25">
        <f t="shared" si="41"/>
        <v>87.45</v>
      </c>
      <c r="V112" s="123">
        <f t="shared" si="42"/>
        <v>-87.45</v>
      </c>
      <c r="W112" s="334">
        <f t="shared" si="43"/>
        <v>12.719999999999999</v>
      </c>
      <c r="Y112" s="109">
        <f>IF(AE112=1,IF(Y111=MiscData!$F$1,EOMONTH(Y111,-11),EOMONTH(Y111,1)),Y111)</f>
        <v>42429</v>
      </c>
      <c r="Z112" s="108" t="str">
        <f t="shared" si="53"/>
        <v>20140101LGUM_420</v>
      </c>
      <c r="AA112" s="126" t="str">
        <f t="shared" si="54"/>
        <v xml:space="preserve">20140101LS </v>
      </c>
      <c r="AB112" s="583" t="str">
        <f t="shared" si="48"/>
        <v>420</v>
      </c>
      <c r="AD112" s="98">
        <f>MiscData!$X$5</f>
        <v>20140101</v>
      </c>
      <c r="AE112" s="98">
        <f>IF(AE111+1&gt;MiscData!$AC$77,1,AE111+1)</f>
        <v>36</v>
      </c>
      <c r="AF112" s="98" t="str">
        <f>VLOOKUP(AE112,MiscData!$AC$5:$AD$77,2,FALSE)</f>
        <v>LGUM_420</v>
      </c>
      <c r="AG112" s="98" t="str">
        <f>VLOOKUP(AF112,MiscData!$AD$5:$AE$77,2,FALSE)</f>
        <v xml:space="preserve">LS </v>
      </c>
      <c r="AP112" s="98" t="s">
        <v>348</v>
      </c>
      <c r="AR112" s="98">
        <v>0</v>
      </c>
    </row>
    <row r="113" spans="1:44">
      <c r="A113" s="108">
        <f t="shared" si="49"/>
        <v>110</v>
      </c>
      <c r="B113" s="109" t="str">
        <f t="shared" si="50"/>
        <v>Feb 2016</v>
      </c>
      <c r="C113" s="110" t="str">
        <f t="shared" si="51"/>
        <v xml:space="preserve">LS </v>
      </c>
      <c r="D113" s="110" t="str">
        <f t="shared" si="52"/>
        <v>LGUM_421</v>
      </c>
      <c r="E113" s="581">
        <f t="shared" si="30"/>
        <v>176</v>
      </c>
      <c r="F113" s="581">
        <f t="shared" si="31"/>
        <v>0</v>
      </c>
      <c r="G113" s="116">
        <f t="shared" si="32"/>
        <v>32.860000000000007</v>
      </c>
      <c r="H113" s="116">
        <f t="shared" si="33"/>
        <v>2.6700000000000017</v>
      </c>
      <c r="I113" s="118">
        <f t="shared" si="44"/>
        <v>5783.36</v>
      </c>
      <c r="J113" s="118">
        <f t="shared" si="34"/>
        <v>5783.36</v>
      </c>
      <c r="K113" s="570">
        <f t="shared" si="45"/>
        <v>0</v>
      </c>
      <c r="L113" s="121">
        <f t="shared" si="35"/>
        <v>0</v>
      </c>
      <c r="M113" s="122">
        <f t="shared" si="36"/>
        <v>0</v>
      </c>
      <c r="N113" s="122">
        <f t="shared" si="37"/>
        <v>0</v>
      </c>
      <c r="O113" s="122">
        <f t="shared" si="38"/>
        <v>0</v>
      </c>
      <c r="P113" s="122">
        <f t="shared" si="39"/>
        <v>0</v>
      </c>
      <c r="Q113" s="123">
        <f t="shared" si="40"/>
        <v>5783.36</v>
      </c>
      <c r="R113" s="123">
        <f t="shared" si="46"/>
        <v>-5783.36</v>
      </c>
      <c r="S113" s="582">
        <v>0</v>
      </c>
      <c r="T113" s="123">
        <f t="shared" si="47"/>
        <v>-5783.36</v>
      </c>
      <c r="U113" s="25">
        <f t="shared" si="41"/>
        <v>469.92</v>
      </c>
      <c r="V113" s="123">
        <f t="shared" si="42"/>
        <v>-469.92</v>
      </c>
      <c r="W113" s="334">
        <f t="shared" si="43"/>
        <v>47.52</v>
      </c>
      <c r="Y113" s="109">
        <f>IF(AE113=1,IF(Y112=MiscData!$F$1,EOMONTH(Y112,-11),EOMONTH(Y112,1)),Y112)</f>
        <v>42429</v>
      </c>
      <c r="Z113" s="108" t="str">
        <f t="shared" si="53"/>
        <v>20140101LGUM_421</v>
      </c>
      <c r="AA113" s="126" t="str">
        <f t="shared" si="54"/>
        <v xml:space="preserve">20140101LS </v>
      </c>
      <c r="AB113" s="583" t="str">
        <f t="shared" si="48"/>
        <v>421</v>
      </c>
      <c r="AD113" s="98">
        <f>MiscData!$X$5</f>
        <v>20140101</v>
      </c>
      <c r="AE113" s="98">
        <f>IF(AE112+1&gt;MiscData!$AC$77,1,AE112+1)</f>
        <v>37</v>
      </c>
      <c r="AF113" s="98" t="str">
        <f>VLOOKUP(AE113,MiscData!$AC$5:$AD$77,2,FALSE)</f>
        <v>LGUM_421</v>
      </c>
      <c r="AG113" s="98" t="str">
        <f>VLOOKUP(AF113,MiscData!$AD$5:$AE$77,2,FALSE)</f>
        <v xml:space="preserve">LS </v>
      </c>
      <c r="AP113" s="98" t="s">
        <v>222</v>
      </c>
      <c r="AR113" s="98">
        <v>0</v>
      </c>
    </row>
    <row r="114" spans="1:44">
      <c r="A114" s="108">
        <f t="shared" si="49"/>
        <v>111</v>
      </c>
      <c r="B114" s="109" t="str">
        <f t="shared" si="50"/>
        <v>Feb 2016</v>
      </c>
      <c r="C114" s="110" t="str">
        <f t="shared" si="51"/>
        <v xml:space="preserve">LS </v>
      </c>
      <c r="D114" s="110" t="str">
        <f t="shared" si="52"/>
        <v>LGUM_422</v>
      </c>
      <c r="E114" s="581">
        <f t="shared" si="30"/>
        <v>363</v>
      </c>
      <c r="F114" s="581">
        <f t="shared" si="31"/>
        <v>0</v>
      </c>
      <c r="G114" s="116">
        <f t="shared" si="32"/>
        <v>38.389999999999993</v>
      </c>
      <c r="H114" s="116">
        <f t="shared" si="33"/>
        <v>4.279999999999994</v>
      </c>
      <c r="I114" s="118">
        <f t="shared" si="44"/>
        <v>13935.57</v>
      </c>
      <c r="J114" s="118">
        <f t="shared" si="34"/>
        <v>13935.57</v>
      </c>
      <c r="K114" s="570">
        <f t="shared" si="45"/>
        <v>0</v>
      </c>
      <c r="L114" s="121">
        <f t="shared" si="35"/>
        <v>0</v>
      </c>
      <c r="M114" s="122">
        <f t="shared" si="36"/>
        <v>0</v>
      </c>
      <c r="N114" s="122">
        <f t="shared" si="37"/>
        <v>0</v>
      </c>
      <c r="O114" s="122">
        <f t="shared" si="38"/>
        <v>0</v>
      </c>
      <c r="P114" s="122">
        <f t="shared" si="39"/>
        <v>0</v>
      </c>
      <c r="Q114" s="123">
        <f t="shared" si="40"/>
        <v>13935.57</v>
      </c>
      <c r="R114" s="123">
        <f t="shared" si="46"/>
        <v>-13935.57</v>
      </c>
      <c r="S114" s="582">
        <v>0</v>
      </c>
      <c r="T114" s="123">
        <f t="shared" si="47"/>
        <v>-13935.57</v>
      </c>
      <c r="U114" s="25">
        <f t="shared" si="41"/>
        <v>1553.64</v>
      </c>
      <c r="V114" s="123">
        <f t="shared" si="42"/>
        <v>-1553.64</v>
      </c>
      <c r="W114" s="334">
        <f t="shared" si="43"/>
        <v>105.27</v>
      </c>
      <c r="Y114" s="109">
        <f>IF(AE114=1,IF(Y113=MiscData!$F$1,EOMONTH(Y113,-11),EOMONTH(Y113,1)),Y113)</f>
        <v>42429</v>
      </c>
      <c r="Z114" s="108" t="str">
        <f t="shared" si="53"/>
        <v>20140101LGUM_422</v>
      </c>
      <c r="AA114" s="126" t="str">
        <f t="shared" si="54"/>
        <v xml:space="preserve">20140101LS </v>
      </c>
      <c r="AB114" s="583" t="str">
        <f t="shared" si="48"/>
        <v>422</v>
      </c>
      <c r="AD114" s="98">
        <f>MiscData!$X$5</f>
        <v>20140101</v>
      </c>
      <c r="AE114" s="98">
        <f>IF(AE113+1&gt;MiscData!$AC$77,1,AE113+1)</f>
        <v>38</v>
      </c>
      <c r="AF114" s="98" t="str">
        <f>VLOOKUP(AE114,MiscData!$AC$5:$AD$77,2,FALSE)</f>
        <v>LGUM_422</v>
      </c>
      <c r="AG114" s="98" t="str">
        <f>VLOOKUP(AF114,MiscData!$AD$5:$AE$77,2,FALSE)</f>
        <v xml:space="preserve">LS </v>
      </c>
      <c r="AP114" s="98" t="s">
        <v>484</v>
      </c>
      <c r="AR114" s="98">
        <v>0</v>
      </c>
    </row>
    <row r="115" spans="1:44">
      <c r="A115" s="108">
        <f t="shared" si="49"/>
        <v>112</v>
      </c>
      <c r="B115" s="109" t="str">
        <f t="shared" si="50"/>
        <v>Feb 2016</v>
      </c>
      <c r="C115" s="110" t="str">
        <f t="shared" si="51"/>
        <v xml:space="preserve">LS </v>
      </c>
      <c r="D115" s="110" t="str">
        <f t="shared" si="52"/>
        <v>LGUM_423</v>
      </c>
      <c r="E115" s="581">
        <f t="shared" si="30"/>
        <v>17</v>
      </c>
      <c r="F115" s="581">
        <f t="shared" si="31"/>
        <v>0</v>
      </c>
      <c r="G115" s="116">
        <f t="shared" si="32"/>
        <v>26.349999999999998</v>
      </c>
      <c r="H115" s="116">
        <f t="shared" si="33"/>
        <v>1.6500000000000021</v>
      </c>
      <c r="I115" s="118">
        <f t="shared" si="44"/>
        <v>447.95</v>
      </c>
      <c r="J115" s="118">
        <f t="shared" si="34"/>
        <v>447.95</v>
      </c>
      <c r="K115" s="570">
        <f t="shared" si="45"/>
        <v>0</v>
      </c>
      <c r="L115" s="121">
        <f t="shared" si="35"/>
        <v>0</v>
      </c>
      <c r="M115" s="122">
        <f t="shared" si="36"/>
        <v>0</v>
      </c>
      <c r="N115" s="122">
        <f t="shared" si="37"/>
        <v>0</v>
      </c>
      <c r="O115" s="122">
        <f t="shared" si="38"/>
        <v>0</v>
      </c>
      <c r="P115" s="122">
        <f t="shared" si="39"/>
        <v>0</v>
      </c>
      <c r="Q115" s="123">
        <f t="shared" si="40"/>
        <v>447.95</v>
      </c>
      <c r="R115" s="123">
        <f t="shared" si="46"/>
        <v>-447.95</v>
      </c>
      <c r="S115" s="582">
        <v>0</v>
      </c>
      <c r="T115" s="123">
        <f t="shared" si="47"/>
        <v>-447.95</v>
      </c>
      <c r="U115" s="25">
        <f t="shared" si="41"/>
        <v>28.05</v>
      </c>
      <c r="V115" s="123">
        <f t="shared" si="42"/>
        <v>-28.05</v>
      </c>
      <c r="W115" s="334">
        <f t="shared" si="43"/>
        <v>4.08</v>
      </c>
      <c r="Y115" s="109">
        <f>IF(AE115=1,IF(Y114=MiscData!$F$1,EOMONTH(Y114,-11),EOMONTH(Y114,1)),Y114)</f>
        <v>42429</v>
      </c>
      <c r="Z115" s="108" t="str">
        <f t="shared" si="53"/>
        <v>20140101LGUM_423</v>
      </c>
      <c r="AA115" s="126" t="str">
        <f t="shared" si="54"/>
        <v xml:space="preserve">20140101LS </v>
      </c>
      <c r="AB115" s="583" t="str">
        <f t="shared" si="48"/>
        <v>423</v>
      </c>
      <c r="AD115" s="98">
        <f>MiscData!$X$5</f>
        <v>20140101</v>
      </c>
      <c r="AE115" s="98">
        <f>IF(AE114+1&gt;MiscData!$AC$77,1,AE114+1)</f>
        <v>39</v>
      </c>
      <c r="AF115" s="98" t="str">
        <f>VLOOKUP(AE115,MiscData!$AC$5:$AD$77,2,FALSE)</f>
        <v>LGUM_423</v>
      </c>
      <c r="AG115" s="98" t="str">
        <f>VLOOKUP(AF115,MiscData!$AD$5:$AE$77,2,FALSE)</f>
        <v xml:space="preserve">LS </v>
      </c>
      <c r="AP115" s="98" t="s">
        <v>488</v>
      </c>
      <c r="AR115" s="98">
        <v>0</v>
      </c>
    </row>
    <row r="116" spans="1:44">
      <c r="A116" s="108">
        <f t="shared" si="49"/>
        <v>113</v>
      </c>
      <c r="B116" s="109" t="str">
        <f t="shared" si="50"/>
        <v>Feb 2016</v>
      </c>
      <c r="C116" s="110" t="str">
        <f t="shared" si="51"/>
        <v xml:space="preserve">LS </v>
      </c>
      <c r="D116" s="110" t="str">
        <f t="shared" si="52"/>
        <v>LGUM_424</v>
      </c>
      <c r="E116" s="581">
        <f t="shared" si="30"/>
        <v>405</v>
      </c>
      <c r="F116" s="581">
        <f t="shared" si="31"/>
        <v>0</v>
      </c>
      <c r="G116" s="116">
        <f t="shared" si="32"/>
        <v>28.45</v>
      </c>
      <c r="H116" s="116">
        <f t="shared" si="33"/>
        <v>3.9800000000000004</v>
      </c>
      <c r="I116" s="118">
        <f t="shared" si="44"/>
        <v>11522.25</v>
      </c>
      <c r="J116" s="118">
        <f t="shared" si="34"/>
        <v>11522.25</v>
      </c>
      <c r="K116" s="570">
        <f t="shared" si="45"/>
        <v>0</v>
      </c>
      <c r="L116" s="121">
        <f t="shared" si="35"/>
        <v>0</v>
      </c>
      <c r="M116" s="122">
        <f t="shared" si="36"/>
        <v>0</v>
      </c>
      <c r="N116" s="122">
        <f t="shared" si="37"/>
        <v>0</v>
      </c>
      <c r="O116" s="122">
        <f t="shared" si="38"/>
        <v>0</v>
      </c>
      <c r="P116" s="122">
        <f t="shared" si="39"/>
        <v>0</v>
      </c>
      <c r="Q116" s="123">
        <f t="shared" si="40"/>
        <v>11522.25</v>
      </c>
      <c r="R116" s="123">
        <f t="shared" si="46"/>
        <v>-11522.25</v>
      </c>
      <c r="S116" s="582">
        <v>0</v>
      </c>
      <c r="T116" s="123">
        <f t="shared" si="47"/>
        <v>-11522.25</v>
      </c>
      <c r="U116" s="25">
        <f t="shared" si="41"/>
        <v>1611.9</v>
      </c>
      <c r="V116" s="123">
        <f t="shared" si="42"/>
        <v>-1611.9</v>
      </c>
      <c r="W116" s="334">
        <f t="shared" si="43"/>
        <v>109.35000000000001</v>
      </c>
      <c r="Y116" s="109">
        <f>IF(AE116=1,IF(Y115=MiscData!$F$1,EOMONTH(Y115,-11),EOMONTH(Y115,1)),Y115)</f>
        <v>42429</v>
      </c>
      <c r="Z116" s="108" t="str">
        <f t="shared" si="53"/>
        <v>20140101LGUM_424</v>
      </c>
      <c r="AA116" s="126" t="str">
        <f t="shared" si="54"/>
        <v xml:space="preserve">20140101LS </v>
      </c>
      <c r="AB116" s="583" t="str">
        <f t="shared" si="48"/>
        <v>424</v>
      </c>
      <c r="AD116" s="98">
        <f>MiscData!$X$5</f>
        <v>20140101</v>
      </c>
      <c r="AE116" s="98">
        <f>IF(AE115+1&gt;MiscData!$AC$77,1,AE115+1)</f>
        <v>40</v>
      </c>
      <c r="AF116" s="98" t="str">
        <f>VLOOKUP(AE116,MiscData!$AC$5:$AD$77,2,FALSE)</f>
        <v>LGUM_424</v>
      </c>
      <c r="AG116" s="98" t="str">
        <f>VLOOKUP(AF116,MiscData!$AD$5:$AE$77,2,FALSE)</f>
        <v xml:space="preserve">LS </v>
      </c>
      <c r="AP116" s="98" t="s">
        <v>489</v>
      </c>
      <c r="AR116" s="98">
        <v>0</v>
      </c>
    </row>
    <row r="117" spans="1:44">
      <c r="A117" s="108">
        <f t="shared" si="49"/>
        <v>114</v>
      </c>
      <c r="B117" s="109" t="str">
        <f t="shared" si="50"/>
        <v>Feb 2016</v>
      </c>
      <c r="C117" s="110" t="str">
        <f t="shared" si="51"/>
        <v xml:space="preserve">LS </v>
      </c>
      <c r="D117" s="110" t="str">
        <f t="shared" si="52"/>
        <v>LGUM_425</v>
      </c>
      <c r="E117" s="581">
        <f t="shared" si="30"/>
        <v>34</v>
      </c>
      <c r="F117" s="581">
        <f t="shared" si="31"/>
        <v>0</v>
      </c>
      <c r="G117" s="116">
        <f t="shared" si="32"/>
        <v>34.029999999999994</v>
      </c>
      <c r="H117" s="116">
        <f t="shared" si="33"/>
        <v>4.2799999999999976</v>
      </c>
      <c r="I117" s="118">
        <f t="shared" si="44"/>
        <v>1157.02</v>
      </c>
      <c r="J117" s="118">
        <f t="shared" si="34"/>
        <v>1157.02</v>
      </c>
      <c r="K117" s="570">
        <f t="shared" si="45"/>
        <v>0</v>
      </c>
      <c r="L117" s="121">
        <f t="shared" si="35"/>
        <v>0</v>
      </c>
      <c r="M117" s="122">
        <f t="shared" si="36"/>
        <v>0</v>
      </c>
      <c r="N117" s="122">
        <f t="shared" si="37"/>
        <v>0</v>
      </c>
      <c r="O117" s="122">
        <f t="shared" si="38"/>
        <v>0</v>
      </c>
      <c r="P117" s="122">
        <f t="shared" si="39"/>
        <v>0</v>
      </c>
      <c r="Q117" s="123">
        <f t="shared" si="40"/>
        <v>1157.02</v>
      </c>
      <c r="R117" s="123">
        <f t="shared" si="46"/>
        <v>-1157.02</v>
      </c>
      <c r="S117" s="582">
        <v>0</v>
      </c>
      <c r="T117" s="123">
        <f t="shared" si="47"/>
        <v>-1157.02</v>
      </c>
      <c r="U117" s="25">
        <f t="shared" si="41"/>
        <v>145.52000000000001</v>
      </c>
      <c r="V117" s="123">
        <f t="shared" si="42"/>
        <v>-145.52000000000001</v>
      </c>
      <c r="W117" s="334">
        <f t="shared" si="43"/>
        <v>9.86</v>
      </c>
      <c r="Y117" s="109">
        <f>IF(AE117=1,IF(Y116=MiscData!$F$1,EOMONTH(Y116,-11),EOMONTH(Y116,1)),Y116)</f>
        <v>42429</v>
      </c>
      <c r="Z117" s="108" t="str">
        <f t="shared" si="53"/>
        <v>20140101LGUM_425</v>
      </c>
      <c r="AA117" s="126" t="str">
        <f t="shared" si="54"/>
        <v xml:space="preserve">20140101LS </v>
      </c>
      <c r="AB117" s="583" t="str">
        <f t="shared" si="48"/>
        <v>425</v>
      </c>
      <c r="AD117" s="98">
        <f>MiscData!$X$5</f>
        <v>20140101</v>
      </c>
      <c r="AE117" s="98">
        <f>IF(AE116+1&gt;MiscData!$AC$77,1,AE116+1)</f>
        <v>41</v>
      </c>
      <c r="AF117" s="98" t="str">
        <f>VLOOKUP(AE117,MiscData!$AC$5:$AD$77,2,FALSE)</f>
        <v>LGUM_425</v>
      </c>
      <c r="AG117" s="98" t="str">
        <f>VLOOKUP(AF117,MiscData!$AD$5:$AE$77,2,FALSE)</f>
        <v xml:space="preserve">LS </v>
      </c>
      <c r="AP117" s="98" t="s">
        <v>223</v>
      </c>
      <c r="AR117" s="98">
        <v>0</v>
      </c>
    </row>
    <row r="118" spans="1:44">
      <c r="A118" s="108">
        <f t="shared" si="49"/>
        <v>115</v>
      </c>
      <c r="B118" s="109" t="str">
        <f t="shared" si="50"/>
        <v>Feb 2016</v>
      </c>
      <c r="C118" s="110" t="str">
        <f t="shared" si="51"/>
        <v>RLS</v>
      </c>
      <c r="D118" s="110" t="str">
        <f t="shared" si="52"/>
        <v>LGUM_426</v>
      </c>
      <c r="E118" s="581">
        <f t="shared" si="30"/>
        <v>40</v>
      </c>
      <c r="F118" s="581">
        <f t="shared" si="31"/>
        <v>0</v>
      </c>
      <c r="G118" s="116">
        <f t="shared" si="32"/>
        <v>33.22</v>
      </c>
      <c r="H118" s="116">
        <f t="shared" si="33"/>
        <v>0.75</v>
      </c>
      <c r="I118" s="118">
        <f t="shared" si="44"/>
        <v>1328.8</v>
      </c>
      <c r="J118" s="118">
        <f t="shared" si="34"/>
        <v>1328.8</v>
      </c>
      <c r="K118" s="570">
        <f t="shared" si="45"/>
        <v>0</v>
      </c>
      <c r="L118" s="121">
        <f t="shared" si="35"/>
        <v>0</v>
      </c>
      <c r="M118" s="122">
        <f t="shared" si="36"/>
        <v>0</v>
      </c>
      <c r="N118" s="122">
        <f t="shared" si="37"/>
        <v>0</v>
      </c>
      <c r="O118" s="122">
        <f t="shared" si="38"/>
        <v>0</v>
      </c>
      <c r="P118" s="122">
        <f t="shared" si="39"/>
        <v>0</v>
      </c>
      <c r="Q118" s="123">
        <f t="shared" si="40"/>
        <v>1328.8</v>
      </c>
      <c r="R118" s="123">
        <f t="shared" si="46"/>
        <v>-1328.8</v>
      </c>
      <c r="S118" s="582">
        <v>0</v>
      </c>
      <c r="T118" s="123">
        <f t="shared" si="47"/>
        <v>-1328.8</v>
      </c>
      <c r="U118" s="25">
        <f t="shared" si="41"/>
        <v>30</v>
      </c>
      <c r="V118" s="123">
        <f t="shared" si="42"/>
        <v>-30</v>
      </c>
      <c r="W118" s="334">
        <f t="shared" si="43"/>
        <v>10.4</v>
      </c>
      <c r="Y118" s="109">
        <f>IF(AE118=1,IF(Y117=MiscData!$F$1,EOMONTH(Y117,-11),EOMONTH(Y117,1)),Y117)</f>
        <v>42429</v>
      </c>
      <c r="Z118" s="108" t="str">
        <f t="shared" si="53"/>
        <v>20140101LGUM_426</v>
      </c>
      <c r="AA118" s="126" t="str">
        <f t="shared" si="54"/>
        <v>20140101RLS</v>
      </c>
      <c r="AB118" s="583" t="str">
        <f t="shared" si="48"/>
        <v>426</v>
      </c>
      <c r="AD118" s="98">
        <f>MiscData!$X$5</f>
        <v>20140101</v>
      </c>
      <c r="AE118" s="98">
        <f>IF(AE117+1&gt;MiscData!$AC$77,1,AE117+1)</f>
        <v>42</v>
      </c>
      <c r="AF118" s="98" t="str">
        <f>VLOOKUP(AE118,MiscData!$AC$5:$AD$77,2,FALSE)</f>
        <v>LGUM_426</v>
      </c>
      <c r="AG118" s="98" t="str">
        <f>VLOOKUP(AF118,MiscData!$AD$5:$AE$77,2,FALSE)</f>
        <v>RLS</v>
      </c>
      <c r="AP118" s="98" t="s">
        <v>224</v>
      </c>
      <c r="AR118" s="98">
        <v>-7.88</v>
      </c>
    </row>
    <row r="119" spans="1:44">
      <c r="A119" s="108">
        <f t="shared" si="49"/>
        <v>116</v>
      </c>
      <c r="B119" s="109" t="str">
        <f t="shared" si="50"/>
        <v>Feb 2016</v>
      </c>
      <c r="C119" s="110" t="str">
        <f t="shared" si="51"/>
        <v xml:space="preserve">LS </v>
      </c>
      <c r="D119" s="110" t="str">
        <f t="shared" si="52"/>
        <v>LGUM_427</v>
      </c>
      <c r="E119" s="581">
        <f t="shared" si="30"/>
        <v>52</v>
      </c>
      <c r="F119" s="581">
        <f t="shared" si="31"/>
        <v>0</v>
      </c>
      <c r="G119" s="116">
        <f t="shared" si="32"/>
        <v>35.199999999999996</v>
      </c>
      <c r="H119" s="116">
        <f t="shared" si="33"/>
        <v>0.75</v>
      </c>
      <c r="I119" s="118">
        <f t="shared" si="44"/>
        <v>1830.4</v>
      </c>
      <c r="J119" s="118">
        <f t="shared" si="34"/>
        <v>1830.4</v>
      </c>
      <c r="K119" s="570">
        <f t="shared" si="45"/>
        <v>0</v>
      </c>
      <c r="L119" s="121">
        <f t="shared" si="35"/>
        <v>0</v>
      </c>
      <c r="M119" s="122">
        <f t="shared" si="36"/>
        <v>0</v>
      </c>
      <c r="N119" s="122">
        <f t="shared" si="37"/>
        <v>0</v>
      </c>
      <c r="O119" s="122">
        <f t="shared" si="38"/>
        <v>0</v>
      </c>
      <c r="P119" s="122">
        <f t="shared" si="39"/>
        <v>0</v>
      </c>
      <c r="Q119" s="123">
        <f t="shared" si="40"/>
        <v>1830.4</v>
      </c>
      <c r="R119" s="123">
        <f t="shared" si="46"/>
        <v>-1830.4</v>
      </c>
      <c r="S119" s="582">
        <v>0</v>
      </c>
      <c r="T119" s="123">
        <f t="shared" si="47"/>
        <v>-1830.4</v>
      </c>
      <c r="U119" s="25">
        <f t="shared" si="41"/>
        <v>39</v>
      </c>
      <c r="V119" s="123">
        <f t="shared" si="42"/>
        <v>-39</v>
      </c>
      <c r="W119" s="334">
        <f t="shared" si="43"/>
        <v>13.52</v>
      </c>
      <c r="Y119" s="109">
        <f>IF(AE119=1,IF(Y118=MiscData!$F$1,EOMONTH(Y118,-11),EOMONTH(Y118,1)),Y118)</f>
        <v>42429</v>
      </c>
      <c r="Z119" s="108" t="str">
        <f t="shared" si="53"/>
        <v>20140101LGUM_427</v>
      </c>
      <c r="AA119" s="126" t="str">
        <f t="shared" si="54"/>
        <v xml:space="preserve">20140101LS </v>
      </c>
      <c r="AB119" s="583" t="str">
        <f t="shared" si="48"/>
        <v>427</v>
      </c>
      <c r="AD119" s="98">
        <f>MiscData!$X$5</f>
        <v>20140101</v>
      </c>
      <c r="AE119" s="98">
        <f>IF(AE118+1&gt;MiscData!$AC$77,1,AE118+1)</f>
        <v>43</v>
      </c>
      <c r="AF119" s="98" t="str">
        <f>VLOOKUP(AE119,MiscData!$AC$5:$AD$77,2,FALSE)</f>
        <v>LGUM_427</v>
      </c>
      <c r="AG119" s="98" t="str">
        <f>VLOOKUP(AF119,MiscData!$AD$5:$AE$77,2,FALSE)</f>
        <v xml:space="preserve">LS </v>
      </c>
      <c r="AP119" s="98" t="s">
        <v>349</v>
      </c>
      <c r="AR119" s="98">
        <v>0</v>
      </c>
    </row>
    <row r="120" spans="1:44">
      <c r="A120" s="108">
        <f t="shared" si="49"/>
        <v>117</v>
      </c>
      <c r="B120" s="109" t="str">
        <f t="shared" si="50"/>
        <v>Feb 2016</v>
      </c>
      <c r="C120" s="110" t="str">
        <f t="shared" si="51"/>
        <v>RLS</v>
      </c>
      <c r="D120" s="110" t="str">
        <f t="shared" si="52"/>
        <v>LGUM_428</v>
      </c>
      <c r="E120" s="581">
        <f t="shared" si="30"/>
        <v>205</v>
      </c>
      <c r="F120" s="581">
        <f t="shared" si="31"/>
        <v>0</v>
      </c>
      <c r="G120" s="116">
        <f t="shared" si="32"/>
        <v>34.090000000000003</v>
      </c>
      <c r="H120" s="116">
        <f t="shared" si="33"/>
        <v>1.0600000000000023</v>
      </c>
      <c r="I120" s="118">
        <f t="shared" si="44"/>
        <v>6988.45</v>
      </c>
      <c r="J120" s="118">
        <f t="shared" si="34"/>
        <v>6988.45</v>
      </c>
      <c r="K120" s="570">
        <f t="shared" si="45"/>
        <v>0</v>
      </c>
      <c r="L120" s="121">
        <f t="shared" si="35"/>
        <v>0</v>
      </c>
      <c r="M120" s="122">
        <f t="shared" si="36"/>
        <v>0</v>
      </c>
      <c r="N120" s="122">
        <f t="shared" si="37"/>
        <v>0</v>
      </c>
      <c r="O120" s="122">
        <f t="shared" si="38"/>
        <v>0</v>
      </c>
      <c r="P120" s="122">
        <f t="shared" si="39"/>
        <v>0</v>
      </c>
      <c r="Q120" s="123">
        <f t="shared" si="40"/>
        <v>6988.45</v>
      </c>
      <c r="R120" s="123">
        <f t="shared" si="46"/>
        <v>-6988.45</v>
      </c>
      <c r="S120" s="582">
        <v>0</v>
      </c>
      <c r="T120" s="123">
        <f t="shared" si="47"/>
        <v>-6988.45</v>
      </c>
      <c r="U120" s="25">
        <f t="shared" si="41"/>
        <v>217.3</v>
      </c>
      <c r="V120" s="123">
        <f t="shared" si="42"/>
        <v>-217.3</v>
      </c>
      <c r="W120" s="334">
        <f t="shared" si="43"/>
        <v>55.35</v>
      </c>
      <c r="Y120" s="109">
        <f>IF(AE120=1,IF(Y119=MiscData!$F$1,EOMONTH(Y119,-11),EOMONTH(Y119,1)),Y119)</f>
        <v>42429</v>
      </c>
      <c r="Z120" s="108" t="str">
        <f t="shared" si="53"/>
        <v>20140101LGUM_428</v>
      </c>
      <c r="AA120" s="126" t="str">
        <f t="shared" si="54"/>
        <v>20140101RLS</v>
      </c>
      <c r="AB120" s="583" t="str">
        <f t="shared" si="48"/>
        <v>428</v>
      </c>
      <c r="AD120" s="98">
        <f>MiscData!$X$5</f>
        <v>20140101</v>
      </c>
      <c r="AE120" s="98">
        <f>IF(AE119+1&gt;MiscData!$AC$77,1,AE119+1)</f>
        <v>44</v>
      </c>
      <c r="AF120" s="98" t="str">
        <f>VLOOKUP(AE120,MiscData!$AC$5:$AD$77,2,FALSE)</f>
        <v>LGUM_428</v>
      </c>
      <c r="AG120" s="98" t="str">
        <f>VLOOKUP(AF120,MiscData!$AD$5:$AE$77,2,FALSE)</f>
        <v>RLS</v>
      </c>
      <c r="AP120" s="98" t="s">
        <v>225</v>
      </c>
      <c r="AR120" s="98">
        <v>0</v>
      </c>
    </row>
    <row r="121" spans="1:44">
      <c r="A121" s="108">
        <f t="shared" si="49"/>
        <v>118</v>
      </c>
      <c r="B121" s="109" t="str">
        <f t="shared" si="50"/>
        <v>Feb 2016</v>
      </c>
      <c r="C121" s="110" t="str">
        <f t="shared" si="51"/>
        <v xml:space="preserve">LS </v>
      </c>
      <c r="D121" s="110" t="str">
        <f t="shared" si="52"/>
        <v>LGUM_429</v>
      </c>
      <c r="E121" s="581">
        <f t="shared" si="30"/>
        <v>194</v>
      </c>
      <c r="F121" s="581">
        <f t="shared" si="31"/>
        <v>0</v>
      </c>
      <c r="G121" s="116">
        <f t="shared" si="32"/>
        <v>36.07</v>
      </c>
      <c r="H121" s="116">
        <f t="shared" si="33"/>
        <v>1.0599999999999952</v>
      </c>
      <c r="I121" s="118">
        <f t="shared" si="44"/>
        <v>6997.58</v>
      </c>
      <c r="J121" s="118">
        <f t="shared" si="34"/>
        <v>6997.58</v>
      </c>
      <c r="K121" s="570">
        <f t="shared" si="45"/>
        <v>0</v>
      </c>
      <c r="L121" s="121">
        <f t="shared" si="35"/>
        <v>0</v>
      </c>
      <c r="M121" s="122">
        <f t="shared" si="36"/>
        <v>0</v>
      </c>
      <c r="N121" s="122">
        <f t="shared" si="37"/>
        <v>0</v>
      </c>
      <c r="O121" s="122">
        <f t="shared" si="38"/>
        <v>0</v>
      </c>
      <c r="P121" s="122">
        <f t="shared" si="39"/>
        <v>0</v>
      </c>
      <c r="Q121" s="123">
        <f t="shared" si="40"/>
        <v>6997.58</v>
      </c>
      <c r="R121" s="123">
        <f t="shared" si="46"/>
        <v>-6997.58</v>
      </c>
      <c r="S121" s="582">
        <v>0</v>
      </c>
      <c r="T121" s="123">
        <f t="shared" si="47"/>
        <v>-6997.58</v>
      </c>
      <c r="U121" s="25">
        <f t="shared" si="41"/>
        <v>205.64</v>
      </c>
      <c r="V121" s="123">
        <f t="shared" si="42"/>
        <v>-205.64</v>
      </c>
      <c r="W121" s="334">
        <f t="shared" si="43"/>
        <v>52.38</v>
      </c>
      <c r="Y121" s="109">
        <f>IF(AE121=1,IF(Y120=MiscData!$F$1,EOMONTH(Y120,-11),EOMONTH(Y120,1)),Y120)</f>
        <v>42429</v>
      </c>
      <c r="Z121" s="108" t="str">
        <f t="shared" si="53"/>
        <v>20140101LGUM_429</v>
      </c>
      <c r="AA121" s="126" t="str">
        <f t="shared" si="54"/>
        <v xml:space="preserve">20140101LS </v>
      </c>
      <c r="AB121" s="583" t="str">
        <f t="shared" si="48"/>
        <v>429</v>
      </c>
      <c r="AD121" s="98">
        <f>MiscData!$X$5</f>
        <v>20140101</v>
      </c>
      <c r="AE121" s="98">
        <f>IF(AE120+1&gt;MiscData!$AC$77,1,AE120+1)</f>
        <v>45</v>
      </c>
      <c r="AF121" s="98" t="str">
        <f>VLOOKUP(AE121,MiscData!$AC$5:$AD$77,2,FALSE)</f>
        <v>LGUM_429</v>
      </c>
      <c r="AG121" s="98" t="str">
        <f>VLOOKUP(AF121,MiscData!$AD$5:$AE$77,2,FALSE)</f>
        <v xml:space="preserve">LS </v>
      </c>
      <c r="AP121" s="98" t="s">
        <v>498</v>
      </c>
      <c r="AR121" s="98">
        <v>0</v>
      </c>
    </row>
    <row r="122" spans="1:44">
      <c r="A122" s="108">
        <f t="shared" si="49"/>
        <v>119</v>
      </c>
      <c r="B122" s="109" t="str">
        <f t="shared" si="50"/>
        <v>Feb 2016</v>
      </c>
      <c r="C122" s="110" t="str">
        <f t="shared" si="51"/>
        <v>RLS</v>
      </c>
      <c r="D122" s="110" t="str">
        <f t="shared" si="52"/>
        <v>LGUM_430</v>
      </c>
      <c r="E122" s="581">
        <f t="shared" si="30"/>
        <v>13</v>
      </c>
      <c r="F122" s="581">
        <f t="shared" si="31"/>
        <v>0</v>
      </c>
      <c r="G122" s="116">
        <f t="shared" si="32"/>
        <v>32.26</v>
      </c>
      <c r="H122" s="116">
        <f t="shared" si="33"/>
        <v>0.75</v>
      </c>
      <c r="I122" s="118">
        <f t="shared" si="44"/>
        <v>419.38</v>
      </c>
      <c r="J122" s="118">
        <f t="shared" si="34"/>
        <v>419.38</v>
      </c>
      <c r="K122" s="570">
        <f t="shared" si="45"/>
        <v>0</v>
      </c>
      <c r="L122" s="121">
        <f t="shared" si="35"/>
        <v>0</v>
      </c>
      <c r="M122" s="122">
        <f t="shared" si="36"/>
        <v>0</v>
      </c>
      <c r="N122" s="122">
        <f t="shared" si="37"/>
        <v>0</v>
      </c>
      <c r="O122" s="122">
        <f t="shared" si="38"/>
        <v>0</v>
      </c>
      <c r="P122" s="122">
        <f t="shared" si="39"/>
        <v>0</v>
      </c>
      <c r="Q122" s="123">
        <f t="shared" si="40"/>
        <v>419.38</v>
      </c>
      <c r="R122" s="123">
        <f t="shared" si="46"/>
        <v>-419.38</v>
      </c>
      <c r="S122" s="582">
        <v>0</v>
      </c>
      <c r="T122" s="123">
        <f t="shared" si="47"/>
        <v>-419.38</v>
      </c>
      <c r="U122" s="25">
        <f t="shared" si="41"/>
        <v>9.75</v>
      </c>
      <c r="V122" s="123">
        <f t="shared" si="42"/>
        <v>-9.75</v>
      </c>
      <c r="W122" s="334">
        <f t="shared" si="43"/>
        <v>3.38</v>
      </c>
      <c r="Y122" s="109">
        <f>IF(AE122=1,IF(Y121=MiscData!$F$1,EOMONTH(Y121,-11),EOMONTH(Y121,1)),Y121)</f>
        <v>42429</v>
      </c>
      <c r="Z122" s="108" t="str">
        <f t="shared" si="53"/>
        <v>20140101LGUM_430</v>
      </c>
      <c r="AA122" s="126" t="str">
        <f t="shared" si="54"/>
        <v>20140101RLS</v>
      </c>
      <c r="AB122" s="583" t="str">
        <f t="shared" si="48"/>
        <v>430</v>
      </c>
      <c r="AD122" s="98">
        <f>MiscData!$X$5</f>
        <v>20140101</v>
      </c>
      <c r="AE122" s="98">
        <f>IF(AE121+1&gt;MiscData!$AC$77,1,AE121+1)</f>
        <v>46</v>
      </c>
      <c r="AF122" s="98" t="str">
        <f>VLOOKUP(AE122,MiscData!$AC$5:$AD$77,2,FALSE)</f>
        <v>LGUM_430</v>
      </c>
      <c r="AG122" s="98" t="str">
        <f>VLOOKUP(AF122,MiscData!$AD$5:$AE$77,2,FALSE)</f>
        <v>RLS</v>
      </c>
      <c r="AP122" s="98" t="s">
        <v>350</v>
      </c>
      <c r="AR122" s="98">
        <v>0</v>
      </c>
    </row>
    <row r="123" spans="1:44">
      <c r="A123" s="108">
        <f t="shared" si="49"/>
        <v>120</v>
      </c>
      <c r="B123" s="109" t="str">
        <f t="shared" si="50"/>
        <v>Feb 2016</v>
      </c>
      <c r="C123" s="110" t="str">
        <f t="shared" si="51"/>
        <v xml:space="preserve">LS </v>
      </c>
      <c r="D123" s="110" t="str">
        <f t="shared" si="52"/>
        <v>LGUM_431</v>
      </c>
      <c r="E123" s="581">
        <f t="shared" si="30"/>
        <v>44</v>
      </c>
      <c r="F123" s="581">
        <f t="shared" si="31"/>
        <v>0</v>
      </c>
      <c r="G123" s="116">
        <f t="shared" si="32"/>
        <v>32.93</v>
      </c>
      <c r="H123" s="116">
        <f t="shared" si="33"/>
        <v>0.75</v>
      </c>
      <c r="I123" s="118">
        <f t="shared" si="44"/>
        <v>1448.92</v>
      </c>
      <c r="J123" s="118">
        <f t="shared" si="34"/>
        <v>1448.92</v>
      </c>
      <c r="K123" s="570">
        <f t="shared" si="45"/>
        <v>0</v>
      </c>
      <c r="L123" s="121">
        <f t="shared" si="35"/>
        <v>0</v>
      </c>
      <c r="M123" s="122">
        <f t="shared" si="36"/>
        <v>0</v>
      </c>
      <c r="N123" s="122">
        <f t="shared" si="37"/>
        <v>0</v>
      </c>
      <c r="O123" s="122">
        <f t="shared" si="38"/>
        <v>0</v>
      </c>
      <c r="P123" s="122">
        <f t="shared" si="39"/>
        <v>0</v>
      </c>
      <c r="Q123" s="123">
        <f t="shared" si="40"/>
        <v>1448.92</v>
      </c>
      <c r="R123" s="123">
        <f t="shared" si="46"/>
        <v>-1448.92</v>
      </c>
      <c r="S123" s="582">
        <v>0</v>
      </c>
      <c r="T123" s="123">
        <f t="shared" si="47"/>
        <v>-1448.92</v>
      </c>
      <c r="U123" s="25">
        <f t="shared" si="41"/>
        <v>33</v>
      </c>
      <c r="V123" s="123">
        <f t="shared" si="42"/>
        <v>-33</v>
      </c>
      <c r="W123" s="334">
        <f t="shared" si="43"/>
        <v>11.440000000000001</v>
      </c>
      <c r="Y123" s="109">
        <f>IF(AE123=1,IF(Y122=MiscData!$F$1,EOMONTH(Y122,-11),EOMONTH(Y122,1)),Y122)</f>
        <v>42429</v>
      </c>
      <c r="Z123" s="108" t="str">
        <f t="shared" si="53"/>
        <v>20140101LGUM_431</v>
      </c>
      <c r="AA123" s="126" t="str">
        <f t="shared" si="54"/>
        <v xml:space="preserve">20140101LS </v>
      </c>
      <c r="AB123" s="583" t="str">
        <f t="shared" si="48"/>
        <v>431</v>
      </c>
      <c r="AD123" s="98">
        <f>MiscData!$X$5</f>
        <v>20140101</v>
      </c>
      <c r="AE123" s="98">
        <f>IF(AE122+1&gt;MiscData!$AC$77,1,AE122+1)</f>
        <v>47</v>
      </c>
      <c r="AF123" s="98" t="str">
        <f>VLOOKUP(AE123,MiscData!$AC$5:$AD$77,2,FALSE)</f>
        <v>LGUM_431</v>
      </c>
      <c r="AG123" s="98" t="str">
        <f>VLOOKUP(AF123,MiscData!$AD$5:$AE$77,2,FALSE)</f>
        <v xml:space="preserve">LS </v>
      </c>
      <c r="AP123" s="98" t="s">
        <v>226</v>
      </c>
      <c r="AR123" s="98">
        <v>-6.12</v>
      </c>
    </row>
    <row r="124" spans="1:44">
      <c r="A124" s="108">
        <f t="shared" si="49"/>
        <v>121</v>
      </c>
      <c r="B124" s="109" t="str">
        <f t="shared" si="50"/>
        <v>Feb 2016</v>
      </c>
      <c r="C124" s="110" t="str">
        <f t="shared" si="51"/>
        <v>RLS</v>
      </c>
      <c r="D124" s="110" t="str">
        <f t="shared" si="52"/>
        <v>LGUM_432</v>
      </c>
      <c r="E124" s="581">
        <f t="shared" si="30"/>
        <v>10</v>
      </c>
      <c r="F124" s="581">
        <f t="shared" si="31"/>
        <v>0</v>
      </c>
      <c r="G124" s="116">
        <f t="shared" si="32"/>
        <v>34.330000000000005</v>
      </c>
      <c r="H124" s="116">
        <f t="shared" si="33"/>
        <v>1.0600000000000023</v>
      </c>
      <c r="I124" s="118">
        <f t="shared" si="44"/>
        <v>343.3</v>
      </c>
      <c r="J124" s="118">
        <f t="shared" si="34"/>
        <v>343.3</v>
      </c>
      <c r="K124" s="570">
        <f t="shared" si="45"/>
        <v>0</v>
      </c>
      <c r="L124" s="121">
        <f t="shared" si="35"/>
        <v>0</v>
      </c>
      <c r="M124" s="122">
        <f t="shared" si="36"/>
        <v>0</v>
      </c>
      <c r="N124" s="122">
        <f t="shared" si="37"/>
        <v>0</v>
      </c>
      <c r="O124" s="122">
        <f t="shared" si="38"/>
        <v>0</v>
      </c>
      <c r="P124" s="122">
        <f t="shared" si="39"/>
        <v>0</v>
      </c>
      <c r="Q124" s="123">
        <f t="shared" si="40"/>
        <v>343.3</v>
      </c>
      <c r="R124" s="123">
        <f t="shared" si="46"/>
        <v>-343.3</v>
      </c>
      <c r="S124" s="582">
        <v>0</v>
      </c>
      <c r="T124" s="123">
        <f t="shared" si="47"/>
        <v>-343.3</v>
      </c>
      <c r="U124" s="25">
        <f t="shared" si="41"/>
        <v>10.6</v>
      </c>
      <c r="V124" s="123">
        <f t="shared" si="42"/>
        <v>-10.6</v>
      </c>
      <c r="W124" s="334">
        <f t="shared" si="43"/>
        <v>2.7</v>
      </c>
      <c r="Y124" s="109">
        <f>IF(AE124=1,IF(Y123=MiscData!$F$1,EOMONTH(Y123,-11),EOMONTH(Y123,1)),Y123)</f>
        <v>42429</v>
      </c>
      <c r="Z124" s="108" t="str">
        <f t="shared" si="53"/>
        <v>20140101LGUM_432</v>
      </c>
      <c r="AA124" s="126" t="str">
        <f t="shared" si="54"/>
        <v>20140101RLS</v>
      </c>
      <c r="AB124" s="583" t="str">
        <f t="shared" si="48"/>
        <v>432</v>
      </c>
      <c r="AD124" s="98">
        <f>MiscData!$X$5</f>
        <v>20140101</v>
      </c>
      <c r="AE124" s="98">
        <f>IF(AE123+1&gt;MiscData!$AC$77,1,AE123+1)</f>
        <v>48</v>
      </c>
      <c r="AF124" s="98" t="str">
        <f>VLOOKUP(AE124,MiscData!$AC$5:$AD$77,2,FALSE)</f>
        <v>LGUM_432</v>
      </c>
      <c r="AG124" s="98" t="str">
        <f>VLOOKUP(AF124,MiscData!$AD$5:$AE$77,2,FALSE)</f>
        <v>RLS</v>
      </c>
      <c r="AP124" s="98" t="s">
        <v>227</v>
      </c>
      <c r="AR124" s="98">
        <v>0</v>
      </c>
    </row>
    <row r="125" spans="1:44">
      <c r="A125" s="108">
        <f t="shared" si="49"/>
        <v>122</v>
      </c>
      <c r="B125" s="109" t="str">
        <f t="shared" si="50"/>
        <v>Feb 2016</v>
      </c>
      <c r="C125" s="110" t="str">
        <f t="shared" si="51"/>
        <v xml:space="preserve">LS </v>
      </c>
      <c r="D125" s="110" t="str">
        <f t="shared" si="52"/>
        <v>LGUM_433</v>
      </c>
      <c r="E125" s="581">
        <f t="shared" si="30"/>
        <v>192</v>
      </c>
      <c r="F125" s="581">
        <f t="shared" si="31"/>
        <v>0</v>
      </c>
      <c r="G125" s="116">
        <f t="shared" si="32"/>
        <v>34.99</v>
      </c>
      <c r="H125" s="116">
        <f t="shared" si="33"/>
        <v>1.0600000000000023</v>
      </c>
      <c r="I125" s="118">
        <f t="shared" si="44"/>
        <v>6718.08</v>
      </c>
      <c r="J125" s="118">
        <f t="shared" si="34"/>
        <v>6718.08</v>
      </c>
      <c r="K125" s="570">
        <f t="shared" si="45"/>
        <v>0</v>
      </c>
      <c r="L125" s="121">
        <f t="shared" si="35"/>
        <v>0</v>
      </c>
      <c r="M125" s="122">
        <f t="shared" si="36"/>
        <v>0</v>
      </c>
      <c r="N125" s="122">
        <f t="shared" si="37"/>
        <v>0</v>
      </c>
      <c r="O125" s="122">
        <f t="shared" si="38"/>
        <v>0</v>
      </c>
      <c r="P125" s="122">
        <f t="shared" si="39"/>
        <v>0</v>
      </c>
      <c r="Q125" s="123">
        <f t="shared" si="40"/>
        <v>6718.08</v>
      </c>
      <c r="R125" s="123">
        <f t="shared" si="46"/>
        <v>-6718.08</v>
      </c>
      <c r="S125" s="582">
        <v>0</v>
      </c>
      <c r="T125" s="123">
        <f t="shared" si="47"/>
        <v>-6718.08</v>
      </c>
      <c r="U125" s="25">
        <f t="shared" si="41"/>
        <v>203.52</v>
      </c>
      <c r="V125" s="123">
        <f t="shared" si="42"/>
        <v>-203.52</v>
      </c>
      <c r="W125" s="334">
        <f t="shared" si="43"/>
        <v>51.84</v>
      </c>
      <c r="Y125" s="109">
        <f>IF(AE125=1,IF(Y124=MiscData!$F$1,EOMONTH(Y124,-11),EOMONTH(Y124,1)),Y124)</f>
        <v>42429</v>
      </c>
      <c r="Z125" s="108" t="str">
        <f t="shared" si="53"/>
        <v>20140101LGUM_433</v>
      </c>
      <c r="AA125" s="126" t="str">
        <f t="shared" si="54"/>
        <v xml:space="preserve">20140101LS </v>
      </c>
      <c r="AB125" s="583" t="str">
        <f t="shared" si="48"/>
        <v>433</v>
      </c>
      <c r="AD125" s="98">
        <f>MiscData!$X$5</f>
        <v>20140101</v>
      </c>
      <c r="AE125" s="98">
        <f>IF(AE124+1&gt;MiscData!$AC$77,1,AE124+1)</f>
        <v>49</v>
      </c>
      <c r="AF125" s="98" t="str">
        <f>VLOOKUP(AE125,MiscData!$AC$5:$AD$77,2,FALSE)</f>
        <v>LGUM_433</v>
      </c>
      <c r="AG125" s="98" t="str">
        <f>VLOOKUP(AF125,MiscData!$AD$5:$AE$77,2,FALSE)</f>
        <v xml:space="preserve">LS </v>
      </c>
      <c r="AP125" s="98" t="s">
        <v>351</v>
      </c>
      <c r="AR125" s="98">
        <v>0</v>
      </c>
    </row>
    <row r="126" spans="1:44">
      <c r="A126" s="108">
        <f t="shared" si="49"/>
        <v>123</v>
      </c>
      <c r="B126" s="109" t="str">
        <f t="shared" si="50"/>
        <v>Feb 2016</v>
      </c>
      <c r="C126" s="110" t="str">
        <f t="shared" si="51"/>
        <v xml:space="preserve">LS </v>
      </c>
      <c r="D126" s="110" t="str">
        <f t="shared" si="52"/>
        <v>LGUM_439</v>
      </c>
      <c r="E126" s="581">
        <f t="shared" si="30"/>
        <v>0</v>
      </c>
      <c r="F126" s="581">
        <f t="shared" si="31"/>
        <v>0</v>
      </c>
      <c r="G126" s="116">
        <f t="shared" si="32"/>
        <v>16.459999999999997</v>
      </c>
      <c r="H126" s="116">
        <f t="shared" si="33"/>
        <v>1.6499999999999986</v>
      </c>
      <c r="I126" s="118">
        <f t="shared" si="44"/>
        <v>0</v>
      </c>
      <c r="J126" s="118">
        <f t="shared" si="34"/>
        <v>0</v>
      </c>
      <c r="K126" s="570">
        <f t="shared" si="45"/>
        <v>0</v>
      </c>
      <c r="L126" s="121">
        <f t="shared" si="35"/>
        <v>1</v>
      </c>
      <c r="M126" s="122">
        <f t="shared" si="36"/>
        <v>0</v>
      </c>
      <c r="N126" s="122">
        <f t="shared" si="37"/>
        <v>0</v>
      </c>
      <c r="O126" s="122">
        <f t="shared" si="38"/>
        <v>0</v>
      </c>
      <c r="P126" s="122">
        <f t="shared" si="39"/>
        <v>0</v>
      </c>
      <c r="Q126" s="123">
        <f t="shared" si="40"/>
        <v>0</v>
      </c>
      <c r="R126" s="123">
        <f t="shared" si="46"/>
        <v>0</v>
      </c>
      <c r="S126" s="582">
        <v>0</v>
      </c>
      <c r="T126" s="123">
        <f t="shared" si="47"/>
        <v>0</v>
      </c>
      <c r="U126" s="25">
        <f t="shared" si="41"/>
        <v>0</v>
      </c>
      <c r="V126" s="123">
        <f t="shared" si="42"/>
        <v>0</v>
      </c>
      <c r="W126" s="334">
        <f t="shared" si="43"/>
        <v>0</v>
      </c>
      <c r="Y126" s="109">
        <f>IF(AE126=1,IF(Y125=MiscData!$F$1,EOMONTH(Y125,-11),EOMONTH(Y125,1)),Y125)</f>
        <v>42429</v>
      </c>
      <c r="Z126" s="108" t="str">
        <f t="shared" si="53"/>
        <v>20140101LGUM_439</v>
      </c>
      <c r="AA126" s="126" t="str">
        <f t="shared" si="54"/>
        <v xml:space="preserve">20140101LS </v>
      </c>
      <c r="AB126" s="583" t="str">
        <f t="shared" si="48"/>
        <v>439</v>
      </c>
      <c r="AD126" s="98">
        <f>MiscData!$X$5</f>
        <v>20140101</v>
      </c>
      <c r="AE126" s="98">
        <f>IF(AE125+1&gt;MiscData!$AC$77,1,AE125+1)</f>
        <v>50</v>
      </c>
      <c r="AF126" s="98" t="str">
        <f>VLOOKUP(AE126,MiscData!$AC$5:$AD$77,2,FALSE)</f>
        <v>LGUM_439</v>
      </c>
      <c r="AG126" s="98" t="str">
        <f>VLOOKUP(AF126,MiscData!$AD$5:$AE$77,2,FALSE)</f>
        <v xml:space="preserve">LS </v>
      </c>
      <c r="AP126" s="98" t="s">
        <v>228</v>
      </c>
      <c r="AR126" s="98">
        <v>0</v>
      </c>
    </row>
    <row r="127" spans="1:44">
      <c r="A127" s="108">
        <f t="shared" si="49"/>
        <v>124</v>
      </c>
      <c r="B127" s="109" t="str">
        <f t="shared" si="50"/>
        <v>Feb 2016</v>
      </c>
      <c r="C127" s="110" t="str">
        <f t="shared" si="51"/>
        <v xml:space="preserve">LS </v>
      </c>
      <c r="D127" s="110" t="str">
        <f t="shared" si="52"/>
        <v>LGUM_440</v>
      </c>
      <c r="E127" s="581">
        <f t="shared" si="30"/>
        <v>4</v>
      </c>
      <c r="F127" s="581">
        <f t="shared" si="31"/>
        <v>0</v>
      </c>
      <c r="G127" s="116">
        <f t="shared" si="32"/>
        <v>18.279999999999998</v>
      </c>
      <c r="H127" s="116">
        <f t="shared" si="33"/>
        <v>2.67</v>
      </c>
      <c r="I127" s="118">
        <f t="shared" si="44"/>
        <v>73.12</v>
      </c>
      <c r="J127" s="118">
        <f t="shared" si="34"/>
        <v>73.12</v>
      </c>
      <c r="K127" s="570">
        <f t="shared" si="45"/>
        <v>0</v>
      </c>
      <c r="L127" s="121">
        <f t="shared" si="35"/>
        <v>0</v>
      </c>
      <c r="M127" s="122">
        <f t="shared" si="36"/>
        <v>0</v>
      </c>
      <c r="N127" s="122">
        <f t="shared" si="37"/>
        <v>0</v>
      </c>
      <c r="O127" s="122">
        <f t="shared" si="38"/>
        <v>0</v>
      </c>
      <c r="P127" s="122">
        <f t="shared" si="39"/>
        <v>0</v>
      </c>
      <c r="Q127" s="123">
        <f t="shared" si="40"/>
        <v>73.12</v>
      </c>
      <c r="R127" s="123">
        <f t="shared" si="46"/>
        <v>-73.12</v>
      </c>
      <c r="S127" s="582">
        <v>0</v>
      </c>
      <c r="T127" s="123">
        <f t="shared" si="47"/>
        <v>-73.12</v>
      </c>
      <c r="U127" s="25">
        <f t="shared" si="41"/>
        <v>10.68</v>
      </c>
      <c r="V127" s="123">
        <f t="shared" si="42"/>
        <v>-10.68</v>
      </c>
      <c r="W127" s="334">
        <f t="shared" si="43"/>
        <v>1.08</v>
      </c>
      <c r="Y127" s="109">
        <f>IF(AE127=1,IF(Y126=MiscData!$F$1,EOMONTH(Y126,-11),EOMONTH(Y126,1)),Y126)</f>
        <v>42429</v>
      </c>
      <c r="Z127" s="108" t="str">
        <f t="shared" si="53"/>
        <v>20140101LGUM_440</v>
      </c>
      <c r="AA127" s="126" t="str">
        <f t="shared" si="54"/>
        <v xml:space="preserve">20140101LS </v>
      </c>
      <c r="AB127" s="583" t="str">
        <f t="shared" si="48"/>
        <v>440</v>
      </c>
      <c r="AD127" s="98">
        <f>MiscData!$X$5</f>
        <v>20140101</v>
      </c>
      <c r="AE127" s="98">
        <f>IF(AE126+1&gt;MiscData!$AC$77,1,AE126+1)</f>
        <v>51</v>
      </c>
      <c r="AF127" s="98" t="str">
        <f>VLOOKUP(AE127,MiscData!$AC$5:$AD$77,2,FALSE)</f>
        <v>LGUM_440</v>
      </c>
      <c r="AG127" s="98" t="str">
        <f>VLOOKUP(AF127,MiscData!$AD$5:$AE$77,2,FALSE)</f>
        <v xml:space="preserve">LS </v>
      </c>
      <c r="AP127" s="98" t="s">
        <v>229</v>
      </c>
      <c r="AR127" s="98">
        <v>0</v>
      </c>
    </row>
    <row r="128" spans="1:44">
      <c r="A128" s="108">
        <f t="shared" si="49"/>
        <v>125</v>
      </c>
      <c r="B128" s="109" t="str">
        <f t="shared" si="50"/>
        <v>Feb 2016</v>
      </c>
      <c r="C128" s="110" t="str">
        <f t="shared" si="51"/>
        <v xml:space="preserve">LS </v>
      </c>
      <c r="D128" s="110" t="str">
        <f t="shared" si="52"/>
        <v>LGUM_441</v>
      </c>
      <c r="E128" s="581">
        <f t="shared" si="30"/>
        <v>12</v>
      </c>
      <c r="F128" s="581">
        <f t="shared" si="31"/>
        <v>0</v>
      </c>
      <c r="G128" s="116">
        <f t="shared" si="32"/>
        <v>22.32</v>
      </c>
      <c r="H128" s="116">
        <f t="shared" si="33"/>
        <v>4.2800000000000011</v>
      </c>
      <c r="I128" s="118">
        <f t="shared" si="44"/>
        <v>267.83999999999997</v>
      </c>
      <c r="J128" s="118">
        <f t="shared" si="34"/>
        <v>267.83999999999997</v>
      </c>
      <c r="K128" s="570">
        <f t="shared" si="45"/>
        <v>0</v>
      </c>
      <c r="L128" s="121">
        <f t="shared" si="35"/>
        <v>0</v>
      </c>
      <c r="M128" s="122">
        <f t="shared" si="36"/>
        <v>0</v>
      </c>
      <c r="N128" s="122">
        <f t="shared" si="37"/>
        <v>0</v>
      </c>
      <c r="O128" s="122">
        <f t="shared" si="38"/>
        <v>0</v>
      </c>
      <c r="P128" s="122">
        <f t="shared" si="39"/>
        <v>0</v>
      </c>
      <c r="Q128" s="123">
        <f t="shared" si="40"/>
        <v>267.83999999999997</v>
      </c>
      <c r="R128" s="123">
        <f t="shared" si="46"/>
        <v>-267.83999999999997</v>
      </c>
      <c r="S128" s="582">
        <v>0</v>
      </c>
      <c r="T128" s="123">
        <f t="shared" si="47"/>
        <v>-267.83999999999997</v>
      </c>
      <c r="U128" s="25">
        <f t="shared" si="41"/>
        <v>51.36</v>
      </c>
      <c r="V128" s="123">
        <f t="shared" si="42"/>
        <v>-51.36</v>
      </c>
      <c r="W128" s="334">
        <f t="shared" si="43"/>
        <v>3.4799999999999995</v>
      </c>
      <c r="Y128" s="109">
        <f>IF(AE128=1,IF(Y127=MiscData!$F$1,EOMONTH(Y127,-11),EOMONTH(Y127,1)),Y127)</f>
        <v>42429</v>
      </c>
      <c r="Z128" s="108" t="str">
        <f t="shared" si="53"/>
        <v>20140101LGUM_441</v>
      </c>
      <c r="AA128" s="126" t="str">
        <f t="shared" si="54"/>
        <v xml:space="preserve">20140101LS </v>
      </c>
      <c r="AB128" s="583" t="str">
        <f t="shared" si="48"/>
        <v>441</v>
      </c>
      <c r="AD128" s="98">
        <f>MiscData!$X$5</f>
        <v>20140101</v>
      </c>
      <c r="AE128" s="98">
        <f>IF(AE127+1&gt;MiscData!$AC$77,1,AE127+1)</f>
        <v>52</v>
      </c>
      <c r="AF128" s="98" t="str">
        <f>VLOOKUP(AE128,MiscData!$AC$5:$AD$77,2,FALSE)</f>
        <v>LGUM_441</v>
      </c>
      <c r="AG128" s="98" t="str">
        <f>VLOOKUP(AF128,MiscData!$AD$5:$AE$77,2,FALSE)</f>
        <v xml:space="preserve">LS </v>
      </c>
      <c r="AP128" s="98" t="s">
        <v>230</v>
      </c>
      <c r="AR128" s="98">
        <v>0</v>
      </c>
    </row>
    <row r="129" spans="1:44">
      <c r="A129" s="108">
        <f t="shared" si="49"/>
        <v>126</v>
      </c>
      <c r="B129" s="109" t="str">
        <f t="shared" si="50"/>
        <v>Feb 2016</v>
      </c>
      <c r="C129" s="110" t="str">
        <f t="shared" si="51"/>
        <v xml:space="preserve">LS </v>
      </c>
      <c r="D129" s="110" t="str">
        <f t="shared" si="52"/>
        <v>LGUM_452</v>
      </c>
      <c r="E129" s="581">
        <f t="shared" si="30"/>
        <v>6384</v>
      </c>
      <c r="F129" s="581">
        <f t="shared" si="31"/>
        <v>0</v>
      </c>
      <c r="G129" s="116">
        <f t="shared" si="32"/>
        <v>12.82</v>
      </c>
      <c r="H129" s="116">
        <f t="shared" si="33"/>
        <v>1.6500000000000004</v>
      </c>
      <c r="I129" s="118">
        <f t="shared" si="44"/>
        <v>81842.880000000005</v>
      </c>
      <c r="J129" s="118">
        <f t="shared" si="34"/>
        <v>81842.880000000005</v>
      </c>
      <c r="K129" s="570">
        <f t="shared" si="45"/>
        <v>0</v>
      </c>
      <c r="L129" s="121">
        <f t="shared" si="35"/>
        <v>0</v>
      </c>
      <c r="M129" s="122">
        <f t="shared" si="36"/>
        <v>0</v>
      </c>
      <c r="N129" s="122">
        <f t="shared" si="37"/>
        <v>0</v>
      </c>
      <c r="O129" s="122">
        <f t="shared" si="38"/>
        <v>0</v>
      </c>
      <c r="P129" s="122">
        <f t="shared" si="39"/>
        <v>0</v>
      </c>
      <c r="Q129" s="123">
        <f t="shared" si="40"/>
        <v>81842.880000000005</v>
      </c>
      <c r="R129" s="123">
        <f t="shared" si="46"/>
        <v>-81842.880000000005</v>
      </c>
      <c r="S129" s="582">
        <v>0</v>
      </c>
      <c r="T129" s="123">
        <f t="shared" si="47"/>
        <v>-81842.880000000005</v>
      </c>
      <c r="U129" s="25">
        <f t="shared" si="41"/>
        <v>10533.6</v>
      </c>
      <c r="V129" s="123">
        <f t="shared" si="42"/>
        <v>-10533.6</v>
      </c>
      <c r="W129" s="334">
        <f t="shared" si="43"/>
        <v>1532.1599999999999</v>
      </c>
      <c r="Y129" s="109">
        <f>IF(AE129=1,IF(Y128=MiscData!$F$1,EOMONTH(Y128,-11),EOMONTH(Y128,1)),Y128)</f>
        <v>42429</v>
      </c>
      <c r="Z129" s="108" t="str">
        <f t="shared" si="53"/>
        <v>20140101LGUM_452</v>
      </c>
      <c r="AA129" s="126" t="str">
        <f t="shared" si="54"/>
        <v xml:space="preserve">20140101LS </v>
      </c>
      <c r="AB129" s="583" t="str">
        <f t="shared" si="48"/>
        <v>452</v>
      </c>
      <c r="AD129" s="98">
        <f>MiscData!$X$5</f>
        <v>20140101</v>
      </c>
      <c r="AE129" s="98">
        <f>IF(AE128+1&gt;MiscData!$AC$77,1,AE128+1)</f>
        <v>53</v>
      </c>
      <c r="AF129" s="98" t="str">
        <f>VLOOKUP(AE129,MiscData!$AC$5:$AD$77,2,FALSE)</f>
        <v>LGUM_452</v>
      </c>
      <c r="AG129" s="98" t="str">
        <f>VLOOKUP(AF129,MiscData!$AD$5:$AE$77,2,FALSE)</f>
        <v xml:space="preserve">LS </v>
      </c>
      <c r="AP129" s="98" t="s">
        <v>231</v>
      </c>
      <c r="AR129" s="98">
        <v>0</v>
      </c>
    </row>
    <row r="130" spans="1:44">
      <c r="A130" s="108">
        <f t="shared" si="49"/>
        <v>127</v>
      </c>
      <c r="B130" s="109" t="str">
        <f t="shared" si="50"/>
        <v>Feb 2016</v>
      </c>
      <c r="C130" s="110" t="str">
        <f t="shared" si="51"/>
        <v xml:space="preserve">LS </v>
      </c>
      <c r="D130" s="110" t="str">
        <f t="shared" si="52"/>
        <v>LGUM_453</v>
      </c>
      <c r="E130" s="581">
        <f t="shared" si="30"/>
        <v>9001</v>
      </c>
      <c r="F130" s="581">
        <f t="shared" si="31"/>
        <v>0</v>
      </c>
      <c r="G130" s="116">
        <f t="shared" si="32"/>
        <v>15.08</v>
      </c>
      <c r="H130" s="116">
        <f t="shared" si="33"/>
        <v>3.9800000000000004</v>
      </c>
      <c r="I130" s="118">
        <f t="shared" si="44"/>
        <v>135735.07999999999</v>
      </c>
      <c r="J130" s="118">
        <f t="shared" si="34"/>
        <v>135735.07999999999</v>
      </c>
      <c r="K130" s="570">
        <f t="shared" si="45"/>
        <v>0</v>
      </c>
      <c r="L130" s="121">
        <f t="shared" si="35"/>
        <v>0</v>
      </c>
      <c r="M130" s="122">
        <f t="shared" si="36"/>
        <v>0</v>
      </c>
      <c r="N130" s="122">
        <f t="shared" si="37"/>
        <v>0</v>
      </c>
      <c r="O130" s="122">
        <f t="shared" si="38"/>
        <v>0</v>
      </c>
      <c r="P130" s="122">
        <f t="shared" si="39"/>
        <v>0</v>
      </c>
      <c r="Q130" s="123">
        <f t="shared" si="40"/>
        <v>135735.07999999999</v>
      </c>
      <c r="R130" s="123">
        <f t="shared" si="46"/>
        <v>-135735.07999999999</v>
      </c>
      <c r="S130" s="582">
        <v>0</v>
      </c>
      <c r="T130" s="123">
        <f t="shared" si="47"/>
        <v>-135735.07999999999</v>
      </c>
      <c r="U130" s="25">
        <f t="shared" si="41"/>
        <v>35823.980000000003</v>
      </c>
      <c r="V130" s="123">
        <f t="shared" si="42"/>
        <v>-35823.980000000003</v>
      </c>
      <c r="W130" s="334">
        <f t="shared" si="43"/>
        <v>2430.27</v>
      </c>
      <c r="Y130" s="109">
        <f>IF(AE130=1,IF(Y129=MiscData!$F$1,EOMONTH(Y129,-11),EOMONTH(Y129,1)),Y129)</f>
        <v>42429</v>
      </c>
      <c r="Z130" s="108" t="str">
        <f t="shared" si="53"/>
        <v>20140101LGUM_453</v>
      </c>
      <c r="AA130" s="126" t="str">
        <f t="shared" si="54"/>
        <v xml:space="preserve">20140101LS </v>
      </c>
      <c r="AB130" s="583" t="str">
        <f t="shared" si="48"/>
        <v>453</v>
      </c>
      <c r="AD130" s="98">
        <f>MiscData!$X$5</f>
        <v>20140101</v>
      </c>
      <c r="AE130" s="98">
        <f>IF(AE129+1&gt;MiscData!$AC$77,1,AE129+1)</f>
        <v>54</v>
      </c>
      <c r="AF130" s="98" t="str">
        <f>VLOOKUP(AE130,MiscData!$AC$5:$AD$77,2,FALSE)</f>
        <v>LGUM_453</v>
      </c>
      <c r="AG130" s="98" t="str">
        <f>VLOOKUP(AF130,MiscData!$AD$5:$AE$77,2,FALSE)</f>
        <v xml:space="preserve">LS </v>
      </c>
      <c r="AP130" s="98" t="s">
        <v>232</v>
      </c>
      <c r="AR130" s="98">
        <v>0</v>
      </c>
    </row>
    <row r="131" spans="1:44">
      <c r="A131" s="108">
        <f t="shared" si="49"/>
        <v>128</v>
      </c>
      <c r="B131" s="109" t="str">
        <f t="shared" si="50"/>
        <v>Feb 2016</v>
      </c>
      <c r="C131" s="110" t="str">
        <f t="shared" si="51"/>
        <v xml:space="preserve">LS </v>
      </c>
      <c r="D131" s="110" t="str">
        <f t="shared" si="52"/>
        <v>LGUM_454</v>
      </c>
      <c r="E131" s="581">
        <f t="shared" si="30"/>
        <v>5514</v>
      </c>
      <c r="F131" s="581">
        <f t="shared" si="31"/>
        <v>0</v>
      </c>
      <c r="G131" s="116">
        <f t="shared" si="32"/>
        <v>17.38</v>
      </c>
      <c r="H131" s="116">
        <f t="shared" si="33"/>
        <v>4.2800000000000011</v>
      </c>
      <c r="I131" s="118">
        <f t="shared" si="44"/>
        <v>95833.32</v>
      </c>
      <c r="J131" s="118">
        <f t="shared" si="34"/>
        <v>95833.32</v>
      </c>
      <c r="K131" s="570">
        <f t="shared" si="45"/>
        <v>0</v>
      </c>
      <c r="L131" s="121">
        <f t="shared" si="35"/>
        <v>0</v>
      </c>
      <c r="M131" s="122">
        <f t="shared" si="36"/>
        <v>0</v>
      </c>
      <c r="N131" s="122">
        <f t="shared" si="37"/>
        <v>0</v>
      </c>
      <c r="O131" s="122">
        <f t="shared" si="38"/>
        <v>0</v>
      </c>
      <c r="P131" s="122">
        <f t="shared" si="39"/>
        <v>0</v>
      </c>
      <c r="Q131" s="123">
        <f t="shared" si="40"/>
        <v>95833.32</v>
      </c>
      <c r="R131" s="123">
        <f t="shared" si="46"/>
        <v>-95833.32</v>
      </c>
      <c r="S131" s="582">
        <v>0</v>
      </c>
      <c r="T131" s="123">
        <f t="shared" si="47"/>
        <v>-95833.32</v>
      </c>
      <c r="U131" s="25">
        <f t="shared" si="41"/>
        <v>23599.919999999998</v>
      </c>
      <c r="V131" s="123">
        <f t="shared" si="42"/>
        <v>-23599.919999999998</v>
      </c>
      <c r="W131" s="334">
        <f t="shared" si="43"/>
        <v>1599.06</v>
      </c>
      <c r="Y131" s="109">
        <f>IF(AE131=1,IF(Y130=MiscData!$F$1,EOMONTH(Y130,-11),EOMONTH(Y130,1)),Y130)</f>
        <v>42429</v>
      </c>
      <c r="Z131" s="108" t="str">
        <f t="shared" si="53"/>
        <v>20140101LGUM_454</v>
      </c>
      <c r="AA131" s="126" t="str">
        <f t="shared" si="54"/>
        <v xml:space="preserve">20140101LS </v>
      </c>
      <c r="AB131" s="583" t="str">
        <f t="shared" si="48"/>
        <v>454</v>
      </c>
      <c r="AD131" s="98">
        <f>MiscData!$X$5</f>
        <v>20140101</v>
      </c>
      <c r="AE131" s="98">
        <f>IF(AE130+1&gt;MiscData!$AC$77,1,AE130+1)</f>
        <v>55</v>
      </c>
      <c r="AF131" s="98" t="str">
        <f>VLOOKUP(AE131,MiscData!$AC$5:$AD$77,2,FALSE)</f>
        <v>LGUM_454</v>
      </c>
      <c r="AG131" s="98" t="str">
        <f>VLOOKUP(AF131,MiscData!$AD$5:$AE$77,2,FALSE)</f>
        <v xml:space="preserve">LS </v>
      </c>
      <c r="AP131" s="98" t="s">
        <v>233</v>
      </c>
      <c r="AR131" s="98">
        <v>0</v>
      </c>
    </row>
    <row r="132" spans="1:44">
      <c r="A132" s="108">
        <f t="shared" si="49"/>
        <v>129</v>
      </c>
      <c r="B132" s="109" t="str">
        <f t="shared" si="50"/>
        <v>Feb 2016</v>
      </c>
      <c r="C132" s="110" t="str">
        <f t="shared" si="51"/>
        <v xml:space="preserve">LS </v>
      </c>
      <c r="D132" s="110" t="str">
        <f t="shared" si="52"/>
        <v>LGUM_455</v>
      </c>
      <c r="E132" s="581">
        <f t="shared" ref="E132:E195" si="55">SUMIFS(L_1055_Count_Total,L_1055_Revenue_Month,$B132,L_1055_RateCategory,$D132)</f>
        <v>407</v>
      </c>
      <c r="F132" s="581">
        <f t="shared" ref="F132:F195" si="56">SUMIFS(L_SBR_KWH,L_SBR_Rate_Category,$D132,L_SBR_Revenue_Month,$B132)</f>
        <v>0</v>
      </c>
      <c r="G132" s="116">
        <f t="shared" ref="G132:G195" si="57">SUMIF(L_LightingRates_Tariff_Rate_Category,$Z132,L_LightingRates_UnitCharge)</f>
        <v>13.77</v>
      </c>
      <c r="H132" s="116">
        <f t="shared" ref="H132:H195" si="58">SUMIF(L_LightingRates_Tariff_Rate_Category,$Z132,L_LightingRates_FAC_Rate)</f>
        <v>1.6499999999999986</v>
      </c>
      <c r="I132" s="118">
        <f t="shared" si="44"/>
        <v>5604.39</v>
      </c>
      <c r="J132" s="118">
        <f t="shared" ref="J132:J195" si="59">SUM(I132:I132)</f>
        <v>5604.39</v>
      </c>
      <c r="K132" s="570">
        <f t="shared" si="45"/>
        <v>0</v>
      </c>
      <c r="L132" s="121">
        <f t="shared" ref="L132:L195" si="60">IF(AND(J132=0,K132=0),1,IF(J132=0,0,K132/J132))</f>
        <v>0</v>
      </c>
      <c r="M132" s="122">
        <f t="shared" ref="M132:M195" si="61">SUMIFS(L_SBR_FAC,L_SBR_Revenue_Month,$B132,L_SBR_Rate_Category,$D132)</f>
        <v>0</v>
      </c>
      <c r="N132" s="122">
        <f t="shared" ref="N132:N195" si="62">SUMIFS(L_SBR_ECR,L_SBR_Revenue_Month,$B132,L_SBR_Rate_Category,$D132)</f>
        <v>0</v>
      </c>
      <c r="O132" s="122">
        <f t="shared" ref="O132:O195" si="63">SUMIFS(L_SBR_MSR,L_SBR_Revenue_Month,$B132,L_SBR_Rate_Category,$D132)</f>
        <v>0</v>
      </c>
      <c r="P132" s="122">
        <f t="shared" ref="P132:P195" si="64">SUMIFS(L_SBR_Revenue_Total,L_SBR_Revenue_Month,$B132,L_SBR_Rate_Category,$D132)</f>
        <v>0</v>
      </c>
      <c r="Q132" s="123">
        <f t="shared" ref="Q132:Q195" si="65">SUM(J132,M132:O132)</f>
        <v>5604.39</v>
      </c>
      <c r="R132" s="123">
        <f t="shared" si="46"/>
        <v>-5604.39</v>
      </c>
      <c r="S132" s="582">
        <v>0</v>
      </c>
      <c r="T132" s="123">
        <f t="shared" si="47"/>
        <v>-5604.39</v>
      </c>
      <c r="U132" s="25">
        <f t="shared" ref="U132:U195" si="66">ROUND(E132*H132,2)</f>
        <v>671.55</v>
      </c>
      <c r="V132" s="123">
        <f t="shared" ref="V132:V195" si="67">K132-U132</f>
        <v>-671.55</v>
      </c>
      <c r="W132" s="334">
        <f t="shared" ref="W132:W195" si="68">SUMIF(L_LightingRates_Tariff_Rate_Category,$Z132,L_LightingRates_ECR_Rate)*E132</f>
        <v>97.679999999999993</v>
      </c>
      <c r="Y132" s="109">
        <f>IF(AE132=1,IF(Y131=MiscData!$F$1,EOMONTH(Y131,-11),EOMONTH(Y131,1)),Y131)</f>
        <v>42429</v>
      </c>
      <c r="Z132" s="108" t="str">
        <f t="shared" si="53"/>
        <v>20140101LGUM_455</v>
      </c>
      <c r="AA132" s="126" t="str">
        <f t="shared" si="54"/>
        <v xml:space="preserve">20140101LS </v>
      </c>
      <c r="AB132" s="583" t="str">
        <f t="shared" si="48"/>
        <v>455</v>
      </c>
      <c r="AD132" s="98">
        <f>MiscData!$X$5</f>
        <v>20140101</v>
      </c>
      <c r="AE132" s="98">
        <f>IF(AE131+1&gt;MiscData!$AC$77,1,AE131+1)</f>
        <v>56</v>
      </c>
      <c r="AF132" s="98" t="str">
        <f>VLOOKUP(AE132,MiscData!$AC$5:$AD$77,2,FALSE)</f>
        <v>LGUM_455</v>
      </c>
      <c r="AG132" s="98" t="str">
        <f>VLOOKUP(AF132,MiscData!$AD$5:$AE$77,2,FALSE)</f>
        <v xml:space="preserve">LS </v>
      </c>
      <c r="AP132" s="98" t="s">
        <v>352</v>
      </c>
      <c r="AR132" s="98">
        <v>0</v>
      </c>
    </row>
    <row r="133" spans="1:44">
      <c r="A133" s="108">
        <f t="shared" si="49"/>
        <v>130</v>
      </c>
      <c r="B133" s="109" t="str">
        <f t="shared" si="50"/>
        <v>Feb 2016</v>
      </c>
      <c r="C133" s="110" t="str">
        <f t="shared" si="51"/>
        <v xml:space="preserve">LS </v>
      </c>
      <c r="D133" s="110" t="str">
        <f t="shared" si="52"/>
        <v>LGUM_456</v>
      </c>
      <c r="E133" s="581">
        <f t="shared" si="55"/>
        <v>12837</v>
      </c>
      <c r="F133" s="581">
        <f t="shared" si="56"/>
        <v>0</v>
      </c>
      <c r="G133" s="116">
        <f t="shared" si="57"/>
        <v>18.21</v>
      </c>
      <c r="H133" s="116">
        <f t="shared" si="58"/>
        <v>4.2800000000000011</v>
      </c>
      <c r="I133" s="118">
        <f t="shared" ref="I133:I196" si="69">ROUND($E133*$G133,2)</f>
        <v>233761.77</v>
      </c>
      <c r="J133" s="118">
        <f t="shared" si="59"/>
        <v>233761.77</v>
      </c>
      <c r="K133" s="570">
        <f t="shared" ref="K133:K196" si="70">P133-SUM(M133:O133)</f>
        <v>0</v>
      </c>
      <c r="L133" s="121">
        <f t="shared" si="60"/>
        <v>0</v>
      </c>
      <c r="M133" s="122">
        <f t="shared" si="61"/>
        <v>0</v>
      </c>
      <c r="N133" s="122">
        <f t="shared" si="62"/>
        <v>0</v>
      </c>
      <c r="O133" s="122">
        <f t="shared" si="63"/>
        <v>0</v>
      </c>
      <c r="P133" s="122">
        <f t="shared" si="64"/>
        <v>0</v>
      </c>
      <c r="Q133" s="123">
        <f t="shared" si="65"/>
        <v>233761.77</v>
      </c>
      <c r="R133" s="123">
        <f t="shared" ref="R133:R196" si="71">ROUND(P133-Q133,2)</f>
        <v>-233761.77</v>
      </c>
      <c r="S133" s="582">
        <v>0</v>
      </c>
      <c r="T133" s="123">
        <f t="shared" ref="T133:T196" si="72">R133-S133</f>
        <v>-233761.77</v>
      </c>
      <c r="U133" s="25">
        <f t="shared" si="66"/>
        <v>54942.36</v>
      </c>
      <c r="V133" s="123">
        <f t="shared" si="67"/>
        <v>-54942.36</v>
      </c>
      <c r="W133" s="334">
        <f t="shared" si="68"/>
        <v>3722.7299999999996</v>
      </c>
      <c r="Y133" s="109">
        <f>IF(AE133=1,IF(Y132=MiscData!$F$1,EOMONTH(Y132,-11),EOMONTH(Y132,1)),Y132)</f>
        <v>42429</v>
      </c>
      <c r="Z133" s="108" t="str">
        <f t="shared" si="53"/>
        <v>20140101LGUM_456</v>
      </c>
      <c r="AA133" s="126" t="str">
        <f t="shared" si="54"/>
        <v xml:space="preserve">20140101LS </v>
      </c>
      <c r="AB133" s="583" t="str">
        <f t="shared" ref="AB133:AB196" si="73">RIGHT(AF133,3)</f>
        <v>456</v>
      </c>
      <c r="AD133" s="98">
        <f>MiscData!$X$5</f>
        <v>20140101</v>
      </c>
      <c r="AE133" s="98">
        <f>IF(AE132+1&gt;MiscData!$AC$77,1,AE132+1)</f>
        <v>57</v>
      </c>
      <c r="AF133" s="98" t="str">
        <f>VLOOKUP(AE133,MiscData!$AC$5:$AD$77,2,FALSE)</f>
        <v>LGUM_456</v>
      </c>
      <c r="AG133" s="98" t="str">
        <f>VLOOKUP(AF133,MiscData!$AD$5:$AE$77,2,FALSE)</f>
        <v xml:space="preserve">LS </v>
      </c>
      <c r="AP133" s="98" t="s">
        <v>234</v>
      </c>
      <c r="AR133" s="98">
        <v>0</v>
      </c>
    </row>
    <row r="134" spans="1:44">
      <c r="A134" s="108">
        <f t="shared" ref="A134:A197" si="74">A133+1</f>
        <v>131</v>
      </c>
      <c r="B134" s="109" t="str">
        <f t="shared" si="50"/>
        <v>Feb 2016</v>
      </c>
      <c r="C134" s="110" t="str">
        <f t="shared" si="51"/>
        <v xml:space="preserve">LS </v>
      </c>
      <c r="D134" s="110" t="str">
        <f t="shared" si="52"/>
        <v>LGUM_457</v>
      </c>
      <c r="E134" s="581">
        <f t="shared" si="55"/>
        <v>3285</v>
      </c>
      <c r="F134" s="581">
        <f t="shared" si="56"/>
        <v>0</v>
      </c>
      <c r="G134" s="116">
        <f t="shared" si="57"/>
        <v>10.86</v>
      </c>
      <c r="H134" s="116">
        <f t="shared" si="58"/>
        <v>1.0599999999999987</v>
      </c>
      <c r="I134" s="118">
        <f t="shared" si="69"/>
        <v>35675.1</v>
      </c>
      <c r="J134" s="118">
        <f t="shared" si="59"/>
        <v>35675.1</v>
      </c>
      <c r="K134" s="570">
        <f t="shared" si="70"/>
        <v>0</v>
      </c>
      <c r="L134" s="121">
        <f t="shared" si="60"/>
        <v>0</v>
      </c>
      <c r="M134" s="122">
        <f t="shared" si="61"/>
        <v>0</v>
      </c>
      <c r="N134" s="122">
        <f t="shared" si="62"/>
        <v>0</v>
      </c>
      <c r="O134" s="122">
        <f t="shared" si="63"/>
        <v>0</v>
      </c>
      <c r="P134" s="122">
        <f t="shared" si="64"/>
        <v>0</v>
      </c>
      <c r="Q134" s="123">
        <f t="shared" si="65"/>
        <v>35675.1</v>
      </c>
      <c r="R134" s="123">
        <f t="shared" si="71"/>
        <v>-35675.1</v>
      </c>
      <c r="S134" s="582">
        <v>0</v>
      </c>
      <c r="T134" s="123">
        <f t="shared" si="72"/>
        <v>-35675.1</v>
      </c>
      <c r="U134" s="25">
        <f t="shared" si="66"/>
        <v>3482.1</v>
      </c>
      <c r="V134" s="123">
        <f t="shared" si="67"/>
        <v>-3482.1</v>
      </c>
      <c r="W134" s="334">
        <f t="shared" si="68"/>
        <v>886.95</v>
      </c>
      <c r="Y134" s="109">
        <f>IF(AE134=1,IF(Y133=MiscData!$F$1,EOMONTH(Y133,-11),EOMONTH(Y133,1)),Y133)</f>
        <v>42429</v>
      </c>
      <c r="Z134" s="108" t="str">
        <f t="shared" si="53"/>
        <v>20140101LGUM_457</v>
      </c>
      <c r="AA134" s="126" t="str">
        <f t="shared" si="54"/>
        <v xml:space="preserve">20140101LS </v>
      </c>
      <c r="AB134" s="583" t="str">
        <f t="shared" si="73"/>
        <v>457</v>
      </c>
      <c r="AD134" s="98">
        <f>MiscData!$X$5</f>
        <v>20140101</v>
      </c>
      <c r="AE134" s="98">
        <f>IF(AE133+1&gt;MiscData!$AC$77,1,AE133+1)</f>
        <v>58</v>
      </c>
      <c r="AF134" s="98" t="str">
        <f>VLOOKUP(AE134,MiscData!$AC$5:$AD$77,2,FALSE)</f>
        <v>LGUM_457</v>
      </c>
      <c r="AG134" s="98" t="str">
        <f>VLOOKUP(AF134,MiscData!$AD$5:$AE$77,2,FALSE)</f>
        <v xml:space="preserve">LS </v>
      </c>
      <c r="AP134" s="98" t="s">
        <v>353</v>
      </c>
      <c r="AR134" s="98">
        <v>0</v>
      </c>
    </row>
    <row r="135" spans="1:44">
      <c r="A135" s="108">
        <f t="shared" si="74"/>
        <v>132</v>
      </c>
      <c r="B135" s="109" t="str">
        <f t="shared" si="50"/>
        <v>Feb 2016</v>
      </c>
      <c r="C135" s="110" t="str">
        <f t="shared" si="51"/>
        <v>RLS</v>
      </c>
      <c r="D135" s="110" t="str">
        <f t="shared" si="52"/>
        <v>LGUM_458</v>
      </c>
      <c r="E135" s="581">
        <f t="shared" si="55"/>
        <v>5</v>
      </c>
      <c r="F135" s="581">
        <f t="shared" si="56"/>
        <v>0</v>
      </c>
      <c r="G135" s="116">
        <f t="shared" si="57"/>
        <v>11.13</v>
      </c>
      <c r="H135" s="116">
        <f t="shared" si="58"/>
        <v>3.7700000000000014</v>
      </c>
      <c r="I135" s="118">
        <f t="shared" si="69"/>
        <v>55.65</v>
      </c>
      <c r="J135" s="118">
        <f t="shared" si="59"/>
        <v>55.65</v>
      </c>
      <c r="K135" s="570">
        <f t="shared" si="70"/>
        <v>0</v>
      </c>
      <c r="L135" s="121">
        <f t="shared" si="60"/>
        <v>0</v>
      </c>
      <c r="M135" s="122">
        <f t="shared" si="61"/>
        <v>0</v>
      </c>
      <c r="N135" s="122">
        <f t="shared" si="62"/>
        <v>0</v>
      </c>
      <c r="O135" s="122">
        <f t="shared" si="63"/>
        <v>0</v>
      </c>
      <c r="P135" s="122">
        <f t="shared" si="64"/>
        <v>0</v>
      </c>
      <c r="Q135" s="123">
        <f t="shared" si="65"/>
        <v>55.65</v>
      </c>
      <c r="R135" s="123">
        <f t="shared" si="71"/>
        <v>-55.65</v>
      </c>
      <c r="S135" s="582">
        <v>0</v>
      </c>
      <c r="T135" s="123">
        <f t="shared" si="72"/>
        <v>-55.65</v>
      </c>
      <c r="U135" s="25">
        <f t="shared" si="66"/>
        <v>18.850000000000001</v>
      </c>
      <c r="V135" s="123">
        <f t="shared" si="67"/>
        <v>-18.850000000000001</v>
      </c>
      <c r="W135" s="334">
        <f t="shared" si="68"/>
        <v>0.8</v>
      </c>
      <c r="Y135" s="109">
        <f>IF(AE135=1,IF(Y134=MiscData!$F$1,EOMONTH(Y134,-11),EOMONTH(Y134,1)),Y134)</f>
        <v>42429</v>
      </c>
      <c r="Z135" s="108" t="str">
        <f t="shared" si="53"/>
        <v>20140101LGUM_458</v>
      </c>
      <c r="AA135" s="126" t="str">
        <f t="shared" si="54"/>
        <v>20140101RLS</v>
      </c>
      <c r="AB135" s="583" t="str">
        <f t="shared" si="73"/>
        <v>458</v>
      </c>
      <c r="AD135" s="98">
        <f>MiscData!$X$5</f>
        <v>20140101</v>
      </c>
      <c r="AE135" s="98">
        <f>IF(AE134+1&gt;MiscData!$AC$77,1,AE134+1)</f>
        <v>59</v>
      </c>
      <c r="AF135" s="98" t="str">
        <f>VLOOKUP(AE135,MiscData!$AC$5:$AD$77,2,FALSE)</f>
        <v>LGUM_458</v>
      </c>
      <c r="AG135" s="98" t="str">
        <f>VLOOKUP(AF135,MiscData!$AD$5:$AE$77,2,FALSE)</f>
        <v>RLS</v>
      </c>
      <c r="AP135" s="98" t="s">
        <v>235</v>
      </c>
      <c r="AR135" s="98">
        <v>0</v>
      </c>
    </row>
    <row r="136" spans="1:44">
      <c r="A136" s="108">
        <f t="shared" si="74"/>
        <v>133</v>
      </c>
      <c r="B136" s="109" t="str">
        <f t="shared" si="50"/>
        <v>Feb 2016</v>
      </c>
      <c r="C136" s="110" t="str">
        <f t="shared" si="51"/>
        <v xml:space="preserve">LS </v>
      </c>
      <c r="D136" s="110" t="str">
        <f t="shared" si="52"/>
        <v>LGUM_470</v>
      </c>
      <c r="E136" s="581">
        <f t="shared" si="55"/>
        <v>22</v>
      </c>
      <c r="F136" s="581">
        <f t="shared" si="56"/>
        <v>0</v>
      </c>
      <c r="G136" s="116">
        <f t="shared" si="57"/>
        <v>12.79</v>
      </c>
      <c r="H136" s="116">
        <f t="shared" si="58"/>
        <v>1.3699999999999992</v>
      </c>
      <c r="I136" s="118">
        <f t="shared" si="69"/>
        <v>281.38</v>
      </c>
      <c r="J136" s="118">
        <f t="shared" si="59"/>
        <v>281.38</v>
      </c>
      <c r="K136" s="570">
        <f t="shared" si="70"/>
        <v>0</v>
      </c>
      <c r="L136" s="121">
        <f t="shared" si="60"/>
        <v>0</v>
      </c>
      <c r="M136" s="122">
        <f t="shared" si="61"/>
        <v>0</v>
      </c>
      <c r="N136" s="122">
        <f t="shared" si="62"/>
        <v>0</v>
      </c>
      <c r="O136" s="122">
        <f t="shared" si="63"/>
        <v>0</v>
      </c>
      <c r="P136" s="122">
        <f t="shared" si="64"/>
        <v>0</v>
      </c>
      <c r="Q136" s="123">
        <f t="shared" si="65"/>
        <v>281.38</v>
      </c>
      <c r="R136" s="123">
        <f t="shared" si="71"/>
        <v>-281.38</v>
      </c>
      <c r="S136" s="582">
        <v>0</v>
      </c>
      <c r="T136" s="123">
        <f t="shared" si="72"/>
        <v>-281.38</v>
      </c>
      <c r="U136" s="25">
        <f t="shared" si="66"/>
        <v>30.14</v>
      </c>
      <c r="V136" s="123">
        <f t="shared" si="67"/>
        <v>-30.14</v>
      </c>
      <c r="W136" s="334">
        <f t="shared" si="68"/>
        <v>5.94</v>
      </c>
      <c r="Y136" s="109">
        <f>IF(AE136=1,IF(Y135=MiscData!$F$1,EOMONTH(Y135,-11),EOMONTH(Y135,1)),Y135)</f>
        <v>42429</v>
      </c>
      <c r="Z136" s="108" t="str">
        <f t="shared" si="53"/>
        <v>20140101LGUM_470</v>
      </c>
      <c r="AA136" s="126" t="str">
        <f t="shared" si="54"/>
        <v xml:space="preserve">20140101LS </v>
      </c>
      <c r="AB136" s="583" t="str">
        <f t="shared" si="73"/>
        <v>470</v>
      </c>
      <c r="AD136" s="98">
        <f>MiscData!$X$5</f>
        <v>20140101</v>
      </c>
      <c r="AE136" s="98">
        <f>IF(AE135+1&gt;MiscData!$AC$77,1,AE135+1)</f>
        <v>60</v>
      </c>
      <c r="AF136" s="98" t="str">
        <f>VLOOKUP(AE136,MiscData!$AC$5:$AD$77,2,FALSE)</f>
        <v>LGUM_470</v>
      </c>
      <c r="AG136" s="98" t="str">
        <f>VLOOKUP(AF136,MiscData!$AD$5:$AE$77,2,FALSE)</f>
        <v xml:space="preserve">LS </v>
      </c>
      <c r="AP136" s="98" t="s">
        <v>236</v>
      </c>
      <c r="AR136" s="98">
        <v>0</v>
      </c>
    </row>
    <row r="137" spans="1:44">
      <c r="A137" s="108">
        <f t="shared" si="74"/>
        <v>134</v>
      </c>
      <c r="B137" s="109" t="str">
        <f t="shared" si="50"/>
        <v>Feb 2016</v>
      </c>
      <c r="C137" s="110" t="str">
        <f t="shared" si="51"/>
        <v>RLS</v>
      </c>
      <c r="D137" s="110" t="str">
        <f t="shared" si="52"/>
        <v>LGUM_471</v>
      </c>
      <c r="E137" s="581">
        <f t="shared" si="55"/>
        <v>2</v>
      </c>
      <c r="F137" s="581">
        <f t="shared" si="56"/>
        <v>0</v>
      </c>
      <c r="G137" s="116">
        <f t="shared" si="57"/>
        <v>15.07</v>
      </c>
      <c r="H137" s="116">
        <f t="shared" si="58"/>
        <v>1.3699999999999992</v>
      </c>
      <c r="I137" s="118">
        <f t="shared" si="69"/>
        <v>30.14</v>
      </c>
      <c r="J137" s="118">
        <f t="shared" si="59"/>
        <v>30.14</v>
      </c>
      <c r="K137" s="570">
        <f t="shared" si="70"/>
        <v>0</v>
      </c>
      <c r="L137" s="121">
        <f t="shared" si="60"/>
        <v>0</v>
      </c>
      <c r="M137" s="122">
        <f t="shared" si="61"/>
        <v>0</v>
      </c>
      <c r="N137" s="122">
        <f t="shared" si="62"/>
        <v>0</v>
      </c>
      <c r="O137" s="122">
        <f t="shared" si="63"/>
        <v>0</v>
      </c>
      <c r="P137" s="122">
        <f t="shared" si="64"/>
        <v>0</v>
      </c>
      <c r="Q137" s="123">
        <f t="shared" si="65"/>
        <v>30.14</v>
      </c>
      <c r="R137" s="123">
        <f t="shared" si="71"/>
        <v>-30.14</v>
      </c>
      <c r="S137" s="582">
        <v>0</v>
      </c>
      <c r="T137" s="123">
        <f t="shared" si="72"/>
        <v>-30.14</v>
      </c>
      <c r="U137" s="25">
        <f t="shared" si="66"/>
        <v>2.74</v>
      </c>
      <c r="V137" s="123">
        <f t="shared" si="67"/>
        <v>-2.74</v>
      </c>
      <c r="W137" s="334">
        <f t="shared" si="68"/>
        <v>0.54</v>
      </c>
      <c r="Y137" s="109">
        <f>IF(AE137=1,IF(Y136=MiscData!$F$1,EOMONTH(Y136,-11),EOMONTH(Y136,1)),Y136)</f>
        <v>42429</v>
      </c>
      <c r="Z137" s="108" t="str">
        <f t="shared" si="53"/>
        <v>20140101LGUM_471</v>
      </c>
      <c r="AA137" s="126" t="str">
        <f t="shared" si="54"/>
        <v>20140101RLS</v>
      </c>
      <c r="AB137" s="583" t="str">
        <f t="shared" si="73"/>
        <v>471</v>
      </c>
      <c r="AD137" s="98">
        <f>MiscData!$X$5</f>
        <v>20140101</v>
      </c>
      <c r="AE137" s="98">
        <f>IF(AE136+1&gt;MiscData!$AC$77,1,AE136+1)</f>
        <v>61</v>
      </c>
      <c r="AF137" s="98" t="str">
        <f>VLOOKUP(AE137,MiscData!$AC$5:$AD$77,2,FALSE)</f>
        <v>LGUM_471</v>
      </c>
      <c r="AG137" s="98" t="str">
        <f>VLOOKUP(AF137,MiscData!$AD$5:$AE$77,2,FALSE)</f>
        <v>RLS</v>
      </c>
      <c r="AP137" s="98" t="s">
        <v>354</v>
      </c>
      <c r="AR137" s="98">
        <v>0</v>
      </c>
    </row>
    <row r="138" spans="1:44">
      <c r="A138" s="108">
        <f t="shared" si="74"/>
        <v>135</v>
      </c>
      <c r="B138" s="109" t="str">
        <f t="shared" si="50"/>
        <v>Feb 2016</v>
      </c>
      <c r="C138" s="110" t="str">
        <f t="shared" si="51"/>
        <v xml:space="preserve">LS </v>
      </c>
      <c r="D138" s="110" t="str">
        <f t="shared" si="52"/>
        <v>LGUM_473</v>
      </c>
      <c r="E138" s="581">
        <f t="shared" si="55"/>
        <v>298</v>
      </c>
      <c r="F138" s="581">
        <f t="shared" si="56"/>
        <v>0</v>
      </c>
      <c r="G138" s="116">
        <f t="shared" si="57"/>
        <v>18.68</v>
      </c>
      <c r="H138" s="116">
        <f t="shared" si="58"/>
        <v>3.1799999999999979</v>
      </c>
      <c r="I138" s="118">
        <f t="shared" si="69"/>
        <v>5566.64</v>
      </c>
      <c r="J138" s="118">
        <f t="shared" si="59"/>
        <v>5566.64</v>
      </c>
      <c r="K138" s="570">
        <f t="shared" si="70"/>
        <v>0</v>
      </c>
      <c r="L138" s="121">
        <f t="shared" si="60"/>
        <v>0</v>
      </c>
      <c r="M138" s="122">
        <f t="shared" si="61"/>
        <v>0</v>
      </c>
      <c r="N138" s="122">
        <f t="shared" si="62"/>
        <v>0</v>
      </c>
      <c r="O138" s="122">
        <f t="shared" si="63"/>
        <v>0</v>
      </c>
      <c r="P138" s="122">
        <f t="shared" si="64"/>
        <v>0</v>
      </c>
      <c r="Q138" s="123">
        <f t="shared" si="65"/>
        <v>5566.64</v>
      </c>
      <c r="R138" s="123">
        <f t="shared" si="71"/>
        <v>-5566.64</v>
      </c>
      <c r="S138" s="582">
        <v>0</v>
      </c>
      <c r="T138" s="123">
        <f t="shared" si="72"/>
        <v>-5566.64</v>
      </c>
      <c r="U138" s="25">
        <f t="shared" si="66"/>
        <v>947.64</v>
      </c>
      <c r="V138" s="123">
        <f t="shared" si="67"/>
        <v>-947.64</v>
      </c>
      <c r="W138" s="334">
        <f t="shared" si="68"/>
        <v>89.399999999999991</v>
      </c>
      <c r="Y138" s="109">
        <f>IF(AE138=1,IF(Y137=MiscData!$F$1,EOMONTH(Y137,-11),EOMONTH(Y137,1)),Y137)</f>
        <v>42429</v>
      </c>
      <c r="Z138" s="108" t="str">
        <f t="shared" si="53"/>
        <v>20140101LGUM_473</v>
      </c>
      <c r="AA138" s="126" t="str">
        <f t="shared" si="54"/>
        <v xml:space="preserve">20140101LS </v>
      </c>
      <c r="AB138" s="583" t="str">
        <f t="shared" si="73"/>
        <v>473</v>
      </c>
      <c r="AD138" s="98">
        <f>MiscData!$X$5</f>
        <v>20140101</v>
      </c>
      <c r="AE138" s="98">
        <f>IF(AE137+1&gt;MiscData!$AC$77,1,AE137+1)</f>
        <v>62</v>
      </c>
      <c r="AF138" s="98" t="str">
        <f>VLOOKUP(AE138,MiscData!$AC$5:$AD$77,2,FALSE)</f>
        <v>LGUM_473</v>
      </c>
      <c r="AG138" s="98" t="str">
        <f>VLOOKUP(AF138,MiscData!$AD$5:$AE$77,2,FALSE)</f>
        <v xml:space="preserve">LS </v>
      </c>
      <c r="AP138" s="98" t="s">
        <v>355</v>
      </c>
      <c r="AR138" s="98">
        <v>0</v>
      </c>
    </row>
    <row r="139" spans="1:44">
      <c r="A139" s="108">
        <f t="shared" si="74"/>
        <v>136</v>
      </c>
      <c r="B139" s="109" t="str">
        <f t="shared" si="50"/>
        <v>Feb 2016</v>
      </c>
      <c r="C139" s="110" t="str">
        <f t="shared" si="51"/>
        <v>RLS</v>
      </c>
      <c r="D139" s="110" t="str">
        <f t="shared" si="52"/>
        <v>LGUM_474</v>
      </c>
      <c r="E139" s="581">
        <f t="shared" si="55"/>
        <v>53</v>
      </c>
      <c r="F139" s="581">
        <f t="shared" si="56"/>
        <v>0</v>
      </c>
      <c r="G139" s="116">
        <f t="shared" si="57"/>
        <v>20.970000000000002</v>
      </c>
      <c r="H139" s="116">
        <f t="shared" si="58"/>
        <v>3.1799999999999997</v>
      </c>
      <c r="I139" s="118">
        <f t="shared" si="69"/>
        <v>1111.4100000000001</v>
      </c>
      <c r="J139" s="118">
        <f t="shared" si="59"/>
        <v>1111.4100000000001</v>
      </c>
      <c r="K139" s="570">
        <f t="shared" si="70"/>
        <v>0</v>
      </c>
      <c r="L139" s="121">
        <f t="shared" si="60"/>
        <v>0</v>
      </c>
      <c r="M139" s="122">
        <f t="shared" si="61"/>
        <v>0</v>
      </c>
      <c r="N139" s="122">
        <f t="shared" si="62"/>
        <v>0</v>
      </c>
      <c r="O139" s="122">
        <f t="shared" si="63"/>
        <v>0</v>
      </c>
      <c r="P139" s="122">
        <f t="shared" si="64"/>
        <v>0</v>
      </c>
      <c r="Q139" s="123">
        <f t="shared" si="65"/>
        <v>1111.4100000000001</v>
      </c>
      <c r="R139" s="123">
        <f t="shared" si="71"/>
        <v>-1111.4100000000001</v>
      </c>
      <c r="S139" s="582">
        <v>0</v>
      </c>
      <c r="T139" s="123">
        <f t="shared" si="72"/>
        <v>-1111.4100000000001</v>
      </c>
      <c r="U139" s="25">
        <f t="shared" si="66"/>
        <v>168.54</v>
      </c>
      <c r="V139" s="123">
        <f t="shared" si="67"/>
        <v>-168.54</v>
      </c>
      <c r="W139" s="334">
        <f t="shared" si="68"/>
        <v>15.899999999999999</v>
      </c>
      <c r="Y139" s="109">
        <f>IF(AE139=1,IF(Y138=MiscData!$F$1,EOMONTH(Y138,-11),EOMONTH(Y138,1)),Y138)</f>
        <v>42429</v>
      </c>
      <c r="Z139" s="108" t="str">
        <f t="shared" si="53"/>
        <v>20140101LGUM_474</v>
      </c>
      <c r="AA139" s="126" t="str">
        <f t="shared" si="54"/>
        <v>20140101RLS</v>
      </c>
      <c r="AB139" s="583" t="str">
        <f t="shared" si="73"/>
        <v>474</v>
      </c>
      <c r="AD139" s="98">
        <f>MiscData!$X$5</f>
        <v>20140101</v>
      </c>
      <c r="AE139" s="98">
        <f>IF(AE138+1&gt;MiscData!$AC$77,1,AE138+1)</f>
        <v>63</v>
      </c>
      <c r="AF139" s="98" t="str">
        <f>VLOOKUP(AE139,MiscData!$AC$5:$AD$77,2,FALSE)</f>
        <v>LGUM_474</v>
      </c>
      <c r="AG139" s="98" t="str">
        <f>VLOOKUP(AF139,MiscData!$AD$5:$AE$77,2,FALSE)</f>
        <v>RLS</v>
      </c>
      <c r="AP139" s="98" t="s">
        <v>359</v>
      </c>
      <c r="AR139" s="98">
        <v>0</v>
      </c>
    </row>
    <row r="140" spans="1:44">
      <c r="A140" s="108">
        <f t="shared" si="74"/>
        <v>137</v>
      </c>
      <c r="B140" s="109" t="str">
        <f t="shared" si="50"/>
        <v>Feb 2016</v>
      </c>
      <c r="C140" s="110" t="str">
        <f t="shared" si="51"/>
        <v>RLS</v>
      </c>
      <c r="D140" s="110" t="str">
        <f t="shared" si="52"/>
        <v>LGUM_475</v>
      </c>
      <c r="E140" s="581">
        <f t="shared" si="55"/>
        <v>2</v>
      </c>
      <c r="F140" s="581">
        <f t="shared" si="56"/>
        <v>0</v>
      </c>
      <c r="G140" s="116">
        <f t="shared" si="57"/>
        <v>28.42</v>
      </c>
      <c r="H140" s="116">
        <f t="shared" si="58"/>
        <v>3.1800000000000033</v>
      </c>
      <c r="I140" s="118">
        <f t="shared" si="69"/>
        <v>56.84</v>
      </c>
      <c r="J140" s="118">
        <f t="shared" si="59"/>
        <v>56.84</v>
      </c>
      <c r="K140" s="570">
        <f t="shared" si="70"/>
        <v>0</v>
      </c>
      <c r="L140" s="121">
        <f t="shared" si="60"/>
        <v>0</v>
      </c>
      <c r="M140" s="122">
        <f t="shared" si="61"/>
        <v>0</v>
      </c>
      <c r="N140" s="122">
        <f t="shared" si="62"/>
        <v>0</v>
      </c>
      <c r="O140" s="122">
        <f t="shared" si="63"/>
        <v>0</v>
      </c>
      <c r="P140" s="122">
        <f t="shared" si="64"/>
        <v>0</v>
      </c>
      <c r="Q140" s="123">
        <f t="shared" si="65"/>
        <v>56.84</v>
      </c>
      <c r="R140" s="123">
        <f t="shared" si="71"/>
        <v>-56.84</v>
      </c>
      <c r="S140" s="582">
        <v>0</v>
      </c>
      <c r="T140" s="123">
        <f t="shared" si="72"/>
        <v>-56.84</v>
      </c>
      <c r="U140" s="25">
        <f t="shared" si="66"/>
        <v>6.36</v>
      </c>
      <c r="V140" s="123">
        <f t="shared" si="67"/>
        <v>-6.36</v>
      </c>
      <c r="W140" s="334">
        <f t="shared" si="68"/>
        <v>0.6</v>
      </c>
      <c r="Y140" s="109">
        <f>IF(AE140=1,IF(Y139=MiscData!$F$1,EOMONTH(Y139,-11),EOMONTH(Y139,1)),Y139)</f>
        <v>42429</v>
      </c>
      <c r="Z140" s="108" t="str">
        <f t="shared" si="53"/>
        <v>20140101LGUM_475</v>
      </c>
      <c r="AA140" s="126" t="str">
        <f t="shared" si="54"/>
        <v>20140101RLS</v>
      </c>
      <c r="AB140" s="583" t="str">
        <f t="shared" si="73"/>
        <v>475</v>
      </c>
      <c r="AD140" s="98">
        <f>MiscData!$X$5</f>
        <v>20140101</v>
      </c>
      <c r="AE140" s="98">
        <f>IF(AE139+1&gt;MiscData!$AC$77,1,AE139+1)</f>
        <v>64</v>
      </c>
      <c r="AF140" s="98" t="str">
        <f>VLOOKUP(AE140,MiscData!$AC$5:$AD$77,2,FALSE)</f>
        <v>LGUM_475</v>
      </c>
      <c r="AG140" s="98" t="str">
        <f>VLOOKUP(AF140,MiscData!$AD$5:$AE$77,2,FALSE)</f>
        <v>RLS</v>
      </c>
      <c r="AP140" s="98" t="s">
        <v>356</v>
      </c>
      <c r="AR140" s="98">
        <v>0</v>
      </c>
    </row>
    <row r="141" spans="1:44">
      <c r="A141" s="108">
        <f t="shared" si="74"/>
        <v>138</v>
      </c>
      <c r="B141" s="109" t="str">
        <f t="shared" si="50"/>
        <v>Feb 2016</v>
      </c>
      <c r="C141" s="110" t="str">
        <f t="shared" si="51"/>
        <v xml:space="preserve">LS </v>
      </c>
      <c r="D141" s="110" t="str">
        <f t="shared" si="52"/>
        <v>LGUM_476</v>
      </c>
      <c r="E141" s="581">
        <f t="shared" si="55"/>
        <v>383</v>
      </c>
      <c r="F141" s="581">
        <f t="shared" si="56"/>
        <v>0</v>
      </c>
      <c r="G141" s="116">
        <f t="shared" si="57"/>
        <v>39.6</v>
      </c>
      <c r="H141" s="116">
        <f t="shared" si="58"/>
        <v>9.8100000000000023</v>
      </c>
      <c r="I141" s="118">
        <f t="shared" si="69"/>
        <v>15166.8</v>
      </c>
      <c r="J141" s="118">
        <f t="shared" si="59"/>
        <v>15166.8</v>
      </c>
      <c r="K141" s="570">
        <f t="shared" si="70"/>
        <v>0</v>
      </c>
      <c r="L141" s="121">
        <f t="shared" si="60"/>
        <v>0</v>
      </c>
      <c r="M141" s="122">
        <f t="shared" si="61"/>
        <v>0</v>
      </c>
      <c r="N141" s="122">
        <f t="shared" si="62"/>
        <v>0</v>
      </c>
      <c r="O141" s="122">
        <f t="shared" si="63"/>
        <v>0</v>
      </c>
      <c r="P141" s="122">
        <f t="shared" si="64"/>
        <v>0</v>
      </c>
      <c r="Q141" s="123">
        <f t="shared" si="65"/>
        <v>15166.8</v>
      </c>
      <c r="R141" s="123">
        <f t="shared" si="71"/>
        <v>-15166.8</v>
      </c>
      <c r="S141" s="582">
        <v>0</v>
      </c>
      <c r="T141" s="123">
        <f t="shared" si="72"/>
        <v>-15166.8</v>
      </c>
      <c r="U141" s="25">
        <f t="shared" si="66"/>
        <v>3757.23</v>
      </c>
      <c r="V141" s="123">
        <f t="shared" si="67"/>
        <v>-3757.23</v>
      </c>
      <c r="W141" s="334">
        <f t="shared" si="68"/>
        <v>233.63</v>
      </c>
      <c r="Y141" s="109">
        <f>IF(AE141=1,IF(Y140=MiscData!$F$1,EOMONTH(Y140,-11),EOMONTH(Y140,1)),Y140)</f>
        <v>42429</v>
      </c>
      <c r="Z141" s="108" t="str">
        <f t="shared" si="53"/>
        <v>20140101LGUM_476</v>
      </c>
      <c r="AA141" s="126" t="str">
        <f t="shared" si="54"/>
        <v xml:space="preserve">20140101LS </v>
      </c>
      <c r="AB141" s="583" t="str">
        <f t="shared" si="73"/>
        <v>476</v>
      </c>
      <c r="AD141" s="98">
        <f>MiscData!$X$5</f>
        <v>20140101</v>
      </c>
      <c r="AE141" s="98">
        <f>IF(AE140+1&gt;MiscData!$AC$77,1,AE140+1)</f>
        <v>65</v>
      </c>
      <c r="AF141" s="98" t="str">
        <f>VLOOKUP(AE141,MiscData!$AC$5:$AD$77,2,FALSE)</f>
        <v>LGUM_476</v>
      </c>
      <c r="AG141" s="98" t="str">
        <f>VLOOKUP(AF141,MiscData!$AD$5:$AE$77,2,FALSE)</f>
        <v xml:space="preserve">LS </v>
      </c>
      <c r="AP141" s="98" t="s">
        <v>357</v>
      </c>
      <c r="AR141" s="98">
        <v>0</v>
      </c>
    </row>
    <row r="142" spans="1:44">
      <c r="A142" s="108">
        <f t="shared" si="74"/>
        <v>139</v>
      </c>
      <c r="B142" s="109" t="str">
        <f t="shared" si="50"/>
        <v>Feb 2016</v>
      </c>
      <c r="C142" s="110" t="str">
        <f t="shared" si="51"/>
        <v>RLS</v>
      </c>
      <c r="D142" s="110" t="str">
        <f t="shared" si="52"/>
        <v>LGUM_477</v>
      </c>
      <c r="E142" s="581">
        <f t="shared" si="55"/>
        <v>60</v>
      </c>
      <c r="F142" s="581">
        <f t="shared" si="56"/>
        <v>0</v>
      </c>
      <c r="G142" s="116">
        <f t="shared" si="57"/>
        <v>42.78</v>
      </c>
      <c r="H142" s="116">
        <f t="shared" si="58"/>
        <v>9.8100000000000023</v>
      </c>
      <c r="I142" s="118">
        <f t="shared" si="69"/>
        <v>2566.8000000000002</v>
      </c>
      <c r="J142" s="118">
        <f t="shared" si="59"/>
        <v>2566.8000000000002</v>
      </c>
      <c r="K142" s="570">
        <f t="shared" si="70"/>
        <v>0</v>
      </c>
      <c r="L142" s="121">
        <f t="shared" si="60"/>
        <v>0</v>
      </c>
      <c r="M142" s="122">
        <f t="shared" si="61"/>
        <v>0</v>
      </c>
      <c r="N142" s="122">
        <f t="shared" si="62"/>
        <v>0</v>
      </c>
      <c r="O142" s="122">
        <f t="shared" si="63"/>
        <v>0</v>
      </c>
      <c r="P142" s="122">
        <f t="shared" si="64"/>
        <v>0</v>
      </c>
      <c r="Q142" s="123">
        <f t="shared" si="65"/>
        <v>2566.8000000000002</v>
      </c>
      <c r="R142" s="123">
        <f t="shared" si="71"/>
        <v>-2566.8000000000002</v>
      </c>
      <c r="S142" s="582">
        <v>0</v>
      </c>
      <c r="T142" s="123">
        <f t="shared" si="72"/>
        <v>-2566.8000000000002</v>
      </c>
      <c r="U142" s="25">
        <f t="shared" si="66"/>
        <v>588.6</v>
      </c>
      <c r="V142" s="123">
        <f t="shared" si="67"/>
        <v>-588.6</v>
      </c>
      <c r="W142" s="334">
        <f t="shared" si="68"/>
        <v>36.6</v>
      </c>
      <c r="Y142" s="109">
        <f>IF(AE142=1,IF(Y141=MiscData!$F$1,EOMONTH(Y141,-11),EOMONTH(Y141,1)),Y141)</f>
        <v>42429</v>
      </c>
      <c r="Z142" s="108" t="str">
        <f t="shared" si="53"/>
        <v>20140101LGUM_477</v>
      </c>
      <c r="AA142" s="126" t="str">
        <f t="shared" si="54"/>
        <v>20140101RLS</v>
      </c>
      <c r="AB142" s="583" t="str">
        <f t="shared" si="73"/>
        <v>477</v>
      </c>
      <c r="AD142" s="98">
        <f>MiscData!$X$5</f>
        <v>20140101</v>
      </c>
      <c r="AE142" s="98">
        <f>IF(AE141+1&gt;MiscData!$AC$77,1,AE141+1)</f>
        <v>66</v>
      </c>
      <c r="AF142" s="98" t="str">
        <f>VLOOKUP(AE142,MiscData!$AC$5:$AD$77,2,FALSE)</f>
        <v>LGUM_477</v>
      </c>
      <c r="AG142" s="98" t="str">
        <f>VLOOKUP(AF142,MiscData!$AD$5:$AE$77,2,FALSE)</f>
        <v>RLS</v>
      </c>
      <c r="AP142" s="98" t="s">
        <v>358</v>
      </c>
      <c r="AR142" s="98">
        <v>0</v>
      </c>
    </row>
    <row r="143" spans="1:44">
      <c r="A143" s="108">
        <f t="shared" si="74"/>
        <v>140</v>
      </c>
      <c r="B143" s="109" t="str">
        <f t="shared" si="50"/>
        <v>Feb 2016</v>
      </c>
      <c r="C143" s="110" t="str">
        <f t="shared" si="51"/>
        <v xml:space="preserve">LS </v>
      </c>
      <c r="D143" s="110" t="str">
        <f t="shared" si="52"/>
        <v>LGUM_479</v>
      </c>
      <c r="E143" s="581">
        <f t="shared" si="55"/>
        <v>0</v>
      </c>
      <c r="F143" s="581">
        <f t="shared" si="56"/>
        <v>0</v>
      </c>
      <c r="G143" s="116">
        <f t="shared" si="57"/>
        <v>14.06</v>
      </c>
      <c r="H143" s="116">
        <f t="shared" si="58"/>
        <v>1.370000000000001</v>
      </c>
      <c r="I143" s="118">
        <f t="shared" si="69"/>
        <v>0</v>
      </c>
      <c r="J143" s="118">
        <f t="shared" si="59"/>
        <v>0</v>
      </c>
      <c r="K143" s="570">
        <f t="shared" si="70"/>
        <v>0</v>
      </c>
      <c r="L143" s="121">
        <f t="shared" si="60"/>
        <v>1</v>
      </c>
      <c r="M143" s="122">
        <f t="shared" si="61"/>
        <v>0</v>
      </c>
      <c r="N143" s="122">
        <f t="shared" si="62"/>
        <v>0</v>
      </c>
      <c r="O143" s="122">
        <f t="shared" si="63"/>
        <v>0</v>
      </c>
      <c r="P143" s="122">
        <f t="shared" si="64"/>
        <v>0</v>
      </c>
      <c r="Q143" s="123">
        <f t="shared" si="65"/>
        <v>0</v>
      </c>
      <c r="R143" s="123">
        <f t="shared" si="71"/>
        <v>0</v>
      </c>
      <c r="S143" s="582">
        <v>0</v>
      </c>
      <c r="T143" s="123">
        <f t="shared" si="72"/>
        <v>0</v>
      </c>
      <c r="U143" s="25">
        <f t="shared" si="66"/>
        <v>0</v>
      </c>
      <c r="V143" s="123">
        <f t="shared" si="67"/>
        <v>0</v>
      </c>
      <c r="W143" s="334">
        <f t="shared" si="68"/>
        <v>0</v>
      </c>
      <c r="Y143" s="109">
        <f>IF(AE143=1,IF(Y142=MiscData!$F$1,EOMONTH(Y142,-11),EOMONTH(Y142,1)),Y142)</f>
        <v>42429</v>
      </c>
      <c r="Z143" s="108" t="str">
        <f t="shared" si="53"/>
        <v>20140101LGUM_479</v>
      </c>
      <c r="AA143" s="126" t="str">
        <f t="shared" si="54"/>
        <v xml:space="preserve">20140101LS </v>
      </c>
      <c r="AB143" s="583" t="str">
        <f t="shared" si="73"/>
        <v>479</v>
      </c>
      <c r="AD143" s="98">
        <f>MiscData!$X$5</f>
        <v>20140101</v>
      </c>
      <c r="AE143" s="98">
        <f>IF(AE142+1&gt;MiscData!$AC$77,1,AE142+1)</f>
        <v>67</v>
      </c>
      <c r="AF143" s="98" t="str">
        <f>VLOOKUP(AE143,MiscData!$AC$5:$AD$77,2,FALSE)</f>
        <v>LGUM_479</v>
      </c>
      <c r="AG143" s="98" t="str">
        <f>VLOOKUP(AF143,MiscData!$AD$5:$AE$77,2,FALSE)</f>
        <v xml:space="preserve">LS </v>
      </c>
      <c r="AP143" s="98" t="s">
        <v>237</v>
      </c>
      <c r="AR143" s="98">
        <v>0</v>
      </c>
    </row>
    <row r="144" spans="1:44">
      <c r="A144" s="108">
        <f t="shared" si="74"/>
        <v>141</v>
      </c>
      <c r="B144" s="109" t="str">
        <f t="shared" si="50"/>
        <v>Feb 2016</v>
      </c>
      <c r="C144" s="110" t="str">
        <f t="shared" si="51"/>
        <v xml:space="preserve">LS </v>
      </c>
      <c r="D144" s="110" t="str">
        <f t="shared" si="52"/>
        <v>LGUM_480</v>
      </c>
      <c r="E144" s="581">
        <f t="shared" si="55"/>
        <v>18</v>
      </c>
      <c r="F144" s="581">
        <f t="shared" si="56"/>
        <v>0</v>
      </c>
      <c r="G144" s="116">
        <f t="shared" si="57"/>
        <v>23.83</v>
      </c>
      <c r="H144" s="116">
        <f t="shared" si="58"/>
        <v>1.370000000000001</v>
      </c>
      <c r="I144" s="118">
        <f t="shared" si="69"/>
        <v>428.94</v>
      </c>
      <c r="J144" s="118">
        <f t="shared" si="59"/>
        <v>428.94</v>
      </c>
      <c r="K144" s="570">
        <f t="shared" si="70"/>
        <v>0</v>
      </c>
      <c r="L144" s="121">
        <f t="shared" si="60"/>
        <v>0</v>
      </c>
      <c r="M144" s="122">
        <f t="shared" si="61"/>
        <v>0</v>
      </c>
      <c r="N144" s="122">
        <f t="shared" si="62"/>
        <v>0</v>
      </c>
      <c r="O144" s="122">
        <f t="shared" si="63"/>
        <v>0</v>
      </c>
      <c r="P144" s="122">
        <f t="shared" si="64"/>
        <v>0</v>
      </c>
      <c r="Q144" s="123">
        <f t="shared" si="65"/>
        <v>428.94</v>
      </c>
      <c r="R144" s="123">
        <f t="shared" si="71"/>
        <v>-428.94</v>
      </c>
      <c r="S144" s="582">
        <v>0</v>
      </c>
      <c r="T144" s="123">
        <f t="shared" si="72"/>
        <v>-428.94</v>
      </c>
      <c r="U144" s="25">
        <f t="shared" si="66"/>
        <v>24.66</v>
      </c>
      <c r="V144" s="123">
        <f t="shared" si="67"/>
        <v>-24.66</v>
      </c>
      <c r="W144" s="334">
        <f t="shared" si="68"/>
        <v>4.8600000000000003</v>
      </c>
      <c r="Y144" s="109">
        <f>IF(AE144=1,IF(Y143=MiscData!$F$1,EOMONTH(Y143,-11),EOMONTH(Y143,1)),Y143)</f>
        <v>42429</v>
      </c>
      <c r="Z144" s="108" t="str">
        <f t="shared" si="53"/>
        <v>20140101LGUM_480</v>
      </c>
      <c r="AA144" s="126" t="str">
        <f t="shared" si="54"/>
        <v xml:space="preserve">20140101LS </v>
      </c>
      <c r="AB144" s="583" t="str">
        <f t="shared" si="73"/>
        <v>480</v>
      </c>
      <c r="AD144" s="98">
        <f>MiscData!$X$5</f>
        <v>20140101</v>
      </c>
      <c r="AE144" s="98">
        <f>IF(AE143+1&gt;MiscData!$AC$77,1,AE143+1)</f>
        <v>68</v>
      </c>
      <c r="AF144" s="98" t="str">
        <f>VLOOKUP(AE144,MiscData!$AC$5:$AD$77,2,FALSE)</f>
        <v>LGUM_480</v>
      </c>
      <c r="AG144" s="98" t="str">
        <f>VLOOKUP(AF144,MiscData!$AD$5:$AE$77,2,FALSE)</f>
        <v xml:space="preserve">LS </v>
      </c>
      <c r="AP144" s="98" t="s">
        <v>238</v>
      </c>
      <c r="AR144" s="98">
        <v>0</v>
      </c>
    </row>
    <row r="145" spans="1:44">
      <c r="A145" s="108">
        <f t="shared" si="74"/>
        <v>142</v>
      </c>
      <c r="B145" s="109" t="str">
        <f t="shared" si="50"/>
        <v>Feb 2016</v>
      </c>
      <c r="C145" s="110" t="str">
        <f t="shared" si="51"/>
        <v xml:space="preserve">LS </v>
      </c>
      <c r="D145" s="110" t="str">
        <f t="shared" si="52"/>
        <v>LGUM_481</v>
      </c>
      <c r="E145" s="581">
        <f t="shared" si="55"/>
        <v>4</v>
      </c>
      <c r="F145" s="581">
        <f t="shared" si="56"/>
        <v>0</v>
      </c>
      <c r="G145" s="116">
        <f t="shared" si="57"/>
        <v>20.46</v>
      </c>
      <c r="H145" s="116">
        <f t="shared" si="58"/>
        <v>3.1800000000000033</v>
      </c>
      <c r="I145" s="118">
        <f t="shared" si="69"/>
        <v>81.84</v>
      </c>
      <c r="J145" s="118">
        <f t="shared" si="59"/>
        <v>81.84</v>
      </c>
      <c r="K145" s="570">
        <f t="shared" si="70"/>
        <v>0</v>
      </c>
      <c r="L145" s="121">
        <f t="shared" si="60"/>
        <v>0</v>
      </c>
      <c r="M145" s="122">
        <f t="shared" si="61"/>
        <v>0</v>
      </c>
      <c r="N145" s="122">
        <f t="shared" si="62"/>
        <v>0</v>
      </c>
      <c r="O145" s="122">
        <f t="shared" si="63"/>
        <v>0</v>
      </c>
      <c r="P145" s="122">
        <f t="shared" si="64"/>
        <v>0</v>
      </c>
      <c r="Q145" s="123">
        <f t="shared" si="65"/>
        <v>81.84</v>
      </c>
      <c r="R145" s="123">
        <f t="shared" si="71"/>
        <v>-81.84</v>
      </c>
      <c r="S145" s="582">
        <v>0</v>
      </c>
      <c r="T145" s="123">
        <f t="shared" si="72"/>
        <v>-81.84</v>
      </c>
      <c r="U145" s="25">
        <f t="shared" si="66"/>
        <v>12.72</v>
      </c>
      <c r="V145" s="123">
        <f t="shared" si="67"/>
        <v>-12.72</v>
      </c>
      <c r="W145" s="334">
        <f t="shared" si="68"/>
        <v>1.2</v>
      </c>
      <c r="Y145" s="109">
        <f>IF(AE145=1,IF(Y144=MiscData!$F$1,EOMONTH(Y144,-11),EOMONTH(Y144,1)),Y144)</f>
        <v>42429</v>
      </c>
      <c r="Z145" s="108" t="str">
        <f t="shared" si="53"/>
        <v>20140101LGUM_481</v>
      </c>
      <c r="AA145" s="126" t="str">
        <f t="shared" si="54"/>
        <v xml:space="preserve">20140101LS </v>
      </c>
      <c r="AB145" s="583" t="str">
        <f t="shared" si="73"/>
        <v>481</v>
      </c>
      <c r="AD145" s="98">
        <f>MiscData!$X$5</f>
        <v>20140101</v>
      </c>
      <c r="AE145" s="98">
        <f>IF(AE144+1&gt;MiscData!$AC$77,1,AE144+1)</f>
        <v>69</v>
      </c>
      <c r="AF145" s="98" t="str">
        <f>VLOOKUP(AE145,MiscData!$AC$5:$AD$77,2,FALSE)</f>
        <v>LGUM_481</v>
      </c>
      <c r="AG145" s="98" t="str">
        <f>VLOOKUP(AF145,MiscData!$AD$5:$AE$77,2,FALSE)</f>
        <v xml:space="preserve">LS </v>
      </c>
      <c r="AP145" s="98" t="s">
        <v>239</v>
      </c>
      <c r="AR145" s="98">
        <v>-8.4</v>
      </c>
    </row>
    <row r="146" spans="1:44">
      <c r="A146" s="108">
        <f t="shared" si="74"/>
        <v>143</v>
      </c>
      <c r="B146" s="109" t="str">
        <f t="shared" si="50"/>
        <v>Feb 2016</v>
      </c>
      <c r="C146" s="110" t="str">
        <f t="shared" si="51"/>
        <v xml:space="preserve">LS </v>
      </c>
      <c r="D146" s="110" t="str">
        <f t="shared" si="52"/>
        <v>LGUM_482</v>
      </c>
      <c r="E146" s="581">
        <f t="shared" si="55"/>
        <v>39</v>
      </c>
      <c r="F146" s="581">
        <f t="shared" si="56"/>
        <v>0</v>
      </c>
      <c r="G146" s="116">
        <f t="shared" si="57"/>
        <v>30.21</v>
      </c>
      <c r="H146" s="116">
        <f t="shared" si="58"/>
        <v>3.1800000000000033</v>
      </c>
      <c r="I146" s="118">
        <f t="shared" si="69"/>
        <v>1178.19</v>
      </c>
      <c r="J146" s="118">
        <f t="shared" si="59"/>
        <v>1178.19</v>
      </c>
      <c r="K146" s="570">
        <f t="shared" si="70"/>
        <v>0</v>
      </c>
      <c r="L146" s="121">
        <f t="shared" si="60"/>
        <v>0</v>
      </c>
      <c r="M146" s="122">
        <f t="shared" si="61"/>
        <v>0</v>
      </c>
      <c r="N146" s="122">
        <f t="shared" si="62"/>
        <v>0</v>
      </c>
      <c r="O146" s="122">
        <f t="shared" si="63"/>
        <v>0</v>
      </c>
      <c r="P146" s="122">
        <f t="shared" si="64"/>
        <v>0</v>
      </c>
      <c r="Q146" s="123">
        <f t="shared" si="65"/>
        <v>1178.19</v>
      </c>
      <c r="R146" s="123">
        <f t="shared" si="71"/>
        <v>-1178.19</v>
      </c>
      <c r="S146" s="582">
        <v>0</v>
      </c>
      <c r="T146" s="123">
        <f t="shared" si="72"/>
        <v>-1178.19</v>
      </c>
      <c r="U146" s="25">
        <f t="shared" si="66"/>
        <v>124.02</v>
      </c>
      <c r="V146" s="123">
        <f t="shared" si="67"/>
        <v>-124.02</v>
      </c>
      <c r="W146" s="334">
        <f t="shared" si="68"/>
        <v>11.7</v>
      </c>
      <c r="Y146" s="109">
        <f>IF(AE146=1,IF(Y145=MiscData!$F$1,EOMONTH(Y145,-11),EOMONTH(Y145,1)),Y145)</f>
        <v>42429</v>
      </c>
      <c r="Z146" s="108" t="str">
        <f t="shared" si="53"/>
        <v>20140101LGUM_482</v>
      </c>
      <c r="AA146" s="126" t="str">
        <f t="shared" si="54"/>
        <v xml:space="preserve">20140101LS </v>
      </c>
      <c r="AB146" s="583" t="str">
        <f t="shared" si="73"/>
        <v>482</v>
      </c>
      <c r="AD146" s="98">
        <f>MiscData!$X$5</f>
        <v>20140101</v>
      </c>
      <c r="AE146" s="98">
        <f>IF(AE145+1&gt;MiscData!$AC$77,1,AE145+1)</f>
        <v>70</v>
      </c>
      <c r="AF146" s="98" t="str">
        <f>VLOOKUP(AE146,MiscData!$AC$5:$AD$77,2,FALSE)</f>
        <v>LGUM_482</v>
      </c>
      <c r="AG146" s="98" t="str">
        <f>VLOOKUP(AF146,MiscData!$AD$5:$AE$77,2,FALSE)</f>
        <v xml:space="preserve">LS </v>
      </c>
      <c r="AP146" s="98" t="s">
        <v>240</v>
      </c>
      <c r="AR146" s="98">
        <v>-14.38</v>
      </c>
    </row>
    <row r="147" spans="1:44">
      <c r="A147" s="108">
        <f t="shared" si="74"/>
        <v>144</v>
      </c>
      <c r="B147" s="109" t="str">
        <f t="shared" si="50"/>
        <v>Feb 2016</v>
      </c>
      <c r="C147" s="110" t="str">
        <f t="shared" si="51"/>
        <v xml:space="preserve">LS </v>
      </c>
      <c r="D147" s="110" t="str">
        <f t="shared" si="52"/>
        <v>LGUM_483</v>
      </c>
      <c r="E147" s="581">
        <f t="shared" si="55"/>
        <v>2</v>
      </c>
      <c r="F147" s="581">
        <f t="shared" si="56"/>
        <v>0</v>
      </c>
      <c r="G147" s="116">
        <f t="shared" si="57"/>
        <v>42.56</v>
      </c>
      <c r="H147" s="116">
        <f t="shared" si="58"/>
        <v>9.8100000000000023</v>
      </c>
      <c r="I147" s="118">
        <f t="shared" si="69"/>
        <v>85.12</v>
      </c>
      <c r="J147" s="118">
        <f t="shared" si="59"/>
        <v>85.12</v>
      </c>
      <c r="K147" s="570">
        <f t="shared" si="70"/>
        <v>0</v>
      </c>
      <c r="L147" s="121">
        <f t="shared" si="60"/>
        <v>0</v>
      </c>
      <c r="M147" s="122">
        <f t="shared" si="61"/>
        <v>0</v>
      </c>
      <c r="N147" s="122">
        <f t="shared" si="62"/>
        <v>0</v>
      </c>
      <c r="O147" s="122">
        <f t="shared" si="63"/>
        <v>0</v>
      </c>
      <c r="P147" s="122">
        <f t="shared" si="64"/>
        <v>0</v>
      </c>
      <c r="Q147" s="123">
        <f t="shared" si="65"/>
        <v>85.12</v>
      </c>
      <c r="R147" s="123">
        <f t="shared" si="71"/>
        <v>-85.12</v>
      </c>
      <c r="S147" s="582">
        <v>0</v>
      </c>
      <c r="T147" s="123">
        <f t="shared" si="72"/>
        <v>-85.12</v>
      </c>
      <c r="U147" s="25">
        <f t="shared" si="66"/>
        <v>19.62</v>
      </c>
      <c r="V147" s="123">
        <f t="shared" si="67"/>
        <v>-19.62</v>
      </c>
      <c r="W147" s="334">
        <f t="shared" si="68"/>
        <v>1.22</v>
      </c>
      <c r="Y147" s="109">
        <f>IF(AE147=1,IF(Y146=MiscData!$F$1,EOMONTH(Y146,-11),EOMONTH(Y146,1)),Y146)</f>
        <v>42429</v>
      </c>
      <c r="Z147" s="108" t="str">
        <f t="shared" si="53"/>
        <v>20140101LGUM_483</v>
      </c>
      <c r="AA147" s="126" t="str">
        <f t="shared" si="54"/>
        <v xml:space="preserve">20140101LS </v>
      </c>
      <c r="AB147" s="583" t="str">
        <f t="shared" si="73"/>
        <v>483</v>
      </c>
      <c r="AD147" s="98">
        <f>MiscData!$X$5</f>
        <v>20140101</v>
      </c>
      <c r="AE147" s="98">
        <f>IF(AE146+1&gt;MiscData!$AC$77,1,AE146+1)</f>
        <v>71</v>
      </c>
      <c r="AF147" s="98" t="str">
        <f>VLOOKUP(AE147,MiscData!$AC$5:$AD$77,2,FALSE)</f>
        <v>LGUM_483</v>
      </c>
      <c r="AG147" s="98" t="str">
        <f>VLOOKUP(AF147,MiscData!$AD$5:$AE$77,2,FALSE)</f>
        <v xml:space="preserve">LS </v>
      </c>
      <c r="AP147" s="98" t="s">
        <v>241</v>
      </c>
      <c r="AR147" s="98">
        <v>0</v>
      </c>
    </row>
    <row r="148" spans="1:44">
      <c r="A148" s="108">
        <f t="shared" si="74"/>
        <v>145</v>
      </c>
      <c r="B148" s="109" t="str">
        <f t="shared" si="50"/>
        <v>Feb 2016</v>
      </c>
      <c r="C148" s="110" t="str">
        <f t="shared" si="51"/>
        <v xml:space="preserve">LS </v>
      </c>
      <c r="D148" s="110" t="str">
        <f t="shared" si="52"/>
        <v>LGUM_484</v>
      </c>
      <c r="E148" s="581">
        <f t="shared" si="55"/>
        <v>13</v>
      </c>
      <c r="F148" s="581">
        <f t="shared" si="56"/>
        <v>0</v>
      </c>
      <c r="G148" s="116">
        <f t="shared" si="57"/>
        <v>52.31</v>
      </c>
      <c r="H148" s="116">
        <f t="shared" si="58"/>
        <v>9.8100000000000023</v>
      </c>
      <c r="I148" s="118">
        <f t="shared" si="69"/>
        <v>680.03</v>
      </c>
      <c r="J148" s="118">
        <f t="shared" si="59"/>
        <v>680.03</v>
      </c>
      <c r="K148" s="570">
        <f t="shared" si="70"/>
        <v>0</v>
      </c>
      <c r="L148" s="121">
        <f t="shared" si="60"/>
        <v>0</v>
      </c>
      <c r="M148" s="122">
        <f t="shared" si="61"/>
        <v>0</v>
      </c>
      <c r="N148" s="122">
        <f t="shared" si="62"/>
        <v>0</v>
      </c>
      <c r="O148" s="122">
        <f t="shared" si="63"/>
        <v>0</v>
      </c>
      <c r="P148" s="122">
        <f t="shared" si="64"/>
        <v>0</v>
      </c>
      <c r="Q148" s="123">
        <f t="shared" si="65"/>
        <v>680.03</v>
      </c>
      <c r="R148" s="123">
        <f t="shared" si="71"/>
        <v>-680.03</v>
      </c>
      <c r="S148" s="582">
        <v>0</v>
      </c>
      <c r="T148" s="123">
        <f t="shared" si="72"/>
        <v>-680.03</v>
      </c>
      <c r="U148" s="25">
        <f t="shared" si="66"/>
        <v>127.53</v>
      </c>
      <c r="V148" s="123">
        <f t="shared" si="67"/>
        <v>-127.53</v>
      </c>
      <c r="W148" s="334">
        <f t="shared" si="68"/>
        <v>7.93</v>
      </c>
      <c r="Y148" s="109">
        <f>IF(AE148=1,IF(Y147=MiscData!$F$1,EOMONTH(Y147,-11),EOMONTH(Y147,1)),Y147)</f>
        <v>42429</v>
      </c>
      <c r="Z148" s="108" t="str">
        <f t="shared" si="53"/>
        <v>20140101LGUM_484</v>
      </c>
      <c r="AA148" s="126" t="str">
        <f t="shared" si="54"/>
        <v xml:space="preserve">20140101LS </v>
      </c>
      <c r="AB148" s="583" t="str">
        <f t="shared" si="73"/>
        <v>484</v>
      </c>
      <c r="AD148" s="98">
        <f>MiscData!$X$5</f>
        <v>20140101</v>
      </c>
      <c r="AE148" s="98">
        <f>IF(AE147+1&gt;MiscData!$AC$77,1,AE147+1)</f>
        <v>72</v>
      </c>
      <c r="AF148" s="98" t="str">
        <f>VLOOKUP(AE148,MiscData!$AC$5:$AD$77,2,FALSE)</f>
        <v>LGUM_484</v>
      </c>
      <c r="AG148" s="98" t="str">
        <f>VLOOKUP(AF148,MiscData!$AD$5:$AE$77,2,FALSE)</f>
        <v xml:space="preserve">LS </v>
      </c>
      <c r="AP148" s="98" t="s">
        <v>242</v>
      </c>
      <c r="AR148" s="98">
        <v>0</v>
      </c>
    </row>
    <row r="149" spans="1:44">
      <c r="A149" s="108">
        <f t="shared" si="74"/>
        <v>146</v>
      </c>
      <c r="B149" s="109" t="str">
        <f t="shared" si="50"/>
        <v>Feb 2016</v>
      </c>
      <c r="C149" s="110" t="str">
        <f t="shared" si="51"/>
        <v>ODL</v>
      </c>
      <c r="D149" s="110" t="str">
        <f t="shared" si="52"/>
        <v>ODL</v>
      </c>
      <c r="E149" s="581">
        <f t="shared" si="55"/>
        <v>0</v>
      </c>
      <c r="F149" s="581">
        <f t="shared" si="56"/>
        <v>13359321</v>
      </c>
      <c r="G149" s="116">
        <f t="shared" si="57"/>
        <v>0</v>
      </c>
      <c r="H149" s="116">
        <f t="shared" si="58"/>
        <v>0</v>
      </c>
      <c r="I149" s="118">
        <f t="shared" si="69"/>
        <v>0</v>
      </c>
      <c r="J149" s="118">
        <f t="shared" si="59"/>
        <v>0</v>
      </c>
      <c r="K149" s="570">
        <f t="shared" si="70"/>
        <v>1543365</v>
      </c>
      <c r="L149" s="121">
        <f t="shared" si="60"/>
        <v>0</v>
      </c>
      <c r="M149" s="122">
        <f t="shared" si="61"/>
        <v>-70730</v>
      </c>
      <c r="N149" s="122">
        <f t="shared" si="62"/>
        <v>127989</v>
      </c>
      <c r="O149" s="122">
        <f t="shared" si="63"/>
        <v>0</v>
      </c>
      <c r="P149" s="122">
        <f t="shared" si="64"/>
        <v>1600624</v>
      </c>
      <c r="Q149" s="123">
        <f t="shared" si="65"/>
        <v>57259</v>
      </c>
      <c r="R149" s="123">
        <f t="shared" si="71"/>
        <v>1543365</v>
      </c>
      <c r="S149" s="582">
        <v>0</v>
      </c>
      <c r="T149" s="123">
        <f t="shared" si="72"/>
        <v>1543365</v>
      </c>
      <c r="U149" s="25">
        <f t="shared" si="66"/>
        <v>0</v>
      </c>
      <c r="V149" s="123">
        <f t="shared" si="67"/>
        <v>1543365</v>
      </c>
      <c r="W149" s="334">
        <f t="shared" si="68"/>
        <v>0</v>
      </c>
      <c r="Y149" s="109">
        <f>IF(AE149=1,IF(Y148=MiscData!$F$1,EOMONTH(Y148,-11),EOMONTH(Y148,1)),Y148)</f>
        <v>42429</v>
      </c>
      <c r="Z149" s="108" t="str">
        <f t="shared" si="53"/>
        <v>20140101ODL</v>
      </c>
      <c r="AA149" s="126" t="str">
        <f t="shared" si="54"/>
        <v>20140101ODL</v>
      </c>
      <c r="AB149" s="583" t="str">
        <f t="shared" si="73"/>
        <v>ODL</v>
      </c>
      <c r="AD149" s="98">
        <f>MiscData!$X$5</f>
        <v>20140101</v>
      </c>
      <c r="AE149" s="98">
        <f>IF(AE148+1&gt;MiscData!$AC$77,1,AE148+1)</f>
        <v>73</v>
      </c>
      <c r="AF149" s="98" t="str">
        <f>VLOOKUP(AE149,MiscData!$AC$5:$AD$77,2,FALSE)</f>
        <v>ODL</v>
      </c>
      <c r="AG149" s="98" t="str">
        <f>VLOOKUP(AF149,MiscData!$AD$5:$AE$77,2,FALSE)</f>
        <v>ODL</v>
      </c>
      <c r="AP149" s="98" t="s">
        <v>243</v>
      </c>
      <c r="AR149" s="98">
        <v>0</v>
      </c>
    </row>
    <row r="150" spans="1:44">
      <c r="A150" s="108">
        <f t="shared" si="74"/>
        <v>147</v>
      </c>
      <c r="B150" s="109" t="str">
        <f t="shared" si="50"/>
        <v>Mar 2016</v>
      </c>
      <c r="C150" s="110" t="str">
        <f t="shared" si="51"/>
        <v>RLS</v>
      </c>
      <c r="D150" s="110" t="str">
        <f t="shared" si="52"/>
        <v>LGUM_201</v>
      </c>
      <c r="E150" s="581">
        <f t="shared" si="55"/>
        <v>79</v>
      </c>
      <c r="F150" s="581">
        <f t="shared" si="56"/>
        <v>0</v>
      </c>
      <c r="G150" s="116">
        <f t="shared" si="57"/>
        <v>8.14</v>
      </c>
      <c r="H150" s="116">
        <f t="shared" si="58"/>
        <v>1.0899999999999999</v>
      </c>
      <c r="I150" s="118">
        <f t="shared" si="69"/>
        <v>643.05999999999995</v>
      </c>
      <c r="J150" s="118">
        <f t="shared" si="59"/>
        <v>643.05999999999995</v>
      </c>
      <c r="K150" s="570">
        <f t="shared" si="70"/>
        <v>0</v>
      </c>
      <c r="L150" s="121">
        <f t="shared" si="60"/>
        <v>0</v>
      </c>
      <c r="M150" s="122">
        <f t="shared" si="61"/>
        <v>0</v>
      </c>
      <c r="N150" s="122">
        <f t="shared" si="62"/>
        <v>0</v>
      </c>
      <c r="O150" s="122">
        <f t="shared" si="63"/>
        <v>0</v>
      </c>
      <c r="P150" s="122">
        <f t="shared" si="64"/>
        <v>0</v>
      </c>
      <c r="Q150" s="123">
        <f t="shared" si="65"/>
        <v>643.05999999999995</v>
      </c>
      <c r="R150" s="123">
        <f t="shared" si="71"/>
        <v>-643.05999999999995</v>
      </c>
      <c r="S150" s="582">
        <v>0</v>
      </c>
      <c r="T150" s="123">
        <f t="shared" si="72"/>
        <v>-643.05999999999995</v>
      </c>
      <c r="U150" s="25">
        <f t="shared" si="66"/>
        <v>86.11</v>
      </c>
      <c r="V150" s="123">
        <f t="shared" si="67"/>
        <v>-86.11</v>
      </c>
      <c r="W150" s="334">
        <f t="shared" si="68"/>
        <v>12.64</v>
      </c>
      <c r="Y150" s="109">
        <f>IF(AE150=1,IF(Y149=MiscData!$F$1,EOMONTH(Y149,-11),EOMONTH(Y149,1)),Y149)</f>
        <v>42460</v>
      </c>
      <c r="Z150" s="108" t="str">
        <f t="shared" si="53"/>
        <v>20140101LGUM_201</v>
      </c>
      <c r="AA150" s="126" t="str">
        <f t="shared" si="54"/>
        <v>20140101RLS</v>
      </c>
      <c r="AB150" s="583" t="str">
        <f t="shared" si="73"/>
        <v>201</v>
      </c>
      <c r="AD150" s="98">
        <f>MiscData!$X$5</f>
        <v>20140101</v>
      </c>
      <c r="AE150" s="98">
        <f>IF(AE149+1&gt;MiscData!$AC$77,1,AE149+1)</f>
        <v>1</v>
      </c>
      <c r="AF150" s="98" t="str">
        <f>VLOOKUP(AE150,MiscData!$AC$5:$AD$77,2,FALSE)</f>
        <v>LGUM_201</v>
      </c>
      <c r="AG150" s="98" t="str">
        <f>VLOOKUP(AF150,MiscData!$AD$5:$AE$77,2,FALSE)</f>
        <v>RLS</v>
      </c>
      <c r="AP150" s="98" t="s">
        <v>244</v>
      </c>
      <c r="AR150" s="98">
        <v>0</v>
      </c>
    </row>
    <row r="151" spans="1:44">
      <c r="A151" s="108">
        <f t="shared" si="74"/>
        <v>148</v>
      </c>
      <c r="B151" s="109" t="str">
        <f t="shared" si="50"/>
        <v>Mar 2016</v>
      </c>
      <c r="C151" s="110" t="str">
        <f t="shared" si="51"/>
        <v>RLS</v>
      </c>
      <c r="D151" s="110" t="str">
        <f t="shared" si="52"/>
        <v>LGUM_203</v>
      </c>
      <c r="E151" s="581">
        <f t="shared" si="55"/>
        <v>3572</v>
      </c>
      <c r="F151" s="581">
        <f t="shared" si="56"/>
        <v>0</v>
      </c>
      <c r="G151" s="116">
        <f t="shared" si="57"/>
        <v>10.959999999999999</v>
      </c>
      <c r="H151" s="116">
        <f t="shared" si="58"/>
        <v>2.7099999999999991</v>
      </c>
      <c r="I151" s="118">
        <f t="shared" si="69"/>
        <v>39149.120000000003</v>
      </c>
      <c r="J151" s="118">
        <f t="shared" si="59"/>
        <v>39149.120000000003</v>
      </c>
      <c r="K151" s="570">
        <f t="shared" si="70"/>
        <v>0</v>
      </c>
      <c r="L151" s="121">
        <f t="shared" si="60"/>
        <v>0</v>
      </c>
      <c r="M151" s="122">
        <f t="shared" si="61"/>
        <v>0</v>
      </c>
      <c r="N151" s="122">
        <f t="shared" si="62"/>
        <v>0</v>
      </c>
      <c r="O151" s="122">
        <f t="shared" si="63"/>
        <v>0</v>
      </c>
      <c r="P151" s="122">
        <f t="shared" si="64"/>
        <v>0</v>
      </c>
      <c r="Q151" s="123">
        <f t="shared" si="65"/>
        <v>39149.120000000003</v>
      </c>
      <c r="R151" s="123">
        <f t="shared" si="71"/>
        <v>-39149.120000000003</v>
      </c>
      <c r="S151" s="582">
        <v>0</v>
      </c>
      <c r="T151" s="123">
        <f t="shared" si="72"/>
        <v>-39149.120000000003</v>
      </c>
      <c r="U151" s="25">
        <f t="shared" si="66"/>
        <v>9680.1200000000008</v>
      </c>
      <c r="V151" s="123">
        <f t="shared" si="67"/>
        <v>-9680.1200000000008</v>
      </c>
      <c r="W151" s="334">
        <f t="shared" si="68"/>
        <v>642.95999999999992</v>
      </c>
      <c r="Y151" s="109">
        <f>IF(AE151=1,IF(Y150=MiscData!$F$1,EOMONTH(Y150,-11),EOMONTH(Y150,1)),Y150)</f>
        <v>42460</v>
      </c>
      <c r="Z151" s="108" t="str">
        <f t="shared" si="53"/>
        <v>20140101LGUM_203</v>
      </c>
      <c r="AA151" s="126" t="str">
        <f t="shared" si="54"/>
        <v>20140101RLS</v>
      </c>
      <c r="AB151" s="583" t="str">
        <f t="shared" si="73"/>
        <v>203</v>
      </c>
      <c r="AD151" s="98">
        <f>MiscData!$X$5</f>
        <v>20140101</v>
      </c>
      <c r="AE151" s="98">
        <f>IF(AE150+1&gt;MiscData!$AC$77,1,AE150+1)</f>
        <v>2</v>
      </c>
      <c r="AF151" s="98" t="str">
        <f>VLOOKUP(AE151,MiscData!$AC$5:$AD$77,2,FALSE)</f>
        <v>LGUM_203</v>
      </c>
      <c r="AG151" s="98" t="str">
        <f>VLOOKUP(AF151,MiscData!$AD$5:$AE$77,2,FALSE)</f>
        <v>RLS</v>
      </c>
      <c r="AP151" s="98" t="s">
        <v>245</v>
      </c>
      <c r="AR151" s="98">
        <v>0</v>
      </c>
    </row>
    <row r="152" spans="1:44">
      <c r="A152" s="108">
        <f t="shared" si="74"/>
        <v>149</v>
      </c>
      <c r="B152" s="109" t="str">
        <f t="shared" si="50"/>
        <v>Mar 2016</v>
      </c>
      <c r="C152" s="110" t="str">
        <f t="shared" si="51"/>
        <v>RLS</v>
      </c>
      <c r="D152" s="110" t="str">
        <f t="shared" si="52"/>
        <v>LGUM_204</v>
      </c>
      <c r="E152" s="581">
        <f t="shared" si="55"/>
        <v>3762</v>
      </c>
      <c r="F152" s="581">
        <f t="shared" si="56"/>
        <v>0</v>
      </c>
      <c r="G152" s="116">
        <f t="shared" si="57"/>
        <v>13.510000000000002</v>
      </c>
      <c r="H152" s="116">
        <f t="shared" si="58"/>
        <v>4.2000000000000011</v>
      </c>
      <c r="I152" s="118">
        <f t="shared" si="69"/>
        <v>50824.62</v>
      </c>
      <c r="J152" s="118">
        <f t="shared" si="59"/>
        <v>50824.62</v>
      </c>
      <c r="K152" s="570">
        <f t="shared" si="70"/>
        <v>0</v>
      </c>
      <c r="L152" s="121">
        <f t="shared" si="60"/>
        <v>0</v>
      </c>
      <c r="M152" s="122">
        <f t="shared" si="61"/>
        <v>0</v>
      </c>
      <c r="N152" s="122">
        <f t="shared" si="62"/>
        <v>0</v>
      </c>
      <c r="O152" s="122">
        <f t="shared" si="63"/>
        <v>0</v>
      </c>
      <c r="P152" s="122">
        <f t="shared" si="64"/>
        <v>0</v>
      </c>
      <c r="Q152" s="123">
        <f t="shared" si="65"/>
        <v>50824.62</v>
      </c>
      <c r="R152" s="123">
        <f t="shared" si="71"/>
        <v>-50824.62</v>
      </c>
      <c r="S152" s="582">
        <v>0</v>
      </c>
      <c r="T152" s="123">
        <f t="shared" si="72"/>
        <v>-50824.62</v>
      </c>
      <c r="U152" s="25">
        <f t="shared" si="66"/>
        <v>15800.4</v>
      </c>
      <c r="V152" s="123">
        <f t="shared" si="67"/>
        <v>-15800.4</v>
      </c>
      <c r="W152" s="334">
        <f t="shared" si="68"/>
        <v>827.64</v>
      </c>
      <c r="Y152" s="109">
        <f>IF(AE152=1,IF(Y151=MiscData!$F$1,EOMONTH(Y151,-11),EOMONTH(Y151,1)),Y151)</f>
        <v>42460</v>
      </c>
      <c r="Z152" s="108" t="str">
        <f t="shared" si="53"/>
        <v>20140101LGUM_204</v>
      </c>
      <c r="AA152" s="126" t="str">
        <f t="shared" si="54"/>
        <v>20140101RLS</v>
      </c>
      <c r="AB152" s="583" t="str">
        <f t="shared" si="73"/>
        <v>204</v>
      </c>
      <c r="AD152" s="98">
        <f>MiscData!$X$5</f>
        <v>20140101</v>
      </c>
      <c r="AE152" s="98">
        <f>IF(AE151+1&gt;MiscData!$AC$77,1,AE151+1)</f>
        <v>3</v>
      </c>
      <c r="AF152" s="98" t="str">
        <f>VLOOKUP(AE152,MiscData!$AC$5:$AD$77,2,FALSE)</f>
        <v>LGUM_204</v>
      </c>
      <c r="AG152" s="98" t="str">
        <f>VLOOKUP(AF152,MiscData!$AD$5:$AE$77,2,FALSE)</f>
        <v>RLS</v>
      </c>
      <c r="AP152" s="98" t="s">
        <v>246</v>
      </c>
      <c r="AR152" s="98">
        <v>0</v>
      </c>
    </row>
    <row r="153" spans="1:44">
      <c r="A153" s="108">
        <f t="shared" si="74"/>
        <v>150</v>
      </c>
      <c r="B153" s="109" t="str">
        <f t="shared" si="50"/>
        <v>Mar 2016</v>
      </c>
      <c r="C153" s="110" t="str">
        <f t="shared" si="51"/>
        <v>RLS</v>
      </c>
      <c r="D153" s="110" t="str">
        <f t="shared" si="52"/>
        <v>LGUM_206</v>
      </c>
      <c r="E153" s="581">
        <f t="shared" si="55"/>
        <v>97</v>
      </c>
      <c r="F153" s="581">
        <f t="shared" si="56"/>
        <v>0</v>
      </c>
      <c r="G153" s="116">
        <f t="shared" si="57"/>
        <v>12.450000000000001</v>
      </c>
      <c r="H153" s="116">
        <f t="shared" si="58"/>
        <v>1.0899999999999999</v>
      </c>
      <c r="I153" s="118">
        <f t="shared" si="69"/>
        <v>1207.6500000000001</v>
      </c>
      <c r="J153" s="118">
        <f t="shared" si="59"/>
        <v>1207.6500000000001</v>
      </c>
      <c r="K153" s="570">
        <f t="shared" si="70"/>
        <v>0</v>
      </c>
      <c r="L153" s="121">
        <f t="shared" si="60"/>
        <v>0</v>
      </c>
      <c r="M153" s="122">
        <f t="shared" si="61"/>
        <v>0</v>
      </c>
      <c r="N153" s="122">
        <f t="shared" si="62"/>
        <v>0</v>
      </c>
      <c r="O153" s="122">
        <f t="shared" si="63"/>
        <v>0</v>
      </c>
      <c r="P153" s="122">
        <f t="shared" si="64"/>
        <v>0</v>
      </c>
      <c r="Q153" s="123">
        <f t="shared" si="65"/>
        <v>1207.6500000000001</v>
      </c>
      <c r="R153" s="123">
        <f t="shared" si="71"/>
        <v>-1207.6500000000001</v>
      </c>
      <c r="S153" s="582">
        <v>0</v>
      </c>
      <c r="T153" s="123">
        <f t="shared" si="72"/>
        <v>-1207.6500000000001</v>
      </c>
      <c r="U153" s="25">
        <f t="shared" si="66"/>
        <v>105.73</v>
      </c>
      <c r="V153" s="123">
        <f t="shared" si="67"/>
        <v>-105.73</v>
      </c>
      <c r="W153" s="334">
        <f t="shared" si="68"/>
        <v>15.52</v>
      </c>
      <c r="Y153" s="109">
        <f>IF(AE153=1,IF(Y152=MiscData!$F$1,EOMONTH(Y152,-11),EOMONTH(Y152,1)),Y152)</f>
        <v>42460</v>
      </c>
      <c r="Z153" s="108" t="str">
        <f t="shared" si="53"/>
        <v>20140101LGUM_206</v>
      </c>
      <c r="AA153" s="126" t="str">
        <f t="shared" si="54"/>
        <v>20140101RLS</v>
      </c>
      <c r="AB153" s="583" t="str">
        <f t="shared" si="73"/>
        <v>206</v>
      </c>
      <c r="AD153" s="98">
        <f>MiscData!$X$5</f>
        <v>20140101</v>
      </c>
      <c r="AE153" s="98">
        <f>IF(AE152+1&gt;MiscData!$AC$77,1,AE152+1)</f>
        <v>4</v>
      </c>
      <c r="AF153" s="98" t="str">
        <f>VLOOKUP(AE153,MiscData!$AC$5:$AD$77,2,FALSE)</f>
        <v>LGUM_206</v>
      </c>
      <c r="AG153" s="98" t="str">
        <f>VLOOKUP(AF153,MiscData!$AD$5:$AE$77,2,FALSE)</f>
        <v>RLS</v>
      </c>
      <c r="AP153" s="98" t="s">
        <v>247</v>
      </c>
      <c r="AR153" s="98">
        <v>0</v>
      </c>
    </row>
    <row r="154" spans="1:44">
      <c r="A154" s="108">
        <f t="shared" si="74"/>
        <v>151</v>
      </c>
      <c r="B154" s="109" t="str">
        <f t="shared" si="50"/>
        <v>Mar 2016</v>
      </c>
      <c r="C154" s="110" t="str">
        <f t="shared" si="51"/>
        <v>RLS</v>
      </c>
      <c r="D154" s="110" t="str">
        <f t="shared" si="52"/>
        <v>LGUM_207</v>
      </c>
      <c r="E154" s="581">
        <f t="shared" si="55"/>
        <v>761</v>
      </c>
      <c r="F154" s="581">
        <f t="shared" si="56"/>
        <v>0</v>
      </c>
      <c r="G154" s="116">
        <f t="shared" si="57"/>
        <v>15.54</v>
      </c>
      <c r="H154" s="116">
        <f t="shared" si="58"/>
        <v>4.2000000000000011</v>
      </c>
      <c r="I154" s="118">
        <f t="shared" si="69"/>
        <v>11825.94</v>
      </c>
      <c r="J154" s="118">
        <f t="shared" si="59"/>
        <v>11825.94</v>
      </c>
      <c r="K154" s="570">
        <f t="shared" si="70"/>
        <v>0</v>
      </c>
      <c r="L154" s="121">
        <f t="shared" si="60"/>
        <v>0</v>
      </c>
      <c r="M154" s="122">
        <f t="shared" si="61"/>
        <v>0</v>
      </c>
      <c r="N154" s="122">
        <f t="shared" si="62"/>
        <v>0</v>
      </c>
      <c r="O154" s="122">
        <f t="shared" si="63"/>
        <v>0</v>
      </c>
      <c r="P154" s="122">
        <f t="shared" si="64"/>
        <v>0</v>
      </c>
      <c r="Q154" s="123">
        <f t="shared" si="65"/>
        <v>11825.94</v>
      </c>
      <c r="R154" s="123">
        <f t="shared" si="71"/>
        <v>-11825.94</v>
      </c>
      <c r="S154" s="582">
        <v>0</v>
      </c>
      <c r="T154" s="123">
        <f t="shared" si="72"/>
        <v>-11825.94</v>
      </c>
      <c r="U154" s="25">
        <f t="shared" si="66"/>
        <v>3196.2</v>
      </c>
      <c r="V154" s="123">
        <f t="shared" si="67"/>
        <v>-3196.2</v>
      </c>
      <c r="W154" s="334">
        <f t="shared" si="68"/>
        <v>167.42</v>
      </c>
      <c r="Y154" s="109">
        <f>IF(AE154=1,IF(Y153=MiscData!$F$1,EOMONTH(Y153,-11),EOMONTH(Y153,1)),Y153)</f>
        <v>42460</v>
      </c>
      <c r="Z154" s="108" t="str">
        <f t="shared" si="53"/>
        <v>20140101LGUM_207</v>
      </c>
      <c r="AA154" s="126" t="str">
        <f t="shared" si="54"/>
        <v>20140101RLS</v>
      </c>
      <c r="AB154" s="583" t="str">
        <f t="shared" si="73"/>
        <v>207</v>
      </c>
      <c r="AD154" s="98">
        <f>MiscData!$X$5</f>
        <v>20140101</v>
      </c>
      <c r="AE154" s="98">
        <f>IF(AE153+1&gt;MiscData!$AC$77,1,AE153+1)</f>
        <v>5</v>
      </c>
      <c r="AF154" s="98" t="str">
        <f>VLOOKUP(AE154,MiscData!$AC$5:$AD$77,2,FALSE)</f>
        <v>LGUM_207</v>
      </c>
      <c r="AG154" s="98" t="str">
        <f>VLOOKUP(AF154,MiscData!$AD$5:$AE$77,2,FALSE)</f>
        <v>RLS</v>
      </c>
      <c r="AP154" s="98" t="s">
        <v>248</v>
      </c>
      <c r="AR154" s="98">
        <v>0</v>
      </c>
    </row>
    <row r="155" spans="1:44">
      <c r="A155" s="108">
        <f t="shared" si="74"/>
        <v>152</v>
      </c>
      <c r="B155" s="109" t="str">
        <f t="shared" si="50"/>
        <v>Mar 2016</v>
      </c>
      <c r="C155" s="110" t="str">
        <f t="shared" si="51"/>
        <v>RLS</v>
      </c>
      <c r="D155" s="110" t="str">
        <f t="shared" si="52"/>
        <v>LGUM_208</v>
      </c>
      <c r="E155" s="581">
        <f t="shared" si="55"/>
        <v>1408</v>
      </c>
      <c r="F155" s="581">
        <f t="shared" si="56"/>
        <v>0</v>
      </c>
      <c r="G155" s="116">
        <f t="shared" si="57"/>
        <v>14.24</v>
      </c>
      <c r="H155" s="116">
        <f t="shared" si="58"/>
        <v>1.9100000000000001</v>
      </c>
      <c r="I155" s="118">
        <f t="shared" si="69"/>
        <v>20049.919999999998</v>
      </c>
      <c r="J155" s="118">
        <f t="shared" si="59"/>
        <v>20049.919999999998</v>
      </c>
      <c r="K155" s="570">
        <f t="shared" si="70"/>
        <v>0</v>
      </c>
      <c r="L155" s="121">
        <f t="shared" si="60"/>
        <v>0</v>
      </c>
      <c r="M155" s="122">
        <f t="shared" si="61"/>
        <v>0</v>
      </c>
      <c r="N155" s="122">
        <f t="shared" si="62"/>
        <v>0</v>
      </c>
      <c r="O155" s="122">
        <f t="shared" si="63"/>
        <v>0</v>
      </c>
      <c r="P155" s="122">
        <f t="shared" si="64"/>
        <v>0</v>
      </c>
      <c r="Q155" s="123">
        <f t="shared" si="65"/>
        <v>20049.919999999998</v>
      </c>
      <c r="R155" s="123">
        <f t="shared" si="71"/>
        <v>-20049.919999999998</v>
      </c>
      <c r="S155" s="582">
        <v>0</v>
      </c>
      <c r="T155" s="123">
        <f t="shared" si="72"/>
        <v>-20049.919999999998</v>
      </c>
      <c r="U155" s="25">
        <f t="shared" si="66"/>
        <v>2689.28</v>
      </c>
      <c r="V155" s="123">
        <f t="shared" si="67"/>
        <v>-2689.28</v>
      </c>
      <c r="W155" s="334">
        <f t="shared" si="68"/>
        <v>225.28</v>
      </c>
      <c r="Y155" s="109">
        <f>IF(AE155=1,IF(Y154=MiscData!$F$1,EOMONTH(Y154,-11),EOMONTH(Y154,1)),Y154)</f>
        <v>42460</v>
      </c>
      <c r="Z155" s="108" t="str">
        <f t="shared" si="53"/>
        <v>20140101LGUM_208</v>
      </c>
      <c r="AA155" s="126" t="str">
        <f t="shared" si="54"/>
        <v>20140101RLS</v>
      </c>
      <c r="AB155" s="583" t="str">
        <f t="shared" si="73"/>
        <v>208</v>
      </c>
      <c r="AD155" s="98">
        <f>MiscData!$X$5</f>
        <v>20140101</v>
      </c>
      <c r="AE155" s="98">
        <f>IF(AE154+1&gt;MiscData!$AC$77,1,AE154+1)</f>
        <v>6</v>
      </c>
      <c r="AF155" s="98" t="str">
        <f>VLOOKUP(AE155,MiscData!$AC$5:$AD$77,2,FALSE)</f>
        <v>LGUM_208</v>
      </c>
      <c r="AG155" s="98" t="str">
        <f>VLOOKUP(AF155,MiscData!$AD$5:$AE$77,2,FALSE)</f>
        <v>RLS</v>
      </c>
      <c r="AP155" s="98" t="s">
        <v>249</v>
      </c>
      <c r="AR155" s="98">
        <v>0</v>
      </c>
    </row>
    <row r="156" spans="1:44">
      <c r="A156" s="108">
        <f t="shared" si="74"/>
        <v>153</v>
      </c>
      <c r="B156" s="109" t="str">
        <f t="shared" si="50"/>
        <v>Mar 2016</v>
      </c>
      <c r="C156" s="110" t="str">
        <f t="shared" si="51"/>
        <v>RLS</v>
      </c>
      <c r="D156" s="110" t="str">
        <f t="shared" si="52"/>
        <v>LGUM_209</v>
      </c>
      <c r="E156" s="581">
        <f t="shared" si="55"/>
        <v>43</v>
      </c>
      <c r="F156" s="581">
        <f t="shared" si="56"/>
        <v>0</v>
      </c>
      <c r="G156" s="116">
        <f t="shared" si="57"/>
        <v>27.69</v>
      </c>
      <c r="H156" s="116">
        <f t="shared" si="58"/>
        <v>10.170000000000002</v>
      </c>
      <c r="I156" s="118">
        <f t="shared" si="69"/>
        <v>1190.67</v>
      </c>
      <c r="J156" s="118">
        <f t="shared" si="59"/>
        <v>1190.67</v>
      </c>
      <c r="K156" s="570">
        <f t="shared" si="70"/>
        <v>0</v>
      </c>
      <c r="L156" s="121">
        <f t="shared" si="60"/>
        <v>0</v>
      </c>
      <c r="M156" s="122">
        <f t="shared" si="61"/>
        <v>0</v>
      </c>
      <c r="N156" s="122">
        <f t="shared" si="62"/>
        <v>0</v>
      </c>
      <c r="O156" s="122">
        <f t="shared" si="63"/>
        <v>0</v>
      </c>
      <c r="P156" s="122">
        <f t="shared" si="64"/>
        <v>0</v>
      </c>
      <c r="Q156" s="123">
        <f t="shared" si="65"/>
        <v>1190.67</v>
      </c>
      <c r="R156" s="123">
        <f t="shared" si="71"/>
        <v>-1190.67</v>
      </c>
      <c r="S156" s="582">
        <v>0</v>
      </c>
      <c r="T156" s="123">
        <f t="shared" si="72"/>
        <v>-1190.67</v>
      </c>
      <c r="U156" s="25">
        <f t="shared" si="66"/>
        <v>437.31</v>
      </c>
      <c r="V156" s="123">
        <f t="shared" si="67"/>
        <v>-437.31</v>
      </c>
      <c r="W156" s="334">
        <f t="shared" si="68"/>
        <v>17.63</v>
      </c>
      <c r="Y156" s="109">
        <f>IF(AE156=1,IF(Y155=MiscData!$F$1,EOMONTH(Y155,-11),EOMONTH(Y155,1)),Y155)</f>
        <v>42460</v>
      </c>
      <c r="Z156" s="108" t="str">
        <f t="shared" si="53"/>
        <v>20140101LGUM_209</v>
      </c>
      <c r="AA156" s="126" t="str">
        <f t="shared" si="54"/>
        <v>20140101RLS</v>
      </c>
      <c r="AB156" s="583" t="str">
        <f t="shared" si="73"/>
        <v>209</v>
      </c>
      <c r="AD156" s="98">
        <f>MiscData!$X$5</f>
        <v>20140101</v>
      </c>
      <c r="AE156" s="98">
        <f>IF(AE155+1&gt;MiscData!$AC$77,1,AE155+1)</f>
        <v>7</v>
      </c>
      <c r="AF156" s="98" t="str">
        <f>VLOOKUP(AE156,MiscData!$AC$5:$AD$77,2,FALSE)</f>
        <v>LGUM_209</v>
      </c>
      <c r="AG156" s="98" t="str">
        <f>VLOOKUP(AF156,MiscData!$AD$5:$AE$77,2,FALSE)</f>
        <v>RLS</v>
      </c>
      <c r="AP156" s="98" t="s">
        <v>250</v>
      </c>
      <c r="AR156" s="98">
        <v>0</v>
      </c>
    </row>
    <row r="157" spans="1:44">
      <c r="A157" s="108">
        <f t="shared" si="74"/>
        <v>154</v>
      </c>
      <c r="B157" s="109" t="str">
        <f t="shared" si="50"/>
        <v>Mar 2016</v>
      </c>
      <c r="C157" s="110" t="str">
        <f t="shared" si="51"/>
        <v>RLS</v>
      </c>
      <c r="D157" s="110" t="str">
        <f t="shared" si="52"/>
        <v>LGUM_210</v>
      </c>
      <c r="E157" s="581">
        <f t="shared" si="55"/>
        <v>339</v>
      </c>
      <c r="F157" s="581">
        <f t="shared" si="56"/>
        <v>0</v>
      </c>
      <c r="G157" s="116">
        <f t="shared" si="57"/>
        <v>28.89</v>
      </c>
      <c r="H157" s="116">
        <f t="shared" si="58"/>
        <v>10.170000000000002</v>
      </c>
      <c r="I157" s="118">
        <f t="shared" si="69"/>
        <v>9793.7099999999991</v>
      </c>
      <c r="J157" s="118">
        <f t="shared" si="59"/>
        <v>9793.7099999999991</v>
      </c>
      <c r="K157" s="570">
        <f t="shared" si="70"/>
        <v>0</v>
      </c>
      <c r="L157" s="121">
        <f t="shared" si="60"/>
        <v>0</v>
      </c>
      <c r="M157" s="122">
        <f t="shared" si="61"/>
        <v>0</v>
      </c>
      <c r="N157" s="122">
        <f t="shared" si="62"/>
        <v>0</v>
      </c>
      <c r="O157" s="122">
        <f t="shared" si="63"/>
        <v>0</v>
      </c>
      <c r="P157" s="122">
        <f t="shared" si="64"/>
        <v>0</v>
      </c>
      <c r="Q157" s="123">
        <f t="shared" si="65"/>
        <v>9793.7099999999991</v>
      </c>
      <c r="R157" s="123">
        <f t="shared" si="71"/>
        <v>-9793.7099999999991</v>
      </c>
      <c r="S157" s="582">
        <v>0</v>
      </c>
      <c r="T157" s="123">
        <f t="shared" si="72"/>
        <v>-9793.7099999999991</v>
      </c>
      <c r="U157" s="25">
        <f t="shared" si="66"/>
        <v>3447.63</v>
      </c>
      <c r="V157" s="123">
        <f t="shared" si="67"/>
        <v>-3447.63</v>
      </c>
      <c r="W157" s="334">
        <f t="shared" si="68"/>
        <v>138.98999999999998</v>
      </c>
      <c r="Y157" s="109">
        <f>IF(AE157=1,IF(Y156=MiscData!$F$1,EOMONTH(Y156,-11),EOMONTH(Y156,1)),Y156)</f>
        <v>42460</v>
      </c>
      <c r="Z157" s="108" t="str">
        <f t="shared" si="53"/>
        <v>20140101LGUM_210</v>
      </c>
      <c r="AA157" s="126" t="str">
        <f t="shared" si="54"/>
        <v>20140101RLS</v>
      </c>
      <c r="AB157" s="583" t="str">
        <f t="shared" si="73"/>
        <v>210</v>
      </c>
      <c r="AD157" s="98">
        <f>MiscData!$X$5</f>
        <v>20140101</v>
      </c>
      <c r="AE157" s="98">
        <f>IF(AE156+1&gt;MiscData!$AC$77,1,AE156+1)</f>
        <v>8</v>
      </c>
      <c r="AF157" s="98" t="str">
        <f>VLOOKUP(AE157,MiscData!$AC$5:$AD$77,2,FALSE)</f>
        <v>LGUM_210</v>
      </c>
      <c r="AG157" s="98" t="str">
        <f>VLOOKUP(AF157,MiscData!$AD$5:$AE$77,2,FALSE)</f>
        <v>RLS</v>
      </c>
      <c r="AP157" s="98" t="s">
        <v>251</v>
      </c>
      <c r="AR157" s="98">
        <v>0</v>
      </c>
    </row>
    <row r="158" spans="1:44">
      <c r="A158" s="108">
        <f t="shared" si="74"/>
        <v>155</v>
      </c>
      <c r="B158" s="109" t="str">
        <f t="shared" ref="B158:B221" si="75">TEXT(Y158,"mmm yyyy")</f>
        <v>Mar 2016</v>
      </c>
      <c r="C158" s="110" t="str">
        <f t="shared" ref="C158:C221" si="76">AG158</f>
        <v>RLS</v>
      </c>
      <c r="D158" s="110" t="str">
        <f t="shared" ref="D158:D221" si="77">AF158</f>
        <v>LGUM_252</v>
      </c>
      <c r="E158" s="581">
        <f t="shared" si="55"/>
        <v>3912</v>
      </c>
      <c r="F158" s="581">
        <f t="shared" si="56"/>
        <v>0</v>
      </c>
      <c r="G158" s="116">
        <f t="shared" si="57"/>
        <v>9.57</v>
      </c>
      <c r="H158" s="116">
        <f t="shared" si="58"/>
        <v>1.9099999999999993</v>
      </c>
      <c r="I158" s="118">
        <f t="shared" si="69"/>
        <v>37437.839999999997</v>
      </c>
      <c r="J158" s="118">
        <f t="shared" si="59"/>
        <v>37437.839999999997</v>
      </c>
      <c r="K158" s="570">
        <f t="shared" si="70"/>
        <v>0</v>
      </c>
      <c r="L158" s="121">
        <f t="shared" si="60"/>
        <v>0</v>
      </c>
      <c r="M158" s="122">
        <f t="shared" si="61"/>
        <v>0</v>
      </c>
      <c r="N158" s="122">
        <f t="shared" si="62"/>
        <v>0</v>
      </c>
      <c r="O158" s="122">
        <f t="shared" si="63"/>
        <v>0</v>
      </c>
      <c r="P158" s="122">
        <f t="shared" si="64"/>
        <v>0</v>
      </c>
      <c r="Q158" s="123">
        <f t="shared" si="65"/>
        <v>37437.839999999997</v>
      </c>
      <c r="R158" s="123">
        <f t="shared" si="71"/>
        <v>-37437.839999999997</v>
      </c>
      <c r="S158" s="582">
        <v>0</v>
      </c>
      <c r="T158" s="123">
        <f t="shared" si="72"/>
        <v>-37437.839999999997</v>
      </c>
      <c r="U158" s="25">
        <f t="shared" si="66"/>
        <v>7471.92</v>
      </c>
      <c r="V158" s="123">
        <f t="shared" si="67"/>
        <v>-7471.92</v>
      </c>
      <c r="W158" s="334">
        <f t="shared" si="68"/>
        <v>625.91999999999996</v>
      </c>
      <c r="Y158" s="109">
        <f>IF(AE158=1,IF(Y157=MiscData!$F$1,EOMONTH(Y157,-11),EOMONTH(Y157,1)),Y157)</f>
        <v>42460</v>
      </c>
      <c r="Z158" s="108" t="str">
        <f t="shared" ref="Z158:Z221" si="78">CONCATENATE(AD158&amp;AF158)</f>
        <v>20140101LGUM_252</v>
      </c>
      <c r="AA158" s="126" t="str">
        <f t="shared" ref="AA158:AA221" si="79">CONCATENATE(AD158&amp;AG158)</f>
        <v>20140101RLS</v>
      </c>
      <c r="AB158" s="583" t="str">
        <f t="shared" si="73"/>
        <v>252</v>
      </c>
      <c r="AD158" s="98">
        <f>MiscData!$X$5</f>
        <v>20140101</v>
      </c>
      <c r="AE158" s="98">
        <f>IF(AE157+1&gt;MiscData!$AC$77,1,AE157+1)</f>
        <v>9</v>
      </c>
      <c r="AF158" s="98" t="str">
        <f>VLOOKUP(AE158,MiscData!$AC$5:$AD$77,2,FALSE)</f>
        <v>LGUM_252</v>
      </c>
      <c r="AG158" s="98" t="str">
        <f>VLOOKUP(AF158,MiscData!$AD$5:$AE$77,2,FALSE)</f>
        <v>RLS</v>
      </c>
      <c r="AP158" s="98" t="s">
        <v>252</v>
      </c>
      <c r="AR158" s="98">
        <v>0</v>
      </c>
    </row>
    <row r="159" spans="1:44">
      <c r="A159" s="108">
        <f t="shared" si="74"/>
        <v>156</v>
      </c>
      <c r="B159" s="109" t="str">
        <f t="shared" si="75"/>
        <v>Mar 2016</v>
      </c>
      <c r="C159" s="110" t="str">
        <f t="shared" si="76"/>
        <v>RLS</v>
      </c>
      <c r="D159" s="110" t="str">
        <f t="shared" si="77"/>
        <v>LGUM_266</v>
      </c>
      <c r="E159" s="581">
        <f t="shared" si="55"/>
        <v>1983</v>
      </c>
      <c r="F159" s="581">
        <f t="shared" si="56"/>
        <v>0</v>
      </c>
      <c r="G159" s="116">
        <f t="shared" si="57"/>
        <v>27.34</v>
      </c>
      <c r="H159" s="116">
        <f t="shared" si="58"/>
        <v>2.8000000000000007</v>
      </c>
      <c r="I159" s="118">
        <f t="shared" si="69"/>
        <v>54215.22</v>
      </c>
      <c r="J159" s="118">
        <f t="shared" si="59"/>
        <v>54215.22</v>
      </c>
      <c r="K159" s="570">
        <f t="shared" si="70"/>
        <v>0</v>
      </c>
      <c r="L159" s="121">
        <f t="shared" si="60"/>
        <v>0</v>
      </c>
      <c r="M159" s="122">
        <f t="shared" si="61"/>
        <v>0</v>
      </c>
      <c r="N159" s="122">
        <f t="shared" si="62"/>
        <v>0</v>
      </c>
      <c r="O159" s="122">
        <f t="shared" si="63"/>
        <v>0</v>
      </c>
      <c r="P159" s="122">
        <f t="shared" si="64"/>
        <v>0</v>
      </c>
      <c r="Q159" s="123">
        <f t="shared" si="65"/>
        <v>54215.22</v>
      </c>
      <c r="R159" s="123">
        <f t="shared" si="71"/>
        <v>-54215.22</v>
      </c>
      <c r="S159" s="582">
        <v>0</v>
      </c>
      <c r="T159" s="123">
        <f t="shared" si="72"/>
        <v>-54215.22</v>
      </c>
      <c r="U159" s="25">
        <f t="shared" si="66"/>
        <v>5552.4</v>
      </c>
      <c r="V159" s="123">
        <f t="shared" si="67"/>
        <v>-5552.4</v>
      </c>
      <c r="W159" s="334">
        <f t="shared" si="68"/>
        <v>535.41000000000008</v>
      </c>
      <c r="Y159" s="109">
        <f>IF(AE159=1,IF(Y158=MiscData!$F$1,EOMONTH(Y158,-11),EOMONTH(Y158,1)),Y158)</f>
        <v>42460</v>
      </c>
      <c r="Z159" s="108" t="str">
        <f t="shared" si="78"/>
        <v>20140101LGUM_266</v>
      </c>
      <c r="AA159" s="126" t="str">
        <f t="shared" si="79"/>
        <v>20140101RLS</v>
      </c>
      <c r="AB159" s="583" t="str">
        <f t="shared" si="73"/>
        <v>266</v>
      </c>
      <c r="AD159" s="98">
        <f>MiscData!$X$5</f>
        <v>20140101</v>
      </c>
      <c r="AE159" s="98">
        <f>IF(AE158+1&gt;MiscData!$AC$77,1,AE158+1)</f>
        <v>10</v>
      </c>
      <c r="AF159" s="98" t="str">
        <f>VLOOKUP(AE159,MiscData!$AC$5:$AD$77,2,FALSE)</f>
        <v>LGUM_266</v>
      </c>
      <c r="AG159" s="98" t="str">
        <f>VLOOKUP(AF159,MiscData!$AD$5:$AE$77,2,FALSE)</f>
        <v>RLS</v>
      </c>
      <c r="AP159" s="98" t="s">
        <v>253</v>
      </c>
      <c r="AR159" s="98">
        <v>0</v>
      </c>
    </row>
    <row r="160" spans="1:44">
      <c r="A160" s="108">
        <f t="shared" si="74"/>
        <v>157</v>
      </c>
      <c r="B160" s="109" t="str">
        <f t="shared" si="75"/>
        <v>Mar 2016</v>
      </c>
      <c r="C160" s="110" t="str">
        <f t="shared" si="76"/>
        <v>RLS</v>
      </c>
      <c r="D160" s="110" t="str">
        <f t="shared" si="77"/>
        <v>LGUM_267</v>
      </c>
      <c r="E160" s="581">
        <f t="shared" si="55"/>
        <v>2188</v>
      </c>
      <c r="F160" s="581">
        <f t="shared" si="56"/>
        <v>0</v>
      </c>
      <c r="G160" s="116">
        <f t="shared" si="57"/>
        <v>31.4</v>
      </c>
      <c r="H160" s="116">
        <f t="shared" si="58"/>
        <v>4.4499999999999993</v>
      </c>
      <c r="I160" s="118">
        <f t="shared" si="69"/>
        <v>68703.199999999997</v>
      </c>
      <c r="J160" s="118">
        <f t="shared" si="59"/>
        <v>68703.199999999997</v>
      </c>
      <c r="K160" s="570">
        <f t="shared" si="70"/>
        <v>0</v>
      </c>
      <c r="L160" s="121">
        <f t="shared" si="60"/>
        <v>0</v>
      </c>
      <c r="M160" s="122">
        <f t="shared" si="61"/>
        <v>0</v>
      </c>
      <c r="N160" s="122">
        <f t="shared" si="62"/>
        <v>0</v>
      </c>
      <c r="O160" s="122">
        <f t="shared" si="63"/>
        <v>0</v>
      </c>
      <c r="P160" s="122">
        <f t="shared" si="64"/>
        <v>0</v>
      </c>
      <c r="Q160" s="123">
        <f t="shared" si="65"/>
        <v>68703.199999999997</v>
      </c>
      <c r="R160" s="123">
        <f t="shared" si="71"/>
        <v>-68703.199999999997</v>
      </c>
      <c r="S160" s="582">
        <v>0</v>
      </c>
      <c r="T160" s="123">
        <f t="shared" si="72"/>
        <v>-68703.199999999997</v>
      </c>
      <c r="U160" s="25">
        <f t="shared" si="66"/>
        <v>9736.6</v>
      </c>
      <c r="V160" s="123">
        <f t="shared" si="67"/>
        <v>-9736.6</v>
      </c>
      <c r="W160" s="334">
        <f t="shared" si="68"/>
        <v>634.52</v>
      </c>
      <c r="Y160" s="109">
        <f>IF(AE160=1,IF(Y159=MiscData!$F$1,EOMONTH(Y159,-11),EOMONTH(Y159,1)),Y159)</f>
        <v>42460</v>
      </c>
      <c r="Z160" s="108" t="str">
        <f t="shared" si="78"/>
        <v>20140101LGUM_267</v>
      </c>
      <c r="AA160" s="126" t="str">
        <f t="shared" si="79"/>
        <v>20140101RLS</v>
      </c>
      <c r="AB160" s="583" t="str">
        <f t="shared" si="73"/>
        <v>267</v>
      </c>
      <c r="AD160" s="98">
        <f>MiscData!$X$5</f>
        <v>20140101</v>
      </c>
      <c r="AE160" s="98">
        <f>IF(AE159+1&gt;MiscData!$AC$77,1,AE159+1)</f>
        <v>11</v>
      </c>
      <c r="AF160" s="98" t="str">
        <f>VLOOKUP(AE160,MiscData!$AC$5:$AD$77,2,FALSE)</f>
        <v>LGUM_267</v>
      </c>
      <c r="AG160" s="98" t="str">
        <f>VLOOKUP(AF160,MiscData!$AD$5:$AE$77,2,FALSE)</f>
        <v>RLS</v>
      </c>
      <c r="AP160" s="98" t="s">
        <v>254</v>
      </c>
      <c r="AR160" s="98">
        <v>0</v>
      </c>
    </row>
    <row r="161" spans="1:44">
      <c r="A161" s="108">
        <f t="shared" si="74"/>
        <v>158</v>
      </c>
      <c r="B161" s="109" t="str">
        <f t="shared" si="75"/>
        <v>Mar 2016</v>
      </c>
      <c r="C161" s="110" t="str">
        <f t="shared" si="76"/>
        <v>RLS</v>
      </c>
      <c r="D161" s="110" t="str">
        <f t="shared" si="77"/>
        <v>LGUM_274</v>
      </c>
      <c r="E161" s="581">
        <f t="shared" si="55"/>
        <v>16786</v>
      </c>
      <c r="F161" s="581">
        <f t="shared" si="56"/>
        <v>0</v>
      </c>
      <c r="G161" s="116">
        <f t="shared" si="57"/>
        <v>17.189999999999998</v>
      </c>
      <c r="H161" s="116">
        <f t="shared" si="58"/>
        <v>1.2699999999999996</v>
      </c>
      <c r="I161" s="118">
        <f t="shared" si="69"/>
        <v>288551.34000000003</v>
      </c>
      <c r="J161" s="118">
        <f t="shared" si="59"/>
        <v>288551.34000000003</v>
      </c>
      <c r="K161" s="570">
        <f t="shared" si="70"/>
        <v>0</v>
      </c>
      <c r="L161" s="121">
        <f t="shared" si="60"/>
        <v>0</v>
      </c>
      <c r="M161" s="122">
        <f t="shared" si="61"/>
        <v>0</v>
      </c>
      <c r="N161" s="122">
        <f t="shared" si="62"/>
        <v>0</v>
      </c>
      <c r="O161" s="122">
        <f t="shared" si="63"/>
        <v>0</v>
      </c>
      <c r="P161" s="122">
        <f t="shared" si="64"/>
        <v>0</v>
      </c>
      <c r="Q161" s="123">
        <f t="shared" si="65"/>
        <v>288551.34000000003</v>
      </c>
      <c r="R161" s="123">
        <f t="shared" si="71"/>
        <v>-288551.34000000003</v>
      </c>
      <c r="S161" s="582">
        <v>0</v>
      </c>
      <c r="T161" s="123">
        <f t="shared" si="72"/>
        <v>-288551.34000000003</v>
      </c>
      <c r="U161" s="25">
        <f t="shared" si="66"/>
        <v>21318.22</v>
      </c>
      <c r="V161" s="123">
        <f t="shared" si="67"/>
        <v>-21318.22</v>
      </c>
      <c r="W161" s="334">
        <f t="shared" si="68"/>
        <v>4532.22</v>
      </c>
      <c r="Y161" s="109">
        <f>IF(AE161=1,IF(Y160=MiscData!$F$1,EOMONTH(Y160,-11),EOMONTH(Y160,1)),Y160)</f>
        <v>42460</v>
      </c>
      <c r="Z161" s="108" t="str">
        <f t="shared" si="78"/>
        <v>20140101LGUM_274</v>
      </c>
      <c r="AA161" s="126" t="str">
        <f t="shared" si="79"/>
        <v>20140101RLS</v>
      </c>
      <c r="AB161" s="583" t="str">
        <f t="shared" si="73"/>
        <v>274</v>
      </c>
      <c r="AD161" s="98">
        <f>MiscData!$X$5</f>
        <v>20140101</v>
      </c>
      <c r="AE161" s="98">
        <f>IF(AE160+1&gt;MiscData!$AC$77,1,AE160+1)</f>
        <v>12</v>
      </c>
      <c r="AF161" s="98" t="str">
        <f>VLOOKUP(AE161,MiscData!$AC$5:$AD$77,2,FALSE)</f>
        <v>LGUM_274</v>
      </c>
      <c r="AG161" s="98" t="str">
        <f>VLOOKUP(AF161,MiscData!$AD$5:$AE$77,2,FALSE)</f>
        <v>RLS</v>
      </c>
      <c r="AP161" s="98" t="s">
        <v>532</v>
      </c>
      <c r="AR161" s="98">
        <v>0</v>
      </c>
    </row>
    <row r="162" spans="1:44">
      <c r="A162" s="108">
        <f t="shared" si="74"/>
        <v>159</v>
      </c>
      <c r="B162" s="109" t="str">
        <f t="shared" si="75"/>
        <v>Mar 2016</v>
      </c>
      <c r="C162" s="110" t="str">
        <f t="shared" si="76"/>
        <v>RLS</v>
      </c>
      <c r="D162" s="110" t="str">
        <f t="shared" si="77"/>
        <v>LGUM_275</v>
      </c>
      <c r="E162" s="581">
        <f t="shared" si="55"/>
        <v>506</v>
      </c>
      <c r="F162" s="581">
        <f t="shared" si="56"/>
        <v>0</v>
      </c>
      <c r="G162" s="116">
        <f t="shared" si="57"/>
        <v>24.89</v>
      </c>
      <c r="H162" s="116">
        <f t="shared" si="58"/>
        <v>1.7899999999999991</v>
      </c>
      <c r="I162" s="118">
        <f t="shared" si="69"/>
        <v>12594.34</v>
      </c>
      <c r="J162" s="118">
        <f t="shared" si="59"/>
        <v>12594.34</v>
      </c>
      <c r="K162" s="570">
        <f t="shared" si="70"/>
        <v>0</v>
      </c>
      <c r="L162" s="121">
        <f t="shared" si="60"/>
        <v>0</v>
      </c>
      <c r="M162" s="122">
        <f t="shared" si="61"/>
        <v>0</v>
      </c>
      <c r="N162" s="122">
        <f t="shared" si="62"/>
        <v>0</v>
      </c>
      <c r="O162" s="122">
        <f t="shared" si="63"/>
        <v>0</v>
      </c>
      <c r="P162" s="122">
        <f t="shared" si="64"/>
        <v>0</v>
      </c>
      <c r="Q162" s="123">
        <f t="shared" si="65"/>
        <v>12594.34</v>
      </c>
      <c r="R162" s="123">
        <f t="shared" si="71"/>
        <v>-12594.34</v>
      </c>
      <c r="S162" s="582">
        <v>0</v>
      </c>
      <c r="T162" s="123">
        <f t="shared" si="72"/>
        <v>-12594.34</v>
      </c>
      <c r="U162" s="25">
        <f t="shared" si="66"/>
        <v>905.74</v>
      </c>
      <c r="V162" s="123">
        <f t="shared" si="67"/>
        <v>-905.74</v>
      </c>
      <c r="W162" s="334">
        <f t="shared" si="68"/>
        <v>121.44</v>
      </c>
      <c r="Y162" s="109">
        <f>IF(AE162=1,IF(Y161=MiscData!$F$1,EOMONTH(Y161,-11),EOMONTH(Y161,1)),Y161)</f>
        <v>42460</v>
      </c>
      <c r="Z162" s="108" t="str">
        <f t="shared" si="78"/>
        <v>20140101LGUM_275</v>
      </c>
      <c r="AA162" s="126" t="str">
        <f t="shared" si="79"/>
        <v>20140101RLS</v>
      </c>
      <c r="AB162" s="583" t="str">
        <f t="shared" si="73"/>
        <v>275</v>
      </c>
      <c r="AD162" s="98">
        <f>MiscData!$X$5</f>
        <v>20140101</v>
      </c>
      <c r="AE162" s="98">
        <f>IF(AE161+1&gt;MiscData!$AC$77,1,AE161+1)</f>
        <v>13</v>
      </c>
      <c r="AF162" s="98" t="str">
        <f>VLOOKUP(AE162,MiscData!$AC$5:$AD$77,2,FALSE)</f>
        <v>LGUM_275</v>
      </c>
      <c r="AG162" s="98" t="str">
        <f>VLOOKUP(AF162,MiscData!$AD$5:$AE$77,2,FALSE)</f>
        <v>RLS</v>
      </c>
      <c r="AP162" s="98" t="s">
        <v>534</v>
      </c>
      <c r="AR162" s="98">
        <v>0</v>
      </c>
    </row>
    <row r="163" spans="1:44">
      <c r="A163" s="108">
        <f t="shared" si="74"/>
        <v>160</v>
      </c>
      <c r="B163" s="109" t="str">
        <f t="shared" si="75"/>
        <v>Mar 2016</v>
      </c>
      <c r="C163" s="110" t="str">
        <f t="shared" si="76"/>
        <v>RLS</v>
      </c>
      <c r="D163" s="110" t="str">
        <f t="shared" si="77"/>
        <v>LGUM_276</v>
      </c>
      <c r="E163" s="581">
        <f t="shared" si="55"/>
        <v>1337</v>
      </c>
      <c r="F163" s="581">
        <f t="shared" si="56"/>
        <v>0</v>
      </c>
      <c r="G163" s="116">
        <f t="shared" si="57"/>
        <v>14.17</v>
      </c>
      <c r="H163" s="116">
        <f t="shared" si="58"/>
        <v>0.88000000000000078</v>
      </c>
      <c r="I163" s="118">
        <f t="shared" si="69"/>
        <v>18945.29</v>
      </c>
      <c r="J163" s="118">
        <f t="shared" si="59"/>
        <v>18945.29</v>
      </c>
      <c r="K163" s="570">
        <f t="shared" si="70"/>
        <v>0</v>
      </c>
      <c r="L163" s="121">
        <f t="shared" si="60"/>
        <v>0</v>
      </c>
      <c r="M163" s="122">
        <f t="shared" si="61"/>
        <v>0</v>
      </c>
      <c r="N163" s="122">
        <f t="shared" si="62"/>
        <v>0</v>
      </c>
      <c r="O163" s="122">
        <f t="shared" si="63"/>
        <v>0</v>
      </c>
      <c r="P163" s="122">
        <f t="shared" si="64"/>
        <v>0</v>
      </c>
      <c r="Q163" s="123">
        <f t="shared" si="65"/>
        <v>18945.29</v>
      </c>
      <c r="R163" s="123">
        <f t="shared" si="71"/>
        <v>-18945.29</v>
      </c>
      <c r="S163" s="582">
        <v>0</v>
      </c>
      <c r="T163" s="123">
        <f t="shared" si="72"/>
        <v>-18945.29</v>
      </c>
      <c r="U163" s="25">
        <f t="shared" si="66"/>
        <v>1176.56</v>
      </c>
      <c r="V163" s="123">
        <f t="shared" si="67"/>
        <v>-1176.56</v>
      </c>
      <c r="W163" s="334">
        <f t="shared" si="68"/>
        <v>347.62</v>
      </c>
      <c r="Y163" s="109">
        <f>IF(AE163=1,IF(Y162=MiscData!$F$1,EOMONTH(Y162,-11),EOMONTH(Y162,1)),Y162)</f>
        <v>42460</v>
      </c>
      <c r="Z163" s="108" t="str">
        <f t="shared" si="78"/>
        <v>20140101LGUM_276</v>
      </c>
      <c r="AA163" s="126" t="str">
        <f t="shared" si="79"/>
        <v>20140101RLS</v>
      </c>
      <c r="AB163" s="583" t="str">
        <f t="shared" si="73"/>
        <v>276</v>
      </c>
      <c r="AD163" s="98">
        <f>MiscData!$X$5</f>
        <v>20140101</v>
      </c>
      <c r="AE163" s="98">
        <f>IF(AE162+1&gt;MiscData!$AC$77,1,AE162+1)</f>
        <v>14</v>
      </c>
      <c r="AF163" s="98" t="str">
        <f>VLOOKUP(AE163,MiscData!$AC$5:$AD$77,2,FALSE)</f>
        <v>LGUM_276</v>
      </c>
      <c r="AG163" s="98" t="str">
        <f>VLOOKUP(AF163,MiscData!$AD$5:$AE$77,2,FALSE)</f>
        <v>RLS</v>
      </c>
      <c r="AP163" s="98" t="s">
        <v>255</v>
      </c>
      <c r="AR163" s="98">
        <v>0</v>
      </c>
    </row>
    <row r="164" spans="1:44">
      <c r="A164" s="108">
        <f t="shared" si="74"/>
        <v>161</v>
      </c>
      <c r="B164" s="109" t="str">
        <f t="shared" si="75"/>
        <v>Mar 2016</v>
      </c>
      <c r="C164" s="110" t="str">
        <f t="shared" si="76"/>
        <v>RLS</v>
      </c>
      <c r="D164" s="110" t="str">
        <f t="shared" si="77"/>
        <v>LGUM_277</v>
      </c>
      <c r="E164" s="581">
        <f t="shared" si="55"/>
        <v>2273</v>
      </c>
      <c r="F164" s="581">
        <f t="shared" si="56"/>
        <v>0</v>
      </c>
      <c r="G164" s="116">
        <f t="shared" si="57"/>
        <v>22.15</v>
      </c>
      <c r="H164" s="116">
        <f t="shared" si="58"/>
        <v>1.7900000000000027</v>
      </c>
      <c r="I164" s="118">
        <f t="shared" si="69"/>
        <v>50346.95</v>
      </c>
      <c r="J164" s="118">
        <f t="shared" si="59"/>
        <v>50346.95</v>
      </c>
      <c r="K164" s="570">
        <f t="shared" si="70"/>
        <v>0</v>
      </c>
      <c r="L164" s="121">
        <f t="shared" si="60"/>
        <v>0</v>
      </c>
      <c r="M164" s="122">
        <f t="shared" si="61"/>
        <v>0</v>
      </c>
      <c r="N164" s="122">
        <f t="shared" si="62"/>
        <v>0</v>
      </c>
      <c r="O164" s="122">
        <f t="shared" si="63"/>
        <v>0</v>
      </c>
      <c r="P164" s="122">
        <f t="shared" si="64"/>
        <v>0</v>
      </c>
      <c r="Q164" s="123">
        <f t="shared" si="65"/>
        <v>50346.95</v>
      </c>
      <c r="R164" s="123">
        <f t="shared" si="71"/>
        <v>-50346.95</v>
      </c>
      <c r="S164" s="582">
        <v>0</v>
      </c>
      <c r="T164" s="123">
        <f t="shared" si="72"/>
        <v>-50346.95</v>
      </c>
      <c r="U164" s="25">
        <f t="shared" si="66"/>
        <v>4068.67</v>
      </c>
      <c r="V164" s="123">
        <f t="shared" si="67"/>
        <v>-4068.67</v>
      </c>
      <c r="W164" s="334">
        <f t="shared" si="68"/>
        <v>545.52</v>
      </c>
      <c r="Y164" s="109">
        <f>IF(AE164=1,IF(Y163=MiscData!$F$1,EOMONTH(Y163,-11),EOMONTH(Y163,1)),Y163)</f>
        <v>42460</v>
      </c>
      <c r="Z164" s="108" t="str">
        <f t="shared" si="78"/>
        <v>20140101LGUM_277</v>
      </c>
      <c r="AA164" s="126" t="str">
        <f t="shared" si="79"/>
        <v>20140101RLS</v>
      </c>
      <c r="AB164" s="583" t="str">
        <f t="shared" si="73"/>
        <v>277</v>
      </c>
      <c r="AD164" s="98">
        <f>MiscData!$X$5</f>
        <v>20140101</v>
      </c>
      <c r="AE164" s="98">
        <f>IF(AE163+1&gt;MiscData!$AC$77,1,AE163+1)</f>
        <v>15</v>
      </c>
      <c r="AF164" s="98" t="str">
        <f>VLOOKUP(AE164,MiscData!$AC$5:$AD$77,2,FALSE)</f>
        <v>LGUM_277</v>
      </c>
      <c r="AG164" s="98" t="str">
        <f>VLOOKUP(AF164,MiscData!$AD$5:$AE$77,2,FALSE)</f>
        <v>RLS</v>
      </c>
      <c r="AP164" s="98" t="s">
        <v>256</v>
      </c>
      <c r="AR164" s="98">
        <v>0</v>
      </c>
    </row>
    <row r="165" spans="1:44">
      <c r="A165" s="108">
        <f t="shared" si="74"/>
        <v>162</v>
      </c>
      <c r="B165" s="109" t="str">
        <f t="shared" si="75"/>
        <v>Mar 2016</v>
      </c>
      <c r="C165" s="110" t="str">
        <f t="shared" si="76"/>
        <v>RLS</v>
      </c>
      <c r="D165" s="110" t="str">
        <f t="shared" si="77"/>
        <v>LGUM_278</v>
      </c>
      <c r="E165" s="581">
        <f t="shared" si="55"/>
        <v>17</v>
      </c>
      <c r="F165" s="581">
        <f t="shared" si="56"/>
        <v>0</v>
      </c>
      <c r="G165" s="116">
        <f t="shared" si="57"/>
        <v>72.550000000000011</v>
      </c>
      <c r="H165" s="116">
        <f t="shared" si="58"/>
        <v>9.8400000000000034</v>
      </c>
      <c r="I165" s="118">
        <f t="shared" si="69"/>
        <v>1233.3499999999999</v>
      </c>
      <c r="J165" s="118">
        <f t="shared" si="59"/>
        <v>1233.3499999999999</v>
      </c>
      <c r="K165" s="570">
        <f t="shared" si="70"/>
        <v>0</v>
      </c>
      <c r="L165" s="121">
        <f t="shared" si="60"/>
        <v>0</v>
      </c>
      <c r="M165" s="122">
        <f t="shared" si="61"/>
        <v>0</v>
      </c>
      <c r="N165" s="122">
        <f t="shared" si="62"/>
        <v>0</v>
      </c>
      <c r="O165" s="122">
        <f t="shared" si="63"/>
        <v>0</v>
      </c>
      <c r="P165" s="122">
        <f t="shared" si="64"/>
        <v>0</v>
      </c>
      <c r="Q165" s="123">
        <f t="shared" si="65"/>
        <v>1233.3499999999999</v>
      </c>
      <c r="R165" s="123">
        <f t="shared" si="71"/>
        <v>-1233.3499999999999</v>
      </c>
      <c r="S165" s="582">
        <v>0</v>
      </c>
      <c r="T165" s="123">
        <f t="shared" si="72"/>
        <v>-1233.3499999999999</v>
      </c>
      <c r="U165" s="25">
        <f t="shared" si="66"/>
        <v>167.28</v>
      </c>
      <c r="V165" s="123">
        <f t="shared" si="67"/>
        <v>-167.28</v>
      </c>
      <c r="W165" s="334">
        <f t="shared" si="68"/>
        <v>15.3</v>
      </c>
      <c r="Y165" s="109">
        <f>IF(AE165=1,IF(Y164=MiscData!$F$1,EOMONTH(Y164,-11),EOMONTH(Y164,1)),Y164)</f>
        <v>42460</v>
      </c>
      <c r="Z165" s="108" t="str">
        <f t="shared" si="78"/>
        <v>20140101LGUM_278</v>
      </c>
      <c r="AA165" s="126" t="str">
        <f t="shared" si="79"/>
        <v>20140101RLS</v>
      </c>
      <c r="AB165" s="583" t="str">
        <f t="shared" si="73"/>
        <v>278</v>
      </c>
      <c r="AD165" s="98">
        <f>MiscData!$X$5</f>
        <v>20140101</v>
      </c>
      <c r="AE165" s="98">
        <f>IF(AE164+1&gt;MiscData!$AC$77,1,AE164+1)</f>
        <v>16</v>
      </c>
      <c r="AF165" s="98" t="str">
        <f>VLOOKUP(AE165,MiscData!$AC$5:$AD$77,2,FALSE)</f>
        <v>LGUM_278</v>
      </c>
      <c r="AG165" s="98" t="str">
        <f>VLOOKUP(AF165,MiscData!$AD$5:$AE$77,2,FALSE)</f>
        <v>RLS</v>
      </c>
      <c r="AP165" s="98" t="s">
        <v>257</v>
      </c>
      <c r="AR165" s="98">
        <v>0</v>
      </c>
    </row>
    <row r="166" spans="1:44">
      <c r="A166" s="108">
        <f t="shared" si="74"/>
        <v>163</v>
      </c>
      <c r="B166" s="109" t="str">
        <f t="shared" si="75"/>
        <v>Mar 2016</v>
      </c>
      <c r="C166" s="110" t="str">
        <f t="shared" si="76"/>
        <v>RLS</v>
      </c>
      <c r="D166" s="110" t="str">
        <f t="shared" si="77"/>
        <v>LGUM_279</v>
      </c>
      <c r="E166" s="581">
        <f t="shared" si="55"/>
        <v>11</v>
      </c>
      <c r="F166" s="581">
        <f t="shared" si="56"/>
        <v>0</v>
      </c>
      <c r="G166" s="116">
        <f t="shared" si="57"/>
        <v>41.43</v>
      </c>
      <c r="H166" s="116">
        <f t="shared" si="58"/>
        <v>9.8399999999999963</v>
      </c>
      <c r="I166" s="118">
        <f t="shared" si="69"/>
        <v>455.73</v>
      </c>
      <c r="J166" s="118">
        <f t="shared" si="59"/>
        <v>455.73</v>
      </c>
      <c r="K166" s="570">
        <f t="shared" si="70"/>
        <v>0</v>
      </c>
      <c r="L166" s="121">
        <f t="shared" si="60"/>
        <v>0</v>
      </c>
      <c r="M166" s="122">
        <f t="shared" si="61"/>
        <v>0</v>
      </c>
      <c r="N166" s="122">
        <f t="shared" si="62"/>
        <v>0</v>
      </c>
      <c r="O166" s="122">
        <f t="shared" si="63"/>
        <v>0</v>
      </c>
      <c r="P166" s="122">
        <f t="shared" si="64"/>
        <v>0</v>
      </c>
      <c r="Q166" s="123">
        <f t="shared" si="65"/>
        <v>455.73</v>
      </c>
      <c r="R166" s="123">
        <f t="shared" si="71"/>
        <v>-455.73</v>
      </c>
      <c r="S166" s="582">
        <v>0</v>
      </c>
      <c r="T166" s="123">
        <f t="shared" si="72"/>
        <v>-455.73</v>
      </c>
      <c r="U166" s="25">
        <f t="shared" si="66"/>
        <v>108.24</v>
      </c>
      <c r="V166" s="123">
        <f t="shared" si="67"/>
        <v>-108.24</v>
      </c>
      <c r="W166" s="334">
        <f t="shared" si="68"/>
        <v>9.9</v>
      </c>
      <c r="Y166" s="109">
        <f>IF(AE166=1,IF(Y165=MiscData!$F$1,EOMONTH(Y165,-11),EOMONTH(Y165,1)),Y165)</f>
        <v>42460</v>
      </c>
      <c r="Z166" s="108" t="str">
        <f t="shared" si="78"/>
        <v>20140101LGUM_279</v>
      </c>
      <c r="AA166" s="126" t="str">
        <f t="shared" si="79"/>
        <v>20140101RLS</v>
      </c>
      <c r="AB166" s="583" t="str">
        <f t="shared" si="73"/>
        <v>279</v>
      </c>
      <c r="AD166" s="98">
        <f>MiscData!$X$5</f>
        <v>20140101</v>
      </c>
      <c r="AE166" s="98">
        <f>IF(AE165+1&gt;MiscData!$AC$77,1,AE165+1)</f>
        <v>17</v>
      </c>
      <c r="AF166" s="98" t="str">
        <f>VLOOKUP(AE166,MiscData!$AC$5:$AD$77,2,FALSE)</f>
        <v>LGUM_279</v>
      </c>
      <c r="AG166" s="98" t="str">
        <f>VLOOKUP(AF166,MiscData!$AD$5:$AE$77,2,FALSE)</f>
        <v>RLS</v>
      </c>
      <c r="AP166" s="98" t="s">
        <v>258</v>
      </c>
      <c r="AR166" s="98">
        <v>0</v>
      </c>
    </row>
    <row r="167" spans="1:44">
      <c r="A167" s="108">
        <f t="shared" si="74"/>
        <v>164</v>
      </c>
      <c r="B167" s="109" t="str">
        <f t="shared" si="75"/>
        <v>Mar 2016</v>
      </c>
      <c r="C167" s="110" t="str">
        <f t="shared" si="76"/>
        <v>RLS</v>
      </c>
      <c r="D167" s="110" t="str">
        <f t="shared" si="77"/>
        <v>LGUM_280</v>
      </c>
      <c r="E167" s="581">
        <f t="shared" si="55"/>
        <v>45</v>
      </c>
      <c r="F167" s="581">
        <f t="shared" si="56"/>
        <v>0</v>
      </c>
      <c r="G167" s="116">
        <f t="shared" si="57"/>
        <v>19.38</v>
      </c>
      <c r="H167" s="116">
        <f t="shared" si="58"/>
        <v>0.87999999999999901</v>
      </c>
      <c r="I167" s="118">
        <f t="shared" si="69"/>
        <v>872.1</v>
      </c>
      <c r="J167" s="118">
        <f t="shared" si="59"/>
        <v>872.1</v>
      </c>
      <c r="K167" s="570">
        <f t="shared" si="70"/>
        <v>0</v>
      </c>
      <c r="L167" s="121">
        <f t="shared" si="60"/>
        <v>0</v>
      </c>
      <c r="M167" s="122">
        <f t="shared" si="61"/>
        <v>0</v>
      </c>
      <c r="N167" s="122">
        <f t="shared" si="62"/>
        <v>0</v>
      </c>
      <c r="O167" s="122">
        <f t="shared" si="63"/>
        <v>0</v>
      </c>
      <c r="P167" s="122">
        <f t="shared" si="64"/>
        <v>0</v>
      </c>
      <c r="Q167" s="123">
        <f t="shared" si="65"/>
        <v>872.1</v>
      </c>
      <c r="R167" s="123">
        <f t="shared" si="71"/>
        <v>-872.1</v>
      </c>
      <c r="S167" s="582">
        <v>0</v>
      </c>
      <c r="T167" s="123">
        <f t="shared" si="72"/>
        <v>-872.1</v>
      </c>
      <c r="U167" s="25">
        <f t="shared" si="66"/>
        <v>39.6</v>
      </c>
      <c r="V167" s="123">
        <f t="shared" si="67"/>
        <v>-39.6</v>
      </c>
      <c r="W167" s="334">
        <f t="shared" si="68"/>
        <v>11.700000000000001</v>
      </c>
      <c r="Y167" s="109">
        <f>IF(AE167=1,IF(Y166=MiscData!$F$1,EOMONTH(Y166,-11),EOMONTH(Y166,1)),Y166)</f>
        <v>42460</v>
      </c>
      <c r="Z167" s="108" t="str">
        <f t="shared" si="78"/>
        <v>20140101LGUM_280</v>
      </c>
      <c r="AA167" s="126" t="str">
        <f t="shared" si="79"/>
        <v>20140101RLS</v>
      </c>
      <c r="AB167" s="583" t="str">
        <f t="shared" si="73"/>
        <v>280</v>
      </c>
      <c r="AD167" s="98">
        <f>MiscData!$X$5</f>
        <v>20140101</v>
      </c>
      <c r="AE167" s="98">
        <f>IF(AE166+1&gt;MiscData!$AC$77,1,AE166+1)</f>
        <v>18</v>
      </c>
      <c r="AF167" s="98" t="str">
        <f>VLOOKUP(AE167,MiscData!$AC$5:$AD$77,2,FALSE)</f>
        <v>LGUM_280</v>
      </c>
      <c r="AG167" s="98" t="str">
        <f>VLOOKUP(AF167,MiscData!$AD$5:$AE$77,2,FALSE)</f>
        <v>RLS</v>
      </c>
      <c r="AP167" s="98" t="s">
        <v>259</v>
      </c>
      <c r="AR167" s="98">
        <v>0</v>
      </c>
    </row>
    <row r="168" spans="1:44">
      <c r="A168" s="108">
        <f t="shared" si="74"/>
        <v>165</v>
      </c>
      <c r="B168" s="109" t="str">
        <f t="shared" si="75"/>
        <v>Mar 2016</v>
      </c>
      <c r="C168" s="110" t="str">
        <f t="shared" si="76"/>
        <v>RLS</v>
      </c>
      <c r="D168" s="110" t="str">
        <f t="shared" si="77"/>
        <v>LGUM_281</v>
      </c>
      <c r="E168" s="581">
        <f t="shared" si="55"/>
        <v>243</v>
      </c>
      <c r="F168" s="581">
        <f t="shared" si="56"/>
        <v>0</v>
      </c>
      <c r="G168" s="116">
        <f t="shared" si="57"/>
        <v>20.349999999999998</v>
      </c>
      <c r="H168" s="116">
        <f t="shared" si="58"/>
        <v>1.2699999999999996</v>
      </c>
      <c r="I168" s="118">
        <f t="shared" si="69"/>
        <v>4945.05</v>
      </c>
      <c r="J168" s="118">
        <f t="shared" si="59"/>
        <v>4945.05</v>
      </c>
      <c r="K168" s="570">
        <f t="shared" si="70"/>
        <v>0</v>
      </c>
      <c r="L168" s="121">
        <f t="shared" si="60"/>
        <v>0</v>
      </c>
      <c r="M168" s="122">
        <f t="shared" si="61"/>
        <v>0</v>
      </c>
      <c r="N168" s="122">
        <f t="shared" si="62"/>
        <v>0</v>
      </c>
      <c r="O168" s="122">
        <f t="shared" si="63"/>
        <v>0</v>
      </c>
      <c r="P168" s="122">
        <f t="shared" si="64"/>
        <v>0</v>
      </c>
      <c r="Q168" s="123">
        <f t="shared" si="65"/>
        <v>4945.05</v>
      </c>
      <c r="R168" s="123">
        <f t="shared" si="71"/>
        <v>-4945.05</v>
      </c>
      <c r="S168" s="582">
        <v>0</v>
      </c>
      <c r="T168" s="123">
        <f t="shared" si="72"/>
        <v>-4945.05</v>
      </c>
      <c r="U168" s="25">
        <f t="shared" si="66"/>
        <v>308.61</v>
      </c>
      <c r="V168" s="123">
        <f t="shared" si="67"/>
        <v>-308.61</v>
      </c>
      <c r="W168" s="334">
        <f t="shared" si="68"/>
        <v>65.61</v>
      </c>
      <c r="Y168" s="109">
        <f>IF(AE168=1,IF(Y167=MiscData!$F$1,EOMONTH(Y167,-11),EOMONTH(Y167,1)),Y167)</f>
        <v>42460</v>
      </c>
      <c r="Z168" s="108" t="str">
        <f t="shared" si="78"/>
        <v>20140101LGUM_281</v>
      </c>
      <c r="AA168" s="126" t="str">
        <f t="shared" si="79"/>
        <v>20140101RLS</v>
      </c>
      <c r="AB168" s="583" t="str">
        <f t="shared" si="73"/>
        <v>281</v>
      </c>
      <c r="AD168" s="98">
        <f>MiscData!$X$5</f>
        <v>20140101</v>
      </c>
      <c r="AE168" s="98">
        <f>IF(AE167+1&gt;MiscData!$AC$77,1,AE167+1)</f>
        <v>19</v>
      </c>
      <c r="AF168" s="98" t="str">
        <f>VLOOKUP(AE168,MiscData!$AC$5:$AD$77,2,FALSE)</f>
        <v>LGUM_281</v>
      </c>
      <c r="AG168" s="98" t="str">
        <f>VLOOKUP(AF168,MiscData!$AD$5:$AE$77,2,FALSE)</f>
        <v>RLS</v>
      </c>
      <c r="AP168" s="98" t="s">
        <v>538</v>
      </c>
      <c r="AR168" s="98">
        <v>0</v>
      </c>
    </row>
    <row r="169" spans="1:44">
      <c r="A169" s="108">
        <f t="shared" si="74"/>
        <v>166</v>
      </c>
      <c r="B169" s="109" t="str">
        <f t="shared" si="75"/>
        <v>Mar 2016</v>
      </c>
      <c r="C169" s="110" t="str">
        <f t="shared" si="76"/>
        <v>RLS</v>
      </c>
      <c r="D169" s="110" t="str">
        <f t="shared" si="77"/>
        <v>LGUM_282</v>
      </c>
      <c r="E169" s="581">
        <f t="shared" si="55"/>
        <v>104</v>
      </c>
      <c r="F169" s="581">
        <f t="shared" si="56"/>
        <v>0</v>
      </c>
      <c r="G169" s="116">
        <f t="shared" si="57"/>
        <v>19.53</v>
      </c>
      <c r="H169" s="116">
        <f t="shared" si="58"/>
        <v>0.87999999999999901</v>
      </c>
      <c r="I169" s="118">
        <f t="shared" si="69"/>
        <v>2031.12</v>
      </c>
      <c r="J169" s="118">
        <f t="shared" si="59"/>
        <v>2031.12</v>
      </c>
      <c r="K169" s="570">
        <f t="shared" si="70"/>
        <v>0</v>
      </c>
      <c r="L169" s="121">
        <f t="shared" si="60"/>
        <v>0</v>
      </c>
      <c r="M169" s="122">
        <f t="shared" si="61"/>
        <v>0</v>
      </c>
      <c r="N169" s="122">
        <f t="shared" si="62"/>
        <v>0</v>
      </c>
      <c r="O169" s="122">
        <f t="shared" si="63"/>
        <v>0</v>
      </c>
      <c r="P169" s="122">
        <f t="shared" si="64"/>
        <v>0</v>
      </c>
      <c r="Q169" s="123">
        <f t="shared" si="65"/>
        <v>2031.12</v>
      </c>
      <c r="R169" s="123">
        <f t="shared" si="71"/>
        <v>-2031.12</v>
      </c>
      <c r="S169" s="582">
        <v>0</v>
      </c>
      <c r="T169" s="123">
        <f t="shared" si="72"/>
        <v>-2031.12</v>
      </c>
      <c r="U169" s="25">
        <f t="shared" si="66"/>
        <v>91.52</v>
      </c>
      <c r="V169" s="123">
        <f t="shared" si="67"/>
        <v>-91.52</v>
      </c>
      <c r="W169" s="334">
        <f t="shared" si="68"/>
        <v>27.04</v>
      </c>
      <c r="Y169" s="109">
        <f>IF(AE169=1,IF(Y168=MiscData!$F$1,EOMONTH(Y168,-11),EOMONTH(Y168,1)),Y168)</f>
        <v>42460</v>
      </c>
      <c r="Z169" s="108" t="str">
        <f t="shared" si="78"/>
        <v>20140101LGUM_282</v>
      </c>
      <c r="AA169" s="126" t="str">
        <f t="shared" si="79"/>
        <v>20140101RLS</v>
      </c>
      <c r="AB169" s="583" t="str">
        <f t="shared" si="73"/>
        <v>282</v>
      </c>
      <c r="AD169" s="98">
        <f>MiscData!$X$5</f>
        <v>20140101</v>
      </c>
      <c r="AE169" s="98">
        <f>IF(AE168+1&gt;MiscData!$AC$77,1,AE168+1)</f>
        <v>20</v>
      </c>
      <c r="AF169" s="98" t="str">
        <f>VLOOKUP(AE169,MiscData!$AC$5:$AD$77,2,FALSE)</f>
        <v>LGUM_282</v>
      </c>
      <c r="AG169" s="98" t="str">
        <f>VLOOKUP(AF169,MiscData!$AD$5:$AE$77,2,FALSE)</f>
        <v>RLS</v>
      </c>
      <c r="AP169" s="98" t="s">
        <v>540</v>
      </c>
      <c r="AR169" s="98">
        <v>0</v>
      </c>
    </row>
    <row r="170" spans="1:44">
      <c r="A170" s="108">
        <f t="shared" si="74"/>
        <v>167</v>
      </c>
      <c r="B170" s="109" t="str">
        <f t="shared" si="75"/>
        <v>Mar 2016</v>
      </c>
      <c r="C170" s="110" t="str">
        <f t="shared" si="76"/>
        <v>RLS</v>
      </c>
      <c r="D170" s="110" t="str">
        <f t="shared" si="77"/>
        <v>LGUM_283</v>
      </c>
      <c r="E170" s="581">
        <f t="shared" si="55"/>
        <v>81</v>
      </c>
      <c r="F170" s="581">
        <f t="shared" si="56"/>
        <v>0</v>
      </c>
      <c r="G170" s="116">
        <f t="shared" si="57"/>
        <v>20.819999999999997</v>
      </c>
      <c r="H170" s="116">
        <f t="shared" si="58"/>
        <v>1.2699999999999996</v>
      </c>
      <c r="I170" s="118">
        <f t="shared" si="69"/>
        <v>1686.42</v>
      </c>
      <c r="J170" s="118">
        <f t="shared" si="59"/>
        <v>1686.42</v>
      </c>
      <c r="K170" s="570">
        <f t="shared" si="70"/>
        <v>0</v>
      </c>
      <c r="L170" s="121">
        <f t="shared" si="60"/>
        <v>0</v>
      </c>
      <c r="M170" s="122">
        <f t="shared" si="61"/>
        <v>0</v>
      </c>
      <c r="N170" s="122">
        <f t="shared" si="62"/>
        <v>0</v>
      </c>
      <c r="O170" s="122">
        <f t="shared" si="63"/>
        <v>0</v>
      </c>
      <c r="P170" s="122">
        <f t="shared" si="64"/>
        <v>0</v>
      </c>
      <c r="Q170" s="123">
        <f t="shared" si="65"/>
        <v>1686.42</v>
      </c>
      <c r="R170" s="123">
        <f t="shared" si="71"/>
        <v>-1686.42</v>
      </c>
      <c r="S170" s="582">
        <v>0</v>
      </c>
      <c r="T170" s="123">
        <f t="shared" si="72"/>
        <v>-1686.42</v>
      </c>
      <c r="U170" s="25">
        <f t="shared" si="66"/>
        <v>102.87</v>
      </c>
      <c r="V170" s="123">
        <f t="shared" si="67"/>
        <v>-102.87</v>
      </c>
      <c r="W170" s="334">
        <f t="shared" si="68"/>
        <v>21.87</v>
      </c>
      <c r="Y170" s="109">
        <f>IF(AE170=1,IF(Y169=MiscData!$F$1,EOMONTH(Y169,-11),EOMONTH(Y169,1)),Y169)</f>
        <v>42460</v>
      </c>
      <c r="Z170" s="108" t="str">
        <f t="shared" si="78"/>
        <v>20140101LGUM_283</v>
      </c>
      <c r="AA170" s="126" t="str">
        <f t="shared" si="79"/>
        <v>20140101RLS</v>
      </c>
      <c r="AB170" s="583" t="str">
        <f t="shared" si="73"/>
        <v>283</v>
      </c>
      <c r="AD170" s="98">
        <f>MiscData!$X$5</f>
        <v>20140101</v>
      </c>
      <c r="AE170" s="98">
        <f>IF(AE169+1&gt;MiscData!$AC$77,1,AE169+1)</f>
        <v>21</v>
      </c>
      <c r="AF170" s="98" t="str">
        <f>VLOOKUP(AE170,MiscData!$AC$5:$AD$77,2,FALSE)</f>
        <v>LGUM_283</v>
      </c>
      <c r="AG170" s="98" t="str">
        <f>VLOOKUP(AF170,MiscData!$AD$5:$AE$77,2,FALSE)</f>
        <v>RLS</v>
      </c>
      <c r="AP170" s="98" t="s">
        <v>542</v>
      </c>
      <c r="AR170" s="98">
        <v>0</v>
      </c>
    </row>
    <row r="171" spans="1:44">
      <c r="A171" s="108">
        <f t="shared" si="74"/>
        <v>168</v>
      </c>
      <c r="B171" s="109" t="str">
        <f t="shared" si="75"/>
        <v>Mar 2016</v>
      </c>
      <c r="C171" s="110" t="str">
        <f t="shared" si="76"/>
        <v>RLS</v>
      </c>
      <c r="D171" s="110" t="str">
        <f t="shared" si="77"/>
        <v>LGUM_314</v>
      </c>
      <c r="E171" s="581">
        <f t="shared" si="55"/>
        <v>488</v>
      </c>
      <c r="F171" s="581">
        <f t="shared" si="56"/>
        <v>0</v>
      </c>
      <c r="G171" s="116">
        <f t="shared" si="57"/>
        <v>19.2</v>
      </c>
      <c r="H171" s="116">
        <f t="shared" si="58"/>
        <v>2.7100000000000009</v>
      </c>
      <c r="I171" s="118">
        <f t="shared" si="69"/>
        <v>9369.6</v>
      </c>
      <c r="J171" s="118">
        <f t="shared" si="59"/>
        <v>9369.6</v>
      </c>
      <c r="K171" s="570">
        <f t="shared" si="70"/>
        <v>0</v>
      </c>
      <c r="L171" s="121">
        <f t="shared" si="60"/>
        <v>0</v>
      </c>
      <c r="M171" s="122">
        <f t="shared" si="61"/>
        <v>0</v>
      </c>
      <c r="N171" s="122">
        <f t="shared" si="62"/>
        <v>0</v>
      </c>
      <c r="O171" s="122">
        <f t="shared" si="63"/>
        <v>0</v>
      </c>
      <c r="P171" s="122">
        <f t="shared" si="64"/>
        <v>0</v>
      </c>
      <c r="Q171" s="123">
        <f t="shared" si="65"/>
        <v>9369.6</v>
      </c>
      <c r="R171" s="123">
        <f t="shared" si="71"/>
        <v>-9369.6</v>
      </c>
      <c r="S171" s="582">
        <v>0</v>
      </c>
      <c r="T171" s="123">
        <f t="shared" si="72"/>
        <v>-9369.6</v>
      </c>
      <c r="U171" s="25">
        <f t="shared" si="66"/>
        <v>1322.48</v>
      </c>
      <c r="V171" s="123">
        <f t="shared" si="67"/>
        <v>-1322.48</v>
      </c>
      <c r="W171" s="334">
        <f t="shared" si="68"/>
        <v>87.84</v>
      </c>
      <c r="Y171" s="109">
        <f>IF(AE171=1,IF(Y170=MiscData!$F$1,EOMONTH(Y170,-11),EOMONTH(Y170,1)),Y170)</f>
        <v>42460</v>
      </c>
      <c r="Z171" s="108" t="str">
        <f t="shared" si="78"/>
        <v>20140101LGUM_314</v>
      </c>
      <c r="AA171" s="126" t="str">
        <f t="shared" si="79"/>
        <v>20140101RLS</v>
      </c>
      <c r="AB171" s="583" t="str">
        <f t="shared" si="73"/>
        <v>314</v>
      </c>
      <c r="AD171" s="98">
        <f>MiscData!$X$5</f>
        <v>20140101</v>
      </c>
      <c r="AE171" s="98">
        <f>IF(AE170+1&gt;MiscData!$AC$77,1,AE170+1)</f>
        <v>22</v>
      </c>
      <c r="AF171" s="98" t="str">
        <f>VLOOKUP(AE171,MiscData!$AC$5:$AD$77,2,FALSE)</f>
        <v>LGUM_314</v>
      </c>
      <c r="AG171" s="98" t="str">
        <f>VLOOKUP(AF171,MiscData!$AD$5:$AE$77,2,FALSE)</f>
        <v>RLS</v>
      </c>
      <c r="AP171" s="98" t="s">
        <v>260</v>
      </c>
      <c r="AR171" s="98">
        <v>0</v>
      </c>
    </row>
    <row r="172" spans="1:44">
      <c r="A172" s="108">
        <f t="shared" si="74"/>
        <v>169</v>
      </c>
      <c r="B172" s="109" t="str">
        <f t="shared" si="75"/>
        <v>Mar 2016</v>
      </c>
      <c r="C172" s="110" t="str">
        <f t="shared" si="76"/>
        <v>RLS</v>
      </c>
      <c r="D172" s="110" t="str">
        <f t="shared" si="77"/>
        <v>LGUM_315</v>
      </c>
      <c r="E172" s="581">
        <f t="shared" si="55"/>
        <v>514</v>
      </c>
      <c r="F172" s="581">
        <f t="shared" si="56"/>
        <v>0</v>
      </c>
      <c r="G172" s="116">
        <f t="shared" si="57"/>
        <v>22.949999999999996</v>
      </c>
      <c r="H172" s="116">
        <f t="shared" si="58"/>
        <v>4.1999999999999993</v>
      </c>
      <c r="I172" s="118">
        <f t="shared" si="69"/>
        <v>11796.3</v>
      </c>
      <c r="J172" s="118">
        <f t="shared" si="59"/>
        <v>11796.3</v>
      </c>
      <c r="K172" s="570">
        <f t="shared" si="70"/>
        <v>0</v>
      </c>
      <c r="L172" s="121">
        <f t="shared" si="60"/>
        <v>0</v>
      </c>
      <c r="M172" s="122">
        <f t="shared" si="61"/>
        <v>0</v>
      </c>
      <c r="N172" s="122">
        <f t="shared" si="62"/>
        <v>0</v>
      </c>
      <c r="O172" s="122">
        <f t="shared" si="63"/>
        <v>0</v>
      </c>
      <c r="P172" s="122">
        <f t="shared" si="64"/>
        <v>0</v>
      </c>
      <c r="Q172" s="123">
        <f t="shared" si="65"/>
        <v>11796.3</v>
      </c>
      <c r="R172" s="123">
        <f t="shared" si="71"/>
        <v>-11796.3</v>
      </c>
      <c r="S172" s="582">
        <v>0</v>
      </c>
      <c r="T172" s="123">
        <f t="shared" si="72"/>
        <v>-11796.3</v>
      </c>
      <c r="U172" s="25">
        <f t="shared" si="66"/>
        <v>2158.8000000000002</v>
      </c>
      <c r="V172" s="123">
        <f t="shared" si="67"/>
        <v>-2158.8000000000002</v>
      </c>
      <c r="W172" s="334">
        <f t="shared" si="68"/>
        <v>113.08</v>
      </c>
      <c r="Y172" s="109">
        <f>IF(AE172=1,IF(Y171=MiscData!$F$1,EOMONTH(Y171,-11),EOMONTH(Y171,1)),Y171)</f>
        <v>42460</v>
      </c>
      <c r="Z172" s="108" t="str">
        <f t="shared" si="78"/>
        <v>20140101LGUM_315</v>
      </c>
      <c r="AA172" s="126" t="str">
        <f t="shared" si="79"/>
        <v>20140101RLS</v>
      </c>
      <c r="AB172" s="583" t="str">
        <f t="shared" si="73"/>
        <v>315</v>
      </c>
      <c r="AD172" s="98">
        <f>MiscData!$X$5</f>
        <v>20140101</v>
      </c>
      <c r="AE172" s="98">
        <f>IF(AE171+1&gt;MiscData!$AC$77,1,AE171+1)</f>
        <v>23</v>
      </c>
      <c r="AF172" s="98" t="str">
        <f>VLOOKUP(AE172,MiscData!$AC$5:$AD$77,2,FALSE)</f>
        <v>LGUM_315</v>
      </c>
      <c r="AG172" s="98" t="str">
        <f>VLOOKUP(AF172,MiscData!$AD$5:$AE$77,2,FALSE)</f>
        <v>RLS</v>
      </c>
      <c r="AP172" s="98" t="s">
        <v>262</v>
      </c>
      <c r="AR172" s="98">
        <v>0</v>
      </c>
    </row>
    <row r="173" spans="1:44">
      <c r="A173" s="108">
        <f t="shared" si="74"/>
        <v>170</v>
      </c>
      <c r="B173" s="109" t="str">
        <f t="shared" si="75"/>
        <v>Mar 2016</v>
      </c>
      <c r="C173" s="110" t="str">
        <f t="shared" si="76"/>
        <v>RLS</v>
      </c>
      <c r="D173" s="110" t="str">
        <f t="shared" si="77"/>
        <v>LGUM_318</v>
      </c>
      <c r="E173" s="581">
        <f t="shared" si="55"/>
        <v>53</v>
      </c>
      <c r="F173" s="581">
        <f t="shared" si="56"/>
        <v>0</v>
      </c>
      <c r="G173" s="116">
        <f t="shared" si="57"/>
        <v>17.419999999999998</v>
      </c>
      <c r="H173" s="116">
        <f t="shared" si="58"/>
        <v>1.9100000000000001</v>
      </c>
      <c r="I173" s="118">
        <f t="shared" si="69"/>
        <v>923.26</v>
      </c>
      <c r="J173" s="118">
        <f t="shared" si="59"/>
        <v>923.26</v>
      </c>
      <c r="K173" s="570">
        <f t="shared" si="70"/>
        <v>0</v>
      </c>
      <c r="L173" s="121">
        <f t="shared" si="60"/>
        <v>0</v>
      </c>
      <c r="M173" s="122">
        <f t="shared" si="61"/>
        <v>0</v>
      </c>
      <c r="N173" s="122">
        <f t="shared" si="62"/>
        <v>0</v>
      </c>
      <c r="O173" s="122">
        <f t="shared" si="63"/>
        <v>0</v>
      </c>
      <c r="P173" s="122">
        <f t="shared" si="64"/>
        <v>0</v>
      </c>
      <c r="Q173" s="123">
        <f t="shared" si="65"/>
        <v>923.26</v>
      </c>
      <c r="R173" s="123">
        <f t="shared" si="71"/>
        <v>-923.26</v>
      </c>
      <c r="S173" s="582">
        <v>0</v>
      </c>
      <c r="T173" s="123">
        <f t="shared" si="72"/>
        <v>-923.26</v>
      </c>
      <c r="U173" s="25">
        <f t="shared" si="66"/>
        <v>101.23</v>
      </c>
      <c r="V173" s="123">
        <f t="shared" si="67"/>
        <v>-101.23</v>
      </c>
      <c r="W173" s="334">
        <f t="shared" si="68"/>
        <v>8.48</v>
      </c>
      <c r="Y173" s="109">
        <f>IF(AE173=1,IF(Y172=MiscData!$F$1,EOMONTH(Y172,-11),EOMONTH(Y172,1)),Y172)</f>
        <v>42460</v>
      </c>
      <c r="Z173" s="108" t="str">
        <f t="shared" si="78"/>
        <v>20140101LGUM_318</v>
      </c>
      <c r="AA173" s="126" t="str">
        <f t="shared" si="79"/>
        <v>20140101RLS</v>
      </c>
      <c r="AB173" s="583" t="str">
        <f t="shared" si="73"/>
        <v>318</v>
      </c>
      <c r="AD173" s="98">
        <f>MiscData!$X$5</f>
        <v>20140101</v>
      </c>
      <c r="AE173" s="98">
        <f>IF(AE172+1&gt;MiscData!$AC$77,1,AE172+1)</f>
        <v>24</v>
      </c>
      <c r="AF173" s="98" t="str">
        <f>VLOOKUP(AE173,MiscData!$AC$5:$AD$77,2,FALSE)</f>
        <v>LGUM_318</v>
      </c>
      <c r="AG173" s="98" t="str">
        <f>VLOOKUP(AF173,MiscData!$AD$5:$AE$77,2,FALSE)</f>
        <v>RLS</v>
      </c>
      <c r="AP173" s="98" t="s">
        <v>264</v>
      </c>
      <c r="AR173" s="98">
        <v>0</v>
      </c>
    </row>
    <row r="174" spans="1:44">
      <c r="A174" s="108">
        <f t="shared" si="74"/>
        <v>171</v>
      </c>
      <c r="B174" s="109" t="str">
        <f t="shared" si="75"/>
        <v>Mar 2016</v>
      </c>
      <c r="C174" s="110" t="str">
        <f t="shared" si="76"/>
        <v>RLS</v>
      </c>
      <c r="D174" s="110" t="str">
        <f t="shared" si="77"/>
        <v>LGUM_347</v>
      </c>
      <c r="E174" s="581">
        <f t="shared" si="55"/>
        <v>0</v>
      </c>
      <c r="F174" s="581">
        <f t="shared" si="56"/>
        <v>0</v>
      </c>
      <c r="G174" s="116">
        <f t="shared" si="57"/>
        <v>22.939999999999998</v>
      </c>
      <c r="H174" s="116">
        <f t="shared" si="58"/>
        <v>26.14</v>
      </c>
      <c r="I174" s="118">
        <f t="shared" si="69"/>
        <v>0</v>
      </c>
      <c r="J174" s="118">
        <f t="shared" si="59"/>
        <v>0</v>
      </c>
      <c r="K174" s="570">
        <f t="shared" si="70"/>
        <v>0</v>
      </c>
      <c r="L174" s="121">
        <f t="shared" si="60"/>
        <v>1</v>
      </c>
      <c r="M174" s="122">
        <f t="shared" si="61"/>
        <v>0</v>
      </c>
      <c r="N174" s="122">
        <f t="shared" si="62"/>
        <v>0</v>
      </c>
      <c r="O174" s="122">
        <f t="shared" si="63"/>
        <v>0</v>
      </c>
      <c r="P174" s="122">
        <f t="shared" si="64"/>
        <v>0</v>
      </c>
      <c r="Q174" s="123">
        <f t="shared" si="65"/>
        <v>0</v>
      </c>
      <c r="R174" s="123">
        <f t="shared" si="71"/>
        <v>0</v>
      </c>
      <c r="S174" s="582">
        <v>0</v>
      </c>
      <c r="T174" s="123">
        <f t="shared" si="72"/>
        <v>0</v>
      </c>
      <c r="U174" s="25">
        <f t="shared" si="66"/>
        <v>0</v>
      </c>
      <c r="V174" s="123">
        <f t="shared" si="67"/>
        <v>0</v>
      </c>
      <c r="W174" s="334">
        <f t="shared" si="68"/>
        <v>0</v>
      </c>
      <c r="Y174" s="109">
        <f>IF(AE174=1,IF(Y173=MiscData!$F$1,EOMONTH(Y173,-11),EOMONTH(Y173,1)),Y173)</f>
        <v>42460</v>
      </c>
      <c r="Z174" s="108" t="str">
        <f t="shared" si="78"/>
        <v>20140101LGUM_347</v>
      </c>
      <c r="AA174" s="126" t="str">
        <f t="shared" si="79"/>
        <v>20140101RLS</v>
      </c>
      <c r="AB174" s="583" t="str">
        <f t="shared" si="73"/>
        <v>347</v>
      </c>
      <c r="AD174" s="98">
        <f>MiscData!$X$5</f>
        <v>20140101</v>
      </c>
      <c r="AE174" s="98">
        <f>IF(AE173+1&gt;MiscData!$AC$77,1,AE173+1)</f>
        <v>25</v>
      </c>
      <c r="AF174" s="98" t="str">
        <f>VLOOKUP(AE174,MiscData!$AC$5:$AD$77,2,FALSE)</f>
        <v>LGUM_347</v>
      </c>
      <c r="AG174" s="98" t="str">
        <f>VLOOKUP(AF174,MiscData!$AD$5:$AE$77,2,FALSE)</f>
        <v>RLS</v>
      </c>
      <c r="AP174" s="98" t="s">
        <v>265</v>
      </c>
      <c r="AR174" s="98">
        <v>0</v>
      </c>
    </row>
    <row r="175" spans="1:44">
      <c r="A175" s="108">
        <f t="shared" si="74"/>
        <v>172</v>
      </c>
      <c r="B175" s="109" t="str">
        <f t="shared" si="75"/>
        <v>Mar 2016</v>
      </c>
      <c r="C175" s="110" t="str">
        <f t="shared" si="76"/>
        <v>RLS</v>
      </c>
      <c r="D175" s="110" t="str">
        <f t="shared" si="77"/>
        <v>LGUM_348</v>
      </c>
      <c r="E175" s="581">
        <f t="shared" si="55"/>
        <v>39</v>
      </c>
      <c r="F175" s="581">
        <f t="shared" si="56"/>
        <v>0</v>
      </c>
      <c r="G175" s="116">
        <f t="shared" si="57"/>
        <v>13.12</v>
      </c>
      <c r="H175" s="116">
        <f t="shared" si="58"/>
        <v>2.9800000000000004</v>
      </c>
      <c r="I175" s="118">
        <f t="shared" si="69"/>
        <v>511.68</v>
      </c>
      <c r="J175" s="118">
        <f t="shared" si="59"/>
        <v>511.68</v>
      </c>
      <c r="K175" s="570">
        <f t="shared" si="70"/>
        <v>0</v>
      </c>
      <c r="L175" s="121">
        <f t="shared" si="60"/>
        <v>0</v>
      </c>
      <c r="M175" s="122">
        <f t="shared" si="61"/>
        <v>0</v>
      </c>
      <c r="N175" s="122">
        <f t="shared" si="62"/>
        <v>0</v>
      </c>
      <c r="O175" s="122">
        <f t="shared" si="63"/>
        <v>0</v>
      </c>
      <c r="P175" s="122">
        <f t="shared" si="64"/>
        <v>0</v>
      </c>
      <c r="Q175" s="123">
        <f t="shared" si="65"/>
        <v>511.68</v>
      </c>
      <c r="R175" s="123">
        <f t="shared" si="71"/>
        <v>-511.68</v>
      </c>
      <c r="S175" s="582">
        <v>0</v>
      </c>
      <c r="T175" s="123">
        <f t="shared" si="72"/>
        <v>-511.68</v>
      </c>
      <c r="U175" s="25">
        <f t="shared" si="66"/>
        <v>116.22</v>
      </c>
      <c r="V175" s="123">
        <f t="shared" si="67"/>
        <v>-116.22</v>
      </c>
      <c r="W175" s="334">
        <f t="shared" si="68"/>
        <v>7.41</v>
      </c>
      <c r="Y175" s="109">
        <f>IF(AE175=1,IF(Y174=MiscData!$F$1,EOMONTH(Y174,-11),EOMONTH(Y174,1)),Y174)</f>
        <v>42460</v>
      </c>
      <c r="Z175" s="108" t="str">
        <f t="shared" si="78"/>
        <v>20140101LGUM_348</v>
      </c>
      <c r="AA175" s="126" t="str">
        <f t="shared" si="79"/>
        <v>20140101RLS</v>
      </c>
      <c r="AB175" s="583" t="str">
        <f t="shared" si="73"/>
        <v>348</v>
      </c>
      <c r="AD175" s="98">
        <f>MiscData!$X$5</f>
        <v>20140101</v>
      </c>
      <c r="AE175" s="98">
        <f>IF(AE174+1&gt;MiscData!$AC$77,1,AE174+1)</f>
        <v>26</v>
      </c>
      <c r="AF175" s="98" t="str">
        <f>VLOOKUP(AE175,MiscData!$AC$5:$AD$77,2,FALSE)</f>
        <v>LGUM_348</v>
      </c>
      <c r="AG175" s="98" t="str">
        <f>VLOOKUP(AF175,MiscData!$AD$5:$AE$77,2,FALSE)</f>
        <v>RLS</v>
      </c>
      <c r="AP175" s="98" t="s">
        <v>266</v>
      </c>
      <c r="AR175" s="98">
        <v>0</v>
      </c>
    </row>
    <row r="176" spans="1:44">
      <c r="A176" s="108">
        <f t="shared" si="74"/>
        <v>173</v>
      </c>
      <c r="B176" s="109" t="str">
        <f t="shared" si="75"/>
        <v>Mar 2016</v>
      </c>
      <c r="C176" s="110" t="str">
        <f t="shared" si="76"/>
        <v>RLS</v>
      </c>
      <c r="D176" s="110" t="str">
        <f t="shared" si="77"/>
        <v>LGUM_349</v>
      </c>
      <c r="E176" s="581">
        <f t="shared" si="55"/>
        <v>17</v>
      </c>
      <c r="F176" s="581">
        <f t="shared" si="56"/>
        <v>0</v>
      </c>
      <c r="G176" s="116">
        <f t="shared" si="57"/>
        <v>9.0200000000000014</v>
      </c>
      <c r="H176" s="116">
        <f t="shared" si="58"/>
        <v>0.91000000000000014</v>
      </c>
      <c r="I176" s="118">
        <f t="shared" si="69"/>
        <v>153.34</v>
      </c>
      <c r="J176" s="118">
        <f t="shared" si="59"/>
        <v>153.34</v>
      </c>
      <c r="K176" s="570">
        <f t="shared" si="70"/>
        <v>0</v>
      </c>
      <c r="L176" s="121">
        <f t="shared" si="60"/>
        <v>0</v>
      </c>
      <c r="M176" s="122">
        <f t="shared" si="61"/>
        <v>0</v>
      </c>
      <c r="N176" s="122">
        <f t="shared" si="62"/>
        <v>0</v>
      </c>
      <c r="O176" s="122">
        <f t="shared" si="63"/>
        <v>0</v>
      </c>
      <c r="P176" s="122">
        <f t="shared" si="64"/>
        <v>0</v>
      </c>
      <c r="Q176" s="123">
        <f t="shared" si="65"/>
        <v>153.34</v>
      </c>
      <c r="R176" s="123">
        <f t="shared" si="71"/>
        <v>-153.34</v>
      </c>
      <c r="S176" s="582">
        <v>0</v>
      </c>
      <c r="T176" s="123">
        <f t="shared" si="72"/>
        <v>-153.34</v>
      </c>
      <c r="U176" s="25">
        <f t="shared" si="66"/>
        <v>15.47</v>
      </c>
      <c r="V176" s="123">
        <f t="shared" si="67"/>
        <v>-15.47</v>
      </c>
      <c r="W176" s="334">
        <f t="shared" si="68"/>
        <v>2.3800000000000003</v>
      </c>
      <c r="Y176" s="109">
        <f>IF(AE176=1,IF(Y175=MiscData!$F$1,EOMONTH(Y175,-11),EOMONTH(Y175,1)),Y175)</f>
        <v>42460</v>
      </c>
      <c r="Z176" s="108" t="str">
        <f t="shared" si="78"/>
        <v>20140101LGUM_349</v>
      </c>
      <c r="AA176" s="126" t="str">
        <f t="shared" si="79"/>
        <v>20140101RLS</v>
      </c>
      <c r="AB176" s="583" t="str">
        <f t="shared" si="73"/>
        <v>349</v>
      </c>
      <c r="AD176" s="98">
        <f>MiscData!$X$5</f>
        <v>20140101</v>
      </c>
      <c r="AE176" s="98">
        <f>IF(AE175+1&gt;MiscData!$AC$77,1,AE175+1)</f>
        <v>27</v>
      </c>
      <c r="AF176" s="98" t="str">
        <f>VLOOKUP(AE176,MiscData!$AC$5:$AD$77,2,FALSE)</f>
        <v>LGUM_349</v>
      </c>
      <c r="AG176" s="98" t="str">
        <f>VLOOKUP(AF176,MiscData!$AD$5:$AE$77,2,FALSE)</f>
        <v>RLS</v>
      </c>
      <c r="AP176" s="98" t="s">
        <v>267</v>
      </c>
      <c r="AR176" s="98">
        <v>0</v>
      </c>
    </row>
    <row r="177" spans="1:44">
      <c r="A177" s="108">
        <f t="shared" si="74"/>
        <v>174</v>
      </c>
      <c r="B177" s="109" t="str">
        <f t="shared" si="75"/>
        <v>Mar 2016</v>
      </c>
      <c r="C177" s="110" t="str">
        <f t="shared" si="76"/>
        <v xml:space="preserve">LS </v>
      </c>
      <c r="D177" s="110" t="str">
        <f t="shared" si="77"/>
        <v>LGUM_400</v>
      </c>
      <c r="E177" s="581">
        <f t="shared" si="55"/>
        <v>32</v>
      </c>
      <c r="F177" s="581">
        <f t="shared" si="56"/>
        <v>0</v>
      </c>
      <c r="G177" s="116">
        <f t="shared" si="57"/>
        <v>23.89</v>
      </c>
      <c r="H177" s="116">
        <f t="shared" si="58"/>
        <v>1.0199999999999996</v>
      </c>
      <c r="I177" s="118">
        <f t="shared" si="69"/>
        <v>764.48</v>
      </c>
      <c r="J177" s="118">
        <f t="shared" si="59"/>
        <v>764.48</v>
      </c>
      <c r="K177" s="570">
        <f t="shared" si="70"/>
        <v>0</v>
      </c>
      <c r="L177" s="121">
        <f t="shared" si="60"/>
        <v>0</v>
      </c>
      <c r="M177" s="122">
        <f t="shared" si="61"/>
        <v>0</v>
      </c>
      <c r="N177" s="122">
        <f t="shared" si="62"/>
        <v>0</v>
      </c>
      <c r="O177" s="122">
        <f t="shared" si="63"/>
        <v>0</v>
      </c>
      <c r="P177" s="122">
        <f t="shared" si="64"/>
        <v>0</v>
      </c>
      <c r="Q177" s="123">
        <f t="shared" si="65"/>
        <v>764.48</v>
      </c>
      <c r="R177" s="123">
        <f t="shared" si="71"/>
        <v>-764.48</v>
      </c>
      <c r="S177" s="582">
        <v>0</v>
      </c>
      <c r="T177" s="123">
        <f t="shared" si="72"/>
        <v>-764.48</v>
      </c>
      <c r="U177" s="25">
        <f t="shared" si="66"/>
        <v>32.64</v>
      </c>
      <c r="V177" s="123">
        <f t="shared" si="67"/>
        <v>-32.64</v>
      </c>
      <c r="W177" s="334">
        <f t="shared" si="68"/>
        <v>11.84</v>
      </c>
      <c r="Y177" s="109">
        <f>IF(AE177=1,IF(Y176=MiscData!$F$1,EOMONTH(Y176,-11),EOMONTH(Y176,1)),Y176)</f>
        <v>42460</v>
      </c>
      <c r="Z177" s="108" t="str">
        <f t="shared" si="78"/>
        <v>20140101LGUM_400</v>
      </c>
      <c r="AA177" s="126" t="str">
        <f t="shared" si="79"/>
        <v xml:space="preserve">20140101LS </v>
      </c>
      <c r="AB177" s="583" t="str">
        <f t="shared" si="73"/>
        <v>400</v>
      </c>
      <c r="AD177" s="98">
        <f>MiscData!$X$5</f>
        <v>20140101</v>
      </c>
      <c r="AE177" s="98">
        <f>IF(AE176+1&gt;MiscData!$AC$77,1,AE176+1)</f>
        <v>28</v>
      </c>
      <c r="AF177" s="98" t="str">
        <f>VLOOKUP(AE177,MiscData!$AC$5:$AD$77,2,FALSE)</f>
        <v>LGUM_400</v>
      </c>
      <c r="AG177" s="98" t="str">
        <f>VLOOKUP(AF177,MiscData!$AD$5:$AE$77,2,FALSE)</f>
        <v xml:space="preserve">LS </v>
      </c>
      <c r="AP177" s="98" t="s">
        <v>546</v>
      </c>
      <c r="AR177" s="98">
        <v>0</v>
      </c>
    </row>
    <row r="178" spans="1:44">
      <c r="A178" s="108">
        <f t="shared" si="74"/>
        <v>175</v>
      </c>
      <c r="B178" s="109" t="str">
        <f t="shared" si="75"/>
        <v>Mar 2016</v>
      </c>
      <c r="C178" s="110" t="str">
        <f t="shared" si="76"/>
        <v xml:space="preserve">LS </v>
      </c>
      <c r="D178" s="110" t="str">
        <f t="shared" si="77"/>
        <v>LGUM_401</v>
      </c>
      <c r="E178" s="581">
        <f t="shared" si="55"/>
        <v>4</v>
      </c>
      <c r="F178" s="581">
        <f t="shared" si="56"/>
        <v>0</v>
      </c>
      <c r="G178" s="116">
        <f t="shared" si="57"/>
        <v>24.9</v>
      </c>
      <c r="H178" s="116">
        <f t="shared" si="58"/>
        <v>1.0599999999999987</v>
      </c>
      <c r="I178" s="118">
        <f t="shared" si="69"/>
        <v>99.6</v>
      </c>
      <c r="J178" s="118">
        <f t="shared" si="59"/>
        <v>99.6</v>
      </c>
      <c r="K178" s="570">
        <f t="shared" si="70"/>
        <v>0</v>
      </c>
      <c r="L178" s="121">
        <f t="shared" si="60"/>
        <v>0</v>
      </c>
      <c r="M178" s="122">
        <f t="shared" si="61"/>
        <v>0</v>
      </c>
      <c r="N178" s="122">
        <f t="shared" si="62"/>
        <v>0</v>
      </c>
      <c r="O178" s="122">
        <f t="shared" si="63"/>
        <v>0</v>
      </c>
      <c r="P178" s="122">
        <f t="shared" si="64"/>
        <v>0</v>
      </c>
      <c r="Q178" s="123">
        <f t="shared" si="65"/>
        <v>99.6</v>
      </c>
      <c r="R178" s="123">
        <f t="shared" si="71"/>
        <v>-99.6</v>
      </c>
      <c r="S178" s="582">
        <v>0</v>
      </c>
      <c r="T178" s="123">
        <f t="shared" si="72"/>
        <v>-99.6</v>
      </c>
      <c r="U178" s="25">
        <f t="shared" si="66"/>
        <v>4.24</v>
      </c>
      <c r="V178" s="123">
        <f t="shared" si="67"/>
        <v>-4.24</v>
      </c>
      <c r="W178" s="334">
        <f t="shared" si="68"/>
        <v>1.08</v>
      </c>
      <c r="Y178" s="109">
        <f>IF(AE178=1,IF(Y177=MiscData!$F$1,EOMONTH(Y177,-11),EOMONTH(Y177,1)),Y177)</f>
        <v>42460</v>
      </c>
      <c r="Z178" s="108" t="str">
        <f t="shared" si="78"/>
        <v>20140101LGUM_401</v>
      </c>
      <c r="AA178" s="126" t="str">
        <f t="shared" si="79"/>
        <v xml:space="preserve">20140101LS </v>
      </c>
      <c r="AB178" s="583" t="str">
        <f t="shared" si="73"/>
        <v>401</v>
      </c>
      <c r="AD178" s="98">
        <f>MiscData!$X$5</f>
        <v>20140101</v>
      </c>
      <c r="AE178" s="98">
        <f>IF(AE177+1&gt;MiscData!$AC$77,1,AE177+1)</f>
        <v>29</v>
      </c>
      <c r="AF178" s="98" t="str">
        <f>VLOOKUP(AE178,MiscData!$AC$5:$AD$77,2,FALSE)</f>
        <v>LGUM_401</v>
      </c>
      <c r="AG178" s="98" t="str">
        <f>VLOOKUP(AF178,MiscData!$AD$5:$AE$77,2,FALSE)</f>
        <v xml:space="preserve">LS </v>
      </c>
      <c r="AP178" s="98" t="s">
        <v>268</v>
      </c>
      <c r="AR178" s="98">
        <v>0</v>
      </c>
    </row>
    <row r="179" spans="1:44">
      <c r="A179" s="108">
        <f t="shared" si="74"/>
        <v>176</v>
      </c>
      <c r="B179" s="109" t="str">
        <f t="shared" si="75"/>
        <v>Mar 2016</v>
      </c>
      <c r="C179" s="110" t="str">
        <f t="shared" si="76"/>
        <v xml:space="preserve">LS </v>
      </c>
      <c r="D179" s="110" t="str">
        <f t="shared" si="77"/>
        <v>LGUM_412</v>
      </c>
      <c r="E179" s="581">
        <f t="shared" si="55"/>
        <v>222</v>
      </c>
      <c r="F179" s="581">
        <f t="shared" si="56"/>
        <v>0</v>
      </c>
      <c r="G179" s="116">
        <f t="shared" si="57"/>
        <v>19.79</v>
      </c>
      <c r="H179" s="116">
        <f t="shared" si="58"/>
        <v>0.74999999999999645</v>
      </c>
      <c r="I179" s="118">
        <f t="shared" si="69"/>
        <v>4393.38</v>
      </c>
      <c r="J179" s="118">
        <f t="shared" si="59"/>
        <v>4393.38</v>
      </c>
      <c r="K179" s="570">
        <f t="shared" si="70"/>
        <v>0</v>
      </c>
      <c r="L179" s="121">
        <f t="shared" si="60"/>
        <v>0</v>
      </c>
      <c r="M179" s="122">
        <f t="shared" si="61"/>
        <v>0</v>
      </c>
      <c r="N179" s="122">
        <f t="shared" si="62"/>
        <v>0</v>
      </c>
      <c r="O179" s="122">
        <f t="shared" si="63"/>
        <v>0</v>
      </c>
      <c r="P179" s="122">
        <f t="shared" si="64"/>
        <v>0</v>
      </c>
      <c r="Q179" s="123">
        <f t="shared" si="65"/>
        <v>4393.38</v>
      </c>
      <c r="R179" s="123">
        <f t="shared" si="71"/>
        <v>-4393.38</v>
      </c>
      <c r="S179" s="582">
        <v>0</v>
      </c>
      <c r="T179" s="123">
        <f t="shared" si="72"/>
        <v>-4393.38</v>
      </c>
      <c r="U179" s="25">
        <f t="shared" si="66"/>
        <v>166.5</v>
      </c>
      <c r="V179" s="123">
        <f t="shared" si="67"/>
        <v>-166.5</v>
      </c>
      <c r="W179" s="334">
        <f t="shared" si="68"/>
        <v>57.72</v>
      </c>
      <c r="Y179" s="109">
        <f>IF(AE179=1,IF(Y178=MiscData!$F$1,EOMONTH(Y178,-11),EOMONTH(Y178,1)),Y178)</f>
        <v>42460</v>
      </c>
      <c r="Z179" s="108" t="str">
        <f t="shared" si="78"/>
        <v>20140101LGUM_412</v>
      </c>
      <c r="AA179" s="126" t="str">
        <f t="shared" si="79"/>
        <v xml:space="preserve">20140101LS </v>
      </c>
      <c r="AB179" s="583" t="str">
        <f t="shared" si="73"/>
        <v>412</v>
      </c>
      <c r="AD179" s="98">
        <f>MiscData!$X$5</f>
        <v>20140101</v>
      </c>
      <c r="AE179" s="98">
        <f>IF(AE178+1&gt;MiscData!$AC$77,1,AE178+1)</f>
        <v>30</v>
      </c>
      <c r="AF179" s="98" t="str">
        <f>VLOOKUP(AE179,MiscData!$AC$5:$AD$77,2,FALSE)</f>
        <v>LGUM_412</v>
      </c>
      <c r="AG179" s="98" t="str">
        <f>VLOOKUP(AF179,MiscData!$AD$5:$AE$77,2,FALSE)</f>
        <v xml:space="preserve">LS </v>
      </c>
      <c r="AP179" s="98" t="s">
        <v>269</v>
      </c>
      <c r="AR179" s="98">
        <v>0</v>
      </c>
    </row>
    <row r="180" spans="1:44">
      <c r="A180" s="108">
        <f t="shared" si="74"/>
        <v>177</v>
      </c>
      <c r="B180" s="109" t="str">
        <f t="shared" si="75"/>
        <v>Mar 2016</v>
      </c>
      <c r="C180" s="110" t="str">
        <f t="shared" si="76"/>
        <v xml:space="preserve">LS </v>
      </c>
      <c r="D180" s="110" t="str">
        <f t="shared" si="77"/>
        <v>LGUM_413</v>
      </c>
      <c r="E180" s="581">
        <f t="shared" si="55"/>
        <v>2039</v>
      </c>
      <c r="F180" s="581">
        <f t="shared" si="56"/>
        <v>0</v>
      </c>
      <c r="G180" s="116">
        <f t="shared" si="57"/>
        <v>20.49</v>
      </c>
      <c r="H180" s="116">
        <f t="shared" si="58"/>
        <v>1.0599999999999987</v>
      </c>
      <c r="I180" s="118">
        <f t="shared" si="69"/>
        <v>41779.11</v>
      </c>
      <c r="J180" s="118">
        <f t="shared" si="59"/>
        <v>41779.11</v>
      </c>
      <c r="K180" s="570">
        <f t="shared" si="70"/>
        <v>0</v>
      </c>
      <c r="L180" s="121">
        <f t="shared" si="60"/>
        <v>0</v>
      </c>
      <c r="M180" s="122">
        <f t="shared" si="61"/>
        <v>0</v>
      </c>
      <c r="N180" s="122">
        <f t="shared" si="62"/>
        <v>0</v>
      </c>
      <c r="O180" s="122">
        <f t="shared" si="63"/>
        <v>0</v>
      </c>
      <c r="P180" s="122">
        <f t="shared" si="64"/>
        <v>0</v>
      </c>
      <c r="Q180" s="123">
        <f t="shared" si="65"/>
        <v>41779.11</v>
      </c>
      <c r="R180" s="123">
        <f t="shared" si="71"/>
        <v>-41779.11</v>
      </c>
      <c r="S180" s="582">
        <v>0</v>
      </c>
      <c r="T180" s="123">
        <f t="shared" si="72"/>
        <v>-41779.11</v>
      </c>
      <c r="U180" s="25">
        <f t="shared" si="66"/>
        <v>2161.34</v>
      </c>
      <c r="V180" s="123">
        <f t="shared" si="67"/>
        <v>-2161.34</v>
      </c>
      <c r="W180" s="334">
        <f t="shared" si="68"/>
        <v>550.53000000000009</v>
      </c>
      <c r="Y180" s="109">
        <f>IF(AE180=1,IF(Y179=MiscData!$F$1,EOMONTH(Y179,-11),EOMONTH(Y179,1)),Y179)</f>
        <v>42460</v>
      </c>
      <c r="Z180" s="108" t="str">
        <f t="shared" si="78"/>
        <v>20140101LGUM_413</v>
      </c>
      <c r="AA180" s="126" t="str">
        <f t="shared" si="79"/>
        <v xml:space="preserve">20140101LS </v>
      </c>
      <c r="AB180" s="583" t="str">
        <f t="shared" si="73"/>
        <v>413</v>
      </c>
      <c r="AD180" s="98">
        <f>MiscData!$X$5</f>
        <v>20140101</v>
      </c>
      <c r="AE180" s="98">
        <f>IF(AE179+1&gt;MiscData!$AC$77,1,AE179+1)</f>
        <v>31</v>
      </c>
      <c r="AF180" s="98" t="str">
        <f>VLOOKUP(AE180,MiscData!$AC$5:$AD$77,2,FALSE)</f>
        <v>LGUM_413</v>
      </c>
      <c r="AG180" s="98" t="str">
        <f>VLOOKUP(AF180,MiscData!$AD$5:$AE$77,2,FALSE)</f>
        <v xml:space="preserve">LS </v>
      </c>
      <c r="AP180" s="98" t="s">
        <v>270</v>
      </c>
      <c r="AR180" s="98">
        <v>0</v>
      </c>
    </row>
    <row r="181" spans="1:44">
      <c r="A181" s="108">
        <f t="shared" si="74"/>
        <v>178</v>
      </c>
      <c r="B181" s="109" t="str">
        <f t="shared" si="75"/>
        <v>Mar 2016</v>
      </c>
      <c r="C181" s="110" t="str">
        <f t="shared" si="76"/>
        <v xml:space="preserve">LS </v>
      </c>
      <c r="D181" s="110" t="str">
        <f t="shared" si="77"/>
        <v>LGUM_415</v>
      </c>
      <c r="E181" s="581">
        <f t="shared" si="55"/>
        <v>31</v>
      </c>
      <c r="F181" s="581">
        <f t="shared" si="56"/>
        <v>0</v>
      </c>
      <c r="G181" s="116">
        <f t="shared" si="57"/>
        <v>20.18</v>
      </c>
      <c r="H181" s="116">
        <f t="shared" si="58"/>
        <v>0.75</v>
      </c>
      <c r="I181" s="118">
        <f t="shared" si="69"/>
        <v>625.58000000000004</v>
      </c>
      <c r="J181" s="118">
        <f t="shared" si="59"/>
        <v>625.58000000000004</v>
      </c>
      <c r="K181" s="570">
        <f t="shared" si="70"/>
        <v>0</v>
      </c>
      <c r="L181" s="121">
        <f t="shared" si="60"/>
        <v>0</v>
      </c>
      <c r="M181" s="122">
        <f t="shared" si="61"/>
        <v>0</v>
      </c>
      <c r="N181" s="122">
        <f t="shared" si="62"/>
        <v>0</v>
      </c>
      <c r="O181" s="122">
        <f t="shared" si="63"/>
        <v>0</v>
      </c>
      <c r="P181" s="122">
        <f t="shared" si="64"/>
        <v>0</v>
      </c>
      <c r="Q181" s="123">
        <f t="shared" si="65"/>
        <v>625.58000000000004</v>
      </c>
      <c r="R181" s="123">
        <f t="shared" si="71"/>
        <v>-625.58000000000004</v>
      </c>
      <c r="S181" s="582">
        <v>0</v>
      </c>
      <c r="T181" s="123">
        <f t="shared" si="72"/>
        <v>-625.58000000000004</v>
      </c>
      <c r="U181" s="25">
        <f t="shared" si="66"/>
        <v>23.25</v>
      </c>
      <c r="V181" s="123">
        <f t="shared" si="67"/>
        <v>-23.25</v>
      </c>
      <c r="W181" s="334">
        <f t="shared" si="68"/>
        <v>8.06</v>
      </c>
      <c r="Y181" s="109">
        <f>IF(AE181=1,IF(Y180=MiscData!$F$1,EOMONTH(Y180,-11),EOMONTH(Y180,1)),Y180)</f>
        <v>42460</v>
      </c>
      <c r="Z181" s="108" t="str">
        <f t="shared" si="78"/>
        <v>20140101LGUM_415</v>
      </c>
      <c r="AA181" s="126" t="str">
        <f t="shared" si="79"/>
        <v xml:space="preserve">20140101LS </v>
      </c>
      <c r="AB181" s="583" t="str">
        <f t="shared" si="73"/>
        <v>415</v>
      </c>
      <c r="AD181" s="98">
        <f>MiscData!$X$5</f>
        <v>20140101</v>
      </c>
      <c r="AE181" s="98">
        <f>IF(AE180+1&gt;MiscData!$AC$77,1,AE180+1)</f>
        <v>32</v>
      </c>
      <c r="AF181" s="98" t="str">
        <f>VLOOKUP(AE181,MiscData!$AC$5:$AD$77,2,FALSE)</f>
        <v>LGUM_415</v>
      </c>
      <c r="AG181" s="98" t="str">
        <f>VLOOKUP(AF181,MiscData!$AD$5:$AE$77,2,FALSE)</f>
        <v xml:space="preserve">LS </v>
      </c>
      <c r="AP181" s="98" t="s">
        <v>271</v>
      </c>
      <c r="AR181" s="98">
        <v>0</v>
      </c>
    </row>
    <row r="182" spans="1:44">
      <c r="A182" s="108">
        <f t="shared" si="74"/>
        <v>179</v>
      </c>
      <c r="B182" s="109" t="str">
        <f t="shared" si="75"/>
        <v>Mar 2016</v>
      </c>
      <c r="C182" s="110" t="str">
        <f t="shared" si="76"/>
        <v xml:space="preserve">LS </v>
      </c>
      <c r="D182" s="110" t="str">
        <f t="shared" si="77"/>
        <v>LGUM_416</v>
      </c>
      <c r="E182" s="581">
        <f t="shared" si="55"/>
        <v>1847</v>
      </c>
      <c r="F182" s="581">
        <f t="shared" si="56"/>
        <v>0</v>
      </c>
      <c r="G182" s="116">
        <f t="shared" si="57"/>
        <v>22.56</v>
      </c>
      <c r="H182" s="116">
        <f t="shared" si="58"/>
        <v>1.0599999999999987</v>
      </c>
      <c r="I182" s="118">
        <f t="shared" si="69"/>
        <v>41668.32</v>
      </c>
      <c r="J182" s="118">
        <f t="shared" si="59"/>
        <v>41668.32</v>
      </c>
      <c r="K182" s="570">
        <f t="shared" si="70"/>
        <v>0</v>
      </c>
      <c r="L182" s="121">
        <f t="shared" si="60"/>
        <v>0</v>
      </c>
      <c r="M182" s="122">
        <f t="shared" si="61"/>
        <v>0</v>
      </c>
      <c r="N182" s="122">
        <f t="shared" si="62"/>
        <v>0</v>
      </c>
      <c r="O182" s="122">
        <f t="shared" si="63"/>
        <v>0</v>
      </c>
      <c r="P182" s="122">
        <f t="shared" si="64"/>
        <v>0</v>
      </c>
      <c r="Q182" s="123">
        <f t="shared" si="65"/>
        <v>41668.32</v>
      </c>
      <c r="R182" s="123">
        <f t="shared" si="71"/>
        <v>-41668.32</v>
      </c>
      <c r="S182" s="582">
        <v>0</v>
      </c>
      <c r="T182" s="123">
        <f t="shared" si="72"/>
        <v>-41668.32</v>
      </c>
      <c r="U182" s="25">
        <f t="shared" si="66"/>
        <v>1957.82</v>
      </c>
      <c r="V182" s="123">
        <f t="shared" si="67"/>
        <v>-1957.82</v>
      </c>
      <c r="W182" s="334">
        <f t="shared" si="68"/>
        <v>498.69000000000005</v>
      </c>
      <c r="Y182" s="109">
        <f>IF(AE182=1,IF(Y181=MiscData!$F$1,EOMONTH(Y181,-11),EOMONTH(Y181,1)),Y181)</f>
        <v>42460</v>
      </c>
      <c r="Z182" s="108" t="str">
        <f t="shared" si="78"/>
        <v>20140101LGUM_416</v>
      </c>
      <c r="AA182" s="126" t="str">
        <f t="shared" si="79"/>
        <v xml:space="preserve">20140101LS </v>
      </c>
      <c r="AB182" s="583" t="str">
        <f t="shared" si="73"/>
        <v>416</v>
      </c>
      <c r="AD182" s="98">
        <f>MiscData!$X$5</f>
        <v>20140101</v>
      </c>
      <c r="AE182" s="98">
        <f>IF(AE181+1&gt;MiscData!$AC$77,1,AE181+1)</f>
        <v>33</v>
      </c>
      <c r="AF182" s="98" t="str">
        <f>VLOOKUP(AE182,MiscData!$AC$5:$AD$77,2,FALSE)</f>
        <v>LGUM_416</v>
      </c>
      <c r="AG182" s="98" t="str">
        <f>VLOOKUP(AF182,MiscData!$AD$5:$AE$77,2,FALSE)</f>
        <v xml:space="preserve">LS </v>
      </c>
      <c r="AP182" s="98" t="s">
        <v>272</v>
      </c>
      <c r="AR182" s="98">
        <v>0</v>
      </c>
    </row>
    <row r="183" spans="1:44">
      <c r="A183" s="108">
        <f t="shared" si="74"/>
        <v>180</v>
      </c>
      <c r="B183" s="109" t="str">
        <f t="shared" si="75"/>
        <v>Mar 2016</v>
      </c>
      <c r="C183" s="110" t="str">
        <f t="shared" si="76"/>
        <v>RLS</v>
      </c>
      <c r="D183" s="110" t="str">
        <f t="shared" si="77"/>
        <v>LGUM_417</v>
      </c>
      <c r="E183" s="581">
        <f t="shared" si="55"/>
        <v>35</v>
      </c>
      <c r="F183" s="581">
        <f t="shared" si="56"/>
        <v>0</v>
      </c>
      <c r="G183" s="116">
        <f t="shared" si="57"/>
        <v>23.68</v>
      </c>
      <c r="H183" s="116">
        <f t="shared" si="58"/>
        <v>1.0300000000000011</v>
      </c>
      <c r="I183" s="118">
        <f t="shared" si="69"/>
        <v>828.8</v>
      </c>
      <c r="J183" s="118">
        <f t="shared" si="59"/>
        <v>828.8</v>
      </c>
      <c r="K183" s="570">
        <f t="shared" si="70"/>
        <v>0</v>
      </c>
      <c r="L183" s="121">
        <f t="shared" si="60"/>
        <v>0</v>
      </c>
      <c r="M183" s="122">
        <f t="shared" si="61"/>
        <v>0</v>
      </c>
      <c r="N183" s="122">
        <f t="shared" si="62"/>
        <v>0</v>
      </c>
      <c r="O183" s="122">
        <f t="shared" si="63"/>
        <v>0</v>
      </c>
      <c r="P183" s="122">
        <f t="shared" si="64"/>
        <v>0</v>
      </c>
      <c r="Q183" s="123">
        <f t="shared" si="65"/>
        <v>828.8</v>
      </c>
      <c r="R183" s="123">
        <f t="shared" si="71"/>
        <v>-828.8</v>
      </c>
      <c r="S183" s="582">
        <v>0</v>
      </c>
      <c r="T183" s="123">
        <f t="shared" si="72"/>
        <v>-828.8</v>
      </c>
      <c r="U183" s="25">
        <f t="shared" si="66"/>
        <v>36.049999999999997</v>
      </c>
      <c r="V183" s="123">
        <f t="shared" si="67"/>
        <v>-36.049999999999997</v>
      </c>
      <c r="W183" s="334">
        <f t="shared" si="68"/>
        <v>9.4500000000000011</v>
      </c>
      <c r="Y183" s="109">
        <f>IF(AE183=1,IF(Y182=MiscData!$F$1,EOMONTH(Y182,-11),EOMONTH(Y182,1)),Y182)</f>
        <v>42460</v>
      </c>
      <c r="Z183" s="108" t="str">
        <f t="shared" si="78"/>
        <v>20140101LGUM_417</v>
      </c>
      <c r="AA183" s="126" t="str">
        <f t="shared" si="79"/>
        <v>20140101RLS</v>
      </c>
      <c r="AB183" s="583" t="str">
        <f t="shared" si="73"/>
        <v>417</v>
      </c>
      <c r="AD183" s="98">
        <f>MiscData!$X$5</f>
        <v>20140101</v>
      </c>
      <c r="AE183" s="98">
        <f>IF(AE182+1&gt;MiscData!$AC$77,1,AE182+1)</f>
        <v>34</v>
      </c>
      <c r="AF183" s="98" t="str">
        <f>VLOOKUP(AE183,MiscData!$AC$5:$AD$77,2,FALSE)</f>
        <v>LGUM_417</v>
      </c>
      <c r="AG183" s="98" t="str">
        <f>VLOOKUP(AF183,MiscData!$AD$5:$AE$77,2,FALSE)</f>
        <v>RLS</v>
      </c>
      <c r="AP183" s="98" t="s">
        <v>273</v>
      </c>
      <c r="AR183" s="98">
        <v>-6.84</v>
      </c>
    </row>
    <row r="184" spans="1:44">
      <c r="A184" s="108">
        <f t="shared" si="74"/>
        <v>181</v>
      </c>
      <c r="B184" s="109" t="str">
        <f t="shared" si="75"/>
        <v>Mar 2016</v>
      </c>
      <c r="C184" s="110" t="str">
        <f t="shared" si="76"/>
        <v>RLS</v>
      </c>
      <c r="D184" s="110" t="str">
        <f t="shared" si="77"/>
        <v>LGUM_419</v>
      </c>
      <c r="E184" s="581">
        <f t="shared" si="55"/>
        <v>111</v>
      </c>
      <c r="F184" s="581">
        <f t="shared" si="56"/>
        <v>0</v>
      </c>
      <c r="G184" s="116">
        <f t="shared" si="57"/>
        <v>24.77</v>
      </c>
      <c r="H184" s="116">
        <f t="shared" si="58"/>
        <v>1.6499999999999986</v>
      </c>
      <c r="I184" s="118">
        <f t="shared" si="69"/>
        <v>2749.47</v>
      </c>
      <c r="J184" s="118">
        <f t="shared" si="59"/>
        <v>2749.47</v>
      </c>
      <c r="K184" s="570">
        <f t="shared" si="70"/>
        <v>0</v>
      </c>
      <c r="L184" s="121">
        <f t="shared" si="60"/>
        <v>0</v>
      </c>
      <c r="M184" s="122">
        <f t="shared" si="61"/>
        <v>0</v>
      </c>
      <c r="N184" s="122">
        <f t="shared" si="62"/>
        <v>0</v>
      </c>
      <c r="O184" s="122">
        <f t="shared" si="63"/>
        <v>0</v>
      </c>
      <c r="P184" s="122">
        <f t="shared" si="64"/>
        <v>0</v>
      </c>
      <c r="Q184" s="123">
        <f t="shared" si="65"/>
        <v>2749.47</v>
      </c>
      <c r="R184" s="123">
        <f t="shared" si="71"/>
        <v>-2749.47</v>
      </c>
      <c r="S184" s="582">
        <v>0</v>
      </c>
      <c r="T184" s="123">
        <f t="shared" si="72"/>
        <v>-2749.47</v>
      </c>
      <c r="U184" s="25">
        <f t="shared" si="66"/>
        <v>183.15</v>
      </c>
      <c r="V184" s="123">
        <f t="shared" si="67"/>
        <v>-183.15</v>
      </c>
      <c r="W184" s="334">
        <f t="shared" si="68"/>
        <v>41.07</v>
      </c>
      <c r="Y184" s="109">
        <f>IF(AE184=1,IF(Y183=MiscData!$F$1,EOMONTH(Y183,-11),EOMONTH(Y183,1)),Y183)</f>
        <v>42460</v>
      </c>
      <c r="Z184" s="108" t="str">
        <f t="shared" si="78"/>
        <v>20140101LGUM_419</v>
      </c>
      <c r="AA184" s="126" t="str">
        <f t="shared" si="79"/>
        <v>20140101RLS</v>
      </c>
      <c r="AB184" s="583" t="str">
        <f t="shared" si="73"/>
        <v>419</v>
      </c>
      <c r="AD184" s="98">
        <f>MiscData!$X$5</f>
        <v>20140101</v>
      </c>
      <c r="AE184" s="98">
        <f>IF(AE183+1&gt;MiscData!$AC$77,1,AE183+1)</f>
        <v>35</v>
      </c>
      <c r="AF184" s="98" t="str">
        <f>VLOOKUP(AE184,MiscData!$AC$5:$AD$77,2,FALSE)</f>
        <v>LGUM_419</v>
      </c>
      <c r="AG184" s="98" t="str">
        <f>VLOOKUP(AF184,MiscData!$AD$5:$AE$77,2,FALSE)</f>
        <v>RLS</v>
      </c>
      <c r="AP184" s="98" t="s">
        <v>274</v>
      </c>
      <c r="AR184" s="98">
        <v>0</v>
      </c>
    </row>
    <row r="185" spans="1:44">
      <c r="A185" s="108">
        <f t="shared" si="74"/>
        <v>182</v>
      </c>
      <c r="B185" s="109" t="str">
        <f t="shared" si="75"/>
        <v>Mar 2016</v>
      </c>
      <c r="C185" s="110" t="str">
        <f t="shared" si="76"/>
        <v xml:space="preserve">LS </v>
      </c>
      <c r="D185" s="110" t="str">
        <f t="shared" si="77"/>
        <v>LGUM_420</v>
      </c>
      <c r="E185" s="581">
        <f t="shared" si="55"/>
        <v>59</v>
      </c>
      <c r="F185" s="581">
        <f t="shared" si="56"/>
        <v>0</v>
      </c>
      <c r="G185" s="116">
        <f t="shared" si="57"/>
        <v>29.889999999999997</v>
      </c>
      <c r="H185" s="116">
        <f t="shared" si="58"/>
        <v>1.6499999999999986</v>
      </c>
      <c r="I185" s="118">
        <f t="shared" si="69"/>
        <v>1763.51</v>
      </c>
      <c r="J185" s="118">
        <f t="shared" si="59"/>
        <v>1763.51</v>
      </c>
      <c r="K185" s="570">
        <f t="shared" si="70"/>
        <v>0</v>
      </c>
      <c r="L185" s="121">
        <f t="shared" si="60"/>
        <v>0</v>
      </c>
      <c r="M185" s="122">
        <f t="shared" si="61"/>
        <v>0</v>
      </c>
      <c r="N185" s="122">
        <f t="shared" si="62"/>
        <v>0</v>
      </c>
      <c r="O185" s="122">
        <f t="shared" si="63"/>
        <v>0</v>
      </c>
      <c r="P185" s="122">
        <f t="shared" si="64"/>
        <v>0</v>
      </c>
      <c r="Q185" s="123">
        <f t="shared" si="65"/>
        <v>1763.51</v>
      </c>
      <c r="R185" s="123">
        <f t="shared" si="71"/>
        <v>-1763.51</v>
      </c>
      <c r="S185" s="582">
        <v>0</v>
      </c>
      <c r="T185" s="123">
        <f t="shared" si="72"/>
        <v>-1763.51</v>
      </c>
      <c r="U185" s="25">
        <f t="shared" si="66"/>
        <v>97.35</v>
      </c>
      <c r="V185" s="123">
        <f t="shared" si="67"/>
        <v>-97.35</v>
      </c>
      <c r="W185" s="334">
        <f t="shared" si="68"/>
        <v>14.16</v>
      </c>
      <c r="Y185" s="109">
        <f>IF(AE185=1,IF(Y184=MiscData!$F$1,EOMONTH(Y184,-11),EOMONTH(Y184,1)),Y184)</f>
        <v>42460</v>
      </c>
      <c r="Z185" s="108" t="str">
        <f t="shared" si="78"/>
        <v>20140101LGUM_420</v>
      </c>
      <c r="AA185" s="126" t="str">
        <f t="shared" si="79"/>
        <v xml:space="preserve">20140101LS </v>
      </c>
      <c r="AB185" s="583" t="str">
        <f t="shared" si="73"/>
        <v>420</v>
      </c>
      <c r="AD185" s="98">
        <f>MiscData!$X$5</f>
        <v>20140101</v>
      </c>
      <c r="AE185" s="98">
        <f>IF(AE184+1&gt;MiscData!$AC$77,1,AE184+1)</f>
        <v>36</v>
      </c>
      <c r="AF185" s="98" t="str">
        <f>VLOOKUP(AE185,MiscData!$AC$5:$AD$77,2,FALSE)</f>
        <v>LGUM_420</v>
      </c>
      <c r="AG185" s="98" t="str">
        <f>VLOOKUP(AF185,MiscData!$AD$5:$AE$77,2,FALSE)</f>
        <v xml:space="preserve">LS </v>
      </c>
      <c r="AP185" s="98" t="s">
        <v>275</v>
      </c>
      <c r="AR185" s="98">
        <v>0</v>
      </c>
    </row>
    <row r="186" spans="1:44">
      <c r="A186" s="108">
        <f t="shared" si="74"/>
        <v>183</v>
      </c>
      <c r="B186" s="109" t="str">
        <f t="shared" si="75"/>
        <v>Mar 2016</v>
      </c>
      <c r="C186" s="110" t="str">
        <f t="shared" si="76"/>
        <v xml:space="preserve">LS </v>
      </c>
      <c r="D186" s="110" t="str">
        <f t="shared" si="77"/>
        <v>LGUM_421</v>
      </c>
      <c r="E186" s="581">
        <f t="shared" si="55"/>
        <v>176</v>
      </c>
      <c r="F186" s="581">
        <f t="shared" si="56"/>
        <v>0</v>
      </c>
      <c r="G186" s="116">
        <f t="shared" si="57"/>
        <v>32.860000000000007</v>
      </c>
      <c r="H186" s="116">
        <f t="shared" si="58"/>
        <v>2.6700000000000017</v>
      </c>
      <c r="I186" s="118">
        <f t="shared" si="69"/>
        <v>5783.36</v>
      </c>
      <c r="J186" s="118">
        <f t="shared" si="59"/>
        <v>5783.36</v>
      </c>
      <c r="K186" s="570">
        <f t="shared" si="70"/>
        <v>0</v>
      </c>
      <c r="L186" s="121">
        <f t="shared" si="60"/>
        <v>0</v>
      </c>
      <c r="M186" s="122">
        <f t="shared" si="61"/>
        <v>0</v>
      </c>
      <c r="N186" s="122">
        <f t="shared" si="62"/>
        <v>0</v>
      </c>
      <c r="O186" s="122">
        <f t="shared" si="63"/>
        <v>0</v>
      </c>
      <c r="P186" s="122">
        <f t="shared" si="64"/>
        <v>0</v>
      </c>
      <c r="Q186" s="123">
        <f t="shared" si="65"/>
        <v>5783.36</v>
      </c>
      <c r="R186" s="123">
        <f t="shared" si="71"/>
        <v>-5783.36</v>
      </c>
      <c r="S186" s="582">
        <v>0</v>
      </c>
      <c r="T186" s="123">
        <f t="shared" si="72"/>
        <v>-5783.36</v>
      </c>
      <c r="U186" s="25">
        <f t="shared" si="66"/>
        <v>469.92</v>
      </c>
      <c r="V186" s="123">
        <f t="shared" si="67"/>
        <v>-469.92</v>
      </c>
      <c r="W186" s="334">
        <f t="shared" si="68"/>
        <v>47.52</v>
      </c>
      <c r="Y186" s="109">
        <f>IF(AE186=1,IF(Y185=MiscData!$F$1,EOMONTH(Y185,-11),EOMONTH(Y185,1)),Y185)</f>
        <v>42460</v>
      </c>
      <c r="Z186" s="108" t="str">
        <f t="shared" si="78"/>
        <v>20140101LGUM_421</v>
      </c>
      <c r="AA186" s="126" t="str">
        <f t="shared" si="79"/>
        <v xml:space="preserve">20140101LS </v>
      </c>
      <c r="AB186" s="583" t="str">
        <f t="shared" si="73"/>
        <v>421</v>
      </c>
      <c r="AD186" s="98">
        <f>MiscData!$X$5</f>
        <v>20140101</v>
      </c>
      <c r="AE186" s="98">
        <f>IF(AE185+1&gt;MiscData!$AC$77,1,AE185+1)</f>
        <v>37</v>
      </c>
      <c r="AF186" s="98" t="str">
        <f>VLOOKUP(AE186,MiscData!$AC$5:$AD$77,2,FALSE)</f>
        <v>LGUM_421</v>
      </c>
      <c r="AG186" s="98" t="str">
        <f>VLOOKUP(AF186,MiscData!$AD$5:$AE$77,2,FALSE)</f>
        <v xml:space="preserve">LS </v>
      </c>
      <c r="AP186" s="98" t="s">
        <v>276</v>
      </c>
      <c r="AR186" s="98">
        <v>0</v>
      </c>
    </row>
    <row r="187" spans="1:44">
      <c r="A187" s="108">
        <f t="shared" si="74"/>
        <v>184</v>
      </c>
      <c r="B187" s="109" t="str">
        <f t="shared" si="75"/>
        <v>Mar 2016</v>
      </c>
      <c r="C187" s="110" t="str">
        <f t="shared" si="76"/>
        <v xml:space="preserve">LS </v>
      </c>
      <c r="D187" s="110" t="str">
        <f t="shared" si="77"/>
        <v>LGUM_422</v>
      </c>
      <c r="E187" s="581">
        <f t="shared" si="55"/>
        <v>426</v>
      </c>
      <c r="F187" s="581">
        <f t="shared" si="56"/>
        <v>0</v>
      </c>
      <c r="G187" s="116">
        <f t="shared" si="57"/>
        <v>38.389999999999993</v>
      </c>
      <c r="H187" s="116">
        <f t="shared" si="58"/>
        <v>4.279999999999994</v>
      </c>
      <c r="I187" s="118">
        <f t="shared" si="69"/>
        <v>16354.14</v>
      </c>
      <c r="J187" s="118">
        <f t="shared" si="59"/>
        <v>16354.14</v>
      </c>
      <c r="K187" s="570">
        <f t="shared" si="70"/>
        <v>0</v>
      </c>
      <c r="L187" s="121">
        <f t="shared" si="60"/>
        <v>0</v>
      </c>
      <c r="M187" s="122">
        <f t="shared" si="61"/>
        <v>0</v>
      </c>
      <c r="N187" s="122">
        <f t="shared" si="62"/>
        <v>0</v>
      </c>
      <c r="O187" s="122">
        <f t="shared" si="63"/>
        <v>0</v>
      </c>
      <c r="P187" s="122">
        <f t="shared" si="64"/>
        <v>0</v>
      </c>
      <c r="Q187" s="123">
        <f t="shared" si="65"/>
        <v>16354.14</v>
      </c>
      <c r="R187" s="123">
        <f t="shared" si="71"/>
        <v>-16354.14</v>
      </c>
      <c r="S187" s="582">
        <v>0</v>
      </c>
      <c r="T187" s="123">
        <f t="shared" si="72"/>
        <v>-16354.14</v>
      </c>
      <c r="U187" s="25">
        <f t="shared" si="66"/>
        <v>1823.28</v>
      </c>
      <c r="V187" s="123">
        <f t="shared" si="67"/>
        <v>-1823.28</v>
      </c>
      <c r="W187" s="334">
        <f t="shared" si="68"/>
        <v>123.53999999999999</v>
      </c>
      <c r="Y187" s="109">
        <f>IF(AE187=1,IF(Y186=MiscData!$F$1,EOMONTH(Y186,-11),EOMONTH(Y186,1)),Y186)</f>
        <v>42460</v>
      </c>
      <c r="Z187" s="108" t="str">
        <f t="shared" si="78"/>
        <v>20140101LGUM_422</v>
      </c>
      <c r="AA187" s="126" t="str">
        <f t="shared" si="79"/>
        <v xml:space="preserve">20140101LS </v>
      </c>
      <c r="AB187" s="583" t="str">
        <f t="shared" si="73"/>
        <v>422</v>
      </c>
      <c r="AD187" s="98">
        <f>MiscData!$X$5</f>
        <v>20140101</v>
      </c>
      <c r="AE187" s="98">
        <f>IF(AE186+1&gt;MiscData!$AC$77,1,AE186+1)</f>
        <v>38</v>
      </c>
      <c r="AF187" s="98" t="str">
        <f>VLOOKUP(AE187,MiscData!$AC$5:$AD$77,2,FALSE)</f>
        <v>LGUM_422</v>
      </c>
      <c r="AG187" s="98" t="str">
        <f>VLOOKUP(AF187,MiscData!$AD$5:$AE$77,2,FALSE)</f>
        <v xml:space="preserve">LS </v>
      </c>
      <c r="AP187" s="98" t="s">
        <v>277</v>
      </c>
      <c r="AR187" s="98">
        <v>0</v>
      </c>
    </row>
    <row r="188" spans="1:44">
      <c r="A188" s="108">
        <f t="shared" si="74"/>
        <v>185</v>
      </c>
      <c r="B188" s="109" t="str">
        <f t="shared" si="75"/>
        <v>Mar 2016</v>
      </c>
      <c r="C188" s="110" t="str">
        <f t="shared" si="76"/>
        <v xml:space="preserve">LS </v>
      </c>
      <c r="D188" s="110" t="str">
        <f t="shared" si="77"/>
        <v>LGUM_423</v>
      </c>
      <c r="E188" s="581">
        <f t="shared" si="55"/>
        <v>17</v>
      </c>
      <c r="F188" s="581">
        <f t="shared" si="56"/>
        <v>0</v>
      </c>
      <c r="G188" s="116">
        <f t="shared" si="57"/>
        <v>26.349999999999998</v>
      </c>
      <c r="H188" s="116">
        <f t="shared" si="58"/>
        <v>1.6500000000000021</v>
      </c>
      <c r="I188" s="118">
        <f t="shared" si="69"/>
        <v>447.95</v>
      </c>
      <c r="J188" s="118">
        <f t="shared" si="59"/>
        <v>447.95</v>
      </c>
      <c r="K188" s="570">
        <f t="shared" si="70"/>
        <v>0</v>
      </c>
      <c r="L188" s="121">
        <f t="shared" si="60"/>
        <v>0</v>
      </c>
      <c r="M188" s="122">
        <f t="shared" si="61"/>
        <v>0</v>
      </c>
      <c r="N188" s="122">
        <f t="shared" si="62"/>
        <v>0</v>
      </c>
      <c r="O188" s="122">
        <f t="shared" si="63"/>
        <v>0</v>
      </c>
      <c r="P188" s="122">
        <f t="shared" si="64"/>
        <v>0</v>
      </c>
      <c r="Q188" s="123">
        <f t="shared" si="65"/>
        <v>447.95</v>
      </c>
      <c r="R188" s="123">
        <f t="shared" si="71"/>
        <v>-447.95</v>
      </c>
      <c r="S188" s="582">
        <v>0</v>
      </c>
      <c r="T188" s="123">
        <f t="shared" si="72"/>
        <v>-447.95</v>
      </c>
      <c r="U188" s="25">
        <f t="shared" si="66"/>
        <v>28.05</v>
      </c>
      <c r="V188" s="123">
        <f t="shared" si="67"/>
        <v>-28.05</v>
      </c>
      <c r="W188" s="334">
        <f t="shared" si="68"/>
        <v>4.08</v>
      </c>
      <c r="Y188" s="109">
        <f>IF(AE188=1,IF(Y187=MiscData!$F$1,EOMONTH(Y187,-11),EOMONTH(Y187,1)),Y187)</f>
        <v>42460</v>
      </c>
      <c r="Z188" s="108" t="str">
        <f t="shared" si="78"/>
        <v>20140101LGUM_423</v>
      </c>
      <c r="AA188" s="126" t="str">
        <f t="shared" si="79"/>
        <v xml:space="preserve">20140101LS </v>
      </c>
      <c r="AB188" s="583" t="str">
        <f t="shared" si="73"/>
        <v>423</v>
      </c>
      <c r="AD188" s="98">
        <f>MiscData!$X$5</f>
        <v>20140101</v>
      </c>
      <c r="AE188" s="98">
        <f>IF(AE187+1&gt;MiscData!$AC$77,1,AE187+1)</f>
        <v>39</v>
      </c>
      <c r="AF188" s="98" t="str">
        <f>VLOOKUP(AE188,MiscData!$AC$5:$AD$77,2,FALSE)</f>
        <v>LGUM_423</v>
      </c>
      <c r="AG188" s="98" t="str">
        <f>VLOOKUP(AF188,MiscData!$AD$5:$AE$77,2,FALSE)</f>
        <v xml:space="preserve">LS </v>
      </c>
      <c r="AP188" s="98" t="s">
        <v>553</v>
      </c>
      <c r="AR188" s="98">
        <v>0</v>
      </c>
    </row>
    <row r="189" spans="1:44">
      <c r="A189" s="108">
        <f t="shared" si="74"/>
        <v>186</v>
      </c>
      <c r="B189" s="109" t="str">
        <f t="shared" si="75"/>
        <v>Mar 2016</v>
      </c>
      <c r="C189" s="110" t="str">
        <f t="shared" si="76"/>
        <v xml:space="preserve">LS </v>
      </c>
      <c r="D189" s="110" t="str">
        <f t="shared" si="77"/>
        <v>LGUM_424</v>
      </c>
      <c r="E189" s="581">
        <f t="shared" si="55"/>
        <v>387</v>
      </c>
      <c r="F189" s="581">
        <f t="shared" si="56"/>
        <v>0</v>
      </c>
      <c r="G189" s="116">
        <f t="shared" si="57"/>
        <v>28.45</v>
      </c>
      <c r="H189" s="116">
        <f t="shared" si="58"/>
        <v>3.9800000000000004</v>
      </c>
      <c r="I189" s="118">
        <f t="shared" si="69"/>
        <v>11010.15</v>
      </c>
      <c r="J189" s="118">
        <f t="shared" si="59"/>
        <v>11010.15</v>
      </c>
      <c r="K189" s="570">
        <f t="shared" si="70"/>
        <v>0</v>
      </c>
      <c r="L189" s="121">
        <f t="shared" si="60"/>
        <v>0</v>
      </c>
      <c r="M189" s="122">
        <f t="shared" si="61"/>
        <v>0</v>
      </c>
      <c r="N189" s="122">
        <f t="shared" si="62"/>
        <v>0</v>
      </c>
      <c r="O189" s="122">
        <f t="shared" si="63"/>
        <v>0</v>
      </c>
      <c r="P189" s="122">
        <f t="shared" si="64"/>
        <v>0</v>
      </c>
      <c r="Q189" s="123">
        <f t="shared" si="65"/>
        <v>11010.15</v>
      </c>
      <c r="R189" s="123">
        <f t="shared" si="71"/>
        <v>-11010.15</v>
      </c>
      <c r="S189" s="582">
        <v>0</v>
      </c>
      <c r="T189" s="123">
        <f t="shared" si="72"/>
        <v>-11010.15</v>
      </c>
      <c r="U189" s="25">
        <f t="shared" si="66"/>
        <v>1540.26</v>
      </c>
      <c r="V189" s="123">
        <f t="shared" si="67"/>
        <v>-1540.26</v>
      </c>
      <c r="W189" s="334">
        <f t="shared" si="68"/>
        <v>104.49000000000001</v>
      </c>
      <c r="Y189" s="109">
        <f>IF(AE189=1,IF(Y188=MiscData!$F$1,EOMONTH(Y188,-11),EOMONTH(Y188,1)),Y188)</f>
        <v>42460</v>
      </c>
      <c r="Z189" s="108" t="str">
        <f t="shared" si="78"/>
        <v>20140101LGUM_424</v>
      </c>
      <c r="AA189" s="126" t="str">
        <f t="shared" si="79"/>
        <v xml:space="preserve">20140101LS </v>
      </c>
      <c r="AB189" s="583" t="str">
        <f t="shared" si="73"/>
        <v>424</v>
      </c>
      <c r="AD189" s="98">
        <f>MiscData!$X$5</f>
        <v>20140101</v>
      </c>
      <c r="AE189" s="98">
        <f>IF(AE188+1&gt;MiscData!$AC$77,1,AE188+1)</f>
        <v>40</v>
      </c>
      <c r="AF189" s="98" t="str">
        <f>VLOOKUP(AE189,MiscData!$AC$5:$AD$77,2,FALSE)</f>
        <v>LGUM_424</v>
      </c>
      <c r="AG189" s="98" t="str">
        <f>VLOOKUP(AF189,MiscData!$AD$5:$AE$77,2,FALSE)</f>
        <v xml:space="preserve">LS </v>
      </c>
      <c r="AP189" s="98" t="s">
        <v>554</v>
      </c>
      <c r="AR189" s="98">
        <v>0</v>
      </c>
    </row>
    <row r="190" spans="1:44">
      <c r="A190" s="108">
        <f t="shared" si="74"/>
        <v>187</v>
      </c>
      <c r="B190" s="109" t="str">
        <f t="shared" si="75"/>
        <v>Mar 2016</v>
      </c>
      <c r="C190" s="110" t="str">
        <f t="shared" si="76"/>
        <v xml:space="preserve">LS </v>
      </c>
      <c r="D190" s="110" t="str">
        <f t="shared" si="77"/>
        <v>LGUM_425</v>
      </c>
      <c r="E190" s="581">
        <f t="shared" si="55"/>
        <v>34</v>
      </c>
      <c r="F190" s="581">
        <f t="shared" si="56"/>
        <v>0</v>
      </c>
      <c r="G190" s="116">
        <f t="shared" si="57"/>
        <v>34.029999999999994</v>
      </c>
      <c r="H190" s="116">
        <f t="shared" si="58"/>
        <v>4.2799999999999976</v>
      </c>
      <c r="I190" s="118">
        <f t="shared" si="69"/>
        <v>1157.02</v>
      </c>
      <c r="J190" s="118">
        <f t="shared" si="59"/>
        <v>1157.02</v>
      </c>
      <c r="K190" s="570">
        <f t="shared" si="70"/>
        <v>0</v>
      </c>
      <c r="L190" s="121">
        <f t="shared" si="60"/>
        <v>0</v>
      </c>
      <c r="M190" s="122">
        <f t="shared" si="61"/>
        <v>0</v>
      </c>
      <c r="N190" s="122">
        <f t="shared" si="62"/>
        <v>0</v>
      </c>
      <c r="O190" s="122">
        <f t="shared" si="63"/>
        <v>0</v>
      </c>
      <c r="P190" s="122">
        <f t="shared" si="64"/>
        <v>0</v>
      </c>
      <c r="Q190" s="123">
        <f t="shared" si="65"/>
        <v>1157.02</v>
      </c>
      <c r="R190" s="123">
        <f t="shared" si="71"/>
        <v>-1157.02</v>
      </c>
      <c r="S190" s="582">
        <v>0</v>
      </c>
      <c r="T190" s="123">
        <f t="shared" si="72"/>
        <v>-1157.02</v>
      </c>
      <c r="U190" s="25">
        <f t="shared" si="66"/>
        <v>145.52000000000001</v>
      </c>
      <c r="V190" s="123">
        <f t="shared" si="67"/>
        <v>-145.52000000000001</v>
      </c>
      <c r="W190" s="334">
        <f t="shared" si="68"/>
        <v>9.86</v>
      </c>
      <c r="Y190" s="109">
        <f>IF(AE190=1,IF(Y189=MiscData!$F$1,EOMONTH(Y189,-11),EOMONTH(Y189,1)),Y189)</f>
        <v>42460</v>
      </c>
      <c r="Z190" s="108" t="str">
        <f t="shared" si="78"/>
        <v>20140101LGUM_425</v>
      </c>
      <c r="AA190" s="126" t="str">
        <f t="shared" si="79"/>
        <v xml:space="preserve">20140101LS </v>
      </c>
      <c r="AB190" s="583" t="str">
        <f t="shared" si="73"/>
        <v>425</v>
      </c>
      <c r="AD190" s="98">
        <f>MiscData!$X$5</f>
        <v>20140101</v>
      </c>
      <c r="AE190" s="98">
        <f>IF(AE189+1&gt;MiscData!$AC$77,1,AE189+1)</f>
        <v>41</v>
      </c>
      <c r="AF190" s="98" t="str">
        <f>VLOOKUP(AE190,MiscData!$AC$5:$AD$77,2,FALSE)</f>
        <v>LGUM_425</v>
      </c>
      <c r="AG190" s="98" t="str">
        <f>VLOOKUP(AF190,MiscData!$AD$5:$AE$77,2,FALSE)</f>
        <v xml:space="preserve">LS </v>
      </c>
      <c r="AP190" s="98" t="s">
        <v>278</v>
      </c>
      <c r="AR190" s="98">
        <v>0</v>
      </c>
    </row>
    <row r="191" spans="1:44">
      <c r="A191" s="108">
        <f t="shared" si="74"/>
        <v>188</v>
      </c>
      <c r="B191" s="109" t="str">
        <f t="shared" si="75"/>
        <v>Mar 2016</v>
      </c>
      <c r="C191" s="110" t="str">
        <f t="shared" si="76"/>
        <v>RLS</v>
      </c>
      <c r="D191" s="110" t="str">
        <f t="shared" si="77"/>
        <v>LGUM_426</v>
      </c>
      <c r="E191" s="581">
        <f t="shared" si="55"/>
        <v>40</v>
      </c>
      <c r="F191" s="581">
        <f t="shared" si="56"/>
        <v>0</v>
      </c>
      <c r="G191" s="116">
        <f t="shared" si="57"/>
        <v>33.22</v>
      </c>
      <c r="H191" s="116">
        <f t="shared" si="58"/>
        <v>0.75</v>
      </c>
      <c r="I191" s="118">
        <f t="shared" si="69"/>
        <v>1328.8</v>
      </c>
      <c r="J191" s="118">
        <f t="shared" si="59"/>
        <v>1328.8</v>
      </c>
      <c r="K191" s="570">
        <f t="shared" si="70"/>
        <v>0</v>
      </c>
      <c r="L191" s="121">
        <f t="shared" si="60"/>
        <v>0</v>
      </c>
      <c r="M191" s="122">
        <f t="shared" si="61"/>
        <v>0</v>
      </c>
      <c r="N191" s="122">
        <f t="shared" si="62"/>
        <v>0</v>
      </c>
      <c r="O191" s="122">
        <f t="shared" si="63"/>
        <v>0</v>
      </c>
      <c r="P191" s="122">
        <f t="shared" si="64"/>
        <v>0</v>
      </c>
      <c r="Q191" s="123">
        <f t="shared" si="65"/>
        <v>1328.8</v>
      </c>
      <c r="R191" s="123">
        <f t="shared" si="71"/>
        <v>-1328.8</v>
      </c>
      <c r="S191" s="582">
        <v>0</v>
      </c>
      <c r="T191" s="123">
        <f t="shared" si="72"/>
        <v>-1328.8</v>
      </c>
      <c r="U191" s="25">
        <f t="shared" si="66"/>
        <v>30</v>
      </c>
      <c r="V191" s="123">
        <f t="shared" si="67"/>
        <v>-30</v>
      </c>
      <c r="W191" s="334">
        <f t="shared" si="68"/>
        <v>10.4</v>
      </c>
      <c r="Y191" s="109">
        <f>IF(AE191=1,IF(Y190=MiscData!$F$1,EOMONTH(Y190,-11),EOMONTH(Y190,1)),Y190)</f>
        <v>42460</v>
      </c>
      <c r="Z191" s="108" t="str">
        <f t="shared" si="78"/>
        <v>20140101LGUM_426</v>
      </c>
      <c r="AA191" s="126" t="str">
        <f t="shared" si="79"/>
        <v>20140101RLS</v>
      </c>
      <c r="AB191" s="583" t="str">
        <f t="shared" si="73"/>
        <v>426</v>
      </c>
      <c r="AD191" s="98">
        <f>MiscData!$X$5</f>
        <v>20140101</v>
      </c>
      <c r="AE191" s="98">
        <f>IF(AE190+1&gt;MiscData!$AC$77,1,AE190+1)</f>
        <v>42</v>
      </c>
      <c r="AF191" s="98" t="str">
        <f>VLOOKUP(AE191,MiscData!$AC$5:$AD$77,2,FALSE)</f>
        <v>LGUM_426</v>
      </c>
      <c r="AG191" s="98" t="str">
        <f>VLOOKUP(AF191,MiscData!$AD$5:$AE$77,2,FALSE)</f>
        <v>RLS</v>
      </c>
      <c r="AP191" s="98" t="s">
        <v>279</v>
      </c>
      <c r="AR191" s="98">
        <v>0</v>
      </c>
    </row>
    <row r="192" spans="1:44">
      <c r="A192" s="108">
        <f t="shared" si="74"/>
        <v>189</v>
      </c>
      <c r="B192" s="109" t="str">
        <f t="shared" si="75"/>
        <v>Mar 2016</v>
      </c>
      <c r="C192" s="110" t="str">
        <f t="shared" si="76"/>
        <v xml:space="preserve">LS </v>
      </c>
      <c r="D192" s="110" t="str">
        <f t="shared" si="77"/>
        <v>LGUM_427</v>
      </c>
      <c r="E192" s="581">
        <f t="shared" si="55"/>
        <v>52</v>
      </c>
      <c r="F192" s="581">
        <f t="shared" si="56"/>
        <v>0</v>
      </c>
      <c r="G192" s="116">
        <f t="shared" si="57"/>
        <v>35.199999999999996</v>
      </c>
      <c r="H192" s="116">
        <f t="shared" si="58"/>
        <v>0.75</v>
      </c>
      <c r="I192" s="118">
        <f t="shared" si="69"/>
        <v>1830.4</v>
      </c>
      <c r="J192" s="118">
        <f t="shared" si="59"/>
        <v>1830.4</v>
      </c>
      <c r="K192" s="570">
        <f t="shared" si="70"/>
        <v>0</v>
      </c>
      <c r="L192" s="121">
        <f t="shared" si="60"/>
        <v>0</v>
      </c>
      <c r="M192" s="122">
        <f t="shared" si="61"/>
        <v>0</v>
      </c>
      <c r="N192" s="122">
        <f t="shared" si="62"/>
        <v>0</v>
      </c>
      <c r="O192" s="122">
        <f t="shared" si="63"/>
        <v>0</v>
      </c>
      <c r="P192" s="122">
        <f t="shared" si="64"/>
        <v>0</v>
      </c>
      <c r="Q192" s="123">
        <f t="shared" si="65"/>
        <v>1830.4</v>
      </c>
      <c r="R192" s="123">
        <f t="shared" si="71"/>
        <v>-1830.4</v>
      </c>
      <c r="S192" s="582">
        <v>0</v>
      </c>
      <c r="T192" s="123">
        <f t="shared" si="72"/>
        <v>-1830.4</v>
      </c>
      <c r="U192" s="25">
        <f t="shared" si="66"/>
        <v>39</v>
      </c>
      <c r="V192" s="123">
        <f t="shared" si="67"/>
        <v>-39</v>
      </c>
      <c r="W192" s="334">
        <f t="shared" si="68"/>
        <v>13.52</v>
      </c>
      <c r="Y192" s="109">
        <f>IF(AE192=1,IF(Y191=MiscData!$F$1,EOMONTH(Y191,-11),EOMONTH(Y191,1)),Y191)</f>
        <v>42460</v>
      </c>
      <c r="Z192" s="108" t="str">
        <f t="shared" si="78"/>
        <v>20140101LGUM_427</v>
      </c>
      <c r="AA192" s="126" t="str">
        <f t="shared" si="79"/>
        <v xml:space="preserve">20140101LS </v>
      </c>
      <c r="AB192" s="583" t="str">
        <f t="shared" si="73"/>
        <v>427</v>
      </c>
      <c r="AD192" s="98">
        <f>MiscData!$X$5</f>
        <v>20140101</v>
      </c>
      <c r="AE192" s="98">
        <f>IF(AE191+1&gt;MiscData!$AC$77,1,AE191+1)</f>
        <v>43</v>
      </c>
      <c r="AF192" s="98" t="str">
        <f>VLOOKUP(AE192,MiscData!$AC$5:$AD$77,2,FALSE)</f>
        <v>LGUM_427</v>
      </c>
      <c r="AG192" s="98" t="str">
        <f>VLOOKUP(AF192,MiscData!$AD$5:$AE$77,2,FALSE)</f>
        <v xml:space="preserve">LS </v>
      </c>
      <c r="AP192" s="98" t="s">
        <v>280</v>
      </c>
      <c r="AR192" s="98">
        <v>0</v>
      </c>
    </row>
    <row r="193" spans="1:44">
      <c r="A193" s="108">
        <f t="shared" si="74"/>
        <v>190</v>
      </c>
      <c r="B193" s="109" t="str">
        <f t="shared" si="75"/>
        <v>Mar 2016</v>
      </c>
      <c r="C193" s="110" t="str">
        <f t="shared" si="76"/>
        <v>RLS</v>
      </c>
      <c r="D193" s="110" t="str">
        <f t="shared" si="77"/>
        <v>LGUM_428</v>
      </c>
      <c r="E193" s="581">
        <f t="shared" si="55"/>
        <v>204</v>
      </c>
      <c r="F193" s="581">
        <f t="shared" si="56"/>
        <v>0</v>
      </c>
      <c r="G193" s="116">
        <f t="shared" si="57"/>
        <v>34.090000000000003</v>
      </c>
      <c r="H193" s="116">
        <f t="shared" si="58"/>
        <v>1.0600000000000023</v>
      </c>
      <c r="I193" s="118">
        <f t="shared" si="69"/>
        <v>6954.36</v>
      </c>
      <c r="J193" s="118">
        <f t="shared" si="59"/>
        <v>6954.36</v>
      </c>
      <c r="K193" s="570">
        <f t="shared" si="70"/>
        <v>0</v>
      </c>
      <c r="L193" s="121">
        <f t="shared" si="60"/>
        <v>0</v>
      </c>
      <c r="M193" s="122">
        <f t="shared" si="61"/>
        <v>0</v>
      </c>
      <c r="N193" s="122">
        <f t="shared" si="62"/>
        <v>0</v>
      </c>
      <c r="O193" s="122">
        <f t="shared" si="63"/>
        <v>0</v>
      </c>
      <c r="P193" s="122">
        <f t="shared" si="64"/>
        <v>0</v>
      </c>
      <c r="Q193" s="123">
        <f t="shared" si="65"/>
        <v>6954.36</v>
      </c>
      <c r="R193" s="123">
        <f t="shared" si="71"/>
        <v>-6954.36</v>
      </c>
      <c r="S193" s="582">
        <v>0</v>
      </c>
      <c r="T193" s="123">
        <f t="shared" si="72"/>
        <v>-6954.36</v>
      </c>
      <c r="U193" s="25">
        <f t="shared" si="66"/>
        <v>216.24</v>
      </c>
      <c r="V193" s="123">
        <f t="shared" si="67"/>
        <v>-216.24</v>
      </c>
      <c r="W193" s="334">
        <f t="shared" si="68"/>
        <v>55.080000000000005</v>
      </c>
      <c r="Y193" s="109">
        <f>IF(AE193=1,IF(Y192=MiscData!$F$1,EOMONTH(Y192,-11),EOMONTH(Y192,1)),Y192)</f>
        <v>42460</v>
      </c>
      <c r="Z193" s="108" t="str">
        <f t="shared" si="78"/>
        <v>20140101LGUM_428</v>
      </c>
      <c r="AA193" s="126" t="str">
        <f t="shared" si="79"/>
        <v>20140101RLS</v>
      </c>
      <c r="AB193" s="583" t="str">
        <f t="shared" si="73"/>
        <v>428</v>
      </c>
      <c r="AD193" s="98">
        <f>MiscData!$X$5</f>
        <v>20140101</v>
      </c>
      <c r="AE193" s="98">
        <f>IF(AE192+1&gt;MiscData!$AC$77,1,AE192+1)</f>
        <v>44</v>
      </c>
      <c r="AF193" s="98" t="str">
        <f>VLOOKUP(AE193,MiscData!$AC$5:$AD$77,2,FALSE)</f>
        <v>LGUM_428</v>
      </c>
      <c r="AG193" s="98" t="str">
        <f>VLOOKUP(AF193,MiscData!$AD$5:$AE$77,2,FALSE)</f>
        <v>RLS</v>
      </c>
      <c r="AP193" s="98" t="s">
        <v>281</v>
      </c>
      <c r="AR193" s="98">
        <v>0</v>
      </c>
    </row>
    <row r="194" spans="1:44">
      <c r="A194" s="108">
        <f t="shared" si="74"/>
        <v>191</v>
      </c>
      <c r="B194" s="109" t="str">
        <f t="shared" si="75"/>
        <v>Mar 2016</v>
      </c>
      <c r="C194" s="110" t="str">
        <f t="shared" si="76"/>
        <v xml:space="preserve">LS </v>
      </c>
      <c r="D194" s="110" t="str">
        <f t="shared" si="77"/>
        <v>LGUM_429</v>
      </c>
      <c r="E194" s="581">
        <f t="shared" si="55"/>
        <v>189</v>
      </c>
      <c r="F194" s="581">
        <f t="shared" si="56"/>
        <v>0</v>
      </c>
      <c r="G194" s="116">
        <f t="shared" si="57"/>
        <v>36.07</v>
      </c>
      <c r="H194" s="116">
        <f t="shared" si="58"/>
        <v>1.0599999999999952</v>
      </c>
      <c r="I194" s="118">
        <f t="shared" si="69"/>
        <v>6817.23</v>
      </c>
      <c r="J194" s="118">
        <f t="shared" si="59"/>
        <v>6817.23</v>
      </c>
      <c r="K194" s="570">
        <f t="shared" si="70"/>
        <v>0</v>
      </c>
      <c r="L194" s="121">
        <f t="shared" si="60"/>
        <v>0</v>
      </c>
      <c r="M194" s="122">
        <f t="shared" si="61"/>
        <v>0</v>
      </c>
      <c r="N194" s="122">
        <f t="shared" si="62"/>
        <v>0</v>
      </c>
      <c r="O194" s="122">
        <f t="shared" si="63"/>
        <v>0</v>
      </c>
      <c r="P194" s="122">
        <f t="shared" si="64"/>
        <v>0</v>
      </c>
      <c r="Q194" s="123">
        <f t="shared" si="65"/>
        <v>6817.23</v>
      </c>
      <c r="R194" s="123">
        <f t="shared" si="71"/>
        <v>-6817.23</v>
      </c>
      <c r="S194" s="582">
        <v>0</v>
      </c>
      <c r="T194" s="123">
        <f t="shared" si="72"/>
        <v>-6817.23</v>
      </c>
      <c r="U194" s="25">
        <f t="shared" si="66"/>
        <v>200.34</v>
      </c>
      <c r="V194" s="123">
        <f t="shared" si="67"/>
        <v>-200.34</v>
      </c>
      <c r="W194" s="334">
        <f t="shared" si="68"/>
        <v>51.03</v>
      </c>
      <c r="Y194" s="109">
        <f>IF(AE194=1,IF(Y193=MiscData!$F$1,EOMONTH(Y193,-11),EOMONTH(Y193,1)),Y193)</f>
        <v>42460</v>
      </c>
      <c r="Z194" s="108" t="str">
        <f t="shared" si="78"/>
        <v>20140101LGUM_429</v>
      </c>
      <c r="AA194" s="126" t="str">
        <f t="shared" si="79"/>
        <v xml:space="preserve">20140101LS </v>
      </c>
      <c r="AB194" s="583" t="str">
        <f t="shared" si="73"/>
        <v>429</v>
      </c>
      <c r="AD194" s="98">
        <f>MiscData!$X$5</f>
        <v>20140101</v>
      </c>
      <c r="AE194" s="98">
        <f>IF(AE193+1&gt;MiscData!$AC$77,1,AE193+1)</f>
        <v>45</v>
      </c>
      <c r="AF194" s="98" t="str">
        <f>VLOOKUP(AE194,MiscData!$AC$5:$AD$77,2,FALSE)</f>
        <v>LGUM_429</v>
      </c>
      <c r="AG194" s="98" t="str">
        <f>VLOOKUP(AF194,MiscData!$AD$5:$AE$77,2,FALSE)</f>
        <v xml:space="preserve">LS </v>
      </c>
      <c r="AP194" s="98" t="s">
        <v>282</v>
      </c>
      <c r="AR194" s="98">
        <v>0</v>
      </c>
    </row>
    <row r="195" spans="1:44">
      <c r="A195" s="108">
        <f t="shared" si="74"/>
        <v>192</v>
      </c>
      <c r="B195" s="109" t="str">
        <f t="shared" si="75"/>
        <v>Mar 2016</v>
      </c>
      <c r="C195" s="110" t="str">
        <f t="shared" si="76"/>
        <v>RLS</v>
      </c>
      <c r="D195" s="110" t="str">
        <f t="shared" si="77"/>
        <v>LGUM_430</v>
      </c>
      <c r="E195" s="581">
        <f t="shared" si="55"/>
        <v>13</v>
      </c>
      <c r="F195" s="581">
        <f t="shared" si="56"/>
        <v>0</v>
      </c>
      <c r="G195" s="116">
        <f t="shared" si="57"/>
        <v>32.26</v>
      </c>
      <c r="H195" s="116">
        <f t="shared" si="58"/>
        <v>0.75</v>
      </c>
      <c r="I195" s="118">
        <f t="shared" si="69"/>
        <v>419.38</v>
      </c>
      <c r="J195" s="118">
        <f t="shared" si="59"/>
        <v>419.38</v>
      </c>
      <c r="K195" s="570">
        <f t="shared" si="70"/>
        <v>0</v>
      </c>
      <c r="L195" s="121">
        <f t="shared" si="60"/>
        <v>0</v>
      </c>
      <c r="M195" s="122">
        <f t="shared" si="61"/>
        <v>0</v>
      </c>
      <c r="N195" s="122">
        <f t="shared" si="62"/>
        <v>0</v>
      </c>
      <c r="O195" s="122">
        <f t="shared" si="63"/>
        <v>0</v>
      </c>
      <c r="P195" s="122">
        <f t="shared" si="64"/>
        <v>0</v>
      </c>
      <c r="Q195" s="123">
        <f t="shared" si="65"/>
        <v>419.38</v>
      </c>
      <c r="R195" s="123">
        <f t="shared" si="71"/>
        <v>-419.38</v>
      </c>
      <c r="S195" s="582">
        <v>0</v>
      </c>
      <c r="T195" s="123">
        <f t="shared" si="72"/>
        <v>-419.38</v>
      </c>
      <c r="U195" s="25">
        <f t="shared" si="66"/>
        <v>9.75</v>
      </c>
      <c r="V195" s="123">
        <f t="shared" si="67"/>
        <v>-9.75</v>
      </c>
      <c r="W195" s="334">
        <f t="shared" si="68"/>
        <v>3.38</v>
      </c>
      <c r="Y195" s="109">
        <f>IF(AE195=1,IF(Y194=MiscData!$F$1,EOMONTH(Y194,-11),EOMONTH(Y194,1)),Y194)</f>
        <v>42460</v>
      </c>
      <c r="Z195" s="108" t="str">
        <f t="shared" si="78"/>
        <v>20140101LGUM_430</v>
      </c>
      <c r="AA195" s="126" t="str">
        <f t="shared" si="79"/>
        <v>20140101RLS</v>
      </c>
      <c r="AB195" s="583" t="str">
        <f t="shared" si="73"/>
        <v>430</v>
      </c>
      <c r="AD195" s="98">
        <f>MiscData!$X$5</f>
        <v>20140101</v>
      </c>
      <c r="AE195" s="98">
        <f>IF(AE194+1&gt;MiscData!$AC$77,1,AE194+1)</f>
        <v>46</v>
      </c>
      <c r="AF195" s="98" t="str">
        <f>VLOOKUP(AE195,MiscData!$AC$5:$AD$77,2,FALSE)</f>
        <v>LGUM_430</v>
      </c>
      <c r="AG195" s="98" t="str">
        <f>VLOOKUP(AF195,MiscData!$AD$5:$AE$77,2,FALSE)</f>
        <v>RLS</v>
      </c>
      <c r="AP195" s="98" t="s">
        <v>283</v>
      </c>
      <c r="AR195" s="98">
        <v>0</v>
      </c>
    </row>
    <row r="196" spans="1:44">
      <c r="A196" s="108">
        <f t="shared" si="74"/>
        <v>193</v>
      </c>
      <c r="B196" s="109" t="str">
        <f t="shared" si="75"/>
        <v>Mar 2016</v>
      </c>
      <c r="C196" s="110" t="str">
        <f t="shared" si="76"/>
        <v xml:space="preserve">LS </v>
      </c>
      <c r="D196" s="110" t="str">
        <f t="shared" si="77"/>
        <v>LGUM_431</v>
      </c>
      <c r="E196" s="581">
        <f t="shared" ref="E196:E259" si="80">SUMIFS(L_1055_Count_Total,L_1055_Revenue_Month,$B196,L_1055_RateCategory,$D196)</f>
        <v>44</v>
      </c>
      <c r="F196" s="581">
        <f t="shared" ref="F196:F259" si="81">SUMIFS(L_SBR_KWH,L_SBR_Rate_Category,$D196,L_SBR_Revenue_Month,$B196)</f>
        <v>0</v>
      </c>
      <c r="G196" s="116">
        <f t="shared" ref="G196:G259" si="82">SUMIF(L_LightingRates_Tariff_Rate_Category,$Z196,L_LightingRates_UnitCharge)</f>
        <v>32.93</v>
      </c>
      <c r="H196" s="116">
        <f t="shared" ref="H196:H259" si="83">SUMIF(L_LightingRates_Tariff_Rate_Category,$Z196,L_LightingRates_FAC_Rate)</f>
        <v>0.75</v>
      </c>
      <c r="I196" s="118">
        <f t="shared" si="69"/>
        <v>1448.92</v>
      </c>
      <c r="J196" s="118">
        <f t="shared" ref="J196:J259" si="84">SUM(I196:I196)</f>
        <v>1448.92</v>
      </c>
      <c r="K196" s="570">
        <f t="shared" si="70"/>
        <v>0</v>
      </c>
      <c r="L196" s="121">
        <f t="shared" ref="L196:L259" si="85">IF(AND(J196=0,K196=0),1,IF(J196=0,0,K196/J196))</f>
        <v>0</v>
      </c>
      <c r="M196" s="122">
        <f t="shared" ref="M196:M259" si="86">SUMIFS(L_SBR_FAC,L_SBR_Revenue_Month,$B196,L_SBR_Rate_Category,$D196)</f>
        <v>0</v>
      </c>
      <c r="N196" s="122">
        <f t="shared" ref="N196:N259" si="87">SUMIFS(L_SBR_ECR,L_SBR_Revenue_Month,$B196,L_SBR_Rate_Category,$D196)</f>
        <v>0</v>
      </c>
      <c r="O196" s="122">
        <f t="shared" ref="O196:O259" si="88">SUMIFS(L_SBR_MSR,L_SBR_Revenue_Month,$B196,L_SBR_Rate_Category,$D196)</f>
        <v>0</v>
      </c>
      <c r="P196" s="122">
        <f t="shared" ref="P196:P259" si="89">SUMIFS(L_SBR_Revenue_Total,L_SBR_Revenue_Month,$B196,L_SBR_Rate_Category,$D196)</f>
        <v>0</v>
      </c>
      <c r="Q196" s="123">
        <f t="shared" ref="Q196:Q259" si="90">SUM(J196,M196:O196)</f>
        <v>1448.92</v>
      </c>
      <c r="R196" s="123">
        <f t="shared" si="71"/>
        <v>-1448.92</v>
      </c>
      <c r="S196" s="582">
        <v>0</v>
      </c>
      <c r="T196" s="123">
        <f t="shared" si="72"/>
        <v>-1448.92</v>
      </c>
      <c r="U196" s="25">
        <f t="shared" ref="U196:U259" si="91">ROUND(E196*H196,2)</f>
        <v>33</v>
      </c>
      <c r="V196" s="123">
        <f t="shared" ref="V196:V259" si="92">K196-U196</f>
        <v>-33</v>
      </c>
      <c r="W196" s="334">
        <f t="shared" ref="W196:W259" si="93">SUMIF(L_LightingRates_Tariff_Rate_Category,$Z196,L_LightingRates_ECR_Rate)*E196</f>
        <v>11.440000000000001</v>
      </c>
      <c r="Y196" s="109">
        <f>IF(AE196=1,IF(Y195=MiscData!$F$1,EOMONTH(Y195,-11),EOMONTH(Y195,1)),Y195)</f>
        <v>42460</v>
      </c>
      <c r="Z196" s="108" t="str">
        <f t="shared" si="78"/>
        <v>20140101LGUM_431</v>
      </c>
      <c r="AA196" s="126" t="str">
        <f t="shared" si="79"/>
        <v xml:space="preserve">20140101LS </v>
      </c>
      <c r="AB196" s="583" t="str">
        <f t="shared" si="73"/>
        <v>431</v>
      </c>
      <c r="AD196" s="98">
        <f>MiscData!$X$5</f>
        <v>20140101</v>
      </c>
      <c r="AE196" s="98">
        <f>IF(AE195+1&gt;MiscData!$AC$77,1,AE195+1)</f>
        <v>47</v>
      </c>
      <c r="AF196" s="98" t="str">
        <f>VLOOKUP(AE196,MiscData!$AC$5:$AD$77,2,FALSE)</f>
        <v>LGUM_431</v>
      </c>
      <c r="AG196" s="98" t="str">
        <f>VLOOKUP(AF196,MiscData!$AD$5:$AE$77,2,FALSE)</f>
        <v xml:space="preserve">LS </v>
      </c>
      <c r="AP196" s="98" t="s">
        <v>284</v>
      </c>
      <c r="AR196" s="98">
        <v>0</v>
      </c>
    </row>
    <row r="197" spans="1:44">
      <c r="A197" s="108">
        <f t="shared" si="74"/>
        <v>194</v>
      </c>
      <c r="B197" s="109" t="str">
        <f t="shared" si="75"/>
        <v>Mar 2016</v>
      </c>
      <c r="C197" s="110" t="str">
        <f t="shared" si="76"/>
        <v>RLS</v>
      </c>
      <c r="D197" s="110" t="str">
        <f t="shared" si="77"/>
        <v>LGUM_432</v>
      </c>
      <c r="E197" s="581">
        <f t="shared" si="80"/>
        <v>10</v>
      </c>
      <c r="F197" s="581">
        <f t="shared" si="81"/>
        <v>0</v>
      </c>
      <c r="G197" s="116">
        <f t="shared" si="82"/>
        <v>34.330000000000005</v>
      </c>
      <c r="H197" s="116">
        <f t="shared" si="83"/>
        <v>1.0600000000000023</v>
      </c>
      <c r="I197" s="118">
        <f t="shared" ref="I197:I260" si="94">ROUND($E197*$G197,2)</f>
        <v>343.3</v>
      </c>
      <c r="J197" s="118">
        <f t="shared" si="84"/>
        <v>343.3</v>
      </c>
      <c r="K197" s="570">
        <f t="shared" ref="K197:K260" si="95">P197-SUM(M197:O197)</f>
        <v>0</v>
      </c>
      <c r="L197" s="121">
        <f t="shared" si="85"/>
        <v>0</v>
      </c>
      <c r="M197" s="122">
        <f t="shared" si="86"/>
        <v>0</v>
      </c>
      <c r="N197" s="122">
        <f t="shared" si="87"/>
        <v>0</v>
      </c>
      <c r="O197" s="122">
        <f t="shared" si="88"/>
        <v>0</v>
      </c>
      <c r="P197" s="122">
        <f t="shared" si="89"/>
        <v>0</v>
      </c>
      <c r="Q197" s="123">
        <f t="shared" si="90"/>
        <v>343.3</v>
      </c>
      <c r="R197" s="123">
        <f t="shared" ref="R197:R260" si="96">ROUND(P197-Q197,2)</f>
        <v>-343.3</v>
      </c>
      <c r="S197" s="582">
        <v>0</v>
      </c>
      <c r="T197" s="123">
        <f t="shared" ref="T197:T260" si="97">R197-S197</f>
        <v>-343.3</v>
      </c>
      <c r="U197" s="25">
        <f t="shared" si="91"/>
        <v>10.6</v>
      </c>
      <c r="V197" s="123">
        <f t="shared" si="92"/>
        <v>-10.6</v>
      </c>
      <c r="W197" s="334">
        <f t="shared" si="93"/>
        <v>2.7</v>
      </c>
      <c r="Y197" s="109">
        <f>IF(AE197=1,IF(Y196=MiscData!$F$1,EOMONTH(Y196,-11),EOMONTH(Y196,1)),Y196)</f>
        <v>42460</v>
      </c>
      <c r="Z197" s="108" t="str">
        <f t="shared" si="78"/>
        <v>20140101LGUM_432</v>
      </c>
      <c r="AA197" s="126" t="str">
        <f t="shared" si="79"/>
        <v>20140101RLS</v>
      </c>
      <c r="AB197" s="583" t="str">
        <f t="shared" ref="AB197:AB260" si="98">RIGHT(AF197,3)</f>
        <v>432</v>
      </c>
      <c r="AD197" s="98">
        <f>MiscData!$X$5</f>
        <v>20140101</v>
      </c>
      <c r="AE197" s="98">
        <f>IF(AE196+1&gt;MiscData!$AC$77,1,AE196+1)</f>
        <v>48</v>
      </c>
      <c r="AF197" s="98" t="str">
        <f>VLOOKUP(AE197,MiscData!$AC$5:$AD$77,2,FALSE)</f>
        <v>LGUM_432</v>
      </c>
      <c r="AG197" s="98" t="str">
        <f>VLOOKUP(AF197,MiscData!$AD$5:$AE$77,2,FALSE)</f>
        <v>RLS</v>
      </c>
      <c r="AP197" s="98" t="s">
        <v>285</v>
      </c>
      <c r="AR197" s="98">
        <v>0</v>
      </c>
    </row>
    <row r="198" spans="1:44">
      <c r="A198" s="108">
        <f t="shared" ref="A198:A262" si="99">A197+1</f>
        <v>195</v>
      </c>
      <c r="B198" s="109" t="str">
        <f t="shared" si="75"/>
        <v>Mar 2016</v>
      </c>
      <c r="C198" s="110" t="str">
        <f t="shared" si="76"/>
        <v xml:space="preserve">LS </v>
      </c>
      <c r="D198" s="110" t="str">
        <f t="shared" si="77"/>
        <v>LGUM_433</v>
      </c>
      <c r="E198" s="581">
        <f t="shared" si="80"/>
        <v>191</v>
      </c>
      <c r="F198" s="581">
        <f t="shared" si="81"/>
        <v>0</v>
      </c>
      <c r="G198" s="116">
        <f t="shared" si="82"/>
        <v>34.99</v>
      </c>
      <c r="H198" s="116">
        <f t="shared" si="83"/>
        <v>1.0600000000000023</v>
      </c>
      <c r="I198" s="118">
        <f t="shared" si="94"/>
        <v>6683.09</v>
      </c>
      <c r="J198" s="118">
        <f t="shared" si="84"/>
        <v>6683.09</v>
      </c>
      <c r="K198" s="570">
        <f t="shared" si="95"/>
        <v>0</v>
      </c>
      <c r="L198" s="121">
        <f t="shared" si="85"/>
        <v>0</v>
      </c>
      <c r="M198" s="122">
        <f t="shared" si="86"/>
        <v>0</v>
      </c>
      <c r="N198" s="122">
        <f t="shared" si="87"/>
        <v>0</v>
      </c>
      <c r="O198" s="122">
        <f t="shared" si="88"/>
        <v>0</v>
      </c>
      <c r="P198" s="122">
        <f t="shared" si="89"/>
        <v>0</v>
      </c>
      <c r="Q198" s="123">
        <f t="shared" si="90"/>
        <v>6683.09</v>
      </c>
      <c r="R198" s="123">
        <f t="shared" si="96"/>
        <v>-6683.09</v>
      </c>
      <c r="S198" s="582">
        <v>0</v>
      </c>
      <c r="T198" s="123">
        <f t="shared" si="97"/>
        <v>-6683.09</v>
      </c>
      <c r="U198" s="25">
        <f t="shared" si="91"/>
        <v>202.46</v>
      </c>
      <c r="V198" s="123">
        <f t="shared" si="92"/>
        <v>-202.46</v>
      </c>
      <c r="W198" s="334">
        <f t="shared" si="93"/>
        <v>51.57</v>
      </c>
      <c r="Y198" s="109">
        <f>IF(AE198=1,IF(Y197=MiscData!$F$1,EOMONTH(Y197,-11),EOMONTH(Y197,1)),Y197)</f>
        <v>42460</v>
      </c>
      <c r="Z198" s="108" t="str">
        <f t="shared" si="78"/>
        <v>20140101LGUM_433</v>
      </c>
      <c r="AA198" s="126" t="str">
        <f t="shared" si="79"/>
        <v xml:space="preserve">20140101LS </v>
      </c>
      <c r="AB198" s="583" t="str">
        <f t="shared" si="98"/>
        <v>433</v>
      </c>
      <c r="AD198" s="98">
        <f>MiscData!$X$5</f>
        <v>20140101</v>
      </c>
      <c r="AE198" s="98">
        <f>IF(AE197+1&gt;MiscData!$AC$77,1,AE197+1)</f>
        <v>49</v>
      </c>
      <c r="AF198" s="98" t="str">
        <f>VLOOKUP(AE198,MiscData!$AC$5:$AD$77,2,FALSE)</f>
        <v>LGUM_433</v>
      </c>
      <c r="AG198" s="98" t="str">
        <f>VLOOKUP(AF198,MiscData!$AD$5:$AE$77,2,FALSE)</f>
        <v xml:space="preserve">LS </v>
      </c>
      <c r="AP198" s="98" t="s">
        <v>286</v>
      </c>
      <c r="AR198" s="98">
        <v>0</v>
      </c>
    </row>
    <row r="199" spans="1:44">
      <c r="A199" s="108">
        <f t="shared" si="99"/>
        <v>196</v>
      </c>
      <c r="B199" s="109" t="str">
        <f t="shared" si="75"/>
        <v>Mar 2016</v>
      </c>
      <c r="C199" s="110" t="str">
        <f t="shared" si="76"/>
        <v xml:space="preserve">LS </v>
      </c>
      <c r="D199" s="110" t="str">
        <f t="shared" si="77"/>
        <v>LGUM_439</v>
      </c>
      <c r="E199" s="581">
        <f t="shared" si="80"/>
        <v>0</v>
      </c>
      <c r="F199" s="581">
        <f t="shared" si="81"/>
        <v>0</v>
      </c>
      <c r="G199" s="116">
        <f t="shared" si="82"/>
        <v>16.459999999999997</v>
      </c>
      <c r="H199" s="116">
        <f t="shared" si="83"/>
        <v>1.6499999999999986</v>
      </c>
      <c r="I199" s="118">
        <f t="shared" si="94"/>
        <v>0</v>
      </c>
      <c r="J199" s="118">
        <f t="shared" si="84"/>
        <v>0</v>
      </c>
      <c r="K199" s="570">
        <f t="shared" si="95"/>
        <v>0</v>
      </c>
      <c r="L199" s="121">
        <f t="shared" si="85"/>
        <v>1</v>
      </c>
      <c r="M199" s="122">
        <f t="shared" si="86"/>
        <v>0</v>
      </c>
      <c r="N199" s="122">
        <f t="shared" si="87"/>
        <v>0</v>
      </c>
      <c r="O199" s="122">
        <f t="shared" si="88"/>
        <v>0</v>
      </c>
      <c r="P199" s="122">
        <f t="shared" si="89"/>
        <v>0</v>
      </c>
      <c r="Q199" s="123">
        <f t="shared" si="90"/>
        <v>0</v>
      </c>
      <c r="R199" s="123">
        <f t="shared" si="96"/>
        <v>0</v>
      </c>
      <c r="S199" s="582">
        <v>0</v>
      </c>
      <c r="T199" s="123">
        <f t="shared" si="97"/>
        <v>0</v>
      </c>
      <c r="U199" s="25">
        <f t="shared" si="91"/>
        <v>0</v>
      </c>
      <c r="V199" s="123">
        <f t="shared" si="92"/>
        <v>0</v>
      </c>
      <c r="W199" s="334">
        <f t="shared" si="93"/>
        <v>0</v>
      </c>
      <c r="Y199" s="109">
        <f>IF(AE199=1,IF(Y198=MiscData!$F$1,EOMONTH(Y198,-11),EOMONTH(Y198,1)),Y198)</f>
        <v>42460</v>
      </c>
      <c r="Z199" s="108" t="str">
        <f t="shared" si="78"/>
        <v>20140101LGUM_439</v>
      </c>
      <c r="AA199" s="126" t="str">
        <f t="shared" si="79"/>
        <v xml:space="preserve">20140101LS </v>
      </c>
      <c r="AB199" s="583" t="str">
        <f t="shared" si="98"/>
        <v>439</v>
      </c>
      <c r="AD199" s="98">
        <f>MiscData!$X$5</f>
        <v>20140101</v>
      </c>
      <c r="AE199" s="98">
        <f>IF(AE198+1&gt;MiscData!$AC$77,1,AE198+1)</f>
        <v>50</v>
      </c>
      <c r="AF199" s="98" t="str">
        <f>VLOOKUP(AE199,MiscData!$AC$5:$AD$77,2,FALSE)</f>
        <v>LGUM_439</v>
      </c>
      <c r="AG199" s="98" t="str">
        <f>VLOOKUP(AF199,MiscData!$AD$5:$AE$77,2,FALSE)</f>
        <v xml:space="preserve">LS </v>
      </c>
      <c r="AP199" s="98" t="s">
        <v>287</v>
      </c>
      <c r="AR199" s="98">
        <v>0</v>
      </c>
    </row>
    <row r="200" spans="1:44">
      <c r="A200" s="108">
        <f t="shared" si="99"/>
        <v>197</v>
      </c>
      <c r="B200" s="109" t="str">
        <f t="shared" si="75"/>
        <v>Mar 2016</v>
      </c>
      <c r="C200" s="110" t="str">
        <f t="shared" si="76"/>
        <v xml:space="preserve">LS </v>
      </c>
      <c r="D200" s="110" t="str">
        <f t="shared" si="77"/>
        <v>LGUM_440</v>
      </c>
      <c r="E200" s="581">
        <f t="shared" si="80"/>
        <v>2</v>
      </c>
      <c r="F200" s="581">
        <f t="shared" si="81"/>
        <v>0</v>
      </c>
      <c r="G200" s="116">
        <f t="shared" si="82"/>
        <v>18.279999999999998</v>
      </c>
      <c r="H200" s="116">
        <f t="shared" si="83"/>
        <v>2.67</v>
      </c>
      <c r="I200" s="118">
        <f t="shared" si="94"/>
        <v>36.56</v>
      </c>
      <c r="J200" s="118">
        <f t="shared" si="84"/>
        <v>36.56</v>
      </c>
      <c r="K200" s="570">
        <f t="shared" si="95"/>
        <v>0</v>
      </c>
      <c r="L200" s="121">
        <f t="shared" si="85"/>
        <v>0</v>
      </c>
      <c r="M200" s="122">
        <f t="shared" si="86"/>
        <v>0</v>
      </c>
      <c r="N200" s="122">
        <f t="shared" si="87"/>
        <v>0</v>
      </c>
      <c r="O200" s="122">
        <f t="shared" si="88"/>
        <v>0</v>
      </c>
      <c r="P200" s="122">
        <f t="shared" si="89"/>
        <v>0</v>
      </c>
      <c r="Q200" s="123">
        <f t="shared" si="90"/>
        <v>36.56</v>
      </c>
      <c r="R200" s="123">
        <f t="shared" si="96"/>
        <v>-36.56</v>
      </c>
      <c r="S200" s="582">
        <v>0</v>
      </c>
      <c r="T200" s="123">
        <f t="shared" si="97"/>
        <v>-36.56</v>
      </c>
      <c r="U200" s="25">
        <f t="shared" si="91"/>
        <v>5.34</v>
      </c>
      <c r="V200" s="123">
        <f t="shared" si="92"/>
        <v>-5.34</v>
      </c>
      <c r="W200" s="334">
        <f t="shared" si="93"/>
        <v>0.54</v>
      </c>
      <c r="Y200" s="109">
        <f>IF(AE200=1,IF(Y199=MiscData!$F$1,EOMONTH(Y199,-11),EOMONTH(Y199,1)),Y199)</f>
        <v>42460</v>
      </c>
      <c r="Z200" s="108" t="str">
        <f t="shared" si="78"/>
        <v>20140101LGUM_440</v>
      </c>
      <c r="AA200" s="126" t="str">
        <f t="shared" si="79"/>
        <v xml:space="preserve">20140101LS </v>
      </c>
      <c r="AB200" s="583" t="str">
        <f t="shared" si="98"/>
        <v>440</v>
      </c>
      <c r="AD200" s="98">
        <f>MiscData!$X$5</f>
        <v>20140101</v>
      </c>
      <c r="AE200" s="98">
        <f>IF(AE199+1&gt;MiscData!$AC$77,1,AE199+1)</f>
        <v>51</v>
      </c>
      <c r="AF200" s="98" t="str">
        <f>VLOOKUP(AE200,MiscData!$AC$5:$AD$77,2,FALSE)</f>
        <v>LGUM_440</v>
      </c>
      <c r="AG200" s="98" t="str">
        <f>VLOOKUP(AF200,MiscData!$AD$5:$AE$77,2,FALSE)</f>
        <v xml:space="preserve">LS </v>
      </c>
      <c r="AP200" s="98" t="s">
        <v>288</v>
      </c>
      <c r="AR200" s="98">
        <v>0</v>
      </c>
    </row>
    <row r="201" spans="1:44">
      <c r="A201" s="108">
        <f t="shared" si="99"/>
        <v>198</v>
      </c>
      <c r="B201" s="109" t="str">
        <f t="shared" si="75"/>
        <v>Mar 2016</v>
      </c>
      <c r="C201" s="110" t="str">
        <f t="shared" si="76"/>
        <v xml:space="preserve">LS </v>
      </c>
      <c r="D201" s="110" t="str">
        <f t="shared" si="77"/>
        <v>LGUM_441</v>
      </c>
      <c r="E201" s="581">
        <f t="shared" si="80"/>
        <v>14</v>
      </c>
      <c r="F201" s="581">
        <f t="shared" si="81"/>
        <v>0</v>
      </c>
      <c r="G201" s="116">
        <f t="shared" si="82"/>
        <v>22.32</v>
      </c>
      <c r="H201" s="116">
        <f t="shared" si="83"/>
        <v>4.2800000000000011</v>
      </c>
      <c r="I201" s="118">
        <f t="shared" si="94"/>
        <v>312.48</v>
      </c>
      <c r="J201" s="118">
        <f t="shared" si="84"/>
        <v>312.48</v>
      </c>
      <c r="K201" s="570">
        <f t="shared" si="95"/>
        <v>0</v>
      </c>
      <c r="L201" s="121">
        <f t="shared" si="85"/>
        <v>0</v>
      </c>
      <c r="M201" s="122">
        <f t="shared" si="86"/>
        <v>0</v>
      </c>
      <c r="N201" s="122">
        <f t="shared" si="87"/>
        <v>0</v>
      </c>
      <c r="O201" s="122">
        <f t="shared" si="88"/>
        <v>0</v>
      </c>
      <c r="P201" s="122">
        <f t="shared" si="89"/>
        <v>0</v>
      </c>
      <c r="Q201" s="123">
        <f t="shared" si="90"/>
        <v>312.48</v>
      </c>
      <c r="R201" s="123">
        <f t="shared" si="96"/>
        <v>-312.48</v>
      </c>
      <c r="S201" s="582">
        <v>0</v>
      </c>
      <c r="T201" s="123">
        <f t="shared" si="97"/>
        <v>-312.48</v>
      </c>
      <c r="U201" s="25">
        <f t="shared" si="91"/>
        <v>59.92</v>
      </c>
      <c r="V201" s="123">
        <f t="shared" si="92"/>
        <v>-59.92</v>
      </c>
      <c r="W201" s="334">
        <f t="shared" si="93"/>
        <v>4.0599999999999996</v>
      </c>
      <c r="Y201" s="109">
        <f>IF(AE201=1,IF(Y200=MiscData!$F$1,EOMONTH(Y200,-11),EOMONTH(Y200,1)),Y200)</f>
        <v>42460</v>
      </c>
      <c r="Z201" s="108" t="str">
        <f t="shared" si="78"/>
        <v>20140101LGUM_441</v>
      </c>
      <c r="AA201" s="126" t="str">
        <f t="shared" si="79"/>
        <v xml:space="preserve">20140101LS </v>
      </c>
      <c r="AB201" s="583" t="str">
        <f t="shared" si="98"/>
        <v>441</v>
      </c>
      <c r="AD201" s="98">
        <f>MiscData!$X$5</f>
        <v>20140101</v>
      </c>
      <c r="AE201" s="98">
        <f>IF(AE200+1&gt;MiscData!$AC$77,1,AE200+1)</f>
        <v>52</v>
      </c>
      <c r="AF201" s="98" t="str">
        <f>VLOOKUP(AE201,MiscData!$AC$5:$AD$77,2,FALSE)</f>
        <v>LGUM_441</v>
      </c>
      <c r="AG201" s="98" t="str">
        <f>VLOOKUP(AF201,MiscData!$AD$5:$AE$77,2,FALSE)</f>
        <v xml:space="preserve">LS </v>
      </c>
      <c r="AP201" s="98" t="s">
        <v>289</v>
      </c>
      <c r="AR201" s="98">
        <v>0</v>
      </c>
    </row>
    <row r="202" spans="1:44">
      <c r="A202" s="108">
        <f t="shared" si="99"/>
        <v>199</v>
      </c>
      <c r="B202" s="109" t="str">
        <f t="shared" si="75"/>
        <v>Mar 2016</v>
      </c>
      <c r="C202" s="110" t="str">
        <f t="shared" si="76"/>
        <v xml:space="preserve">LS </v>
      </c>
      <c r="D202" s="110" t="str">
        <f t="shared" si="77"/>
        <v>LGUM_452</v>
      </c>
      <c r="E202" s="581">
        <f t="shared" si="80"/>
        <v>6174</v>
      </c>
      <c r="F202" s="581">
        <f t="shared" si="81"/>
        <v>0</v>
      </c>
      <c r="G202" s="116">
        <f t="shared" si="82"/>
        <v>12.82</v>
      </c>
      <c r="H202" s="116">
        <f t="shared" si="83"/>
        <v>1.6500000000000004</v>
      </c>
      <c r="I202" s="118">
        <f t="shared" si="94"/>
        <v>79150.679999999993</v>
      </c>
      <c r="J202" s="118">
        <f t="shared" si="84"/>
        <v>79150.679999999993</v>
      </c>
      <c r="K202" s="570">
        <f t="shared" si="95"/>
        <v>0</v>
      </c>
      <c r="L202" s="121">
        <f t="shared" si="85"/>
        <v>0</v>
      </c>
      <c r="M202" s="122">
        <f t="shared" si="86"/>
        <v>0</v>
      </c>
      <c r="N202" s="122">
        <f t="shared" si="87"/>
        <v>0</v>
      </c>
      <c r="O202" s="122">
        <f t="shared" si="88"/>
        <v>0</v>
      </c>
      <c r="P202" s="122">
        <f t="shared" si="89"/>
        <v>0</v>
      </c>
      <c r="Q202" s="123">
        <f t="shared" si="90"/>
        <v>79150.679999999993</v>
      </c>
      <c r="R202" s="123">
        <f t="shared" si="96"/>
        <v>-79150.679999999993</v>
      </c>
      <c r="S202" s="582">
        <v>0</v>
      </c>
      <c r="T202" s="123">
        <f t="shared" si="97"/>
        <v>-79150.679999999993</v>
      </c>
      <c r="U202" s="25">
        <f t="shared" si="91"/>
        <v>10187.1</v>
      </c>
      <c r="V202" s="123">
        <f t="shared" si="92"/>
        <v>-10187.1</v>
      </c>
      <c r="W202" s="334">
        <f t="shared" si="93"/>
        <v>1481.76</v>
      </c>
      <c r="Y202" s="109">
        <f>IF(AE202=1,IF(Y201=MiscData!$F$1,EOMONTH(Y201,-11),EOMONTH(Y201,1)),Y201)</f>
        <v>42460</v>
      </c>
      <c r="Z202" s="108" t="str">
        <f t="shared" si="78"/>
        <v>20140101LGUM_452</v>
      </c>
      <c r="AA202" s="126" t="str">
        <f t="shared" si="79"/>
        <v xml:space="preserve">20140101LS </v>
      </c>
      <c r="AB202" s="583" t="str">
        <f t="shared" si="98"/>
        <v>452</v>
      </c>
      <c r="AD202" s="98">
        <f>MiscData!$X$5</f>
        <v>20140101</v>
      </c>
      <c r="AE202" s="98">
        <f>IF(AE201+1&gt;MiscData!$AC$77,1,AE201+1)</f>
        <v>53</v>
      </c>
      <c r="AF202" s="98" t="str">
        <f>VLOOKUP(AE202,MiscData!$AC$5:$AD$77,2,FALSE)</f>
        <v>LGUM_452</v>
      </c>
      <c r="AG202" s="98" t="str">
        <f>VLOOKUP(AF202,MiscData!$AD$5:$AE$77,2,FALSE)</f>
        <v xml:space="preserve">LS </v>
      </c>
      <c r="AP202" s="98" t="s">
        <v>290</v>
      </c>
      <c r="AR202" s="98">
        <v>0</v>
      </c>
    </row>
    <row r="203" spans="1:44">
      <c r="A203" s="108">
        <f t="shared" si="99"/>
        <v>200</v>
      </c>
      <c r="B203" s="109" t="str">
        <f t="shared" si="75"/>
        <v>Mar 2016</v>
      </c>
      <c r="C203" s="110" t="str">
        <f t="shared" si="76"/>
        <v xml:space="preserve">LS </v>
      </c>
      <c r="D203" s="110" t="str">
        <f t="shared" si="77"/>
        <v>LGUM_453</v>
      </c>
      <c r="E203" s="581">
        <f t="shared" si="80"/>
        <v>8695</v>
      </c>
      <c r="F203" s="581">
        <f t="shared" si="81"/>
        <v>0</v>
      </c>
      <c r="G203" s="116">
        <f t="shared" si="82"/>
        <v>15.08</v>
      </c>
      <c r="H203" s="116">
        <f t="shared" si="83"/>
        <v>3.9800000000000004</v>
      </c>
      <c r="I203" s="118">
        <f t="shared" si="94"/>
        <v>131120.6</v>
      </c>
      <c r="J203" s="118">
        <f t="shared" si="84"/>
        <v>131120.6</v>
      </c>
      <c r="K203" s="570">
        <f t="shared" si="95"/>
        <v>0</v>
      </c>
      <c r="L203" s="121">
        <f t="shared" si="85"/>
        <v>0</v>
      </c>
      <c r="M203" s="122">
        <f t="shared" si="86"/>
        <v>0</v>
      </c>
      <c r="N203" s="122">
        <f t="shared" si="87"/>
        <v>0</v>
      </c>
      <c r="O203" s="122">
        <f t="shared" si="88"/>
        <v>0</v>
      </c>
      <c r="P203" s="122">
        <f t="shared" si="89"/>
        <v>0</v>
      </c>
      <c r="Q203" s="123">
        <f t="shared" si="90"/>
        <v>131120.6</v>
      </c>
      <c r="R203" s="123">
        <f t="shared" si="96"/>
        <v>-131120.6</v>
      </c>
      <c r="S203" s="582">
        <v>0</v>
      </c>
      <c r="T203" s="123">
        <f t="shared" si="97"/>
        <v>-131120.6</v>
      </c>
      <c r="U203" s="25">
        <f t="shared" si="91"/>
        <v>34606.1</v>
      </c>
      <c r="V203" s="123">
        <f t="shared" si="92"/>
        <v>-34606.1</v>
      </c>
      <c r="W203" s="334">
        <f t="shared" si="93"/>
        <v>2347.65</v>
      </c>
      <c r="Y203" s="109">
        <f>IF(AE203=1,IF(Y202=MiscData!$F$1,EOMONTH(Y202,-11),EOMONTH(Y202,1)),Y202)</f>
        <v>42460</v>
      </c>
      <c r="Z203" s="108" t="str">
        <f t="shared" si="78"/>
        <v>20140101LGUM_453</v>
      </c>
      <c r="AA203" s="126" t="str">
        <f t="shared" si="79"/>
        <v xml:space="preserve">20140101LS </v>
      </c>
      <c r="AB203" s="583" t="str">
        <f t="shared" si="98"/>
        <v>453</v>
      </c>
      <c r="AD203" s="98">
        <f>MiscData!$X$5</f>
        <v>20140101</v>
      </c>
      <c r="AE203" s="98">
        <f>IF(AE202+1&gt;MiscData!$AC$77,1,AE202+1)</f>
        <v>54</v>
      </c>
      <c r="AF203" s="98" t="str">
        <f>VLOOKUP(AE203,MiscData!$AC$5:$AD$77,2,FALSE)</f>
        <v>LGUM_453</v>
      </c>
      <c r="AG203" s="98" t="str">
        <f>VLOOKUP(AF203,MiscData!$AD$5:$AE$77,2,FALSE)</f>
        <v xml:space="preserve">LS </v>
      </c>
      <c r="AP203" s="98" t="s">
        <v>291</v>
      </c>
      <c r="AR203" s="98">
        <v>0</v>
      </c>
    </row>
    <row r="204" spans="1:44">
      <c r="A204" s="108">
        <f t="shared" si="99"/>
        <v>201</v>
      </c>
      <c r="B204" s="109" t="str">
        <f t="shared" si="75"/>
        <v>Mar 2016</v>
      </c>
      <c r="C204" s="110" t="str">
        <f t="shared" si="76"/>
        <v xml:space="preserve">LS </v>
      </c>
      <c r="D204" s="110" t="str">
        <f t="shared" si="77"/>
        <v>LGUM_454</v>
      </c>
      <c r="E204" s="581">
        <f t="shared" si="80"/>
        <v>5490</v>
      </c>
      <c r="F204" s="581">
        <f t="shared" si="81"/>
        <v>0</v>
      </c>
      <c r="G204" s="116">
        <f t="shared" si="82"/>
        <v>17.38</v>
      </c>
      <c r="H204" s="116">
        <f t="shared" si="83"/>
        <v>4.2800000000000011</v>
      </c>
      <c r="I204" s="118">
        <f t="shared" si="94"/>
        <v>95416.2</v>
      </c>
      <c r="J204" s="118">
        <f t="shared" si="84"/>
        <v>95416.2</v>
      </c>
      <c r="K204" s="570">
        <f t="shared" si="95"/>
        <v>0</v>
      </c>
      <c r="L204" s="121">
        <f t="shared" si="85"/>
        <v>0</v>
      </c>
      <c r="M204" s="122">
        <f t="shared" si="86"/>
        <v>0</v>
      </c>
      <c r="N204" s="122">
        <f t="shared" si="87"/>
        <v>0</v>
      </c>
      <c r="O204" s="122">
        <f t="shared" si="88"/>
        <v>0</v>
      </c>
      <c r="P204" s="122">
        <f t="shared" si="89"/>
        <v>0</v>
      </c>
      <c r="Q204" s="123">
        <f t="shared" si="90"/>
        <v>95416.2</v>
      </c>
      <c r="R204" s="123">
        <f t="shared" si="96"/>
        <v>-95416.2</v>
      </c>
      <c r="S204" s="582">
        <v>0</v>
      </c>
      <c r="T204" s="123">
        <f t="shared" si="97"/>
        <v>-95416.2</v>
      </c>
      <c r="U204" s="25">
        <f t="shared" si="91"/>
        <v>23497.200000000001</v>
      </c>
      <c r="V204" s="123">
        <f t="shared" si="92"/>
        <v>-23497.200000000001</v>
      </c>
      <c r="W204" s="334">
        <f t="shared" si="93"/>
        <v>1592.1</v>
      </c>
      <c r="Y204" s="109">
        <f>IF(AE204=1,IF(Y203=MiscData!$F$1,EOMONTH(Y203,-11),EOMONTH(Y203,1)),Y203)</f>
        <v>42460</v>
      </c>
      <c r="Z204" s="108" t="str">
        <f t="shared" si="78"/>
        <v>20140101LGUM_454</v>
      </c>
      <c r="AA204" s="126" t="str">
        <f t="shared" si="79"/>
        <v xml:space="preserve">20140101LS </v>
      </c>
      <c r="AB204" s="583" t="str">
        <f t="shared" si="98"/>
        <v>454</v>
      </c>
      <c r="AD204" s="98">
        <f>MiscData!$X$5</f>
        <v>20140101</v>
      </c>
      <c r="AE204" s="98">
        <f>IF(AE203+1&gt;MiscData!$AC$77,1,AE203+1)</f>
        <v>55</v>
      </c>
      <c r="AF204" s="98" t="str">
        <f>VLOOKUP(AE204,MiscData!$AC$5:$AD$77,2,FALSE)</f>
        <v>LGUM_454</v>
      </c>
      <c r="AG204" s="98" t="str">
        <f>VLOOKUP(AF204,MiscData!$AD$5:$AE$77,2,FALSE)</f>
        <v xml:space="preserve">LS </v>
      </c>
      <c r="AP204" s="98" t="s">
        <v>340</v>
      </c>
      <c r="AR204" s="98">
        <v>0</v>
      </c>
    </row>
    <row r="205" spans="1:44">
      <c r="A205" s="108">
        <f t="shared" si="99"/>
        <v>202</v>
      </c>
      <c r="B205" s="109" t="str">
        <f t="shared" si="75"/>
        <v>Mar 2016</v>
      </c>
      <c r="C205" s="110" t="str">
        <f t="shared" si="76"/>
        <v xml:space="preserve">LS </v>
      </c>
      <c r="D205" s="110" t="str">
        <f t="shared" si="77"/>
        <v>LGUM_455</v>
      </c>
      <c r="E205" s="581">
        <f t="shared" si="80"/>
        <v>413</v>
      </c>
      <c r="F205" s="581">
        <f t="shared" si="81"/>
        <v>0</v>
      </c>
      <c r="G205" s="116">
        <f t="shared" si="82"/>
        <v>13.77</v>
      </c>
      <c r="H205" s="116">
        <f t="shared" si="83"/>
        <v>1.6499999999999986</v>
      </c>
      <c r="I205" s="118">
        <f t="shared" si="94"/>
        <v>5687.01</v>
      </c>
      <c r="J205" s="118">
        <f t="shared" si="84"/>
        <v>5687.01</v>
      </c>
      <c r="K205" s="570">
        <f t="shared" si="95"/>
        <v>0</v>
      </c>
      <c r="L205" s="121">
        <f t="shared" si="85"/>
        <v>0</v>
      </c>
      <c r="M205" s="122">
        <f t="shared" si="86"/>
        <v>0</v>
      </c>
      <c r="N205" s="122">
        <f t="shared" si="87"/>
        <v>0</v>
      </c>
      <c r="O205" s="122">
        <f t="shared" si="88"/>
        <v>0</v>
      </c>
      <c r="P205" s="122">
        <f t="shared" si="89"/>
        <v>0</v>
      </c>
      <c r="Q205" s="123">
        <f t="shared" si="90"/>
        <v>5687.01</v>
      </c>
      <c r="R205" s="123">
        <f t="shared" si="96"/>
        <v>-5687.01</v>
      </c>
      <c r="S205" s="582">
        <v>0</v>
      </c>
      <c r="T205" s="123">
        <f t="shared" si="97"/>
        <v>-5687.01</v>
      </c>
      <c r="U205" s="25">
        <f t="shared" si="91"/>
        <v>681.45</v>
      </c>
      <c r="V205" s="123">
        <f t="shared" si="92"/>
        <v>-681.45</v>
      </c>
      <c r="W205" s="334">
        <f t="shared" si="93"/>
        <v>99.11999999999999</v>
      </c>
      <c r="Y205" s="109">
        <f>IF(AE205=1,IF(Y204=MiscData!$F$1,EOMONTH(Y204,-11),EOMONTH(Y204,1)),Y204)</f>
        <v>42460</v>
      </c>
      <c r="Z205" s="108" t="str">
        <f t="shared" si="78"/>
        <v>20140101LGUM_455</v>
      </c>
      <c r="AA205" s="126" t="str">
        <f t="shared" si="79"/>
        <v xml:space="preserve">20140101LS </v>
      </c>
      <c r="AB205" s="583" t="str">
        <f t="shared" si="98"/>
        <v>455</v>
      </c>
      <c r="AD205" s="98">
        <f>MiscData!$X$5</f>
        <v>20140101</v>
      </c>
      <c r="AE205" s="98">
        <f>IF(AE204+1&gt;MiscData!$AC$77,1,AE204+1)</f>
        <v>56</v>
      </c>
      <c r="AF205" s="98" t="str">
        <f>VLOOKUP(AE205,MiscData!$AC$5:$AD$77,2,FALSE)</f>
        <v>LGUM_455</v>
      </c>
      <c r="AG205" s="98" t="str">
        <f>VLOOKUP(AF205,MiscData!$AD$5:$AE$77,2,FALSE)</f>
        <v xml:space="preserve">LS </v>
      </c>
      <c r="AP205" s="98" t="s">
        <v>692</v>
      </c>
      <c r="AR205" s="98">
        <v>0</v>
      </c>
    </row>
    <row r="206" spans="1:44">
      <c r="A206" s="108">
        <f t="shared" si="99"/>
        <v>203</v>
      </c>
      <c r="B206" s="109" t="str">
        <f t="shared" si="75"/>
        <v>Mar 2016</v>
      </c>
      <c r="C206" s="110" t="str">
        <f t="shared" si="76"/>
        <v xml:space="preserve">LS </v>
      </c>
      <c r="D206" s="110" t="str">
        <f t="shared" si="77"/>
        <v>LGUM_456</v>
      </c>
      <c r="E206" s="581">
        <f t="shared" si="80"/>
        <v>12938</v>
      </c>
      <c r="F206" s="581">
        <f t="shared" si="81"/>
        <v>0</v>
      </c>
      <c r="G206" s="116">
        <f t="shared" si="82"/>
        <v>18.21</v>
      </c>
      <c r="H206" s="116">
        <f t="shared" si="83"/>
        <v>4.2800000000000011</v>
      </c>
      <c r="I206" s="118">
        <f t="shared" si="94"/>
        <v>235600.98</v>
      </c>
      <c r="J206" s="118">
        <f t="shared" si="84"/>
        <v>235600.98</v>
      </c>
      <c r="K206" s="570">
        <f t="shared" si="95"/>
        <v>0</v>
      </c>
      <c r="L206" s="121">
        <f t="shared" si="85"/>
        <v>0</v>
      </c>
      <c r="M206" s="122">
        <f t="shared" si="86"/>
        <v>0</v>
      </c>
      <c r="N206" s="122">
        <f t="shared" si="87"/>
        <v>0</v>
      </c>
      <c r="O206" s="122">
        <f t="shared" si="88"/>
        <v>0</v>
      </c>
      <c r="P206" s="122">
        <f t="shared" si="89"/>
        <v>0</v>
      </c>
      <c r="Q206" s="123">
        <f t="shared" si="90"/>
        <v>235600.98</v>
      </c>
      <c r="R206" s="123">
        <f t="shared" si="96"/>
        <v>-235600.98</v>
      </c>
      <c r="S206" s="582">
        <v>0</v>
      </c>
      <c r="T206" s="123">
        <f t="shared" si="97"/>
        <v>-235600.98</v>
      </c>
      <c r="U206" s="25">
        <f t="shared" si="91"/>
        <v>55374.64</v>
      </c>
      <c r="V206" s="123">
        <f t="shared" si="92"/>
        <v>-55374.64</v>
      </c>
      <c r="W206" s="334">
        <f t="shared" si="93"/>
        <v>3752.0199999999995</v>
      </c>
      <c r="Y206" s="109">
        <f>IF(AE206=1,IF(Y205=MiscData!$F$1,EOMONTH(Y205,-11),EOMONTH(Y205,1)),Y205)</f>
        <v>42460</v>
      </c>
      <c r="Z206" s="108" t="str">
        <f t="shared" si="78"/>
        <v>20140101LGUM_456</v>
      </c>
      <c r="AA206" s="126" t="str">
        <f t="shared" si="79"/>
        <v xml:space="preserve">20140101LS </v>
      </c>
      <c r="AB206" s="583" t="str">
        <f t="shared" si="98"/>
        <v>456</v>
      </c>
      <c r="AD206" s="98">
        <f>MiscData!$X$5</f>
        <v>20140101</v>
      </c>
      <c r="AE206" s="98">
        <f>IF(AE205+1&gt;MiscData!$AC$77,1,AE205+1)</f>
        <v>57</v>
      </c>
      <c r="AF206" s="98" t="str">
        <f>VLOOKUP(AE206,MiscData!$AC$5:$AD$77,2,FALSE)</f>
        <v>LGUM_456</v>
      </c>
      <c r="AG206" s="98" t="str">
        <f>VLOOKUP(AF206,MiscData!$AD$5:$AE$77,2,FALSE)</f>
        <v xml:space="preserve">LS </v>
      </c>
      <c r="AP206" s="98" t="s">
        <v>292</v>
      </c>
      <c r="AR206" s="98">
        <v>0</v>
      </c>
    </row>
    <row r="207" spans="1:44">
      <c r="A207" s="108">
        <f t="shared" si="99"/>
        <v>204</v>
      </c>
      <c r="B207" s="109" t="str">
        <f t="shared" si="75"/>
        <v>Mar 2016</v>
      </c>
      <c r="C207" s="110" t="str">
        <f t="shared" si="76"/>
        <v xml:space="preserve">LS </v>
      </c>
      <c r="D207" s="110" t="str">
        <f t="shared" si="77"/>
        <v>LGUM_457</v>
      </c>
      <c r="E207" s="581">
        <f t="shared" si="80"/>
        <v>3300</v>
      </c>
      <c r="F207" s="581">
        <f t="shared" si="81"/>
        <v>0</v>
      </c>
      <c r="G207" s="116">
        <f t="shared" si="82"/>
        <v>10.86</v>
      </c>
      <c r="H207" s="116">
        <f t="shared" si="83"/>
        <v>1.0599999999999987</v>
      </c>
      <c r="I207" s="118">
        <f t="shared" si="94"/>
        <v>35838</v>
      </c>
      <c r="J207" s="118">
        <f t="shared" si="84"/>
        <v>35838</v>
      </c>
      <c r="K207" s="570">
        <f t="shared" si="95"/>
        <v>0</v>
      </c>
      <c r="L207" s="121">
        <f t="shared" si="85"/>
        <v>0</v>
      </c>
      <c r="M207" s="122">
        <f t="shared" si="86"/>
        <v>0</v>
      </c>
      <c r="N207" s="122">
        <f t="shared" si="87"/>
        <v>0</v>
      </c>
      <c r="O207" s="122">
        <f t="shared" si="88"/>
        <v>0</v>
      </c>
      <c r="P207" s="122">
        <f t="shared" si="89"/>
        <v>0</v>
      </c>
      <c r="Q207" s="123">
        <f t="shared" si="90"/>
        <v>35838</v>
      </c>
      <c r="R207" s="123">
        <f t="shared" si="96"/>
        <v>-35838</v>
      </c>
      <c r="S207" s="582">
        <v>0</v>
      </c>
      <c r="T207" s="123">
        <f t="shared" si="97"/>
        <v>-35838</v>
      </c>
      <c r="U207" s="25">
        <f t="shared" si="91"/>
        <v>3498</v>
      </c>
      <c r="V207" s="123">
        <f t="shared" si="92"/>
        <v>-3498</v>
      </c>
      <c r="W207" s="334">
        <f t="shared" si="93"/>
        <v>891.00000000000011</v>
      </c>
      <c r="Y207" s="109">
        <f>IF(AE207=1,IF(Y206=MiscData!$F$1,EOMONTH(Y206,-11),EOMONTH(Y206,1)),Y206)</f>
        <v>42460</v>
      </c>
      <c r="Z207" s="108" t="str">
        <f t="shared" si="78"/>
        <v>20140101LGUM_457</v>
      </c>
      <c r="AA207" s="126" t="str">
        <f t="shared" si="79"/>
        <v xml:space="preserve">20140101LS </v>
      </c>
      <c r="AB207" s="583" t="str">
        <f t="shared" si="98"/>
        <v>457</v>
      </c>
      <c r="AD207" s="98">
        <f>MiscData!$X$5</f>
        <v>20140101</v>
      </c>
      <c r="AE207" s="98">
        <f>IF(AE206+1&gt;MiscData!$AC$77,1,AE206+1)</f>
        <v>58</v>
      </c>
      <c r="AF207" s="98" t="str">
        <f>VLOOKUP(AE207,MiscData!$AC$5:$AD$77,2,FALSE)</f>
        <v>LGUM_457</v>
      </c>
      <c r="AG207" s="98" t="str">
        <f>VLOOKUP(AF207,MiscData!$AD$5:$AE$77,2,FALSE)</f>
        <v xml:space="preserve">LS </v>
      </c>
      <c r="AP207" s="98" t="s">
        <v>293</v>
      </c>
      <c r="AR207" s="98">
        <v>6446.91</v>
      </c>
    </row>
    <row r="208" spans="1:44">
      <c r="A208" s="108">
        <f t="shared" si="99"/>
        <v>205</v>
      </c>
      <c r="B208" s="109" t="str">
        <f t="shared" si="75"/>
        <v>Mar 2016</v>
      </c>
      <c r="C208" s="110" t="str">
        <f t="shared" si="76"/>
        <v>RLS</v>
      </c>
      <c r="D208" s="110" t="str">
        <f t="shared" si="77"/>
        <v>LGUM_458</v>
      </c>
      <c r="E208" s="581">
        <f t="shared" si="80"/>
        <v>5</v>
      </c>
      <c r="F208" s="581">
        <f t="shared" si="81"/>
        <v>0</v>
      </c>
      <c r="G208" s="116">
        <f t="shared" si="82"/>
        <v>11.13</v>
      </c>
      <c r="H208" s="116">
        <f t="shared" si="83"/>
        <v>3.7700000000000014</v>
      </c>
      <c r="I208" s="118">
        <f t="shared" si="94"/>
        <v>55.65</v>
      </c>
      <c r="J208" s="118">
        <f t="shared" si="84"/>
        <v>55.65</v>
      </c>
      <c r="K208" s="570">
        <f t="shared" si="95"/>
        <v>0</v>
      </c>
      <c r="L208" s="121">
        <f t="shared" si="85"/>
        <v>0</v>
      </c>
      <c r="M208" s="122">
        <f t="shared" si="86"/>
        <v>0</v>
      </c>
      <c r="N208" s="122">
        <f t="shared" si="87"/>
        <v>0</v>
      </c>
      <c r="O208" s="122">
        <f t="shared" si="88"/>
        <v>0</v>
      </c>
      <c r="P208" s="122">
        <f t="shared" si="89"/>
        <v>0</v>
      </c>
      <c r="Q208" s="123">
        <f t="shared" si="90"/>
        <v>55.65</v>
      </c>
      <c r="R208" s="123">
        <f t="shared" si="96"/>
        <v>-55.65</v>
      </c>
      <c r="S208" s="582">
        <v>0</v>
      </c>
      <c r="T208" s="123">
        <f t="shared" si="97"/>
        <v>-55.65</v>
      </c>
      <c r="U208" s="25">
        <f t="shared" si="91"/>
        <v>18.850000000000001</v>
      </c>
      <c r="V208" s="123">
        <f t="shared" si="92"/>
        <v>-18.850000000000001</v>
      </c>
      <c r="W208" s="334">
        <f t="shared" si="93"/>
        <v>0.8</v>
      </c>
      <c r="Y208" s="109">
        <f>IF(AE208=1,IF(Y207=MiscData!$F$1,EOMONTH(Y207,-11),EOMONTH(Y207,1)),Y207)</f>
        <v>42460</v>
      </c>
      <c r="Z208" s="108" t="str">
        <f t="shared" si="78"/>
        <v>20140101LGUM_458</v>
      </c>
      <c r="AA208" s="126" t="str">
        <f t="shared" si="79"/>
        <v>20140101RLS</v>
      </c>
      <c r="AB208" s="583" t="str">
        <f t="shared" si="98"/>
        <v>458</v>
      </c>
      <c r="AD208" s="98">
        <f>MiscData!$X$5</f>
        <v>20140101</v>
      </c>
      <c r="AE208" s="98">
        <f>IF(AE207+1&gt;MiscData!$AC$77,1,AE207+1)</f>
        <v>59</v>
      </c>
      <c r="AF208" s="98" t="str">
        <f>VLOOKUP(AE208,MiscData!$AC$5:$AD$77,2,FALSE)</f>
        <v>LGUM_458</v>
      </c>
      <c r="AG208" s="98" t="str">
        <f>VLOOKUP(AF208,MiscData!$AD$5:$AE$77,2,FALSE)</f>
        <v>RLS</v>
      </c>
      <c r="AP208" s="98" t="s">
        <v>294</v>
      </c>
      <c r="AR208" s="98">
        <v>26.32</v>
      </c>
    </row>
    <row r="209" spans="1:44">
      <c r="A209" s="108">
        <f t="shared" si="99"/>
        <v>206</v>
      </c>
      <c r="B209" s="109" t="str">
        <f t="shared" si="75"/>
        <v>Mar 2016</v>
      </c>
      <c r="C209" s="110" t="str">
        <f t="shared" si="76"/>
        <v xml:space="preserve">LS </v>
      </c>
      <c r="D209" s="110" t="str">
        <f t="shared" si="77"/>
        <v>LGUM_470</v>
      </c>
      <c r="E209" s="581">
        <f t="shared" si="80"/>
        <v>22</v>
      </c>
      <c r="F209" s="581">
        <f t="shared" si="81"/>
        <v>0</v>
      </c>
      <c r="G209" s="116">
        <f t="shared" si="82"/>
        <v>12.79</v>
      </c>
      <c r="H209" s="116">
        <f t="shared" si="83"/>
        <v>1.3699999999999992</v>
      </c>
      <c r="I209" s="118">
        <f t="shared" si="94"/>
        <v>281.38</v>
      </c>
      <c r="J209" s="118">
        <f t="shared" si="84"/>
        <v>281.38</v>
      </c>
      <c r="K209" s="570">
        <f t="shared" si="95"/>
        <v>0</v>
      </c>
      <c r="L209" s="121">
        <f t="shared" si="85"/>
        <v>0</v>
      </c>
      <c r="M209" s="122">
        <f t="shared" si="86"/>
        <v>0</v>
      </c>
      <c r="N209" s="122">
        <f t="shared" si="87"/>
        <v>0</v>
      </c>
      <c r="O209" s="122">
        <f t="shared" si="88"/>
        <v>0</v>
      </c>
      <c r="P209" s="122">
        <f t="shared" si="89"/>
        <v>0</v>
      </c>
      <c r="Q209" s="123">
        <f t="shared" si="90"/>
        <v>281.38</v>
      </c>
      <c r="R209" s="123">
        <f t="shared" si="96"/>
        <v>-281.38</v>
      </c>
      <c r="S209" s="582">
        <v>0</v>
      </c>
      <c r="T209" s="123">
        <f t="shared" si="97"/>
        <v>-281.38</v>
      </c>
      <c r="U209" s="25">
        <f t="shared" si="91"/>
        <v>30.14</v>
      </c>
      <c r="V209" s="123">
        <f t="shared" si="92"/>
        <v>-30.14</v>
      </c>
      <c r="W209" s="334">
        <f t="shared" si="93"/>
        <v>5.94</v>
      </c>
      <c r="Y209" s="109">
        <f>IF(AE209=1,IF(Y208=MiscData!$F$1,EOMONTH(Y208,-11),EOMONTH(Y208,1)),Y208)</f>
        <v>42460</v>
      </c>
      <c r="Z209" s="108" t="str">
        <f t="shared" si="78"/>
        <v>20140101LGUM_470</v>
      </c>
      <c r="AA209" s="126" t="str">
        <f t="shared" si="79"/>
        <v xml:space="preserve">20140101LS </v>
      </c>
      <c r="AB209" s="583" t="str">
        <f t="shared" si="98"/>
        <v>470</v>
      </c>
      <c r="AD209" s="98">
        <f>MiscData!$X$5</f>
        <v>20140101</v>
      </c>
      <c r="AE209" s="98">
        <f>IF(AE208+1&gt;MiscData!$AC$77,1,AE208+1)</f>
        <v>60</v>
      </c>
      <c r="AF209" s="98" t="str">
        <f>VLOOKUP(AE209,MiscData!$AC$5:$AD$77,2,FALSE)</f>
        <v>LGUM_470</v>
      </c>
      <c r="AG209" s="98" t="str">
        <f>VLOOKUP(AF209,MiscData!$AD$5:$AE$77,2,FALSE)</f>
        <v xml:space="preserve">LS </v>
      </c>
      <c r="AP209" s="98" t="s">
        <v>295</v>
      </c>
      <c r="AR209" s="98">
        <v>0</v>
      </c>
    </row>
    <row r="210" spans="1:44">
      <c r="A210" s="108">
        <f t="shared" si="99"/>
        <v>207</v>
      </c>
      <c r="B210" s="109" t="str">
        <f t="shared" si="75"/>
        <v>Mar 2016</v>
      </c>
      <c r="C210" s="110" t="str">
        <f t="shared" si="76"/>
        <v>RLS</v>
      </c>
      <c r="D210" s="110" t="str">
        <f t="shared" si="77"/>
        <v>LGUM_471</v>
      </c>
      <c r="E210" s="581">
        <f t="shared" si="80"/>
        <v>2</v>
      </c>
      <c r="F210" s="581">
        <f t="shared" si="81"/>
        <v>0</v>
      </c>
      <c r="G210" s="116">
        <f t="shared" si="82"/>
        <v>15.07</v>
      </c>
      <c r="H210" s="116">
        <f t="shared" si="83"/>
        <v>1.3699999999999992</v>
      </c>
      <c r="I210" s="118">
        <f t="shared" si="94"/>
        <v>30.14</v>
      </c>
      <c r="J210" s="118">
        <f t="shared" si="84"/>
        <v>30.14</v>
      </c>
      <c r="K210" s="570">
        <f t="shared" si="95"/>
        <v>0</v>
      </c>
      <c r="L210" s="121">
        <f t="shared" si="85"/>
        <v>0</v>
      </c>
      <c r="M210" s="122">
        <f t="shared" si="86"/>
        <v>0</v>
      </c>
      <c r="N210" s="122">
        <f t="shared" si="87"/>
        <v>0</v>
      </c>
      <c r="O210" s="122">
        <f t="shared" si="88"/>
        <v>0</v>
      </c>
      <c r="P210" s="122">
        <f t="shared" si="89"/>
        <v>0</v>
      </c>
      <c r="Q210" s="123">
        <f t="shared" si="90"/>
        <v>30.14</v>
      </c>
      <c r="R210" s="123">
        <f t="shared" si="96"/>
        <v>-30.14</v>
      </c>
      <c r="S210" s="582">
        <v>0</v>
      </c>
      <c r="T210" s="123">
        <f t="shared" si="97"/>
        <v>-30.14</v>
      </c>
      <c r="U210" s="25">
        <f t="shared" si="91"/>
        <v>2.74</v>
      </c>
      <c r="V210" s="123">
        <f t="shared" si="92"/>
        <v>-2.74</v>
      </c>
      <c r="W210" s="334">
        <f t="shared" si="93"/>
        <v>0.54</v>
      </c>
      <c r="Y210" s="109">
        <f>IF(AE210=1,IF(Y209=MiscData!$F$1,EOMONTH(Y209,-11),EOMONTH(Y209,1)),Y209)</f>
        <v>42460</v>
      </c>
      <c r="Z210" s="108" t="str">
        <f t="shared" si="78"/>
        <v>20140101LGUM_471</v>
      </c>
      <c r="AA210" s="126" t="str">
        <f t="shared" si="79"/>
        <v>20140101RLS</v>
      </c>
      <c r="AB210" s="583" t="str">
        <f t="shared" si="98"/>
        <v>471</v>
      </c>
      <c r="AD210" s="98">
        <f>MiscData!$X$5</f>
        <v>20140101</v>
      </c>
      <c r="AE210" s="98">
        <f>IF(AE209+1&gt;MiscData!$AC$77,1,AE209+1)</f>
        <v>61</v>
      </c>
      <c r="AF210" s="98" t="str">
        <f>VLOOKUP(AE210,MiscData!$AC$5:$AD$77,2,FALSE)</f>
        <v>LGUM_471</v>
      </c>
      <c r="AG210" s="98" t="str">
        <f>VLOOKUP(AF210,MiscData!$AD$5:$AE$77,2,FALSE)</f>
        <v>RLS</v>
      </c>
      <c r="AP210" s="98" t="s">
        <v>296</v>
      </c>
      <c r="AR210" s="98">
        <v>17648.68</v>
      </c>
    </row>
    <row r="211" spans="1:44">
      <c r="A211" s="108">
        <f t="shared" si="99"/>
        <v>208</v>
      </c>
      <c r="B211" s="109" t="str">
        <f t="shared" si="75"/>
        <v>Mar 2016</v>
      </c>
      <c r="C211" s="110" t="str">
        <f t="shared" si="76"/>
        <v xml:space="preserve">LS </v>
      </c>
      <c r="D211" s="110" t="str">
        <f t="shared" si="77"/>
        <v>LGUM_473</v>
      </c>
      <c r="E211" s="581">
        <f t="shared" si="80"/>
        <v>332</v>
      </c>
      <c r="F211" s="581">
        <f t="shared" si="81"/>
        <v>0</v>
      </c>
      <c r="G211" s="116">
        <f t="shared" si="82"/>
        <v>18.68</v>
      </c>
      <c r="H211" s="116">
        <f t="shared" si="83"/>
        <v>3.1799999999999979</v>
      </c>
      <c r="I211" s="118">
        <f t="shared" si="94"/>
        <v>6201.76</v>
      </c>
      <c r="J211" s="118">
        <f t="shared" si="84"/>
        <v>6201.76</v>
      </c>
      <c r="K211" s="570">
        <f t="shared" si="95"/>
        <v>0</v>
      </c>
      <c r="L211" s="121">
        <f t="shared" si="85"/>
        <v>0</v>
      </c>
      <c r="M211" s="122">
        <f t="shared" si="86"/>
        <v>0</v>
      </c>
      <c r="N211" s="122">
        <f t="shared" si="87"/>
        <v>0</v>
      </c>
      <c r="O211" s="122">
        <f t="shared" si="88"/>
        <v>0</v>
      </c>
      <c r="P211" s="122">
        <f t="shared" si="89"/>
        <v>0</v>
      </c>
      <c r="Q211" s="123">
        <f t="shared" si="90"/>
        <v>6201.76</v>
      </c>
      <c r="R211" s="123">
        <f t="shared" si="96"/>
        <v>-6201.76</v>
      </c>
      <c r="S211" s="582">
        <v>0</v>
      </c>
      <c r="T211" s="123">
        <f t="shared" si="97"/>
        <v>-6201.76</v>
      </c>
      <c r="U211" s="25">
        <f t="shared" si="91"/>
        <v>1055.76</v>
      </c>
      <c r="V211" s="123">
        <f t="shared" si="92"/>
        <v>-1055.76</v>
      </c>
      <c r="W211" s="334">
        <f t="shared" si="93"/>
        <v>99.6</v>
      </c>
      <c r="Y211" s="109">
        <f>IF(AE211=1,IF(Y210=MiscData!$F$1,EOMONTH(Y210,-11),EOMONTH(Y210,1)),Y210)</f>
        <v>42460</v>
      </c>
      <c r="Z211" s="108" t="str">
        <f t="shared" si="78"/>
        <v>20140101LGUM_473</v>
      </c>
      <c r="AA211" s="126" t="str">
        <f t="shared" si="79"/>
        <v xml:space="preserve">20140101LS </v>
      </c>
      <c r="AB211" s="583" t="str">
        <f t="shared" si="98"/>
        <v>473</v>
      </c>
      <c r="AD211" s="98">
        <f>MiscData!$X$5</f>
        <v>20140101</v>
      </c>
      <c r="AE211" s="98">
        <f>IF(AE210+1&gt;MiscData!$AC$77,1,AE210+1)</f>
        <v>62</v>
      </c>
      <c r="AF211" s="98" t="str">
        <f>VLOOKUP(AE211,MiscData!$AC$5:$AD$77,2,FALSE)</f>
        <v>LGUM_473</v>
      </c>
      <c r="AG211" s="98" t="str">
        <f>VLOOKUP(AF211,MiscData!$AD$5:$AE$77,2,FALSE)</f>
        <v xml:space="preserve">LS </v>
      </c>
      <c r="AP211" s="98" t="s">
        <v>297</v>
      </c>
      <c r="AR211" s="98">
        <v>0</v>
      </c>
    </row>
    <row r="212" spans="1:44">
      <c r="A212" s="108">
        <f t="shared" si="99"/>
        <v>209</v>
      </c>
      <c r="B212" s="109" t="str">
        <f t="shared" si="75"/>
        <v>Mar 2016</v>
      </c>
      <c r="C212" s="110" t="str">
        <f t="shared" si="76"/>
        <v>RLS</v>
      </c>
      <c r="D212" s="110" t="str">
        <f t="shared" si="77"/>
        <v>LGUM_474</v>
      </c>
      <c r="E212" s="581">
        <f t="shared" si="80"/>
        <v>53</v>
      </c>
      <c r="F212" s="581">
        <f t="shared" si="81"/>
        <v>0</v>
      </c>
      <c r="G212" s="116">
        <f t="shared" si="82"/>
        <v>20.970000000000002</v>
      </c>
      <c r="H212" s="116">
        <f t="shared" si="83"/>
        <v>3.1799999999999997</v>
      </c>
      <c r="I212" s="118">
        <f t="shared" si="94"/>
        <v>1111.4100000000001</v>
      </c>
      <c r="J212" s="118">
        <f t="shared" si="84"/>
        <v>1111.4100000000001</v>
      </c>
      <c r="K212" s="570">
        <f t="shared" si="95"/>
        <v>0</v>
      </c>
      <c r="L212" s="121">
        <f t="shared" si="85"/>
        <v>0</v>
      </c>
      <c r="M212" s="122">
        <f t="shared" si="86"/>
        <v>0</v>
      </c>
      <c r="N212" s="122">
        <f t="shared" si="87"/>
        <v>0</v>
      </c>
      <c r="O212" s="122">
        <f t="shared" si="88"/>
        <v>0</v>
      </c>
      <c r="P212" s="122">
        <f t="shared" si="89"/>
        <v>0</v>
      </c>
      <c r="Q212" s="123">
        <f t="shared" si="90"/>
        <v>1111.4100000000001</v>
      </c>
      <c r="R212" s="123">
        <f t="shared" si="96"/>
        <v>-1111.4100000000001</v>
      </c>
      <c r="S212" s="582">
        <v>0</v>
      </c>
      <c r="T212" s="123">
        <f t="shared" si="97"/>
        <v>-1111.4100000000001</v>
      </c>
      <c r="U212" s="25">
        <f t="shared" si="91"/>
        <v>168.54</v>
      </c>
      <c r="V212" s="123">
        <f t="shared" si="92"/>
        <v>-168.54</v>
      </c>
      <c r="W212" s="334">
        <f t="shared" si="93"/>
        <v>15.899999999999999</v>
      </c>
      <c r="Y212" s="109">
        <f>IF(AE212=1,IF(Y211=MiscData!$F$1,EOMONTH(Y211,-11),EOMONTH(Y211,1)),Y211)</f>
        <v>42460</v>
      </c>
      <c r="Z212" s="108" t="str">
        <f t="shared" si="78"/>
        <v>20140101LGUM_474</v>
      </c>
      <c r="AA212" s="126" t="str">
        <f t="shared" si="79"/>
        <v>20140101RLS</v>
      </c>
      <c r="AB212" s="583" t="str">
        <f t="shared" si="98"/>
        <v>474</v>
      </c>
      <c r="AD212" s="98">
        <f>MiscData!$X$5</f>
        <v>20140101</v>
      </c>
      <c r="AE212" s="98">
        <f>IF(AE211+1&gt;MiscData!$AC$77,1,AE211+1)</f>
        <v>63</v>
      </c>
      <c r="AF212" s="98" t="str">
        <f>VLOOKUP(AE212,MiscData!$AC$5:$AD$77,2,FALSE)</f>
        <v>LGUM_474</v>
      </c>
      <c r="AG212" s="98" t="str">
        <f>VLOOKUP(AF212,MiscData!$AD$5:$AE$77,2,FALSE)</f>
        <v>RLS</v>
      </c>
      <c r="AP212" s="98" t="s">
        <v>298</v>
      </c>
      <c r="AR212" s="98">
        <v>53.16</v>
      </c>
    </row>
    <row r="213" spans="1:44">
      <c r="A213" s="108">
        <f t="shared" si="99"/>
        <v>210</v>
      </c>
      <c r="B213" s="109" t="str">
        <f t="shared" si="75"/>
        <v>Mar 2016</v>
      </c>
      <c r="C213" s="110" t="str">
        <f t="shared" si="76"/>
        <v>RLS</v>
      </c>
      <c r="D213" s="110" t="str">
        <f t="shared" si="77"/>
        <v>LGUM_475</v>
      </c>
      <c r="E213" s="581">
        <f t="shared" si="80"/>
        <v>2</v>
      </c>
      <c r="F213" s="581">
        <f t="shared" si="81"/>
        <v>0</v>
      </c>
      <c r="G213" s="116">
        <f t="shared" si="82"/>
        <v>28.42</v>
      </c>
      <c r="H213" s="116">
        <f t="shared" si="83"/>
        <v>3.1800000000000033</v>
      </c>
      <c r="I213" s="118">
        <f t="shared" si="94"/>
        <v>56.84</v>
      </c>
      <c r="J213" s="118">
        <f t="shared" si="84"/>
        <v>56.84</v>
      </c>
      <c r="K213" s="570">
        <f t="shared" si="95"/>
        <v>0</v>
      </c>
      <c r="L213" s="121">
        <f t="shared" si="85"/>
        <v>0</v>
      </c>
      <c r="M213" s="122">
        <f t="shared" si="86"/>
        <v>0</v>
      </c>
      <c r="N213" s="122">
        <f t="shared" si="87"/>
        <v>0</v>
      </c>
      <c r="O213" s="122">
        <f t="shared" si="88"/>
        <v>0</v>
      </c>
      <c r="P213" s="122">
        <f t="shared" si="89"/>
        <v>0</v>
      </c>
      <c r="Q213" s="123">
        <f t="shared" si="90"/>
        <v>56.84</v>
      </c>
      <c r="R213" s="123">
        <f t="shared" si="96"/>
        <v>-56.84</v>
      </c>
      <c r="S213" s="582">
        <v>0</v>
      </c>
      <c r="T213" s="123">
        <f t="shared" si="97"/>
        <v>-56.84</v>
      </c>
      <c r="U213" s="25">
        <f t="shared" si="91"/>
        <v>6.36</v>
      </c>
      <c r="V213" s="123">
        <f t="shared" si="92"/>
        <v>-6.36</v>
      </c>
      <c r="W213" s="334">
        <f t="shared" si="93"/>
        <v>0.6</v>
      </c>
      <c r="Y213" s="109">
        <f>IF(AE213=1,IF(Y212=MiscData!$F$1,EOMONTH(Y212,-11),EOMONTH(Y212,1)),Y212)</f>
        <v>42460</v>
      </c>
      <c r="Z213" s="108" t="str">
        <f t="shared" si="78"/>
        <v>20140101LGUM_475</v>
      </c>
      <c r="AA213" s="126" t="str">
        <f t="shared" si="79"/>
        <v>20140101RLS</v>
      </c>
      <c r="AB213" s="583" t="str">
        <f t="shared" si="98"/>
        <v>475</v>
      </c>
      <c r="AD213" s="98">
        <f>MiscData!$X$5</f>
        <v>20140101</v>
      </c>
      <c r="AE213" s="98">
        <f>IF(AE212+1&gt;MiscData!$AC$77,1,AE212+1)</f>
        <v>64</v>
      </c>
      <c r="AF213" s="98" t="str">
        <f>VLOOKUP(AE213,MiscData!$AC$5:$AD$77,2,FALSE)</f>
        <v>LGUM_475</v>
      </c>
      <c r="AG213" s="98" t="str">
        <f>VLOOKUP(AF213,MiscData!$AD$5:$AE$77,2,FALSE)</f>
        <v>RLS</v>
      </c>
      <c r="AP213" s="98" t="s">
        <v>299</v>
      </c>
      <c r="AR213" s="98">
        <v>0</v>
      </c>
    </row>
    <row r="214" spans="1:44">
      <c r="A214" s="108">
        <f t="shared" si="99"/>
        <v>211</v>
      </c>
      <c r="B214" s="109" t="str">
        <f t="shared" si="75"/>
        <v>Mar 2016</v>
      </c>
      <c r="C214" s="110" t="str">
        <f t="shared" si="76"/>
        <v xml:space="preserve">LS </v>
      </c>
      <c r="D214" s="110" t="str">
        <f t="shared" si="77"/>
        <v>LGUM_476</v>
      </c>
      <c r="E214" s="581">
        <f t="shared" si="80"/>
        <v>393</v>
      </c>
      <c r="F214" s="581">
        <f t="shared" si="81"/>
        <v>0</v>
      </c>
      <c r="G214" s="116">
        <f t="shared" si="82"/>
        <v>39.6</v>
      </c>
      <c r="H214" s="116">
        <f t="shared" si="83"/>
        <v>9.8100000000000023</v>
      </c>
      <c r="I214" s="118">
        <f t="shared" si="94"/>
        <v>15562.8</v>
      </c>
      <c r="J214" s="118">
        <f t="shared" si="84"/>
        <v>15562.8</v>
      </c>
      <c r="K214" s="570">
        <f t="shared" si="95"/>
        <v>0</v>
      </c>
      <c r="L214" s="121">
        <f t="shared" si="85"/>
        <v>0</v>
      </c>
      <c r="M214" s="122">
        <f t="shared" si="86"/>
        <v>0</v>
      </c>
      <c r="N214" s="122">
        <f t="shared" si="87"/>
        <v>0</v>
      </c>
      <c r="O214" s="122">
        <f t="shared" si="88"/>
        <v>0</v>
      </c>
      <c r="P214" s="122">
        <f t="shared" si="89"/>
        <v>0</v>
      </c>
      <c r="Q214" s="123">
        <f t="shared" si="90"/>
        <v>15562.8</v>
      </c>
      <c r="R214" s="123">
        <f t="shared" si="96"/>
        <v>-15562.8</v>
      </c>
      <c r="S214" s="582">
        <v>0</v>
      </c>
      <c r="T214" s="123">
        <f t="shared" si="97"/>
        <v>-15562.8</v>
      </c>
      <c r="U214" s="25">
        <f t="shared" si="91"/>
        <v>3855.33</v>
      </c>
      <c r="V214" s="123">
        <f t="shared" si="92"/>
        <v>-3855.33</v>
      </c>
      <c r="W214" s="334">
        <f t="shared" si="93"/>
        <v>239.73</v>
      </c>
      <c r="Y214" s="109">
        <f>IF(AE214=1,IF(Y213=MiscData!$F$1,EOMONTH(Y213,-11),EOMONTH(Y213,1)),Y213)</f>
        <v>42460</v>
      </c>
      <c r="Z214" s="108" t="str">
        <f t="shared" si="78"/>
        <v>20140101LGUM_476</v>
      </c>
      <c r="AA214" s="126" t="str">
        <f t="shared" si="79"/>
        <v xml:space="preserve">20140101LS </v>
      </c>
      <c r="AB214" s="583" t="str">
        <f t="shared" si="98"/>
        <v>476</v>
      </c>
      <c r="AD214" s="98">
        <f>MiscData!$X$5</f>
        <v>20140101</v>
      </c>
      <c r="AE214" s="98">
        <f>IF(AE213+1&gt;MiscData!$AC$77,1,AE213+1)</f>
        <v>65</v>
      </c>
      <c r="AF214" s="98" t="str">
        <f>VLOOKUP(AE214,MiscData!$AC$5:$AD$77,2,FALSE)</f>
        <v>LGUM_476</v>
      </c>
      <c r="AG214" s="98" t="str">
        <f>VLOOKUP(AF214,MiscData!$AD$5:$AE$77,2,FALSE)</f>
        <v xml:space="preserve">LS </v>
      </c>
      <c r="AP214" s="98" t="s">
        <v>300</v>
      </c>
      <c r="AR214" s="98">
        <v>0</v>
      </c>
    </row>
    <row r="215" spans="1:44">
      <c r="A215" s="108">
        <f t="shared" si="99"/>
        <v>212</v>
      </c>
      <c r="B215" s="109" t="str">
        <f t="shared" si="75"/>
        <v>Mar 2016</v>
      </c>
      <c r="C215" s="110" t="str">
        <f t="shared" si="76"/>
        <v>RLS</v>
      </c>
      <c r="D215" s="110" t="str">
        <f t="shared" si="77"/>
        <v>LGUM_477</v>
      </c>
      <c r="E215" s="581">
        <f t="shared" si="80"/>
        <v>60</v>
      </c>
      <c r="F215" s="581">
        <f t="shared" si="81"/>
        <v>0</v>
      </c>
      <c r="G215" s="116">
        <f t="shared" si="82"/>
        <v>42.78</v>
      </c>
      <c r="H215" s="116">
        <f t="shared" si="83"/>
        <v>9.8100000000000023</v>
      </c>
      <c r="I215" s="118">
        <f t="shared" si="94"/>
        <v>2566.8000000000002</v>
      </c>
      <c r="J215" s="118">
        <f t="shared" si="84"/>
        <v>2566.8000000000002</v>
      </c>
      <c r="K215" s="570">
        <f t="shared" si="95"/>
        <v>0</v>
      </c>
      <c r="L215" s="121">
        <f t="shared" si="85"/>
        <v>0</v>
      </c>
      <c r="M215" s="122">
        <f t="shared" si="86"/>
        <v>0</v>
      </c>
      <c r="N215" s="122">
        <f t="shared" si="87"/>
        <v>0</v>
      </c>
      <c r="O215" s="122">
        <f t="shared" si="88"/>
        <v>0</v>
      </c>
      <c r="P215" s="122">
        <f t="shared" si="89"/>
        <v>0</v>
      </c>
      <c r="Q215" s="123">
        <f t="shared" si="90"/>
        <v>2566.8000000000002</v>
      </c>
      <c r="R215" s="123">
        <f t="shared" si="96"/>
        <v>-2566.8000000000002</v>
      </c>
      <c r="S215" s="582">
        <v>0</v>
      </c>
      <c r="T215" s="123">
        <f t="shared" si="97"/>
        <v>-2566.8000000000002</v>
      </c>
      <c r="U215" s="25">
        <f t="shared" si="91"/>
        <v>588.6</v>
      </c>
      <c r="V215" s="123">
        <f t="shared" si="92"/>
        <v>-588.6</v>
      </c>
      <c r="W215" s="334">
        <f t="shared" si="93"/>
        <v>36.6</v>
      </c>
      <c r="Y215" s="109">
        <f>IF(AE215=1,IF(Y214=MiscData!$F$1,EOMONTH(Y214,-11),EOMONTH(Y214,1)),Y214)</f>
        <v>42460</v>
      </c>
      <c r="Z215" s="108" t="str">
        <f t="shared" si="78"/>
        <v>20140101LGUM_477</v>
      </c>
      <c r="AA215" s="126" t="str">
        <f t="shared" si="79"/>
        <v>20140101RLS</v>
      </c>
      <c r="AB215" s="583" t="str">
        <f t="shared" si="98"/>
        <v>477</v>
      </c>
      <c r="AD215" s="98">
        <f>MiscData!$X$5</f>
        <v>20140101</v>
      </c>
      <c r="AE215" s="98">
        <f>IF(AE214+1&gt;MiscData!$AC$77,1,AE214+1)</f>
        <v>66</v>
      </c>
      <c r="AF215" s="98" t="str">
        <f>VLOOKUP(AE215,MiscData!$AC$5:$AD$77,2,FALSE)</f>
        <v>LGUM_477</v>
      </c>
      <c r="AG215" s="98" t="str">
        <f>VLOOKUP(AF215,MiscData!$AD$5:$AE$77,2,FALSE)</f>
        <v>RLS</v>
      </c>
      <c r="AP215" s="98" t="s">
        <v>301</v>
      </c>
      <c r="AR215" s="98">
        <v>0</v>
      </c>
    </row>
    <row r="216" spans="1:44">
      <c r="A216" s="108">
        <f t="shared" si="99"/>
        <v>213</v>
      </c>
      <c r="B216" s="109" t="str">
        <f t="shared" si="75"/>
        <v>Mar 2016</v>
      </c>
      <c r="C216" s="110" t="str">
        <f t="shared" si="76"/>
        <v xml:space="preserve">LS </v>
      </c>
      <c r="D216" s="110" t="str">
        <f t="shared" si="77"/>
        <v>LGUM_479</v>
      </c>
      <c r="E216" s="581">
        <f t="shared" si="80"/>
        <v>0</v>
      </c>
      <c r="F216" s="581">
        <f t="shared" si="81"/>
        <v>0</v>
      </c>
      <c r="G216" s="116">
        <f t="shared" si="82"/>
        <v>14.06</v>
      </c>
      <c r="H216" s="116">
        <f t="shared" si="83"/>
        <v>1.370000000000001</v>
      </c>
      <c r="I216" s="118">
        <f t="shared" si="94"/>
        <v>0</v>
      </c>
      <c r="J216" s="118">
        <f t="shared" si="84"/>
        <v>0</v>
      </c>
      <c r="K216" s="570">
        <f t="shared" si="95"/>
        <v>0</v>
      </c>
      <c r="L216" s="121">
        <f t="shared" si="85"/>
        <v>1</v>
      </c>
      <c r="M216" s="122">
        <f t="shared" si="86"/>
        <v>0</v>
      </c>
      <c r="N216" s="122">
        <f t="shared" si="87"/>
        <v>0</v>
      </c>
      <c r="O216" s="122">
        <f t="shared" si="88"/>
        <v>0</v>
      </c>
      <c r="P216" s="122">
        <f t="shared" si="89"/>
        <v>0</v>
      </c>
      <c r="Q216" s="123">
        <f t="shared" si="90"/>
        <v>0</v>
      </c>
      <c r="R216" s="123">
        <f t="shared" si="96"/>
        <v>0</v>
      </c>
      <c r="S216" s="582">
        <v>0</v>
      </c>
      <c r="T216" s="123">
        <f t="shared" si="97"/>
        <v>0</v>
      </c>
      <c r="U216" s="25">
        <f t="shared" si="91"/>
        <v>0</v>
      </c>
      <c r="V216" s="123">
        <f t="shared" si="92"/>
        <v>0</v>
      </c>
      <c r="W216" s="334">
        <f t="shared" si="93"/>
        <v>0</v>
      </c>
      <c r="Y216" s="109">
        <f>IF(AE216=1,IF(Y215=MiscData!$F$1,EOMONTH(Y215,-11),EOMONTH(Y215,1)),Y215)</f>
        <v>42460</v>
      </c>
      <c r="Z216" s="108" t="str">
        <f t="shared" si="78"/>
        <v>20140101LGUM_479</v>
      </c>
      <c r="AA216" s="126" t="str">
        <f t="shared" si="79"/>
        <v xml:space="preserve">20140101LS </v>
      </c>
      <c r="AB216" s="583" t="str">
        <f t="shared" si="98"/>
        <v>479</v>
      </c>
      <c r="AD216" s="98">
        <f>MiscData!$X$5</f>
        <v>20140101</v>
      </c>
      <c r="AE216" s="98">
        <f>IF(AE215+1&gt;MiscData!$AC$77,1,AE215+1)</f>
        <v>67</v>
      </c>
      <c r="AF216" s="98" t="str">
        <f>VLOOKUP(AE216,MiscData!$AC$5:$AD$77,2,FALSE)</f>
        <v>LGUM_479</v>
      </c>
      <c r="AG216" s="98" t="str">
        <f>VLOOKUP(AF216,MiscData!$AD$5:$AE$77,2,FALSE)</f>
        <v xml:space="preserve">LS </v>
      </c>
      <c r="AP216" s="98" t="s">
        <v>302</v>
      </c>
      <c r="AR216" s="98">
        <v>-72.650000000000006</v>
      </c>
    </row>
    <row r="217" spans="1:44">
      <c r="A217" s="108">
        <f t="shared" si="99"/>
        <v>214</v>
      </c>
      <c r="B217" s="109" t="str">
        <f t="shared" si="75"/>
        <v>Mar 2016</v>
      </c>
      <c r="C217" s="110" t="str">
        <f t="shared" si="76"/>
        <v xml:space="preserve">LS </v>
      </c>
      <c r="D217" s="110" t="str">
        <f t="shared" si="77"/>
        <v>LGUM_480</v>
      </c>
      <c r="E217" s="581">
        <f t="shared" si="80"/>
        <v>18</v>
      </c>
      <c r="F217" s="581">
        <f t="shared" si="81"/>
        <v>0</v>
      </c>
      <c r="G217" s="116">
        <f t="shared" si="82"/>
        <v>23.83</v>
      </c>
      <c r="H217" s="116">
        <f t="shared" si="83"/>
        <v>1.370000000000001</v>
      </c>
      <c r="I217" s="118">
        <f t="shared" si="94"/>
        <v>428.94</v>
      </c>
      <c r="J217" s="118">
        <f t="shared" si="84"/>
        <v>428.94</v>
      </c>
      <c r="K217" s="570">
        <f t="shared" si="95"/>
        <v>0</v>
      </c>
      <c r="L217" s="121">
        <f t="shared" si="85"/>
        <v>0</v>
      </c>
      <c r="M217" s="122">
        <f t="shared" si="86"/>
        <v>0</v>
      </c>
      <c r="N217" s="122">
        <f t="shared" si="87"/>
        <v>0</v>
      </c>
      <c r="O217" s="122">
        <f t="shared" si="88"/>
        <v>0</v>
      </c>
      <c r="P217" s="122">
        <f t="shared" si="89"/>
        <v>0</v>
      </c>
      <c r="Q217" s="123">
        <f t="shared" si="90"/>
        <v>428.94</v>
      </c>
      <c r="R217" s="123">
        <f t="shared" si="96"/>
        <v>-428.94</v>
      </c>
      <c r="S217" s="582">
        <v>0</v>
      </c>
      <c r="T217" s="123">
        <f t="shared" si="97"/>
        <v>-428.94</v>
      </c>
      <c r="U217" s="25">
        <f t="shared" si="91"/>
        <v>24.66</v>
      </c>
      <c r="V217" s="123">
        <f t="shared" si="92"/>
        <v>-24.66</v>
      </c>
      <c r="W217" s="334">
        <f t="shared" si="93"/>
        <v>4.8600000000000003</v>
      </c>
      <c r="Y217" s="109">
        <f>IF(AE217=1,IF(Y216=MiscData!$F$1,EOMONTH(Y216,-11),EOMONTH(Y216,1)),Y216)</f>
        <v>42460</v>
      </c>
      <c r="Z217" s="108" t="str">
        <f t="shared" si="78"/>
        <v>20140101LGUM_480</v>
      </c>
      <c r="AA217" s="126" t="str">
        <f t="shared" si="79"/>
        <v xml:space="preserve">20140101LS </v>
      </c>
      <c r="AB217" s="583" t="str">
        <f t="shared" si="98"/>
        <v>480</v>
      </c>
      <c r="AD217" s="98">
        <f>MiscData!$X$5</f>
        <v>20140101</v>
      </c>
      <c r="AE217" s="98">
        <f>IF(AE216+1&gt;MiscData!$AC$77,1,AE216+1)</f>
        <v>68</v>
      </c>
      <c r="AF217" s="98" t="str">
        <f>VLOOKUP(AE217,MiscData!$AC$5:$AD$77,2,FALSE)</f>
        <v>LGUM_480</v>
      </c>
      <c r="AG217" s="98" t="str">
        <f>VLOOKUP(AF217,MiscData!$AD$5:$AE$77,2,FALSE)</f>
        <v xml:space="preserve">LS </v>
      </c>
      <c r="AP217" s="98" t="s">
        <v>303</v>
      </c>
      <c r="AR217" s="98">
        <v>0</v>
      </c>
    </row>
    <row r="218" spans="1:44">
      <c r="A218" s="108">
        <f t="shared" si="99"/>
        <v>215</v>
      </c>
      <c r="B218" s="109" t="str">
        <f t="shared" si="75"/>
        <v>Mar 2016</v>
      </c>
      <c r="C218" s="110" t="str">
        <f t="shared" si="76"/>
        <v xml:space="preserve">LS </v>
      </c>
      <c r="D218" s="110" t="str">
        <f t="shared" si="77"/>
        <v>LGUM_481</v>
      </c>
      <c r="E218" s="581">
        <f t="shared" si="80"/>
        <v>4</v>
      </c>
      <c r="F218" s="581">
        <f t="shared" si="81"/>
        <v>0</v>
      </c>
      <c r="G218" s="116">
        <f t="shared" si="82"/>
        <v>20.46</v>
      </c>
      <c r="H218" s="116">
        <f t="shared" si="83"/>
        <v>3.1800000000000033</v>
      </c>
      <c r="I218" s="118">
        <f t="shared" si="94"/>
        <v>81.84</v>
      </c>
      <c r="J218" s="118">
        <f t="shared" si="84"/>
        <v>81.84</v>
      </c>
      <c r="K218" s="570">
        <f t="shared" si="95"/>
        <v>0</v>
      </c>
      <c r="L218" s="121">
        <f t="shared" si="85"/>
        <v>0</v>
      </c>
      <c r="M218" s="122">
        <f t="shared" si="86"/>
        <v>0</v>
      </c>
      <c r="N218" s="122">
        <f t="shared" si="87"/>
        <v>0</v>
      </c>
      <c r="O218" s="122">
        <f t="shared" si="88"/>
        <v>0</v>
      </c>
      <c r="P218" s="122">
        <f t="shared" si="89"/>
        <v>0</v>
      </c>
      <c r="Q218" s="123">
        <f t="shared" si="90"/>
        <v>81.84</v>
      </c>
      <c r="R218" s="123">
        <f t="shared" si="96"/>
        <v>-81.84</v>
      </c>
      <c r="S218" s="582">
        <v>0</v>
      </c>
      <c r="T218" s="123">
        <f t="shared" si="97"/>
        <v>-81.84</v>
      </c>
      <c r="U218" s="25">
        <f t="shared" si="91"/>
        <v>12.72</v>
      </c>
      <c r="V218" s="123">
        <f t="shared" si="92"/>
        <v>-12.72</v>
      </c>
      <c r="W218" s="334">
        <f t="shared" si="93"/>
        <v>1.2</v>
      </c>
      <c r="Y218" s="109">
        <f>IF(AE218=1,IF(Y217=MiscData!$F$1,EOMONTH(Y217,-11),EOMONTH(Y217,1)),Y217)</f>
        <v>42460</v>
      </c>
      <c r="Z218" s="108" t="str">
        <f t="shared" si="78"/>
        <v>20140101LGUM_481</v>
      </c>
      <c r="AA218" s="126" t="str">
        <f t="shared" si="79"/>
        <v xml:space="preserve">20140101LS </v>
      </c>
      <c r="AB218" s="583" t="str">
        <f t="shared" si="98"/>
        <v>481</v>
      </c>
      <c r="AD218" s="98">
        <f>MiscData!$X$5</f>
        <v>20140101</v>
      </c>
      <c r="AE218" s="98">
        <f>IF(AE217+1&gt;MiscData!$AC$77,1,AE217+1)</f>
        <v>69</v>
      </c>
      <c r="AF218" s="98" t="str">
        <f>VLOOKUP(AE218,MiscData!$AC$5:$AD$77,2,FALSE)</f>
        <v>LGUM_481</v>
      </c>
      <c r="AG218" s="98" t="str">
        <f>VLOOKUP(AF218,MiscData!$AD$5:$AE$77,2,FALSE)</f>
        <v xml:space="preserve">LS </v>
      </c>
      <c r="AP218" s="98" t="s">
        <v>304</v>
      </c>
      <c r="AR218" s="98">
        <v>0</v>
      </c>
    </row>
    <row r="219" spans="1:44">
      <c r="A219" s="108">
        <f t="shared" si="99"/>
        <v>216</v>
      </c>
      <c r="B219" s="109" t="str">
        <f t="shared" si="75"/>
        <v>Mar 2016</v>
      </c>
      <c r="C219" s="110" t="str">
        <f t="shared" si="76"/>
        <v xml:space="preserve">LS </v>
      </c>
      <c r="D219" s="110" t="str">
        <f t="shared" si="77"/>
        <v>LGUM_482</v>
      </c>
      <c r="E219" s="581">
        <f t="shared" si="80"/>
        <v>41</v>
      </c>
      <c r="F219" s="581">
        <f t="shared" si="81"/>
        <v>0</v>
      </c>
      <c r="G219" s="116">
        <f t="shared" si="82"/>
        <v>30.21</v>
      </c>
      <c r="H219" s="116">
        <f t="shared" si="83"/>
        <v>3.1800000000000033</v>
      </c>
      <c r="I219" s="118">
        <f t="shared" si="94"/>
        <v>1238.6099999999999</v>
      </c>
      <c r="J219" s="118">
        <f t="shared" si="84"/>
        <v>1238.6099999999999</v>
      </c>
      <c r="K219" s="570">
        <f t="shared" si="95"/>
        <v>0</v>
      </c>
      <c r="L219" s="121">
        <f t="shared" si="85"/>
        <v>0</v>
      </c>
      <c r="M219" s="122">
        <f t="shared" si="86"/>
        <v>0</v>
      </c>
      <c r="N219" s="122">
        <f t="shared" si="87"/>
        <v>0</v>
      </c>
      <c r="O219" s="122">
        <f t="shared" si="88"/>
        <v>0</v>
      </c>
      <c r="P219" s="122">
        <f t="shared" si="89"/>
        <v>0</v>
      </c>
      <c r="Q219" s="123">
        <f t="shared" si="90"/>
        <v>1238.6099999999999</v>
      </c>
      <c r="R219" s="123">
        <f t="shared" si="96"/>
        <v>-1238.6099999999999</v>
      </c>
      <c r="S219" s="582">
        <v>0</v>
      </c>
      <c r="T219" s="123">
        <f t="shared" si="97"/>
        <v>-1238.6099999999999</v>
      </c>
      <c r="U219" s="25">
        <f t="shared" si="91"/>
        <v>130.38</v>
      </c>
      <c r="V219" s="123">
        <f t="shared" si="92"/>
        <v>-130.38</v>
      </c>
      <c r="W219" s="334">
        <f t="shared" si="93"/>
        <v>12.299999999999999</v>
      </c>
      <c r="Y219" s="109">
        <f>IF(AE219=1,IF(Y218=MiscData!$F$1,EOMONTH(Y218,-11),EOMONTH(Y218,1)),Y218)</f>
        <v>42460</v>
      </c>
      <c r="Z219" s="108" t="str">
        <f t="shared" si="78"/>
        <v>20140101LGUM_482</v>
      </c>
      <c r="AA219" s="126" t="str">
        <f t="shared" si="79"/>
        <v xml:space="preserve">20140101LS </v>
      </c>
      <c r="AB219" s="583" t="str">
        <f t="shared" si="98"/>
        <v>482</v>
      </c>
      <c r="AD219" s="98">
        <f>MiscData!$X$5</f>
        <v>20140101</v>
      </c>
      <c r="AE219" s="98">
        <f>IF(AE218+1&gt;MiscData!$AC$77,1,AE218+1)</f>
        <v>70</v>
      </c>
      <c r="AF219" s="98" t="str">
        <f>VLOOKUP(AE219,MiscData!$AC$5:$AD$77,2,FALSE)</f>
        <v>LGUM_482</v>
      </c>
      <c r="AG219" s="98" t="str">
        <f>VLOOKUP(AF219,MiscData!$AD$5:$AE$77,2,FALSE)</f>
        <v xml:space="preserve">LS </v>
      </c>
      <c r="AP219" s="98" t="s">
        <v>305</v>
      </c>
      <c r="AR219" s="98">
        <v>0</v>
      </c>
    </row>
    <row r="220" spans="1:44">
      <c r="A220" s="108">
        <f t="shared" si="99"/>
        <v>217</v>
      </c>
      <c r="B220" s="109" t="str">
        <f t="shared" si="75"/>
        <v>Mar 2016</v>
      </c>
      <c r="C220" s="110" t="str">
        <f t="shared" si="76"/>
        <v xml:space="preserve">LS </v>
      </c>
      <c r="D220" s="110" t="str">
        <f t="shared" si="77"/>
        <v>LGUM_483</v>
      </c>
      <c r="E220" s="581">
        <f t="shared" si="80"/>
        <v>2</v>
      </c>
      <c r="F220" s="581">
        <f t="shared" si="81"/>
        <v>0</v>
      </c>
      <c r="G220" s="116">
        <f t="shared" si="82"/>
        <v>42.56</v>
      </c>
      <c r="H220" s="116">
        <f t="shared" si="83"/>
        <v>9.8100000000000023</v>
      </c>
      <c r="I220" s="118">
        <f t="shared" si="94"/>
        <v>85.12</v>
      </c>
      <c r="J220" s="118">
        <f t="shared" si="84"/>
        <v>85.12</v>
      </c>
      <c r="K220" s="570">
        <f t="shared" si="95"/>
        <v>0</v>
      </c>
      <c r="L220" s="121">
        <f t="shared" si="85"/>
        <v>0</v>
      </c>
      <c r="M220" s="122">
        <f t="shared" si="86"/>
        <v>0</v>
      </c>
      <c r="N220" s="122">
        <f t="shared" si="87"/>
        <v>0</v>
      </c>
      <c r="O220" s="122">
        <f t="shared" si="88"/>
        <v>0</v>
      </c>
      <c r="P220" s="122">
        <f t="shared" si="89"/>
        <v>0</v>
      </c>
      <c r="Q220" s="123">
        <f t="shared" si="90"/>
        <v>85.12</v>
      </c>
      <c r="R220" s="123">
        <f>ROUND(P220-Q220,2)</f>
        <v>-85.12</v>
      </c>
      <c r="S220" s="582">
        <v>0</v>
      </c>
      <c r="T220" s="123">
        <f t="shared" si="97"/>
        <v>-85.12</v>
      </c>
      <c r="U220" s="25">
        <f t="shared" si="91"/>
        <v>19.62</v>
      </c>
      <c r="V220" s="123">
        <f t="shared" si="92"/>
        <v>-19.62</v>
      </c>
      <c r="W220" s="334">
        <f t="shared" si="93"/>
        <v>1.22</v>
      </c>
      <c r="Y220" s="109">
        <f>IF(AE220=1,IF(Y219=MiscData!$F$1,EOMONTH(Y219,-11),EOMONTH(Y219,1)),Y219)</f>
        <v>42460</v>
      </c>
      <c r="Z220" s="108" t="str">
        <f t="shared" si="78"/>
        <v>20140101LGUM_483</v>
      </c>
      <c r="AA220" s="126" t="str">
        <f t="shared" si="79"/>
        <v xml:space="preserve">20140101LS </v>
      </c>
      <c r="AB220" s="583" t="str">
        <f t="shared" si="98"/>
        <v>483</v>
      </c>
      <c r="AD220" s="98">
        <f>MiscData!$X$5</f>
        <v>20140101</v>
      </c>
      <c r="AE220" s="98">
        <f>IF(AE219+1&gt;MiscData!$AC$77,1,AE219+1)</f>
        <v>71</v>
      </c>
      <c r="AF220" s="98" t="str">
        <f>VLOOKUP(AE220,MiscData!$AC$5:$AD$77,2,FALSE)</f>
        <v>LGUM_483</v>
      </c>
      <c r="AG220" s="98" t="str">
        <f>VLOOKUP(AF220,MiscData!$AD$5:$AE$77,2,FALSE)</f>
        <v xml:space="preserve">LS </v>
      </c>
      <c r="AP220" s="98" t="s">
        <v>306</v>
      </c>
      <c r="AR220" s="98">
        <v>0</v>
      </c>
    </row>
    <row r="221" spans="1:44">
      <c r="A221" s="108">
        <f t="shared" si="99"/>
        <v>218</v>
      </c>
      <c r="B221" s="109" t="str">
        <f t="shared" si="75"/>
        <v>Mar 2016</v>
      </c>
      <c r="C221" s="110" t="str">
        <f t="shared" si="76"/>
        <v xml:space="preserve">LS </v>
      </c>
      <c r="D221" s="110" t="str">
        <f t="shared" si="77"/>
        <v>LGUM_484</v>
      </c>
      <c r="E221" s="581">
        <f t="shared" si="80"/>
        <v>13</v>
      </c>
      <c r="F221" s="581">
        <f t="shared" si="81"/>
        <v>0</v>
      </c>
      <c r="G221" s="116">
        <f t="shared" si="82"/>
        <v>52.31</v>
      </c>
      <c r="H221" s="116">
        <f t="shared" si="83"/>
        <v>9.8100000000000023</v>
      </c>
      <c r="I221" s="118">
        <f t="shared" si="94"/>
        <v>680.03</v>
      </c>
      <c r="J221" s="118">
        <f t="shared" si="84"/>
        <v>680.03</v>
      </c>
      <c r="K221" s="570">
        <f t="shared" si="95"/>
        <v>0</v>
      </c>
      <c r="L221" s="121">
        <f t="shared" si="85"/>
        <v>0</v>
      </c>
      <c r="M221" s="122">
        <f t="shared" si="86"/>
        <v>0</v>
      </c>
      <c r="N221" s="122">
        <f t="shared" si="87"/>
        <v>0</v>
      </c>
      <c r="O221" s="122">
        <f t="shared" si="88"/>
        <v>0</v>
      </c>
      <c r="P221" s="122">
        <f t="shared" si="89"/>
        <v>0</v>
      </c>
      <c r="Q221" s="123">
        <f t="shared" si="90"/>
        <v>680.03</v>
      </c>
      <c r="R221" s="123">
        <f t="shared" si="96"/>
        <v>-680.03</v>
      </c>
      <c r="S221" s="582">
        <v>0</v>
      </c>
      <c r="T221" s="123">
        <f t="shared" si="97"/>
        <v>-680.03</v>
      </c>
      <c r="U221" s="25">
        <f t="shared" si="91"/>
        <v>127.53</v>
      </c>
      <c r="V221" s="123">
        <f t="shared" si="92"/>
        <v>-127.53</v>
      </c>
      <c r="W221" s="334">
        <f t="shared" si="93"/>
        <v>7.93</v>
      </c>
      <c r="Y221" s="109">
        <f>IF(AE221=1,IF(Y220=MiscData!$F$1,EOMONTH(Y220,-11),EOMONTH(Y220,1)),Y220)</f>
        <v>42460</v>
      </c>
      <c r="Z221" s="108" t="str">
        <f t="shared" si="78"/>
        <v>20140101LGUM_484</v>
      </c>
      <c r="AA221" s="126" t="str">
        <f t="shared" si="79"/>
        <v xml:space="preserve">20140101LS </v>
      </c>
      <c r="AB221" s="583" t="str">
        <f t="shared" si="98"/>
        <v>484</v>
      </c>
      <c r="AD221" s="98">
        <f>MiscData!$X$5</f>
        <v>20140101</v>
      </c>
      <c r="AE221" s="98">
        <f>IF(AE220+1&gt;MiscData!$AC$77,1,AE220+1)</f>
        <v>72</v>
      </c>
      <c r="AF221" s="98" t="str">
        <f>VLOOKUP(AE221,MiscData!$AC$5:$AD$77,2,FALSE)</f>
        <v>LGUM_484</v>
      </c>
      <c r="AG221" s="98" t="str">
        <f>VLOOKUP(AF221,MiscData!$AD$5:$AE$77,2,FALSE)</f>
        <v xml:space="preserve">LS </v>
      </c>
      <c r="AP221" s="98" t="s">
        <v>307</v>
      </c>
      <c r="AR221" s="98">
        <v>34.64</v>
      </c>
    </row>
    <row r="222" spans="1:44">
      <c r="A222" s="108">
        <f t="shared" si="99"/>
        <v>219</v>
      </c>
      <c r="B222" s="109" t="str">
        <f t="shared" ref="B222:B253" si="100">TEXT(Y222,"mmm yyyy")</f>
        <v>Mar 2016</v>
      </c>
      <c r="C222" s="110" t="str">
        <f t="shared" ref="C222:C253" si="101">AG222</f>
        <v>ODL</v>
      </c>
      <c r="D222" s="110" t="str">
        <f t="shared" ref="D222:D253" si="102">AF222</f>
        <v>ODL</v>
      </c>
      <c r="E222" s="581">
        <f t="shared" si="80"/>
        <v>0</v>
      </c>
      <c r="F222" s="581">
        <f t="shared" si="81"/>
        <v>12095163</v>
      </c>
      <c r="G222" s="116">
        <f t="shared" si="82"/>
        <v>0</v>
      </c>
      <c r="H222" s="116">
        <f t="shared" si="83"/>
        <v>0</v>
      </c>
      <c r="I222" s="118">
        <f t="shared" si="94"/>
        <v>0</v>
      </c>
      <c r="J222" s="118">
        <f t="shared" si="84"/>
        <v>0</v>
      </c>
      <c r="K222" s="570">
        <f t="shared" si="95"/>
        <v>1531196</v>
      </c>
      <c r="L222" s="121">
        <f t="shared" si="85"/>
        <v>0</v>
      </c>
      <c r="M222" s="122">
        <f t="shared" si="86"/>
        <v>-17056</v>
      </c>
      <c r="N222" s="122">
        <f t="shared" si="87"/>
        <v>125413</v>
      </c>
      <c r="O222" s="122">
        <f t="shared" si="88"/>
        <v>0</v>
      </c>
      <c r="P222" s="122">
        <f t="shared" si="89"/>
        <v>1639553</v>
      </c>
      <c r="Q222" s="123">
        <f t="shared" si="90"/>
        <v>108357</v>
      </c>
      <c r="R222" s="123">
        <f t="shared" si="96"/>
        <v>1531196</v>
      </c>
      <c r="S222" s="582">
        <v>0</v>
      </c>
      <c r="T222" s="123">
        <f t="shared" si="97"/>
        <v>1531196</v>
      </c>
      <c r="U222" s="25">
        <f t="shared" si="91"/>
        <v>0</v>
      </c>
      <c r="V222" s="123">
        <f t="shared" si="92"/>
        <v>1531196</v>
      </c>
      <c r="W222" s="334">
        <f t="shared" si="93"/>
        <v>0</v>
      </c>
      <c r="Y222" s="109">
        <f>IF(AE222=1,IF(Y221=MiscData!$F$1,EOMONTH(Y221,-11),EOMONTH(Y221,1)),Y221)</f>
        <v>42460</v>
      </c>
      <c r="Z222" s="108" t="str">
        <f t="shared" ref="Z222:Z261" si="103">CONCATENATE(AD222&amp;AF222)</f>
        <v>20140101ODL</v>
      </c>
      <c r="AA222" s="126" t="str">
        <f t="shared" ref="AA222:AA261" si="104">CONCATENATE(AD222&amp;AG222)</f>
        <v>20140101ODL</v>
      </c>
      <c r="AB222" s="583" t="str">
        <f t="shared" si="98"/>
        <v>ODL</v>
      </c>
      <c r="AD222" s="98">
        <f>MiscData!$X$5</f>
        <v>20140101</v>
      </c>
      <c r="AE222" s="98">
        <f>IF(AE221+1&gt;MiscData!$AC$77,1,AE221+1)</f>
        <v>73</v>
      </c>
      <c r="AF222" s="98" t="str">
        <f>VLOOKUP(AE222,MiscData!$AC$5:$AD$77,2,FALSE)</f>
        <v>ODL</v>
      </c>
      <c r="AG222" s="98" t="str">
        <f>VLOOKUP(AF222,MiscData!$AD$5:$AE$77,2,FALSE)</f>
        <v>ODL</v>
      </c>
      <c r="AP222" s="98" t="s">
        <v>308</v>
      </c>
      <c r="AR222" s="98">
        <v>124.52</v>
      </c>
    </row>
    <row r="223" spans="1:44">
      <c r="A223" s="108">
        <f t="shared" si="99"/>
        <v>220</v>
      </c>
      <c r="B223" s="109" t="str">
        <f t="shared" si="100"/>
        <v>Apr 2016</v>
      </c>
      <c r="C223" s="110" t="str">
        <f t="shared" si="101"/>
        <v>RLS</v>
      </c>
      <c r="D223" s="110" t="str">
        <f t="shared" si="102"/>
        <v>LGUM_201</v>
      </c>
      <c r="E223" s="581">
        <f t="shared" si="80"/>
        <v>77</v>
      </c>
      <c r="F223" s="581">
        <f t="shared" si="81"/>
        <v>0</v>
      </c>
      <c r="G223" s="116">
        <f t="shared" si="82"/>
        <v>8.14</v>
      </c>
      <c r="H223" s="116">
        <f t="shared" si="83"/>
        <v>1.0899999999999999</v>
      </c>
      <c r="I223" s="118">
        <f t="shared" si="94"/>
        <v>626.78</v>
      </c>
      <c r="J223" s="118">
        <f t="shared" si="84"/>
        <v>626.78</v>
      </c>
      <c r="K223" s="570">
        <f t="shared" si="95"/>
        <v>0</v>
      </c>
      <c r="L223" s="121">
        <f t="shared" si="85"/>
        <v>0</v>
      </c>
      <c r="M223" s="122">
        <f t="shared" si="86"/>
        <v>0</v>
      </c>
      <c r="N223" s="122">
        <f t="shared" si="87"/>
        <v>0</v>
      </c>
      <c r="O223" s="122">
        <f t="shared" si="88"/>
        <v>0</v>
      </c>
      <c r="P223" s="122">
        <f t="shared" si="89"/>
        <v>0</v>
      </c>
      <c r="Q223" s="123">
        <f t="shared" si="90"/>
        <v>626.78</v>
      </c>
      <c r="R223" s="123">
        <f t="shared" si="96"/>
        <v>-626.78</v>
      </c>
      <c r="S223" s="582">
        <v>0</v>
      </c>
      <c r="T223" s="123">
        <f t="shared" si="97"/>
        <v>-626.78</v>
      </c>
      <c r="U223" s="25">
        <f t="shared" si="91"/>
        <v>83.93</v>
      </c>
      <c r="V223" s="123">
        <f t="shared" si="92"/>
        <v>-83.93</v>
      </c>
      <c r="W223" s="334">
        <f t="shared" si="93"/>
        <v>12.32</v>
      </c>
      <c r="Y223" s="109">
        <f>IF(AE223=1,IF(Y222=MiscData!$F$1,EOMONTH(Y222,-11),EOMONTH(Y222,1)),Y222)</f>
        <v>42490</v>
      </c>
      <c r="Z223" s="108" t="str">
        <f t="shared" si="103"/>
        <v>20140101LGUM_201</v>
      </c>
      <c r="AA223" s="126" t="str">
        <f t="shared" si="104"/>
        <v>20140101RLS</v>
      </c>
      <c r="AB223" s="583" t="str">
        <f t="shared" si="98"/>
        <v>201</v>
      </c>
      <c r="AD223" s="98">
        <f>MiscData!$X$5</f>
        <v>20140101</v>
      </c>
      <c r="AE223" s="98">
        <f>IF(AE222+1&gt;MiscData!$AC$77,1,AE222+1)</f>
        <v>1</v>
      </c>
      <c r="AF223" s="98" t="str">
        <f>VLOOKUP(AE223,MiscData!$AC$5:$AD$77,2,FALSE)</f>
        <v>LGUM_201</v>
      </c>
      <c r="AG223" s="98" t="str">
        <f>VLOOKUP(AF223,MiscData!$AD$5:$AE$77,2,FALSE)</f>
        <v>RLS</v>
      </c>
      <c r="AP223" s="98" t="s">
        <v>309</v>
      </c>
      <c r="AR223" s="98">
        <v>8271.08</v>
      </c>
    </row>
    <row r="224" spans="1:44">
      <c r="A224" s="108">
        <f t="shared" si="99"/>
        <v>221</v>
      </c>
      <c r="B224" s="109" t="str">
        <f t="shared" si="100"/>
        <v>Apr 2016</v>
      </c>
      <c r="C224" s="110" t="str">
        <f t="shared" si="101"/>
        <v>RLS</v>
      </c>
      <c r="D224" s="110" t="str">
        <f t="shared" si="102"/>
        <v>LGUM_203</v>
      </c>
      <c r="E224" s="581">
        <f t="shared" si="80"/>
        <v>3744</v>
      </c>
      <c r="F224" s="581">
        <f t="shared" si="81"/>
        <v>0</v>
      </c>
      <c r="G224" s="116">
        <f t="shared" si="82"/>
        <v>10.959999999999999</v>
      </c>
      <c r="H224" s="116">
        <f t="shared" si="83"/>
        <v>2.7099999999999991</v>
      </c>
      <c r="I224" s="118">
        <f t="shared" si="94"/>
        <v>41034.239999999998</v>
      </c>
      <c r="J224" s="118">
        <f t="shared" si="84"/>
        <v>41034.239999999998</v>
      </c>
      <c r="K224" s="570">
        <f t="shared" si="95"/>
        <v>0</v>
      </c>
      <c r="L224" s="121">
        <f t="shared" si="85"/>
        <v>0</v>
      </c>
      <c r="M224" s="122">
        <f t="shared" si="86"/>
        <v>0</v>
      </c>
      <c r="N224" s="122">
        <f t="shared" si="87"/>
        <v>0</v>
      </c>
      <c r="O224" s="122">
        <f t="shared" si="88"/>
        <v>0</v>
      </c>
      <c r="P224" s="122">
        <f t="shared" si="89"/>
        <v>0</v>
      </c>
      <c r="Q224" s="123">
        <f t="shared" si="90"/>
        <v>41034.239999999998</v>
      </c>
      <c r="R224" s="123">
        <f t="shared" si="96"/>
        <v>-41034.239999999998</v>
      </c>
      <c r="S224" s="582">
        <v>0</v>
      </c>
      <c r="T224" s="123">
        <f t="shared" si="97"/>
        <v>-41034.239999999998</v>
      </c>
      <c r="U224" s="25">
        <f t="shared" si="91"/>
        <v>10146.24</v>
      </c>
      <c r="V224" s="123">
        <f t="shared" si="92"/>
        <v>-10146.24</v>
      </c>
      <c r="W224" s="334">
        <f t="shared" si="93"/>
        <v>673.92</v>
      </c>
      <c r="Y224" s="109">
        <f>IF(AE224=1,IF(Y223=MiscData!$F$1,EOMONTH(Y223,-11),EOMONTH(Y223,1)),Y223)</f>
        <v>42490</v>
      </c>
      <c r="Z224" s="108" t="str">
        <f t="shared" si="103"/>
        <v>20140101LGUM_203</v>
      </c>
      <c r="AA224" s="126" t="str">
        <f t="shared" si="104"/>
        <v>20140101RLS</v>
      </c>
      <c r="AB224" s="583" t="str">
        <f t="shared" si="98"/>
        <v>203</v>
      </c>
      <c r="AD224" s="98">
        <f>MiscData!$X$5</f>
        <v>20140101</v>
      </c>
      <c r="AE224" s="98">
        <f>IF(AE223+1&gt;MiscData!$AC$77,1,AE223+1)</f>
        <v>2</v>
      </c>
      <c r="AF224" s="98" t="str">
        <f>VLOOKUP(AE224,MiscData!$AC$5:$AD$77,2,FALSE)</f>
        <v>LGUM_203</v>
      </c>
      <c r="AG224" s="98" t="str">
        <f>VLOOKUP(AF224,MiscData!$AD$5:$AE$77,2,FALSE)</f>
        <v>RLS</v>
      </c>
      <c r="AP224" s="98" t="s">
        <v>310</v>
      </c>
      <c r="AR224" s="98">
        <v>0</v>
      </c>
    </row>
    <row r="225" spans="1:44">
      <c r="A225" s="108">
        <f t="shared" si="99"/>
        <v>222</v>
      </c>
      <c r="B225" s="109" t="str">
        <f t="shared" si="100"/>
        <v>Apr 2016</v>
      </c>
      <c r="C225" s="110" t="str">
        <f t="shared" si="101"/>
        <v>RLS</v>
      </c>
      <c r="D225" s="110" t="str">
        <f t="shared" si="102"/>
        <v>LGUM_204</v>
      </c>
      <c r="E225" s="581">
        <f t="shared" si="80"/>
        <v>3750</v>
      </c>
      <c r="F225" s="581">
        <f t="shared" si="81"/>
        <v>0</v>
      </c>
      <c r="G225" s="116">
        <f t="shared" si="82"/>
        <v>13.510000000000002</v>
      </c>
      <c r="H225" s="116">
        <f t="shared" si="83"/>
        <v>4.2000000000000011</v>
      </c>
      <c r="I225" s="118">
        <f t="shared" si="94"/>
        <v>50662.5</v>
      </c>
      <c r="J225" s="118">
        <f t="shared" si="84"/>
        <v>50662.5</v>
      </c>
      <c r="K225" s="570">
        <f t="shared" si="95"/>
        <v>0</v>
      </c>
      <c r="L225" s="121">
        <f t="shared" si="85"/>
        <v>0</v>
      </c>
      <c r="M225" s="122">
        <f t="shared" si="86"/>
        <v>0</v>
      </c>
      <c r="N225" s="122">
        <f t="shared" si="87"/>
        <v>0</v>
      </c>
      <c r="O225" s="122">
        <f t="shared" si="88"/>
        <v>0</v>
      </c>
      <c r="P225" s="122">
        <f t="shared" si="89"/>
        <v>0</v>
      </c>
      <c r="Q225" s="123">
        <f t="shared" si="90"/>
        <v>50662.5</v>
      </c>
      <c r="R225" s="123">
        <f t="shared" si="96"/>
        <v>-50662.5</v>
      </c>
      <c r="S225" s="582">
        <v>0</v>
      </c>
      <c r="T225" s="123">
        <f t="shared" si="97"/>
        <v>-50662.5</v>
      </c>
      <c r="U225" s="25">
        <f t="shared" si="91"/>
        <v>15750</v>
      </c>
      <c r="V225" s="123">
        <f t="shared" si="92"/>
        <v>-15750</v>
      </c>
      <c r="W225" s="334">
        <f t="shared" si="93"/>
        <v>825</v>
      </c>
      <c r="Y225" s="109">
        <f>IF(AE225=1,IF(Y224=MiscData!$F$1,EOMONTH(Y224,-11),EOMONTH(Y224,1)),Y224)</f>
        <v>42490</v>
      </c>
      <c r="Z225" s="108" t="str">
        <f t="shared" si="103"/>
        <v>20140101LGUM_204</v>
      </c>
      <c r="AA225" s="126" t="str">
        <f t="shared" si="104"/>
        <v>20140101RLS</v>
      </c>
      <c r="AB225" s="583" t="str">
        <f t="shared" si="98"/>
        <v>204</v>
      </c>
      <c r="AD225" s="98">
        <f>MiscData!$X$5</f>
        <v>20140101</v>
      </c>
      <c r="AE225" s="98">
        <f>IF(AE224+1&gt;MiscData!$AC$77,1,AE224+1)</f>
        <v>3</v>
      </c>
      <c r="AF225" s="98" t="str">
        <f>VLOOKUP(AE225,MiscData!$AC$5:$AD$77,2,FALSE)</f>
        <v>LGUM_204</v>
      </c>
      <c r="AG225" s="98" t="str">
        <f>VLOOKUP(AF225,MiscData!$AD$5:$AE$77,2,FALSE)</f>
        <v>RLS</v>
      </c>
      <c r="AP225" s="98" t="s">
        <v>311</v>
      </c>
      <c r="AR225" s="98">
        <v>0</v>
      </c>
    </row>
    <row r="226" spans="1:44">
      <c r="A226" s="108">
        <f t="shared" si="99"/>
        <v>223</v>
      </c>
      <c r="B226" s="109" t="str">
        <f t="shared" si="100"/>
        <v>Apr 2016</v>
      </c>
      <c r="C226" s="110" t="str">
        <f t="shared" si="101"/>
        <v>RLS</v>
      </c>
      <c r="D226" s="110" t="str">
        <f t="shared" si="102"/>
        <v>LGUM_206</v>
      </c>
      <c r="E226" s="581">
        <f t="shared" si="80"/>
        <v>97</v>
      </c>
      <c r="F226" s="581">
        <f t="shared" si="81"/>
        <v>0</v>
      </c>
      <c r="G226" s="116">
        <f t="shared" si="82"/>
        <v>12.450000000000001</v>
      </c>
      <c r="H226" s="116">
        <f t="shared" si="83"/>
        <v>1.0899999999999999</v>
      </c>
      <c r="I226" s="118">
        <f t="shared" si="94"/>
        <v>1207.6500000000001</v>
      </c>
      <c r="J226" s="118">
        <f t="shared" si="84"/>
        <v>1207.6500000000001</v>
      </c>
      <c r="K226" s="570">
        <f t="shared" si="95"/>
        <v>0</v>
      </c>
      <c r="L226" s="121">
        <f t="shared" si="85"/>
        <v>0</v>
      </c>
      <c r="M226" s="122">
        <f t="shared" si="86"/>
        <v>0</v>
      </c>
      <c r="N226" s="122">
        <f t="shared" si="87"/>
        <v>0</v>
      </c>
      <c r="O226" s="122">
        <f t="shared" si="88"/>
        <v>0</v>
      </c>
      <c r="P226" s="122">
        <f t="shared" si="89"/>
        <v>0</v>
      </c>
      <c r="Q226" s="123">
        <f t="shared" si="90"/>
        <v>1207.6500000000001</v>
      </c>
      <c r="R226" s="123">
        <f t="shared" si="96"/>
        <v>-1207.6500000000001</v>
      </c>
      <c r="S226" s="582">
        <v>0</v>
      </c>
      <c r="T226" s="123">
        <f t="shared" si="97"/>
        <v>-1207.6500000000001</v>
      </c>
      <c r="U226" s="25">
        <f t="shared" si="91"/>
        <v>105.73</v>
      </c>
      <c r="V226" s="123">
        <f t="shared" si="92"/>
        <v>-105.73</v>
      </c>
      <c r="W226" s="334">
        <f t="shared" si="93"/>
        <v>15.52</v>
      </c>
      <c r="Y226" s="109">
        <f>IF(AE226=1,IF(Y225=MiscData!$F$1,EOMONTH(Y225,-11),EOMONTH(Y225,1)),Y225)</f>
        <v>42490</v>
      </c>
      <c r="Z226" s="108" t="str">
        <f t="shared" si="103"/>
        <v>20140101LGUM_206</v>
      </c>
      <c r="AA226" s="126" t="str">
        <f t="shared" si="104"/>
        <v>20140101RLS</v>
      </c>
      <c r="AB226" s="583" t="str">
        <f t="shared" si="98"/>
        <v>206</v>
      </c>
      <c r="AD226" s="98">
        <f>MiscData!$X$5</f>
        <v>20140101</v>
      </c>
      <c r="AE226" s="98">
        <f>IF(AE225+1&gt;MiscData!$AC$77,1,AE225+1)</f>
        <v>4</v>
      </c>
      <c r="AF226" s="98" t="str">
        <f>VLOOKUP(AE226,MiscData!$AC$5:$AD$77,2,FALSE)</f>
        <v>LGUM_206</v>
      </c>
      <c r="AG226" s="98" t="str">
        <f>VLOOKUP(AF226,MiscData!$AD$5:$AE$77,2,FALSE)</f>
        <v>RLS</v>
      </c>
      <c r="AP226" s="98" t="s">
        <v>339</v>
      </c>
      <c r="AR226" s="98">
        <v>0</v>
      </c>
    </row>
    <row r="227" spans="1:44">
      <c r="A227" s="108">
        <f t="shared" si="99"/>
        <v>224</v>
      </c>
      <c r="B227" s="109" t="str">
        <f t="shared" si="100"/>
        <v>Apr 2016</v>
      </c>
      <c r="C227" s="110" t="str">
        <f t="shared" si="101"/>
        <v>RLS</v>
      </c>
      <c r="D227" s="110" t="str">
        <f t="shared" si="102"/>
        <v>LGUM_207</v>
      </c>
      <c r="E227" s="581">
        <f t="shared" si="80"/>
        <v>728</v>
      </c>
      <c r="F227" s="581">
        <f t="shared" si="81"/>
        <v>0</v>
      </c>
      <c r="G227" s="116">
        <f t="shared" si="82"/>
        <v>15.54</v>
      </c>
      <c r="H227" s="116">
        <f t="shared" si="83"/>
        <v>4.2000000000000011</v>
      </c>
      <c r="I227" s="118">
        <f t="shared" si="94"/>
        <v>11313.12</v>
      </c>
      <c r="J227" s="118">
        <f t="shared" si="84"/>
        <v>11313.12</v>
      </c>
      <c r="K227" s="570">
        <f t="shared" si="95"/>
        <v>0</v>
      </c>
      <c r="L227" s="121">
        <f t="shared" si="85"/>
        <v>0</v>
      </c>
      <c r="M227" s="122">
        <f t="shared" si="86"/>
        <v>0</v>
      </c>
      <c r="N227" s="122">
        <f t="shared" si="87"/>
        <v>0</v>
      </c>
      <c r="O227" s="122">
        <f t="shared" si="88"/>
        <v>0</v>
      </c>
      <c r="P227" s="122">
        <f t="shared" si="89"/>
        <v>0</v>
      </c>
      <c r="Q227" s="123">
        <f t="shared" si="90"/>
        <v>11313.12</v>
      </c>
      <c r="R227" s="123">
        <f t="shared" si="96"/>
        <v>-11313.12</v>
      </c>
      <c r="S227" s="582">
        <v>0</v>
      </c>
      <c r="T227" s="123">
        <f t="shared" si="97"/>
        <v>-11313.12</v>
      </c>
      <c r="U227" s="25">
        <f t="shared" si="91"/>
        <v>3057.6</v>
      </c>
      <c r="V227" s="123">
        <f t="shared" si="92"/>
        <v>-3057.6</v>
      </c>
      <c r="W227" s="334">
        <f t="shared" si="93"/>
        <v>160.16</v>
      </c>
      <c r="Y227" s="109">
        <f>IF(AE227=1,IF(Y226=MiscData!$F$1,EOMONTH(Y226,-11),EOMONTH(Y226,1)),Y226)</f>
        <v>42490</v>
      </c>
      <c r="Z227" s="108" t="str">
        <f t="shared" si="103"/>
        <v>20140101LGUM_207</v>
      </c>
      <c r="AA227" s="126" t="str">
        <f t="shared" si="104"/>
        <v>20140101RLS</v>
      </c>
      <c r="AB227" s="583" t="str">
        <f t="shared" si="98"/>
        <v>207</v>
      </c>
      <c r="AD227" s="98">
        <f>MiscData!$X$5</f>
        <v>20140101</v>
      </c>
      <c r="AE227" s="98">
        <f>IF(AE226+1&gt;MiscData!$AC$77,1,AE226+1)</f>
        <v>5</v>
      </c>
      <c r="AF227" s="98" t="str">
        <f>VLOOKUP(AE227,MiscData!$AC$5:$AD$77,2,FALSE)</f>
        <v>LGUM_207</v>
      </c>
      <c r="AG227" s="98" t="str">
        <f>VLOOKUP(AF227,MiscData!$AD$5:$AE$77,2,FALSE)</f>
        <v>RLS</v>
      </c>
      <c r="AP227" s="98" t="s">
        <v>312</v>
      </c>
      <c r="AR227" s="98">
        <v>68.06</v>
      </c>
    </row>
    <row r="228" spans="1:44">
      <c r="A228" s="108">
        <f t="shared" si="99"/>
        <v>225</v>
      </c>
      <c r="B228" s="109" t="str">
        <f t="shared" si="100"/>
        <v>Apr 2016</v>
      </c>
      <c r="C228" s="110" t="str">
        <f t="shared" si="101"/>
        <v>RLS</v>
      </c>
      <c r="D228" s="110" t="str">
        <f t="shared" si="102"/>
        <v>LGUM_208</v>
      </c>
      <c r="E228" s="581">
        <f t="shared" si="80"/>
        <v>1400</v>
      </c>
      <c r="F228" s="581">
        <f t="shared" si="81"/>
        <v>0</v>
      </c>
      <c r="G228" s="116">
        <f t="shared" si="82"/>
        <v>14.24</v>
      </c>
      <c r="H228" s="116">
        <f t="shared" si="83"/>
        <v>1.9100000000000001</v>
      </c>
      <c r="I228" s="118">
        <f t="shared" si="94"/>
        <v>19936</v>
      </c>
      <c r="J228" s="118">
        <f t="shared" si="84"/>
        <v>19936</v>
      </c>
      <c r="K228" s="570">
        <f t="shared" si="95"/>
        <v>0</v>
      </c>
      <c r="L228" s="121">
        <f t="shared" si="85"/>
        <v>0</v>
      </c>
      <c r="M228" s="122">
        <f t="shared" si="86"/>
        <v>0</v>
      </c>
      <c r="N228" s="122">
        <f t="shared" si="87"/>
        <v>0</v>
      </c>
      <c r="O228" s="122">
        <f t="shared" si="88"/>
        <v>0</v>
      </c>
      <c r="P228" s="122">
        <f t="shared" si="89"/>
        <v>0</v>
      </c>
      <c r="Q228" s="123">
        <f t="shared" si="90"/>
        <v>19936</v>
      </c>
      <c r="R228" s="123">
        <f t="shared" si="96"/>
        <v>-19936</v>
      </c>
      <c r="S228" s="582">
        <v>0</v>
      </c>
      <c r="T228" s="123">
        <f t="shared" si="97"/>
        <v>-19936</v>
      </c>
      <c r="U228" s="25">
        <f t="shared" si="91"/>
        <v>2674</v>
      </c>
      <c r="V228" s="123">
        <f t="shared" si="92"/>
        <v>-2674</v>
      </c>
      <c r="W228" s="334">
        <f t="shared" si="93"/>
        <v>224</v>
      </c>
      <c r="Y228" s="109">
        <f>IF(AE228=1,IF(Y227=MiscData!$F$1,EOMONTH(Y227,-11),EOMONTH(Y227,1)),Y227)</f>
        <v>42490</v>
      </c>
      <c r="Z228" s="108" t="str">
        <f t="shared" si="103"/>
        <v>20140101LGUM_208</v>
      </c>
      <c r="AA228" s="126" t="str">
        <f t="shared" si="104"/>
        <v>20140101RLS</v>
      </c>
      <c r="AB228" s="583" t="str">
        <f t="shared" si="98"/>
        <v>208</v>
      </c>
      <c r="AD228" s="98">
        <f>MiscData!$X$5</f>
        <v>20140101</v>
      </c>
      <c r="AE228" s="98">
        <f>IF(AE227+1&gt;MiscData!$AC$77,1,AE227+1)</f>
        <v>6</v>
      </c>
      <c r="AF228" s="98" t="str">
        <f>VLOOKUP(AE228,MiscData!$AC$5:$AD$77,2,FALSE)</f>
        <v>LGUM_208</v>
      </c>
      <c r="AG228" s="98" t="str">
        <f>VLOOKUP(AF228,MiscData!$AD$5:$AE$77,2,FALSE)</f>
        <v>RLS</v>
      </c>
      <c r="AP228" s="98" t="s">
        <v>313</v>
      </c>
      <c r="AR228" s="98">
        <v>0</v>
      </c>
    </row>
    <row r="229" spans="1:44">
      <c r="A229" s="108">
        <f t="shared" si="99"/>
        <v>226</v>
      </c>
      <c r="B229" s="109" t="str">
        <f t="shared" si="100"/>
        <v>Apr 2016</v>
      </c>
      <c r="C229" s="110" t="str">
        <f t="shared" si="101"/>
        <v>RLS</v>
      </c>
      <c r="D229" s="110" t="str">
        <f t="shared" si="102"/>
        <v>LGUM_209</v>
      </c>
      <c r="E229" s="581">
        <f t="shared" si="80"/>
        <v>45</v>
      </c>
      <c r="F229" s="581">
        <f t="shared" si="81"/>
        <v>0</v>
      </c>
      <c r="G229" s="116">
        <f t="shared" si="82"/>
        <v>27.69</v>
      </c>
      <c r="H229" s="116">
        <f t="shared" si="83"/>
        <v>10.170000000000002</v>
      </c>
      <c r="I229" s="118">
        <f t="shared" si="94"/>
        <v>1246.05</v>
      </c>
      <c r="J229" s="118">
        <f t="shared" si="84"/>
        <v>1246.05</v>
      </c>
      <c r="K229" s="570">
        <f t="shared" si="95"/>
        <v>0</v>
      </c>
      <c r="L229" s="121">
        <f t="shared" si="85"/>
        <v>0</v>
      </c>
      <c r="M229" s="122">
        <f t="shared" si="86"/>
        <v>0</v>
      </c>
      <c r="N229" s="122">
        <f t="shared" si="87"/>
        <v>0</v>
      </c>
      <c r="O229" s="122">
        <f t="shared" si="88"/>
        <v>0</v>
      </c>
      <c r="P229" s="122">
        <f t="shared" si="89"/>
        <v>0</v>
      </c>
      <c r="Q229" s="123">
        <f t="shared" si="90"/>
        <v>1246.05</v>
      </c>
      <c r="R229" s="123">
        <f t="shared" si="96"/>
        <v>-1246.05</v>
      </c>
      <c r="S229" s="582">
        <v>0</v>
      </c>
      <c r="T229" s="123">
        <f t="shared" si="97"/>
        <v>-1246.05</v>
      </c>
      <c r="U229" s="25">
        <f t="shared" si="91"/>
        <v>457.65</v>
      </c>
      <c r="V229" s="123">
        <f t="shared" si="92"/>
        <v>-457.65</v>
      </c>
      <c r="W229" s="334">
        <f t="shared" si="93"/>
        <v>18.45</v>
      </c>
      <c r="Y229" s="109">
        <f>IF(AE229=1,IF(Y228=MiscData!$F$1,EOMONTH(Y228,-11),EOMONTH(Y228,1)),Y228)</f>
        <v>42490</v>
      </c>
      <c r="Z229" s="108" t="str">
        <f t="shared" si="103"/>
        <v>20140101LGUM_209</v>
      </c>
      <c r="AA229" s="126" t="str">
        <f t="shared" si="104"/>
        <v>20140101RLS</v>
      </c>
      <c r="AB229" s="583" t="str">
        <f t="shared" si="98"/>
        <v>209</v>
      </c>
      <c r="AD229" s="98">
        <f>MiscData!$X$5</f>
        <v>20140101</v>
      </c>
      <c r="AE229" s="98">
        <f>IF(AE228+1&gt;MiscData!$AC$77,1,AE228+1)</f>
        <v>7</v>
      </c>
      <c r="AF229" s="98" t="str">
        <f>VLOOKUP(AE229,MiscData!$AC$5:$AD$77,2,FALSE)</f>
        <v>LGUM_209</v>
      </c>
      <c r="AG229" s="98" t="str">
        <f>VLOOKUP(AF229,MiscData!$AD$5:$AE$77,2,FALSE)</f>
        <v>RLS</v>
      </c>
      <c r="AP229" s="98" t="s">
        <v>314</v>
      </c>
      <c r="AR229" s="98">
        <v>0</v>
      </c>
    </row>
    <row r="230" spans="1:44">
      <c r="A230" s="108">
        <f t="shared" si="99"/>
        <v>227</v>
      </c>
      <c r="B230" s="109" t="str">
        <f t="shared" si="100"/>
        <v>Apr 2016</v>
      </c>
      <c r="C230" s="110" t="str">
        <f t="shared" si="101"/>
        <v>RLS</v>
      </c>
      <c r="D230" s="110" t="str">
        <f t="shared" si="102"/>
        <v>LGUM_210</v>
      </c>
      <c r="E230" s="581">
        <f t="shared" si="80"/>
        <v>347</v>
      </c>
      <c r="F230" s="581">
        <f t="shared" si="81"/>
        <v>0</v>
      </c>
      <c r="G230" s="116">
        <f t="shared" si="82"/>
        <v>28.89</v>
      </c>
      <c r="H230" s="116">
        <f t="shared" si="83"/>
        <v>10.170000000000002</v>
      </c>
      <c r="I230" s="118">
        <f t="shared" si="94"/>
        <v>10024.83</v>
      </c>
      <c r="J230" s="118">
        <f t="shared" si="84"/>
        <v>10024.83</v>
      </c>
      <c r="K230" s="570">
        <f t="shared" si="95"/>
        <v>0</v>
      </c>
      <c r="L230" s="121">
        <f t="shared" si="85"/>
        <v>0</v>
      </c>
      <c r="M230" s="122">
        <f t="shared" si="86"/>
        <v>0</v>
      </c>
      <c r="N230" s="122">
        <f t="shared" si="87"/>
        <v>0</v>
      </c>
      <c r="O230" s="122">
        <f t="shared" si="88"/>
        <v>0</v>
      </c>
      <c r="P230" s="122">
        <f t="shared" si="89"/>
        <v>0</v>
      </c>
      <c r="Q230" s="123">
        <f t="shared" si="90"/>
        <v>10024.83</v>
      </c>
      <c r="R230" s="123">
        <f t="shared" si="96"/>
        <v>-10024.83</v>
      </c>
      <c r="S230" s="582">
        <v>0</v>
      </c>
      <c r="T230" s="123">
        <f t="shared" si="97"/>
        <v>-10024.83</v>
      </c>
      <c r="U230" s="25">
        <f t="shared" si="91"/>
        <v>3528.99</v>
      </c>
      <c r="V230" s="123">
        <f t="shared" si="92"/>
        <v>-3528.99</v>
      </c>
      <c r="W230" s="334">
        <f t="shared" si="93"/>
        <v>142.26999999999998</v>
      </c>
      <c r="Y230" s="109">
        <f>IF(AE230=1,IF(Y229=MiscData!$F$1,EOMONTH(Y229,-11),EOMONTH(Y229,1)),Y229)</f>
        <v>42490</v>
      </c>
      <c r="Z230" s="108" t="str">
        <f t="shared" si="103"/>
        <v>20140101LGUM_210</v>
      </c>
      <c r="AA230" s="126" t="str">
        <f t="shared" si="104"/>
        <v>20140101RLS</v>
      </c>
      <c r="AB230" s="583" t="str">
        <f t="shared" si="98"/>
        <v>210</v>
      </c>
      <c r="AD230" s="98">
        <f>MiscData!$X$5</f>
        <v>20140101</v>
      </c>
      <c r="AE230" s="98">
        <f>IF(AE229+1&gt;MiscData!$AC$77,1,AE229+1)</f>
        <v>8</v>
      </c>
      <c r="AF230" s="98" t="str">
        <f>VLOOKUP(AE230,MiscData!$AC$5:$AD$77,2,FALSE)</f>
        <v>LGUM_210</v>
      </c>
      <c r="AG230" s="98" t="str">
        <f>VLOOKUP(AF230,MiscData!$AD$5:$AE$77,2,FALSE)</f>
        <v>RLS</v>
      </c>
      <c r="AP230" s="98" t="s">
        <v>592</v>
      </c>
      <c r="AR230" s="98">
        <v>0</v>
      </c>
    </row>
    <row r="231" spans="1:44">
      <c r="A231" s="108">
        <f t="shared" si="99"/>
        <v>228</v>
      </c>
      <c r="B231" s="109" t="str">
        <f t="shared" si="100"/>
        <v>Apr 2016</v>
      </c>
      <c r="C231" s="110" t="str">
        <f t="shared" si="101"/>
        <v>RLS</v>
      </c>
      <c r="D231" s="110" t="str">
        <f t="shared" si="102"/>
        <v>LGUM_252</v>
      </c>
      <c r="E231" s="581">
        <f t="shared" si="80"/>
        <v>3969</v>
      </c>
      <c r="F231" s="581">
        <f t="shared" si="81"/>
        <v>0</v>
      </c>
      <c r="G231" s="116">
        <f t="shared" si="82"/>
        <v>9.57</v>
      </c>
      <c r="H231" s="116">
        <f t="shared" si="83"/>
        <v>1.9099999999999993</v>
      </c>
      <c r="I231" s="118">
        <f t="shared" si="94"/>
        <v>37983.33</v>
      </c>
      <c r="J231" s="118">
        <f t="shared" si="84"/>
        <v>37983.33</v>
      </c>
      <c r="K231" s="570">
        <f t="shared" si="95"/>
        <v>0</v>
      </c>
      <c r="L231" s="121">
        <f t="shared" si="85"/>
        <v>0</v>
      </c>
      <c r="M231" s="122">
        <f t="shared" si="86"/>
        <v>0</v>
      </c>
      <c r="N231" s="122">
        <f t="shared" si="87"/>
        <v>0</v>
      </c>
      <c r="O231" s="122">
        <f t="shared" si="88"/>
        <v>0</v>
      </c>
      <c r="P231" s="122">
        <f t="shared" si="89"/>
        <v>0</v>
      </c>
      <c r="Q231" s="123">
        <f t="shared" si="90"/>
        <v>37983.33</v>
      </c>
      <c r="R231" s="123">
        <f t="shared" si="96"/>
        <v>-37983.33</v>
      </c>
      <c r="S231" s="582">
        <v>0</v>
      </c>
      <c r="T231" s="123">
        <f t="shared" si="97"/>
        <v>-37983.33</v>
      </c>
      <c r="U231" s="25">
        <f t="shared" si="91"/>
        <v>7580.79</v>
      </c>
      <c r="V231" s="123">
        <f t="shared" si="92"/>
        <v>-7580.79</v>
      </c>
      <c r="W231" s="334">
        <f t="shared" si="93"/>
        <v>635.04</v>
      </c>
      <c r="Y231" s="109">
        <f>IF(AE231=1,IF(Y230=MiscData!$F$1,EOMONTH(Y230,-11),EOMONTH(Y230,1)),Y230)</f>
        <v>42490</v>
      </c>
      <c r="Z231" s="108" t="str">
        <f t="shared" si="103"/>
        <v>20140101LGUM_252</v>
      </c>
      <c r="AA231" s="126" t="str">
        <f t="shared" si="104"/>
        <v>20140101RLS</v>
      </c>
      <c r="AB231" s="583" t="str">
        <f t="shared" si="98"/>
        <v>252</v>
      </c>
      <c r="AD231" s="98">
        <f>MiscData!$X$5</f>
        <v>20140101</v>
      </c>
      <c r="AE231" s="98">
        <f>IF(AE230+1&gt;MiscData!$AC$77,1,AE230+1)</f>
        <v>9</v>
      </c>
      <c r="AF231" s="98" t="str">
        <f>VLOOKUP(AE231,MiscData!$AC$5:$AD$77,2,FALSE)</f>
        <v>LGUM_252</v>
      </c>
      <c r="AG231" s="98" t="str">
        <f>VLOOKUP(AF231,MiscData!$AD$5:$AE$77,2,FALSE)</f>
        <v>RLS</v>
      </c>
      <c r="AP231" s="98" t="s">
        <v>315</v>
      </c>
      <c r="AR231" s="98">
        <v>0</v>
      </c>
    </row>
    <row r="232" spans="1:44">
      <c r="A232" s="108">
        <f t="shared" si="99"/>
        <v>229</v>
      </c>
      <c r="B232" s="109" t="str">
        <f t="shared" si="100"/>
        <v>Apr 2016</v>
      </c>
      <c r="C232" s="110" t="str">
        <f t="shared" si="101"/>
        <v>RLS</v>
      </c>
      <c r="D232" s="110" t="str">
        <f t="shared" si="102"/>
        <v>LGUM_266</v>
      </c>
      <c r="E232" s="581">
        <f t="shared" si="80"/>
        <v>2024</v>
      </c>
      <c r="F232" s="581">
        <f t="shared" si="81"/>
        <v>0</v>
      </c>
      <c r="G232" s="116">
        <f t="shared" si="82"/>
        <v>27.34</v>
      </c>
      <c r="H232" s="116">
        <f t="shared" si="83"/>
        <v>2.8000000000000007</v>
      </c>
      <c r="I232" s="118">
        <f t="shared" si="94"/>
        <v>55336.160000000003</v>
      </c>
      <c r="J232" s="118">
        <f t="shared" si="84"/>
        <v>55336.160000000003</v>
      </c>
      <c r="K232" s="570">
        <f t="shared" si="95"/>
        <v>0</v>
      </c>
      <c r="L232" s="121">
        <f t="shared" si="85"/>
        <v>0</v>
      </c>
      <c r="M232" s="122">
        <f t="shared" si="86"/>
        <v>0</v>
      </c>
      <c r="N232" s="122">
        <f t="shared" si="87"/>
        <v>0</v>
      </c>
      <c r="O232" s="122">
        <f t="shared" si="88"/>
        <v>0</v>
      </c>
      <c r="P232" s="122">
        <f t="shared" si="89"/>
        <v>0</v>
      </c>
      <c r="Q232" s="123">
        <f t="shared" si="90"/>
        <v>55336.160000000003</v>
      </c>
      <c r="R232" s="123">
        <f t="shared" si="96"/>
        <v>-55336.160000000003</v>
      </c>
      <c r="S232" s="582">
        <v>0</v>
      </c>
      <c r="T232" s="123">
        <f t="shared" si="97"/>
        <v>-55336.160000000003</v>
      </c>
      <c r="U232" s="25">
        <f t="shared" si="91"/>
        <v>5667.2</v>
      </c>
      <c r="V232" s="123">
        <f t="shared" si="92"/>
        <v>-5667.2</v>
      </c>
      <c r="W232" s="334">
        <f t="shared" si="93"/>
        <v>546.48</v>
      </c>
      <c r="Y232" s="109">
        <f>IF(AE232=1,IF(Y231=MiscData!$F$1,EOMONTH(Y231,-11),EOMONTH(Y231,1)),Y231)</f>
        <v>42490</v>
      </c>
      <c r="Z232" s="108" t="str">
        <f t="shared" si="103"/>
        <v>20140101LGUM_266</v>
      </c>
      <c r="AA232" s="126" t="str">
        <f t="shared" si="104"/>
        <v>20140101RLS</v>
      </c>
      <c r="AB232" s="583" t="str">
        <f t="shared" si="98"/>
        <v>266</v>
      </c>
      <c r="AD232" s="98">
        <f>MiscData!$X$5</f>
        <v>20140101</v>
      </c>
      <c r="AE232" s="98">
        <f>IF(AE231+1&gt;MiscData!$AC$77,1,AE231+1)</f>
        <v>10</v>
      </c>
      <c r="AF232" s="98" t="str">
        <f>VLOOKUP(AE232,MiscData!$AC$5:$AD$77,2,FALSE)</f>
        <v>LGUM_266</v>
      </c>
      <c r="AG232" s="98" t="str">
        <f>VLOOKUP(AF232,MiscData!$AD$5:$AE$77,2,FALSE)</f>
        <v>RLS</v>
      </c>
      <c r="AP232" s="98" t="s">
        <v>316</v>
      </c>
      <c r="AR232" s="98">
        <v>0</v>
      </c>
    </row>
    <row r="233" spans="1:44">
      <c r="A233" s="108">
        <f t="shared" si="99"/>
        <v>230</v>
      </c>
      <c r="B233" s="109" t="str">
        <f t="shared" si="100"/>
        <v>Apr 2016</v>
      </c>
      <c r="C233" s="110" t="str">
        <f t="shared" si="101"/>
        <v>RLS</v>
      </c>
      <c r="D233" s="110" t="str">
        <f t="shared" si="102"/>
        <v>LGUM_267</v>
      </c>
      <c r="E233" s="581">
        <f t="shared" si="80"/>
        <v>2217</v>
      </c>
      <c r="F233" s="581">
        <f t="shared" si="81"/>
        <v>0</v>
      </c>
      <c r="G233" s="116">
        <f t="shared" si="82"/>
        <v>31.4</v>
      </c>
      <c r="H233" s="116">
        <f t="shared" si="83"/>
        <v>4.4499999999999993</v>
      </c>
      <c r="I233" s="118">
        <f t="shared" si="94"/>
        <v>69613.8</v>
      </c>
      <c r="J233" s="118">
        <f t="shared" si="84"/>
        <v>69613.8</v>
      </c>
      <c r="K233" s="570">
        <f t="shared" si="95"/>
        <v>0</v>
      </c>
      <c r="L233" s="121">
        <f t="shared" si="85"/>
        <v>0</v>
      </c>
      <c r="M233" s="122">
        <f t="shared" si="86"/>
        <v>0</v>
      </c>
      <c r="N233" s="122">
        <f t="shared" si="87"/>
        <v>0</v>
      </c>
      <c r="O233" s="122">
        <f t="shared" si="88"/>
        <v>0</v>
      </c>
      <c r="P233" s="122">
        <f t="shared" si="89"/>
        <v>0</v>
      </c>
      <c r="Q233" s="123">
        <f t="shared" si="90"/>
        <v>69613.8</v>
      </c>
      <c r="R233" s="123">
        <f t="shared" si="96"/>
        <v>-69613.8</v>
      </c>
      <c r="S233" s="582">
        <v>0</v>
      </c>
      <c r="T233" s="123">
        <f t="shared" si="97"/>
        <v>-69613.8</v>
      </c>
      <c r="U233" s="25">
        <f t="shared" si="91"/>
        <v>9865.65</v>
      </c>
      <c r="V233" s="123">
        <f t="shared" si="92"/>
        <v>-9865.65</v>
      </c>
      <c r="W233" s="334">
        <f t="shared" si="93"/>
        <v>642.92999999999995</v>
      </c>
      <c r="Y233" s="109">
        <f>IF(AE233=1,IF(Y232=MiscData!$F$1,EOMONTH(Y232,-11),EOMONTH(Y232,1)),Y232)</f>
        <v>42490</v>
      </c>
      <c r="Z233" s="108" t="str">
        <f t="shared" si="103"/>
        <v>20140101LGUM_267</v>
      </c>
      <c r="AA233" s="126" t="str">
        <f t="shared" si="104"/>
        <v>20140101RLS</v>
      </c>
      <c r="AB233" s="583" t="str">
        <f t="shared" si="98"/>
        <v>267</v>
      </c>
      <c r="AD233" s="98">
        <f>MiscData!$X$5</f>
        <v>20140101</v>
      </c>
      <c r="AE233" s="98">
        <f>IF(AE232+1&gt;MiscData!$AC$77,1,AE232+1)</f>
        <v>11</v>
      </c>
      <c r="AF233" s="98" t="str">
        <f>VLOOKUP(AE233,MiscData!$AC$5:$AD$77,2,FALSE)</f>
        <v>LGUM_267</v>
      </c>
      <c r="AG233" s="98" t="str">
        <f>VLOOKUP(AF233,MiscData!$AD$5:$AE$77,2,FALSE)</f>
        <v>RLS</v>
      </c>
      <c r="AP233" s="98" t="s">
        <v>687</v>
      </c>
      <c r="AR233" s="98">
        <v>0</v>
      </c>
    </row>
    <row r="234" spans="1:44">
      <c r="A234" s="108">
        <f t="shared" si="99"/>
        <v>231</v>
      </c>
      <c r="B234" s="109" t="str">
        <f t="shared" si="100"/>
        <v>Apr 2016</v>
      </c>
      <c r="C234" s="110" t="str">
        <f t="shared" si="101"/>
        <v>RLS</v>
      </c>
      <c r="D234" s="110" t="str">
        <f t="shared" si="102"/>
        <v>LGUM_274</v>
      </c>
      <c r="E234" s="581">
        <f t="shared" si="80"/>
        <v>16808</v>
      </c>
      <c r="F234" s="581">
        <f t="shared" si="81"/>
        <v>0</v>
      </c>
      <c r="G234" s="116">
        <f t="shared" si="82"/>
        <v>17.189999999999998</v>
      </c>
      <c r="H234" s="116">
        <f t="shared" si="83"/>
        <v>1.2699999999999996</v>
      </c>
      <c r="I234" s="118">
        <f t="shared" si="94"/>
        <v>288929.52</v>
      </c>
      <c r="J234" s="118">
        <f t="shared" si="84"/>
        <v>288929.52</v>
      </c>
      <c r="K234" s="570">
        <f t="shared" si="95"/>
        <v>0</v>
      </c>
      <c r="L234" s="121">
        <f t="shared" si="85"/>
        <v>0</v>
      </c>
      <c r="M234" s="122">
        <f t="shared" si="86"/>
        <v>0</v>
      </c>
      <c r="N234" s="122">
        <f t="shared" si="87"/>
        <v>0</v>
      </c>
      <c r="O234" s="122">
        <f t="shared" si="88"/>
        <v>0</v>
      </c>
      <c r="P234" s="122">
        <f t="shared" si="89"/>
        <v>0</v>
      </c>
      <c r="Q234" s="123">
        <f t="shared" si="90"/>
        <v>288929.52</v>
      </c>
      <c r="R234" s="123">
        <f t="shared" si="96"/>
        <v>-288929.52</v>
      </c>
      <c r="S234" s="582">
        <v>0</v>
      </c>
      <c r="T234" s="123">
        <f t="shared" si="97"/>
        <v>-288929.52</v>
      </c>
      <c r="U234" s="25">
        <f t="shared" si="91"/>
        <v>21346.16</v>
      </c>
      <c r="V234" s="123">
        <f t="shared" si="92"/>
        <v>-21346.16</v>
      </c>
      <c r="W234" s="334">
        <f t="shared" si="93"/>
        <v>4538.16</v>
      </c>
      <c r="Y234" s="109">
        <f>IF(AE234=1,IF(Y233=MiscData!$F$1,EOMONTH(Y233,-11),EOMONTH(Y233,1)),Y233)</f>
        <v>42490</v>
      </c>
      <c r="Z234" s="108" t="str">
        <f t="shared" si="103"/>
        <v>20140101LGUM_274</v>
      </c>
      <c r="AA234" s="126" t="str">
        <f t="shared" si="104"/>
        <v>20140101RLS</v>
      </c>
      <c r="AB234" s="583" t="str">
        <f t="shared" si="98"/>
        <v>274</v>
      </c>
      <c r="AD234" s="98">
        <f>MiscData!$X$5</f>
        <v>20140101</v>
      </c>
      <c r="AE234" s="98">
        <f>IF(AE233+1&gt;MiscData!$AC$77,1,AE233+1)</f>
        <v>12</v>
      </c>
      <c r="AF234" s="98" t="str">
        <f>VLOOKUP(AE234,MiscData!$AC$5:$AD$77,2,FALSE)</f>
        <v>LGUM_274</v>
      </c>
      <c r="AG234" s="98" t="str">
        <f>VLOOKUP(AF234,MiscData!$AD$5:$AE$77,2,FALSE)</f>
        <v>RLS</v>
      </c>
      <c r="AP234" s="98" t="s">
        <v>688</v>
      </c>
      <c r="AR234" s="98">
        <v>0</v>
      </c>
    </row>
    <row r="235" spans="1:44">
      <c r="A235" s="108">
        <f t="shared" si="99"/>
        <v>232</v>
      </c>
      <c r="B235" s="109" t="str">
        <f t="shared" si="100"/>
        <v>Apr 2016</v>
      </c>
      <c r="C235" s="110" t="str">
        <f t="shared" si="101"/>
        <v>RLS</v>
      </c>
      <c r="D235" s="110" t="str">
        <f t="shared" si="102"/>
        <v>LGUM_275</v>
      </c>
      <c r="E235" s="581">
        <f t="shared" si="80"/>
        <v>508</v>
      </c>
      <c r="F235" s="581">
        <f t="shared" si="81"/>
        <v>0</v>
      </c>
      <c r="G235" s="116">
        <f t="shared" si="82"/>
        <v>24.89</v>
      </c>
      <c r="H235" s="116">
        <f t="shared" si="83"/>
        <v>1.7899999999999991</v>
      </c>
      <c r="I235" s="118">
        <f t="shared" si="94"/>
        <v>12644.12</v>
      </c>
      <c r="J235" s="118">
        <f t="shared" si="84"/>
        <v>12644.12</v>
      </c>
      <c r="K235" s="570">
        <f t="shared" si="95"/>
        <v>0</v>
      </c>
      <c r="L235" s="121">
        <f t="shared" si="85"/>
        <v>0</v>
      </c>
      <c r="M235" s="122">
        <f t="shared" si="86"/>
        <v>0</v>
      </c>
      <c r="N235" s="122">
        <f t="shared" si="87"/>
        <v>0</v>
      </c>
      <c r="O235" s="122">
        <f t="shared" si="88"/>
        <v>0</v>
      </c>
      <c r="P235" s="122">
        <f t="shared" si="89"/>
        <v>0</v>
      </c>
      <c r="Q235" s="123">
        <f t="shared" si="90"/>
        <v>12644.12</v>
      </c>
      <c r="R235" s="123">
        <f t="shared" si="96"/>
        <v>-12644.12</v>
      </c>
      <c r="S235" s="582">
        <v>0</v>
      </c>
      <c r="T235" s="123">
        <f t="shared" si="97"/>
        <v>-12644.12</v>
      </c>
      <c r="U235" s="25">
        <f t="shared" si="91"/>
        <v>909.32</v>
      </c>
      <c r="V235" s="123">
        <f t="shared" si="92"/>
        <v>-909.32</v>
      </c>
      <c r="W235" s="334">
        <f t="shared" si="93"/>
        <v>121.92</v>
      </c>
      <c r="Y235" s="109">
        <f>IF(AE235=1,IF(Y234=MiscData!$F$1,EOMONTH(Y234,-11),EOMONTH(Y234,1)),Y234)</f>
        <v>42490</v>
      </c>
      <c r="Z235" s="108" t="str">
        <f t="shared" si="103"/>
        <v>20140101LGUM_275</v>
      </c>
      <c r="AA235" s="126" t="str">
        <f t="shared" si="104"/>
        <v>20140101RLS</v>
      </c>
      <c r="AB235" s="583" t="str">
        <f t="shared" si="98"/>
        <v>275</v>
      </c>
      <c r="AD235" s="98">
        <f>MiscData!$X$5</f>
        <v>20140101</v>
      </c>
      <c r="AE235" s="98">
        <f>IF(AE234+1&gt;MiscData!$AC$77,1,AE234+1)</f>
        <v>13</v>
      </c>
      <c r="AF235" s="98" t="str">
        <f>VLOOKUP(AE235,MiscData!$AC$5:$AD$77,2,FALSE)</f>
        <v>LGUM_275</v>
      </c>
      <c r="AG235" s="98" t="str">
        <f>VLOOKUP(AF235,MiscData!$AD$5:$AE$77,2,FALSE)</f>
        <v>RLS</v>
      </c>
      <c r="AP235" s="98" t="s">
        <v>341</v>
      </c>
      <c r="AR235" s="98">
        <v>0</v>
      </c>
    </row>
    <row r="236" spans="1:44">
      <c r="A236" s="108">
        <f t="shared" si="99"/>
        <v>233</v>
      </c>
      <c r="B236" s="109" t="str">
        <f t="shared" si="100"/>
        <v>Apr 2016</v>
      </c>
      <c r="C236" s="110" t="str">
        <f t="shared" si="101"/>
        <v>RLS</v>
      </c>
      <c r="D236" s="110" t="str">
        <f t="shared" si="102"/>
        <v>LGUM_276</v>
      </c>
      <c r="E236" s="581">
        <f t="shared" si="80"/>
        <v>1328</v>
      </c>
      <c r="F236" s="581">
        <f t="shared" si="81"/>
        <v>0</v>
      </c>
      <c r="G236" s="116">
        <f t="shared" si="82"/>
        <v>14.17</v>
      </c>
      <c r="H236" s="116">
        <f t="shared" si="83"/>
        <v>0.88000000000000078</v>
      </c>
      <c r="I236" s="118">
        <f t="shared" si="94"/>
        <v>18817.759999999998</v>
      </c>
      <c r="J236" s="118">
        <f t="shared" si="84"/>
        <v>18817.759999999998</v>
      </c>
      <c r="K236" s="570">
        <f t="shared" si="95"/>
        <v>0</v>
      </c>
      <c r="L236" s="121">
        <f t="shared" si="85"/>
        <v>0</v>
      </c>
      <c r="M236" s="122">
        <f t="shared" si="86"/>
        <v>0</v>
      </c>
      <c r="N236" s="122">
        <f t="shared" si="87"/>
        <v>0</v>
      </c>
      <c r="O236" s="122">
        <f t="shared" si="88"/>
        <v>0</v>
      </c>
      <c r="P236" s="122">
        <f t="shared" si="89"/>
        <v>0</v>
      </c>
      <c r="Q236" s="123">
        <f t="shared" si="90"/>
        <v>18817.759999999998</v>
      </c>
      <c r="R236" s="123">
        <f t="shared" si="96"/>
        <v>-18817.759999999998</v>
      </c>
      <c r="S236" s="582">
        <v>0</v>
      </c>
      <c r="T236" s="123">
        <f t="shared" si="97"/>
        <v>-18817.759999999998</v>
      </c>
      <c r="U236" s="25">
        <f t="shared" si="91"/>
        <v>1168.6400000000001</v>
      </c>
      <c r="V236" s="123">
        <f t="shared" si="92"/>
        <v>-1168.6400000000001</v>
      </c>
      <c r="W236" s="334">
        <f t="shared" si="93"/>
        <v>345.28000000000003</v>
      </c>
      <c r="Y236" s="109">
        <f>IF(AE236=1,IF(Y235=MiscData!$F$1,EOMONTH(Y235,-11),EOMONTH(Y235,1)),Y235)</f>
        <v>42490</v>
      </c>
      <c r="Z236" s="108" t="str">
        <f t="shared" si="103"/>
        <v>20140101LGUM_276</v>
      </c>
      <c r="AA236" s="126" t="str">
        <f t="shared" si="104"/>
        <v>20140101RLS</v>
      </c>
      <c r="AB236" s="583" t="str">
        <f t="shared" si="98"/>
        <v>276</v>
      </c>
      <c r="AD236" s="98">
        <f>MiscData!$X$5</f>
        <v>20140101</v>
      </c>
      <c r="AE236" s="98">
        <f>IF(AE235+1&gt;MiscData!$AC$77,1,AE235+1)</f>
        <v>14</v>
      </c>
      <c r="AF236" s="98" t="str">
        <f>VLOOKUP(AE236,MiscData!$AC$5:$AD$77,2,FALSE)</f>
        <v>LGUM_276</v>
      </c>
      <c r="AG236" s="98" t="str">
        <f>VLOOKUP(AF236,MiscData!$AD$5:$AE$77,2,FALSE)</f>
        <v>RLS</v>
      </c>
      <c r="AP236" s="98" t="s">
        <v>317</v>
      </c>
      <c r="AR236" s="98">
        <v>196.24</v>
      </c>
    </row>
    <row r="237" spans="1:44">
      <c r="A237" s="108">
        <f t="shared" si="99"/>
        <v>234</v>
      </c>
      <c r="B237" s="109" t="str">
        <f t="shared" si="100"/>
        <v>Apr 2016</v>
      </c>
      <c r="C237" s="110" t="str">
        <f t="shared" si="101"/>
        <v>RLS</v>
      </c>
      <c r="D237" s="110" t="str">
        <f t="shared" si="102"/>
        <v>LGUM_277</v>
      </c>
      <c r="E237" s="581">
        <f t="shared" si="80"/>
        <v>2263</v>
      </c>
      <c r="F237" s="581">
        <f t="shared" si="81"/>
        <v>0</v>
      </c>
      <c r="G237" s="116">
        <f t="shared" si="82"/>
        <v>22.15</v>
      </c>
      <c r="H237" s="116">
        <f t="shared" si="83"/>
        <v>1.7900000000000027</v>
      </c>
      <c r="I237" s="118">
        <f t="shared" si="94"/>
        <v>50125.45</v>
      </c>
      <c r="J237" s="118">
        <f t="shared" si="84"/>
        <v>50125.45</v>
      </c>
      <c r="K237" s="570">
        <f t="shared" si="95"/>
        <v>0</v>
      </c>
      <c r="L237" s="121">
        <f t="shared" si="85"/>
        <v>0</v>
      </c>
      <c r="M237" s="122">
        <f t="shared" si="86"/>
        <v>0</v>
      </c>
      <c r="N237" s="122">
        <f t="shared" si="87"/>
        <v>0</v>
      </c>
      <c r="O237" s="122">
        <f t="shared" si="88"/>
        <v>0</v>
      </c>
      <c r="P237" s="122">
        <f t="shared" si="89"/>
        <v>0</v>
      </c>
      <c r="Q237" s="123">
        <f t="shared" si="90"/>
        <v>50125.45</v>
      </c>
      <c r="R237" s="123">
        <f t="shared" si="96"/>
        <v>-50125.45</v>
      </c>
      <c r="S237" s="582">
        <v>0</v>
      </c>
      <c r="T237" s="123">
        <f t="shared" si="97"/>
        <v>-50125.45</v>
      </c>
      <c r="U237" s="25">
        <f t="shared" si="91"/>
        <v>4050.77</v>
      </c>
      <c r="V237" s="123">
        <f t="shared" si="92"/>
        <v>-4050.77</v>
      </c>
      <c r="W237" s="334">
        <f t="shared" si="93"/>
        <v>543.12</v>
      </c>
      <c r="Y237" s="109">
        <f>IF(AE237=1,IF(Y236=MiscData!$F$1,EOMONTH(Y236,-11),EOMONTH(Y236,1)),Y236)</f>
        <v>42490</v>
      </c>
      <c r="Z237" s="108" t="str">
        <f t="shared" si="103"/>
        <v>20140101LGUM_277</v>
      </c>
      <c r="AA237" s="126" t="str">
        <f t="shared" si="104"/>
        <v>20140101RLS</v>
      </c>
      <c r="AB237" s="583" t="str">
        <f t="shared" si="98"/>
        <v>277</v>
      </c>
      <c r="AD237" s="98">
        <f>MiscData!$X$5</f>
        <v>20140101</v>
      </c>
      <c r="AE237" s="98">
        <f>IF(AE236+1&gt;MiscData!$AC$77,1,AE236+1)</f>
        <v>15</v>
      </c>
      <c r="AF237" s="98" t="str">
        <f>VLOOKUP(AE237,MiscData!$AC$5:$AD$77,2,FALSE)</f>
        <v>LGUM_277</v>
      </c>
      <c r="AG237" s="98" t="str">
        <f>VLOOKUP(AF237,MiscData!$AD$5:$AE$77,2,FALSE)</f>
        <v>RLS</v>
      </c>
      <c r="AP237" s="98" t="s">
        <v>318</v>
      </c>
      <c r="AR237" s="98">
        <v>110.86</v>
      </c>
    </row>
    <row r="238" spans="1:44">
      <c r="A238" s="108">
        <f t="shared" si="99"/>
        <v>235</v>
      </c>
      <c r="B238" s="109" t="str">
        <f t="shared" si="100"/>
        <v>Apr 2016</v>
      </c>
      <c r="C238" s="110" t="str">
        <f t="shared" si="101"/>
        <v>RLS</v>
      </c>
      <c r="D238" s="110" t="str">
        <f t="shared" si="102"/>
        <v>LGUM_278</v>
      </c>
      <c r="E238" s="581">
        <f t="shared" si="80"/>
        <v>17</v>
      </c>
      <c r="F238" s="581">
        <f t="shared" si="81"/>
        <v>0</v>
      </c>
      <c r="G238" s="116">
        <f t="shared" si="82"/>
        <v>72.550000000000011</v>
      </c>
      <c r="H238" s="116">
        <f t="shared" si="83"/>
        <v>9.8400000000000034</v>
      </c>
      <c r="I238" s="118">
        <f t="shared" si="94"/>
        <v>1233.3499999999999</v>
      </c>
      <c r="J238" s="118">
        <f t="shared" si="84"/>
        <v>1233.3499999999999</v>
      </c>
      <c r="K238" s="570">
        <f t="shared" si="95"/>
        <v>0</v>
      </c>
      <c r="L238" s="121">
        <f t="shared" si="85"/>
        <v>0</v>
      </c>
      <c r="M238" s="122">
        <f t="shared" si="86"/>
        <v>0</v>
      </c>
      <c r="N238" s="122">
        <f t="shared" si="87"/>
        <v>0</v>
      </c>
      <c r="O238" s="122">
        <f t="shared" si="88"/>
        <v>0</v>
      </c>
      <c r="P238" s="122">
        <f t="shared" si="89"/>
        <v>0</v>
      </c>
      <c r="Q238" s="123">
        <f t="shared" si="90"/>
        <v>1233.3499999999999</v>
      </c>
      <c r="R238" s="123">
        <f t="shared" si="96"/>
        <v>-1233.3499999999999</v>
      </c>
      <c r="S238" s="582">
        <v>0</v>
      </c>
      <c r="T238" s="123">
        <f t="shared" si="97"/>
        <v>-1233.3499999999999</v>
      </c>
      <c r="U238" s="25">
        <f t="shared" si="91"/>
        <v>167.28</v>
      </c>
      <c r="V238" s="123">
        <f t="shared" si="92"/>
        <v>-167.28</v>
      </c>
      <c r="W238" s="334">
        <f t="shared" si="93"/>
        <v>15.3</v>
      </c>
      <c r="Y238" s="109">
        <f>IF(AE238=1,IF(Y237=MiscData!$F$1,EOMONTH(Y237,-11),EOMONTH(Y237,1)),Y237)</f>
        <v>42490</v>
      </c>
      <c r="Z238" s="108" t="str">
        <f t="shared" si="103"/>
        <v>20140101LGUM_278</v>
      </c>
      <c r="AA238" s="126" t="str">
        <f t="shared" si="104"/>
        <v>20140101RLS</v>
      </c>
      <c r="AB238" s="583" t="str">
        <f t="shared" si="98"/>
        <v>278</v>
      </c>
      <c r="AD238" s="98">
        <f>MiscData!$X$5</f>
        <v>20140101</v>
      </c>
      <c r="AE238" s="98">
        <f>IF(AE237+1&gt;MiscData!$AC$77,1,AE237+1)</f>
        <v>16</v>
      </c>
      <c r="AF238" s="98" t="str">
        <f>VLOOKUP(AE238,MiscData!$AC$5:$AD$77,2,FALSE)</f>
        <v>LGUM_278</v>
      </c>
      <c r="AG238" s="98" t="str">
        <f>VLOOKUP(AF238,MiscData!$AD$5:$AE$77,2,FALSE)</f>
        <v>RLS</v>
      </c>
      <c r="AP238" s="98" t="s">
        <v>319</v>
      </c>
      <c r="AR238" s="98">
        <v>225.88</v>
      </c>
    </row>
    <row r="239" spans="1:44">
      <c r="A239" s="108">
        <f t="shared" si="99"/>
        <v>236</v>
      </c>
      <c r="B239" s="109" t="str">
        <f t="shared" si="100"/>
        <v>Apr 2016</v>
      </c>
      <c r="C239" s="110" t="str">
        <f t="shared" si="101"/>
        <v>RLS</v>
      </c>
      <c r="D239" s="110" t="str">
        <f t="shared" si="102"/>
        <v>LGUM_279</v>
      </c>
      <c r="E239" s="581">
        <f t="shared" si="80"/>
        <v>11</v>
      </c>
      <c r="F239" s="581">
        <f t="shared" si="81"/>
        <v>0</v>
      </c>
      <c r="G239" s="116">
        <f t="shared" si="82"/>
        <v>41.43</v>
      </c>
      <c r="H239" s="116">
        <f t="shared" si="83"/>
        <v>9.8399999999999963</v>
      </c>
      <c r="I239" s="118">
        <f t="shared" si="94"/>
        <v>455.73</v>
      </c>
      <c r="J239" s="118">
        <f t="shared" si="84"/>
        <v>455.73</v>
      </c>
      <c r="K239" s="570">
        <f t="shared" si="95"/>
        <v>0</v>
      </c>
      <c r="L239" s="121">
        <f t="shared" si="85"/>
        <v>0</v>
      </c>
      <c r="M239" s="122">
        <f t="shared" si="86"/>
        <v>0</v>
      </c>
      <c r="N239" s="122">
        <f t="shared" si="87"/>
        <v>0</v>
      </c>
      <c r="O239" s="122">
        <f t="shared" si="88"/>
        <v>0</v>
      </c>
      <c r="P239" s="122">
        <f t="shared" si="89"/>
        <v>0</v>
      </c>
      <c r="Q239" s="123">
        <f t="shared" si="90"/>
        <v>455.73</v>
      </c>
      <c r="R239" s="123">
        <f t="shared" si="96"/>
        <v>-455.73</v>
      </c>
      <c r="S239" s="582">
        <v>0</v>
      </c>
      <c r="T239" s="123">
        <f t="shared" si="97"/>
        <v>-455.73</v>
      </c>
      <c r="U239" s="25">
        <f t="shared" si="91"/>
        <v>108.24</v>
      </c>
      <c r="V239" s="123">
        <f t="shared" si="92"/>
        <v>-108.24</v>
      </c>
      <c r="W239" s="334">
        <f t="shared" si="93"/>
        <v>9.9</v>
      </c>
      <c r="Y239" s="109">
        <f>IF(AE239=1,IF(Y238=MiscData!$F$1,EOMONTH(Y238,-11),EOMONTH(Y238,1)),Y238)</f>
        <v>42490</v>
      </c>
      <c r="Z239" s="108" t="str">
        <f t="shared" si="103"/>
        <v>20140101LGUM_279</v>
      </c>
      <c r="AA239" s="126" t="str">
        <f t="shared" si="104"/>
        <v>20140101RLS</v>
      </c>
      <c r="AB239" s="583" t="str">
        <f t="shared" si="98"/>
        <v>279</v>
      </c>
      <c r="AD239" s="98">
        <f>MiscData!$X$5</f>
        <v>20140101</v>
      </c>
      <c r="AE239" s="98">
        <f>IF(AE238+1&gt;MiscData!$AC$77,1,AE238+1)</f>
        <v>17</v>
      </c>
      <c r="AF239" s="98" t="str">
        <f>VLOOKUP(AE239,MiscData!$AC$5:$AD$77,2,FALSE)</f>
        <v>LGUM_279</v>
      </c>
      <c r="AG239" s="98" t="str">
        <f>VLOOKUP(AF239,MiscData!$AD$5:$AE$77,2,FALSE)</f>
        <v>RLS</v>
      </c>
      <c r="AP239" s="98" t="s">
        <v>320</v>
      </c>
      <c r="AR239" s="98">
        <v>0</v>
      </c>
    </row>
    <row r="240" spans="1:44">
      <c r="A240" s="108">
        <f t="shared" si="99"/>
        <v>237</v>
      </c>
      <c r="B240" s="109" t="str">
        <f t="shared" si="100"/>
        <v>Apr 2016</v>
      </c>
      <c r="C240" s="110" t="str">
        <f t="shared" si="101"/>
        <v>RLS</v>
      </c>
      <c r="D240" s="110" t="str">
        <f t="shared" si="102"/>
        <v>LGUM_280</v>
      </c>
      <c r="E240" s="581">
        <f t="shared" si="80"/>
        <v>45</v>
      </c>
      <c r="F240" s="581">
        <f t="shared" si="81"/>
        <v>0</v>
      </c>
      <c r="G240" s="116">
        <f t="shared" si="82"/>
        <v>19.38</v>
      </c>
      <c r="H240" s="116">
        <f t="shared" si="83"/>
        <v>0.87999999999999901</v>
      </c>
      <c r="I240" s="118">
        <f t="shared" si="94"/>
        <v>872.1</v>
      </c>
      <c r="J240" s="118">
        <f t="shared" si="84"/>
        <v>872.1</v>
      </c>
      <c r="K240" s="570">
        <f t="shared" si="95"/>
        <v>0</v>
      </c>
      <c r="L240" s="121">
        <f t="shared" si="85"/>
        <v>0</v>
      </c>
      <c r="M240" s="122">
        <f t="shared" si="86"/>
        <v>0</v>
      </c>
      <c r="N240" s="122">
        <f t="shared" si="87"/>
        <v>0</v>
      </c>
      <c r="O240" s="122">
        <f t="shared" si="88"/>
        <v>0</v>
      </c>
      <c r="P240" s="122">
        <f t="shared" si="89"/>
        <v>0</v>
      </c>
      <c r="Q240" s="123">
        <f t="shared" si="90"/>
        <v>872.1</v>
      </c>
      <c r="R240" s="123">
        <f t="shared" si="96"/>
        <v>-872.1</v>
      </c>
      <c r="S240" s="582">
        <v>0</v>
      </c>
      <c r="T240" s="123">
        <f t="shared" si="97"/>
        <v>-872.1</v>
      </c>
      <c r="U240" s="25">
        <f t="shared" si="91"/>
        <v>39.6</v>
      </c>
      <c r="V240" s="123">
        <f t="shared" si="92"/>
        <v>-39.6</v>
      </c>
      <c r="W240" s="334">
        <f t="shared" si="93"/>
        <v>11.700000000000001</v>
      </c>
      <c r="Y240" s="109">
        <f>IF(AE240=1,IF(Y239=MiscData!$F$1,EOMONTH(Y239,-11),EOMONTH(Y239,1)),Y239)</f>
        <v>42490</v>
      </c>
      <c r="Z240" s="108" t="str">
        <f t="shared" si="103"/>
        <v>20140101LGUM_280</v>
      </c>
      <c r="AA240" s="126" t="str">
        <f t="shared" si="104"/>
        <v>20140101RLS</v>
      </c>
      <c r="AB240" s="583" t="str">
        <f t="shared" si="98"/>
        <v>280</v>
      </c>
      <c r="AD240" s="98">
        <f>MiscData!$X$5</f>
        <v>20140101</v>
      </c>
      <c r="AE240" s="98">
        <f>IF(AE239+1&gt;MiscData!$AC$77,1,AE239+1)</f>
        <v>18</v>
      </c>
      <c r="AF240" s="98" t="str">
        <f>VLOOKUP(AE240,MiscData!$AC$5:$AD$77,2,FALSE)</f>
        <v>LGUM_280</v>
      </c>
      <c r="AG240" s="98" t="str">
        <f>VLOOKUP(AF240,MiscData!$AD$5:$AE$77,2,FALSE)</f>
        <v>RLS</v>
      </c>
      <c r="AP240" s="98" t="s">
        <v>321</v>
      </c>
      <c r="AR240" s="98">
        <v>448.13</v>
      </c>
    </row>
    <row r="241" spans="1:44">
      <c r="A241" s="108">
        <f t="shared" si="99"/>
        <v>238</v>
      </c>
      <c r="B241" s="109" t="str">
        <f t="shared" si="100"/>
        <v>Apr 2016</v>
      </c>
      <c r="C241" s="110" t="str">
        <f t="shared" si="101"/>
        <v>RLS</v>
      </c>
      <c r="D241" s="110" t="str">
        <f t="shared" si="102"/>
        <v>LGUM_281</v>
      </c>
      <c r="E241" s="581">
        <f t="shared" si="80"/>
        <v>242</v>
      </c>
      <c r="F241" s="581">
        <f t="shared" si="81"/>
        <v>0</v>
      </c>
      <c r="G241" s="116">
        <f t="shared" si="82"/>
        <v>20.349999999999998</v>
      </c>
      <c r="H241" s="116">
        <f t="shared" si="83"/>
        <v>1.2699999999999996</v>
      </c>
      <c r="I241" s="118">
        <f t="shared" si="94"/>
        <v>4924.7</v>
      </c>
      <c r="J241" s="118">
        <f t="shared" si="84"/>
        <v>4924.7</v>
      </c>
      <c r="K241" s="570">
        <f t="shared" si="95"/>
        <v>0</v>
      </c>
      <c r="L241" s="121">
        <f t="shared" si="85"/>
        <v>0</v>
      </c>
      <c r="M241" s="122">
        <f t="shared" si="86"/>
        <v>0</v>
      </c>
      <c r="N241" s="122">
        <f t="shared" si="87"/>
        <v>0</v>
      </c>
      <c r="O241" s="122">
        <f t="shared" si="88"/>
        <v>0</v>
      </c>
      <c r="P241" s="122">
        <f t="shared" si="89"/>
        <v>0</v>
      </c>
      <c r="Q241" s="123">
        <f t="shared" si="90"/>
        <v>4924.7</v>
      </c>
      <c r="R241" s="123">
        <f t="shared" si="96"/>
        <v>-4924.7</v>
      </c>
      <c r="S241" s="582">
        <v>0</v>
      </c>
      <c r="T241" s="123">
        <f t="shared" si="97"/>
        <v>-4924.7</v>
      </c>
      <c r="U241" s="25">
        <f t="shared" si="91"/>
        <v>307.33999999999997</v>
      </c>
      <c r="V241" s="123">
        <f t="shared" si="92"/>
        <v>-307.33999999999997</v>
      </c>
      <c r="W241" s="334">
        <f t="shared" si="93"/>
        <v>65.34</v>
      </c>
      <c r="Y241" s="109">
        <f>IF(AE241=1,IF(Y240=MiscData!$F$1,EOMONTH(Y240,-11),EOMONTH(Y240,1)),Y240)</f>
        <v>42490</v>
      </c>
      <c r="Z241" s="108" t="str">
        <f t="shared" si="103"/>
        <v>20140101LGUM_281</v>
      </c>
      <c r="AA241" s="126" t="str">
        <f t="shared" si="104"/>
        <v>20140101RLS</v>
      </c>
      <c r="AB241" s="583" t="str">
        <f t="shared" si="98"/>
        <v>281</v>
      </c>
      <c r="AD241" s="98">
        <f>MiscData!$X$5</f>
        <v>20140101</v>
      </c>
      <c r="AE241" s="98">
        <f>IF(AE240+1&gt;MiscData!$AC$77,1,AE240+1)</f>
        <v>19</v>
      </c>
      <c r="AF241" s="98" t="str">
        <f>VLOOKUP(AE241,MiscData!$AC$5:$AD$77,2,FALSE)</f>
        <v>LGUM_281</v>
      </c>
      <c r="AG241" s="98" t="str">
        <f>VLOOKUP(AF241,MiscData!$AD$5:$AE$77,2,FALSE)</f>
        <v>RLS</v>
      </c>
      <c r="AP241" s="98" t="s">
        <v>322</v>
      </c>
      <c r="AR241" s="98">
        <v>136.86000000000001</v>
      </c>
    </row>
    <row r="242" spans="1:44">
      <c r="A242" s="108">
        <f t="shared" si="99"/>
        <v>239</v>
      </c>
      <c r="B242" s="109" t="str">
        <f t="shared" si="100"/>
        <v>Apr 2016</v>
      </c>
      <c r="C242" s="110" t="str">
        <f t="shared" si="101"/>
        <v>RLS</v>
      </c>
      <c r="D242" s="110" t="str">
        <f t="shared" si="102"/>
        <v>LGUM_282</v>
      </c>
      <c r="E242" s="581">
        <f t="shared" si="80"/>
        <v>104</v>
      </c>
      <c r="F242" s="581">
        <f t="shared" si="81"/>
        <v>0</v>
      </c>
      <c r="G242" s="116">
        <f t="shared" si="82"/>
        <v>19.53</v>
      </c>
      <c r="H242" s="116">
        <f t="shared" si="83"/>
        <v>0.87999999999999901</v>
      </c>
      <c r="I242" s="118">
        <f t="shared" si="94"/>
        <v>2031.12</v>
      </c>
      <c r="J242" s="118">
        <f t="shared" si="84"/>
        <v>2031.12</v>
      </c>
      <c r="K242" s="570">
        <f t="shared" si="95"/>
        <v>0</v>
      </c>
      <c r="L242" s="121">
        <f t="shared" si="85"/>
        <v>0</v>
      </c>
      <c r="M242" s="122">
        <f t="shared" si="86"/>
        <v>0</v>
      </c>
      <c r="N242" s="122">
        <f t="shared" si="87"/>
        <v>0</v>
      </c>
      <c r="O242" s="122">
        <f t="shared" si="88"/>
        <v>0</v>
      </c>
      <c r="P242" s="122">
        <f t="shared" si="89"/>
        <v>0</v>
      </c>
      <c r="Q242" s="123">
        <f t="shared" si="90"/>
        <v>2031.12</v>
      </c>
      <c r="R242" s="123">
        <f t="shared" si="96"/>
        <v>-2031.12</v>
      </c>
      <c r="S242" s="582">
        <v>0</v>
      </c>
      <c r="T242" s="123">
        <f t="shared" si="97"/>
        <v>-2031.12</v>
      </c>
      <c r="U242" s="25">
        <f t="shared" si="91"/>
        <v>91.52</v>
      </c>
      <c r="V242" s="123">
        <f t="shared" si="92"/>
        <v>-91.52</v>
      </c>
      <c r="W242" s="334">
        <f t="shared" si="93"/>
        <v>27.04</v>
      </c>
      <c r="Y242" s="109">
        <f>IF(AE242=1,IF(Y241=MiscData!$F$1,EOMONTH(Y241,-11),EOMONTH(Y241,1)),Y241)</f>
        <v>42490</v>
      </c>
      <c r="Z242" s="108" t="str">
        <f t="shared" si="103"/>
        <v>20140101LGUM_282</v>
      </c>
      <c r="AA242" s="126" t="str">
        <f t="shared" si="104"/>
        <v>20140101RLS</v>
      </c>
      <c r="AB242" s="583" t="str">
        <f t="shared" si="98"/>
        <v>282</v>
      </c>
      <c r="AD242" s="98">
        <f>MiscData!$X$5</f>
        <v>20140101</v>
      </c>
      <c r="AE242" s="98">
        <f>IF(AE241+1&gt;MiscData!$AC$77,1,AE241+1)</f>
        <v>20</v>
      </c>
      <c r="AF242" s="98" t="str">
        <f>VLOOKUP(AE242,MiscData!$AC$5:$AD$77,2,FALSE)</f>
        <v>LGUM_282</v>
      </c>
      <c r="AG242" s="98" t="str">
        <f>VLOOKUP(AF242,MiscData!$AD$5:$AE$77,2,FALSE)</f>
        <v>RLS</v>
      </c>
      <c r="AP242" s="98" t="s">
        <v>323</v>
      </c>
      <c r="AR242" s="98">
        <v>0</v>
      </c>
    </row>
    <row r="243" spans="1:44">
      <c r="A243" s="108">
        <f t="shared" si="99"/>
        <v>240</v>
      </c>
      <c r="B243" s="109" t="str">
        <f t="shared" si="100"/>
        <v>Apr 2016</v>
      </c>
      <c r="C243" s="110" t="str">
        <f t="shared" si="101"/>
        <v>RLS</v>
      </c>
      <c r="D243" s="110" t="str">
        <f t="shared" si="102"/>
        <v>LGUM_283</v>
      </c>
      <c r="E243" s="581">
        <f t="shared" si="80"/>
        <v>80</v>
      </c>
      <c r="F243" s="581">
        <f t="shared" si="81"/>
        <v>0</v>
      </c>
      <c r="G243" s="116">
        <f t="shared" si="82"/>
        <v>20.819999999999997</v>
      </c>
      <c r="H243" s="116">
        <f t="shared" si="83"/>
        <v>1.2699999999999996</v>
      </c>
      <c r="I243" s="118">
        <f t="shared" si="94"/>
        <v>1665.6</v>
      </c>
      <c r="J243" s="118">
        <f t="shared" si="84"/>
        <v>1665.6</v>
      </c>
      <c r="K243" s="570">
        <f t="shared" si="95"/>
        <v>0</v>
      </c>
      <c r="L243" s="121">
        <f t="shared" si="85"/>
        <v>0</v>
      </c>
      <c r="M243" s="122">
        <f t="shared" si="86"/>
        <v>0</v>
      </c>
      <c r="N243" s="122">
        <f t="shared" si="87"/>
        <v>0</v>
      </c>
      <c r="O243" s="122">
        <f t="shared" si="88"/>
        <v>0</v>
      </c>
      <c r="P243" s="122">
        <f t="shared" si="89"/>
        <v>0</v>
      </c>
      <c r="Q243" s="123">
        <f t="shared" si="90"/>
        <v>1665.6</v>
      </c>
      <c r="R243" s="123">
        <f t="shared" si="96"/>
        <v>-1665.6</v>
      </c>
      <c r="S243" s="582">
        <v>0</v>
      </c>
      <c r="T243" s="123">
        <f t="shared" si="97"/>
        <v>-1665.6</v>
      </c>
      <c r="U243" s="25">
        <f t="shared" si="91"/>
        <v>101.6</v>
      </c>
      <c r="V243" s="123">
        <f t="shared" si="92"/>
        <v>-101.6</v>
      </c>
      <c r="W243" s="334">
        <f t="shared" si="93"/>
        <v>21.6</v>
      </c>
      <c r="Y243" s="109">
        <f>IF(AE243=1,IF(Y242=MiscData!$F$1,EOMONTH(Y242,-11),EOMONTH(Y242,1)),Y242)</f>
        <v>42490</v>
      </c>
      <c r="Z243" s="108" t="str">
        <f t="shared" si="103"/>
        <v>20140101LGUM_283</v>
      </c>
      <c r="AA243" s="126" t="str">
        <f t="shared" si="104"/>
        <v>20140101RLS</v>
      </c>
      <c r="AB243" s="583" t="str">
        <f t="shared" si="98"/>
        <v>283</v>
      </c>
      <c r="AD243" s="98">
        <f>MiscData!$X$5</f>
        <v>20140101</v>
      </c>
      <c r="AE243" s="98">
        <f>IF(AE242+1&gt;MiscData!$AC$77,1,AE242+1)</f>
        <v>21</v>
      </c>
      <c r="AF243" s="98" t="str">
        <f>VLOOKUP(AE243,MiscData!$AC$5:$AD$77,2,FALSE)</f>
        <v>LGUM_283</v>
      </c>
      <c r="AG243" s="98" t="str">
        <f>VLOOKUP(AF243,MiscData!$AD$5:$AE$77,2,FALSE)</f>
        <v>RLS</v>
      </c>
      <c r="AP243" s="98" t="s">
        <v>324</v>
      </c>
      <c r="AR243" s="98">
        <v>0</v>
      </c>
    </row>
    <row r="244" spans="1:44">
      <c r="A244" s="108">
        <f t="shared" si="99"/>
        <v>241</v>
      </c>
      <c r="B244" s="109" t="str">
        <f t="shared" si="100"/>
        <v>Apr 2016</v>
      </c>
      <c r="C244" s="110" t="str">
        <f t="shared" si="101"/>
        <v>RLS</v>
      </c>
      <c r="D244" s="110" t="str">
        <f t="shared" si="102"/>
        <v>LGUM_314</v>
      </c>
      <c r="E244" s="581">
        <f t="shared" si="80"/>
        <v>522</v>
      </c>
      <c r="F244" s="581">
        <f t="shared" si="81"/>
        <v>0</v>
      </c>
      <c r="G244" s="116">
        <f t="shared" si="82"/>
        <v>19.2</v>
      </c>
      <c r="H244" s="116">
        <f t="shared" si="83"/>
        <v>2.7100000000000009</v>
      </c>
      <c r="I244" s="118">
        <f t="shared" si="94"/>
        <v>10022.4</v>
      </c>
      <c r="J244" s="118">
        <f t="shared" si="84"/>
        <v>10022.4</v>
      </c>
      <c r="K244" s="570">
        <f t="shared" si="95"/>
        <v>0</v>
      </c>
      <c r="L244" s="121">
        <f t="shared" si="85"/>
        <v>0</v>
      </c>
      <c r="M244" s="122">
        <f t="shared" si="86"/>
        <v>0</v>
      </c>
      <c r="N244" s="122">
        <f t="shared" si="87"/>
        <v>0</v>
      </c>
      <c r="O244" s="122">
        <f t="shared" si="88"/>
        <v>0</v>
      </c>
      <c r="P244" s="122">
        <f t="shared" si="89"/>
        <v>0</v>
      </c>
      <c r="Q244" s="123">
        <f t="shared" si="90"/>
        <v>10022.4</v>
      </c>
      <c r="R244" s="123">
        <f t="shared" si="96"/>
        <v>-10022.4</v>
      </c>
      <c r="S244" s="582">
        <v>0</v>
      </c>
      <c r="T244" s="123">
        <f t="shared" si="97"/>
        <v>-10022.4</v>
      </c>
      <c r="U244" s="25">
        <f t="shared" si="91"/>
        <v>1414.62</v>
      </c>
      <c r="V244" s="123">
        <f t="shared" si="92"/>
        <v>-1414.62</v>
      </c>
      <c r="W244" s="334">
        <f t="shared" si="93"/>
        <v>93.96</v>
      </c>
      <c r="Y244" s="109">
        <f>IF(AE244=1,IF(Y243=MiscData!$F$1,EOMONTH(Y243,-11),EOMONTH(Y243,1)),Y243)</f>
        <v>42490</v>
      </c>
      <c r="Z244" s="108" t="str">
        <f t="shared" si="103"/>
        <v>20140101LGUM_314</v>
      </c>
      <c r="AA244" s="126" t="str">
        <f t="shared" si="104"/>
        <v>20140101RLS</v>
      </c>
      <c r="AB244" s="583" t="str">
        <f t="shared" si="98"/>
        <v>314</v>
      </c>
      <c r="AD244" s="98">
        <f>MiscData!$X$5</f>
        <v>20140101</v>
      </c>
      <c r="AE244" s="98">
        <f>IF(AE243+1&gt;MiscData!$AC$77,1,AE243+1)</f>
        <v>22</v>
      </c>
      <c r="AF244" s="98" t="str">
        <f>VLOOKUP(AE244,MiscData!$AC$5:$AD$77,2,FALSE)</f>
        <v>LGUM_314</v>
      </c>
      <c r="AG244" s="98" t="str">
        <f>VLOOKUP(AF244,MiscData!$AD$5:$AE$77,2,FALSE)</f>
        <v>RLS</v>
      </c>
      <c r="AP244" s="98" t="s">
        <v>325</v>
      </c>
      <c r="AR244" s="98">
        <v>0</v>
      </c>
    </row>
    <row r="245" spans="1:44">
      <c r="A245" s="108">
        <f t="shared" si="99"/>
        <v>242</v>
      </c>
      <c r="B245" s="109" t="str">
        <f t="shared" si="100"/>
        <v>Apr 2016</v>
      </c>
      <c r="C245" s="110" t="str">
        <f t="shared" si="101"/>
        <v>RLS</v>
      </c>
      <c r="D245" s="110" t="str">
        <f t="shared" si="102"/>
        <v>LGUM_315</v>
      </c>
      <c r="E245" s="581">
        <f t="shared" si="80"/>
        <v>509</v>
      </c>
      <c r="F245" s="581">
        <f t="shared" si="81"/>
        <v>0</v>
      </c>
      <c r="G245" s="116">
        <f t="shared" si="82"/>
        <v>22.949999999999996</v>
      </c>
      <c r="H245" s="116">
        <f t="shared" si="83"/>
        <v>4.1999999999999993</v>
      </c>
      <c r="I245" s="118">
        <f t="shared" si="94"/>
        <v>11681.55</v>
      </c>
      <c r="J245" s="118">
        <f t="shared" si="84"/>
        <v>11681.55</v>
      </c>
      <c r="K245" s="570">
        <f t="shared" si="95"/>
        <v>0</v>
      </c>
      <c r="L245" s="121">
        <f t="shared" si="85"/>
        <v>0</v>
      </c>
      <c r="M245" s="122">
        <f t="shared" si="86"/>
        <v>0</v>
      </c>
      <c r="N245" s="122">
        <f t="shared" si="87"/>
        <v>0</v>
      </c>
      <c r="O245" s="122">
        <f t="shared" si="88"/>
        <v>0</v>
      </c>
      <c r="P245" s="122">
        <f t="shared" si="89"/>
        <v>0</v>
      </c>
      <c r="Q245" s="123">
        <f t="shared" si="90"/>
        <v>11681.55</v>
      </c>
      <c r="R245" s="123">
        <f t="shared" si="96"/>
        <v>-11681.55</v>
      </c>
      <c r="S245" s="582">
        <v>0</v>
      </c>
      <c r="T245" s="123">
        <f t="shared" si="97"/>
        <v>-11681.55</v>
      </c>
      <c r="U245" s="25">
        <f t="shared" si="91"/>
        <v>2137.8000000000002</v>
      </c>
      <c r="V245" s="123">
        <f t="shared" si="92"/>
        <v>-2137.8000000000002</v>
      </c>
      <c r="W245" s="334">
        <f t="shared" si="93"/>
        <v>111.98</v>
      </c>
      <c r="Y245" s="109">
        <f>IF(AE245=1,IF(Y244=MiscData!$F$1,EOMONTH(Y244,-11),EOMONTH(Y244,1)),Y244)</f>
        <v>42490</v>
      </c>
      <c r="Z245" s="108" t="str">
        <f t="shared" si="103"/>
        <v>20140101LGUM_315</v>
      </c>
      <c r="AA245" s="126" t="str">
        <f t="shared" si="104"/>
        <v>20140101RLS</v>
      </c>
      <c r="AB245" s="583" t="str">
        <f t="shared" si="98"/>
        <v>315</v>
      </c>
      <c r="AD245" s="98">
        <f>MiscData!$X$5</f>
        <v>20140101</v>
      </c>
      <c r="AE245" s="98">
        <f>IF(AE244+1&gt;MiscData!$AC$77,1,AE244+1)</f>
        <v>23</v>
      </c>
      <c r="AF245" s="98" t="str">
        <f>VLOOKUP(AE245,MiscData!$AC$5:$AD$77,2,FALSE)</f>
        <v>LGUM_315</v>
      </c>
      <c r="AG245" s="98" t="str">
        <f>VLOOKUP(AF245,MiscData!$AD$5:$AE$77,2,FALSE)</f>
        <v>RLS</v>
      </c>
      <c r="AP245" s="98" t="s">
        <v>326</v>
      </c>
      <c r="AR245" s="98">
        <v>0</v>
      </c>
    </row>
    <row r="246" spans="1:44">
      <c r="A246" s="108">
        <f t="shared" si="99"/>
        <v>243</v>
      </c>
      <c r="B246" s="109" t="str">
        <f t="shared" si="100"/>
        <v>Apr 2016</v>
      </c>
      <c r="C246" s="110" t="str">
        <f t="shared" si="101"/>
        <v>RLS</v>
      </c>
      <c r="D246" s="110" t="str">
        <f t="shared" si="102"/>
        <v>LGUM_318</v>
      </c>
      <c r="E246" s="581">
        <f t="shared" si="80"/>
        <v>53</v>
      </c>
      <c r="F246" s="581">
        <f t="shared" si="81"/>
        <v>0</v>
      </c>
      <c r="G246" s="116">
        <f t="shared" si="82"/>
        <v>17.419999999999998</v>
      </c>
      <c r="H246" s="116">
        <f t="shared" si="83"/>
        <v>1.9100000000000001</v>
      </c>
      <c r="I246" s="118">
        <f t="shared" si="94"/>
        <v>923.26</v>
      </c>
      <c r="J246" s="118">
        <f t="shared" si="84"/>
        <v>923.26</v>
      </c>
      <c r="K246" s="570">
        <f t="shared" si="95"/>
        <v>0</v>
      </c>
      <c r="L246" s="121">
        <f t="shared" si="85"/>
        <v>0</v>
      </c>
      <c r="M246" s="122">
        <f t="shared" si="86"/>
        <v>0</v>
      </c>
      <c r="N246" s="122">
        <f t="shared" si="87"/>
        <v>0</v>
      </c>
      <c r="O246" s="122">
        <f t="shared" si="88"/>
        <v>0</v>
      </c>
      <c r="P246" s="122">
        <f t="shared" si="89"/>
        <v>0</v>
      </c>
      <c r="Q246" s="123">
        <f t="shared" si="90"/>
        <v>923.26</v>
      </c>
      <c r="R246" s="123">
        <f t="shared" si="96"/>
        <v>-923.26</v>
      </c>
      <c r="S246" s="582">
        <v>0</v>
      </c>
      <c r="T246" s="123">
        <f t="shared" si="97"/>
        <v>-923.26</v>
      </c>
      <c r="U246" s="25">
        <f t="shared" si="91"/>
        <v>101.23</v>
      </c>
      <c r="V246" s="123">
        <f t="shared" si="92"/>
        <v>-101.23</v>
      </c>
      <c r="W246" s="334">
        <f t="shared" si="93"/>
        <v>8.48</v>
      </c>
      <c r="Y246" s="109">
        <f>IF(AE246=1,IF(Y245=MiscData!$F$1,EOMONTH(Y245,-11),EOMONTH(Y245,1)),Y245)</f>
        <v>42490</v>
      </c>
      <c r="Z246" s="108" t="str">
        <f t="shared" si="103"/>
        <v>20140101LGUM_318</v>
      </c>
      <c r="AA246" s="126" t="str">
        <f t="shared" si="104"/>
        <v>20140101RLS</v>
      </c>
      <c r="AB246" s="583" t="str">
        <f t="shared" si="98"/>
        <v>318</v>
      </c>
      <c r="AD246" s="98">
        <f>MiscData!$X$5</f>
        <v>20140101</v>
      </c>
      <c r="AE246" s="98">
        <f>IF(AE245+1&gt;MiscData!$AC$77,1,AE245+1)</f>
        <v>24</v>
      </c>
      <c r="AF246" s="98" t="str">
        <f>VLOOKUP(AE246,MiscData!$AC$5:$AD$77,2,FALSE)</f>
        <v>LGUM_318</v>
      </c>
      <c r="AG246" s="98" t="str">
        <f>VLOOKUP(AF246,MiscData!$AD$5:$AE$77,2,FALSE)</f>
        <v>RLS</v>
      </c>
      <c r="AP246" s="98" t="s">
        <v>327</v>
      </c>
      <c r="AR246" s="98">
        <v>0</v>
      </c>
    </row>
    <row r="247" spans="1:44">
      <c r="A247" s="108">
        <f t="shared" si="99"/>
        <v>244</v>
      </c>
      <c r="B247" s="109" t="str">
        <f t="shared" si="100"/>
        <v>Apr 2016</v>
      </c>
      <c r="C247" s="110" t="str">
        <f t="shared" si="101"/>
        <v>RLS</v>
      </c>
      <c r="D247" s="110" t="str">
        <f t="shared" si="102"/>
        <v>LGUM_347</v>
      </c>
      <c r="E247" s="581">
        <f t="shared" si="80"/>
        <v>0</v>
      </c>
      <c r="F247" s="581">
        <f t="shared" si="81"/>
        <v>0</v>
      </c>
      <c r="G247" s="116">
        <f t="shared" si="82"/>
        <v>22.939999999999998</v>
      </c>
      <c r="H247" s="116">
        <f t="shared" si="83"/>
        <v>26.14</v>
      </c>
      <c r="I247" s="118">
        <f t="shared" si="94"/>
        <v>0</v>
      </c>
      <c r="J247" s="118">
        <f t="shared" si="84"/>
        <v>0</v>
      </c>
      <c r="K247" s="570">
        <f t="shared" si="95"/>
        <v>0</v>
      </c>
      <c r="L247" s="121">
        <f t="shared" si="85"/>
        <v>1</v>
      </c>
      <c r="M247" s="122">
        <f t="shared" si="86"/>
        <v>0</v>
      </c>
      <c r="N247" s="122">
        <f t="shared" si="87"/>
        <v>0</v>
      </c>
      <c r="O247" s="122">
        <f t="shared" si="88"/>
        <v>0</v>
      </c>
      <c r="P247" s="122">
        <f t="shared" si="89"/>
        <v>0</v>
      </c>
      <c r="Q247" s="123">
        <f t="shared" si="90"/>
        <v>0</v>
      </c>
      <c r="R247" s="123">
        <f t="shared" si="96"/>
        <v>0</v>
      </c>
      <c r="S247" s="582">
        <v>0</v>
      </c>
      <c r="T247" s="123">
        <f t="shared" si="97"/>
        <v>0</v>
      </c>
      <c r="U247" s="25">
        <f t="shared" si="91"/>
        <v>0</v>
      </c>
      <c r="V247" s="123">
        <f t="shared" si="92"/>
        <v>0</v>
      </c>
      <c r="W247" s="334">
        <f t="shared" si="93"/>
        <v>0</v>
      </c>
      <c r="Y247" s="109">
        <f>IF(AE247=1,IF(Y246=MiscData!$F$1,EOMONTH(Y246,-11),EOMONTH(Y246,1)),Y246)</f>
        <v>42490</v>
      </c>
      <c r="Z247" s="108" t="str">
        <f t="shared" si="103"/>
        <v>20140101LGUM_347</v>
      </c>
      <c r="AA247" s="126" t="str">
        <f t="shared" si="104"/>
        <v>20140101RLS</v>
      </c>
      <c r="AB247" s="583" t="str">
        <f t="shared" si="98"/>
        <v>347</v>
      </c>
      <c r="AD247" s="98">
        <f>MiscData!$X$5</f>
        <v>20140101</v>
      </c>
      <c r="AE247" s="98">
        <f>IF(AE246+1&gt;MiscData!$AC$77,1,AE246+1)</f>
        <v>25</v>
      </c>
      <c r="AF247" s="98" t="str">
        <f>VLOOKUP(AE247,MiscData!$AC$5:$AD$77,2,FALSE)</f>
        <v>LGUM_347</v>
      </c>
      <c r="AG247" s="98" t="str">
        <f>VLOOKUP(AF247,MiscData!$AD$5:$AE$77,2,FALSE)</f>
        <v>RLS</v>
      </c>
      <c r="AP247" s="98" t="s">
        <v>328</v>
      </c>
      <c r="AR247" s="98">
        <v>0</v>
      </c>
    </row>
    <row r="248" spans="1:44">
      <c r="A248" s="108">
        <f t="shared" si="99"/>
        <v>245</v>
      </c>
      <c r="B248" s="109" t="str">
        <f t="shared" si="100"/>
        <v>Apr 2016</v>
      </c>
      <c r="C248" s="110" t="str">
        <f t="shared" si="101"/>
        <v>RLS</v>
      </c>
      <c r="D248" s="110" t="str">
        <f t="shared" si="102"/>
        <v>LGUM_348</v>
      </c>
      <c r="E248" s="581">
        <f t="shared" si="80"/>
        <v>39</v>
      </c>
      <c r="F248" s="581">
        <f t="shared" si="81"/>
        <v>0</v>
      </c>
      <c r="G248" s="116">
        <f t="shared" si="82"/>
        <v>13.12</v>
      </c>
      <c r="H248" s="116">
        <f t="shared" si="83"/>
        <v>2.9800000000000004</v>
      </c>
      <c r="I248" s="118">
        <f t="shared" si="94"/>
        <v>511.68</v>
      </c>
      <c r="J248" s="118">
        <f t="shared" si="84"/>
        <v>511.68</v>
      </c>
      <c r="K248" s="570">
        <f t="shared" si="95"/>
        <v>0</v>
      </c>
      <c r="L248" s="121">
        <f t="shared" si="85"/>
        <v>0</v>
      </c>
      <c r="M248" s="122">
        <f t="shared" si="86"/>
        <v>0</v>
      </c>
      <c r="N248" s="122">
        <f t="shared" si="87"/>
        <v>0</v>
      </c>
      <c r="O248" s="122">
        <f t="shared" si="88"/>
        <v>0</v>
      </c>
      <c r="P248" s="122">
        <f t="shared" si="89"/>
        <v>0</v>
      </c>
      <c r="Q248" s="123">
        <f t="shared" si="90"/>
        <v>511.68</v>
      </c>
      <c r="R248" s="123">
        <f t="shared" si="96"/>
        <v>-511.68</v>
      </c>
      <c r="S248" s="582">
        <v>0</v>
      </c>
      <c r="T248" s="123">
        <f t="shared" si="97"/>
        <v>-511.68</v>
      </c>
      <c r="U248" s="25">
        <f t="shared" si="91"/>
        <v>116.22</v>
      </c>
      <c r="V248" s="123">
        <f t="shared" si="92"/>
        <v>-116.22</v>
      </c>
      <c r="W248" s="334">
        <f t="shared" si="93"/>
        <v>7.41</v>
      </c>
      <c r="Y248" s="109">
        <f>IF(AE248=1,IF(Y247=MiscData!$F$1,EOMONTH(Y247,-11),EOMONTH(Y247,1)),Y247)</f>
        <v>42490</v>
      </c>
      <c r="Z248" s="108" t="str">
        <f t="shared" si="103"/>
        <v>20140101LGUM_348</v>
      </c>
      <c r="AA248" s="126" t="str">
        <f t="shared" si="104"/>
        <v>20140101RLS</v>
      </c>
      <c r="AB248" s="583" t="str">
        <f t="shared" si="98"/>
        <v>348</v>
      </c>
      <c r="AD248" s="98">
        <f>MiscData!$X$5</f>
        <v>20140101</v>
      </c>
      <c r="AE248" s="98">
        <f>IF(AE247+1&gt;MiscData!$AC$77,1,AE247+1)</f>
        <v>26</v>
      </c>
      <c r="AF248" s="98" t="str">
        <f>VLOOKUP(AE248,MiscData!$AC$5:$AD$77,2,FALSE)</f>
        <v>LGUM_348</v>
      </c>
      <c r="AG248" s="98" t="str">
        <f>VLOOKUP(AF248,MiscData!$AD$5:$AE$77,2,FALSE)</f>
        <v>RLS</v>
      </c>
      <c r="AP248" s="98" t="s">
        <v>329</v>
      </c>
      <c r="AR248" s="98">
        <v>0</v>
      </c>
    </row>
    <row r="249" spans="1:44">
      <c r="A249" s="108">
        <f t="shared" si="99"/>
        <v>246</v>
      </c>
      <c r="B249" s="109" t="str">
        <f t="shared" si="100"/>
        <v>Apr 2016</v>
      </c>
      <c r="C249" s="110" t="str">
        <f t="shared" si="101"/>
        <v>RLS</v>
      </c>
      <c r="D249" s="110" t="str">
        <f t="shared" si="102"/>
        <v>LGUM_349</v>
      </c>
      <c r="E249" s="581">
        <f t="shared" si="80"/>
        <v>17</v>
      </c>
      <c r="F249" s="581">
        <f t="shared" si="81"/>
        <v>0</v>
      </c>
      <c r="G249" s="116">
        <f t="shared" si="82"/>
        <v>9.0200000000000014</v>
      </c>
      <c r="H249" s="116">
        <f t="shared" si="83"/>
        <v>0.91000000000000014</v>
      </c>
      <c r="I249" s="118">
        <f t="shared" si="94"/>
        <v>153.34</v>
      </c>
      <c r="J249" s="118">
        <f t="shared" si="84"/>
        <v>153.34</v>
      </c>
      <c r="K249" s="570">
        <f t="shared" si="95"/>
        <v>0</v>
      </c>
      <c r="L249" s="121">
        <f t="shared" si="85"/>
        <v>0</v>
      </c>
      <c r="M249" s="122">
        <f t="shared" si="86"/>
        <v>0</v>
      </c>
      <c r="N249" s="122">
        <f t="shared" si="87"/>
        <v>0</v>
      </c>
      <c r="O249" s="122">
        <f t="shared" si="88"/>
        <v>0</v>
      </c>
      <c r="P249" s="122">
        <f t="shared" si="89"/>
        <v>0</v>
      </c>
      <c r="Q249" s="123">
        <f t="shared" si="90"/>
        <v>153.34</v>
      </c>
      <c r="R249" s="123">
        <f t="shared" si="96"/>
        <v>-153.34</v>
      </c>
      <c r="S249" s="582">
        <v>0</v>
      </c>
      <c r="T249" s="123">
        <f t="shared" si="97"/>
        <v>-153.34</v>
      </c>
      <c r="U249" s="25">
        <f t="shared" si="91"/>
        <v>15.47</v>
      </c>
      <c r="V249" s="123">
        <f t="shared" si="92"/>
        <v>-15.47</v>
      </c>
      <c r="W249" s="334">
        <f t="shared" si="93"/>
        <v>2.3800000000000003</v>
      </c>
      <c r="Y249" s="109">
        <f>IF(AE249=1,IF(Y248=MiscData!$F$1,EOMONTH(Y248,-11),EOMONTH(Y248,1)),Y248)</f>
        <v>42490</v>
      </c>
      <c r="Z249" s="108" t="str">
        <f t="shared" si="103"/>
        <v>20140101LGUM_349</v>
      </c>
      <c r="AA249" s="126" t="str">
        <f t="shared" si="104"/>
        <v>20140101RLS</v>
      </c>
      <c r="AB249" s="583" t="str">
        <f t="shared" si="98"/>
        <v>349</v>
      </c>
      <c r="AD249" s="98">
        <f>MiscData!$X$5</f>
        <v>20140101</v>
      </c>
      <c r="AE249" s="98">
        <f>IF(AE248+1&gt;MiscData!$AC$77,1,AE248+1)</f>
        <v>27</v>
      </c>
      <c r="AF249" s="98" t="str">
        <f>VLOOKUP(AE249,MiscData!$AC$5:$AD$77,2,FALSE)</f>
        <v>LGUM_349</v>
      </c>
      <c r="AG249" s="98" t="str">
        <f>VLOOKUP(AF249,MiscData!$AD$5:$AE$77,2,FALSE)</f>
        <v>RLS</v>
      </c>
      <c r="AP249" s="98" t="s">
        <v>609</v>
      </c>
      <c r="AR249" s="98">
        <v>0</v>
      </c>
    </row>
    <row r="250" spans="1:44">
      <c r="A250" s="108">
        <f t="shared" si="99"/>
        <v>247</v>
      </c>
      <c r="B250" s="109" t="str">
        <f t="shared" si="100"/>
        <v>Apr 2016</v>
      </c>
      <c r="C250" s="110" t="str">
        <f t="shared" si="101"/>
        <v xml:space="preserve">LS </v>
      </c>
      <c r="D250" s="110" t="str">
        <f t="shared" si="102"/>
        <v>LGUM_400</v>
      </c>
      <c r="E250" s="581">
        <f t="shared" si="80"/>
        <v>35</v>
      </c>
      <c r="F250" s="581">
        <f t="shared" si="81"/>
        <v>0</v>
      </c>
      <c r="G250" s="116">
        <f t="shared" si="82"/>
        <v>23.89</v>
      </c>
      <c r="H250" s="116">
        <f t="shared" si="83"/>
        <v>1.0199999999999996</v>
      </c>
      <c r="I250" s="118">
        <f t="shared" si="94"/>
        <v>836.15</v>
      </c>
      <c r="J250" s="118">
        <f t="shared" si="84"/>
        <v>836.15</v>
      </c>
      <c r="K250" s="570">
        <f t="shared" si="95"/>
        <v>0</v>
      </c>
      <c r="L250" s="121">
        <f t="shared" si="85"/>
        <v>0</v>
      </c>
      <c r="M250" s="122">
        <f t="shared" si="86"/>
        <v>0</v>
      </c>
      <c r="N250" s="122">
        <f t="shared" si="87"/>
        <v>0</v>
      </c>
      <c r="O250" s="122">
        <f t="shared" si="88"/>
        <v>0</v>
      </c>
      <c r="P250" s="122">
        <f t="shared" si="89"/>
        <v>0</v>
      </c>
      <c r="Q250" s="123">
        <f t="shared" si="90"/>
        <v>836.15</v>
      </c>
      <c r="R250" s="123">
        <f t="shared" si="96"/>
        <v>-836.15</v>
      </c>
      <c r="S250" s="582">
        <v>0</v>
      </c>
      <c r="T250" s="123">
        <f t="shared" si="97"/>
        <v>-836.15</v>
      </c>
      <c r="U250" s="25">
        <f t="shared" si="91"/>
        <v>35.700000000000003</v>
      </c>
      <c r="V250" s="123">
        <f t="shared" si="92"/>
        <v>-35.700000000000003</v>
      </c>
      <c r="W250" s="334">
        <f t="shared" si="93"/>
        <v>12.95</v>
      </c>
      <c r="Y250" s="109">
        <f>IF(AE250=1,IF(Y249=MiscData!$F$1,EOMONTH(Y249,-11),EOMONTH(Y249,1)),Y249)</f>
        <v>42490</v>
      </c>
      <c r="Z250" s="108" t="str">
        <f t="shared" si="103"/>
        <v>20140101LGUM_400</v>
      </c>
      <c r="AA250" s="126" t="str">
        <f t="shared" si="104"/>
        <v xml:space="preserve">20140101LS </v>
      </c>
      <c r="AB250" s="583" t="str">
        <f t="shared" si="98"/>
        <v>400</v>
      </c>
      <c r="AD250" s="98">
        <f>MiscData!$X$5</f>
        <v>20140101</v>
      </c>
      <c r="AE250" s="98">
        <f>IF(AE249+1&gt;MiscData!$AC$77,1,AE249+1)</f>
        <v>28</v>
      </c>
      <c r="AF250" s="98" t="str">
        <f>VLOOKUP(AE250,MiscData!$AC$5:$AD$77,2,FALSE)</f>
        <v>LGUM_400</v>
      </c>
      <c r="AG250" s="98" t="str">
        <f>VLOOKUP(AF250,MiscData!$AD$5:$AE$77,2,FALSE)</f>
        <v xml:space="preserve">LS </v>
      </c>
      <c r="AP250" s="98" t="s">
        <v>330</v>
      </c>
      <c r="AR250" s="98">
        <v>30.51</v>
      </c>
    </row>
    <row r="251" spans="1:44">
      <c r="A251" s="108">
        <f t="shared" si="99"/>
        <v>248</v>
      </c>
      <c r="B251" s="109" t="str">
        <f t="shared" si="100"/>
        <v>Apr 2016</v>
      </c>
      <c r="C251" s="110" t="str">
        <f t="shared" si="101"/>
        <v xml:space="preserve">LS </v>
      </c>
      <c r="D251" s="110" t="str">
        <f t="shared" si="102"/>
        <v>LGUM_401</v>
      </c>
      <c r="E251" s="581">
        <f t="shared" si="80"/>
        <v>4</v>
      </c>
      <c r="F251" s="581">
        <f t="shared" si="81"/>
        <v>0</v>
      </c>
      <c r="G251" s="116">
        <f t="shared" si="82"/>
        <v>24.9</v>
      </c>
      <c r="H251" s="116">
        <f t="shared" si="83"/>
        <v>1.0599999999999987</v>
      </c>
      <c r="I251" s="118">
        <f t="shared" si="94"/>
        <v>99.6</v>
      </c>
      <c r="J251" s="118">
        <f t="shared" si="84"/>
        <v>99.6</v>
      </c>
      <c r="K251" s="570">
        <f t="shared" si="95"/>
        <v>0</v>
      </c>
      <c r="L251" s="121">
        <f t="shared" si="85"/>
        <v>0</v>
      </c>
      <c r="M251" s="122">
        <f t="shared" si="86"/>
        <v>0</v>
      </c>
      <c r="N251" s="122">
        <f t="shared" si="87"/>
        <v>0</v>
      </c>
      <c r="O251" s="122">
        <f t="shared" si="88"/>
        <v>0</v>
      </c>
      <c r="P251" s="122">
        <f t="shared" si="89"/>
        <v>0</v>
      </c>
      <c r="Q251" s="123">
        <f t="shared" si="90"/>
        <v>99.6</v>
      </c>
      <c r="R251" s="123">
        <f t="shared" si="96"/>
        <v>-99.6</v>
      </c>
      <c r="S251" s="582">
        <v>0</v>
      </c>
      <c r="T251" s="123">
        <f t="shared" si="97"/>
        <v>-99.6</v>
      </c>
      <c r="U251" s="25">
        <f t="shared" si="91"/>
        <v>4.24</v>
      </c>
      <c r="V251" s="123">
        <f t="shared" si="92"/>
        <v>-4.24</v>
      </c>
      <c r="W251" s="334">
        <f t="shared" si="93"/>
        <v>1.08</v>
      </c>
      <c r="Y251" s="109">
        <f>IF(AE251=1,IF(Y250=MiscData!$F$1,EOMONTH(Y250,-11),EOMONTH(Y250,1)),Y250)</f>
        <v>42490</v>
      </c>
      <c r="Z251" s="108" t="str">
        <f t="shared" si="103"/>
        <v>20140101LGUM_401</v>
      </c>
      <c r="AA251" s="126" t="str">
        <f t="shared" si="104"/>
        <v xml:space="preserve">20140101LS </v>
      </c>
      <c r="AB251" s="583" t="str">
        <f t="shared" si="98"/>
        <v>401</v>
      </c>
      <c r="AD251" s="98">
        <f>MiscData!$X$5</f>
        <v>20140101</v>
      </c>
      <c r="AE251" s="98">
        <f>IF(AE250+1&gt;MiscData!$AC$77,1,AE250+1)</f>
        <v>29</v>
      </c>
      <c r="AF251" s="98" t="str">
        <f>VLOOKUP(AE251,MiscData!$AC$5:$AD$77,2,FALSE)</f>
        <v>LGUM_401</v>
      </c>
      <c r="AG251" s="98" t="str">
        <f>VLOOKUP(AF251,MiscData!$AD$5:$AE$77,2,FALSE)</f>
        <v xml:space="preserve">LS </v>
      </c>
      <c r="AP251" s="98" t="s">
        <v>331</v>
      </c>
      <c r="AR251" s="98">
        <v>40.24</v>
      </c>
    </row>
    <row r="252" spans="1:44">
      <c r="A252" s="108">
        <f t="shared" si="99"/>
        <v>249</v>
      </c>
      <c r="B252" s="109" t="str">
        <f t="shared" si="100"/>
        <v>Apr 2016</v>
      </c>
      <c r="C252" s="110" t="str">
        <f t="shared" si="101"/>
        <v xml:space="preserve">LS </v>
      </c>
      <c r="D252" s="110" t="str">
        <f t="shared" si="102"/>
        <v>LGUM_412</v>
      </c>
      <c r="E252" s="581">
        <f t="shared" si="80"/>
        <v>221</v>
      </c>
      <c r="F252" s="581">
        <f t="shared" si="81"/>
        <v>0</v>
      </c>
      <c r="G252" s="116">
        <f t="shared" si="82"/>
        <v>19.79</v>
      </c>
      <c r="H252" s="116">
        <f t="shared" si="83"/>
        <v>0.74999999999999645</v>
      </c>
      <c r="I252" s="118">
        <f t="shared" si="94"/>
        <v>4373.59</v>
      </c>
      <c r="J252" s="118">
        <f t="shared" si="84"/>
        <v>4373.59</v>
      </c>
      <c r="K252" s="570">
        <f t="shared" si="95"/>
        <v>0</v>
      </c>
      <c r="L252" s="121">
        <f t="shared" si="85"/>
        <v>0</v>
      </c>
      <c r="M252" s="122">
        <f t="shared" si="86"/>
        <v>0</v>
      </c>
      <c r="N252" s="122">
        <f t="shared" si="87"/>
        <v>0</v>
      </c>
      <c r="O252" s="122">
        <f t="shared" si="88"/>
        <v>0</v>
      </c>
      <c r="P252" s="122">
        <f t="shared" si="89"/>
        <v>0</v>
      </c>
      <c r="Q252" s="123">
        <f t="shared" si="90"/>
        <v>4373.59</v>
      </c>
      <c r="R252" s="123">
        <f t="shared" si="96"/>
        <v>-4373.59</v>
      </c>
      <c r="S252" s="582">
        <v>0</v>
      </c>
      <c r="T252" s="123">
        <f t="shared" si="97"/>
        <v>-4373.59</v>
      </c>
      <c r="U252" s="25">
        <f t="shared" si="91"/>
        <v>165.75</v>
      </c>
      <c r="V252" s="123">
        <f t="shared" si="92"/>
        <v>-165.75</v>
      </c>
      <c r="W252" s="334">
        <f t="shared" si="93"/>
        <v>57.46</v>
      </c>
      <c r="Y252" s="109">
        <f>IF(AE252=1,IF(Y251=MiscData!$F$1,EOMONTH(Y251,-11),EOMONTH(Y251,1)),Y251)</f>
        <v>42490</v>
      </c>
      <c r="Z252" s="108" t="str">
        <f t="shared" si="103"/>
        <v>20140101LGUM_412</v>
      </c>
      <c r="AA252" s="126" t="str">
        <f t="shared" si="104"/>
        <v xml:space="preserve">20140101LS </v>
      </c>
      <c r="AB252" s="583" t="str">
        <f t="shared" si="98"/>
        <v>412</v>
      </c>
      <c r="AD252" s="98">
        <f>MiscData!$X$5</f>
        <v>20140101</v>
      </c>
      <c r="AE252" s="98">
        <f>IF(AE251+1&gt;MiscData!$AC$77,1,AE251+1)</f>
        <v>30</v>
      </c>
      <c r="AF252" s="98" t="str">
        <f>VLOOKUP(AE252,MiscData!$AC$5:$AD$77,2,FALSE)</f>
        <v>LGUM_412</v>
      </c>
      <c r="AG252" s="98" t="str">
        <f>VLOOKUP(AF252,MiscData!$AD$5:$AE$77,2,FALSE)</f>
        <v xml:space="preserve">LS </v>
      </c>
      <c r="AP252" s="98" t="s">
        <v>332</v>
      </c>
      <c r="AR252" s="98">
        <v>0</v>
      </c>
    </row>
    <row r="253" spans="1:44">
      <c r="A253" s="108">
        <f t="shared" si="99"/>
        <v>250</v>
      </c>
      <c r="B253" s="109" t="str">
        <f t="shared" si="100"/>
        <v>Apr 2016</v>
      </c>
      <c r="C253" s="110" t="str">
        <f t="shared" si="101"/>
        <v xml:space="preserve">LS </v>
      </c>
      <c r="D253" s="110" t="str">
        <f t="shared" si="102"/>
        <v>LGUM_413</v>
      </c>
      <c r="E253" s="581">
        <f t="shared" si="80"/>
        <v>2052</v>
      </c>
      <c r="F253" s="581">
        <f t="shared" si="81"/>
        <v>0</v>
      </c>
      <c r="G253" s="116">
        <f t="shared" si="82"/>
        <v>20.49</v>
      </c>
      <c r="H253" s="116">
        <f t="shared" si="83"/>
        <v>1.0599999999999987</v>
      </c>
      <c r="I253" s="118">
        <f t="shared" si="94"/>
        <v>42045.48</v>
      </c>
      <c r="J253" s="118">
        <f t="shared" si="84"/>
        <v>42045.48</v>
      </c>
      <c r="K253" s="570">
        <f t="shared" si="95"/>
        <v>0</v>
      </c>
      <c r="L253" s="121">
        <f t="shared" si="85"/>
        <v>0</v>
      </c>
      <c r="M253" s="122">
        <f t="shared" si="86"/>
        <v>0</v>
      </c>
      <c r="N253" s="122">
        <f t="shared" si="87"/>
        <v>0</v>
      </c>
      <c r="O253" s="122">
        <f t="shared" si="88"/>
        <v>0</v>
      </c>
      <c r="P253" s="122">
        <f t="shared" si="89"/>
        <v>0</v>
      </c>
      <c r="Q253" s="123">
        <f t="shared" si="90"/>
        <v>42045.48</v>
      </c>
      <c r="R253" s="123">
        <f t="shared" si="96"/>
        <v>-42045.48</v>
      </c>
      <c r="S253" s="582">
        <v>0</v>
      </c>
      <c r="T253" s="123">
        <f t="shared" si="97"/>
        <v>-42045.48</v>
      </c>
      <c r="U253" s="25">
        <f t="shared" si="91"/>
        <v>2175.12</v>
      </c>
      <c r="V253" s="123">
        <f t="shared" si="92"/>
        <v>-2175.12</v>
      </c>
      <c r="W253" s="334">
        <f t="shared" si="93"/>
        <v>554.04000000000008</v>
      </c>
      <c r="Y253" s="109">
        <f>IF(AE253=1,IF(Y252=MiscData!$F$1,EOMONTH(Y252,-11),EOMONTH(Y252,1)),Y252)</f>
        <v>42490</v>
      </c>
      <c r="Z253" s="108" t="str">
        <f t="shared" si="103"/>
        <v>20140101LGUM_413</v>
      </c>
      <c r="AA253" s="126" t="str">
        <f t="shared" si="104"/>
        <v xml:space="preserve">20140101LS </v>
      </c>
      <c r="AB253" s="583" t="str">
        <f t="shared" si="98"/>
        <v>413</v>
      </c>
      <c r="AD253" s="98">
        <f>MiscData!$X$5</f>
        <v>20140101</v>
      </c>
      <c r="AE253" s="98">
        <f>IF(AE252+1&gt;MiscData!$AC$77,1,AE252+1)</f>
        <v>31</v>
      </c>
      <c r="AF253" s="98" t="str">
        <f>VLOOKUP(AE253,MiscData!$AC$5:$AD$77,2,FALSE)</f>
        <v>LGUM_413</v>
      </c>
      <c r="AG253" s="98" t="str">
        <f>VLOOKUP(AF253,MiscData!$AD$5:$AE$77,2,FALSE)</f>
        <v xml:space="preserve">LS </v>
      </c>
      <c r="AP253" s="98" t="s">
        <v>333</v>
      </c>
      <c r="AR253" s="98">
        <v>86.51</v>
      </c>
    </row>
    <row r="254" spans="1:44">
      <c r="A254" s="108">
        <f t="shared" si="99"/>
        <v>251</v>
      </c>
      <c r="B254" s="109" t="str">
        <f t="shared" ref="B254:B285" si="105">TEXT(Y254,"mmm yyyy")</f>
        <v>Apr 2016</v>
      </c>
      <c r="C254" s="110" t="str">
        <f t="shared" ref="C254:C285" si="106">AG254</f>
        <v xml:space="preserve">LS </v>
      </c>
      <c r="D254" s="110" t="str">
        <f t="shared" ref="D254:D285" si="107">AF254</f>
        <v>LGUM_415</v>
      </c>
      <c r="E254" s="581">
        <f t="shared" si="80"/>
        <v>39</v>
      </c>
      <c r="F254" s="581">
        <f t="shared" si="81"/>
        <v>0</v>
      </c>
      <c r="G254" s="116">
        <f t="shared" si="82"/>
        <v>20.18</v>
      </c>
      <c r="H254" s="116">
        <f t="shared" si="83"/>
        <v>0.75</v>
      </c>
      <c r="I254" s="118">
        <f t="shared" si="94"/>
        <v>787.02</v>
      </c>
      <c r="J254" s="118">
        <f t="shared" si="84"/>
        <v>787.02</v>
      </c>
      <c r="K254" s="570">
        <f t="shared" si="95"/>
        <v>0</v>
      </c>
      <c r="L254" s="121">
        <f t="shared" si="85"/>
        <v>0</v>
      </c>
      <c r="M254" s="122">
        <f t="shared" si="86"/>
        <v>0</v>
      </c>
      <c r="N254" s="122">
        <f t="shared" si="87"/>
        <v>0</v>
      </c>
      <c r="O254" s="122">
        <f t="shared" si="88"/>
        <v>0</v>
      </c>
      <c r="P254" s="122">
        <f t="shared" si="89"/>
        <v>0</v>
      </c>
      <c r="Q254" s="123">
        <f t="shared" si="90"/>
        <v>787.02</v>
      </c>
      <c r="R254" s="123">
        <f t="shared" si="96"/>
        <v>-787.02</v>
      </c>
      <c r="S254" s="582">
        <v>0</v>
      </c>
      <c r="T254" s="123">
        <f t="shared" si="97"/>
        <v>-787.02</v>
      </c>
      <c r="U254" s="25">
        <f t="shared" si="91"/>
        <v>29.25</v>
      </c>
      <c r="V254" s="123">
        <f t="shared" si="92"/>
        <v>-29.25</v>
      </c>
      <c r="W254" s="334">
        <f t="shared" si="93"/>
        <v>10.14</v>
      </c>
      <c r="Y254" s="109">
        <f>IF(AE254=1,IF(Y253=MiscData!$F$1,EOMONTH(Y253,-11),EOMONTH(Y253,1)),Y253)</f>
        <v>42490</v>
      </c>
      <c r="Z254" s="108" t="str">
        <f t="shared" si="103"/>
        <v>20140101LGUM_415</v>
      </c>
      <c r="AA254" s="126" t="str">
        <f t="shared" si="104"/>
        <v xml:space="preserve">20140101LS </v>
      </c>
      <c r="AB254" s="583" t="str">
        <f t="shared" si="98"/>
        <v>415</v>
      </c>
      <c r="AD254" s="98">
        <f>MiscData!$X$5</f>
        <v>20140101</v>
      </c>
      <c r="AE254" s="98">
        <f>IF(AE253+1&gt;MiscData!$AC$77,1,AE253+1)</f>
        <v>32</v>
      </c>
      <c r="AF254" s="98" t="str">
        <f>VLOOKUP(AE254,MiscData!$AC$5:$AD$77,2,FALSE)</f>
        <v>LGUM_415</v>
      </c>
      <c r="AG254" s="98" t="str">
        <f>VLOOKUP(AF254,MiscData!$AD$5:$AE$77,2,FALSE)</f>
        <v xml:space="preserve">LS </v>
      </c>
      <c r="AP254" s="98" t="s">
        <v>334</v>
      </c>
      <c r="AR254" s="98">
        <v>0</v>
      </c>
    </row>
    <row r="255" spans="1:44">
      <c r="A255" s="108">
        <f t="shared" si="99"/>
        <v>252</v>
      </c>
      <c r="B255" s="109" t="str">
        <f t="shared" si="105"/>
        <v>Apr 2016</v>
      </c>
      <c r="C255" s="110" t="str">
        <f t="shared" si="106"/>
        <v xml:space="preserve">LS </v>
      </c>
      <c r="D255" s="110" t="str">
        <f t="shared" si="107"/>
        <v>LGUM_416</v>
      </c>
      <c r="E255" s="581">
        <f t="shared" si="80"/>
        <v>1810</v>
      </c>
      <c r="F255" s="581">
        <f t="shared" si="81"/>
        <v>0</v>
      </c>
      <c r="G255" s="116">
        <f t="shared" si="82"/>
        <v>22.56</v>
      </c>
      <c r="H255" s="116">
        <f t="shared" si="83"/>
        <v>1.0599999999999987</v>
      </c>
      <c r="I255" s="118">
        <f t="shared" si="94"/>
        <v>40833.599999999999</v>
      </c>
      <c r="J255" s="118">
        <f t="shared" si="84"/>
        <v>40833.599999999999</v>
      </c>
      <c r="K255" s="570">
        <f t="shared" si="95"/>
        <v>0</v>
      </c>
      <c r="L255" s="121">
        <f t="shared" si="85"/>
        <v>0</v>
      </c>
      <c r="M255" s="122">
        <f t="shared" si="86"/>
        <v>0</v>
      </c>
      <c r="N255" s="122">
        <f t="shared" si="87"/>
        <v>0</v>
      </c>
      <c r="O255" s="122">
        <f t="shared" si="88"/>
        <v>0</v>
      </c>
      <c r="P255" s="122">
        <f t="shared" si="89"/>
        <v>0</v>
      </c>
      <c r="Q255" s="123">
        <f t="shared" si="90"/>
        <v>40833.599999999999</v>
      </c>
      <c r="R255" s="123">
        <f t="shared" si="96"/>
        <v>-40833.599999999999</v>
      </c>
      <c r="S255" s="582">
        <v>0</v>
      </c>
      <c r="T255" s="123">
        <f t="shared" si="97"/>
        <v>-40833.599999999999</v>
      </c>
      <c r="U255" s="25">
        <f t="shared" si="91"/>
        <v>1918.6</v>
      </c>
      <c r="V255" s="123">
        <f t="shared" si="92"/>
        <v>-1918.6</v>
      </c>
      <c r="W255" s="334">
        <f t="shared" si="93"/>
        <v>488.70000000000005</v>
      </c>
      <c r="Y255" s="109">
        <f>IF(AE255=1,IF(Y254=MiscData!$F$1,EOMONTH(Y254,-11),EOMONTH(Y254,1)),Y254)</f>
        <v>42490</v>
      </c>
      <c r="Z255" s="108" t="str">
        <f t="shared" si="103"/>
        <v>20140101LGUM_416</v>
      </c>
      <c r="AA255" s="126" t="str">
        <f t="shared" si="104"/>
        <v xml:space="preserve">20140101LS </v>
      </c>
      <c r="AB255" s="583" t="str">
        <f t="shared" si="98"/>
        <v>416</v>
      </c>
      <c r="AD255" s="98">
        <f>MiscData!$X$5</f>
        <v>20140101</v>
      </c>
      <c r="AE255" s="98">
        <f>IF(AE254+1&gt;MiscData!$AC$77,1,AE254+1)</f>
        <v>33</v>
      </c>
      <c r="AF255" s="98" t="str">
        <f>VLOOKUP(AE255,MiscData!$AC$5:$AD$77,2,FALSE)</f>
        <v>LGUM_416</v>
      </c>
      <c r="AG255" s="98" t="str">
        <f>VLOOKUP(AF255,MiscData!$AD$5:$AE$77,2,FALSE)</f>
        <v xml:space="preserve">LS </v>
      </c>
      <c r="AP255" s="98" t="s">
        <v>616</v>
      </c>
      <c r="AR255" s="98">
        <v>0</v>
      </c>
    </row>
    <row r="256" spans="1:44">
      <c r="A256" s="108">
        <f t="shared" si="99"/>
        <v>253</v>
      </c>
      <c r="B256" s="109" t="str">
        <f t="shared" si="105"/>
        <v>Apr 2016</v>
      </c>
      <c r="C256" s="110" t="str">
        <f t="shared" si="106"/>
        <v>RLS</v>
      </c>
      <c r="D256" s="110" t="str">
        <f t="shared" si="107"/>
        <v>LGUM_417</v>
      </c>
      <c r="E256" s="581">
        <f t="shared" si="80"/>
        <v>39</v>
      </c>
      <c r="F256" s="581">
        <f t="shared" si="81"/>
        <v>0</v>
      </c>
      <c r="G256" s="116">
        <f t="shared" si="82"/>
        <v>23.68</v>
      </c>
      <c r="H256" s="116">
        <f t="shared" si="83"/>
        <v>1.0300000000000011</v>
      </c>
      <c r="I256" s="118">
        <f t="shared" si="94"/>
        <v>923.52</v>
      </c>
      <c r="J256" s="118">
        <f t="shared" si="84"/>
        <v>923.52</v>
      </c>
      <c r="K256" s="570">
        <f t="shared" si="95"/>
        <v>0</v>
      </c>
      <c r="L256" s="121">
        <f t="shared" si="85"/>
        <v>0</v>
      </c>
      <c r="M256" s="122">
        <f t="shared" si="86"/>
        <v>0</v>
      </c>
      <c r="N256" s="122">
        <f t="shared" si="87"/>
        <v>0</v>
      </c>
      <c r="O256" s="122">
        <f t="shared" si="88"/>
        <v>0</v>
      </c>
      <c r="P256" s="122">
        <f t="shared" si="89"/>
        <v>0</v>
      </c>
      <c r="Q256" s="123">
        <f t="shared" si="90"/>
        <v>923.52</v>
      </c>
      <c r="R256" s="123">
        <f t="shared" si="96"/>
        <v>-923.52</v>
      </c>
      <c r="S256" s="582">
        <v>0</v>
      </c>
      <c r="T256" s="123">
        <f t="shared" si="97"/>
        <v>-923.52</v>
      </c>
      <c r="U256" s="25">
        <f t="shared" si="91"/>
        <v>40.17</v>
      </c>
      <c r="V256" s="123">
        <f t="shared" si="92"/>
        <v>-40.17</v>
      </c>
      <c r="W256" s="334">
        <f t="shared" si="93"/>
        <v>10.530000000000001</v>
      </c>
      <c r="Y256" s="109">
        <f>IF(AE256=1,IF(Y255=MiscData!$F$1,EOMONTH(Y255,-11),EOMONTH(Y255,1)),Y255)</f>
        <v>42490</v>
      </c>
      <c r="Z256" s="108" t="str">
        <f t="shared" si="103"/>
        <v>20140101LGUM_417</v>
      </c>
      <c r="AA256" s="126" t="str">
        <f t="shared" si="104"/>
        <v>20140101RLS</v>
      </c>
      <c r="AB256" s="583" t="str">
        <f t="shared" si="98"/>
        <v>417</v>
      </c>
      <c r="AD256" s="98">
        <f>MiscData!$X$5</f>
        <v>20140101</v>
      </c>
      <c r="AE256" s="98">
        <f>IF(AE255+1&gt;MiscData!$AC$77,1,AE255+1)</f>
        <v>34</v>
      </c>
      <c r="AF256" s="98" t="str">
        <f>VLOOKUP(AE256,MiscData!$AC$5:$AD$77,2,FALSE)</f>
        <v>LGUM_417</v>
      </c>
      <c r="AG256" s="98" t="str">
        <f>VLOOKUP(AF256,MiscData!$AD$5:$AE$77,2,FALSE)</f>
        <v>RLS</v>
      </c>
      <c r="AP256" s="98" t="s">
        <v>618</v>
      </c>
      <c r="AR256" s="98">
        <v>0</v>
      </c>
    </row>
    <row r="257" spans="1:44">
      <c r="A257" s="108">
        <f t="shared" si="99"/>
        <v>254</v>
      </c>
      <c r="B257" s="109" t="str">
        <f t="shared" si="105"/>
        <v>Apr 2016</v>
      </c>
      <c r="C257" s="110" t="str">
        <f t="shared" si="106"/>
        <v>RLS</v>
      </c>
      <c r="D257" s="110" t="str">
        <f t="shared" si="107"/>
        <v>LGUM_419</v>
      </c>
      <c r="E257" s="581">
        <f t="shared" si="80"/>
        <v>111</v>
      </c>
      <c r="F257" s="581">
        <f t="shared" si="81"/>
        <v>0</v>
      </c>
      <c r="G257" s="116">
        <f t="shared" si="82"/>
        <v>24.77</v>
      </c>
      <c r="H257" s="116">
        <f t="shared" si="83"/>
        <v>1.6499999999999986</v>
      </c>
      <c r="I257" s="118">
        <f t="shared" si="94"/>
        <v>2749.47</v>
      </c>
      <c r="J257" s="118">
        <f t="shared" si="84"/>
        <v>2749.47</v>
      </c>
      <c r="K257" s="570">
        <f t="shared" si="95"/>
        <v>0</v>
      </c>
      <c r="L257" s="121">
        <f t="shared" si="85"/>
        <v>0</v>
      </c>
      <c r="M257" s="122">
        <f t="shared" si="86"/>
        <v>0</v>
      </c>
      <c r="N257" s="122">
        <f t="shared" si="87"/>
        <v>0</v>
      </c>
      <c r="O257" s="122">
        <f t="shared" si="88"/>
        <v>0</v>
      </c>
      <c r="P257" s="122">
        <f t="shared" si="89"/>
        <v>0</v>
      </c>
      <c r="Q257" s="123">
        <f t="shared" si="90"/>
        <v>2749.47</v>
      </c>
      <c r="R257" s="123">
        <f t="shared" si="96"/>
        <v>-2749.47</v>
      </c>
      <c r="S257" s="582">
        <v>0</v>
      </c>
      <c r="T257" s="123">
        <f t="shared" si="97"/>
        <v>-2749.47</v>
      </c>
      <c r="U257" s="25">
        <f t="shared" si="91"/>
        <v>183.15</v>
      </c>
      <c r="V257" s="123">
        <f t="shared" si="92"/>
        <v>-183.15</v>
      </c>
      <c r="W257" s="334">
        <f t="shared" si="93"/>
        <v>41.07</v>
      </c>
      <c r="Y257" s="109">
        <f>IF(AE257=1,IF(Y256=MiscData!$F$1,EOMONTH(Y256,-11),EOMONTH(Y256,1)),Y256)</f>
        <v>42490</v>
      </c>
      <c r="Z257" s="108" t="str">
        <f t="shared" si="103"/>
        <v>20140101LGUM_419</v>
      </c>
      <c r="AA257" s="126" t="str">
        <f t="shared" si="104"/>
        <v>20140101RLS</v>
      </c>
      <c r="AB257" s="583" t="str">
        <f t="shared" si="98"/>
        <v>419</v>
      </c>
      <c r="AD257" s="98">
        <f>MiscData!$X$5</f>
        <v>20140101</v>
      </c>
      <c r="AE257" s="98">
        <f>IF(AE256+1&gt;MiscData!$AC$77,1,AE256+1)</f>
        <v>35</v>
      </c>
      <c r="AF257" s="98" t="str">
        <f>VLOOKUP(AE257,MiscData!$AC$5:$AD$77,2,FALSE)</f>
        <v>LGUM_419</v>
      </c>
      <c r="AG257" s="98" t="str">
        <f>VLOOKUP(AF257,MiscData!$AD$5:$AE$77,2,FALSE)</f>
        <v>RLS</v>
      </c>
      <c r="AP257" s="98" t="s">
        <v>620</v>
      </c>
      <c r="AR257" s="98">
        <v>0</v>
      </c>
    </row>
    <row r="258" spans="1:44">
      <c r="A258" s="108">
        <f t="shared" si="99"/>
        <v>255</v>
      </c>
      <c r="B258" s="109" t="str">
        <f t="shared" si="105"/>
        <v>Apr 2016</v>
      </c>
      <c r="C258" s="110" t="str">
        <f t="shared" si="106"/>
        <v xml:space="preserve">LS </v>
      </c>
      <c r="D258" s="110" t="str">
        <f t="shared" si="107"/>
        <v>LGUM_420</v>
      </c>
      <c r="E258" s="581">
        <f t="shared" si="80"/>
        <v>53</v>
      </c>
      <c r="F258" s="581">
        <f t="shared" si="81"/>
        <v>0</v>
      </c>
      <c r="G258" s="116">
        <f t="shared" si="82"/>
        <v>29.889999999999997</v>
      </c>
      <c r="H258" s="116">
        <f t="shared" si="83"/>
        <v>1.6499999999999986</v>
      </c>
      <c r="I258" s="118">
        <f t="shared" si="94"/>
        <v>1584.17</v>
      </c>
      <c r="J258" s="118">
        <f t="shared" si="84"/>
        <v>1584.17</v>
      </c>
      <c r="K258" s="570">
        <f t="shared" si="95"/>
        <v>0</v>
      </c>
      <c r="L258" s="121">
        <f t="shared" si="85"/>
        <v>0</v>
      </c>
      <c r="M258" s="122">
        <f t="shared" si="86"/>
        <v>0</v>
      </c>
      <c r="N258" s="122">
        <f t="shared" si="87"/>
        <v>0</v>
      </c>
      <c r="O258" s="122">
        <f t="shared" si="88"/>
        <v>0</v>
      </c>
      <c r="P258" s="122">
        <f t="shared" si="89"/>
        <v>0</v>
      </c>
      <c r="Q258" s="123">
        <f t="shared" si="90"/>
        <v>1584.17</v>
      </c>
      <c r="R258" s="123">
        <f t="shared" si="96"/>
        <v>-1584.17</v>
      </c>
      <c r="S258" s="582">
        <v>0</v>
      </c>
      <c r="T258" s="123">
        <f t="shared" si="97"/>
        <v>-1584.17</v>
      </c>
      <c r="U258" s="25">
        <f t="shared" si="91"/>
        <v>87.45</v>
      </c>
      <c r="V258" s="123">
        <f t="shared" si="92"/>
        <v>-87.45</v>
      </c>
      <c r="W258" s="334">
        <f t="shared" si="93"/>
        <v>12.719999999999999</v>
      </c>
      <c r="Y258" s="109">
        <f>IF(AE258=1,IF(Y257=MiscData!$F$1,EOMONTH(Y257,-11),EOMONTH(Y257,1)),Y257)</f>
        <v>42490</v>
      </c>
      <c r="Z258" s="108" t="str">
        <f t="shared" si="103"/>
        <v>20140101LGUM_420</v>
      </c>
      <c r="AA258" s="126" t="str">
        <f t="shared" si="104"/>
        <v xml:space="preserve">20140101LS </v>
      </c>
      <c r="AB258" s="583" t="str">
        <f t="shared" si="98"/>
        <v>420</v>
      </c>
      <c r="AD258" s="98">
        <f>MiscData!$X$5</f>
        <v>20140101</v>
      </c>
      <c r="AE258" s="98">
        <f>IF(AE257+1&gt;MiscData!$AC$77,1,AE257+1)</f>
        <v>36</v>
      </c>
      <c r="AF258" s="98" t="str">
        <f>VLOOKUP(AE258,MiscData!$AC$5:$AD$77,2,FALSE)</f>
        <v>LGUM_420</v>
      </c>
      <c r="AG258" s="98" t="str">
        <f>VLOOKUP(AF258,MiscData!$AD$5:$AE$77,2,FALSE)</f>
        <v xml:space="preserve">LS </v>
      </c>
      <c r="AP258" s="98" t="s">
        <v>360</v>
      </c>
      <c r="AR258" s="98">
        <v>0</v>
      </c>
    </row>
    <row r="259" spans="1:44">
      <c r="A259" s="108">
        <f t="shared" si="99"/>
        <v>256</v>
      </c>
      <c r="B259" s="109" t="str">
        <f t="shared" si="105"/>
        <v>Apr 2016</v>
      </c>
      <c r="C259" s="110" t="str">
        <f t="shared" si="106"/>
        <v xml:space="preserve">LS </v>
      </c>
      <c r="D259" s="110" t="str">
        <f t="shared" si="107"/>
        <v>LGUM_421</v>
      </c>
      <c r="E259" s="581">
        <f t="shared" si="80"/>
        <v>181</v>
      </c>
      <c r="F259" s="581">
        <f t="shared" si="81"/>
        <v>0</v>
      </c>
      <c r="G259" s="116">
        <f t="shared" si="82"/>
        <v>32.860000000000007</v>
      </c>
      <c r="H259" s="116">
        <f t="shared" si="83"/>
        <v>2.6700000000000017</v>
      </c>
      <c r="I259" s="118">
        <f t="shared" si="94"/>
        <v>5947.66</v>
      </c>
      <c r="J259" s="118">
        <f t="shared" si="84"/>
        <v>5947.66</v>
      </c>
      <c r="K259" s="570">
        <f t="shared" si="95"/>
        <v>0</v>
      </c>
      <c r="L259" s="121">
        <f t="shared" si="85"/>
        <v>0</v>
      </c>
      <c r="M259" s="122">
        <f t="shared" si="86"/>
        <v>0</v>
      </c>
      <c r="N259" s="122">
        <f t="shared" si="87"/>
        <v>0</v>
      </c>
      <c r="O259" s="122">
        <f t="shared" si="88"/>
        <v>0</v>
      </c>
      <c r="P259" s="122">
        <f t="shared" si="89"/>
        <v>0</v>
      </c>
      <c r="Q259" s="123">
        <f t="shared" si="90"/>
        <v>5947.66</v>
      </c>
      <c r="R259" s="123">
        <f t="shared" si="96"/>
        <v>-5947.66</v>
      </c>
      <c r="S259" s="582">
        <v>0</v>
      </c>
      <c r="T259" s="123">
        <f t="shared" si="97"/>
        <v>-5947.66</v>
      </c>
      <c r="U259" s="25">
        <f t="shared" si="91"/>
        <v>483.27</v>
      </c>
      <c r="V259" s="123">
        <f t="shared" si="92"/>
        <v>-483.27</v>
      </c>
      <c r="W259" s="334">
        <f t="shared" si="93"/>
        <v>48.870000000000005</v>
      </c>
      <c r="Y259" s="109">
        <f>IF(AE259=1,IF(Y258=MiscData!$F$1,EOMONTH(Y258,-11),EOMONTH(Y258,1)),Y258)</f>
        <v>42490</v>
      </c>
      <c r="Z259" s="108" t="str">
        <f t="shared" si="103"/>
        <v>20140101LGUM_421</v>
      </c>
      <c r="AA259" s="126" t="str">
        <f t="shared" si="104"/>
        <v xml:space="preserve">20140101LS </v>
      </c>
      <c r="AB259" s="583" t="str">
        <f t="shared" si="98"/>
        <v>421</v>
      </c>
      <c r="AD259" s="98">
        <f>MiscData!$X$5</f>
        <v>20140101</v>
      </c>
      <c r="AE259" s="98">
        <f>IF(AE258+1&gt;MiscData!$AC$77,1,AE258+1)</f>
        <v>37</v>
      </c>
      <c r="AF259" s="98" t="str">
        <f>VLOOKUP(AE259,MiscData!$AC$5:$AD$77,2,FALSE)</f>
        <v>LGUM_421</v>
      </c>
      <c r="AG259" s="98" t="str">
        <f>VLOOKUP(AF259,MiscData!$AD$5:$AE$77,2,FALSE)</f>
        <v xml:space="preserve">LS </v>
      </c>
      <c r="AP259" s="98" t="s">
        <v>335</v>
      </c>
      <c r="AR259" s="98">
        <v>0</v>
      </c>
    </row>
    <row r="260" spans="1:44">
      <c r="A260" s="108">
        <f t="shared" si="99"/>
        <v>257</v>
      </c>
      <c r="B260" s="109" t="str">
        <f t="shared" si="105"/>
        <v>Apr 2016</v>
      </c>
      <c r="C260" s="110" t="str">
        <f t="shared" si="106"/>
        <v xml:space="preserve">LS </v>
      </c>
      <c r="D260" s="110" t="str">
        <f t="shared" si="107"/>
        <v>LGUM_422</v>
      </c>
      <c r="E260" s="581">
        <f t="shared" ref="E260:E323" si="108">SUMIFS(L_1055_Count_Total,L_1055_Revenue_Month,$B260,L_1055_RateCategory,$D260)</f>
        <v>390</v>
      </c>
      <c r="F260" s="581">
        <f t="shared" ref="F260:F323" si="109">SUMIFS(L_SBR_KWH,L_SBR_Rate_Category,$D260,L_SBR_Revenue_Month,$B260)</f>
        <v>0</v>
      </c>
      <c r="G260" s="116">
        <f t="shared" ref="G260:G323" si="110">SUMIF(L_LightingRates_Tariff_Rate_Category,$Z260,L_LightingRates_UnitCharge)</f>
        <v>38.389999999999993</v>
      </c>
      <c r="H260" s="116">
        <f t="shared" ref="H260:H323" si="111">SUMIF(L_LightingRates_Tariff_Rate_Category,$Z260,L_LightingRates_FAC_Rate)</f>
        <v>4.279999999999994</v>
      </c>
      <c r="I260" s="118">
        <f t="shared" si="94"/>
        <v>14972.1</v>
      </c>
      <c r="J260" s="118">
        <f t="shared" ref="J260:J323" si="112">SUM(I260:I260)</f>
        <v>14972.1</v>
      </c>
      <c r="K260" s="570">
        <f t="shared" si="95"/>
        <v>0</v>
      </c>
      <c r="L260" s="121">
        <f t="shared" ref="L260:L323" si="113">IF(AND(J260=0,K260=0),1,IF(J260=0,0,K260/J260))</f>
        <v>0</v>
      </c>
      <c r="M260" s="122">
        <f t="shared" ref="M260:M323" si="114">SUMIFS(L_SBR_FAC,L_SBR_Revenue_Month,$B260,L_SBR_Rate_Category,$D260)</f>
        <v>0</v>
      </c>
      <c r="N260" s="122">
        <f t="shared" ref="N260:N323" si="115">SUMIFS(L_SBR_ECR,L_SBR_Revenue_Month,$B260,L_SBR_Rate_Category,$D260)</f>
        <v>0</v>
      </c>
      <c r="O260" s="122">
        <f t="shared" ref="O260:O323" si="116">SUMIFS(L_SBR_MSR,L_SBR_Revenue_Month,$B260,L_SBR_Rate_Category,$D260)</f>
        <v>0</v>
      </c>
      <c r="P260" s="122">
        <f t="shared" ref="P260:P323" si="117">SUMIFS(L_SBR_Revenue_Total,L_SBR_Revenue_Month,$B260,L_SBR_Rate_Category,$D260)</f>
        <v>0</v>
      </c>
      <c r="Q260" s="123">
        <f t="shared" ref="Q260:Q323" si="118">SUM(J260,M260:O260)</f>
        <v>14972.1</v>
      </c>
      <c r="R260" s="123">
        <f t="shared" si="96"/>
        <v>-14972.1</v>
      </c>
      <c r="S260" s="582">
        <v>0</v>
      </c>
      <c r="T260" s="123">
        <f t="shared" si="97"/>
        <v>-14972.1</v>
      </c>
      <c r="U260" s="25">
        <f t="shared" ref="U260:U323" si="119">ROUND(E260*H260,2)</f>
        <v>1669.2</v>
      </c>
      <c r="V260" s="123">
        <f t="shared" ref="V260:V323" si="120">K260-U260</f>
        <v>-1669.2</v>
      </c>
      <c r="W260" s="334">
        <f t="shared" ref="W260:W323" si="121">SUMIF(L_LightingRates_Tariff_Rate_Category,$Z260,L_LightingRates_ECR_Rate)*E260</f>
        <v>113.1</v>
      </c>
      <c r="Y260" s="109">
        <f>IF(AE260=1,IF(Y259=MiscData!$F$1,EOMONTH(Y259,-11),EOMONTH(Y259,1)),Y259)</f>
        <v>42490</v>
      </c>
      <c r="Z260" s="108" t="str">
        <f t="shared" si="103"/>
        <v>20140101LGUM_422</v>
      </c>
      <c r="AA260" s="126" t="str">
        <f t="shared" si="104"/>
        <v xml:space="preserve">20140101LS </v>
      </c>
      <c r="AB260" s="583" t="str">
        <f t="shared" si="98"/>
        <v>422</v>
      </c>
      <c r="AD260" s="98">
        <f>MiscData!$X$5</f>
        <v>20140101</v>
      </c>
      <c r="AE260" s="98">
        <f>IF(AE259+1&gt;MiscData!$AC$77,1,AE259+1)</f>
        <v>38</v>
      </c>
      <c r="AF260" s="98" t="str">
        <f>VLOOKUP(AE260,MiscData!$AC$5:$AD$77,2,FALSE)</f>
        <v>LGUM_422</v>
      </c>
      <c r="AG260" s="98" t="str">
        <f>VLOOKUP(AF260,MiscData!$AD$5:$AE$77,2,FALSE)</f>
        <v xml:space="preserve">LS </v>
      </c>
      <c r="AP260" s="98" t="s">
        <v>336</v>
      </c>
      <c r="AR260" s="98">
        <v>17.7</v>
      </c>
    </row>
    <row r="261" spans="1:44">
      <c r="A261" s="108">
        <f t="shared" si="99"/>
        <v>258</v>
      </c>
      <c r="B261" s="109" t="str">
        <f t="shared" si="105"/>
        <v>Apr 2016</v>
      </c>
      <c r="C261" s="110" t="str">
        <f t="shared" si="106"/>
        <v xml:space="preserve">LS </v>
      </c>
      <c r="D261" s="110" t="str">
        <f t="shared" si="107"/>
        <v>LGUM_423</v>
      </c>
      <c r="E261" s="581">
        <f t="shared" si="108"/>
        <v>17</v>
      </c>
      <c r="F261" s="581">
        <f t="shared" si="109"/>
        <v>0</v>
      </c>
      <c r="G261" s="116">
        <f t="shared" si="110"/>
        <v>26.349999999999998</v>
      </c>
      <c r="H261" s="116">
        <f t="shared" si="111"/>
        <v>1.6500000000000021</v>
      </c>
      <c r="I261" s="118">
        <f t="shared" ref="I261:I324" si="122">ROUND($E261*$G261,2)</f>
        <v>447.95</v>
      </c>
      <c r="J261" s="118">
        <f t="shared" si="112"/>
        <v>447.95</v>
      </c>
      <c r="K261" s="570">
        <f t="shared" ref="K261:K324" si="123">P261-SUM(M261:O261)</f>
        <v>0</v>
      </c>
      <c r="L261" s="121">
        <f t="shared" si="113"/>
        <v>0</v>
      </c>
      <c r="M261" s="122">
        <f t="shared" si="114"/>
        <v>0</v>
      </c>
      <c r="N261" s="122">
        <f t="shared" si="115"/>
        <v>0</v>
      </c>
      <c r="O261" s="122">
        <f t="shared" si="116"/>
        <v>0</v>
      </c>
      <c r="P261" s="122">
        <f t="shared" si="117"/>
        <v>0</v>
      </c>
      <c r="Q261" s="123">
        <f t="shared" si="118"/>
        <v>447.95</v>
      </c>
      <c r="R261" s="123">
        <f t="shared" ref="R261:R324" si="124">ROUND(P261-Q261,2)</f>
        <v>-447.95</v>
      </c>
      <c r="S261" s="582">
        <v>0</v>
      </c>
      <c r="T261" s="123">
        <f t="shared" ref="T261:T324" si="125">R261-S261</f>
        <v>-447.95</v>
      </c>
      <c r="U261" s="25">
        <f t="shared" si="119"/>
        <v>28.05</v>
      </c>
      <c r="V261" s="123">
        <f t="shared" si="120"/>
        <v>-28.05</v>
      </c>
      <c r="W261" s="334">
        <f t="shared" si="121"/>
        <v>4.08</v>
      </c>
      <c r="Y261" s="109">
        <f>IF(AE261=1,IF(Y260=MiscData!$F$1,EOMONTH(Y260,-11),EOMONTH(Y260,1)),Y260)</f>
        <v>42490</v>
      </c>
      <c r="Z261" s="108" t="str">
        <f t="shared" si="103"/>
        <v>20140101LGUM_423</v>
      </c>
      <c r="AA261" s="126" t="str">
        <f t="shared" si="104"/>
        <v xml:space="preserve">20140101LS </v>
      </c>
      <c r="AB261" s="583" t="str">
        <f t="shared" ref="AB261:AB324" si="126">RIGHT(AF261,3)</f>
        <v>423</v>
      </c>
      <c r="AD261" s="98">
        <f>MiscData!$X$5</f>
        <v>20140101</v>
      </c>
      <c r="AE261" s="98">
        <f>IF(AE260+1&gt;MiscData!$AC$77,1,AE260+1)</f>
        <v>39</v>
      </c>
      <c r="AF261" s="98" t="str">
        <f>VLOOKUP(AE261,MiscData!$AC$5:$AD$77,2,FALSE)</f>
        <v>LGUM_423</v>
      </c>
      <c r="AG261" s="98" t="str">
        <f>VLOOKUP(AF261,MiscData!$AD$5:$AE$77,2,FALSE)</f>
        <v xml:space="preserve">LS </v>
      </c>
      <c r="AP261" s="98" t="s">
        <v>337</v>
      </c>
      <c r="AR261" s="98">
        <v>121.51</v>
      </c>
    </row>
    <row r="262" spans="1:44">
      <c r="A262" s="108">
        <f t="shared" si="99"/>
        <v>259</v>
      </c>
      <c r="B262" s="109" t="str">
        <f t="shared" si="105"/>
        <v>Apr 2016</v>
      </c>
      <c r="C262" s="110" t="str">
        <f t="shared" si="106"/>
        <v xml:space="preserve">LS </v>
      </c>
      <c r="D262" s="110" t="str">
        <f t="shared" si="107"/>
        <v>LGUM_424</v>
      </c>
      <c r="E262" s="581">
        <f t="shared" si="108"/>
        <v>430</v>
      </c>
      <c r="F262" s="581">
        <f t="shared" si="109"/>
        <v>0</v>
      </c>
      <c r="G262" s="116">
        <f t="shared" si="110"/>
        <v>28.45</v>
      </c>
      <c r="H262" s="116">
        <f t="shared" si="111"/>
        <v>3.9800000000000004</v>
      </c>
      <c r="I262" s="118">
        <f t="shared" si="122"/>
        <v>12233.5</v>
      </c>
      <c r="J262" s="118">
        <f t="shared" si="112"/>
        <v>12233.5</v>
      </c>
      <c r="K262" s="570">
        <f t="shared" si="123"/>
        <v>0</v>
      </c>
      <c r="L262" s="121">
        <f t="shared" si="113"/>
        <v>0</v>
      </c>
      <c r="M262" s="122">
        <f t="shared" si="114"/>
        <v>0</v>
      </c>
      <c r="N262" s="122">
        <f t="shared" si="115"/>
        <v>0</v>
      </c>
      <c r="O262" s="122">
        <f t="shared" si="116"/>
        <v>0</v>
      </c>
      <c r="P262" s="122">
        <f t="shared" si="117"/>
        <v>0</v>
      </c>
      <c r="Q262" s="123">
        <f t="shared" si="118"/>
        <v>12233.5</v>
      </c>
      <c r="R262" s="123">
        <f t="shared" si="124"/>
        <v>-12233.5</v>
      </c>
      <c r="S262" s="582">
        <v>0</v>
      </c>
      <c r="T262" s="123">
        <f t="shared" si="125"/>
        <v>-12233.5</v>
      </c>
      <c r="U262" s="25">
        <f t="shared" si="119"/>
        <v>1711.4</v>
      </c>
      <c r="V262" s="123">
        <f t="shared" si="120"/>
        <v>-1711.4</v>
      </c>
      <c r="W262" s="334">
        <f t="shared" si="121"/>
        <v>116.10000000000001</v>
      </c>
      <c r="Y262" s="109">
        <f>IF(AE262=1,IF(Y261=MiscData!$F$1,EOMONTH(Y261,-11),EOMONTH(Y261,1)),Y261)</f>
        <v>42490</v>
      </c>
      <c r="Z262" s="108" t="str">
        <f t="shared" ref="Z262:Z291" si="127">CONCATENATE(AD262&amp;AF262)</f>
        <v>20140101LGUM_424</v>
      </c>
      <c r="AA262" s="126" t="str">
        <f t="shared" ref="AA262:AA291" si="128">CONCATENATE(AD262&amp;AG262)</f>
        <v xml:space="preserve">20140101LS </v>
      </c>
      <c r="AB262" s="583" t="str">
        <f t="shared" si="126"/>
        <v>424</v>
      </c>
      <c r="AD262" s="98">
        <f>MiscData!$X$5</f>
        <v>20140101</v>
      </c>
      <c r="AE262" s="98">
        <f>IF(AE261+1&gt;MiscData!$AC$77,1,AE261+1)</f>
        <v>40</v>
      </c>
      <c r="AF262" s="98" t="str">
        <f>VLOOKUP(AE262,MiscData!$AC$5:$AD$77,2,FALSE)</f>
        <v>LGUM_424</v>
      </c>
      <c r="AG262" s="98" t="str">
        <f>VLOOKUP(AF262,MiscData!$AD$5:$AE$77,2,FALSE)</f>
        <v xml:space="preserve">LS </v>
      </c>
      <c r="AP262" s="98" t="s">
        <v>137</v>
      </c>
      <c r="AR262" s="98">
        <v>-6.63</v>
      </c>
    </row>
    <row r="263" spans="1:44">
      <c r="A263" s="108">
        <f t="shared" ref="A263:A326" si="129">A262+1</f>
        <v>260</v>
      </c>
      <c r="B263" s="109" t="str">
        <f t="shared" si="105"/>
        <v>Apr 2016</v>
      </c>
      <c r="C263" s="110" t="str">
        <f t="shared" si="106"/>
        <v xml:space="preserve">LS </v>
      </c>
      <c r="D263" s="110" t="str">
        <f t="shared" si="107"/>
        <v>LGUM_425</v>
      </c>
      <c r="E263" s="581">
        <f t="shared" si="108"/>
        <v>34</v>
      </c>
      <c r="F263" s="581">
        <f t="shared" si="109"/>
        <v>0</v>
      </c>
      <c r="G263" s="116">
        <f t="shared" si="110"/>
        <v>34.029999999999994</v>
      </c>
      <c r="H263" s="116">
        <f t="shared" si="111"/>
        <v>4.2799999999999976</v>
      </c>
      <c r="I263" s="118">
        <f t="shared" si="122"/>
        <v>1157.02</v>
      </c>
      <c r="J263" s="118">
        <f t="shared" si="112"/>
        <v>1157.02</v>
      </c>
      <c r="K263" s="570">
        <f t="shared" si="123"/>
        <v>0</v>
      </c>
      <c r="L263" s="121">
        <f t="shared" si="113"/>
        <v>0</v>
      </c>
      <c r="M263" s="122">
        <f t="shared" si="114"/>
        <v>0</v>
      </c>
      <c r="N263" s="122">
        <f t="shared" si="115"/>
        <v>0</v>
      </c>
      <c r="O263" s="122">
        <f t="shared" si="116"/>
        <v>0</v>
      </c>
      <c r="P263" s="122">
        <f t="shared" si="117"/>
        <v>0</v>
      </c>
      <c r="Q263" s="123">
        <f t="shared" si="118"/>
        <v>1157.02</v>
      </c>
      <c r="R263" s="123">
        <f t="shared" si="124"/>
        <v>-1157.02</v>
      </c>
      <c r="S263" s="582">
        <v>0</v>
      </c>
      <c r="T263" s="123">
        <f t="shared" si="125"/>
        <v>-1157.02</v>
      </c>
      <c r="U263" s="25">
        <f t="shared" si="119"/>
        <v>145.52000000000001</v>
      </c>
      <c r="V263" s="123">
        <f t="shared" si="120"/>
        <v>-145.52000000000001</v>
      </c>
      <c r="W263" s="334">
        <f t="shared" si="121"/>
        <v>9.86</v>
      </c>
      <c r="Y263" s="109">
        <f>IF(AE263=1,IF(Y262=MiscData!$F$1,EOMONTH(Y262,-11),EOMONTH(Y262,1)),Y262)</f>
        <v>42490</v>
      </c>
      <c r="Z263" s="108" t="str">
        <f t="shared" si="127"/>
        <v>20140101LGUM_425</v>
      </c>
      <c r="AA263" s="126" t="str">
        <f t="shared" si="128"/>
        <v xml:space="preserve">20140101LS </v>
      </c>
      <c r="AB263" s="583" t="str">
        <f t="shared" si="126"/>
        <v>425</v>
      </c>
      <c r="AD263" s="98">
        <f>MiscData!$X$5</f>
        <v>20140101</v>
      </c>
      <c r="AE263" s="98">
        <f>IF(AE262+1&gt;MiscData!$AC$77,1,AE262+1)</f>
        <v>41</v>
      </c>
      <c r="AF263" s="98" t="str">
        <f>VLOOKUP(AE263,MiscData!$AC$5:$AD$77,2,FALSE)</f>
        <v>LGUM_425</v>
      </c>
      <c r="AG263" s="98" t="str">
        <f>VLOOKUP(AF263,MiscData!$AD$5:$AE$77,2,FALSE)</f>
        <v xml:space="preserve">LS </v>
      </c>
      <c r="AP263" s="98" t="s">
        <v>138</v>
      </c>
      <c r="AR263" s="98">
        <v>-118.11</v>
      </c>
    </row>
    <row r="264" spans="1:44">
      <c r="A264" s="108">
        <f t="shared" si="129"/>
        <v>261</v>
      </c>
      <c r="B264" s="109" t="str">
        <f t="shared" si="105"/>
        <v>Apr 2016</v>
      </c>
      <c r="C264" s="110" t="str">
        <f t="shared" si="106"/>
        <v>RLS</v>
      </c>
      <c r="D264" s="110" t="str">
        <f t="shared" si="107"/>
        <v>LGUM_426</v>
      </c>
      <c r="E264" s="581">
        <f t="shared" si="108"/>
        <v>40</v>
      </c>
      <c r="F264" s="581">
        <f t="shared" si="109"/>
        <v>0</v>
      </c>
      <c r="G264" s="116">
        <f t="shared" si="110"/>
        <v>33.22</v>
      </c>
      <c r="H264" s="116">
        <f t="shared" si="111"/>
        <v>0.75</v>
      </c>
      <c r="I264" s="118">
        <f t="shared" si="122"/>
        <v>1328.8</v>
      </c>
      <c r="J264" s="118">
        <f t="shared" si="112"/>
        <v>1328.8</v>
      </c>
      <c r="K264" s="570">
        <f t="shared" si="123"/>
        <v>0</v>
      </c>
      <c r="L264" s="121">
        <f t="shared" si="113"/>
        <v>0</v>
      </c>
      <c r="M264" s="122">
        <f t="shared" si="114"/>
        <v>0</v>
      </c>
      <c r="N264" s="122">
        <f t="shared" si="115"/>
        <v>0</v>
      </c>
      <c r="O264" s="122">
        <f t="shared" si="116"/>
        <v>0</v>
      </c>
      <c r="P264" s="122">
        <f t="shared" si="117"/>
        <v>0</v>
      </c>
      <c r="Q264" s="123">
        <f t="shared" si="118"/>
        <v>1328.8</v>
      </c>
      <c r="R264" s="123">
        <f t="shared" si="124"/>
        <v>-1328.8</v>
      </c>
      <c r="S264" s="582">
        <v>0</v>
      </c>
      <c r="T264" s="123">
        <f t="shared" si="125"/>
        <v>-1328.8</v>
      </c>
      <c r="U264" s="25">
        <f t="shared" si="119"/>
        <v>30</v>
      </c>
      <c r="V264" s="123">
        <f t="shared" si="120"/>
        <v>-30</v>
      </c>
      <c r="W264" s="334">
        <f t="shared" si="121"/>
        <v>10.4</v>
      </c>
      <c r="Y264" s="109">
        <f>IF(AE264=1,IF(Y263=MiscData!$F$1,EOMONTH(Y263,-11),EOMONTH(Y263,1)),Y263)</f>
        <v>42490</v>
      </c>
      <c r="Z264" s="108" t="str">
        <f t="shared" si="127"/>
        <v>20140101LGUM_426</v>
      </c>
      <c r="AA264" s="126" t="str">
        <f t="shared" si="128"/>
        <v>20140101RLS</v>
      </c>
      <c r="AB264" s="583" t="str">
        <f t="shared" si="126"/>
        <v>426</v>
      </c>
      <c r="AD264" s="98">
        <f>MiscData!$X$5</f>
        <v>20140101</v>
      </c>
      <c r="AE264" s="98">
        <f>IF(AE263+1&gt;MiscData!$AC$77,1,AE263+1)</f>
        <v>42</v>
      </c>
      <c r="AF264" s="98" t="str">
        <f>VLOOKUP(AE264,MiscData!$AC$5:$AD$77,2,FALSE)</f>
        <v>LGUM_426</v>
      </c>
      <c r="AG264" s="98" t="str">
        <f>VLOOKUP(AF264,MiscData!$AD$5:$AE$77,2,FALSE)</f>
        <v>RLS</v>
      </c>
      <c r="AP264" s="98" t="s">
        <v>139</v>
      </c>
      <c r="AR264" s="98">
        <v>-44.46</v>
      </c>
    </row>
    <row r="265" spans="1:44">
      <c r="A265" s="108">
        <f t="shared" si="129"/>
        <v>262</v>
      </c>
      <c r="B265" s="109" t="str">
        <f t="shared" si="105"/>
        <v>Apr 2016</v>
      </c>
      <c r="C265" s="110" t="str">
        <f t="shared" si="106"/>
        <v xml:space="preserve">LS </v>
      </c>
      <c r="D265" s="110" t="str">
        <f t="shared" si="107"/>
        <v>LGUM_427</v>
      </c>
      <c r="E265" s="581">
        <f t="shared" si="108"/>
        <v>52</v>
      </c>
      <c r="F265" s="581">
        <f t="shared" si="109"/>
        <v>0</v>
      </c>
      <c r="G265" s="116">
        <f t="shared" si="110"/>
        <v>35.199999999999996</v>
      </c>
      <c r="H265" s="116">
        <f t="shared" si="111"/>
        <v>0.75</v>
      </c>
      <c r="I265" s="118">
        <f t="shared" si="122"/>
        <v>1830.4</v>
      </c>
      <c r="J265" s="118">
        <f t="shared" si="112"/>
        <v>1830.4</v>
      </c>
      <c r="K265" s="570">
        <f t="shared" si="123"/>
        <v>0</v>
      </c>
      <c r="L265" s="121">
        <f t="shared" si="113"/>
        <v>0</v>
      </c>
      <c r="M265" s="122">
        <f t="shared" si="114"/>
        <v>0</v>
      </c>
      <c r="N265" s="122">
        <f t="shared" si="115"/>
        <v>0</v>
      </c>
      <c r="O265" s="122">
        <f t="shared" si="116"/>
        <v>0</v>
      </c>
      <c r="P265" s="122">
        <f t="shared" si="117"/>
        <v>0</v>
      </c>
      <c r="Q265" s="123">
        <f t="shared" si="118"/>
        <v>1830.4</v>
      </c>
      <c r="R265" s="123">
        <f t="shared" si="124"/>
        <v>-1830.4</v>
      </c>
      <c r="S265" s="582">
        <v>0</v>
      </c>
      <c r="T265" s="123">
        <f t="shared" si="125"/>
        <v>-1830.4</v>
      </c>
      <c r="U265" s="25">
        <f t="shared" si="119"/>
        <v>39</v>
      </c>
      <c r="V265" s="123">
        <f t="shared" si="120"/>
        <v>-39</v>
      </c>
      <c r="W265" s="334">
        <f t="shared" si="121"/>
        <v>13.52</v>
      </c>
      <c r="Y265" s="109">
        <f>IF(AE265=1,IF(Y264=MiscData!$F$1,EOMONTH(Y264,-11),EOMONTH(Y264,1)),Y264)</f>
        <v>42490</v>
      </c>
      <c r="Z265" s="108" t="str">
        <f t="shared" si="127"/>
        <v>20140101LGUM_427</v>
      </c>
      <c r="AA265" s="126" t="str">
        <f t="shared" si="128"/>
        <v xml:space="preserve">20140101LS </v>
      </c>
      <c r="AB265" s="583" t="str">
        <f t="shared" si="126"/>
        <v>427</v>
      </c>
      <c r="AD265" s="98">
        <f>MiscData!$X$5</f>
        <v>20140101</v>
      </c>
      <c r="AE265" s="98">
        <f>IF(AE264+1&gt;MiscData!$AC$77,1,AE264+1)</f>
        <v>43</v>
      </c>
      <c r="AF265" s="98" t="str">
        <f>VLOOKUP(AE265,MiscData!$AC$5:$AD$77,2,FALSE)</f>
        <v>LGUM_427</v>
      </c>
      <c r="AG265" s="98" t="str">
        <f>VLOOKUP(AF265,MiscData!$AD$5:$AE$77,2,FALSE)</f>
        <v xml:space="preserve">LS </v>
      </c>
      <c r="AP265" s="98" t="s">
        <v>140</v>
      </c>
      <c r="AR265" s="98">
        <v>0</v>
      </c>
    </row>
    <row r="266" spans="1:44">
      <c r="A266" s="108">
        <f t="shared" si="129"/>
        <v>263</v>
      </c>
      <c r="B266" s="109" t="str">
        <f t="shared" si="105"/>
        <v>Apr 2016</v>
      </c>
      <c r="C266" s="110" t="str">
        <f t="shared" si="106"/>
        <v>RLS</v>
      </c>
      <c r="D266" s="110" t="str">
        <f t="shared" si="107"/>
        <v>LGUM_428</v>
      </c>
      <c r="E266" s="581">
        <f t="shared" si="108"/>
        <v>204</v>
      </c>
      <c r="F266" s="581">
        <f t="shared" si="109"/>
        <v>0</v>
      </c>
      <c r="G266" s="116">
        <f t="shared" si="110"/>
        <v>34.090000000000003</v>
      </c>
      <c r="H266" s="116">
        <f t="shared" si="111"/>
        <v>1.0600000000000023</v>
      </c>
      <c r="I266" s="118">
        <f t="shared" si="122"/>
        <v>6954.36</v>
      </c>
      <c r="J266" s="118">
        <f t="shared" si="112"/>
        <v>6954.36</v>
      </c>
      <c r="K266" s="570">
        <f t="shared" si="123"/>
        <v>0</v>
      </c>
      <c r="L266" s="121">
        <f t="shared" si="113"/>
        <v>0</v>
      </c>
      <c r="M266" s="122">
        <f t="shared" si="114"/>
        <v>0</v>
      </c>
      <c r="N266" s="122">
        <f t="shared" si="115"/>
        <v>0</v>
      </c>
      <c r="O266" s="122">
        <f t="shared" si="116"/>
        <v>0</v>
      </c>
      <c r="P266" s="122">
        <f t="shared" si="117"/>
        <v>0</v>
      </c>
      <c r="Q266" s="123">
        <f t="shared" si="118"/>
        <v>6954.36</v>
      </c>
      <c r="R266" s="123">
        <f t="shared" si="124"/>
        <v>-6954.36</v>
      </c>
      <c r="S266" s="582">
        <v>0</v>
      </c>
      <c r="T266" s="123">
        <f t="shared" si="125"/>
        <v>-6954.36</v>
      </c>
      <c r="U266" s="25">
        <f t="shared" si="119"/>
        <v>216.24</v>
      </c>
      <c r="V266" s="123">
        <f t="shared" si="120"/>
        <v>-216.24</v>
      </c>
      <c r="W266" s="334">
        <f t="shared" si="121"/>
        <v>55.080000000000005</v>
      </c>
      <c r="Y266" s="109">
        <f>IF(AE266=1,IF(Y265=MiscData!$F$1,EOMONTH(Y265,-11),EOMONTH(Y265,1)),Y265)</f>
        <v>42490</v>
      </c>
      <c r="Z266" s="108" t="str">
        <f t="shared" si="127"/>
        <v>20140101LGUM_428</v>
      </c>
      <c r="AA266" s="126" t="str">
        <f t="shared" si="128"/>
        <v>20140101RLS</v>
      </c>
      <c r="AB266" s="583" t="str">
        <f t="shared" si="126"/>
        <v>428</v>
      </c>
      <c r="AD266" s="98">
        <f>MiscData!$X$5</f>
        <v>20140101</v>
      </c>
      <c r="AE266" s="98">
        <f>IF(AE265+1&gt;MiscData!$AC$77,1,AE265+1)</f>
        <v>44</v>
      </c>
      <c r="AF266" s="98" t="str">
        <f>VLOOKUP(AE266,MiscData!$AC$5:$AD$77,2,FALSE)</f>
        <v>LGUM_428</v>
      </c>
      <c r="AG266" s="98" t="str">
        <f>VLOOKUP(AF266,MiscData!$AD$5:$AE$77,2,FALSE)</f>
        <v>RLS</v>
      </c>
      <c r="AP266" s="98" t="s">
        <v>141</v>
      </c>
      <c r="AR266" s="98">
        <v>0</v>
      </c>
    </row>
    <row r="267" spans="1:44">
      <c r="A267" s="108">
        <f t="shared" si="129"/>
        <v>264</v>
      </c>
      <c r="B267" s="109" t="str">
        <f t="shared" si="105"/>
        <v>Apr 2016</v>
      </c>
      <c r="C267" s="110" t="str">
        <f t="shared" si="106"/>
        <v xml:space="preserve">LS </v>
      </c>
      <c r="D267" s="110" t="str">
        <f t="shared" si="107"/>
        <v>LGUM_429</v>
      </c>
      <c r="E267" s="581">
        <f t="shared" si="108"/>
        <v>220</v>
      </c>
      <c r="F267" s="581">
        <f t="shared" si="109"/>
        <v>0</v>
      </c>
      <c r="G267" s="116">
        <f t="shared" si="110"/>
        <v>36.07</v>
      </c>
      <c r="H267" s="116">
        <f t="shared" si="111"/>
        <v>1.0599999999999952</v>
      </c>
      <c r="I267" s="118">
        <f t="shared" si="122"/>
        <v>7935.4</v>
      </c>
      <c r="J267" s="118">
        <f t="shared" si="112"/>
        <v>7935.4</v>
      </c>
      <c r="K267" s="570">
        <f t="shared" si="123"/>
        <v>0</v>
      </c>
      <c r="L267" s="121">
        <f t="shared" si="113"/>
        <v>0</v>
      </c>
      <c r="M267" s="122">
        <f t="shared" si="114"/>
        <v>0</v>
      </c>
      <c r="N267" s="122">
        <f t="shared" si="115"/>
        <v>0</v>
      </c>
      <c r="O267" s="122">
        <f t="shared" si="116"/>
        <v>0</v>
      </c>
      <c r="P267" s="122">
        <f t="shared" si="117"/>
        <v>0</v>
      </c>
      <c r="Q267" s="123">
        <f t="shared" si="118"/>
        <v>7935.4</v>
      </c>
      <c r="R267" s="123">
        <f t="shared" si="124"/>
        <v>-7935.4</v>
      </c>
      <c r="S267" s="582">
        <v>0</v>
      </c>
      <c r="T267" s="123">
        <f t="shared" si="125"/>
        <v>-7935.4</v>
      </c>
      <c r="U267" s="25">
        <f t="shared" si="119"/>
        <v>233.2</v>
      </c>
      <c r="V267" s="123">
        <f t="shared" si="120"/>
        <v>-233.2</v>
      </c>
      <c r="W267" s="334">
        <f t="shared" si="121"/>
        <v>59.400000000000006</v>
      </c>
      <c r="Y267" s="109">
        <f>IF(AE267=1,IF(Y266=MiscData!$F$1,EOMONTH(Y266,-11),EOMONTH(Y266,1)),Y266)</f>
        <v>42490</v>
      </c>
      <c r="Z267" s="108" t="str">
        <f t="shared" si="127"/>
        <v>20140101LGUM_429</v>
      </c>
      <c r="AA267" s="126" t="str">
        <f t="shared" si="128"/>
        <v xml:space="preserve">20140101LS </v>
      </c>
      <c r="AB267" s="583" t="str">
        <f t="shared" si="126"/>
        <v>429</v>
      </c>
      <c r="AD267" s="98">
        <f>MiscData!$X$5</f>
        <v>20140101</v>
      </c>
      <c r="AE267" s="98">
        <f>IF(AE266+1&gt;MiscData!$AC$77,1,AE266+1)</f>
        <v>45</v>
      </c>
      <c r="AF267" s="98" t="str">
        <f>VLOOKUP(AE267,MiscData!$AC$5:$AD$77,2,FALSE)</f>
        <v>LGUM_429</v>
      </c>
      <c r="AG267" s="98" t="str">
        <f>VLOOKUP(AF267,MiscData!$AD$5:$AE$77,2,FALSE)</f>
        <v xml:space="preserve">LS </v>
      </c>
      <c r="AP267" s="98" t="s">
        <v>465</v>
      </c>
      <c r="AR267" s="98">
        <v>0</v>
      </c>
    </row>
    <row r="268" spans="1:44">
      <c r="A268" s="108">
        <f t="shared" si="129"/>
        <v>265</v>
      </c>
      <c r="B268" s="109" t="str">
        <f t="shared" si="105"/>
        <v>Apr 2016</v>
      </c>
      <c r="C268" s="110" t="str">
        <f t="shared" si="106"/>
        <v>RLS</v>
      </c>
      <c r="D268" s="110" t="str">
        <f t="shared" si="107"/>
        <v>LGUM_430</v>
      </c>
      <c r="E268" s="581">
        <f t="shared" si="108"/>
        <v>13</v>
      </c>
      <c r="F268" s="581">
        <f t="shared" si="109"/>
        <v>0</v>
      </c>
      <c r="G268" s="116">
        <f t="shared" si="110"/>
        <v>32.26</v>
      </c>
      <c r="H268" s="116">
        <f t="shared" si="111"/>
        <v>0.75</v>
      </c>
      <c r="I268" s="118">
        <f t="shared" si="122"/>
        <v>419.38</v>
      </c>
      <c r="J268" s="118">
        <f t="shared" si="112"/>
        <v>419.38</v>
      </c>
      <c r="K268" s="570">
        <f t="shared" si="123"/>
        <v>0</v>
      </c>
      <c r="L268" s="121">
        <f t="shared" si="113"/>
        <v>0</v>
      </c>
      <c r="M268" s="122">
        <f t="shared" si="114"/>
        <v>0</v>
      </c>
      <c r="N268" s="122">
        <f t="shared" si="115"/>
        <v>0</v>
      </c>
      <c r="O268" s="122">
        <f t="shared" si="116"/>
        <v>0</v>
      </c>
      <c r="P268" s="122">
        <f t="shared" si="117"/>
        <v>0</v>
      </c>
      <c r="Q268" s="123">
        <f t="shared" si="118"/>
        <v>419.38</v>
      </c>
      <c r="R268" s="123">
        <f t="shared" si="124"/>
        <v>-419.38</v>
      </c>
      <c r="S268" s="582">
        <v>0</v>
      </c>
      <c r="T268" s="123">
        <f t="shared" si="125"/>
        <v>-419.38</v>
      </c>
      <c r="U268" s="25">
        <f t="shared" si="119"/>
        <v>9.75</v>
      </c>
      <c r="V268" s="123">
        <f t="shared" si="120"/>
        <v>-9.75</v>
      </c>
      <c r="W268" s="334">
        <f t="shared" si="121"/>
        <v>3.38</v>
      </c>
      <c r="Y268" s="109">
        <f>IF(AE268=1,IF(Y267=MiscData!$F$1,EOMONTH(Y267,-11),EOMONTH(Y267,1)),Y267)</f>
        <v>42490</v>
      </c>
      <c r="Z268" s="108" t="str">
        <f t="shared" si="127"/>
        <v>20140101LGUM_430</v>
      </c>
      <c r="AA268" s="126" t="str">
        <f t="shared" si="128"/>
        <v>20140101RLS</v>
      </c>
      <c r="AB268" s="583" t="str">
        <f t="shared" si="126"/>
        <v>430</v>
      </c>
      <c r="AD268" s="98">
        <f>MiscData!$X$5</f>
        <v>20140101</v>
      </c>
      <c r="AE268" s="98">
        <f>IF(AE267+1&gt;MiscData!$AC$77,1,AE267+1)</f>
        <v>46</v>
      </c>
      <c r="AF268" s="98" t="str">
        <f>VLOOKUP(AE268,MiscData!$AC$5:$AD$77,2,FALSE)</f>
        <v>LGUM_430</v>
      </c>
      <c r="AG268" s="98" t="str">
        <f>VLOOKUP(AF268,MiscData!$AD$5:$AE$77,2,FALSE)</f>
        <v>RLS</v>
      </c>
      <c r="AP268" s="98" t="s">
        <v>142</v>
      </c>
      <c r="AR268" s="98">
        <v>0</v>
      </c>
    </row>
    <row r="269" spans="1:44">
      <c r="A269" s="108">
        <f t="shared" si="129"/>
        <v>266</v>
      </c>
      <c r="B269" s="109" t="str">
        <f t="shared" si="105"/>
        <v>Apr 2016</v>
      </c>
      <c r="C269" s="110" t="str">
        <f t="shared" si="106"/>
        <v xml:space="preserve">LS </v>
      </c>
      <c r="D269" s="110" t="str">
        <f t="shared" si="107"/>
        <v>LGUM_431</v>
      </c>
      <c r="E269" s="581">
        <f t="shared" si="108"/>
        <v>44</v>
      </c>
      <c r="F269" s="581">
        <f t="shared" si="109"/>
        <v>0</v>
      </c>
      <c r="G269" s="116">
        <f t="shared" si="110"/>
        <v>32.93</v>
      </c>
      <c r="H269" s="116">
        <f t="shared" si="111"/>
        <v>0.75</v>
      </c>
      <c r="I269" s="118">
        <f t="shared" si="122"/>
        <v>1448.92</v>
      </c>
      <c r="J269" s="118">
        <f t="shared" si="112"/>
        <v>1448.92</v>
      </c>
      <c r="K269" s="570">
        <f t="shared" si="123"/>
        <v>0</v>
      </c>
      <c r="L269" s="121">
        <f t="shared" si="113"/>
        <v>0</v>
      </c>
      <c r="M269" s="122">
        <f t="shared" si="114"/>
        <v>0</v>
      </c>
      <c r="N269" s="122">
        <f t="shared" si="115"/>
        <v>0</v>
      </c>
      <c r="O269" s="122">
        <f t="shared" si="116"/>
        <v>0</v>
      </c>
      <c r="P269" s="122">
        <f t="shared" si="117"/>
        <v>0</v>
      </c>
      <c r="Q269" s="123">
        <f t="shared" si="118"/>
        <v>1448.92</v>
      </c>
      <c r="R269" s="123">
        <f t="shared" si="124"/>
        <v>-1448.92</v>
      </c>
      <c r="S269" s="582">
        <v>0</v>
      </c>
      <c r="T269" s="123">
        <f t="shared" si="125"/>
        <v>-1448.92</v>
      </c>
      <c r="U269" s="25">
        <f t="shared" si="119"/>
        <v>33</v>
      </c>
      <c r="V269" s="123">
        <f t="shared" si="120"/>
        <v>-33</v>
      </c>
      <c r="W269" s="334">
        <f t="shared" si="121"/>
        <v>11.440000000000001</v>
      </c>
      <c r="Y269" s="109">
        <f>IF(AE269=1,IF(Y268=MiscData!$F$1,EOMONTH(Y268,-11),EOMONTH(Y268,1)),Y268)</f>
        <v>42490</v>
      </c>
      <c r="Z269" s="108" t="str">
        <f t="shared" si="127"/>
        <v>20140101LGUM_431</v>
      </c>
      <c r="AA269" s="126" t="str">
        <f t="shared" si="128"/>
        <v xml:space="preserve">20140101LS </v>
      </c>
      <c r="AB269" s="583" t="str">
        <f t="shared" si="126"/>
        <v>431</v>
      </c>
      <c r="AD269" s="98">
        <f>MiscData!$X$5</f>
        <v>20140101</v>
      </c>
      <c r="AE269" s="98">
        <f>IF(AE268+1&gt;MiscData!$AC$77,1,AE268+1)</f>
        <v>47</v>
      </c>
      <c r="AF269" s="98" t="str">
        <f>VLOOKUP(AE269,MiscData!$AC$5:$AD$77,2,FALSE)</f>
        <v>LGUM_431</v>
      </c>
      <c r="AG269" s="98" t="str">
        <f>VLOOKUP(AF269,MiscData!$AD$5:$AE$77,2,FALSE)</f>
        <v xml:space="preserve">LS </v>
      </c>
      <c r="AP269" s="98" t="s">
        <v>143</v>
      </c>
      <c r="AR269" s="98">
        <v>0</v>
      </c>
    </row>
    <row r="270" spans="1:44">
      <c r="A270" s="108">
        <f t="shared" si="129"/>
        <v>267</v>
      </c>
      <c r="B270" s="109" t="str">
        <f t="shared" si="105"/>
        <v>Apr 2016</v>
      </c>
      <c r="C270" s="110" t="str">
        <f t="shared" si="106"/>
        <v>RLS</v>
      </c>
      <c r="D270" s="110" t="str">
        <f t="shared" si="107"/>
        <v>LGUM_432</v>
      </c>
      <c r="E270" s="581">
        <f t="shared" si="108"/>
        <v>10</v>
      </c>
      <c r="F270" s="581">
        <f t="shared" si="109"/>
        <v>0</v>
      </c>
      <c r="G270" s="116">
        <f t="shared" si="110"/>
        <v>34.330000000000005</v>
      </c>
      <c r="H270" s="116">
        <f t="shared" si="111"/>
        <v>1.0600000000000023</v>
      </c>
      <c r="I270" s="118">
        <f t="shared" si="122"/>
        <v>343.3</v>
      </c>
      <c r="J270" s="118">
        <f t="shared" si="112"/>
        <v>343.3</v>
      </c>
      <c r="K270" s="570">
        <f t="shared" si="123"/>
        <v>0</v>
      </c>
      <c r="L270" s="121">
        <f t="shared" si="113"/>
        <v>0</v>
      </c>
      <c r="M270" s="122">
        <f t="shared" si="114"/>
        <v>0</v>
      </c>
      <c r="N270" s="122">
        <f t="shared" si="115"/>
        <v>0</v>
      </c>
      <c r="O270" s="122">
        <f t="shared" si="116"/>
        <v>0</v>
      </c>
      <c r="P270" s="122">
        <f t="shared" si="117"/>
        <v>0</v>
      </c>
      <c r="Q270" s="123">
        <f t="shared" si="118"/>
        <v>343.3</v>
      </c>
      <c r="R270" s="123">
        <f t="shared" si="124"/>
        <v>-343.3</v>
      </c>
      <c r="S270" s="582">
        <v>0</v>
      </c>
      <c r="T270" s="123">
        <f t="shared" si="125"/>
        <v>-343.3</v>
      </c>
      <c r="U270" s="25">
        <f t="shared" si="119"/>
        <v>10.6</v>
      </c>
      <c r="V270" s="123">
        <f t="shared" si="120"/>
        <v>-10.6</v>
      </c>
      <c r="W270" s="334">
        <f t="shared" si="121"/>
        <v>2.7</v>
      </c>
      <c r="Y270" s="109">
        <f>IF(AE270=1,IF(Y269=MiscData!$F$1,EOMONTH(Y269,-11),EOMONTH(Y269,1)),Y269)</f>
        <v>42490</v>
      </c>
      <c r="Z270" s="108" t="str">
        <f t="shared" si="127"/>
        <v>20140101LGUM_432</v>
      </c>
      <c r="AA270" s="126" t="str">
        <f t="shared" si="128"/>
        <v>20140101RLS</v>
      </c>
      <c r="AB270" s="583" t="str">
        <f t="shared" si="126"/>
        <v>432</v>
      </c>
      <c r="AD270" s="98">
        <f>MiscData!$X$5</f>
        <v>20140101</v>
      </c>
      <c r="AE270" s="98">
        <f>IF(AE269+1&gt;MiscData!$AC$77,1,AE269+1)</f>
        <v>48</v>
      </c>
      <c r="AF270" s="98" t="str">
        <f>VLOOKUP(AE270,MiscData!$AC$5:$AD$77,2,FALSE)</f>
        <v>LGUM_432</v>
      </c>
      <c r="AG270" s="98" t="str">
        <f>VLOOKUP(AF270,MiscData!$AD$5:$AE$77,2,FALSE)</f>
        <v>RLS</v>
      </c>
      <c r="AP270" s="98" t="s">
        <v>469</v>
      </c>
      <c r="AR270" s="98">
        <v>0</v>
      </c>
    </row>
    <row r="271" spans="1:44">
      <c r="A271" s="108">
        <f t="shared" si="129"/>
        <v>268</v>
      </c>
      <c r="B271" s="109" t="str">
        <f t="shared" si="105"/>
        <v>Apr 2016</v>
      </c>
      <c r="C271" s="110" t="str">
        <f t="shared" si="106"/>
        <v xml:space="preserve">LS </v>
      </c>
      <c r="D271" s="110" t="str">
        <f t="shared" si="107"/>
        <v>LGUM_433</v>
      </c>
      <c r="E271" s="581">
        <f t="shared" si="108"/>
        <v>191</v>
      </c>
      <c r="F271" s="581">
        <f t="shared" si="109"/>
        <v>0</v>
      </c>
      <c r="G271" s="116">
        <f t="shared" si="110"/>
        <v>34.99</v>
      </c>
      <c r="H271" s="116">
        <f t="shared" si="111"/>
        <v>1.0600000000000023</v>
      </c>
      <c r="I271" s="118">
        <f t="shared" si="122"/>
        <v>6683.09</v>
      </c>
      <c r="J271" s="118">
        <f t="shared" si="112"/>
        <v>6683.09</v>
      </c>
      <c r="K271" s="570">
        <f t="shared" si="123"/>
        <v>0</v>
      </c>
      <c r="L271" s="121">
        <f t="shared" si="113"/>
        <v>0</v>
      </c>
      <c r="M271" s="122">
        <f t="shared" si="114"/>
        <v>0</v>
      </c>
      <c r="N271" s="122">
        <f t="shared" si="115"/>
        <v>0</v>
      </c>
      <c r="O271" s="122">
        <f t="shared" si="116"/>
        <v>0</v>
      </c>
      <c r="P271" s="122">
        <f t="shared" si="117"/>
        <v>0</v>
      </c>
      <c r="Q271" s="123">
        <f t="shared" si="118"/>
        <v>6683.09</v>
      </c>
      <c r="R271" s="123">
        <f t="shared" si="124"/>
        <v>-6683.09</v>
      </c>
      <c r="S271" s="582">
        <v>0</v>
      </c>
      <c r="T271" s="123">
        <f t="shared" si="125"/>
        <v>-6683.09</v>
      </c>
      <c r="U271" s="25">
        <f t="shared" si="119"/>
        <v>202.46</v>
      </c>
      <c r="V271" s="123">
        <f t="shared" si="120"/>
        <v>-202.46</v>
      </c>
      <c r="W271" s="334">
        <f t="shared" si="121"/>
        <v>51.57</v>
      </c>
      <c r="Y271" s="109">
        <f>IF(AE271=1,IF(Y270=MiscData!$F$1,EOMONTH(Y270,-11),EOMONTH(Y270,1)),Y270)</f>
        <v>42490</v>
      </c>
      <c r="Z271" s="108" t="str">
        <f t="shared" si="127"/>
        <v>20140101LGUM_433</v>
      </c>
      <c r="AA271" s="126" t="str">
        <f t="shared" si="128"/>
        <v xml:space="preserve">20140101LS </v>
      </c>
      <c r="AB271" s="583" t="str">
        <f t="shared" si="126"/>
        <v>433</v>
      </c>
      <c r="AD271" s="98">
        <f>MiscData!$X$5</f>
        <v>20140101</v>
      </c>
      <c r="AE271" s="98">
        <f>IF(AE270+1&gt;MiscData!$AC$77,1,AE270+1)</f>
        <v>49</v>
      </c>
      <c r="AF271" s="98" t="str">
        <f>VLOOKUP(AE271,MiscData!$AC$5:$AD$77,2,FALSE)</f>
        <v>LGUM_433</v>
      </c>
      <c r="AG271" s="98" t="str">
        <f>VLOOKUP(AF271,MiscData!$AD$5:$AE$77,2,FALSE)</f>
        <v xml:space="preserve">LS </v>
      </c>
      <c r="AP271" s="98" t="s">
        <v>144</v>
      </c>
      <c r="AR271" s="98">
        <v>0</v>
      </c>
    </row>
    <row r="272" spans="1:44">
      <c r="A272" s="108">
        <f t="shared" si="129"/>
        <v>269</v>
      </c>
      <c r="B272" s="109" t="str">
        <f t="shared" si="105"/>
        <v>Apr 2016</v>
      </c>
      <c r="C272" s="110" t="str">
        <f t="shared" si="106"/>
        <v xml:space="preserve">LS </v>
      </c>
      <c r="D272" s="110" t="str">
        <f t="shared" si="107"/>
        <v>LGUM_439</v>
      </c>
      <c r="E272" s="581">
        <f t="shared" si="108"/>
        <v>0</v>
      </c>
      <c r="F272" s="581">
        <f t="shared" si="109"/>
        <v>0</v>
      </c>
      <c r="G272" s="116">
        <f t="shared" si="110"/>
        <v>16.459999999999997</v>
      </c>
      <c r="H272" s="116">
        <f t="shared" si="111"/>
        <v>1.6499999999999986</v>
      </c>
      <c r="I272" s="118">
        <f t="shared" si="122"/>
        <v>0</v>
      </c>
      <c r="J272" s="118">
        <f t="shared" si="112"/>
        <v>0</v>
      </c>
      <c r="K272" s="570">
        <f t="shared" si="123"/>
        <v>0</v>
      </c>
      <c r="L272" s="121">
        <f t="shared" si="113"/>
        <v>1</v>
      </c>
      <c r="M272" s="122">
        <f t="shared" si="114"/>
        <v>0</v>
      </c>
      <c r="N272" s="122">
        <f t="shared" si="115"/>
        <v>0</v>
      </c>
      <c r="O272" s="122">
        <f t="shared" si="116"/>
        <v>0</v>
      </c>
      <c r="P272" s="122">
        <f t="shared" si="117"/>
        <v>0</v>
      </c>
      <c r="Q272" s="123">
        <f t="shared" si="118"/>
        <v>0</v>
      </c>
      <c r="R272" s="123">
        <f t="shared" si="124"/>
        <v>0</v>
      </c>
      <c r="S272" s="582">
        <v>0</v>
      </c>
      <c r="T272" s="123">
        <f t="shared" si="125"/>
        <v>0</v>
      </c>
      <c r="U272" s="25">
        <f t="shared" si="119"/>
        <v>0</v>
      </c>
      <c r="V272" s="123">
        <f t="shared" si="120"/>
        <v>0</v>
      </c>
      <c r="W272" s="334">
        <f t="shared" si="121"/>
        <v>0</v>
      </c>
      <c r="Y272" s="109">
        <f>IF(AE272=1,IF(Y271=MiscData!$F$1,EOMONTH(Y271,-11),EOMONTH(Y271,1)),Y271)</f>
        <v>42490</v>
      </c>
      <c r="Z272" s="108" t="str">
        <f t="shared" si="127"/>
        <v>20140101LGUM_439</v>
      </c>
      <c r="AA272" s="126" t="str">
        <f t="shared" si="128"/>
        <v xml:space="preserve">20140101LS </v>
      </c>
      <c r="AB272" s="583" t="str">
        <f t="shared" si="126"/>
        <v>439</v>
      </c>
      <c r="AD272" s="98">
        <f>MiscData!$X$5</f>
        <v>20140101</v>
      </c>
      <c r="AE272" s="98">
        <f>IF(AE271+1&gt;MiscData!$AC$77,1,AE271+1)</f>
        <v>50</v>
      </c>
      <c r="AF272" s="98" t="str">
        <f>VLOOKUP(AE272,MiscData!$AC$5:$AD$77,2,FALSE)</f>
        <v>LGUM_439</v>
      </c>
      <c r="AG272" s="98" t="str">
        <f>VLOOKUP(AF272,MiscData!$AD$5:$AE$77,2,FALSE)</f>
        <v xml:space="preserve">LS </v>
      </c>
      <c r="AP272" s="98" t="s">
        <v>145</v>
      </c>
      <c r="AR272" s="98">
        <v>0</v>
      </c>
    </row>
    <row r="273" spans="1:44">
      <c r="A273" s="108">
        <f t="shared" si="129"/>
        <v>270</v>
      </c>
      <c r="B273" s="109" t="str">
        <f t="shared" si="105"/>
        <v>Apr 2016</v>
      </c>
      <c r="C273" s="110" t="str">
        <f t="shared" si="106"/>
        <v xml:space="preserve">LS </v>
      </c>
      <c r="D273" s="110" t="str">
        <f t="shared" si="107"/>
        <v>LGUM_440</v>
      </c>
      <c r="E273" s="581">
        <f t="shared" si="108"/>
        <v>2</v>
      </c>
      <c r="F273" s="581">
        <f t="shared" si="109"/>
        <v>0</v>
      </c>
      <c r="G273" s="116">
        <f t="shared" si="110"/>
        <v>18.279999999999998</v>
      </c>
      <c r="H273" s="116">
        <f t="shared" si="111"/>
        <v>2.67</v>
      </c>
      <c r="I273" s="118">
        <f t="shared" si="122"/>
        <v>36.56</v>
      </c>
      <c r="J273" s="118">
        <f t="shared" si="112"/>
        <v>36.56</v>
      </c>
      <c r="K273" s="570">
        <f t="shared" si="123"/>
        <v>0</v>
      </c>
      <c r="L273" s="121">
        <f t="shared" si="113"/>
        <v>0</v>
      </c>
      <c r="M273" s="122">
        <f t="shared" si="114"/>
        <v>0</v>
      </c>
      <c r="N273" s="122">
        <f t="shared" si="115"/>
        <v>0</v>
      </c>
      <c r="O273" s="122">
        <f t="shared" si="116"/>
        <v>0</v>
      </c>
      <c r="P273" s="122">
        <f t="shared" si="117"/>
        <v>0</v>
      </c>
      <c r="Q273" s="123">
        <f t="shared" si="118"/>
        <v>36.56</v>
      </c>
      <c r="R273" s="123">
        <f t="shared" si="124"/>
        <v>-36.56</v>
      </c>
      <c r="S273" s="582">
        <v>0</v>
      </c>
      <c r="T273" s="123">
        <f t="shared" si="125"/>
        <v>-36.56</v>
      </c>
      <c r="U273" s="25">
        <f t="shared" si="119"/>
        <v>5.34</v>
      </c>
      <c r="V273" s="123">
        <f t="shared" si="120"/>
        <v>-5.34</v>
      </c>
      <c r="W273" s="334">
        <f t="shared" si="121"/>
        <v>0.54</v>
      </c>
      <c r="Y273" s="109">
        <f>IF(AE273=1,IF(Y272=MiscData!$F$1,EOMONTH(Y272,-11),EOMONTH(Y272,1)),Y272)</f>
        <v>42490</v>
      </c>
      <c r="Z273" s="108" t="str">
        <f t="shared" si="127"/>
        <v>20140101LGUM_440</v>
      </c>
      <c r="AA273" s="126" t="str">
        <f t="shared" si="128"/>
        <v xml:space="preserve">20140101LS </v>
      </c>
      <c r="AB273" s="583" t="str">
        <f t="shared" si="126"/>
        <v>440</v>
      </c>
      <c r="AD273" s="98">
        <f>MiscData!$X$5</f>
        <v>20140101</v>
      </c>
      <c r="AE273" s="98">
        <f>IF(AE272+1&gt;MiscData!$AC$77,1,AE272+1)</f>
        <v>51</v>
      </c>
      <c r="AF273" s="98" t="str">
        <f>VLOOKUP(AE273,MiscData!$AC$5:$AD$77,2,FALSE)</f>
        <v>LGUM_440</v>
      </c>
      <c r="AG273" s="98" t="str">
        <f>VLOOKUP(AF273,MiscData!$AD$5:$AE$77,2,FALSE)</f>
        <v xml:space="preserve">LS </v>
      </c>
      <c r="AP273" s="98" t="s">
        <v>146</v>
      </c>
      <c r="AR273" s="98">
        <v>0</v>
      </c>
    </row>
    <row r="274" spans="1:44">
      <c r="A274" s="108">
        <f t="shared" si="129"/>
        <v>271</v>
      </c>
      <c r="B274" s="109" t="str">
        <f t="shared" si="105"/>
        <v>Apr 2016</v>
      </c>
      <c r="C274" s="110" t="str">
        <f t="shared" si="106"/>
        <v xml:space="preserve">LS </v>
      </c>
      <c r="D274" s="110" t="str">
        <f t="shared" si="107"/>
        <v>LGUM_441</v>
      </c>
      <c r="E274" s="581">
        <f t="shared" si="108"/>
        <v>14</v>
      </c>
      <c r="F274" s="581">
        <f t="shared" si="109"/>
        <v>0</v>
      </c>
      <c r="G274" s="116">
        <f t="shared" si="110"/>
        <v>22.32</v>
      </c>
      <c r="H274" s="116">
        <f t="shared" si="111"/>
        <v>4.2800000000000011</v>
      </c>
      <c r="I274" s="118">
        <f t="shared" si="122"/>
        <v>312.48</v>
      </c>
      <c r="J274" s="118">
        <f t="shared" si="112"/>
        <v>312.48</v>
      </c>
      <c r="K274" s="570">
        <f t="shared" si="123"/>
        <v>0</v>
      </c>
      <c r="L274" s="121">
        <f t="shared" si="113"/>
        <v>0</v>
      </c>
      <c r="M274" s="122">
        <f t="shared" si="114"/>
        <v>0</v>
      </c>
      <c r="N274" s="122">
        <f t="shared" si="115"/>
        <v>0</v>
      </c>
      <c r="O274" s="122">
        <f t="shared" si="116"/>
        <v>0</v>
      </c>
      <c r="P274" s="122">
        <f t="shared" si="117"/>
        <v>0</v>
      </c>
      <c r="Q274" s="123">
        <f t="shared" si="118"/>
        <v>312.48</v>
      </c>
      <c r="R274" s="123">
        <f t="shared" si="124"/>
        <v>-312.48</v>
      </c>
      <c r="S274" s="582">
        <v>0</v>
      </c>
      <c r="T274" s="123">
        <f t="shared" si="125"/>
        <v>-312.48</v>
      </c>
      <c r="U274" s="25">
        <f t="shared" si="119"/>
        <v>59.92</v>
      </c>
      <c r="V274" s="123">
        <f t="shared" si="120"/>
        <v>-59.92</v>
      </c>
      <c r="W274" s="334">
        <f t="shared" si="121"/>
        <v>4.0599999999999996</v>
      </c>
      <c r="Y274" s="109">
        <f>IF(AE274=1,IF(Y273=MiscData!$F$1,EOMONTH(Y273,-11),EOMONTH(Y273,1)),Y273)</f>
        <v>42490</v>
      </c>
      <c r="Z274" s="108" t="str">
        <f t="shared" si="127"/>
        <v>20140101LGUM_441</v>
      </c>
      <c r="AA274" s="126" t="str">
        <f t="shared" si="128"/>
        <v xml:space="preserve">20140101LS </v>
      </c>
      <c r="AB274" s="583" t="str">
        <f t="shared" si="126"/>
        <v>441</v>
      </c>
      <c r="AD274" s="98">
        <f>MiscData!$X$5</f>
        <v>20140101</v>
      </c>
      <c r="AE274" s="98">
        <f>IF(AE273+1&gt;MiscData!$AC$77,1,AE273+1)</f>
        <v>52</v>
      </c>
      <c r="AF274" s="98" t="str">
        <f>VLOOKUP(AE274,MiscData!$AC$5:$AD$77,2,FALSE)</f>
        <v>LGUM_441</v>
      </c>
      <c r="AG274" s="98" t="str">
        <f>VLOOKUP(AF274,MiscData!$AD$5:$AE$77,2,FALSE)</f>
        <v xml:space="preserve">LS </v>
      </c>
      <c r="AP274" s="98" t="s">
        <v>147</v>
      </c>
      <c r="AR274" s="98">
        <v>0</v>
      </c>
    </row>
    <row r="275" spans="1:44">
      <c r="A275" s="108">
        <f t="shared" si="129"/>
        <v>272</v>
      </c>
      <c r="B275" s="109" t="str">
        <f t="shared" si="105"/>
        <v>Apr 2016</v>
      </c>
      <c r="C275" s="110" t="str">
        <f t="shared" si="106"/>
        <v xml:space="preserve">LS </v>
      </c>
      <c r="D275" s="110" t="str">
        <f t="shared" si="107"/>
        <v>LGUM_452</v>
      </c>
      <c r="E275" s="581">
        <f t="shared" si="108"/>
        <v>6475</v>
      </c>
      <c r="F275" s="581">
        <f t="shared" si="109"/>
        <v>0</v>
      </c>
      <c r="G275" s="116">
        <f t="shared" si="110"/>
        <v>12.82</v>
      </c>
      <c r="H275" s="116">
        <f t="shared" si="111"/>
        <v>1.6500000000000004</v>
      </c>
      <c r="I275" s="118">
        <f t="shared" si="122"/>
        <v>83009.5</v>
      </c>
      <c r="J275" s="118">
        <f t="shared" si="112"/>
        <v>83009.5</v>
      </c>
      <c r="K275" s="570">
        <f t="shared" si="123"/>
        <v>0</v>
      </c>
      <c r="L275" s="121">
        <f t="shared" si="113"/>
        <v>0</v>
      </c>
      <c r="M275" s="122">
        <f t="shared" si="114"/>
        <v>0</v>
      </c>
      <c r="N275" s="122">
        <f t="shared" si="115"/>
        <v>0</v>
      </c>
      <c r="O275" s="122">
        <f t="shared" si="116"/>
        <v>0</v>
      </c>
      <c r="P275" s="122">
        <f t="shared" si="117"/>
        <v>0</v>
      </c>
      <c r="Q275" s="123">
        <f t="shared" si="118"/>
        <v>83009.5</v>
      </c>
      <c r="R275" s="123">
        <f t="shared" si="124"/>
        <v>-83009.5</v>
      </c>
      <c r="S275" s="582">
        <v>0</v>
      </c>
      <c r="T275" s="123">
        <f t="shared" si="125"/>
        <v>-83009.5</v>
      </c>
      <c r="U275" s="25">
        <f t="shared" si="119"/>
        <v>10683.75</v>
      </c>
      <c r="V275" s="123">
        <f t="shared" si="120"/>
        <v>-10683.75</v>
      </c>
      <c r="W275" s="334">
        <f t="shared" si="121"/>
        <v>1554</v>
      </c>
      <c r="Y275" s="109">
        <f>IF(AE275=1,IF(Y274=MiscData!$F$1,EOMONTH(Y274,-11),EOMONTH(Y274,1)),Y274)</f>
        <v>42490</v>
      </c>
      <c r="Z275" s="108" t="str">
        <f t="shared" si="127"/>
        <v>20140101LGUM_452</v>
      </c>
      <c r="AA275" s="126" t="str">
        <f t="shared" si="128"/>
        <v xml:space="preserve">20140101LS </v>
      </c>
      <c r="AB275" s="583" t="str">
        <f t="shared" si="126"/>
        <v>452</v>
      </c>
      <c r="AD275" s="98">
        <f>MiscData!$X$5</f>
        <v>20140101</v>
      </c>
      <c r="AE275" s="98">
        <f>IF(AE274+1&gt;MiscData!$AC$77,1,AE274+1)</f>
        <v>53</v>
      </c>
      <c r="AF275" s="98" t="str">
        <f>VLOOKUP(AE275,MiscData!$AC$5:$AD$77,2,FALSE)</f>
        <v>LGUM_452</v>
      </c>
      <c r="AG275" s="98" t="str">
        <f>VLOOKUP(AF275,MiscData!$AD$5:$AE$77,2,FALSE)</f>
        <v xml:space="preserve">LS </v>
      </c>
      <c r="AP275" s="98" t="s">
        <v>475</v>
      </c>
      <c r="AR275" s="98">
        <v>0</v>
      </c>
    </row>
    <row r="276" spans="1:44">
      <c r="A276" s="108">
        <f t="shared" si="129"/>
        <v>273</v>
      </c>
      <c r="B276" s="109" t="str">
        <f t="shared" si="105"/>
        <v>Apr 2016</v>
      </c>
      <c r="C276" s="110" t="str">
        <f t="shared" si="106"/>
        <v xml:space="preserve">LS </v>
      </c>
      <c r="D276" s="110" t="str">
        <f t="shared" si="107"/>
        <v>LGUM_453</v>
      </c>
      <c r="E276" s="581">
        <f t="shared" si="108"/>
        <v>9113</v>
      </c>
      <c r="F276" s="581">
        <f t="shared" si="109"/>
        <v>0</v>
      </c>
      <c r="G276" s="116">
        <f t="shared" si="110"/>
        <v>15.08</v>
      </c>
      <c r="H276" s="116">
        <f t="shared" si="111"/>
        <v>3.9800000000000004</v>
      </c>
      <c r="I276" s="118">
        <f t="shared" si="122"/>
        <v>137424.04</v>
      </c>
      <c r="J276" s="118">
        <f t="shared" si="112"/>
        <v>137424.04</v>
      </c>
      <c r="K276" s="570">
        <f t="shared" si="123"/>
        <v>0</v>
      </c>
      <c r="L276" s="121">
        <f t="shared" si="113"/>
        <v>0</v>
      </c>
      <c r="M276" s="122">
        <f t="shared" si="114"/>
        <v>0</v>
      </c>
      <c r="N276" s="122">
        <f t="shared" si="115"/>
        <v>0</v>
      </c>
      <c r="O276" s="122">
        <f t="shared" si="116"/>
        <v>0</v>
      </c>
      <c r="P276" s="122">
        <f t="shared" si="117"/>
        <v>0</v>
      </c>
      <c r="Q276" s="123">
        <f t="shared" si="118"/>
        <v>137424.04</v>
      </c>
      <c r="R276" s="123">
        <f t="shared" si="124"/>
        <v>-137424.04</v>
      </c>
      <c r="S276" s="582">
        <v>0</v>
      </c>
      <c r="T276" s="123">
        <f t="shared" si="125"/>
        <v>-137424.04</v>
      </c>
      <c r="U276" s="25">
        <f t="shared" si="119"/>
        <v>36269.74</v>
      </c>
      <c r="V276" s="123">
        <f t="shared" si="120"/>
        <v>-36269.74</v>
      </c>
      <c r="W276" s="334">
        <f t="shared" si="121"/>
        <v>2460.5100000000002</v>
      </c>
      <c r="Y276" s="109">
        <f>IF(AE276=1,IF(Y275=MiscData!$F$1,EOMONTH(Y275,-11),EOMONTH(Y275,1)),Y275)</f>
        <v>42490</v>
      </c>
      <c r="Z276" s="108" t="str">
        <f t="shared" si="127"/>
        <v>20140101LGUM_453</v>
      </c>
      <c r="AA276" s="126" t="str">
        <f t="shared" si="128"/>
        <v xml:space="preserve">20140101LS </v>
      </c>
      <c r="AB276" s="583" t="str">
        <f t="shared" si="126"/>
        <v>453</v>
      </c>
      <c r="AD276" s="98">
        <f>MiscData!$X$5</f>
        <v>20140101</v>
      </c>
      <c r="AE276" s="98">
        <f>IF(AE275+1&gt;MiscData!$AC$77,1,AE275+1)</f>
        <v>54</v>
      </c>
      <c r="AF276" s="98" t="str">
        <f>VLOOKUP(AE276,MiscData!$AC$5:$AD$77,2,FALSE)</f>
        <v>LGUM_453</v>
      </c>
      <c r="AG276" s="98" t="str">
        <f>VLOOKUP(AF276,MiscData!$AD$5:$AE$77,2,FALSE)</f>
        <v xml:space="preserve">LS </v>
      </c>
      <c r="AP276" s="98" t="s">
        <v>477</v>
      </c>
      <c r="AR276" s="98">
        <v>0</v>
      </c>
    </row>
    <row r="277" spans="1:44">
      <c r="A277" s="108">
        <f t="shared" si="129"/>
        <v>274</v>
      </c>
      <c r="B277" s="109" t="str">
        <f t="shared" si="105"/>
        <v>Apr 2016</v>
      </c>
      <c r="C277" s="110" t="str">
        <f t="shared" si="106"/>
        <v xml:space="preserve">LS </v>
      </c>
      <c r="D277" s="110" t="str">
        <f t="shared" si="107"/>
        <v>LGUM_454</v>
      </c>
      <c r="E277" s="581">
        <f t="shared" si="108"/>
        <v>5479</v>
      </c>
      <c r="F277" s="581">
        <f t="shared" si="109"/>
        <v>0</v>
      </c>
      <c r="G277" s="116">
        <f t="shared" si="110"/>
        <v>17.38</v>
      </c>
      <c r="H277" s="116">
        <f t="shared" si="111"/>
        <v>4.2800000000000011</v>
      </c>
      <c r="I277" s="118">
        <f t="shared" si="122"/>
        <v>95225.02</v>
      </c>
      <c r="J277" s="118">
        <f t="shared" si="112"/>
        <v>95225.02</v>
      </c>
      <c r="K277" s="570">
        <f t="shared" si="123"/>
        <v>0</v>
      </c>
      <c r="L277" s="121">
        <f t="shared" si="113"/>
        <v>0</v>
      </c>
      <c r="M277" s="122">
        <f t="shared" si="114"/>
        <v>0</v>
      </c>
      <c r="N277" s="122">
        <f t="shared" si="115"/>
        <v>0</v>
      </c>
      <c r="O277" s="122">
        <f t="shared" si="116"/>
        <v>0</v>
      </c>
      <c r="P277" s="122">
        <f t="shared" si="117"/>
        <v>0</v>
      </c>
      <c r="Q277" s="123">
        <f t="shared" si="118"/>
        <v>95225.02</v>
      </c>
      <c r="R277" s="123">
        <f t="shared" si="124"/>
        <v>-95225.02</v>
      </c>
      <c r="S277" s="582">
        <v>0</v>
      </c>
      <c r="T277" s="123">
        <f t="shared" si="125"/>
        <v>-95225.02</v>
      </c>
      <c r="U277" s="25">
        <f t="shared" si="119"/>
        <v>23450.12</v>
      </c>
      <c r="V277" s="123">
        <f t="shared" si="120"/>
        <v>-23450.12</v>
      </c>
      <c r="W277" s="334">
        <f t="shared" si="121"/>
        <v>1588.9099999999999</v>
      </c>
      <c r="Y277" s="109">
        <f>IF(AE277=1,IF(Y276=MiscData!$F$1,EOMONTH(Y276,-11),EOMONTH(Y276,1)),Y276)</f>
        <v>42490</v>
      </c>
      <c r="Z277" s="108" t="str">
        <f t="shared" si="127"/>
        <v>20140101LGUM_454</v>
      </c>
      <c r="AA277" s="126" t="str">
        <f t="shared" si="128"/>
        <v xml:space="preserve">20140101LS </v>
      </c>
      <c r="AB277" s="583" t="str">
        <f t="shared" si="126"/>
        <v>454</v>
      </c>
      <c r="AD277" s="98">
        <f>MiscData!$X$5</f>
        <v>20140101</v>
      </c>
      <c r="AE277" s="98">
        <f>IF(AE276+1&gt;MiscData!$AC$77,1,AE276+1)</f>
        <v>55</v>
      </c>
      <c r="AF277" s="98" t="str">
        <f>VLOOKUP(AE277,MiscData!$AC$5:$AD$77,2,FALSE)</f>
        <v>LGUM_454</v>
      </c>
      <c r="AG277" s="98" t="str">
        <f>VLOOKUP(AF277,MiscData!$AD$5:$AE$77,2,FALSE)</f>
        <v xml:space="preserve">LS </v>
      </c>
      <c r="AP277" s="98" t="s">
        <v>148</v>
      </c>
      <c r="AR277" s="98">
        <v>-10.029999999999999</v>
      </c>
    </row>
    <row r="278" spans="1:44">
      <c r="A278" s="108">
        <f t="shared" si="129"/>
        <v>275</v>
      </c>
      <c r="B278" s="109" t="str">
        <f t="shared" si="105"/>
        <v>Apr 2016</v>
      </c>
      <c r="C278" s="110" t="str">
        <f t="shared" si="106"/>
        <v xml:space="preserve">LS </v>
      </c>
      <c r="D278" s="110" t="str">
        <f t="shared" si="107"/>
        <v>LGUM_455</v>
      </c>
      <c r="E278" s="581">
        <f t="shared" si="108"/>
        <v>401</v>
      </c>
      <c r="F278" s="581">
        <f t="shared" si="109"/>
        <v>0</v>
      </c>
      <c r="G278" s="116">
        <f t="shared" si="110"/>
        <v>13.77</v>
      </c>
      <c r="H278" s="116">
        <f t="shared" si="111"/>
        <v>1.6499999999999986</v>
      </c>
      <c r="I278" s="118">
        <f t="shared" si="122"/>
        <v>5521.77</v>
      </c>
      <c r="J278" s="118">
        <f t="shared" si="112"/>
        <v>5521.77</v>
      </c>
      <c r="K278" s="570">
        <f t="shared" si="123"/>
        <v>0</v>
      </c>
      <c r="L278" s="121">
        <f t="shared" si="113"/>
        <v>0</v>
      </c>
      <c r="M278" s="122">
        <f t="shared" si="114"/>
        <v>0</v>
      </c>
      <c r="N278" s="122">
        <f t="shared" si="115"/>
        <v>0</v>
      </c>
      <c r="O278" s="122">
        <f t="shared" si="116"/>
        <v>0</v>
      </c>
      <c r="P278" s="122">
        <f t="shared" si="117"/>
        <v>0</v>
      </c>
      <c r="Q278" s="123">
        <f t="shared" si="118"/>
        <v>5521.77</v>
      </c>
      <c r="R278" s="123">
        <f t="shared" si="124"/>
        <v>-5521.77</v>
      </c>
      <c r="S278" s="582">
        <v>0</v>
      </c>
      <c r="T278" s="123">
        <f t="shared" si="125"/>
        <v>-5521.77</v>
      </c>
      <c r="U278" s="25">
        <f t="shared" si="119"/>
        <v>661.65</v>
      </c>
      <c r="V278" s="123">
        <f t="shared" si="120"/>
        <v>-661.65</v>
      </c>
      <c r="W278" s="334">
        <f t="shared" si="121"/>
        <v>96.24</v>
      </c>
      <c r="Y278" s="109">
        <f>IF(AE278=1,IF(Y277=MiscData!$F$1,EOMONTH(Y277,-11),EOMONTH(Y277,1)),Y277)</f>
        <v>42490</v>
      </c>
      <c r="Z278" s="108" t="str">
        <f t="shared" si="127"/>
        <v>20140101LGUM_455</v>
      </c>
      <c r="AA278" s="126" t="str">
        <f t="shared" si="128"/>
        <v xml:space="preserve">20140101LS </v>
      </c>
      <c r="AB278" s="583" t="str">
        <f t="shared" si="126"/>
        <v>455</v>
      </c>
      <c r="AD278" s="98">
        <f>MiscData!$X$5</f>
        <v>20140101</v>
      </c>
      <c r="AE278" s="98">
        <f>IF(AE277+1&gt;MiscData!$AC$77,1,AE277+1)</f>
        <v>56</v>
      </c>
      <c r="AF278" s="98" t="str">
        <f>VLOOKUP(AE278,MiscData!$AC$5:$AD$77,2,FALSE)</f>
        <v>LGUM_455</v>
      </c>
      <c r="AG278" s="98" t="str">
        <f>VLOOKUP(AF278,MiscData!$AD$5:$AE$77,2,FALSE)</f>
        <v xml:space="preserve">LS </v>
      </c>
      <c r="AP278" s="98" t="s">
        <v>149</v>
      </c>
      <c r="AR278" s="98">
        <v>0</v>
      </c>
    </row>
    <row r="279" spans="1:44">
      <c r="A279" s="108">
        <f t="shared" si="129"/>
        <v>276</v>
      </c>
      <c r="B279" s="109" t="str">
        <f t="shared" si="105"/>
        <v>Apr 2016</v>
      </c>
      <c r="C279" s="110" t="str">
        <f t="shared" si="106"/>
        <v xml:space="preserve">LS </v>
      </c>
      <c r="D279" s="110" t="str">
        <f t="shared" si="107"/>
        <v>LGUM_456</v>
      </c>
      <c r="E279" s="581">
        <f t="shared" si="108"/>
        <v>12783</v>
      </c>
      <c r="F279" s="581">
        <f t="shared" si="109"/>
        <v>0</v>
      </c>
      <c r="G279" s="116">
        <f t="shared" si="110"/>
        <v>18.21</v>
      </c>
      <c r="H279" s="116">
        <f t="shared" si="111"/>
        <v>4.2800000000000011</v>
      </c>
      <c r="I279" s="118">
        <f t="shared" si="122"/>
        <v>232778.43</v>
      </c>
      <c r="J279" s="118">
        <f t="shared" si="112"/>
        <v>232778.43</v>
      </c>
      <c r="K279" s="570">
        <f t="shared" si="123"/>
        <v>0</v>
      </c>
      <c r="L279" s="121">
        <f t="shared" si="113"/>
        <v>0</v>
      </c>
      <c r="M279" s="122">
        <f t="shared" si="114"/>
        <v>0</v>
      </c>
      <c r="N279" s="122">
        <f t="shared" si="115"/>
        <v>0</v>
      </c>
      <c r="O279" s="122">
        <f t="shared" si="116"/>
        <v>0</v>
      </c>
      <c r="P279" s="122">
        <f t="shared" si="117"/>
        <v>0</v>
      </c>
      <c r="Q279" s="123">
        <f t="shared" si="118"/>
        <v>232778.43</v>
      </c>
      <c r="R279" s="123">
        <f t="shared" si="124"/>
        <v>-232778.43</v>
      </c>
      <c r="S279" s="582">
        <v>0</v>
      </c>
      <c r="T279" s="123">
        <f t="shared" si="125"/>
        <v>-232778.43</v>
      </c>
      <c r="U279" s="25">
        <f t="shared" si="119"/>
        <v>54711.24</v>
      </c>
      <c r="V279" s="123">
        <f t="shared" si="120"/>
        <v>-54711.24</v>
      </c>
      <c r="W279" s="334">
        <f t="shared" si="121"/>
        <v>3707.0699999999997</v>
      </c>
      <c r="Y279" s="109">
        <f>IF(AE279=1,IF(Y278=MiscData!$F$1,EOMONTH(Y278,-11),EOMONTH(Y278,1)),Y278)</f>
        <v>42490</v>
      </c>
      <c r="Z279" s="108" t="str">
        <f t="shared" si="127"/>
        <v>20140101LGUM_456</v>
      </c>
      <c r="AA279" s="126" t="str">
        <f t="shared" si="128"/>
        <v xml:space="preserve">20140101LS </v>
      </c>
      <c r="AB279" s="583" t="str">
        <f t="shared" si="126"/>
        <v>456</v>
      </c>
      <c r="AD279" s="98">
        <f>MiscData!$X$5</f>
        <v>20140101</v>
      </c>
      <c r="AE279" s="98">
        <f>IF(AE278+1&gt;MiscData!$AC$77,1,AE278+1)</f>
        <v>57</v>
      </c>
      <c r="AF279" s="98" t="str">
        <f>VLOOKUP(AE279,MiscData!$AC$5:$AD$77,2,FALSE)</f>
        <v>LGUM_456</v>
      </c>
      <c r="AG279" s="98" t="str">
        <f>VLOOKUP(AF279,MiscData!$AD$5:$AE$77,2,FALSE)</f>
        <v xml:space="preserve">LS </v>
      </c>
      <c r="AP279" s="98" t="s">
        <v>150</v>
      </c>
      <c r="AR279" s="98">
        <v>0</v>
      </c>
    </row>
    <row r="280" spans="1:44">
      <c r="A280" s="108">
        <f t="shared" si="129"/>
        <v>277</v>
      </c>
      <c r="B280" s="109" t="str">
        <f t="shared" si="105"/>
        <v>Apr 2016</v>
      </c>
      <c r="C280" s="110" t="str">
        <f t="shared" si="106"/>
        <v xml:space="preserve">LS </v>
      </c>
      <c r="D280" s="110" t="str">
        <f t="shared" si="107"/>
        <v>LGUM_457</v>
      </c>
      <c r="E280" s="581">
        <f t="shared" si="108"/>
        <v>3291</v>
      </c>
      <c r="F280" s="581">
        <f t="shared" si="109"/>
        <v>0</v>
      </c>
      <c r="G280" s="116">
        <f t="shared" si="110"/>
        <v>10.86</v>
      </c>
      <c r="H280" s="116">
        <f t="shared" si="111"/>
        <v>1.0599999999999987</v>
      </c>
      <c r="I280" s="118">
        <f t="shared" si="122"/>
        <v>35740.26</v>
      </c>
      <c r="J280" s="118">
        <f t="shared" si="112"/>
        <v>35740.26</v>
      </c>
      <c r="K280" s="570">
        <f t="shared" si="123"/>
        <v>0</v>
      </c>
      <c r="L280" s="121">
        <f t="shared" si="113"/>
        <v>0</v>
      </c>
      <c r="M280" s="122">
        <f t="shared" si="114"/>
        <v>0</v>
      </c>
      <c r="N280" s="122">
        <f t="shared" si="115"/>
        <v>0</v>
      </c>
      <c r="O280" s="122">
        <f t="shared" si="116"/>
        <v>0</v>
      </c>
      <c r="P280" s="122">
        <f t="shared" si="117"/>
        <v>0</v>
      </c>
      <c r="Q280" s="123">
        <f t="shared" si="118"/>
        <v>35740.26</v>
      </c>
      <c r="R280" s="123">
        <f t="shared" si="124"/>
        <v>-35740.26</v>
      </c>
      <c r="S280" s="582">
        <v>0</v>
      </c>
      <c r="T280" s="123">
        <f t="shared" si="125"/>
        <v>-35740.26</v>
      </c>
      <c r="U280" s="25">
        <f t="shared" si="119"/>
        <v>3488.46</v>
      </c>
      <c r="V280" s="123">
        <f t="shared" si="120"/>
        <v>-3488.46</v>
      </c>
      <c r="W280" s="334">
        <f t="shared" si="121"/>
        <v>888.57</v>
      </c>
      <c r="Y280" s="109">
        <f>IF(AE280=1,IF(Y279=MiscData!$F$1,EOMONTH(Y279,-11),EOMONTH(Y279,1)),Y279)</f>
        <v>42490</v>
      </c>
      <c r="Z280" s="108" t="str">
        <f t="shared" si="127"/>
        <v>20140101LGUM_457</v>
      </c>
      <c r="AA280" s="126" t="str">
        <f t="shared" si="128"/>
        <v xml:space="preserve">20140101LS </v>
      </c>
      <c r="AB280" s="583" t="str">
        <f t="shared" si="126"/>
        <v>457</v>
      </c>
      <c r="AD280" s="98">
        <f>MiscData!$X$5</f>
        <v>20140101</v>
      </c>
      <c r="AE280" s="98">
        <f>IF(AE279+1&gt;MiscData!$AC$77,1,AE279+1)</f>
        <v>58</v>
      </c>
      <c r="AF280" s="98" t="str">
        <f>VLOOKUP(AE280,MiscData!$AC$5:$AD$77,2,FALSE)</f>
        <v>LGUM_457</v>
      </c>
      <c r="AG280" s="98" t="str">
        <f>VLOOKUP(AF280,MiscData!$AD$5:$AE$77,2,FALSE)</f>
        <v xml:space="preserve">LS </v>
      </c>
      <c r="AP280" s="98" t="s">
        <v>482</v>
      </c>
      <c r="AR280" s="98">
        <v>0</v>
      </c>
    </row>
    <row r="281" spans="1:44">
      <c r="A281" s="108">
        <f t="shared" si="129"/>
        <v>278</v>
      </c>
      <c r="B281" s="109" t="str">
        <f t="shared" si="105"/>
        <v>Apr 2016</v>
      </c>
      <c r="C281" s="110" t="str">
        <f t="shared" si="106"/>
        <v>RLS</v>
      </c>
      <c r="D281" s="110" t="str">
        <f t="shared" si="107"/>
        <v>LGUM_458</v>
      </c>
      <c r="E281" s="581">
        <f t="shared" si="108"/>
        <v>5</v>
      </c>
      <c r="F281" s="581">
        <f t="shared" si="109"/>
        <v>0</v>
      </c>
      <c r="G281" s="116">
        <f t="shared" si="110"/>
        <v>11.13</v>
      </c>
      <c r="H281" s="116">
        <f t="shared" si="111"/>
        <v>3.7700000000000014</v>
      </c>
      <c r="I281" s="118">
        <f t="shared" si="122"/>
        <v>55.65</v>
      </c>
      <c r="J281" s="118">
        <f t="shared" si="112"/>
        <v>55.65</v>
      </c>
      <c r="K281" s="570">
        <f t="shared" si="123"/>
        <v>0</v>
      </c>
      <c r="L281" s="121">
        <f t="shared" si="113"/>
        <v>0</v>
      </c>
      <c r="M281" s="122">
        <f t="shared" si="114"/>
        <v>0</v>
      </c>
      <c r="N281" s="122">
        <f t="shared" si="115"/>
        <v>0</v>
      </c>
      <c r="O281" s="122">
        <f t="shared" si="116"/>
        <v>0</v>
      </c>
      <c r="P281" s="122">
        <f t="shared" si="117"/>
        <v>0</v>
      </c>
      <c r="Q281" s="123">
        <f t="shared" si="118"/>
        <v>55.65</v>
      </c>
      <c r="R281" s="123">
        <f t="shared" si="124"/>
        <v>-55.65</v>
      </c>
      <c r="S281" s="582">
        <v>0</v>
      </c>
      <c r="T281" s="123">
        <f t="shared" si="125"/>
        <v>-55.65</v>
      </c>
      <c r="U281" s="25">
        <f t="shared" si="119"/>
        <v>18.850000000000001</v>
      </c>
      <c r="V281" s="123">
        <f t="shared" si="120"/>
        <v>-18.850000000000001</v>
      </c>
      <c r="W281" s="334">
        <f t="shared" si="121"/>
        <v>0.8</v>
      </c>
      <c r="Y281" s="109">
        <f>IF(AE281=1,IF(Y280=MiscData!$F$1,EOMONTH(Y280,-11),EOMONTH(Y280,1)),Y280)</f>
        <v>42490</v>
      </c>
      <c r="Z281" s="108" t="str">
        <f t="shared" si="127"/>
        <v>20140101LGUM_458</v>
      </c>
      <c r="AA281" s="126" t="str">
        <f t="shared" si="128"/>
        <v>20140101RLS</v>
      </c>
      <c r="AB281" s="583" t="str">
        <f t="shared" si="126"/>
        <v>458</v>
      </c>
      <c r="AD281" s="98">
        <f>MiscData!$X$5</f>
        <v>20140101</v>
      </c>
      <c r="AE281" s="98">
        <f>IF(AE280+1&gt;MiscData!$AC$77,1,AE280+1)</f>
        <v>59</v>
      </c>
      <c r="AF281" s="98" t="str">
        <f>VLOOKUP(AE281,MiscData!$AC$5:$AD$77,2,FALSE)</f>
        <v>LGUM_458</v>
      </c>
      <c r="AG281" s="98" t="str">
        <f>VLOOKUP(AF281,MiscData!$AD$5:$AE$77,2,FALSE)</f>
        <v>RLS</v>
      </c>
      <c r="AP281" s="98" t="s">
        <v>485</v>
      </c>
      <c r="AR281" s="98">
        <v>0</v>
      </c>
    </row>
    <row r="282" spans="1:44">
      <c r="A282" s="108">
        <f t="shared" si="129"/>
        <v>279</v>
      </c>
      <c r="B282" s="109" t="str">
        <f t="shared" si="105"/>
        <v>Apr 2016</v>
      </c>
      <c r="C282" s="110" t="str">
        <f t="shared" si="106"/>
        <v xml:space="preserve">LS </v>
      </c>
      <c r="D282" s="110" t="str">
        <f t="shared" si="107"/>
        <v>LGUM_470</v>
      </c>
      <c r="E282" s="581">
        <f t="shared" si="108"/>
        <v>22</v>
      </c>
      <c r="F282" s="581">
        <f t="shared" si="109"/>
        <v>0</v>
      </c>
      <c r="G282" s="116">
        <f t="shared" si="110"/>
        <v>12.79</v>
      </c>
      <c r="H282" s="116">
        <f t="shared" si="111"/>
        <v>1.3699999999999992</v>
      </c>
      <c r="I282" s="118">
        <f t="shared" si="122"/>
        <v>281.38</v>
      </c>
      <c r="J282" s="118">
        <f t="shared" si="112"/>
        <v>281.38</v>
      </c>
      <c r="K282" s="570">
        <f t="shared" si="123"/>
        <v>0</v>
      </c>
      <c r="L282" s="121">
        <f t="shared" si="113"/>
        <v>0</v>
      </c>
      <c r="M282" s="122">
        <f t="shared" si="114"/>
        <v>0</v>
      </c>
      <c r="N282" s="122">
        <f t="shared" si="115"/>
        <v>0</v>
      </c>
      <c r="O282" s="122">
        <f t="shared" si="116"/>
        <v>0</v>
      </c>
      <c r="P282" s="122">
        <f t="shared" si="117"/>
        <v>0</v>
      </c>
      <c r="Q282" s="123">
        <f t="shared" si="118"/>
        <v>281.38</v>
      </c>
      <c r="R282" s="123">
        <f t="shared" si="124"/>
        <v>-281.38</v>
      </c>
      <c r="S282" s="582">
        <v>0</v>
      </c>
      <c r="T282" s="123">
        <f t="shared" si="125"/>
        <v>-281.38</v>
      </c>
      <c r="U282" s="25">
        <f t="shared" si="119"/>
        <v>30.14</v>
      </c>
      <c r="V282" s="123">
        <f t="shared" si="120"/>
        <v>-30.14</v>
      </c>
      <c r="W282" s="334">
        <f t="shared" si="121"/>
        <v>5.94</v>
      </c>
      <c r="Y282" s="109">
        <f>IF(AE282=1,IF(Y281=MiscData!$F$1,EOMONTH(Y281,-11),EOMONTH(Y281,1)),Y281)</f>
        <v>42490</v>
      </c>
      <c r="Z282" s="108" t="str">
        <f t="shared" si="127"/>
        <v>20140101LGUM_470</v>
      </c>
      <c r="AA282" s="126" t="str">
        <f t="shared" si="128"/>
        <v xml:space="preserve">20140101LS </v>
      </c>
      <c r="AB282" s="583" t="str">
        <f t="shared" si="126"/>
        <v>470</v>
      </c>
      <c r="AD282" s="98">
        <f>MiscData!$X$5</f>
        <v>20140101</v>
      </c>
      <c r="AE282" s="98">
        <f>IF(AE281+1&gt;MiscData!$AC$77,1,AE281+1)</f>
        <v>60</v>
      </c>
      <c r="AF282" s="98" t="str">
        <f>VLOOKUP(AE282,MiscData!$AC$5:$AD$77,2,FALSE)</f>
        <v>LGUM_470</v>
      </c>
      <c r="AG282" s="98" t="str">
        <f>VLOOKUP(AF282,MiscData!$AD$5:$AE$77,2,FALSE)</f>
        <v xml:space="preserve">LS </v>
      </c>
      <c r="AP282" s="98" t="s">
        <v>151</v>
      </c>
      <c r="AR282" s="98">
        <v>0</v>
      </c>
    </row>
    <row r="283" spans="1:44">
      <c r="A283" s="108">
        <f t="shared" si="129"/>
        <v>280</v>
      </c>
      <c r="B283" s="109" t="str">
        <f t="shared" si="105"/>
        <v>Apr 2016</v>
      </c>
      <c r="C283" s="110" t="str">
        <f t="shared" si="106"/>
        <v>RLS</v>
      </c>
      <c r="D283" s="110" t="str">
        <f t="shared" si="107"/>
        <v>LGUM_471</v>
      </c>
      <c r="E283" s="581">
        <f t="shared" si="108"/>
        <v>2</v>
      </c>
      <c r="F283" s="581">
        <f t="shared" si="109"/>
        <v>0</v>
      </c>
      <c r="G283" s="116">
        <f t="shared" si="110"/>
        <v>15.07</v>
      </c>
      <c r="H283" s="116">
        <f t="shared" si="111"/>
        <v>1.3699999999999992</v>
      </c>
      <c r="I283" s="118">
        <f t="shared" si="122"/>
        <v>30.14</v>
      </c>
      <c r="J283" s="118">
        <f t="shared" si="112"/>
        <v>30.14</v>
      </c>
      <c r="K283" s="570">
        <f t="shared" si="123"/>
        <v>0</v>
      </c>
      <c r="L283" s="121">
        <f t="shared" si="113"/>
        <v>0</v>
      </c>
      <c r="M283" s="122">
        <f t="shared" si="114"/>
        <v>0</v>
      </c>
      <c r="N283" s="122">
        <f t="shared" si="115"/>
        <v>0</v>
      </c>
      <c r="O283" s="122">
        <f t="shared" si="116"/>
        <v>0</v>
      </c>
      <c r="P283" s="122">
        <f t="shared" si="117"/>
        <v>0</v>
      </c>
      <c r="Q283" s="123">
        <f t="shared" si="118"/>
        <v>30.14</v>
      </c>
      <c r="R283" s="123">
        <f t="shared" si="124"/>
        <v>-30.14</v>
      </c>
      <c r="S283" s="582">
        <v>0</v>
      </c>
      <c r="T283" s="123">
        <f t="shared" si="125"/>
        <v>-30.14</v>
      </c>
      <c r="U283" s="25">
        <f t="shared" si="119"/>
        <v>2.74</v>
      </c>
      <c r="V283" s="123">
        <f t="shared" si="120"/>
        <v>-2.74</v>
      </c>
      <c r="W283" s="334">
        <f t="shared" si="121"/>
        <v>0.54</v>
      </c>
      <c r="Y283" s="109">
        <f>IF(AE283=1,IF(Y282=MiscData!$F$1,EOMONTH(Y282,-11),EOMONTH(Y282,1)),Y282)</f>
        <v>42490</v>
      </c>
      <c r="Z283" s="108" t="str">
        <f t="shared" si="127"/>
        <v>20140101LGUM_471</v>
      </c>
      <c r="AA283" s="126" t="str">
        <f t="shared" si="128"/>
        <v>20140101RLS</v>
      </c>
      <c r="AB283" s="583" t="str">
        <f t="shared" si="126"/>
        <v>471</v>
      </c>
      <c r="AD283" s="98">
        <f>MiscData!$X$5</f>
        <v>20140101</v>
      </c>
      <c r="AE283" s="98">
        <f>IF(AE282+1&gt;MiscData!$AC$77,1,AE282+1)</f>
        <v>61</v>
      </c>
      <c r="AF283" s="98" t="str">
        <f>VLOOKUP(AE283,MiscData!$AC$5:$AD$77,2,FALSE)</f>
        <v>LGUM_471</v>
      </c>
      <c r="AG283" s="98" t="str">
        <f>VLOOKUP(AF283,MiscData!$AD$5:$AE$77,2,FALSE)</f>
        <v>RLS</v>
      </c>
      <c r="AP283" s="98" t="s">
        <v>152</v>
      </c>
      <c r="AR283" s="98">
        <v>-8.93</v>
      </c>
    </row>
    <row r="284" spans="1:44">
      <c r="A284" s="108">
        <f t="shared" si="129"/>
        <v>281</v>
      </c>
      <c r="B284" s="109" t="str">
        <f t="shared" si="105"/>
        <v>Apr 2016</v>
      </c>
      <c r="C284" s="110" t="str">
        <f t="shared" si="106"/>
        <v xml:space="preserve">LS </v>
      </c>
      <c r="D284" s="110" t="str">
        <f t="shared" si="107"/>
        <v>LGUM_473</v>
      </c>
      <c r="E284" s="581">
        <f t="shared" si="108"/>
        <v>500</v>
      </c>
      <c r="F284" s="581">
        <f t="shared" si="109"/>
        <v>0</v>
      </c>
      <c r="G284" s="116">
        <f t="shared" si="110"/>
        <v>18.68</v>
      </c>
      <c r="H284" s="116">
        <f t="shared" si="111"/>
        <v>3.1799999999999979</v>
      </c>
      <c r="I284" s="118">
        <f t="shared" si="122"/>
        <v>9340</v>
      </c>
      <c r="J284" s="118">
        <f t="shared" si="112"/>
        <v>9340</v>
      </c>
      <c r="K284" s="570">
        <f t="shared" si="123"/>
        <v>0</v>
      </c>
      <c r="L284" s="121">
        <f t="shared" si="113"/>
        <v>0</v>
      </c>
      <c r="M284" s="122">
        <f t="shared" si="114"/>
        <v>0</v>
      </c>
      <c r="N284" s="122">
        <f t="shared" si="115"/>
        <v>0</v>
      </c>
      <c r="O284" s="122">
        <f t="shared" si="116"/>
        <v>0</v>
      </c>
      <c r="P284" s="122">
        <f t="shared" si="117"/>
        <v>0</v>
      </c>
      <c r="Q284" s="123">
        <f t="shared" si="118"/>
        <v>9340</v>
      </c>
      <c r="R284" s="123">
        <f t="shared" si="124"/>
        <v>-9340</v>
      </c>
      <c r="S284" s="582">
        <v>0</v>
      </c>
      <c r="T284" s="123">
        <f t="shared" si="125"/>
        <v>-9340</v>
      </c>
      <c r="U284" s="25">
        <f t="shared" si="119"/>
        <v>1590</v>
      </c>
      <c r="V284" s="123">
        <f t="shared" si="120"/>
        <v>-1590</v>
      </c>
      <c r="W284" s="334">
        <f t="shared" si="121"/>
        <v>150</v>
      </c>
      <c r="Y284" s="109">
        <f>IF(AE284=1,IF(Y283=MiscData!$F$1,EOMONTH(Y283,-11),EOMONTH(Y283,1)),Y283)</f>
        <v>42490</v>
      </c>
      <c r="Z284" s="108" t="str">
        <f t="shared" si="127"/>
        <v>20140101LGUM_473</v>
      </c>
      <c r="AA284" s="126" t="str">
        <f t="shared" si="128"/>
        <v xml:space="preserve">20140101LS </v>
      </c>
      <c r="AB284" s="583" t="str">
        <f t="shared" si="126"/>
        <v>473</v>
      </c>
      <c r="AD284" s="98">
        <f>MiscData!$X$5</f>
        <v>20140101</v>
      </c>
      <c r="AE284" s="98">
        <f>IF(AE283+1&gt;MiscData!$AC$77,1,AE283+1)</f>
        <v>62</v>
      </c>
      <c r="AF284" s="98" t="str">
        <f>VLOOKUP(AE284,MiscData!$AC$5:$AD$77,2,FALSE)</f>
        <v>LGUM_473</v>
      </c>
      <c r="AG284" s="98" t="str">
        <f>VLOOKUP(AF284,MiscData!$AD$5:$AE$77,2,FALSE)</f>
        <v xml:space="preserve">LS </v>
      </c>
      <c r="AP284" s="98" t="s">
        <v>153</v>
      </c>
      <c r="AR284" s="98">
        <v>0</v>
      </c>
    </row>
    <row r="285" spans="1:44">
      <c r="A285" s="108">
        <f t="shared" si="129"/>
        <v>282</v>
      </c>
      <c r="B285" s="109" t="str">
        <f t="shared" si="105"/>
        <v>Apr 2016</v>
      </c>
      <c r="C285" s="110" t="str">
        <f t="shared" si="106"/>
        <v>RLS</v>
      </c>
      <c r="D285" s="110" t="str">
        <f t="shared" si="107"/>
        <v>LGUM_474</v>
      </c>
      <c r="E285" s="581">
        <f t="shared" si="108"/>
        <v>55</v>
      </c>
      <c r="F285" s="581">
        <f t="shared" si="109"/>
        <v>0</v>
      </c>
      <c r="G285" s="116">
        <f t="shared" si="110"/>
        <v>20.970000000000002</v>
      </c>
      <c r="H285" s="116">
        <f t="shared" si="111"/>
        <v>3.1799999999999997</v>
      </c>
      <c r="I285" s="118">
        <f t="shared" si="122"/>
        <v>1153.3499999999999</v>
      </c>
      <c r="J285" s="118">
        <f t="shared" si="112"/>
        <v>1153.3499999999999</v>
      </c>
      <c r="K285" s="570">
        <f t="shared" si="123"/>
        <v>0</v>
      </c>
      <c r="L285" s="121">
        <f t="shared" si="113"/>
        <v>0</v>
      </c>
      <c r="M285" s="122">
        <f t="shared" si="114"/>
        <v>0</v>
      </c>
      <c r="N285" s="122">
        <f t="shared" si="115"/>
        <v>0</v>
      </c>
      <c r="O285" s="122">
        <f t="shared" si="116"/>
        <v>0</v>
      </c>
      <c r="P285" s="122">
        <f t="shared" si="117"/>
        <v>0</v>
      </c>
      <c r="Q285" s="123">
        <f t="shared" si="118"/>
        <v>1153.3499999999999</v>
      </c>
      <c r="R285" s="123">
        <f t="shared" si="124"/>
        <v>-1153.3499999999999</v>
      </c>
      <c r="S285" s="582">
        <v>0</v>
      </c>
      <c r="T285" s="123">
        <f t="shared" si="125"/>
        <v>-1153.3499999999999</v>
      </c>
      <c r="U285" s="25">
        <f t="shared" si="119"/>
        <v>174.9</v>
      </c>
      <c r="V285" s="123">
        <f t="shared" si="120"/>
        <v>-174.9</v>
      </c>
      <c r="W285" s="334">
        <f t="shared" si="121"/>
        <v>16.5</v>
      </c>
      <c r="Y285" s="109">
        <f>IF(AE285=1,IF(Y284=MiscData!$F$1,EOMONTH(Y284,-11),EOMONTH(Y284,1)),Y284)</f>
        <v>42490</v>
      </c>
      <c r="Z285" s="108" t="str">
        <f t="shared" si="127"/>
        <v>20140101LGUM_474</v>
      </c>
      <c r="AA285" s="126" t="str">
        <f t="shared" si="128"/>
        <v>20140101RLS</v>
      </c>
      <c r="AB285" s="583" t="str">
        <f t="shared" si="126"/>
        <v>474</v>
      </c>
      <c r="AD285" s="98">
        <f>MiscData!$X$5</f>
        <v>20140101</v>
      </c>
      <c r="AE285" s="98">
        <f>IF(AE284+1&gt;MiscData!$AC$77,1,AE284+1)</f>
        <v>63</v>
      </c>
      <c r="AF285" s="98" t="str">
        <f>VLOOKUP(AE285,MiscData!$AC$5:$AD$77,2,FALSE)</f>
        <v>LGUM_474</v>
      </c>
      <c r="AG285" s="98" t="str">
        <f>VLOOKUP(AF285,MiscData!$AD$5:$AE$77,2,FALSE)</f>
        <v>RLS</v>
      </c>
      <c r="AP285" s="98" t="s">
        <v>154</v>
      </c>
      <c r="AR285" s="98">
        <v>-52.15</v>
      </c>
    </row>
    <row r="286" spans="1:44">
      <c r="A286" s="108">
        <f t="shared" si="129"/>
        <v>283</v>
      </c>
      <c r="B286" s="109" t="str">
        <f t="shared" ref="B286:B291" si="130">TEXT(Y286,"mmm yyyy")</f>
        <v>Apr 2016</v>
      </c>
      <c r="C286" s="110" t="str">
        <f t="shared" ref="C286:C291" si="131">AG286</f>
        <v>RLS</v>
      </c>
      <c r="D286" s="110" t="str">
        <f t="shared" ref="D286:D291" si="132">AF286</f>
        <v>LGUM_475</v>
      </c>
      <c r="E286" s="581">
        <f t="shared" si="108"/>
        <v>2</v>
      </c>
      <c r="F286" s="581">
        <f t="shared" si="109"/>
        <v>0</v>
      </c>
      <c r="G286" s="116">
        <f t="shared" si="110"/>
        <v>28.42</v>
      </c>
      <c r="H286" s="116">
        <f t="shared" si="111"/>
        <v>3.1800000000000033</v>
      </c>
      <c r="I286" s="118">
        <f t="shared" si="122"/>
        <v>56.84</v>
      </c>
      <c r="J286" s="118">
        <f t="shared" si="112"/>
        <v>56.84</v>
      </c>
      <c r="K286" s="570">
        <f t="shared" si="123"/>
        <v>0</v>
      </c>
      <c r="L286" s="121">
        <f t="shared" si="113"/>
        <v>0</v>
      </c>
      <c r="M286" s="122">
        <f t="shared" si="114"/>
        <v>0</v>
      </c>
      <c r="N286" s="122">
        <f t="shared" si="115"/>
        <v>0</v>
      </c>
      <c r="O286" s="122">
        <f t="shared" si="116"/>
        <v>0</v>
      </c>
      <c r="P286" s="122">
        <f t="shared" si="117"/>
        <v>0</v>
      </c>
      <c r="Q286" s="123">
        <f t="shared" si="118"/>
        <v>56.84</v>
      </c>
      <c r="R286" s="123">
        <f t="shared" si="124"/>
        <v>-56.84</v>
      </c>
      <c r="S286" s="582">
        <v>0</v>
      </c>
      <c r="T286" s="123">
        <f t="shared" si="125"/>
        <v>-56.84</v>
      </c>
      <c r="U286" s="25">
        <f t="shared" si="119"/>
        <v>6.36</v>
      </c>
      <c r="V286" s="123">
        <f t="shared" si="120"/>
        <v>-6.36</v>
      </c>
      <c r="W286" s="334">
        <f t="shared" si="121"/>
        <v>0.6</v>
      </c>
      <c r="Y286" s="109">
        <f>IF(AE286=1,IF(Y285=MiscData!$F$1,EOMONTH(Y285,-11),EOMONTH(Y285,1)),Y285)</f>
        <v>42490</v>
      </c>
      <c r="Z286" s="108" t="str">
        <f t="shared" si="127"/>
        <v>20140101LGUM_475</v>
      </c>
      <c r="AA286" s="126" t="str">
        <f t="shared" si="128"/>
        <v>20140101RLS</v>
      </c>
      <c r="AB286" s="583" t="str">
        <f t="shared" si="126"/>
        <v>475</v>
      </c>
      <c r="AD286" s="98">
        <f>MiscData!$X$5</f>
        <v>20140101</v>
      </c>
      <c r="AE286" s="98">
        <f>IF(AE285+1&gt;MiscData!$AC$77,1,AE285+1)</f>
        <v>64</v>
      </c>
      <c r="AF286" s="98" t="str">
        <f>VLOOKUP(AE286,MiscData!$AC$5:$AD$77,2,FALSE)</f>
        <v>LGUM_475</v>
      </c>
      <c r="AG286" s="98" t="str">
        <f>VLOOKUP(AF286,MiscData!$AD$5:$AE$77,2,FALSE)</f>
        <v>RLS</v>
      </c>
      <c r="AP286" s="98" t="s">
        <v>495</v>
      </c>
      <c r="AR286" s="98">
        <v>0</v>
      </c>
    </row>
    <row r="287" spans="1:44">
      <c r="A287" s="108">
        <f t="shared" si="129"/>
        <v>284</v>
      </c>
      <c r="B287" s="109" t="str">
        <f t="shared" si="130"/>
        <v>Apr 2016</v>
      </c>
      <c r="C287" s="110" t="str">
        <f t="shared" si="131"/>
        <v xml:space="preserve">LS </v>
      </c>
      <c r="D287" s="110" t="str">
        <f t="shared" si="132"/>
        <v>LGUM_476</v>
      </c>
      <c r="E287" s="581">
        <f t="shared" si="108"/>
        <v>383</v>
      </c>
      <c r="F287" s="581">
        <f t="shared" si="109"/>
        <v>0</v>
      </c>
      <c r="G287" s="116">
        <f t="shared" si="110"/>
        <v>39.6</v>
      </c>
      <c r="H287" s="116">
        <f t="shared" si="111"/>
        <v>9.8100000000000023</v>
      </c>
      <c r="I287" s="118">
        <f t="shared" si="122"/>
        <v>15166.8</v>
      </c>
      <c r="J287" s="118">
        <f t="shared" si="112"/>
        <v>15166.8</v>
      </c>
      <c r="K287" s="570">
        <f t="shared" si="123"/>
        <v>0</v>
      </c>
      <c r="L287" s="121">
        <f t="shared" si="113"/>
        <v>0</v>
      </c>
      <c r="M287" s="122">
        <f t="shared" si="114"/>
        <v>0</v>
      </c>
      <c r="N287" s="122">
        <f t="shared" si="115"/>
        <v>0</v>
      </c>
      <c r="O287" s="122">
        <f t="shared" si="116"/>
        <v>0</v>
      </c>
      <c r="P287" s="122">
        <f t="shared" si="117"/>
        <v>0</v>
      </c>
      <c r="Q287" s="123">
        <f t="shared" si="118"/>
        <v>15166.8</v>
      </c>
      <c r="R287" s="123">
        <f t="shared" si="124"/>
        <v>-15166.8</v>
      </c>
      <c r="S287" s="582">
        <v>0</v>
      </c>
      <c r="T287" s="123">
        <f t="shared" si="125"/>
        <v>-15166.8</v>
      </c>
      <c r="U287" s="25">
        <f t="shared" si="119"/>
        <v>3757.23</v>
      </c>
      <c r="V287" s="123">
        <f t="shared" si="120"/>
        <v>-3757.23</v>
      </c>
      <c r="W287" s="334">
        <f t="shared" si="121"/>
        <v>233.63</v>
      </c>
      <c r="Y287" s="109">
        <f>IF(AE287=1,IF(Y286=MiscData!$F$1,EOMONTH(Y286,-11),EOMONTH(Y286,1)),Y286)</f>
        <v>42490</v>
      </c>
      <c r="Z287" s="108" t="str">
        <f t="shared" si="127"/>
        <v>20140101LGUM_476</v>
      </c>
      <c r="AA287" s="126" t="str">
        <f t="shared" si="128"/>
        <v xml:space="preserve">20140101LS </v>
      </c>
      <c r="AB287" s="583" t="str">
        <f t="shared" si="126"/>
        <v>476</v>
      </c>
      <c r="AD287" s="98">
        <f>MiscData!$X$5</f>
        <v>20140101</v>
      </c>
      <c r="AE287" s="98">
        <f>IF(AE286+1&gt;MiscData!$AC$77,1,AE286+1)</f>
        <v>65</v>
      </c>
      <c r="AF287" s="98" t="str">
        <f>VLOOKUP(AE287,MiscData!$AC$5:$AD$77,2,FALSE)</f>
        <v>LGUM_476</v>
      </c>
      <c r="AG287" s="98" t="str">
        <f>VLOOKUP(AF287,MiscData!$AD$5:$AE$77,2,FALSE)</f>
        <v xml:space="preserve">LS </v>
      </c>
      <c r="AP287" s="98" t="s">
        <v>155</v>
      </c>
      <c r="AR287" s="98">
        <v>-7.55</v>
      </c>
    </row>
    <row r="288" spans="1:44">
      <c r="A288" s="108">
        <f t="shared" si="129"/>
        <v>285</v>
      </c>
      <c r="B288" s="109" t="str">
        <f t="shared" si="130"/>
        <v>Apr 2016</v>
      </c>
      <c r="C288" s="110" t="str">
        <f t="shared" si="131"/>
        <v>RLS</v>
      </c>
      <c r="D288" s="110" t="str">
        <f t="shared" si="132"/>
        <v>LGUM_477</v>
      </c>
      <c r="E288" s="581">
        <f t="shared" si="108"/>
        <v>58</v>
      </c>
      <c r="F288" s="581">
        <f t="shared" si="109"/>
        <v>0</v>
      </c>
      <c r="G288" s="116">
        <f t="shared" si="110"/>
        <v>42.78</v>
      </c>
      <c r="H288" s="116">
        <f t="shared" si="111"/>
        <v>9.8100000000000023</v>
      </c>
      <c r="I288" s="118">
        <f t="shared" si="122"/>
        <v>2481.2399999999998</v>
      </c>
      <c r="J288" s="118">
        <f t="shared" si="112"/>
        <v>2481.2399999999998</v>
      </c>
      <c r="K288" s="570">
        <f t="shared" si="123"/>
        <v>0</v>
      </c>
      <c r="L288" s="121">
        <f t="shared" si="113"/>
        <v>0</v>
      </c>
      <c r="M288" s="122">
        <f t="shared" si="114"/>
        <v>0</v>
      </c>
      <c r="N288" s="122">
        <f t="shared" si="115"/>
        <v>0</v>
      </c>
      <c r="O288" s="122">
        <f t="shared" si="116"/>
        <v>0</v>
      </c>
      <c r="P288" s="122">
        <f t="shared" si="117"/>
        <v>0</v>
      </c>
      <c r="Q288" s="123">
        <f t="shared" si="118"/>
        <v>2481.2399999999998</v>
      </c>
      <c r="R288" s="123">
        <f t="shared" si="124"/>
        <v>-2481.2399999999998</v>
      </c>
      <c r="S288" s="582">
        <v>0</v>
      </c>
      <c r="T288" s="123">
        <f t="shared" si="125"/>
        <v>-2481.2399999999998</v>
      </c>
      <c r="U288" s="25">
        <f t="shared" si="119"/>
        <v>568.98</v>
      </c>
      <c r="V288" s="123">
        <f t="shared" si="120"/>
        <v>-568.98</v>
      </c>
      <c r="W288" s="334">
        <f t="shared" si="121"/>
        <v>35.380000000000003</v>
      </c>
      <c r="Y288" s="109">
        <f>IF(AE288=1,IF(Y287=MiscData!$F$1,EOMONTH(Y287,-11),EOMONTH(Y287,1)),Y287)</f>
        <v>42490</v>
      </c>
      <c r="Z288" s="108" t="str">
        <f t="shared" si="127"/>
        <v>20140101LGUM_477</v>
      </c>
      <c r="AA288" s="126" t="str">
        <f t="shared" si="128"/>
        <v>20140101RLS</v>
      </c>
      <c r="AB288" s="583" t="str">
        <f t="shared" si="126"/>
        <v>477</v>
      </c>
      <c r="AD288" s="98">
        <f>MiscData!$X$5</f>
        <v>20140101</v>
      </c>
      <c r="AE288" s="98">
        <f>IF(AE287+1&gt;MiscData!$AC$77,1,AE287+1)</f>
        <v>66</v>
      </c>
      <c r="AF288" s="98" t="str">
        <f>VLOOKUP(AE288,MiscData!$AC$5:$AD$77,2,FALSE)</f>
        <v>LGUM_477</v>
      </c>
      <c r="AG288" s="98" t="str">
        <f>VLOOKUP(AF288,MiscData!$AD$5:$AE$77,2,FALSE)</f>
        <v>RLS</v>
      </c>
      <c r="AP288" s="98" t="s">
        <v>156</v>
      </c>
      <c r="AR288" s="98">
        <v>0</v>
      </c>
    </row>
    <row r="289" spans="1:44">
      <c r="A289" s="108">
        <f t="shared" si="129"/>
        <v>286</v>
      </c>
      <c r="B289" s="109" t="str">
        <f t="shared" si="130"/>
        <v>Apr 2016</v>
      </c>
      <c r="C289" s="110" t="str">
        <f t="shared" si="131"/>
        <v xml:space="preserve">LS </v>
      </c>
      <c r="D289" s="110" t="str">
        <f t="shared" si="132"/>
        <v>LGUM_479</v>
      </c>
      <c r="E289" s="581">
        <f t="shared" si="108"/>
        <v>0</v>
      </c>
      <c r="F289" s="581">
        <f t="shared" si="109"/>
        <v>0</v>
      </c>
      <c r="G289" s="116">
        <f t="shared" si="110"/>
        <v>14.06</v>
      </c>
      <c r="H289" s="116">
        <f t="shared" si="111"/>
        <v>1.370000000000001</v>
      </c>
      <c r="I289" s="118">
        <f t="shared" si="122"/>
        <v>0</v>
      </c>
      <c r="J289" s="118">
        <f t="shared" si="112"/>
        <v>0</v>
      </c>
      <c r="K289" s="570">
        <f t="shared" si="123"/>
        <v>0</v>
      </c>
      <c r="L289" s="121">
        <f t="shared" si="113"/>
        <v>1</v>
      </c>
      <c r="M289" s="122">
        <f t="shared" si="114"/>
        <v>0</v>
      </c>
      <c r="N289" s="122">
        <f t="shared" si="115"/>
        <v>0</v>
      </c>
      <c r="O289" s="122">
        <f t="shared" si="116"/>
        <v>0</v>
      </c>
      <c r="P289" s="122">
        <f t="shared" si="117"/>
        <v>0</v>
      </c>
      <c r="Q289" s="123">
        <f t="shared" si="118"/>
        <v>0</v>
      </c>
      <c r="R289" s="123">
        <f t="shared" si="124"/>
        <v>0</v>
      </c>
      <c r="S289" s="582">
        <v>0</v>
      </c>
      <c r="T289" s="123">
        <f t="shared" si="125"/>
        <v>0</v>
      </c>
      <c r="U289" s="25">
        <f t="shared" si="119"/>
        <v>0</v>
      </c>
      <c r="V289" s="123">
        <f t="shared" si="120"/>
        <v>0</v>
      </c>
      <c r="W289" s="334">
        <f t="shared" si="121"/>
        <v>0</v>
      </c>
      <c r="Y289" s="109">
        <f>IF(AE289=1,IF(Y288=MiscData!$F$1,EOMONTH(Y288,-11),EOMONTH(Y288,1)),Y288)</f>
        <v>42490</v>
      </c>
      <c r="Z289" s="108" t="str">
        <f t="shared" si="127"/>
        <v>20140101LGUM_479</v>
      </c>
      <c r="AA289" s="126" t="str">
        <f t="shared" si="128"/>
        <v xml:space="preserve">20140101LS </v>
      </c>
      <c r="AB289" s="583" t="str">
        <f t="shared" si="126"/>
        <v>479</v>
      </c>
      <c r="AD289" s="98">
        <f>MiscData!$X$5</f>
        <v>20140101</v>
      </c>
      <c r="AE289" s="98">
        <f>IF(AE288+1&gt;MiscData!$AC$77,1,AE288+1)</f>
        <v>67</v>
      </c>
      <c r="AF289" s="98" t="str">
        <f>VLOOKUP(AE289,MiscData!$AC$5:$AD$77,2,FALSE)</f>
        <v>LGUM_479</v>
      </c>
      <c r="AG289" s="98" t="str">
        <f>VLOOKUP(AF289,MiscData!$AD$5:$AE$77,2,FALSE)</f>
        <v xml:space="preserve">LS </v>
      </c>
      <c r="AP289" s="98" t="s">
        <v>361</v>
      </c>
      <c r="AR289" s="98">
        <v>0</v>
      </c>
    </row>
    <row r="290" spans="1:44">
      <c r="A290" s="108">
        <f t="shared" si="129"/>
        <v>287</v>
      </c>
      <c r="B290" s="109" t="str">
        <f t="shared" si="130"/>
        <v>Apr 2016</v>
      </c>
      <c r="C290" s="110" t="str">
        <f t="shared" si="131"/>
        <v xml:space="preserve">LS </v>
      </c>
      <c r="D290" s="110" t="str">
        <f t="shared" si="132"/>
        <v>LGUM_480</v>
      </c>
      <c r="E290" s="581">
        <f t="shared" si="108"/>
        <v>18</v>
      </c>
      <c r="F290" s="581">
        <f t="shared" si="109"/>
        <v>0</v>
      </c>
      <c r="G290" s="116">
        <f t="shared" si="110"/>
        <v>23.83</v>
      </c>
      <c r="H290" s="116">
        <f t="shared" si="111"/>
        <v>1.370000000000001</v>
      </c>
      <c r="I290" s="118">
        <f t="shared" si="122"/>
        <v>428.94</v>
      </c>
      <c r="J290" s="118">
        <f t="shared" si="112"/>
        <v>428.94</v>
      </c>
      <c r="K290" s="570">
        <f t="shared" si="123"/>
        <v>0</v>
      </c>
      <c r="L290" s="121">
        <f t="shared" si="113"/>
        <v>0</v>
      </c>
      <c r="M290" s="122">
        <f t="shared" si="114"/>
        <v>0</v>
      </c>
      <c r="N290" s="122">
        <f t="shared" si="115"/>
        <v>0</v>
      </c>
      <c r="O290" s="122">
        <f t="shared" si="116"/>
        <v>0</v>
      </c>
      <c r="P290" s="122">
        <f t="shared" si="117"/>
        <v>0</v>
      </c>
      <c r="Q290" s="123">
        <f t="shared" si="118"/>
        <v>428.94</v>
      </c>
      <c r="R290" s="123">
        <f t="shared" si="124"/>
        <v>-428.94</v>
      </c>
      <c r="S290" s="582">
        <v>0</v>
      </c>
      <c r="T290" s="123">
        <f t="shared" si="125"/>
        <v>-428.94</v>
      </c>
      <c r="U290" s="25">
        <f t="shared" si="119"/>
        <v>24.66</v>
      </c>
      <c r="V290" s="123">
        <f t="shared" si="120"/>
        <v>-24.66</v>
      </c>
      <c r="W290" s="334">
        <f t="shared" si="121"/>
        <v>4.8600000000000003</v>
      </c>
      <c r="Y290" s="109">
        <f>IF(AE290=1,IF(Y289=MiscData!$F$1,EOMONTH(Y289,-11),EOMONTH(Y289,1)),Y289)</f>
        <v>42490</v>
      </c>
      <c r="Z290" s="108" t="str">
        <f t="shared" si="127"/>
        <v>20140101LGUM_480</v>
      </c>
      <c r="AA290" s="126" t="str">
        <f t="shared" si="128"/>
        <v xml:space="preserve">20140101LS </v>
      </c>
      <c r="AB290" s="583" t="str">
        <f t="shared" si="126"/>
        <v>480</v>
      </c>
      <c r="AD290" s="98">
        <f>MiscData!$X$5</f>
        <v>20140101</v>
      </c>
      <c r="AE290" s="98">
        <f>IF(AE289+1&gt;MiscData!$AC$77,1,AE289+1)</f>
        <v>68</v>
      </c>
      <c r="AF290" s="98" t="str">
        <f>VLOOKUP(AE290,MiscData!$AC$5:$AD$77,2,FALSE)</f>
        <v>LGUM_480</v>
      </c>
      <c r="AG290" s="98" t="str">
        <f>VLOOKUP(AF290,MiscData!$AD$5:$AE$77,2,FALSE)</f>
        <v xml:space="preserve">LS </v>
      </c>
      <c r="AP290" s="98" t="s">
        <v>502</v>
      </c>
      <c r="AR290" s="98">
        <v>0</v>
      </c>
    </row>
    <row r="291" spans="1:44" ht="12.75" thickBot="1">
      <c r="A291" s="584">
        <f t="shared" si="129"/>
        <v>288</v>
      </c>
      <c r="B291" s="585" t="str">
        <f t="shared" si="130"/>
        <v>Apr 2016</v>
      </c>
      <c r="C291" s="586" t="str">
        <f t="shared" si="131"/>
        <v xml:space="preserve">LS </v>
      </c>
      <c r="D291" s="586" t="str">
        <f t="shared" si="132"/>
        <v>LGUM_481</v>
      </c>
      <c r="E291" s="587">
        <f t="shared" si="108"/>
        <v>4</v>
      </c>
      <c r="F291" s="581">
        <f t="shared" si="109"/>
        <v>0</v>
      </c>
      <c r="G291" s="588">
        <f t="shared" si="110"/>
        <v>20.46</v>
      </c>
      <c r="H291" s="588">
        <f t="shared" si="111"/>
        <v>3.1800000000000033</v>
      </c>
      <c r="I291" s="118">
        <f t="shared" si="122"/>
        <v>81.84</v>
      </c>
      <c r="J291" s="589">
        <f t="shared" si="112"/>
        <v>81.84</v>
      </c>
      <c r="K291" s="570">
        <f t="shared" si="123"/>
        <v>0</v>
      </c>
      <c r="L291" s="590">
        <f t="shared" si="113"/>
        <v>0</v>
      </c>
      <c r="M291" s="591">
        <f t="shared" si="114"/>
        <v>0</v>
      </c>
      <c r="N291" s="591">
        <f t="shared" si="115"/>
        <v>0</v>
      </c>
      <c r="O291" s="591">
        <f t="shared" si="116"/>
        <v>0</v>
      </c>
      <c r="P291" s="591">
        <f t="shared" si="117"/>
        <v>0</v>
      </c>
      <c r="Q291" s="592">
        <f t="shared" si="118"/>
        <v>81.84</v>
      </c>
      <c r="R291" s="592">
        <f t="shared" si="124"/>
        <v>-81.84</v>
      </c>
      <c r="S291" s="582">
        <v>0</v>
      </c>
      <c r="T291" s="592">
        <f t="shared" si="125"/>
        <v>-81.84</v>
      </c>
      <c r="U291" s="593">
        <f t="shared" si="119"/>
        <v>12.72</v>
      </c>
      <c r="V291" s="592">
        <f t="shared" si="120"/>
        <v>-12.72</v>
      </c>
      <c r="W291" s="334">
        <f t="shared" si="121"/>
        <v>1.2</v>
      </c>
      <c r="X291" s="594"/>
      <c r="Y291" s="585">
        <f>IF(AE291=1,IF(Y290=MiscData!$F$1,EOMONTH(Y290,-11),EOMONTH(Y290,1)),Y290)</f>
        <v>42490</v>
      </c>
      <c r="Z291" s="584" t="str">
        <f t="shared" si="127"/>
        <v>20140101LGUM_481</v>
      </c>
      <c r="AA291" s="595" t="str">
        <f t="shared" si="128"/>
        <v xml:space="preserve">20140101LS </v>
      </c>
      <c r="AB291" s="596" t="str">
        <f t="shared" si="126"/>
        <v>481</v>
      </c>
      <c r="AC291" s="594"/>
      <c r="AD291" s="98">
        <f>MiscData!$X$5</f>
        <v>20140101</v>
      </c>
      <c r="AE291" s="594">
        <f>IF(AE290+1&gt;MiscData!$AC$77,1,AE290+1)</f>
        <v>69</v>
      </c>
      <c r="AF291" s="594" t="str">
        <f>VLOOKUP(AE291,MiscData!$AC$5:$AD$77,2,FALSE)</f>
        <v>LGUM_481</v>
      </c>
      <c r="AG291" s="594" t="str">
        <f>VLOOKUP(AF291,MiscData!$AD$5:$AE$77,2,FALSE)</f>
        <v xml:space="preserve">LS </v>
      </c>
      <c r="AP291" s="98" t="s">
        <v>157</v>
      </c>
      <c r="AR291" s="98">
        <v>-6.39</v>
      </c>
    </row>
    <row r="292" spans="1:44">
      <c r="A292" s="108">
        <f t="shared" si="129"/>
        <v>289</v>
      </c>
      <c r="B292" s="109" t="str">
        <f t="shared" ref="B292:B355" si="133">TEXT(Y292,"mmm yyyy")</f>
        <v>Apr 2016</v>
      </c>
      <c r="C292" s="110" t="str">
        <f t="shared" ref="C292:C355" si="134">AG292</f>
        <v xml:space="preserve">LS </v>
      </c>
      <c r="D292" s="110" t="str">
        <f t="shared" ref="D292:D355" si="135">AF292</f>
        <v>LGUM_482</v>
      </c>
      <c r="E292" s="581">
        <f t="shared" si="108"/>
        <v>40</v>
      </c>
      <c r="F292" s="581">
        <f t="shared" si="109"/>
        <v>0</v>
      </c>
      <c r="G292" s="116">
        <f t="shared" si="110"/>
        <v>30.21</v>
      </c>
      <c r="H292" s="116">
        <f t="shared" si="111"/>
        <v>3.1800000000000033</v>
      </c>
      <c r="I292" s="118">
        <f t="shared" si="122"/>
        <v>1208.4000000000001</v>
      </c>
      <c r="J292" s="118">
        <f t="shared" si="112"/>
        <v>1208.4000000000001</v>
      </c>
      <c r="K292" s="570">
        <f t="shared" si="123"/>
        <v>0</v>
      </c>
      <c r="L292" s="121">
        <f t="shared" si="113"/>
        <v>0</v>
      </c>
      <c r="M292" s="122">
        <f t="shared" si="114"/>
        <v>0</v>
      </c>
      <c r="N292" s="122">
        <f t="shared" si="115"/>
        <v>0</v>
      </c>
      <c r="O292" s="122">
        <f t="shared" si="116"/>
        <v>0</v>
      </c>
      <c r="P292" s="122">
        <f t="shared" si="117"/>
        <v>0</v>
      </c>
      <c r="Q292" s="123">
        <f t="shared" si="118"/>
        <v>1208.4000000000001</v>
      </c>
      <c r="R292" s="123">
        <f t="shared" si="124"/>
        <v>-1208.4000000000001</v>
      </c>
      <c r="S292" s="582">
        <v>0</v>
      </c>
      <c r="T292" s="123">
        <f t="shared" si="125"/>
        <v>-1208.4000000000001</v>
      </c>
      <c r="U292" s="25">
        <f t="shared" si="119"/>
        <v>127.2</v>
      </c>
      <c r="V292" s="123">
        <f t="shared" si="120"/>
        <v>-127.2</v>
      </c>
      <c r="W292" s="334">
        <f t="shared" si="121"/>
        <v>12</v>
      </c>
      <c r="Y292" s="109">
        <f>IF(AE292=1,IF(Y291=MiscData!$F$1,EOMONTH(Y291,-11),EOMONTH(Y291,1)),Y291)</f>
        <v>42490</v>
      </c>
      <c r="Z292" s="108" t="str">
        <f t="shared" ref="Z292:Z355" si="136">CONCATENATE(AD292&amp;AF292)</f>
        <v>20140101LGUM_482</v>
      </c>
      <c r="AA292" s="126" t="str">
        <f t="shared" ref="AA292:AA355" si="137">CONCATENATE(AD292&amp;AG292)</f>
        <v xml:space="preserve">20140101LS </v>
      </c>
      <c r="AB292" s="583" t="str">
        <f t="shared" si="126"/>
        <v>482</v>
      </c>
      <c r="AD292" s="98">
        <f>MiscData!$X$5</f>
        <v>20140101</v>
      </c>
      <c r="AE292" s="98">
        <f>IF(AE291+1&gt;MiscData!$AC$77,1,AE291+1)</f>
        <v>70</v>
      </c>
      <c r="AF292" s="98" t="str">
        <f>VLOOKUP(AE292,MiscData!$AC$5:$AD$77,2,FALSE)</f>
        <v>LGUM_482</v>
      </c>
      <c r="AG292" s="98" t="str">
        <f>VLOOKUP(AF292,MiscData!$AD$5:$AE$77,2,FALSE)</f>
        <v xml:space="preserve">LS </v>
      </c>
      <c r="AP292" s="98" t="s">
        <v>158</v>
      </c>
      <c r="AR292" s="98">
        <v>0</v>
      </c>
    </row>
    <row r="293" spans="1:44">
      <c r="A293" s="108">
        <f t="shared" si="129"/>
        <v>290</v>
      </c>
      <c r="B293" s="109" t="str">
        <f t="shared" si="133"/>
        <v>Apr 2016</v>
      </c>
      <c r="C293" s="110" t="str">
        <f t="shared" si="134"/>
        <v xml:space="preserve">LS </v>
      </c>
      <c r="D293" s="110" t="str">
        <f t="shared" si="135"/>
        <v>LGUM_483</v>
      </c>
      <c r="E293" s="581">
        <f t="shared" si="108"/>
        <v>2</v>
      </c>
      <c r="F293" s="581">
        <f t="shared" si="109"/>
        <v>0</v>
      </c>
      <c r="G293" s="116">
        <f t="shared" si="110"/>
        <v>42.56</v>
      </c>
      <c r="H293" s="116">
        <f t="shared" si="111"/>
        <v>9.8100000000000023</v>
      </c>
      <c r="I293" s="118">
        <f t="shared" si="122"/>
        <v>85.12</v>
      </c>
      <c r="J293" s="118">
        <f t="shared" si="112"/>
        <v>85.12</v>
      </c>
      <c r="K293" s="570">
        <f t="shared" si="123"/>
        <v>0</v>
      </c>
      <c r="L293" s="121">
        <f t="shared" si="113"/>
        <v>0</v>
      </c>
      <c r="M293" s="122">
        <f t="shared" si="114"/>
        <v>0</v>
      </c>
      <c r="N293" s="122">
        <f t="shared" si="115"/>
        <v>0</v>
      </c>
      <c r="O293" s="122">
        <f t="shared" si="116"/>
        <v>0</v>
      </c>
      <c r="P293" s="122">
        <f t="shared" si="117"/>
        <v>0</v>
      </c>
      <c r="Q293" s="123">
        <f t="shared" si="118"/>
        <v>85.12</v>
      </c>
      <c r="R293" s="123">
        <f t="shared" si="124"/>
        <v>-85.12</v>
      </c>
      <c r="S293" s="582">
        <v>0</v>
      </c>
      <c r="T293" s="123">
        <f t="shared" si="125"/>
        <v>-85.12</v>
      </c>
      <c r="U293" s="25">
        <f t="shared" si="119"/>
        <v>19.62</v>
      </c>
      <c r="V293" s="123">
        <f t="shared" si="120"/>
        <v>-19.62</v>
      </c>
      <c r="W293" s="334">
        <f t="shared" si="121"/>
        <v>1.22</v>
      </c>
      <c r="Y293" s="109">
        <f>IF(AE293=1,IF(Y292=MiscData!$F$1,EOMONTH(Y292,-11),EOMONTH(Y292,1)),Y292)</f>
        <v>42490</v>
      </c>
      <c r="Z293" s="108" t="str">
        <f t="shared" si="136"/>
        <v>20140101LGUM_483</v>
      </c>
      <c r="AA293" s="126" t="str">
        <f t="shared" si="137"/>
        <v xml:space="preserve">20140101LS </v>
      </c>
      <c r="AB293" s="583" t="str">
        <f t="shared" si="126"/>
        <v>483</v>
      </c>
      <c r="AD293" s="98">
        <f>MiscData!$X$5</f>
        <v>20140101</v>
      </c>
      <c r="AE293" s="98">
        <f>IF(AE292+1&gt;MiscData!$AC$77,1,AE292+1)</f>
        <v>71</v>
      </c>
      <c r="AF293" s="98" t="str">
        <f>VLOOKUP(AE293,MiscData!$AC$5:$AD$77,2,FALSE)</f>
        <v>LGUM_483</v>
      </c>
      <c r="AG293" s="98" t="str">
        <f>VLOOKUP(AF293,MiscData!$AD$5:$AE$77,2,FALSE)</f>
        <v xml:space="preserve">LS </v>
      </c>
      <c r="AP293" s="98" t="s">
        <v>159</v>
      </c>
      <c r="AR293" s="98">
        <v>0</v>
      </c>
    </row>
    <row r="294" spans="1:44">
      <c r="A294" s="108">
        <f t="shared" si="129"/>
        <v>291</v>
      </c>
      <c r="B294" s="109" t="str">
        <f t="shared" si="133"/>
        <v>Apr 2016</v>
      </c>
      <c r="C294" s="110" t="str">
        <f t="shared" si="134"/>
        <v xml:space="preserve">LS </v>
      </c>
      <c r="D294" s="110" t="str">
        <f t="shared" si="135"/>
        <v>LGUM_484</v>
      </c>
      <c r="E294" s="581">
        <f t="shared" si="108"/>
        <v>13</v>
      </c>
      <c r="F294" s="581">
        <f t="shared" si="109"/>
        <v>0</v>
      </c>
      <c r="G294" s="116">
        <f t="shared" si="110"/>
        <v>52.31</v>
      </c>
      <c r="H294" s="116">
        <f t="shared" si="111"/>
        <v>9.8100000000000023</v>
      </c>
      <c r="I294" s="118">
        <f t="shared" si="122"/>
        <v>680.03</v>
      </c>
      <c r="J294" s="118">
        <f t="shared" si="112"/>
        <v>680.03</v>
      </c>
      <c r="K294" s="570">
        <f t="shared" si="123"/>
        <v>0</v>
      </c>
      <c r="L294" s="121">
        <f t="shared" si="113"/>
        <v>0</v>
      </c>
      <c r="M294" s="122">
        <f t="shared" si="114"/>
        <v>0</v>
      </c>
      <c r="N294" s="122">
        <f t="shared" si="115"/>
        <v>0</v>
      </c>
      <c r="O294" s="122">
        <f t="shared" si="116"/>
        <v>0</v>
      </c>
      <c r="P294" s="122">
        <f t="shared" si="117"/>
        <v>0</v>
      </c>
      <c r="Q294" s="123">
        <f t="shared" si="118"/>
        <v>680.03</v>
      </c>
      <c r="R294" s="123">
        <f t="shared" si="124"/>
        <v>-680.03</v>
      </c>
      <c r="S294" s="582">
        <v>0</v>
      </c>
      <c r="T294" s="123">
        <f t="shared" si="125"/>
        <v>-680.03</v>
      </c>
      <c r="U294" s="25">
        <f t="shared" si="119"/>
        <v>127.53</v>
      </c>
      <c r="V294" s="123">
        <f t="shared" si="120"/>
        <v>-127.53</v>
      </c>
      <c r="W294" s="334">
        <f t="shared" si="121"/>
        <v>7.93</v>
      </c>
      <c r="Y294" s="109">
        <f>IF(AE294=1,IF(Y293=MiscData!$F$1,EOMONTH(Y293,-11),EOMONTH(Y293,1)),Y293)</f>
        <v>42490</v>
      </c>
      <c r="Z294" s="108" t="str">
        <f t="shared" si="136"/>
        <v>20140101LGUM_484</v>
      </c>
      <c r="AA294" s="126" t="str">
        <f t="shared" si="137"/>
        <v xml:space="preserve">20140101LS </v>
      </c>
      <c r="AB294" s="583" t="str">
        <f t="shared" si="126"/>
        <v>484</v>
      </c>
      <c r="AD294" s="98">
        <f>MiscData!$X$5</f>
        <v>20140101</v>
      </c>
      <c r="AE294" s="98">
        <f>IF(AE293+1&gt;MiscData!$AC$77,1,AE293+1)</f>
        <v>72</v>
      </c>
      <c r="AF294" s="98" t="str">
        <f>VLOOKUP(AE294,MiscData!$AC$5:$AD$77,2,FALSE)</f>
        <v>LGUM_484</v>
      </c>
      <c r="AG294" s="98" t="str">
        <f>VLOOKUP(AF294,MiscData!$AD$5:$AE$77,2,FALSE)</f>
        <v xml:space="preserve">LS </v>
      </c>
      <c r="AP294" s="98" t="s">
        <v>160</v>
      </c>
      <c r="AR294" s="98">
        <v>0</v>
      </c>
    </row>
    <row r="295" spans="1:44">
      <c r="A295" s="108">
        <f t="shared" si="129"/>
        <v>292</v>
      </c>
      <c r="B295" s="109" t="str">
        <f t="shared" si="133"/>
        <v>Apr 2016</v>
      </c>
      <c r="C295" s="110" t="str">
        <f t="shared" si="134"/>
        <v>ODL</v>
      </c>
      <c r="D295" s="110" t="str">
        <f t="shared" si="135"/>
        <v>ODL</v>
      </c>
      <c r="E295" s="581">
        <f t="shared" si="108"/>
        <v>0</v>
      </c>
      <c r="F295" s="581">
        <f t="shared" si="109"/>
        <v>8078182</v>
      </c>
      <c r="G295" s="116">
        <f t="shared" si="110"/>
        <v>0</v>
      </c>
      <c r="H295" s="116">
        <f t="shared" si="111"/>
        <v>0</v>
      </c>
      <c r="I295" s="118">
        <f t="shared" si="122"/>
        <v>0</v>
      </c>
      <c r="J295" s="118">
        <f t="shared" si="112"/>
        <v>0</v>
      </c>
      <c r="K295" s="570">
        <f t="shared" si="123"/>
        <v>1547705</v>
      </c>
      <c r="L295" s="121">
        <f t="shared" si="113"/>
        <v>0</v>
      </c>
      <c r="M295" s="122">
        <f t="shared" si="114"/>
        <v>-7038</v>
      </c>
      <c r="N295" s="122">
        <f t="shared" si="115"/>
        <v>89427</v>
      </c>
      <c r="O295" s="122">
        <f t="shared" si="116"/>
        <v>0</v>
      </c>
      <c r="P295" s="122">
        <f t="shared" si="117"/>
        <v>1630094</v>
      </c>
      <c r="Q295" s="123">
        <f t="shared" si="118"/>
        <v>82389</v>
      </c>
      <c r="R295" s="123">
        <f t="shared" si="124"/>
        <v>1547705</v>
      </c>
      <c r="S295" s="582">
        <v>0</v>
      </c>
      <c r="T295" s="123">
        <f t="shared" si="125"/>
        <v>1547705</v>
      </c>
      <c r="U295" s="25">
        <f t="shared" si="119"/>
        <v>0</v>
      </c>
      <c r="V295" s="123">
        <f t="shared" si="120"/>
        <v>1547705</v>
      </c>
      <c r="W295" s="334">
        <f t="shared" si="121"/>
        <v>0</v>
      </c>
      <c r="Y295" s="109">
        <f>IF(AE295=1,IF(Y294=MiscData!$F$1,EOMONTH(Y294,-11),EOMONTH(Y294,1)),Y294)</f>
        <v>42490</v>
      </c>
      <c r="Z295" s="108" t="str">
        <f t="shared" si="136"/>
        <v>20140101ODL</v>
      </c>
      <c r="AA295" s="126" t="str">
        <f t="shared" si="137"/>
        <v>20140101ODL</v>
      </c>
      <c r="AB295" s="583" t="str">
        <f t="shared" si="126"/>
        <v>ODL</v>
      </c>
      <c r="AD295" s="98">
        <f>MiscData!$X$5</f>
        <v>20140101</v>
      </c>
      <c r="AE295" s="98">
        <f>IF(AE294+1&gt;MiscData!$AC$77,1,AE294+1)</f>
        <v>73</v>
      </c>
      <c r="AF295" s="98" t="str">
        <f>VLOOKUP(AE295,MiscData!$AC$5:$AD$77,2,FALSE)</f>
        <v>ODL</v>
      </c>
      <c r="AG295" s="98" t="str">
        <f>VLOOKUP(AF295,MiscData!$AD$5:$AE$77,2,FALSE)</f>
        <v>ODL</v>
      </c>
      <c r="AP295" s="98" t="s">
        <v>161</v>
      </c>
      <c r="AR295" s="98">
        <v>0</v>
      </c>
    </row>
    <row r="296" spans="1:44">
      <c r="A296" s="108">
        <f t="shared" si="129"/>
        <v>293</v>
      </c>
      <c r="B296" s="109" t="str">
        <f t="shared" si="133"/>
        <v>May 2016</v>
      </c>
      <c r="C296" s="110" t="str">
        <f t="shared" si="134"/>
        <v>RLS</v>
      </c>
      <c r="D296" s="110" t="str">
        <f t="shared" si="135"/>
        <v>LGUM_201</v>
      </c>
      <c r="E296" s="581">
        <f t="shared" si="108"/>
        <v>54</v>
      </c>
      <c r="F296" s="581">
        <f t="shared" si="109"/>
        <v>0</v>
      </c>
      <c r="G296" s="116">
        <f t="shared" si="110"/>
        <v>8.14</v>
      </c>
      <c r="H296" s="116">
        <f t="shared" si="111"/>
        <v>1.0899999999999999</v>
      </c>
      <c r="I296" s="118">
        <f t="shared" si="122"/>
        <v>439.56</v>
      </c>
      <c r="J296" s="118">
        <f t="shared" si="112"/>
        <v>439.56</v>
      </c>
      <c r="K296" s="570">
        <f t="shared" si="123"/>
        <v>0</v>
      </c>
      <c r="L296" s="121">
        <f t="shared" si="113"/>
        <v>0</v>
      </c>
      <c r="M296" s="122">
        <f t="shared" si="114"/>
        <v>0</v>
      </c>
      <c r="N296" s="122">
        <f t="shared" si="115"/>
        <v>0</v>
      </c>
      <c r="O296" s="122">
        <f t="shared" si="116"/>
        <v>0</v>
      </c>
      <c r="P296" s="122">
        <f t="shared" si="117"/>
        <v>0</v>
      </c>
      <c r="Q296" s="123">
        <f t="shared" si="118"/>
        <v>439.56</v>
      </c>
      <c r="R296" s="123">
        <f t="shared" si="124"/>
        <v>-439.56</v>
      </c>
      <c r="S296" s="582">
        <v>0</v>
      </c>
      <c r="T296" s="123">
        <f t="shared" si="125"/>
        <v>-439.56</v>
      </c>
      <c r="U296" s="25">
        <f t="shared" si="119"/>
        <v>58.86</v>
      </c>
      <c r="V296" s="123">
        <f t="shared" si="120"/>
        <v>-58.86</v>
      </c>
      <c r="W296" s="334">
        <f t="shared" si="121"/>
        <v>8.64</v>
      </c>
      <c r="Y296" s="109">
        <f>IF(AE296=1,IF(Y295=MiscData!$F$1,EOMONTH(Y295,-11),EOMONTH(Y295,1)),Y295)</f>
        <v>42521</v>
      </c>
      <c r="Z296" s="108" t="str">
        <f t="shared" si="136"/>
        <v>20140101LGUM_201</v>
      </c>
      <c r="AA296" s="126" t="str">
        <f t="shared" si="137"/>
        <v>20140101RLS</v>
      </c>
      <c r="AB296" s="583" t="str">
        <f t="shared" si="126"/>
        <v>201</v>
      </c>
      <c r="AD296" s="98">
        <f>MiscData!$X$5</f>
        <v>20140101</v>
      </c>
      <c r="AE296" s="98">
        <f>IF(AE295+1&gt;MiscData!$AC$77,1,AE295+1)</f>
        <v>1</v>
      </c>
      <c r="AF296" s="98" t="str">
        <f>VLOOKUP(AE296,MiscData!$AC$5:$AD$77,2,FALSE)</f>
        <v>LGUM_201</v>
      </c>
      <c r="AG296" s="98" t="str">
        <f>VLOOKUP(AF296,MiscData!$AD$5:$AE$77,2,FALSE)</f>
        <v>RLS</v>
      </c>
      <c r="AP296" s="98" t="s">
        <v>162</v>
      </c>
      <c r="AR296" s="98">
        <v>19.91</v>
      </c>
    </row>
    <row r="297" spans="1:44">
      <c r="A297" s="108">
        <f t="shared" si="129"/>
        <v>294</v>
      </c>
      <c r="B297" s="109" t="str">
        <f t="shared" si="133"/>
        <v>May 2016</v>
      </c>
      <c r="C297" s="110" t="str">
        <f t="shared" si="134"/>
        <v>RLS</v>
      </c>
      <c r="D297" s="110" t="str">
        <f t="shared" si="135"/>
        <v>LGUM_203</v>
      </c>
      <c r="E297" s="581">
        <f t="shared" si="108"/>
        <v>1893</v>
      </c>
      <c r="F297" s="581">
        <f t="shared" si="109"/>
        <v>0</v>
      </c>
      <c r="G297" s="116">
        <f t="shared" si="110"/>
        <v>10.959999999999999</v>
      </c>
      <c r="H297" s="116">
        <f t="shared" si="111"/>
        <v>2.7099999999999991</v>
      </c>
      <c r="I297" s="118">
        <f t="shared" si="122"/>
        <v>20747.28</v>
      </c>
      <c r="J297" s="118">
        <f t="shared" si="112"/>
        <v>20747.28</v>
      </c>
      <c r="K297" s="570">
        <f t="shared" si="123"/>
        <v>0</v>
      </c>
      <c r="L297" s="121">
        <f t="shared" si="113"/>
        <v>0</v>
      </c>
      <c r="M297" s="122">
        <f t="shared" si="114"/>
        <v>0</v>
      </c>
      <c r="N297" s="122">
        <f t="shared" si="115"/>
        <v>0</v>
      </c>
      <c r="O297" s="122">
        <f t="shared" si="116"/>
        <v>0</v>
      </c>
      <c r="P297" s="122">
        <f t="shared" si="117"/>
        <v>0</v>
      </c>
      <c r="Q297" s="123">
        <f t="shared" si="118"/>
        <v>20747.28</v>
      </c>
      <c r="R297" s="123">
        <f t="shared" si="124"/>
        <v>-20747.28</v>
      </c>
      <c r="S297" s="582">
        <v>0</v>
      </c>
      <c r="T297" s="123">
        <f t="shared" si="125"/>
        <v>-20747.28</v>
      </c>
      <c r="U297" s="25">
        <f t="shared" si="119"/>
        <v>5130.03</v>
      </c>
      <c r="V297" s="123">
        <f t="shared" si="120"/>
        <v>-5130.03</v>
      </c>
      <c r="W297" s="334">
        <f t="shared" si="121"/>
        <v>340.74</v>
      </c>
      <c r="Y297" s="109">
        <f>IF(AE297=1,IF(Y296=MiscData!$F$1,EOMONTH(Y296,-11),EOMONTH(Y296,1)),Y296)</f>
        <v>42521</v>
      </c>
      <c r="Z297" s="108" t="str">
        <f t="shared" si="136"/>
        <v>20140101LGUM_203</v>
      </c>
      <c r="AA297" s="126" t="str">
        <f t="shared" si="137"/>
        <v>20140101RLS</v>
      </c>
      <c r="AB297" s="583" t="str">
        <f t="shared" si="126"/>
        <v>203</v>
      </c>
      <c r="AD297" s="98">
        <f>MiscData!$X$5</f>
        <v>20140101</v>
      </c>
      <c r="AE297" s="98">
        <f>IF(AE296+1&gt;MiscData!$AC$77,1,AE296+1)</f>
        <v>2</v>
      </c>
      <c r="AF297" s="98" t="str">
        <f>VLOOKUP(AE297,MiscData!$AC$5:$AD$77,2,FALSE)</f>
        <v>LGUM_203</v>
      </c>
      <c r="AG297" s="98" t="str">
        <f>VLOOKUP(AF297,MiscData!$AD$5:$AE$77,2,FALSE)</f>
        <v>RLS</v>
      </c>
      <c r="AP297" s="98" t="s">
        <v>163</v>
      </c>
      <c r="AR297" s="98">
        <v>-9.56</v>
      </c>
    </row>
    <row r="298" spans="1:44">
      <c r="A298" s="108">
        <f t="shared" si="129"/>
        <v>295</v>
      </c>
      <c r="B298" s="109" t="str">
        <f t="shared" si="133"/>
        <v>May 2016</v>
      </c>
      <c r="C298" s="110" t="str">
        <f t="shared" si="134"/>
        <v>RLS</v>
      </c>
      <c r="D298" s="110" t="str">
        <f t="shared" si="135"/>
        <v>LGUM_204</v>
      </c>
      <c r="E298" s="581">
        <f t="shared" si="108"/>
        <v>947</v>
      </c>
      <c r="F298" s="581">
        <f t="shared" si="109"/>
        <v>0</v>
      </c>
      <c r="G298" s="116">
        <f t="shared" si="110"/>
        <v>13.510000000000002</v>
      </c>
      <c r="H298" s="116">
        <f t="shared" si="111"/>
        <v>4.2000000000000011</v>
      </c>
      <c r="I298" s="118">
        <f t="shared" si="122"/>
        <v>12793.97</v>
      </c>
      <c r="J298" s="118">
        <f t="shared" si="112"/>
        <v>12793.97</v>
      </c>
      <c r="K298" s="570">
        <f t="shared" si="123"/>
        <v>0</v>
      </c>
      <c r="L298" s="121">
        <f t="shared" si="113"/>
        <v>0</v>
      </c>
      <c r="M298" s="122">
        <f t="shared" si="114"/>
        <v>0</v>
      </c>
      <c r="N298" s="122">
        <f t="shared" si="115"/>
        <v>0</v>
      </c>
      <c r="O298" s="122">
        <f t="shared" si="116"/>
        <v>0</v>
      </c>
      <c r="P298" s="122">
        <f t="shared" si="117"/>
        <v>0</v>
      </c>
      <c r="Q298" s="123">
        <f t="shared" si="118"/>
        <v>12793.97</v>
      </c>
      <c r="R298" s="123">
        <f t="shared" si="124"/>
        <v>-12793.97</v>
      </c>
      <c r="S298" s="582">
        <v>0</v>
      </c>
      <c r="T298" s="123">
        <f t="shared" si="125"/>
        <v>-12793.97</v>
      </c>
      <c r="U298" s="25">
        <f t="shared" si="119"/>
        <v>3977.4</v>
      </c>
      <c r="V298" s="123">
        <f t="shared" si="120"/>
        <v>-3977.4</v>
      </c>
      <c r="W298" s="334">
        <f t="shared" si="121"/>
        <v>208.34</v>
      </c>
      <c r="Y298" s="109">
        <f>IF(AE298=1,IF(Y297=MiscData!$F$1,EOMONTH(Y297,-11),EOMONTH(Y297,1)),Y297)</f>
        <v>42521</v>
      </c>
      <c r="Z298" s="108" t="str">
        <f t="shared" si="136"/>
        <v>20140101LGUM_204</v>
      </c>
      <c r="AA298" s="126" t="str">
        <f t="shared" si="137"/>
        <v>20140101RLS</v>
      </c>
      <c r="AB298" s="583" t="str">
        <f t="shared" si="126"/>
        <v>204</v>
      </c>
      <c r="AD298" s="98">
        <f>MiscData!$X$5</f>
        <v>20140101</v>
      </c>
      <c r="AE298" s="98">
        <f>IF(AE297+1&gt;MiscData!$AC$77,1,AE297+1)</f>
        <v>3</v>
      </c>
      <c r="AF298" s="98" t="str">
        <f>VLOOKUP(AE298,MiscData!$AC$5:$AD$77,2,FALSE)</f>
        <v>LGUM_204</v>
      </c>
      <c r="AG298" s="98" t="str">
        <f>VLOOKUP(AF298,MiscData!$AD$5:$AE$77,2,FALSE)</f>
        <v>RLS</v>
      </c>
      <c r="AP298" s="98" t="s">
        <v>164</v>
      </c>
      <c r="AR298" s="98">
        <v>0</v>
      </c>
    </row>
    <row r="299" spans="1:44">
      <c r="A299" s="108">
        <f t="shared" si="129"/>
        <v>296</v>
      </c>
      <c r="B299" s="109" t="str">
        <f t="shared" si="133"/>
        <v>May 2016</v>
      </c>
      <c r="C299" s="110" t="str">
        <f t="shared" si="134"/>
        <v>RLS</v>
      </c>
      <c r="D299" s="110" t="str">
        <f t="shared" si="135"/>
        <v>LGUM_206</v>
      </c>
      <c r="E299" s="581">
        <f t="shared" si="108"/>
        <v>94</v>
      </c>
      <c r="F299" s="581">
        <f t="shared" si="109"/>
        <v>0</v>
      </c>
      <c r="G299" s="116">
        <f t="shared" si="110"/>
        <v>12.450000000000001</v>
      </c>
      <c r="H299" s="116">
        <f t="shared" si="111"/>
        <v>1.0899999999999999</v>
      </c>
      <c r="I299" s="118">
        <f t="shared" si="122"/>
        <v>1170.3</v>
      </c>
      <c r="J299" s="118">
        <f t="shared" si="112"/>
        <v>1170.3</v>
      </c>
      <c r="K299" s="570">
        <f t="shared" si="123"/>
        <v>0</v>
      </c>
      <c r="L299" s="121">
        <f t="shared" si="113"/>
        <v>0</v>
      </c>
      <c r="M299" s="122">
        <f t="shared" si="114"/>
        <v>0</v>
      </c>
      <c r="N299" s="122">
        <f t="shared" si="115"/>
        <v>0</v>
      </c>
      <c r="O299" s="122">
        <f t="shared" si="116"/>
        <v>0</v>
      </c>
      <c r="P299" s="122">
        <f t="shared" si="117"/>
        <v>0</v>
      </c>
      <c r="Q299" s="123">
        <f t="shared" si="118"/>
        <v>1170.3</v>
      </c>
      <c r="R299" s="123">
        <f t="shared" si="124"/>
        <v>-1170.3</v>
      </c>
      <c r="S299" s="582">
        <v>0</v>
      </c>
      <c r="T299" s="123">
        <f t="shared" si="125"/>
        <v>-1170.3</v>
      </c>
      <c r="U299" s="25">
        <f t="shared" si="119"/>
        <v>102.46</v>
      </c>
      <c r="V299" s="123">
        <f t="shared" si="120"/>
        <v>-102.46</v>
      </c>
      <c r="W299" s="334">
        <f t="shared" si="121"/>
        <v>15.040000000000001</v>
      </c>
      <c r="Y299" s="109">
        <f>IF(AE299=1,IF(Y298=MiscData!$F$1,EOMONTH(Y298,-11),EOMONTH(Y298,1)),Y298)</f>
        <v>42521</v>
      </c>
      <c r="Z299" s="108" t="str">
        <f t="shared" si="136"/>
        <v>20140101LGUM_206</v>
      </c>
      <c r="AA299" s="126" t="str">
        <f t="shared" si="137"/>
        <v>20140101RLS</v>
      </c>
      <c r="AB299" s="583" t="str">
        <f t="shared" si="126"/>
        <v>206</v>
      </c>
      <c r="AD299" s="98">
        <f>MiscData!$X$5</f>
        <v>20140101</v>
      </c>
      <c r="AE299" s="98">
        <f>IF(AE298+1&gt;MiscData!$AC$77,1,AE298+1)</f>
        <v>4</v>
      </c>
      <c r="AF299" s="98" t="str">
        <f>VLOOKUP(AE299,MiscData!$AC$5:$AD$77,2,FALSE)</f>
        <v>LGUM_206</v>
      </c>
      <c r="AG299" s="98" t="str">
        <f>VLOOKUP(AF299,MiscData!$AD$5:$AE$77,2,FALSE)</f>
        <v>RLS</v>
      </c>
      <c r="AP299" s="98" t="s">
        <v>165</v>
      </c>
      <c r="AR299" s="98">
        <v>0</v>
      </c>
    </row>
    <row r="300" spans="1:44">
      <c r="A300" s="108">
        <f t="shared" si="129"/>
        <v>297</v>
      </c>
      <c r="B300" s="109" t="str">
        <f t="shared" si="133"/>
        <v>May 2016</v>
      </c>
      <c r="C300" s="110" t="str">
        <f t="shared" si="134"/>
        <v>RLS</v>
      </c>
      <c r="D300" s="110" t="str">
        <f t="shared" si="135"/>
        <v>LGUM_207</v>
      </c>
      <c r="E300" s="581">
        <f t="shared" si="108"/>
        <v>752</v>
      </c>
      <c r="F300" s="581">
        <f t="shared" si="109"/>
        <v>0</v>
      </c>
      <c r="G300" s="116">
        <f t="shared" si="110"/>
        <v>15.54</v>
      </c>
      <c r="H300" s="116">
        <f t="shared" si="111"/>
        <v>4.2000000000000011</v>
      </c>
      <c r="I300" s="118">
        <f t="shared" si="122"/>
        <v>11686.08</v>
      </c>
      <c r="J300" s="118">
        <f t="shared" si="112"/>
        <v>11686.08</v>
      </c>
      <c r="K300" s="570">
        <f t="shared" si="123"/>
        <v>0</v>
      </c>
      <c r="L300" s="121">
        <f t="shared" si="113"/>
        <v>0</v>
      </c>
      <c r="M300" s="122">
        <f t="shared" si="114"/>
        <v>0</v>
      </c>
      <c r="N300" s="122">
        <f t="shared" si="115"/>
        <v>0</v>
      </c>
      <c r="O300" s="122">
        <f t="shared" si="116"/>
        <v>0</v>
      </c>
      <c r="P300" s="122">
        <f t="shared" si="117"/>
        <v>0</v>
      </c>
      <c r="Q300" s="123">
        <f t="shared" si="118"/>
        <v>11686.08</v>
      </c>
      <c r="R300" s="123">
        <f t="shared" si="124"/>
        <v>-11686.08</v>
      </c>
      <c r="S300" s="582">
        <v>0</v>
      </c>
      <c r="T300" s="123">
        <f t="shared" si="125"/>
        <v>-11686.08</v>
      </c>
      <c r="U300" s="25">
        <f t="shared" si="119"/>
        <v>3158.4</v>
      </c>
      <c r="V300" s="123">
        <f t="shared" si="120"/>
        <v>-3158.4</v>
      </c>
      <c r="W300" s="334">
        <f t="shared" si="121"/>
        <v>165.44</v>
      </c>
      <c r="Y300" s="109">
        <f>IF(AE300=1,IF(Y299=MiscData!$F$1,EOMONTH(Y299,-11),EOMONTH(Y299,1)),Y299)</f>
        <v>42521</v>
      </c>
      <c r="Z300" s="108" t="str">
        <f t="shared" si="136"/>
        <v>20140101LGUM_207</v>
      </c>
      <c r="AA300" s="126" t="str">
        <f t="shared" si="137"/>
        <v>20140101RLS</v>
      </c>
      <c r="AB300" s="583" t="str">
        <f t="shared" si="126"/>
        <v>207</v>
      </c>
      <c r="AD300" s="98">
        <f>MiscData!$X$5</f>
        <v>20140101</v>
      </c>
      <c r="AE300" s="98">
        <f>IF(AE299+1&gt;MiscData!$AC$77,1,AE299+1)</f>
        <v>5</v>
      </c>
      <c r="AF300" s="98" t="str">
        <f>VLOOKUP(AE300,MiscData!$AC$5:$AD$77,2,FALSE)</f>
        <v>LGUM_207</v>
      </c>
      <c r="AG300" s="98" t="str">
        <f>VLOOKUP(AF300,MiscData!$AD$5:$AE$77,2,FALSE)</f>
        <v>RLS</v>
      </c>
      <c r="AP300" s="98" t="s">
        <v>166</v>
      </c>
      <c r="AR300" s="98">
        <v>-18.95</v>
      </c>
    </row>
    <row r="301" spans="1:44">
      <c r="A301" s="108">
        <f t="shared" si="129"/>
        <v>298</v>
      </c>
      <c r="B301" s="109" t="str">
        <f t="shared" si="133"/>
        <v>May 2016</v>
      </c>
      <c r="C301" s="110" t="str">
        <f t="shared" si="134"/>
        <v>RLS</v>
      </c>
      <c r="D301" s="110" t="str">
        <f t="shared" si="135"/>
        <v>LGUM_208</v>
      </c>
      <c r="E301" s="581">
        <f t="shared" si="108"/>
        <v>1005</v>
      </c>
      <c r="F301" s="581">
        <f t="shared" si="109"/>
        <v>0</v>
      </c>
      <c r="G301" s="116">
        <f t="shared" si="110"/>
        <v>14.24</v>
      </c>
      <c r="H301" s="116">
        <f t="shared" si="111"/>
        <v>1.9100000000000001</v>
      </c>
      <c r="I301" s="118">
        <f t="shared" si="122"/>
        <v>14311.2</v>
      </c>
      <c r="J301" s="118">
        <f t="shared" si="112"/>
        <v>14311.2</v>
      </c>
      <c r="K301" s="570">
        <f t="shared" si="123"/>
        <v>0</v>
      </c>
      <c r="L301" s="121">
        <f t="shared" si="113"/>
        <v>0</v>
      </c>
      <c r="M301" s="122">
        <f t="shared" si="114"/>
        <v>0</v>
      </c>
      <c r="N301" s="122">
        <f t="shared" si="115"/>
        <v>0</v>
      </c>
      <c r="O301" s="122">
        <f t="shared" si="116"/>
        <v>0</v>
      </c>
      <c r="P301" s="122">
        <f t="shared" si="117"/>
        <v>0</v>
      </c>
      <c r="Q301" s="123">
        <f t="shared" si="118"/>
        <v>14311.2</v>
      </c>
      <c r="R301" s="123">
        <f t="shared" si="124"/>
        <v>-14311.2</v>
      </c>
      <c r="S301" s="582">
        <v>0</v>
      </c>
      <c r="T301" s="123">
        <f t="shared" si="125"/>
        <v>-14311.2</v>
      </c>
      <c r="U301" s="25">
        <f t="shared" si="119"/>
        <v>1919.55</v>
      </c>
      <c r="V301" s="123">
        <f t="shared" si="120"/>
        <v>-1919.55</v>
      </c>
      <c r="W301" s="334">
        <f t="shared" si="121"/>
        <v>160.80000000000001</v>
      </c>
      <c r="Y301" s="109">
        <f>IF(AE301=1,IF(Y300=MiscData!$F$1,EOMONTH(Y300,-11),EOMONTH(Y300,1)),Y300)</f>
        <v>42521</v>
      </c>
      <c r="Z301" s="108" t="str">
        <f t="shared" si="136"/>
        <v>20140101LGUM_208</v>
      </c>
      <c r="AA301" s="126" t="str">
        <f t="shared" si="137"/>
        <v>20140101RLS</v>
      </c>
      <c r="AB301" s="583" t="str">
        <f t="shared" si="126"/>
        <v>208</v>
      </c>
      <c r="AD301" s="98">
        <f>MiscData!$X$5</f>
        <v>20140101</v>
      </c>
      <c r="AE301" s="98">
        <f>IF(AE300+1&gt;MiscData!$AC$77,1,AE300+1)</f>
        <v>6</v>
      </c>
      <c r="AF301" s="98" t="str">
        <f>VLOOKUP(AE301,MiscData!$AC$5:$AD$77,2,FALSE)</f>
        <v>LGUM_208</v>
      </c>
      <c r="AG301" s="98" t="str">
        <f>VLOOKUP(AF301,MiscData!$AD$5:$AE$77,2,FALSE)</f>
        <v>RLS</v>
      </c>
      <c r="AP301" s="98" t="s">
        <v>167</v>
      </c>
      <c r="AR301" s="98">
        <v>0</v>
      </c>
    </row>
    <row r="302" spans="1:44">
      <c r="A302" s="108">
        <f t="shared" si="129"/>
        <v>299</v>
      </c>
      <c r="B302" s="109" t="str">
        <f t="shared" si="133"/>
        <v>May 2016</v>
      </c>
      <c r="C302" s="110" t="str">
        <f t="shared" si="134"/>
        <v>RLS</v>
      </c>
      <c r="D302" s="110" t="str">
        <f t="shared" si="135"/>
        <v>LGUM_209</v>
      </c>
      <c r="E302" s="581">
        <f t="shared" si="108"/>
        <v>41</v>
      </c>
      <c r="F302" s="581">
        <f t="shared" si="109"/>
        <v>0</v>
      </c>
      <c r="G302" s="116">
        <f t="shared" si="110"/>
        <v>27.69</v>
      </c>
      <c r="H302" s="116">
        <f t="shared" si="111"/>
        <v>10.170000000000002</v>
      </c>
      <c r="I302" s="118">
        <f t="shared" si="122"/>
        <v>1135.29</v>
      </c>
      <c r="J302" s="118">
        <f t="shared" si="112"/>
        <v>1135.29</v>
      </c>
      <c r="K302" s="570">
        <f t="shared" si="123"/>
        <v>0</v>
      </c>
      <c r="L302" s="121">
        <f t="shared" si="113"/>
        <v>0</v>
      </c>
      <c r="M302" s="122">
        <f t="shared" si="114"/>
        <v>0</v>
      </c>
      <c r="N302" s="122">
        <f t="shared" si="115"/>
        <v>0</v>
      </c>
      <c r="O302" s="122">
        <f t="shared" si="116"/>
        <v>0</v>
      </c>
      <c r="P302" s="122">
        <f t="shared" si="117"/>
        <v>0</v>
      </c>
      <c r="Q302" s="123">
        <f t="shared" si="118"/>
        <v>1135.29</v>
      </c>
      <c r="R302" s="123">
        <f t="shared" si="124"/>
        <v>-1135.29</v>
      </c>
      <c r="S302" s="582">
        <v>0</v>
      </c>
      <c r="T302" s="123">
        <f t="shared" si="125"/>
        <v>-1135.29</v>
      </c>
      <c r="U302" s="25">
        <f t="shared" si="119"/>
        <v>416.97</v>
      </c>
      <c r="V302" s="123">
        <f t="shared" si="120"/>
        <v>-416.97</v>
      </c>
      <c r="W302" s="334">
        <f t="shared" si="121"/>
        <v>16.809999999999999</v>
      </c>
      <c r="Y302" s="109">
        <f>IF(AE302=1,IF(Y301=MiscData!$F$1,EOMONTH(Y301,-11),EOMONTH(Y301,1)),Y301)</f>
        <v>42521</v>
      </c>
      <c r="Z302" s="108" t="str">
        <f t="shared" si="136"/>
        <v>20140101LGUM_209</v>
      </c>
      <c r="AA302" s="126" t="str">
        <f t="shared" si="137"/>
        <v>20140101RLS</v>
      </c>
      <c r="AB302" s="583" t="str">
        <f t="shared" si="126"/>
        <v>209</v>
      </c>
      <c r="AD302" s="98">
        <f>MiscData!$X$5</f>
        <v>20140101</v>
      </c>
      <c r="AE302" s="98">
        <f>IF(AE301+1&gt;MiscData!$AC$77,1,AE301+1)</f>
        <v>7</v>
      </c>
      <c r="AF302" s="98" t="str">
        <f>VLOOKUP(AE302,MiscData!$AC$5:$AD$77,2,FALSE)</f>
        <v>LGUM_209</v>
      </c>
      <c r="AG302" s="98" t="str">
        <f>VLOOKUP(AF302,MiscData!$AD$5:$AE$77,2,FALSE)</f>
        <v>RLS</v>
      </c>
      <c r="AP302" s="98" t="s">
        <v>514</v>
      </c>
      <c r="AR302" s="98">
        <v>0</v>
      </c>
    </row>
    <row r="303" spans="1:44">
      <c r="A303" s="108">
        <f t="shared" si="129"/>
        <v>300</v>
      </c>
      <c r="B303" s="109" t="str">
        <f t="shared" si="133"/>
        <v>May 2016</v>
      </c>
      <c r="C303" s="110" t="str">
        <f t="shared" si="134"/>
        <v>RLS</v>
      </c>
      <c r="D303" s="110" t="str">
        <f t="shared" si="135"/>
        <v>LGUM_210</v>
      </c>
      <c r="E303" s="581">
        <f t="shared" si="108"/>
        <v>361</v>
      </c>
      <c r="F303" s="581">
        <f t="shared" si="109"/>
        <v>0</v>
      </c>
      <c r="G303" s="116">
        <f t="shared" si="110"/>
        <v>28.89</v>
      </c>
      <c r="H303" s="116">
        <f t="shared" si="111"/>
        <v>10.170000000000002</v>
      </c>
      <c r="I303" s="118">
        <f t="shared" si="122"/>
        <v>10429.290000000001</v>
      </c>
      <c r="J303" s="118">
        <f t="shared" si="112"/>
        <v>10429.290000000001</v>
      </c>
      <c r="K303" s="570">
        <f t="shared" si="123"/>
        <v>0</v>
      </c>
      <c r="L303" s="121">
        <f t="shared" si="113"/>
        <v>0</v>
      </c>
      <c r="M303" s="122">
        <f t="shared" si="114"/>
        <v>0</v>
      </c>
      <c r="N303" s="122">
        <f t="shared" si="115"/>
        <v>0</v>
      </c>
      <c r="O303" s="122">
        <f t="shared" si="116"/>
        <v>0</v>
      </c>
      <c r="P303" s="122">
        <f t="shared" si="117"/>
        <v>0</v>
      </c>
      <c r="Q303" s="123">
        <f t="shared" si="118"/>
        <v>10429.290000000001</v>
      </c>
      <c r="R303" s="123">
        <f t="shared" si="124"/>
        <v>-10429.290000000001</v>
      </c>
      <c r="S303" s="582">
        <v>0</v>
      </c>
      <c r="T303" s="123">
        <f t="shared" si="125"/>
        <v>-10429.290000000001</v>
      </c>
      <c r="U303" s="25">
        <f t="shared" si="119"/>
        <v>3671.37</v>
      </c>
      <c r="V303" s="123">
        <f t="shared" si="120"/>
        <v>-3671.37</v>
      </c>
      <c r="W303" s="334">
        <f t="shared" si="121"/>
        <v>148.01</v>
      </c>
      <c r="Y303" s="109">
        <f>IF(AE303=1,IF(Y302=MiscData!$F$1,EOMONTH(Y302,-11),EOMONTH(Y302,1)),Y302)</f>
        <v>42521</v>
      </c>
      <c r="Z303" s="108" t="str">
        <f t="shared" si="136"/>
        <v>20140101LGUM_210</v>
      </c>
      <c r="AA303" s="126" t="str">
        <f t="shared" si="137"/>
        <v>20140101RLS</v>
      </c>
      <c r="AB303" s="583" t="str">
        <f t="shared" si="126"/>
        <v>210</v>
      </c>
      <c r="AD303" s="98">
        <f>MiscData!$X$5</f>
        <v>20140101</v>
      </c>
      <c r="AE303" s="98">
        <f>IF(AE302+1&gt;MiscData!$AC$77,1,AE302+1)</f>
        <v>8</v>
      </c>
      <c r="AF303" s="98" t="str">
        <f>VLOOKUP(AE303,MiscData!$AC$5:$AD$77,2,FALSE)</f>
        <v>LGUM_210</v>
      </c>
      <c r="AG303" s="98" t="str">
        <f>VLOOKUP(AF303,MiscData!$AD$5:$AE$77,2,FALSE)</f>
        <v>RLS</v>
      </c>
      <c r="AP303" s="98" t="s">
        <v>516</v>
      </c>
      <c r="AR303" s="98">
        <v>0</v>
      </c>
    </row>
    <row r="304" spans="1:44">
      <c r="A304" s="108">
        <f t="shared" si="129"/>
        <v>301</v>
      </c>
      <c r="B304" s="109" t="str">
        <f t="shared" si="133"/>
        <v>May 2016</v>
      </c>
      <c r="C304" s="110" t="str">
        <f t="shared" si="134"/>
        <v>RLS</v>
      </c>
      <c r="D304" s="110" t="str">
        <f t="shared" si="135"/>
        <v>LGUM_252</v>
      </c>
      <c r="E304" s="581">
        <f t="shared" si="108"/>
        <v>2941</v>
      </c>
      <c r="F304" s="581">
        <f t="shared" si="109"/>
        <v>0</v>
      </c>
      <c r="G304" s="116">
        <f t="shared" si="110"/>
        <v>9.57</v>
      </c>
      <c r="H304" s="116">
        <f t="shared" si="111"/>
        <v>1.9099999999999993</v>
      </c>
      <c r="I304" s="118">
        <f t="shared" si="122"/>
        <v>28145.37</v>
      </c>
      <c r="J304" s="118">
        <f t="shared" si="112"/>
        <v>28145.37</v>
      </c>
      <c r="K304" s="570">
        <f t="shared" si="123"/>
        <v>0</v>
      </c>
      <c r="L304" s="121">
        <f t="shared" si="113"/>
        <v>0</v>
      </c>
      <c r="M304" s="122">
        <f t="shared" si="114"/>
        <v>0</v>
      </c>
      <c r="N304" s="122">
        <f t="shared" si="115"/>
        <v>0</v>
      </c>
      <c r="O304" s="122">
        <f t="shared" si="116"/>
        <v>0</v>
      </c>
      <c r="P304" s="122">
        <f t="shared" si="117"/>
        <v>0</v>
      </c>
      <c r="Q304" s="123">
        <f t="shared" si="118"/>
        <v>28145.37</v>
      </c>
      <c r="R304" s="123">
        <f t="shared" si="124"/>
        <v>-28145.37</v>
      </c>
      <c r="S304" s="582">
        <v>0</v>
      </c>
      <c r="T304" s="123">
        <f t="shared" si="125"/>
        <v>-28145.37</v>
      </c>
      <c r="U304" s="25">
        <f t="shared" si="119"/>
        <v>5617.31</v>
      </c>
      <c r="V304" s="123">
        <f t="shared" si="120"/>
        <v>-5617.31</v>
      </c>
      <c r="W304" s="334">
        <f t="shared" si="121"/>
        <v>470.56</v>
      </c>
      <c r="Y304" s="109">
        <f>IF(AE304=1,IF(Y303=MiscData!$F$1,EOMONTH(Y303,-11),EOMONTH(Y303,1)),Y303)</f>
        <v>42521</v>
      </c>
      <c r="Z304" s="108" t="str">
        <f t="shared" si="136"/>
        <v>20140101LGUM_252</v>
      </c>
      <c r="AA304" s="126" t="str">
        <f t="shared" si="137"/>
        <v>20140101RLS</v>
      </c>
      <c r="AB304" s="583" t="str">
        <f t="shared" si="126"/>
        <v>252</v>
      </c>
      <c r="AD304" s="98">
        <f>MiscData!$X$5</f>
        <v>20140101</v>
      </c>
      <c r="AE304" s="98">
        <f>IF(AE303+1&gt;MiscData!$AC$77,1,AE303+1)</f>
        <v>9</v>
      </c>
      <c r="AF304" s="98" t="str">
        <f>VLOOKUP(AE304,MiscData!$AC$5:$AD$77,2,FALSE)</f>
        <v>LGUM_252</v>
      </c>
      <c r="AG304" s="98" t="str">
        <f>VLOOKUP(AF304,MiscData!$AD$5:$AE$77,2,FALSE)</f>
        <v>RLS</v>
      </c>
      <c r="AP304" s="98" t="s">
        <v>518</v>
      </c>
      <c r="AR304" s="98">
        <v>0</v>
      </c>
    </row>
    <row r="305" spans="1:44">
      <c r="A305" s="108">
        <f t="shared" si="129"/>
        <v>302</v>
      </c>
      <c r="B305" s="109" t="str">
        <f t="shared" si="133"/>
        <v>May 2016</v>
      </c>
      <c r="C305" s="110" t="str">
        <f t="shared" si="134"/>
        <v>RLS</v>
      </c>
      <c r="D305" s="110" t="str">
        <f t="shared" si="135"/>
        <v>LGUM_266</v>
      </c>
      <c r="E305" s="581">
        <f t="shared" si="108"/>
        <v>785</v>
      </c>
      <c r="F305" s="581">
        <f t="shared" si="109"/>
        <v>0</v>
      </c>
      <c r="G305" s="116">
        <f t="shared" si="110"/>
        <v>27.34</v>
      </c>
      <c r="H305" s="116">
        <f t="shared" si="111"/>
        <v>2.8000000000000007</v>
      </c>
      <c r="I305" s="118">
        <f t="shared" si="122"/>
        <v>21461.9</v>
      </c>
      <c r="J305" s="118">
        <f t="shared" si="112"/>
        <v>21461.9</v>
      </c>
      <c r="K305" s="570">
        <f t="shared" si="123"/>
        <v>0</v>
      </c>
      <c r="L305" s="121">
        <f t="shared" si="113"/>
        <v>0</v>
      </c>
      <c r="M305" s="122">
        <f t="shared" si="114"/>
        <v>0</v>
      </c>
      <c r="N305" s="122">
        <f t="shared" si="115"/>
        <v>0</v>
      </c>
      <c r="O305" s="122">
        <f t="shared" si="116"/>
        <v>0</v>
      </c>
      <c r="P305" s="122">
        <f t="shared" si="117"/>
        <v>0</v>
      </c>
      <c r="Q305" s="123">
        <f t="shared" si="118"/>
        <v>21461.9</v>
      </c>
      <c r="R305" s="123">
        <f t="shared" si="124"/>
        <v>-21461.9</v>
      </c>
      <c r="S305" s="582">
        <v>0</v>
      </c>
      <c r="T305" s="123">
        <f t="shared" si="125"/>
        <v>-21461.9</v>
      </c>
      <c r="U305" s="25">
        <f t="shared" si="119"/>
        <v>2198</v>
      </c>
      <c r="V305" s="123">
        <f t="shared" si="120"/>
        <v>-2198</v>
      </c>
      <c r="W305" s="334">
        <f t="shared" si="121"/>
        <v>211.95000000000002</v>
      </c>
      <c r="Y305" s="109">
        <f>IF(AE305=1,IF(Y304=MiscData!$F$1,EOMONTH(Y304,-11),EOMONTH(Y304,1)),Y304)</f>
        <v>42521</v>
      </c>
      <c r="Z305" s="108" t="str">
        <f t="shared" si="136"/>
        <v>20140101LGUM_266</v>
      </c>
      <c r="AA305" s="126" t="str">
        <f t="shared" si="137"/>
        <v>20140101RLS</v>
      </c>
      <c r="AB305" s="583" t="str">
        <f t="shared" si="126"/>
        <v>266</v>
      </c>
      <c r="AD305" s="98">
        <f>MiscData!$X$5</f>
        <v>20140101</v>
      </c>
      <c r="AE305" s="98">
        <f>IF(AE304+1&gt;MiscData!$AC$77,1,AE304+1)</f>
        <v>10</v>
      </c>
      <c r="AF305" s="98" t="str">
        <f>VLOOKUP(AE305,MiscData!$AC$5:$AD$77,2,FALSE)</f>
        <v>LGUM_266</v>
      </c>
      <c r="AG305" s="98" t="str">
        <f>VLOOKUP(AF305,MiscData!$AD$5:$AE$77,2,FALSE)</f>
        <v>RLS</v>
      </c>
      <c r="AP305" s="98" t="s">
        <v>338</v>
      </c>
      <c r="AR305" s="98">
        <v>0</v>
      </c>
    </row>
    <row r="306" spans="1:44">
      <c r="A306" s="108">
        <f t="shared" si="129"/>
        <v>303</v>
      </c>
      <c r="B306" s="109" t="str">
        <f t="shared" si="133"/>
        <v>May 2016</v>
      </c>
      <c r="C306" s="110" t="str">
        <f t="shared" si="134"/>
        <v>RLS</v>
      </c>
      <c r="D306" s="110" t="str">
        <f t="shared" si="135"/>
        <v>LGUM_267</v>
      </c>
      <c r="E306" s="581">
        <f t="shared" si="108"/>
        <v>1769</v>
      </c>
      <c r="F306" s="581">
        <f t="shared" si="109"/>
        <v>0</v>
      </c>
      <c r="G306" s="116">
        <f t="shared" si="110"/>
        <v>31.4</v>
      </c>
      <c r="H306" s="116">
        <f t="shared" si="111"/>
        <v>4.4499999999999993</v>
      </c>
      <c r="I306" s="118">
        <f t="shared" si="122"/>
        <v>55546.6</v>
      </c>
      <c r="J306" s="118">
        <f t="shared" si="112"/>
        <v>55546.6</v>
      </c>
      <c r="K306" s="570">
        <f t="shared" si="123"/>
        <v>0</v>
      </c>
      <c r="L306" s="121">
        <f t="shared" si="113"/>
        <v>0</v>
      </c>
      <c r="M306" s="122">
        <f t="shared" si="114"/>
        <v>0</v>
      </c>
      <c r="N306" s="122">
        <f t="shared" si="115"/>
        <v>0</v>
      </c>
      <c r="O306" s="122">
        <f t="shared" si="116"/>
        <v>0</v>
      </c>
      <c r="P306" s="122">
        <f t="shared" si="117"/>
        <v>0</v>
      </c>
      <c r="Q306" s="123">
        <f t="shared" si="118"/>
        <v>55546.6</v>
      </c>
      <c r="R306" s="123">
        <f t="shared" si="124"/>
        <v>-55546.6</v>
      </c>
      <c r="S306" s="582">
        <v>0</v>
      </c>
      <c r="T306" s="123">
        <f t="shared" si="125"/>
        <v>-55546.6</v>
      </c>
      <c r="U306" s="25">
        <f t="shared" si="119"/>
        <v>7872.05</v>
      </c>
      <c r="V306" s="123">
        <f t="shared" si="120"/>
        <v>-7872.05</v>
      </c>
      <c r="W306" s="334">
        <f t="shared" si="121"/>
        <v>513.01</v>
      </c>
      <c r="Y306" s="109">
        <f>IF(AE306=1,IF(Y305=MiscData!$F$1,EOMONTH(Y305,-11),EOMONTH(Y305,1)),Y305)</f>
        <v>42521</v>
      </c>
      <c r="Z306" s="108" t="str">
        <f t="shared" si="136"/>
        <v>20140101LGUM_267</v>
      </c>
      <c r="AA306" s="126" t="str">
        <f t="shared" si="137"/>
        <v>20140101RLS</v>
      </c>
      <c r="AB306" s="583" t="str">
        <f t="shared" si="126"/>
        <v>267</v>
      </c>
      <c r="AD306" s="98">
        <f>MiscData!$X$5</f>
        <v>20140101</v>
      </c>
      <c r="AE306" s="98">
        <f>IF(AE305+1&gt;MiscData!$AC$77,1,AE305+1)</f>
        <v>11</v>
      </c>
      <c r="AF306" s="98" t="str">
        <f>VLOOKUP(AE306,MiscData!$AC$5:$AD$77,2,FALSE)</f>
        <v>LGUM_267</v>
      </c>
      <c r="AG306" s="98" t="str">
        <f>VLOOKUP(AF306,MiscData!$AD$5:$AE$77,2,FALSE)</f>
        <v>RLS</v>
      </c>
      <c r="AP306" s="98" t="s">
        <v>168</v>
      </c>
      <c r="AR306" s="98">
        <v>0</v>
      </c>
    </row>
    <row r="307" spans="1:44">
      <c r="A307" s="108">
        <f t="shared" si="129"/>
        <v>304</v>
      </c>
      <c r="B307" s="109" t="str">
        <f t="shared" si="133"/>
        <v>May 2016</v>
      </c>
      <c r="C307" s="110" t="str">
        <f t="shared" si="134"/>
        <v>RLS</v>
      </c>
      <c r="D307" s="110" t="str">
        <f t="shared" si="135"/>
        <v>LGUM_274</v>
      </c>
      <c r="E307" s="581">
        <f t="shared" si="108"/>
        <v>16032</v>
      </c>
      <c r="F307" s="581">
        <f t="shared" si="109"/>
        <v>0</v>
      </c>
      <c r="G307" s="116">
        <f t="shared" si="110"/>
        <v>17.189999999999998</v>
      </c>
      <c r="H307" s="116">
        <f t="shared" si="111"/>
        <v>1.2699999999999996</v>
      </c>
      <c r="I307" s="118">
        <f t="shared" si="122"/>
        <v>275590.08</v>
      </c>
      <c r="J307" s="118">
        <f t="shared" si="112"/>
        <v>275590.08</v>
      </c>
      <c r="K307" s="570">
        <f t="shared" si="123"/>
        <v>0</v>
      </c>
      <c r="L307" s="121">
        <f t="shared" si="113"/>
        <v>0</v>
      </c>
      <c r="M307" s="122">
        <f t="shared" si="114"/>
        <v>0</v>
      </c>
      <c r="N307" s="122">
        <f t="shared" si="115"/>
        <v>0</v>
      </c>
      <c r="O307" s="122">
        <f t="shared" si="116"/>
        <v>0</v>
      </c>
      <c r="P307" s="122">
        <f t="shared" si="117"/>
        <v>0</v>
      </c>
      <c r="Q307" s="123">
        <f t="shared" si="118"/>
        <v>275590.08</v>
      </c>
      <c r="R307" s="123">
        <f t="shared" si="124"/>
        <v>-275590.08</v>
      </c>
      <c r="S307" s="582">
        <v>0</v>
      </c>
      <c r="T307" s="123">
        <f t="shared" si="125"/>
        <v>-275590.08</v>
      </c>
      <c r="U307" s="25">
        <f t="shared" si="119"/>
        <v>20360.64</v>
      </c>
      <c r="V307" s="123">
        <f t="shared" si="120"/>
        <v>-20360.64</v>
      </c>
      <c r="W307" s="334">
        <f t="shared" si="121"/>
        <v>4328.6400000000003</v>
      </c>
      <c r="Y307" s="109">
        <f>IF(AE307=1,IF(Y306=MiscData!$F$1,EOMONTH(Y306,-11),EOMONTH(Y306,1)),Y306)</f>
        <v>42521</v>
      </c>
      <c r="Z307" s="108" t="str">
        <f t="shared" si="136"/>
        <v>20140101LGUM_274</v>
      </c>
      <c r="AA307" s="126" t="str">
        <f t="shared" si="137"/>
        <v>20140101RLS</v>
      </c>
      <c r="AB307" s="583" t="str">
        <f t="shared" si="126"/>
        <v>274</v>
      </c>
      <c r="AD307" s="98">
        <f>MiscData!$X$5</f>
        <v>20140101</v>
      </c>
      <c r="AE307" s="98">
        <f>IF(AE306+1&gt;MiscData!$AC$77,1,AE306+1)</f>
        <v>12</v>
      </c>
      <c r="AF307" s="98" t="str">
        <f>VLOOKUP(AE307,MiscData!$AC$5:$AD$77,2,FALSE)</f>
        <v>LGUM_274</v>
      </c>
      <c r="AG307" s="98" t="str">
        <f>VLOOKUP(AF307,MiscData!$AD$5:$AE$77,2,FALSE)</f>
        <v>RLS</v>
      </c>
      <c r="AP307" s="98" t="s">
        <v>522</v>
      </c>
      <c r="AR307" s="98">
        <v>0</v>
      </c>
    </row>
    <row r="308" spans="1:44">
      <c r="A308" s="108">
        <f t="shared" si="129"/>
        <v>305</v>
      </c>
      <c r="B308" s="109" t="str">
        <f t="shared" si="133"/>
        <v>May 2016</v>
      </c>
      <c r="C308" s="110" t="str">
        <f t="shared" si="134"/>
        <v>RLS</v>
      </c>
      <c r="D308" s="110" t="str">
        <f t="shared" si="135"/>
        <v>LGUM_275</v>
      </c>
      <c r="E308" s="581">
        <f t="shared" si="108"/>
        <v>453</v>
      </c>
      <c r="F308" s="581">
        <f t="shared" si="109"/>
        <v>0</v>
      </c>
      <c r="G308" s="116">
        <f t="shared" si="110"/>
        <v>24.89</v>
      </c>
      <c r="H308" s="116">
        <f t="shared" si="111"/>
        <v>1.7899999999999991</v>
      </c>
      <c r="I308" s="118">
        <f t="shared" si="122"/>
        <v>11275.17</v>
      </c>
      <c r="J308" s="118">
        <f t="shared" si="112"/>
        <v>11275.17</v>
      </c>
      <c r="K308" s="570">
        <f t="shared" si="123"/>
        <v>0</v>
      </c>
      <c r="L308" s="121">
        <f t="shared" si="113"/>
        <v>0</v>
      </c>
      <c r="M308" s="122">
        <f t="shared" si="114"/>
        <v>0</v>
      </c>
      <c r="N308" s="122">
        <f t="shared" si="115"/>
        <v>0</v>
      </c>
      <c r="O308" s="122">
        <f t="shared" si="116"/>
        <v>0</v>
      </c>
      <c r="P308" s="122">
        <f t="shared" si="117"/>
        <v>0</v>
      </c>
      <c r="Q308" s="123">
        <f t="shared" si="118"/>
        <v>11275.17</v>
      </c>
      <c r="R308" s="123">
        <f t="shared" si="124"/>
        <v>-11275.17</v>
      </c>
      <c r="S308" s="582">
        <v>0</v>
      </c>
      <c r="T308" s="123">
        <f t="shared" si="125"/>
        <v>-11275.17</v>
      </c>
      <c r="U308" s="25">
        <f t="shared" si="119"/>
        <v>810.87</v>
      </c>
      <c r="V308" s="123">
        <f t="shared" si="120"/>
        <v>-810.87</v>
      </c>
      <c r="W308" s="334">
        <f t="shared" si="121"/>
        <v>108.72</v>
      </c>
      <c r="Y308" s="109">
        <f>IF(AE308=1,IF(Y307=MiscData!$F$1,EOMONTH(Y307,-11),EOMONTH(Y307,1)),Y307)</f>
        <v>42521</v>
      </c>
      <c r="Z308" s="108" t="str">
        <f t="shared" si="136"/>
        <v>20140101LGUM_275</v>
      </c>
      <c r="AA308" s="126" t="str">
        <f t="shared" si="137"/>
        <v>20140101RLS</v>
      </c>
      <c r="AB308" s="583" t="str">
        <f t="shared" si="126"/>
        <v>275</v>
      </c>
      <c r="AD308" s="98">
        <f>MiscData!$X$5</f>
        <v>20140101</v>
      </c>
      <c r="AE308" s="98">
        <f>IF(AE307+1&gt;MiscData!$AC$77,1,AE307+1)</f>
        <v>13</v>
      </c>
      <c r="AF308" s="98" t="str">
        <f>VLOOKUP(AE308,MiscData!$AC$5:$AD$77,2,FALSE)</f>
        <v>LGUM_275</v>
      </c>
      <c r="AG308" s="98" t="str">
        <f>VLOOKUP(AF308,MiscData!$AD$5:$AE$77,2,FALSE)</f>
        <v>RLS</v>
      </c>
      <c r="AP308" s="98" t="s">
        <v>169</v>
      </c>
      <c r="AR308" s="98">
        <v>3.68</v>
      </c>
    </row>
    <row r="309" spans="1:44">
      <c r="A309" s="108">
        <f t="shared" si="129"/>
        <v>306</v>
      </c>
      <c r="B309" s="109" t="str">
        <f t="shared" si="133"/>
        <v>May 2016</v>
      </c>
      <c r="C309" s="110" t="str">
        <f t="shared" si="134"/>
        <v>RLS</v>
      </c>
      <c r="D309" s="110" t="str">
        <f t="shared" si="135"/>
        <v>LGUM_276</v>
      </c>
      <c r="E309" s="581">
        <f t="shared" si="108"/>
        <v>1301</v>
      </c>
      <c r="F309" s="581">
        <f t="shared" si="109"/>
        <v>0</v>
      </c>
      <c r="G309" s="116">
        <f t="shared" si="110"/>
        <v>14.17</v>
      </c>
      <c r="H309" s="116">
        <f t="shared" si="111"/>
        <v>0.88000000000000078</v>
      </c>
      <c r="I309" s="118">
        <f t="shared" si="122"/>
        <v>18435.169999999998</v>
      </c>
      <c r="J309" s="118">
        <f t="shared" si="112"/>
        <v>18435.169999999998</v>
      </c>
      <c r="K309" s="570">
        <f t="shared" si="123"/>
        <v>0</v>
      </c>
      <c r="L309" s="121">
        <f t="shared" si="113"/>
        <v>0</v>
      </c>
      <c r="M309" s="122">
        <f t="shared" si="114"/>
        <v>0</v>
      </c>
      <c r="N309" s="122">
        <f t="shared" si="115"/>
        <v>0</v>
      </c>
      <c r="O309" s="122">
        <f t="shared" si="116"/>
        <v>0</v>
      </c>
      <c r="P309" s="122">
        <f t="shared" si="117"/>
        <v>0</v>
      </c>
      <c r="Q309" s="123">
        <f t="shared" si="118"/>
        <v>18435.169999999998</v>
      </c>
      <c r="R309" s="123">
        <f t="shared" si="124"/>
        <v>-18435.169999999998</v>
      </c>
      <c r="S309" s="582">
        <v>0</v>
      </c>
      <c r="T309" s="123">
        <f t="shared" si="125"/>
        <v>-18435.169999999998</v>
      </c>
      <c r="U309" s="25">
        <f t="shared" si="119"/>
        <v>1144.8800000000001</v>
      </c>
      <c r="V309" s="123">
        <f t="shared" si="120"/>
        <v>-1144.8800000000001</v>
      </c>
      <c r="W309" s="334">
        <f t="shared" si="121"/>
        <v>338.26</v>
      </c>
      <c r="Y309" s="109">
        <f>IF(AE309=1,IF(Y308=MiscData!$F$1,EOMONTH(Y308,-11),EOMONTH(Y308,1)),Y308)</f>
        <v>42521</v>
      </c>
      <c r="Z309" s="108" t="str">
        <f t="shared" si="136"/>
        <v>20140101LGUM_276</v>
      </c>
      <c r="AA309" s="126" t="str">
        <f t="shared" si="137"/>
        <v>20140101RLS</v>
      </c>
      <c r="AB309" s="583" t="str">
        <f t="shared" si="126"/>
        <v>276</v>
      </c>
      <c r="AD309" s="98">
        <f>MiscData!$X$5</f>
        <v>20140101</v>
      </c>
      <c r="AE309" s="98">
        <f>IF(AE308+1&gt;MiscData!$AC$77,1,AE308+1)</f>
        <v>14</v>
      </c>
      <c r="AF309" s="98" t="str">
        <f>VLOOKUP(AE309,MiscData!$AC$5:$AD$77,2,FALSE)</f>
        <v>LGUM_276</v>
      </c>
      <c r="AG309" s="98" t="str">
        <f>VLOOKUP(AF309,MiscData!$AD$5:$AE$77,2,FALSE)</f>
        <v>RLS</v>
      </c>
      <c r="AP309" s="98" t="s">
        <v>170</v>
      </c>
      <c r="AR309" s="98">
        <v>73.349999999999994</v>
      </c>
    </row>
    <row r="310" spans="1:44">
      <c r="A310" s="108">
        <f t="shared" si="129"/>
        <v>307</v>
      </c>
      <c r="B310" s="109" t="str">
        <f t="shared" si="133"/>
        <v>May 2016</v>
      </c>
      <c r="C310" s="110" t="str">
        <f t="shared" si="134"/>
        <v>RLS</v>
      </c>
      <c r="D310" s="110" t="str">
        <f t="shared" si="135"/>
        <v>LGUM_277</v>
      </c>
      <c r="E310" s="581">
        <f t="shared" si="108"/>
        <v>1996</v>
      </c>
      <c r="F310" s="581">
        <f t="shared" si="109"/>
        <v>0</v>
      </c>
      <c r="G310" s="116">
        <f t="shared" si="110"/>
        <v>22.15</v>
      </c>
      <c r="H310" s="116">
        <f t="shared" si="111"/>
        <v>1.7900000000000027</v>
      </c>
      <c r="I310" s="118">
        <f t="shared" si="122"/>
        <v>44211.4</v>
      </c>
      <c r="J310" s="118">
        <f t="shared" si="112"/>
        <v>44211.4</v>
      </c>
      <c r="K310" s="570">
        <f t="shared" si="123"/>
        <v>0</v>
      </c>
      <c r="L310" s="121">
        <f t="shared" si="113"/>
        <v>0</v>
      </c>
      <c r="M310" s="122">
        <f t="shared" si="114"/>
        <v>0</v>
      </c>
      <c r="N310" s="122">
        <f t="shared" si="115"/>
        <v>0</v>
      </c>
      <c r="O310" s="122">
        <f t="shared" si="116"/>
        <v>0</v>
      </c>
      <c r="P310" s="122">
        <f t="shared" si="117"/>
        <v>0</v>
      </c>
      <c r="Q310" s="123">
        <f t="shared" si="118"/>
        <v>44211.4</v>
      </c>
      <c r="R310" s="123">
        <f t="shared" si="124"/>
        <v>-44211.4</v>
      </c>
      <c r="S310" s="582">
        <v>0</v>
      </c>
      <c r="T310" s="123">
        <f t="shared" si="125"/>
        <v>-44211.4</v>
      </c>
      <c r="U310" s="25">
        <f t="shared" si="119"/>
        <v>3572.84</v>
      </c>
      <c r="V310" s="123">
        <f t="shared" si="120"/>
        <v>-3572.84</v>
      </c>
      <c r="W310" s="334">
        <f t="shared" si="121"/>
        <v>479.03999999999996</v>
      </c>
      <c r="Y310" s="109">
        <f>IF(AE310=1,IF(Y309=MiscData!$F$1,EOMONTH(Y309,-11),EOMONTH(Y309,1)),Y309)</f>
        <v>42521</v>
      </c>
      <c r="Z310" s="108" t="str">
        <f t="shared" si="136"/>
        <v>20140101LGUM_277</v>
      </c>
      <c r="AA310" s="126" t="str">
        <f t="shared" si="137"/>
        <v>20140101RLS</v>
      </c>
      <c r="AB310" s="583" t="str">
        <f t="shared" si="126"/>
        <v>277</v>
      </c>
      <c r="AD310" s="98">
        <f>MiscData!$X$5</f>
        <v>20140101</v>
      </c>
      <c r="AE310" s="98">
        <f>IF(AE309+1&gt;MiscData!$AC$77,1,AE309+1)</f>
        <v>15</v>
      </c>
      <c r="AF310" s="98" t="str">
        <f>VLOOKUP(AE310,MiscData!$AC$5:$AD$77,2,FALSE)</f>
        <v>LGUM_277</v>
      </c>
      <c r="AG310" s="98" t="str">
        <f>VLOOKUP(AF310,MiscData!$AD$5:$AE$77,2,FALSE)</f>
        <v>RLS</v>
      </c>
      <c r="AP310" s="98" t="s">
        <v>171</v>
      </c>
      <c r="AR310" s="98">
        <v>-77.11</v>
      </c>
    </row>
    <row r="311" spans="1:44">
      <c r="A311" s="108">
        <f t="shared" si="129"/>
        <v>308</v>
      </c>
      <c r="B311" s="109" t="str">
        <f t="shared" si="133"/>
        <v>May 2016</v>
      </c>
      <c r="C311" s="110" t="str">
        <f t="shared" si="134"/>
        <v>RLS</v>
      </c>
      <c r="D311" s="110" t="str">
        <f t="shared" si="135"/>
        <v>LGUM_278</v>
      </c>
      <c r="E311" s="581">
        <f t="shared" si="108"/>
        <v>16</v>
      </c>
      <c r="F311" s="581">
        <f t="shared" si="109"/>
        <v>0</v>
      </c>
      <c r="G311" s="116">
        <f t="shared" si="110"/>
        <v>72.550000000000011</v>
      </c>
      <c r="H311" s="116">
        <f t="shared" si="111"/>
        <v>9.8400000000000034</v>
      </c>
      <c r="I311" s="118">
        <f t="shared" si="122"/>
        <v>1160.8</v>
      </c>
      <c r="J311" s="118">
        <f t="shared" si="112"/>
        <v>1160.8</v>
      </c>
      <c r="K311" s="570">
        <f t="shared" si="123"/>
        <v>0</v>
      </c>
      <c r="L311" s="121">
        <f t="shared" si="113"/>
        <v>0</v>
      </c>
      <c r="M311" s="122">
        <f t="shared" si="114"/>
        <v>0</v>
      </c>
      <c r="N311" s="122">
        <f t="shared" si="115"/>
        <v>0</v>
      </c>
      <c r="O311" s="122">
        <f t="shared" si="116"/>
        <v>0</v>
      </c>
      <c r="P311" s="122">
        <f t="shared" si="117"/>
        <v>0</v>
      </c>
      <c r="Q311" s="123">
        <f t="shared" si="118"/>
        <v>1160.8</v>
      </c>
      <c r="R311" s="123">
        <f t="shared" si="124"/>
        <v>-1160.8</v>
      </c>
      <c r="S311" s="582">
        <v>0</v>
      </c>
      <c r="T311" s="123">
        <f t="shared" si="125"/>
        <v>-1160.8</v>
      </c>
      <c r="U311" s="25">
        <f t="shared" si="119"/>
        <v>157.44</v>
      </c>
      <c r="V311" s="123">
        <f t="shared" si="120"/>
        <v>-157.44</v>
      </c>
      <c r="W311" s="334">
        <f t="shared" si="121"/>
        <v>14.4</v>
      </c>
      <c r="Y311" s="109">
        <f>IF(AE311=1,IF(Y310=MiscData!$F$1,EOMONTH(Y310,-11),EOMONTH(Y310,1)),Y310)</f>
        <v>42521</v>
      </c>
      <c r="Z311" s="108" t="str">
        <f t="shared" si="136"/>
        <v>20140101LGUM_278</v>
      </c>
      <c r="AA311" s="126" t="str">
        <f t="shared" si="137"/>
        <v>20140101RLS</v>
      </c>
      <c r="AB311" s="583" t="str">
        <f t="shared" si="126"/>
        <v>278</v>
      </c>
      <c r="AD311" s="98">
        <f>MiscData!$X$5</f>
        <v>20140101</v>
      </c>
      <c r="AE311" s="98">
        <f>IF(AE310+1&gt;MiscData!$AC$77,1,AE310+1)</f>
        <v>16</v>
      </c>
      <c r="AF311" s="98" t="str">
        <f>VLOOKUP(AE311,MiscData!$AC$5:$AD$77,2,FALSE)</f>
        <v>LGUM_278</v>
      </c>
      <c r="AG311" s="98" t="str">
        <f>VLOOKUP(AF311,MiscData!$AD$5:$AE$77,2,FALSE)</f>
        <v>RLS</v>
      </c>
      <c r="AP311" s="98" t="s">
        <v>172</v>
      </c>
      <c r="AR311" s="98">
        <v>-26.33</v>
      </c>
    </row>
    <row r="312" spans="1:44">
      <c r="A312" s="108">
        <f t="shared" si="129"/>
        <v>309</v>
      </c>
      <c r="B312" s="109" t="str">
        <f t="shared" si="133"/>
        <v>May 2016</v>
      </c>
      <c r="C312" s="110" t="str">
        <f t="shared" si="134"/>
        <v>RLS</v>
      </c>
      <c r="D312" s="110" t="str">
        <f t="shared" si="135"/>
        <v>LGUM_279</v>
      </c>
      <c r="E312" s="581">
        <f t="shared" si="108"/>
        <v>11</v>
      </c>
      <c r="F312" s="581">
        <f t="shared" si="109"/>
        <v>0</v>
      </c>
      <c r="G312" s="116">
        <f t="shared" si="110"/>
        <v>41.43</v>
      </c>
      <c r="H312" s="116">
        <f t="shared" si="111"/>
        <v>9.8399999999999963</v>
      </c>
      <c r="I312" s="118">
        <f t="shared" si="122"/>
        <v>455.73</v>
      </c>
      <c r="J312" s="118">
        <f t="shared" si="112"/>
        <v>455.73</v>
      </c>
      <c r="K312" s="570">
        <f t="shared" si="123"/>
        <v>0</v>
      </c>
      <c r="L312" s="121">
        <f t="shared" si="113"/>
        <v>0</v>
      </c>
      <c r="M312" s="122">
        <f t="shared" si="114"/>
        <v>0</v>
      </c>
      <c r="N312" s="122">
        <f t="shared" si="115"/>
        <v>0</v>
      </c>
      <c r="O312" s="122">
        <f t="shared" si="116"/>
        <v>0</v>
      </c>
      <c r="P312" s="122">
        <f t="shared" si="117"/>
        <v>0</v>
      </c>
      <c r="Q312" s="123">
        <f t="shared" si="118"/>
        <v>455.73</v>
      </c>
      <c r="R312" s="123">
        <f t="shared" si="124"/>
        <v>-455.73</v>
      </c>
      <c r="S312" s="582">
        <v>0</v>
      </c>
      <c r="T312" s="123">
        <f t="shared" si="125"/>
        <v>-455.73</v>
      </c>
      <c r="U312" s="25">
        <f t="shared" si="119"/>
        <v>108.24</v>
      </c>
      <c r="V312" s="123">
        <f t="shared" si="120"/>
        <v>-108.24</v>
      </c>
      <c r="W312" s="334">
        <f t="shared" si="121"/>
        <v>9.9</v>
      </c>
      <c r="Y312" s="109">
        <f>IF(AE312=1,IF(Y311=MiscData!$F$1,EOMONTH(Y311,-11),EOMONTH(Y311,1)),Y311)</f>
        <v>42521</v>
      </c>
      <c r="Z312" s="108" t="str">
        <f t="shared" si="136"/>
        <v>20140101LGUM_279</v>
      </c>
      <c r="AA312" s="126" t="str">
        <f t="shared" si="137"/>
        <v>20140101RLS</v>
      </c>
      <c r="AB312" s="583" t="str">
        <f t="shared" si="126"/>
        <v>279</v>
      </c>
      <c r="AD312" s="98">
        <f>MiscData!$X$5</f>
        <v>20140101</v>
      </c>
      <c r="AE312" s="98">
        <f>IF(AE311+1&gt;MiscData!$AC$77,1,AE311+1)</f>
        <v>17</v>
      </c>
      <c r="AF312" s="98" t="str">
        <f>VLOOKUP(AE312,MiscData!$AC$5:$AD$77,2,FALSE)</f>
        <v>LGUM_279</v>
      </c>
      <c r="AG312" s="98" t="str">
        <f>VLOOKUP(AF312,MiscData!$AD$5:$AE$77,2,FALSE)</f>
        <v>RLS</v>
      </c>
      <c r="AP312" s="98" t="s">
        <v>173</v>
      </c>
      <c r="AR312" s="98">
        <v>0</v>
      </c>
    </row>
    <row r="313" spans="1:44">
      <c r="A313" s="108">
        <f t="shared" si="129"/>
        <v>310</v>
      </c>
      <c r="B313" s="109" t="str">
        <f t="shared" si="133"/>
        <v>May 2016</v>
      </c>
      <c r="C313" s="110" t="str">
        <f t="shared" si="134"/>
        <v>RLS</v>
      </c>
      <c r="D313" s="110" t="str">
        <f t="shared" si="135"/>
        <v>LGUM_280</v>
      </c>
      <c r="E313" s="581">
        <f t="shared" si="108"/>
        <v>44</v>
      </c>
      <c r="F313" s="581">
        <f t="shared" si="109"/>
        <v>0</v>
      </c>
      <c r="G313" s="116">
        <f t="shared" si="110"/>
        <v>19.38</v>
      </c>
      <c r="H313" s="116">
        <f t="shared" si="111"/>
        <v>0.87999999999999901</v>
      </c>
      <c r="I313" s="118">
        <f t="shared" si="122"/>
        <v>852.72</v>
      </c>
      <c r="J313" s="118">
        <f t="shared" si="112"/>
        <v>852.72</v>
      </c>
      <c r="K313" s="570">
        <f t="shared" si="123"/>
        <v>0</v>
      </c>
      <c r="L313" s="121">
        <f t="shared" si="113"/>
        <v>0</v>
      </c>
      <c r="M313" s="122">
        <f t="shared" si="114"/>
        <v>0</v>
      </c>
      <c r="N313" s="122">
        <f t="shared" si="115"/>
        <v>0</v>
      </c>
      <c r="O313" s="122">
        <f t="shared" si="116"/>
        <v>0</v>
      </c>
      <c r="P313" s="122">
        <f t="shared" si="117"/>
        <v>0</v>
      </c>
      <c r="Q313" s="123">
        <f t="shared" si="118"/>
        <v>852.72</v>
      </c>
      <c r="R313" s="123">
        <f t="shared" si="124"/>
        <v>-852.72</v>
      </c>
      <c r="S313" s="582">
        <v>0</v>
      </c>
      <c r="T313" s="123">
        <f t="shared" si="125"/>
        <v>-852.72</v>
      </c>
      <c r="U313" s="25">
        <f t="shared" si="119"/>
        <v>38.72</v>
      </c>
      <c r="V313" s="123">
        <f t="shared" si="120"/>
        <v>-38.72</v>
      </c>
      <c r="W313" s="334">
        <f t="shared" si="121"/>
        <v>11.440000000000001</v>
      </c>
      <c r="Y313" s="109">
        <f>IF(AE313=1,IF(Y312=MiscData!$F$1,EOMONTH(Y312,-11),EOMONTH(Y312,1)),Y312)</f>
        <v>42521</v>
      </c>
      <c r="Z313" s="108" t="str">
        <f t="shared" si="136"/>
        <v>20140101LGUM_280</v>
      </c>
      <c r="AA313" s="126" t="str">
        <f t="shared" si="137"/>
        <v>20140101RLS</v>
      </c>
      <c r="AB313" s="583" t="str">
        <f t="shared" si="126"/>
        <v>280</v>
      </c>
      <c r="AD313" s="98">
        <f>MiscData!$X$5</f>
        <v>20140101</v>
      </c>
      <c r="AE313" s="98">
        <f>IF(AE312+1&gt;MiscData!$AC$77,1,AE312+1)</f>
        <v>18</v>
      </c>
      <c r="AF313" s="98" t="str">
        <f>VLOOKUP(AE313,MiscData!$AC$5:$AD$77,2,FALSE)</f>
        <v>LGUM_280</v>
      </c>
      <c r="AG313" s="98" t="str">
        <f>VLOOKUP(AF313,MiscData!$AD$5:$AE$77,2,FALSE)</f>
        <v>RLS</v>
      </c>
      <c r="AP313" s="98" t="s">
        <v>174</v>
      </c>
      <c r="AR313" s="98">
        <v>0</v>
      </c>
    </row>
    <row r="314" spans="1:44">
      <c r="A314" s="108">
        <f t="shared" si="129"/>
        <v>311</v>
      </c>
      <c r="B314" s="109" t="str">
        <f t="shared" si="133"/>
        <v>May 2016</v>
      </c>
      <c r="C314" s="110" t="str">
        <f t="shared" si="134"/>
        <v>RLS</v>
      </c>
      <c r="D314" s="110" t="str">
        <f t="shared" si="135"/>
        <v>LGUM_281</v>
      </c>
      <c r="E314" s="581">
        <f t="shared" si="108"/>
        <v>238</v>
      </c>
      <c r="F314" s="581">
        <f t="shared" si="109"/>
        <v>0</v>
      </c>
      <c r="G314" s="116">
        <f t="shared" si="110"/>
        <v>20.349999999999998</v>
      </c>
      <c r="H314" s="116">
        <f t="shared" si="111"/>
        <v>1.2699999999999996</v>
      </c>
      <c r="I314" s="118">
        <f t="shared" si="122"/>
        <v>4843.3</v>
      </c>
      <c r="J314" s="118">
        <f t="shared" si="112"/>
        <v>4843.3</v>
      </c>
      <c r="K314" s="570">
        <f t="shared" si="123"/>
        <v>0</v>
      </c>
      <c r="L314" s="121">
        <f t="shared" si="113"/>
        <v>0</v>
      </c>
      <c r="M314" s="122">
        <f t="shared" si="114"/>
        <v>0</v>
      </c>
      <c r="N314" s="122">
        <f t="shared" si="115"/>
        <v>0</v>
      </c>
      <c r="O314" s="122">
        <f t="shared" si="116"/>
        <v>0</v>
      </c>
      <c r="P314" s="122">
        <f t="shared" si="117"/>
        <v>0</v>
      </c>
      <c r="Q314" s="123">
        <f t="shared" si="118"/>
        <v>4843.3</v>
      </c>
      <c r="R314" s="123">
        <f t="shared" si="124"/>
        <v>-4843.3</v>
      </c>
      <c r="S314" s="582">
        <v>0</v>
      </c>
      <c r="T314" s="123">
        <f t="shared" si="125"/>
        <v>-4843.3</v>
      </c>
      <c r="U314" s="25">
        <f t="shared" si="119"/>
        <v>302.26</v>
      </c>
      <c r="V314" s="123">
        <f t="shared" si="120"/>
        <v>-302.26</v>
      </c>
      <c r="W314" s="334">
        <f t="shared" si="121"/>
        <v>64.260000000000005</v>
      </c>
      <c r="Y314" s="109">
        <f>IF(AE314=1,IF(Y313=MiscData!$F$1,EOMONTH(Y313,-11),EOMONTH(Y313,1)),Y313)</f>
        <v>42521</v>
      </c>
      <c r="Z314" s="108" t="str">
        <f t="shared" si="136"/>
        <v>20140101LGUM_281</v>
      </c>
      <c r="AA314" s="126" t="str">
        <f t="shared" si="137"/>
        <v>20140101RLS</v>
      </c>
      <c r="AB314" s="583" t="str">
        <f t="shared" si="126"/>
        <v>281</v>
      </c>
      <c r="AD314" s="98">
        <f>MiscData!$X$5</f>
        <v>20140101</v>
      </c>
      <c r="AE314" s="98">
        <f>IF(AE313+1&gt;MiscData!$AC$77,1,AE313+1)</f>
        <v>19</v>
      </c>
      <c r="AF314" s="98" t="str">
        <f>VLOOKUP(AE314,MiscData!$AC$5:$AD$77,2,FALSE)</f>
        <v>LGUM_281</v>
      </c>
      <c r="AG314" s="98" t="str">
        <f>VLOOKUP(AF314,MiscData!$AD$5:$AE$77,2,FALSE)</f>
        <v>RLS</v>
      </c>
      <c r="AP314" s="98" t="s">
        <v>175</v>
      </c>
      <c r="AR314" s="98">
        <v>-7.68</v>
      </c>
    </row>
    <row r="315" spans="1:44">
      <c r="A315" s="108">
        <f t="shared" si="129"/>
        <v>312</v>
      </c>
      <c r="B315" s="109" t="str">
        <f t="shared" si="133"/>
        <v>May 2016</v>
      </c>
      <c r="C315" s="110" t="str">
        <f t="shared" si="134"/>
        <v>RLS</v>
      </c>
      <c r="D315" s="110" t="str">
        <f t="shared" si="135"/>
        <v>LGUM_282</v>
      </c>
      <c r="E315" s="581">
        <f t="shared" si="108"/>
        <v>102</v>
      </c>
      <c r="F315" s="581">
        <f t="shared" si="109"/>
        <v>0</v>
      </c>
      <c r="G315" s="116">
        <f t="shared" si="110"/>
        <v>19.53</v>
      </c>
      <c r="H315" s="116">
        <f t="shared" si="111"/>
        <v>0.87999999999999901</v>
      </c>
      <c r="I315" s="118">
        <f t="shared" si="122"/>
        <v>1992.06</v>
      </c>
      <c r="J315" s="118">
        <f t="shared" si="112"/>
        <v>1992.06</v>
      </c>
      <c r="K315" s="570">
        <f t="shared" si="123"/>
        <v>0</v>
      </c>
      <c r="L315" s="121">
        <f t="shared" si="113"/>
        <v>0</v>
      </c>
      <c r="M315" s="122">
        <f t="shared" si="114"/>
        <v>0</v>
      </c>
      <c r="N315" s="122">
        <f t="shared" si="115"/>
        <v>0</v>
      </c>
      <c r="O315" s="122">
        <f t="shared" si="116"/>
        <v>0</v>
      </c>
      <c r="P315" s="122">
        <f t="shared" si="117"/>
        <v>0</v>
      </c>
      <c r="Q315" s="123">
        <f t="shared" si="118"/>
        <v>1992.06</v>
      </c>
      <c r="R315" s="123">
        <f t="shared" si="124"/>
        <v>-1992.06</v>
      </c>
      <c r="S315" s="582">
        <v>0</v>
      </c>
      <c r="T315" s="123">
        <f t="shared" si="125"/>
        <v>-1992.06</v>
      </c>
      <c r="U315" s="25">
        <f t="shared" si="119"/>
        <v>89.76</v>
      </c>
      <c r="V315" s="123">
        <f t="shared" si="120"/>
        <v>-89.76</v>
      </c>
      <c r="W315" s="334">
        <f t="shared" si="121"/>
        <v>26.52</v>
      </c>
      <c r="Y315" s="109">
        <f>IF(AE315=1,IF(Y314=MiscData!$F$1,EOMONTH(Y314,-11),EOMONTH(Y314,1)),Y314)</f>
        <v>42521</v>
      </c>
      <c r="Z315" s="108" t="str">
        <f t="shared" si="136"/>
        <v>20140101LGUM_282</v>
      </c>
      <c r="AA315" s="126" t="str">
        <f t="shared" si="137"/>
        <v>20140101RLS</v>
      </c>
      <c r="AB315" s="583" t="str">
        <f t="shared" si="126"/>
        <v>282</v>
      </c>
      <c r="AD315" s="98">
        <f>MiscData!$X$5</f>
        <v>20140101</v>
      </c>
      <c r="AE315" s="98">
        <f>IF(AE314+1&gt;MiscData!$AC$77,1,AE314+1)</f>
        <v>20</v>
      </c>
      <c r="AF315" s="98" t="str">
        <f>VLOOKUP(AE315,MiscData!$AC$5:$AD$77,2,FALSE)</f>
        <v>LGUM_282</v>
      </c>
      <c r="AG315" s="98" t="str">
        <f>VLOOKUP(AF315,MiscData!$AD$5:$AE$77,2,FALSE)</f>
        <v>RLS</v>
      </c>
      <c r="AP315" s="98" t="s">
        <v>176</v>
      </c>
      <c r="AR315" s="98">
        <v>0</v>
      </c>
    </row>
    <row r="316" spans="1:44">
      <c r="A316" s="108">
        <f t="shared" si="129"/>
        <v>313</v>
      </c>
      <c r="B316" s="109" t="str">
        <f t="shared" si="133"/>
        <v>May 2016</v>
      </c>
      <c r="C316" s="110" t="str">
        <f t="shared" si="134"/>
        <v>RLS</v>
      </c>
      <c r="D316" s="110" t="str">
        <f t="shared" si="135"/>
        <v>LGUM_283</v>
      </c>
      <c r="E316" s="581">
        <f t="shared" si="108"/>
        <v>79</v>
      </c>
      <c r="F316" s="581">
        <f t="shared" si="109"/>
        <v>0</v>
      </c>
      <c r="G316" s="116">
        <f t="shared" si="110"/>
        <v>20.819999999999997</v>
      </c>
      <c r="H316" s="116">
        <f t="shared" si="111"/>
        <v>1.2699999999999996</v>
      </c>
      <c r="I316" s="118">
        <f t="shared" si="122"/>
        <v>1644.78</v>
      </c>
      <c r="J316" s="118">
        <f t="shared" si="112"/>
        <v>1644.78</v>
      </c>
      <c r="K316" s="570">
        <f t="shared" si="123"/>
        <v>0</v>
      </c>
      <c r="L316" s="121">
        <f t="shared" si="113"/>
        <v>0</v>
      </c>
      <c r="M316" s="122">
        <f t="shared" si="114"/>
        <v>0</v>
      </c>
      <c r="N316" s="122">
        <f t="shared" si="115"/>
        <v>0</v>
      </c>
      <c r="O316" s="122">
        <f t="shared" si="116"/>
        <v>0</v>
      </c>
      <c r="P316" s="122">
        <f t="shared" si="117"/>
        <v>0</v>
      </c>
      <c r="Q316" s="123">
        <f t="shared" si="118"/>
        <v>1644.78</v>
      </c>
      <c r="R316" s="123">
        <f t="shared" si="124"/>
        <v>-1644.78</v>
      </c>
      <c r="S316" s="582">
        <v>0</v>
      </c>
      <c r="T316" s="123">
        <f t="shared" si="125"/>
        <v>-1644.78</v>
      </c>
      <c r="U316" s="25">
        <f t="shared" si="119"/>
        <v>100.33</v>
      </c>
      <c r="V316" s="123">
        <f t="shared" si="120"/>
        <v>-100.33</v>
      </c>
      <c r="W316" s="334">
        <f t="shared" si="121"/>
        <v>21.330000000000002</v>
      </c>
      <c r="Y316" s="109">
        <f>IF(AE316=1,IF(Y315=MiscData!$F$1,EOMONTH(Y315,-11),EOMONTH(Y315,1)),Y315)</f>
        <v>42521</v>
      </c>
      <c r="Z316" s="108" t="str">
        <f t="shared" si="136"/>
        <v>20140101LGUM_283</v>
      </c>
      <c r="AA316" s="126" t="str">
        <f t="shared" si="137"/>
        <v>20140101RLS</v>
      </c>
      <c r="AB316" s="583" t="str">
        <f t="shared" si="126"/>
        <v>283</v>
      </c>
      <c r="AD316" s="98">
        <f>MiscData!$X$5</f>
        <v>20140101</v>
      </c>
      <c r="AE316" s="98">
        <f>IF(AE315+1&gt;MiscData!$AC$77,1,AE315+1)</f>
        <v>21</v>
      </c>
      <c r="AF316" s="98" t="str">
        <f>VLOOKUP(AE316,MiscData!$AC$5:$AD$77,2,FALSE)</f>
        <v>LGUM_283</v>
      </c>
      <c r="AG316" s="98" t="str">
        <f>VLOOKUP(AF316,MiscData!$AD$5:$AE$77,2,FALSE)</f>
        <v>RLS</v>
      </c>
      <c r="AP316" s="98" t="s">
        <v>177</v>
      </c>
      <c r="AR316" s="98">
        <v>0</v>
      </c>
    </row>
    <row r="317" spans="1:44">
      <c r="A317" s="108">
        <f t="shared" si="129"/>
        <v>314</v>
      </c>
      <c r="B317" s="109" t="str">
        <f t="shared" si="133"/>
        <v>May 2016</v>
      </c>
      <c r="C317" s="110" t="str">
        <f t="shared" si="134"/>
        <v>RLS</v>
      </c>
      <c r="D317" s="110" t="str">
        <f t="shared" si="135"/>
        <v>LGUM_314</v>
      </c>
      <c r="E317" s="581">
        <f t="shared" si="108"/>
        <v>102</v>
      </c>
      <c r="F317" s="581">
        <f t="shared" si="109"/>
        <v>0</v>
      </c>
      <c r="G317" s="116">
        <f t="shared" si="110"/>
        <v>19.2</v>
      </c>
      <c r="H317" s="116">
        <f t="shared" si="111"/>
        <v>2.7100000000000009</v>
      </c>
      <c r="I317" s="118">
        <f t="shared" si="122"/>
        <v>1958.4</v>
      </c>
      <c r="J317" s="118">
        <f t="shared" si="112"/>
        <v>1958.4</v>
      </c>
      <c r="K317" s="570">
        <f t="shared" si="123"/>
        <v>0</v>
      </c>
      <c r="L317" s="121">
        <f t="shared" si="113"/>
        <v>0</v>
      </c>
      <c r="M317" s="122">
        <f t="shared" si="114"/>
        <v>0</v>
      </c>
      <c r="N317" s="122">
        <f t="shared" si="115"/>
        <v>0</v>
      </c>
      <c r="O317" s="122">
        <f t="shared" si="116"/>
        <v>0</v>
      </c>
      <c r="P317" s="122">
        <f t="shared" si="117"/>
        <v>0</v>
      </c>
      <c r="Q317" s="123">
        <f t="shared" si="118"/>
        <v>1958.4</v>
      </c>
      <c r="R317" s="123">
        <f t="shared" si="124"/>
        <v>-1958.4</v>
      </c>
      <c r="S317" s="582">
        <v>0</v>
      </c>
      <c r="T317" s="123">
        <f t="shared" si="125"/>
        <v>-1958.4</v>
      </c>
      <c r="U317" s="25">
        <f t="shared" si="119"/>
        <v>276.42</v>
      </c>
      <c r="V317" s="123">
        <f t="shared" si="120"/>
        <v>-276.42</v>
      </c>
      <c r="W317" s="334">
        <f t="shared" si="121"/>
        <v>18.36</v>
      </c>
      <c r="Y317" s="109">
        <f>IF(AE317=1,IF(Y316=MiscData!$F$1,EOMONTH(Y316,-11),EOMONTH(Y316,1)),Y316)</f>
        <v>42521</v>
      </c>
      <c r="Z317" s="108" t="str">
        <f t="shared" si="136"/>
        <v>20140101LGUM_314</v>
      </c>
      <c r="AA317" s="126" t="str">
        <f t="shared" si="137"/>
        <v>20140101RLS</v>
      </c>
      <c r="AB317" s="583" t="str">
        <f t="shared" si="126"/>
        <v>314</v>
      </c>
      <c r="AD317" s="98">
        <f>MiscData!$X$5</f>
        <v>20140101</v>
      </c>
      <c r="AE317" s="98">
        <f>IF(AE316+1&gt;MiscData!$AC$77,1,AE316+1)</f>
        <v>22</v>
      </c>
      <c r="AF317" s="98" t="str">
        <f>VLOOKUP(AE317,MiscData!$AC$5:$AD$77,2,FALSE)</f>
        <v>LGUM_314</v>
      </c>
      <c r="AG317" s="98" t="str">
        <f>VLOOKUP(AF317,MiscData!$AD$5:$AE$77,2,FALSE)</f>
        <v>RLS</v>
      </c>
      <c r="AP317" s="98" t="s">
        <v>178</v>
      </c>
      <c r="AR317" s="98">
        <v>-22.56</v>
      </c>
    </row>
    <row r="318" spans="1:44">
      <c r="A318" s="108">
        <f t="shared" si="129"/>
        <v>315</v>
      </c>
      <c r="B318" s="109" t="str">
        <f t="shared" si="133"/>
        <v>May 2016</v>
      </c>
      <c r="C318" s="110" t="str">
        <f t="shared" si="134"/>
        <v>RLS</v>
      </c>
      <c r="D318" s="110" t="str">
        <f t="shared" si="135"/>
        <v>LGUM_315</v>
      </c>
      <c r="E318" s="581">
        <f t="shared" si="108"/>
        <v>24</v>
      </c>
      <c r="F318" s="581">
        <f t="shared" si="109"/>
        <v>0</v>
      </c>
      <c r="G318" s="116">
        <f t="shared" si="110"/>
        <v>22.949999999999996</v>
      </c>
      <c r="H318" s="116">
        <f t="shared" si="111"/>
        <v>4.1999999999999993</v>
      </c>
      <c r="I318" s="118">
        <f t="shared" si="122"/>
        <v>550.79999999999995</v>
      </c>
      <c r="J318" s="118">
        <f t="shared" si="112"/>
        <v>550.79999999999995</v>
      </c>
      <c r="K318" s="570">
        <f t="shared" si="123"/>
        <v>0</v>
      </c>
      <c r="L318" s="121">
        <f t="shared" si="113"/>
        <v>0</v>
      </c>
      <c r="M318" s="122">
        <f t="shared" si="114"/>
        <v>0</v>
      </c>
      <c r="N318" s="122">
        <f t="shared" si="115"/>
        <v>0</v>
      </c>
      <c r="O318" s="122">
        <f t="shared" si="116"/>
        <v>0</v>
      </c>
      <c r="P318" s="122">
        <f t="shared" si="117"/>
        <v>0</v>
      </c>
      <c r="Q318" s="123">
        <f t="shared" si="118"/>
        <v>550.79999999999995</v>
      </c>
      <c r="R318" s="123">
        <f t="shared" si="124"/>
        <v>-550.79999999999995</v>
      </c>
      <c r="S318" s="582">
        <v>0</v>
      </c>
      <c r="T318" s="123">
        <f t="shared" si="125"/>
        <v>-550.79999999999995</v>
      </c>
      <c r="U318" s="25">
        <f t="shared" si="119"/>
        <v>100.8</v>
      </c>
      <c r="V318" s="123">
        <f t="shared" si="120"/>
        <v>-100.8</v>
      </c>
      <c r="W318" s="334">
        <f t="shared" si="121"/>
        <v>5.28</v>
      </c>
      <c r="Y318" s="109">
        <f>IF(AE318=1,IF(Y317=MiscData!$F$1,EOMONTH(Y317,-11),EOMONTH(Y317,1)),Y317)</f>
        <v>42521</v>
      </c>
      <c r="Z318" s="108" t="str">
        <f t="shared" si="136"/>
        <v>20140101LGUM_315</v>
      </c>
      <c r="AA318" s="126" t="str">
        <f t="shared" si="137"/>
        <v>20140101RLS</v>
      </c>
      <c r="AB318" s="583" t="str">
        <f t="shared" si="126"/>
        <v>315</v>
      </c>
      <c r="AD318" s="98">
        <f>MiscData!$X$5</f>
        <v>20140101</v>
      </c>
      <c r="AE318" s="98">
        <f>IF(AE317+1&gt;MiscData!$AC$77,1,AE317+1)</f>
        <v>23</v>
      </c>
      <c r="AF318" s="98" t="str">
        <f>VLOOKUP(AE318,MiscData!$AC$5:$AD$77,2,FALSE)</f>
        <v>LGUM_315</v>
      </c>
      <c r="AG318" s="98" t="str">
        <f>VLOOKUP(AF318,MiscData!$AD$5:$AE$77,2,FALSE)</f>
        <v>RLS</v>
      </c>
      <c r="AP318" s="98" t="s">
        <v>179</v>
      </c>
      <c r="AR318" s="98">
        <v>-14.19</v>
      </c>
    </row>
    <row r="319" spans="1:44">
      <c r="A319" s="108">
        <f t="shared" si="129"/>
        <v>316</v>
      </c>
      <c r="B319" s="109" t="str">
        <f t="shared" si="133"/>
        <v>May 2016</v>
      </c>
      <c r="C319" s="110" t="str">
        <f t="shared" si="134"/>
        <v>RLS</v>
      </c>
      <c r="D319" s="110" t="str">
        <f t="shared" si="135"/>
        <v>LGUM_318</v>
      </c>
      <c r="E319" s="581">
        <f t="shared" si="108"/>
        <v>47</v>
      </c>
      <c r="F319" s="581">
        <f t="shared" si="109"/>
        <v>0</v>
      </c>
      <c r="G319" s="116">
        <f t="shared" si="110"/>
        <v>17.419999999999998</v>
      </c>
      <c r="H319" s="116">
        <f t="shared" si="111"/>
        <v>1.9100000000000001</v>
      </c>
      <c r="I319" s="118">
        <f t="shared" si="122"/>
        <v>818.74</v>
      </c>
      <c r="J319" s="118">
        <f t="shared" si="112"/>
        <v>818.74</v>
      </c>
      <c r="K319" s="570">
        <f t="shared" si="123"/>
        <v>0</v>
      </c>
      <c r="L319" s="121">
        <f t="shared" si="113"/>
        <v>0</v>
      </c>
      <c r="M319" s="122">
        <f t="shared" si="114"/>
        <v>0</v>
      </c>
      <c r="N319" s="122">
        <f t="shared" si="115"/>
        <v>0</v>
      </c>
      <c r="O319" s="122">
        <f t="shared" si="116"/>
        <v>0</v>
      </c>
      <c r="P319" s="122">
        <f t="shared" si="117"/>
        <v>0</v>
      </c>
      <c r="Q319" s="123">
        <f t="shared" si="118"/>
        <v>818.74</v>
      </c>
      <c r="R319" s="123">
        <f t="shared" si="124"/>
        <v>-818.74</v>
      </c>
      <c r="S319" s="582">
        <v>0</v>
      </c>
      <c r="T319" s="123">
        <f t="shared" si="125"/>
        <v>-818.74</v>
      </c>
      <c r="U319" s="25">
        <f t="shared" si="119"/>
        <v>89.77</v>
      </c>
      <c r="V319" s="123">
        <f t="shared" si="120"/>
        <v>-89.77</v>
      </c>
      <c r="W319" s="334">
        <f t="shared" si="121"/>
        <v>7.5200000000000005</v>
      </c>
      <c r="Y319" s="109">
        <f>IF(AE319=1,IF(Y318=MiscData!$F$1,EOMONTH(Y318,-11),EOMONTH(Y318,1)),Y318)</f>
        <v>42521</v>
      </c>
      <c r="Z319" s="108" t="str">
        <f t="shared" si="136"/>
        <v>20140101LGUM_318</v>
      </c>
      <c r="AA319" s="126" t="str">
        <f t="shared" si="137"/>
        <v>20140101RLS</v>
      </c>
      <c r="AB319" s="583" t="str">
        <f t="shared" si="126"/>
        <v>318</v>
      </c>
      <c r="AD319" s="98">
        <f>MiscData!$X$5</f>
        <v>20140101</v>
      </c>
      <c r="AE319" s="98">
        <f>IF(AE318+1&gt;MiscData!$AC$77,1,AE318+1)</f>
        <v>24</v>
      </c>
      <c r="AF319" s="98" t="str">
        <f>VLOOKUP(AE319,MiscData!$AC$5:$AD$77,2,FALSE)</f>
        <v>LGUM_318</v>
      </c>
      <c r="AG319" s="98" t="str">
        <f>VLOOKUP(AF319,MiscData!$AD$5:$AE$77,2,FALSE)</f>
        <v>RLS</v>
      </c>
      <c r="AP319" s="98" t="s">
        <v>180</v>
      </c>
      <c r="AR319" s="98">
        <v>5.26</v>
      </c>
    </row>
    <row r="320" spans="1:44">
      <c r="A320" s="108">
        <f t="shared" si="129"/>
        <v>317</v>
      </c>
      <c r="B320" s="109" t="str">
        <f t="shared" si="133"/>
        <v>May 2016</v>
      </c>
      <c r="C320" s="110" t="str">
        <f t="shared" si="134"/>
        <v>RLS</v>
      </c>
      <c r="D320" s="110" t="str">
        <f t="shared" si="135"/>
        <v>LGUM_347</v>
      </c>
      <c r="E320" s="581">
        <f t="shared" si="108"/>
        <v>0</v>
      </c>
      <c r="F320" s="581">
        <f t="shared" si="109"/>
        <v>0</v>
      </c>
      <c r="G320" s="116">
        <f t="shared" si="110"/>
        <v>22.939999999999998</v>
      </c>
      <c r="H320" s="116">
        <f t="shared" si="111"/>
        <v>26.14</v>
      </c>
      <c r="I320" s="118">
        <f t="shared" si="122"/>
        <v>0</v>
      </c>
      <c r="J320" s="118">
        <f t="shared" si="112"/>
        <v>0</v>
      </c>
      <c r="K320" s="570">
        <f t="shared" si="123"/>
        <v>0</v>
      </c>
      <c r="L320" s="121">
        <f t="shared" si="113"/>
        <v>1</v>
      </c>
      <c r="M320" s="122">
        <f t="shared" si="114"/>
        <v>0</v>
      </c>
      <c r="N320" s="122">
        <f t="shared" si="115"/>
        <v>0</v>
      </c>
      <c r="O320" s="122">
        <f t="shared" si="116"/>
        <v>0</v>
      </c>
      <c r="P320" s="122">
        <f t="shared" si="117"/>
        <v>0</v>
      </c>
      <c r="Q320" s="123">
        <f t="shared" si="118"/>
        <v>0</v>
      </c>
      <c r="R320" s="123">
        <f t="shared" si="124"/>
        <v>0</v>
      </c>
      <c r="S320" s="582">
        <v>0</v>
      </c>
      <c r="T320" s="123">
        <f t="shared" si="125"/>
        <v>0</v>
      </c>
      <c r="U320" s="25">
        <f t="shared" si="119"/>
        <v>0</v>
      </c>
      <c r="V320" s="123">
        <f t="shared" si="120"/>
        <v>0</v>
      </c>
      <c r="W320" s="334">
        <f t="shared" si="121"/>
        <v>0</v>
      </c>
      <c r="Y320" s="109">
        <f>IF(AE320=1,IF(Y319=MiscData!$F$1,EOMONTH(Y319,-11),EOMONTH(Y319,1)),Y319)</f>
        <v>42521</v>
      </c>
      <c r="Z320" s="108" t="str">
        <f t="shared" si="136"/>
        <v>20140101LGUM_347</v>
      </c>
      <c r="AA320" s="126" t="str">
        <f t="shared" si="137"/>
        <v>20140101RLS</v>
      </c>
      <c r="AB320" s="583" t="str">
        <f t="shared" si="126"/>
        <v>347</v>
      </c>
      <c r="AD320" s="98">
        <f>MiscData!$X$5</f>
        <v>20140101</v>
      </c>
      <c r="AE320" s="98">
        <f>IF(AE319+1&gt;MiscData!$AC$77,1,AE319+1)</f>
        <v>25</v>
      </c>
      <c r="AF320" s="98" t="str">
        <f>VLOOKUP(AE320,MiscData!$AC$5:$AD$77,2,FALSE)</f>
        <v>LGUM_347</v>
      </c>
      <c r="AG320" s="98" t="str">
        <f>VLOOKUP(AF320,MiscData!$AD$5:$AE$77,2,FALSE)</f>
        <v>RLS</v>
      </c>
      <c r="AP320" s="98" t="s">
        <v>181</v>
      </c>
      <c r="AR320" s="98">
        <v>-131.86000000000001</v>
      </c>
    </row>
    <row r="321" spans="1:44">
      <c r="A321" s="108">
        <f t="shared" si="129"/>
        <v>318</v>
      </c>
      <c r="B321" s="109" t="str">
        <f t="shared" si="133"/>
        <v>May 2016</v>
      </c>
      <c r="C321" s="110" t="str">
        <f t="shared" si="134"/>
        <v>RLS</v>
      </c>
      <c r="D321" s="110" t="str">
        <f t="shared" si="135"/>
        <v>LGUM_348</v>
      </c>
      <c r="E321" s="581">
        <f t="shared" si="108"/>
        <v>7</v>
      </c>
      <c r="F321" s="581">
        <f t="shared" si="109"/>
        <v>0</v>
      </c>
      <c r="G321" s="116">
        <f t="shared" si="110"/>
        <v>13.12</v>
      </c>
      <c r="H321" s="116">
        <f t="shared" si="111"/>
        <v>2.9800000000000004</v>
      </c>
      <c r="I321" s="118">
        <f t="shared" si="122"/>
        <v>91.84</v>
      </c>
      <c r="J321" s="118">
        <f t="shared" si="112"/>
        <v>91.84</v>
      </c>
      <c r="K321" s="570">
        <f t="shared" si="123"/>
        <v>0</v>
      </c>
      <c r="L321" s="121">
        <f t="shared" si="113"/>
        <v>0</v>
      </c>
      <c r="M321" s="122">
        <f t="shared" si="114"/>
        <v>0</v>
      </c>
      <c r="N321" s="122">
        <f t="shared" si="115"/>
        <v>0</v>
      </c>
      <c r="O321" s="122">
        <f t="shared" si="116"/>
        <v>0</v>
      </c>
      <c r="P321" s="122">
        <f t="shared" si="117"/>
        <v>0</v>
      </c>
      <c r="Q321" s="123">
        <f t="shared" si="118"/>
        <v>91.84</v>
      </c>
      <c r="R321" s="123">
        <f t="shared" si="124"/>
        <v>-91.84</v>
      </c>
      <c r="S321" s="582">
        <v>0</v>
      </c>
      <c r="T321" s="123">
        <f t="shared" si="125"/>
        <v>-91.84</v>
      </c>
      <c r="U321" s="25">
        <f t="shared" si="119"/>
        <v>20.86</v>
      </c>
      <c r="V321" s="123">
        <f t="shared" si="120"/>
        <v>-20.86</v>
      </c>
      <c r="W321" s="334">
        <f t="shared" si="121"/>
        <v>1.33</v>
      </c>
      <c r="Y321" s="109">
        <f>IF(AE321=1,IF(Y320=MiscData!$F$1,EOMONTH(Y320,-11),EOMONTH(Y320,1)),Y320)</f>
        <v>42521</v>
      </c>
      <c r="Z321" s="108" t="str">
        <f t="shared" si="136"/>
        <v>20140101LGUM_348</v>
      </c>
      <c r="AA321" s="126" t="str">
        <f t="shared" si="137"/>
        <v>20140101RLS</v>
      </c>
      <c r="AB321" s="583" t="str">
        <f t="shared" si="126"/>
        <v>348</v>
      </c>
      <c r="AD321" s="98">
        <f>MiscData!$X$5</f>
        <v>20140101</v>
      </c>
      <c r="AE321" s="98">
        <f>IF(AE320+1&gt;MiscData!$AC$77,1,AE320+1)</f>
        <v>26</v>
      </c>
      <c r="AF321" s="98" t="str">
        <f>VLOOKUP(AE321,MiscData!$AC$5:$AD$77,2,FALSE)</f>
        <v>LGUM_348</v>
      </c>
      <c r="AG321" s="98" t="str">
        <f>VLOOKUP(AF321,MiscData!$AD$5:$AE$77,2,FALSE)</f>
        <v>RLS</v>
      </c>
      <c r="AP321" s="98" t="s">
        <v>182</v>
      </c>
      <c r="AR321" s="98">
        <v>0</v>
      </c>
    </row>
    <row r="322" spans="1:44">
      <c r="A322" s="108">
        <f t="shared" si="129"/>
        <v>319</v>
      </c>
      <c r="B322" s="109" t="str">
        <f t="shared" si="133"/>
        <v>May 2016</v>
      </c>
      <c r="C322" s="110" t="str">
        <f t="shared" si="134"/>
        <v>RLS</v>
      </c>
      <c r="D322" s="110" t="str">
        <f t="shared" si="135"/>
        <v>LGUM_349</v>
      </c>
      <c r="E322" s="581">
        <f t="shared" si="108"/>
        <v>479</v>
      </c>
      <c r="F322" s="581">
        <f t="shared" si="109"/>
        <v>0</v>
      </c>
      <c r="G322" s="116">
        <f t="shared" si="110"/>
        <v>9.0200000000000014</v>
      </c>
      <c r="H322" s="116">
        <f t="shared" si="111"/>
        <v>0.91000000000000014</v>
      </c>
      <c r="I322" s="118">
        <f t="shared" si="122"/>
        <v>4320.58</v>
      </c>
      <c r="J322" s="118">
        <f t="shared" si="112"/>
        <v>4320.58</v>
      </c>
      <c r="K322" s="570">
        <f t="shared" si="123"/>
        <v>0</v>
      </c>
      <c r="L322" s="121">
        <f t="shared" si="113"/>
        <v>0</v>
      </c>
      <c r="M322" s="122">
        <f t="shared" si="114"/>
        <v>0</v>
      </c>
      <c r="N322" s="122">
        <f t="shared" si="115"/>
        <v>0</v>
      </c>
      <c r="O322" s="122">
        <f t="shared" si="116"/>
        <v>0</v>
      </c>
      <c r="P322" s="122">
        <f t="shared" si="117"/>
        <v>0</v>
      </c>
      <c r="Q322" s="123">
        <f t="shared" si="118"/>
        <v>4320.58</v>
      </c>
      <c r="R322" s="123">
        <f t="shared" si="124"/>
        <v>-4320.58</v>
      </c>
      <c r="S322" s="582">
        <v>0</v>
      </c>
      <c r="T322" s="123">
        <f t="shared" si="125"/>
        <v>-4320.58</v>
      </c>
      <c r="U322" s="25">
        <f t="shared" si="119"/>
        <v>435.89</v>
      </c>
      <c r="V322" s="123">
        <f t="shared" si="120"/>
        <v>-435.89</v>
      </c>
      <c r="W322" s="334">
        <f t="shared" si="121"/>
        <v>67.06</v>
      </c>
      <c r="Y322" s="109">
        <f>IF(AE322=1,IF(Y321=MiscData!$F$1,EOMONTH(Y321,-11),EOMONTH(Y321,1)),Y321)</f>
        <v>42521</v>
      </c>
      <c r="Z322" s="108" t="str">
        <f t="shared" si="136"/>
        <v>20140101LGUM_349</v>
      </c>
      <c r="AA322" s="126" t="str">
        <f t="shared" si="137"/>
        <v>20140101RLS</v>
      </c>
      <c r="AB322" s="583" t="str">
        <f t="shared" si="126"/>
        <v>349</v>
      </c>
      <c r="AD322" s="98">
        <f>MiscData!$X$5</f>
        <v>20140101</v>
      </c>
      <c r="AE322" s="98">
        <f>IF(AE321+1&gt;MiscData!$AC$77,1,AE321+1)</f>
        <v>27</v>
      </c>
      <c r="AF322" s="98" t="str">
        <f>VLOOKUP(AE322,MiscData!$AC$5:$AD$77,2,FALSE)</f>
        <v>LGUM_349</v>
      </c>
      <c r="AG322" s="98" t="str">
        <f>VLOOKUP(AF322,MiscData!$AD$5:$AE$77,2,FALSE)</f>
        <v>RLS</v>
      </c>
      <c r="AP322" s="98" t="s">
        <v>183</v>
      </c>
      <c r="AR322" s="98">
        <v>0</v>
      </c>
    </row>
    <row r="323" spans="1:44">
      <c r="A323" s="108">
        <f t="shared" si="129"/>
        <v>320</v>
      </c>
      <c r="B323" s="109" t="str">
        <f t="shared" si="133"/>
        <v>May 2016</v>
      </c>
      <c r="C323" s="110" t="str">
        <f t="shared" si="134"/>
        <v xml:space="preserve">LS </v>
      </c>
      <c r="D323" s="110" t="str">
        <f t="shared" si="135"/>
        <v>LGUM_400</v>
      </c>
      <c r="E323" s="581">
        <f t="shared" si="108"/>
        <v>1696</v>
      </c>
      <c r="F323" s="581">
        <f t="shared" si="109"/>
        <v>0</v>
      </c>
      <c r="G323" s="116">
        <f t="shared" si="110"/>
        <v>23.89</v>
      </c>
      <c r="H323" s="116">
        <f t="shared" si="111"/>
        <v>1.0199999999999996</v>
      </c>
      <c r="I323" s="118">
        <f t="shared" si="122"/>
        <v>40517.440000000002</v>
      </c>
      <c r="J323" s="118">
        <f t="shared" si="112"/>
        <v>40517.440000000002</v>
      </c>
      <c r="K323" s="570">
        <f t="shared" si="123"/>
        <v>0</v>
      </c>
      <c r="L323" s="121">
        <f t="shared" si="113"/>
        <v>0</v>
      </c>
      <c r="M323" s="122">
        <f t="shared" si="114"/>
        <v>0</v>
      </c>
      <c r="N323" s="122">
        <f t="shared" si="115"/>
        <v>0</v>
      </c>
      <c r="O323" s="122">
        <f t="shared" si="116"/>
        <v>0</v>
      </c>
      <c r="P323" s="122">
        <f t="shared" si="117"/>
        <v>0</v>
      </c>
      <c r="Q323" s="123">
        <f t="shared" si="118"/>
        <v>40517.440000000002</v>
      </c>
      <c r="R323" s="123">
        <f t="shared" si="124"/>
        <v>-40517.440000000002</v>
      </c>
      <c r="S323" s="582">
        <v>0</v>
      </c>
      <c r="T323" s="123">
        <f t="shared" si="125"/>
        <v>-40517.440000000002</v>
      </c>
      <c r="U323" s="25">
        <f t="shared" si="119"/>
        <v>1729.92</v>
      </c>
      <c r="V323" s="123">
        <f t="shared" si="120"/>
        <v>-1729.92</v>
      </c>
      <c r="W323" s="334">
        <f t="shared" si="121"/>
        <v>627.52</v>
      </c>
      <c r="Y323" s="109">
        <f>IF(AE323=1,IF(Y322=MiscData!$F$1,EOMONTH(Y322,-11),EOMONTH(Y322,1)),Y322)</f>
        <v>42521</v>
      </c>
      <c r="Z323" s="108" t="str">
        <f t="shared" si="136"/>
        <v>20140101LGUM_400</v>
      </c>
      <c r="AA323" s="126" t="str">
        <f t="shared" si="137"/>
        <v xml:space="preserve">20140101LS </v>
      </c>
      <c r="AB323" s="583" t="str">
        <f t="shared" si="126"/>
        <v>400</v>
      </c>
      <c r="AD323" s="98">
        <f>MiscData!$X$5</f>
        <v>20140101</v>
      </c>
      <c r="AE323" s="98">
        <f>IF(AE322+1&gt;MiscData!$AC$77,1,AE322+1)</f>
        <v>28</v>
      </c>
      <c r="AF323" s="98" t="str">
        <f>VLOOKUP(AE323,MiscData!$AC$5:$AD$77,2,FALSE)</f>
        <v>LGUM_400</v>
      </c>
      <c r="AG323" s="98" t="str">
        <f>VLOOKUP(AF323,MiscData!$AD$5:$AE$77,2,FALSE)</f>
        <v xml:space="preserve">LS </v>
      </c>
      <c r="AP323" s="98" t="s">
        <v>184</v>
      </c>
      <c r="AR323" s="98">
        <v>0</v>
      </c>
    </row>
    <row r="324" spans="1:44">
      <c r="A324" s="108">
        <f t="shared" si="129"/>
        <v>321</v>
      </c>
      <c r="B324" s="109" t="str">
        <f t="shared" si="133"/>
        <v>May 2016</v>
      </c>
      <c r="C324" s="110" t="str">
        <f t="shared" si="134"/>
        <v xml:space="preserve">LS </v>
      </c>
      <c r="D324" s="110" t="str">
        <f t="shared" si="135"/>
        <v>LGUM_401</v>
      </c>
      <c r="E324" s="581">
        <f t="shared" ref="E324:E387" si="138">SUMIFS(L_1055_Count_Total,L_1055_Revenue_Month,$B324,L_1055_RateCategory,$D324)</f>
        <v>30</v>
      </c>
      <c r="F324" s="581">
        <f t="shared" ref="F324:F387" si="139">SUMIFS(L_SBR_KWH,L_SBR_Rate_Category,$D324,L_SBR_Revenue_Month,$B324)</f>
        <v>0</v>
      </c>
      <c r="G324" s="116">
        <f t="shared" ref="G324:G387" si="140">SUMIF(L_LightingRates_Tariff_Rate_Category,$Z324,L_LightingRates_UnitCharge)</f>
        <v>24.9</v>
      </c>
      <c r="H324" s="116">
        <f t="shared" ref="H324:H387" si="141">SUMIF(L_LightingRates_Tariff_Rate_Category,$Z324,L_LightingRates_FAC_Rate)</f>
        <v>1.0599999999999987</v>
      </c>
      <c r="I324" s="118">
        <f t="shared" si="122"/>
        <v>747</v>
      </c>
      <c r="J324" s="118">
        <f t="shared" ref="J324:J387" si="142">SUM(I324:I324)</f>
        <v>747</v>
      </c>
      <c r="K324" s="570">
        <f t="shared" si="123"/>
        <v>0</v>
      </c>
      <c r="L324" s="121">
        <f t="shared" ref="L324:L387" si="143">IF(AND(J324=0,K324=0),1,IF(J324=0,0,K324/J324))</f>
        <v>0</v>
      </c>
      <c r="M324" s="122">
        <f t="shared" ref="M324:M387" si="144">SUMIFS(L_SBR_FAC,L_SBR_Revenue_Month,$B324,L_SBR_Rate_Category,$D324)</f>
        <v>0</v>
      </c>
      <c r="N324" s="122">
        <f t="shared" ref="N324:N387" si="145">SUMIFS(L_SBR_ECR,L_SBR_Revenue_Month,$B324,L_SBR_Rate_Category,$D324)</f>
        <v>0</v>
      </c>
      <c r="O324" s="122">
        <f t="shared" ref="O324:O387" si="146">SUMIFS(L_SBR_MSR,L_SBR_Revenue_Month,$B324,L_SBR_Rate_Category,$D324)</f>
        <v>0</v>
      </c>
      <c r="P324" s="122">
        <f t="shared" ref="P324:P387" si="147">SUMIFS(L_SBR_Revenue_Total,L_SBR_Revenue_Month,$B324,L_SBR_Rate_Category,$D324)</f>
        <v>0</v>
      </c>
      <c r="Q324" s="123">
        <f t="shared" ref="Q324:Q387" si="148">SUM(J324,M324:O324)</f>
        <v>747</v>
      </c>
      <c r="R324" s="123">
        <f t="shared" si="124"/>
        <v>-747</v>
      </c>
      <c r="S324" s="582">
        <v>0</v>
      </c>
      <c r="T324" s="123">
        <f t="shared" si="125"/>
        <v>-747</v>
      </c>
      <c r="U324" s="25">
        <f t="shared" ref="U324:U387" si="149">ROUND(E324*H324,2)</f>
        <v>31.8</v>
      </c>
      <c r="V324" s="123">
        <f t="shared" ref="V324:V387" si="150">K324-U324</f>
        <v>-31.8</v>
      </c>
      <c r="W324" s="334">
        <f t="shared" ref="W324:W387" si="151">SUMIF(L_LightingRates_Tariff_Rate_Category,$Z324,L_LightingRates_ECR_Rate)*E324</f>
        <v>8.1000000000000014</v>
      </c>
      <c r="Y324" s="109">
        <f>IF(AE324=1,IF(Y323=MiscData!$F$1,EOMONTH(Y323,-11),EOMONTH(Y323,1)),Y323)</f>
        <v>42521</v>
      </c>
      <c r="Z324" s="108" t="str">
        <f t="shared" si="136"/>
        <v>20140101LGUM_401</v>
      </c>
      <c r="AA324" s="126" t="str">
        <f t="shared" si="137"/>
        <v xml:space="preserve">20140101LS </v>
      </c>
      <c r="AB324" s="583" t="str">
        <f t="shared" si="126"/>
        <v>401</v>
      </c>
      <c r="AD324" s="98">
        <f>MiscData!$X$5</f>
        <v>20140101</v>
      </c>
      <c r="AE324" s="98">
        <f>IF(AE323+1&gt;MiscData!$AC$77,1,AE323+1)</f>
        <v>29</v>
      </c>
      <c r="AF324" s="98" t="str">
        <f>VLOOKUP(AE324,MiscData!$AC$5:$AD$77,2,FALSE)</f>
        <v>LGUM_401</v>
      </c>
      <c r="AG324" s="98" t="str">
        <f>VLOOKUP(AF324,MiscData!$AD$5:$AE$77,2,FALSE)</f>
        <v xml:space="preserve">LS </v>
      </c>
      <c r="AP324" s="98" t="s">
        <v>185</v>
      </c>
      <c r="AR324" s="98">
        <v>0</v>
      </c>
    </row>
    <row r="325" spans="1:44">
      <c r="A325" s="108">
        <f t="shared" si="129"/>
        <v>322</v>
      </c>
      <c r="B325" s="109" t="str">
        <f t="shared" si="133"/>
        <v>May 2016</v>
      </c>
      <c r="C325" s="110" t="str">
        <f t="shared" si="134"/>
        <v xml:space="preserve">LS </v>
      </c>
      <c r="D325" s="110" t="str">
        <f t="shared" si="135"/>
        <v>LGUM_412</v>
      </c>
      <c r="E325" s="581">
        <f t="shared" si="138"/>
        <v>2044</v>
      </c>
      <c r="F325" s="581">
        <f t="shared" si="139"/>
        <v>0</v>
      </c>
      <c r="G325" s="116">
        <f t="shared" si="140"/>
        <v>19.79</v>
      </c>
      <c r="H325" s="116">
        <f t="shared" si="141"/>
        <v>0.74999999999999645</v>
      </c>
      <c r="I325" s="118">
        <f t="shared" ref="I325:I388" si="152">ROUND($E325*$G325,2)</f>
        <v>40450.76</v>
      </c>
      <c r="J325" s="118">
        <f t="shared" si="142"/>
        <v>40450.76</v>
      </c>
      <c r="K325" s="570">
        <f t="shared" ref="K325:K388" si="153">P325-SUM(M325:O325)</f>
        <v>0</v>
      </c>
      <c r="L325" s="121">
        <f t="shared" si="143"/>
        <v>0</v>
      </c>
      <c r="M325" s="122">
        <f t="shared" si="144"/>
        <v>0</v>
      </c>
      <c r="N325" s="122">
        <f t="shared" si="145"/>
        <v>0</v>
      </c>
      <c r="O325" s="122">
        <f t="shared" si="146"/>
        <v>0</v>
      </c>
      <c r="P325" s="122">
        <f t="shared" si="147"/>
        <v>0</v>
      </c>
      <c r="Q325" s="123">
        <f t="shared" si="148"/>
        <v>40450.76</v>
      </c>
      <c r="R325" s="123">
        <f t="shared" ref="R325:R388" si="154">ROUND(P325-Q325,2)</f>
        <v>-40450.76</v>
      </c>
      <c r="S325" s="582">
        <v>0</v>
      </c>
      <c r="T325" s="123">
        <f t="shared" ref="T325:T388" si="155">R325-S325</f>
        <v>-40450.76</v>
      </c>
      <c r="U325" s="25">
        <f t="shared" si="149"/>
        <v>1533</v>
      </c>
      <c r="V325" s="123">
        <f t="shared" si="150"/>
        <v>-1533</v>
      </c>
      <c r="W325" s="334">
        <f t="shared" si="151"/>
        <v>531.44000000000005</v>
      </c>
      <c r="Y325" s="109">
        <f>IF(AE325=1,IF(Y324=MiscData!$F$1,EOMONTH(Y324,-11),EOMONTH(Y324,1)),Y324)</f>
        <v>42521</v>
      </c>
      <c r="Z325" s="108" t="str">
        <f t="shared" si="136"/>
        <v>20140101LGUM_412</v>
      </c>
      <c r="AA325" s="126" t="str">
        <f t="shared" si="137"/>
        <v xml:space="preserve">20140101LS </v>
      </c>
      <c r="AB325" s="583" t="str">
        <f t="shared" ref="AB325:AB388" si="156">RIGHT(AF325,3)</f>
        <v>412</v>
      </c>
      <c r="AD325" s="98">
        <f>MiscData!$X$5</f>
        <v>20140101</v>
      </c>
      <c r="AE325" s="98">
        <f>IF(AE324+1&gt;MiscData!$AC$77,1,AE324+1)</f>
        <v>30</v>
      </c>
      <c r="AF325" s="98" t="str">
        <f>VLOOKUP(AE325,MiscData!$AC$5:$AD$77,2,FALSE)</f>
        <v>LGUM_412</v>
      </c>
      <c r="AG325" s="98" t="str">
        <f>VLOOKUP(AF325,MiscData!$AD$5:$AE$77,2,FALSE)</f>
        <v xml:space="preserve">LS </v>
      </c>
      <c r="AP325" s="98" t="s">
        <v>186</v>
      </c>
      <c r="AR325" s="98">
        <v>0</v>
      </c>
    </row>
    <row r="326" spans="1:44">
      <c r="A326" s="108">
        <f t="shared" si="129"/>
        <v>323</v>
      </c>
      <c r="B326" s="109" t="str">
        <f t="shared" si="133"/>
        <v>May 2016</v>
      </c>
      <c r="C326" s="110" t="str">
        <f t="shared" si="134"/>
        <v xml:space="preserve">LS </v>
      </c>
      <c r="D326" s="110" t="str">
        <f t="shared" si="135"/>
        <v>LGUM_413</v>
      </c>
      <c r="E326" s="581">
        <f t="shared" si="138"/>
        <v>44</v>
      </c>
      <c r="F326" s="581">
        <f t="shared" si="139"/>
        <v>0</v>
      </c>
      <c r="G326" s="116">
        <f t="shared" si="140"/>
        <v>20.49</v>
      </c>
      <c r="H326" s="116">
        <f t="shared" si="141"/>
        <v>1.0599999999999987</v>
      </c>
      <c r="I326" s="118">
        <f t="shared" si="152"/>
        <v>901.56</v>
      </c>
      <c r="J326" s="118">
        <f t="shared" si="142"/>
        <v>901.56</v>
      </c>
      <c r="K326" s="570">
        <f t="shared" si="153"/>
        <v>0</v>
      </c>
      <c r="L326" s="121">
        <f t="shared" si="143"/>
        <v>0</v>
      </c>
      <c r="M326" s="122">
        <f t="shared" si="144"/>
        <v>0</v>
      </c>
      <c r="N326" s="122">
        <f t="shared" si="145"/>
        <v>0</v>
      </c>
      <c r="O326" s="122">
        <f t="shared" si="146"/>
        <v>0</v>
      </c>
      <c r="P326" s="122">
        <f t="shared" si="147"/>
        <v>0</v>
      </c>
      <c r="Q326" s="123">
        <f t="shared" si="148"/>
        <v>901.56</v>
      </c>
      <c r="R326" s="123">
        <f t="shared" si="154"/>
        <v>-901.56</v>
      </c>
      <c r="S326" s="582">
        <v>0</v>
      </c>
      <c r="T326" s="123">
        <f t="shared" si="155"/>
        <v>-901.56</v>
      </c>
      <c r="U326" s="25">
        <f t="shared" si="149"/>
        <v>46.64</v>
      </c>
      <c r="V326" s="123">
        <f t="shared" si="150"/>
        <v>-46.64</v>
      </c>
      <c r="W326" s="334">
        <f t="shared" si="151"/>
        <v>11.88</v>
      </c>
      <c r="Y326" s="109">
        <f>IF(AE326=1,IF(Y325=MiscData!$F$1,EOMONTH(Y325,-11),EOMONTH(Y325,1)),Y325)</f>
        <v>42521</v>
      </c>
      <c r="Z326" s="108" t="str">
        <f t="shared" si="136"/>
        <v>20140101LGUM_413</v>
      </c>
      <c r="AA326" s="126" t="str">
        <f t="shared" si="137"/>
        <v xml:space="preserve">20140101LS </v>
      </c>
      <c r="AB326" s="583" t="str">
        <f t="shared" si="156"/>
        <v>413</v>
      </c>
      <c r="AD326" s="98">
        <f>MiscData!$X$5</f>
        <v>20140101</v>
      </c>
      <c r="AE326" s="98">
        <f>IF(AE325+1&gt;MiscData!$AC$77,1,AE325+1)</f>
        <v>31</v>
      </c>
      <c r="AF326" s="98" t="str">
        <f>VLOOKUP(AE326,MiscData!$AC$5:$AD$77,2,FALSE)</f>
        <v>LGUM_413</v>
      </c>
      <c r="AG326" s="98" t="str">
        <f>VLOOKUP(AF326,MiscData!$AD$5:$AE$77,2,FALSE)</f>
        <v xml:space="preserve">LS </v>
      </c>
      <c r="AP326" s="98" t="s">
        <v>483</v>
      </c>
      <c r="AR326" s="98">
        <v>0</v>
      </c>
    </row>
    <row r="327" spans="1:44">
      <c r="A327" s="108">
        <f t="shared" ref="A327:A390" si="157">A326+1</f>
        <v>324</v>
      </c>
      <c r="B327" s="109" t="str">
        <f t="shared" si="133"/>
        <v>May 2016</v>
      </c>
      <c r="C327" s="110" t="str">
        <f t="shared" si="134"/>
        <v xml:space="preserve">LS </v>
      </c>
      <c r="D327" s="110" t="str">
        <f t="shared" si="135"/>
        <v>LGUM_415</v>
      </c>
      <c r="E327" s="581">
        <f t="shared" si="138"/>
        <v>133</v>
      </c>
      <c r="F327" s="581">
        <f t="shared" si="139"/>
        <v>0</v>
      </c>
      <c r="G327" s="116">
        <f t="shared" si="140"/>
        <v>20.18</v>
      </c>
      <c r="H327" s="116">
        <f t="shared" si="141"/>
        <v>0.75</v>
      </c>
      <c r="I327" s="118">
        <f t="shared" si="152"/>
        <v>2683.94</v>
      </c>
      <c r="J327" s="118">
        <f t="shared" si="142"/>
        <v>2683.94</v>
      </c>
      <c r="K327" s="570">
        <f t="shared" si="153"/>
        <v>0</v>
      </c>
      <c r="L327" s="121">
        <f t="shared" si="143"/>
        <v>0</v>
      </c>
      <c r="M327" s="122">
        <f t="shared" si="144"/>
        <v>0</v>
      </c>
      <c r="N327" s="122">
        <f t="shared" si="145"/>
        <v>0</v>
      </c>
      <c r="O327" s="122">
        <f t="shared" si="146"/>
        <v>0</v>
      </c>
      <c r="P327" s="122">
        <f t="shared" si="147"/>
        <v>0</v>
      </c>
      <c r="Q327" s="123">
        <f t="shared" si="148"/>
        <v>2683.94</v>
      </c>
      <c r="R327" s="123">
        <f t="shared" si="154"/>
        <v>-2683.94</v>
      </c>
      <c r="S327" s="582">
        <v>0</v>
      </c>
      <c r="T327" s="123">
        <f t="shared" si="155"/>
        <v>-2683.94</v>
      </c>
      <c r="U327" s="25">
        <f t="shared" si="149"/>
        <v>99.75</v>
      </c>
      <c r="V327" s="123">
        <f t="shared" si="150"/>
        <v>-99.75</v>
      </c>
      <c r="W327" s="334">
        <f t="shared" si="151"/>
        <v>34.58</v>
      </c>
      <c r="Y327" s="109">
        <f>IF(AE327=1,IF(Y326=MiscData!$F$1,EOMONTH(Y326,-11),EOMONTH(Y326,1)),Y326)</f>
        <v>42521</v>
      </c>
      <c r="Z327" s="108" t="str">
        <f t="shared" si="136"/>
        <v>20140101LGUM_415</v>
      </c>
      <c r="AA327" s="126" t="str">
        <f t="shared" si="137"/>
        <v xml:space="preserve">20140101LS </v>
      </c>
      <c r="AB327" s="583" t="str">
        <f t="shared" si="156"/>
        <v>415</v>
      </c>
      <c r="AD327" s="98">
        <f>MiscData!$X$5</f>
        <v>20140101</v>
      </c>
      <c r="AE327" s="98">
        <f>IF(AE326+1&gt;MiscData!$AC$77,1,AE326+1)</f>
        <v>32</v>
      </c>
      <c r="AF327" s="98" t="str">
        <f>VLOOKUP(AE327,MiscData!$AC$5:$AD$77,2,FALSE)</f>
        <v>LGUM_415</v>
      </c>
      <c r="AG327" s="98" t="str">
        <f>VLOOKUP(AF327,MiscData!$AD$5:$AE$77,2,FALSE)</f>
        <v xml:space="preserve">LS </v>
      </c>
      <c r="AP327" s="98" t="s">
        <v>487</v>
      </c>
      <c r="AR327" s="98">
        <v>0</v>
      </c>
    </row>
    <row r="328" spans="1:44">
      <c r="A328" s="108">
        <f t="shared" si="157"/>
        <v>325</v>
      </c>
      <c r="B328" s="109" t="str">
        <f t="shared" si="133"/>
        <v>May 2016</v>
      </c>
      <c r="C328" s="110" t="str">
        <f t="shared" si="134"/>
        <v xml:space="preserve">LS </v>
      </c>
      <c r="D328" s="110" t="str">
        <f t="shared" si="135"/>
        <v>LGUM_416</v>
      </c>
      <c r="E328" s="581">
        <f t="shared" si="138"/>
        <v>69</v>
      </c>
      <c r="F328" s="581">
        <f t="shared" si="139"/>
        <v>0</v>
      </c>
      <c r="G328" s="116">
        <f t="shared" si="140"/>
        <v>22.56</v>
      </c>
      <c r="H328" s="116">
        <f t="shared" si="141"/>
        <v>1.0599999999999987</v>
      </c>
      <c r="I328" s="118">
        <f t="shared" si="152"/>
        <v>1556.64</v>
      </c>
      <c r="J328" s="118">
        <f t="shared" si="142"/>
        <v>1556.64</v>
      </c>
      <c r="K328" s="570">
        <f t="shared" si="153"/>
        <v>0</v>
      </c>
      <c r="L328" s="121">
        <f t="shared" si="143"/>
        <v>0</v>
      </c>
      <c r="M328" s="122">
        <f t="shared" si="144"/>
        <v>0</v>
      </c>
      <c r="N328" s="122">
        <f t="shared" si="145"/>
        <v>0</v>
      </c>
      <c r="O328" s="122">
        <f t="shared" si="146"/>
        <v>0</v>
      </c>
      <c r="P328" s="122">
        <f t="shared" si="147"/>
        <v>0</v>
      </c>
      <c r="Q328" s="123">
        <f t="shared" si="148"/>
        <v>1556.64</v>
      </c>
      <c r="R328" s="123">
        <f t="shared" si="154"/>
        <v>-1556.64</v>
      </c>
      <c r="S328" s="582">
        <v>0</v>
      </c>
      <c r="T328" s="123">
        <f t="shared" si="155"/>
        <v>-1556.64</v>
      </c>
      <c r="U328" s="25">
        <f t="shared" si="149"/>
        <v>73.14</v>
      </c>
      <c r="V328" s="123">
        <f t="shared" si="150"/>
        <v>-73.14</v>
      </c>
      <c r="W328" s="334">
        <f t="shared" si="151"/>
        <v>18.630000000000003</v>
      </c>
      <c r="Y328" s="109">
        <f>IF(AE328=1,IF(Y327=MiscData!$F$1,EOMONTH(Y327,-11),EOMONTH(Y327,1)),Y327)</f>
        <v>42521</v>
      </c>
      <c r="Z328" s="108" t="str">
        <f t="shared" si="136"/>
        <v>20140101LGUM_416</v>
      </c>
      <c r="AA328" s="126" t="str">
        <f t="shared" si="137"/>
        <v xml:space="preserve">20140101LS </v>
      </c>
      <c r="AB328" s="583" t="str">
        <f t="shared" si="156"/>
        <v>416</v>
      </c>
      <c r="AD328" s="98">
        <f>MiscData!$X$5</f>
        <v>20140101</v>
      </c>
      <c r="AE328" s="98">
        <f>IF(AE327+1&gt;MiscData!$AC$77,1,AE327+1)</f>
        <v>33</v>
      </c>
      <c r="AF328" s="98" t="str">
        <f>VLOOKUP(AE328,MiscData!$AC$5:$AD$77,2,FALSE)</f>
        <v>LGUM_416</v>
      </c>
      <c r="AG328" s="98" t="str">
        <f>VLOOKUP(AF328,MiscData!$AD$5:$AE$77,2,FALSE)</f>
        <v xml:space="preserve">LS </v>
      </c>
      <c r="AP328" s="98" t="s">
        <v>187</v>
      </c>
      <c r="AR328" s="98">
        <v>-4.83</v>
      </c>
    </row>
    <row r="329" spans="1:44">
      <c r="A329" s="108">
        <f t="shared" si="157"/>
        <v>326</v>
      </c>
      <c r="B329" s="109" t="str">
        <f t="shared" si="133"/>
        <v>May 2016</v>
      </c>
      <c r="C329" s="110" t="str">
        <f t="shared" si="134"/>
        <v>RLS</v>
      </c>
      <c r="D329" s="110" t="str">
        <f t="shared" si="135"/>
        <v>LGUM_417</v>
      </c>
      <c r="E329" s="581">
        <f t="shared" si="138"/>
        <v>235</v>
      </c>
      <c r="F329" s="581">
        <f t="shared" si="139"/>
        <v>0</v>
      </c>
      <c r="G329" s="116">
        <f t="shared" si="140"/>
        <v>23.68</v>
      </c>
      <c r="H329" s="116">
        <f t="shared" si="141"/>
        <v>1.0300000000000011</v>
      </c>
      <c r="I329" s="118">
        <f t="shared" si="152"/>
        <v>5564.8</v>
      </c>
      <c r="J329" s="118">
        <f t="shared" si="142"/>
        <v>5564.8</v>
      </c>
      <c r="K329" s="570">
        <f t="shared" si="153"/>
        <v>0</v>
      </c>
      <c r="L329" s="121">
        <f t="shared" si="143"/>
        <v>0</v>
      </c>
      <c r="M329" s="122">
        <f t="shared" si="144"/>
        <v>0</v>
      </c>
      <c r="N329" s="122">
        <f t="shared" si="145"/>
        <v>0</v>
      </c>
      <c r="O329" s="122">
        <f t="shared" si="146"/>
        <v>0</v>
      </c>
      <c r="P329" s="122">
        <f t="shared" si="147"/>
        <v>0</v>
      </c>
      <c r="Q329" s="123">
        <f t="shared" si="148"/>
        <v>5564.8</v>
      </c>
      <c r="R329" s="123">
        <f t="shared" si="154"/>
        <v>-5564.8</v>
      </c>
      <c r="S329" s="582">
        <v>0</v>
      </c>
      <c r="T329" s="123">
        <f t="shared" si="155"/>
        <v>-5564.8</v>
      </c>
      <c r="U329" s="25">
        <f t="shared" si="149"/>
        <v>242.05</v>
      </c>
      <c r="V329" s="123">
        <f t="shared" si="150"/>
        <v>-242.05</v>
      </c>
      <c r="W329" s="334">
        <f t="shared" si="151"/>
        <v>63.45</v>
      </c>
      <c r="Y329" s="109">
        <f>IF(AE329=1,IF(Y328=MiscData!$F$1,EOMONTH(Y328,-11),EOMONTH(Y328,1)),Y328)</f>
        <v>42521</v>
      </c>
      <c r="Z329" s="108" t="str">
        <f t="shared" si="136"/>
        <v>20140101LGUM_417</v>
      </c>
      <c r="AA329" s="126" t="str">
        <f t="shared" si="137"/>
        <v>20140101RLS</v>
      </c>
      <c r="AB329" s="583" t="str">
        <f t="shared" si="156"/>
        <v>417</v>
      </c>
      <c r="AD329" s="98">
        <f>MiscData!$X$5</f>
        <v>20140101</v>
      </c>
      <c r="AE329" s="98">
        <f>IF(AE328+1&gt;MiscData!$AC$77,1,AE328+1)</f>
        <v>34</v>
      </c>
      <c r="AF329" s="98" t="str">
        <f>VLOOKUP(AE329,MiscData!$AC$5:$AD$77,2,FALSE)</f>
        <v>LGUM_417</v>
      </c>
      <c r="AG329" s="98" t="str">
        <f>VLOOKUP(AF329,MiscData!$AD$5:$AE$77,2,FALSE)</f>
        <v>RLS</v>
      </c>
      <c r="AP329" s="98" t="s">
        <v>188</v>
      </c>
      <c r="AR329" s="98">
        <v>-5.17</v>
      </c>
    </row>
    <row r="330" spans="1:44">
      <c r="A330" s="108">
        <f t="shared" si="157"/>
        <v>327</v>
      </c>
      <c r="B330" s="109" t="str">
        <f t="shared" si="133"/>
        <v>May 2016</v>
      </c>
      <c r="C330" s="110" t="str">
        <f t="shared" si="134"/>
        <v>RLS</v>
      </c>
      <c r="D330" s="110" t="str">
        <f t="shared" si="135"/>
        <v>LGUM_419</v>
      </c>
      <c r="E330" s="581">
        <f t="shared" si="138"/>
        <v>583</v>
      </c>
      <c r="F330" s="581">
        <f t="shared" si="139"/>
        <v>0</v>
      </c>
      <c r="G330" s="116">
        <f t="shared" si="140"/>
        <v>24.77</v>
      </c>
      <c r="H330" s="116">
        <f t="shared" si="141"/>
        <v>1.6499999999999986</v>
      </c>
      <c r="I330" s="118">
        <f t="shared" si="152"/>
        <v>14440.91</v>
      </c>
      <c r="J330" s="118">
        <f t="shared" si="142"/>
        <v>14440.91</v>
      </c>
      <c r="K330" s="570">
        <f t="shared" si="153"/>
        <v>0</v>
      </c>
      <c r="L330" s="121">
        <f t="shared" si="143"/>
        <v>0</v>
      </c>
      <c r="M330" s="122">
        <f t="shared" si="144"/>
        <v>0</v>
      </c>
      <c r="N330" s="122">
        <f t="shared" si="145"/>
        <v>0</v>
      </c>
      <c r="O330" s="122">
        <f t="shared" si="146"/>
        <v>0</v>
      </c>
      <c r="P330" s="122">
        <f t="shared" si="147"/>
        <v>0</v>
      </c>
      <c r="Q330" s="123">
        <f t="shared" si="148"/>
        <v>14440.91</v>
      </c>
      <c r="R330" s="123">
        <f t="shared" si="154"/>
        <v>-14440.91</v>
      </c>
      <c r="S330" s="582">
        <v>0</v>
      </c>
      <c r="T330" s="123">
        <f t="shared" si="155"/>
        <v>-14440.91</v>
      </c>
      <c r="U330" s="25">
        <f t="shared" si="149"/>
        <v>961.95</v>
      </c>
      <c r="V330" s="123">
        <f t="shared" si="150"/>
        <v>-961.95</v>
      </c>
      <c r="W330" s="334">
        <f t="shared" si="151"/>
        <v>215.71</v>
      </c>
      <c r="Y330" s="109">
        <f>IF(AE330=1,IF(Y329=MiscData!$F$1,EOMONTH(Y329,-11),EOMONTH(Y329,1)),Y329)</f>
        <v>42521</v>
      </c>
      <c r="Z330" s="108" t="str">
        <f t="shared" si="136"/>
        <v>20140101LGUM_419</v>
      </c>
      <c r="AA330" s="126" t="str">
        <f t="shared" si="137"/>
        <v>20140101RLS</v>
      </c>
      <c r="AB330" s="583" t="str">
        <f t="shared" si="156"/>
        <v>419</v>
      </c>
      <c r="AD330" s="98">
        <f>MiscData!$X$5</f>
        <v>20140101</v>
      </c>
      <c r="AE330" s="98">
        <f>IF(AE329+1&gt;MiscData!$AC$77,1,AE329+1)</f>
        <v>35</v>
      </c>
      <c r="AF330" s="98" t="str">
        <f>VLOOKUP(AE330,MiscData!$AC$5:$AD$77,2,FALSE)</f>
        <v>LGUM_419</v>
      </c>
      <c r="AG330" s="98" t="str">
        <f>VLOOKUP(AF330,MiscData!$AD$5:$AE$77,2,FALSE)</f>
        <v>RLS</v>
      </c>
      <c r="AP330" s="98" t="s">
        <v>189</v>
      </c>
      <c r="AR330" s="98">
        <v>0</v>
      </c>
    </row>
    <row r="331" spans="1:44">
      <c r="A331" s="108">
        <f t="shared" si="157"/>
        <v>328</v>
      </c>
      <c r="B331" s="109" t="str">
        <f t="shared" si="133"/>
        <v>May 2016</v>
      </c>
      <c r="C331" s="110" t="str">
        <f t="shared" si="134"/>
        <v xml:space="preserve">LS </v>
      </c>
      <c r="D331" s="110" t="str">
        <f t="shared" si="135"/>
        <v>LGUM_420</v>
      </c>
      <c r="E331" s="581">
        <f t="shared" si="138"/>
        <v>12</v>
      </c>
      <c r="F331" s="581">
        <f t="shared" si="139"/>
        <v>0</v>
      </c>
      <c r="G331" s="116">
        <f t="shared" si="140"/>
        <v>29.889999999999997</v>
      </c>
      <c r="H331" s="116">
        <f t="shared" si="141"/>
        <v>1.6499999999999986</v>
      </c>
      <c r="I331" s="118">
        <f t="shared" si="152"/>
        <v>358.68</v>
      </c>
      <c r="J331" s="118">
        <f t="shared" si="142"/>
        <v>358.68</v>
      </c>
      <c r="K331" s="570">
        <f t="shared" si="153"/>
        <v>0</v>
      </c>
      <c r="L331" s="121">
        <f t="shared" si="143"/>
        <v>0</v>
      </c>
      <c r="M331" s="122">
        <f t="shared" si="144"/>
        <v>0</v>
      </c>
      <c r="N331" s="122">
        <f t="shared" si="145"/>
        <v>0</v>
      </c>
      <c r="O331" s="122">
        <f t="shared" si="146"/>
        <v>0</v>
      </c>
      <c r="P331" s="122">
        <f t="shared" si="147"/>
        <v>0</v>
      </c>
      <c r="Q331" s="123">
        <f t="shared" si="148"/>
        <v>358.68</v>
      </c>
      <c r="R331" s="123">
        <f t="shared" si="154"/>
        <v>-358.68</v>
      </c>
      <c r="S331" s="582">
        <v>0</v>
      </c>
      <c r="T331" s="123">
        <f t="shared" si="155"/>
        <v>-358.68</v>
      </c>
      <c r="U331" s="25">
        <f t="shared" si="149"/>
        <v>19.8</v>
      </c>
      <c r="V331" s="123">
        <f t="shared" si="150"/>
        <v>-19.8</v>
      </c>
      <c r="W331" s="334">
        <f t="shared" si="151"/>
        <v>2.88</v>
      </c>
      <c r="Y331" s="109">
        <f>IF(AE331=1,IF(Y330=MiscData!$F$1,EOMONTH(Y330,-11),EOMONTH(Y330,1)),Y330)</f>
        <v>42521</v>
      </c>
      <c r="Z331" s="108" t="str">
        <f t="shared" si="136"/>
        <v>20140101LGUM_420</v>
      </c>
      <c r="AA331" s="126" t="str">
        <f t="shared" si="137"/>
        <v xml:space="preserve">20140101LS </v>
      </c>
      <c r="AB331" s="583" t="str">
        <f t="shared" si="156"/>
        <v>420</v>
      </c>
      <c r="AD331" s="98">
        <f>MiscData!$X$5</f>
        <v>20140101</v>
      </c>
      <c r="AE331" s="98">
        <f>IF(AE330+1&gt;MiscData!$AC$77,1,AE330+1)</f>
        <v>36</v>
      </c>
      <c r="AF331" s="98" t="str">
        <f>VLOOKUP(AE331,MiscData!$AC$5:$AD$77,2,FALSE)</f>
        <v>LGUM_420</v>
      </c>
      <c r="AG331" s="98" t="str">
        <f>VLOOKUP(AF331,MiscData!$AD$5:$AE$77,2,FALSE)</f>
        <v xml:space="preserve">LS </v>
      </c>
      <c r="AP331" s="98" t="s">
        <v>190</v>
      </c>
      <c r="AR331" s="98">
        <v>0</v>
      </c>
    </row>
    <row r="332" spans="1:44">
      <c r="A332" s="108">
        <f t="shared" si="157"/>
        <v>329</v>
      </c>
      <c r="B332" s="109" t="str">
        <f t="shared" si="133"/>
        <v>May 2016</v>
      </c>
      <c r="C332" s="110" t="str">
        <f t="shared" si="134"/>
        <v xml:space="preserve">LS </v>
      </c>
      <c r="D332" s="110" t="str">
        <f t="shared" si="135"/>
        <v>LGUM_421</v>
      </c>
      <c r="E332" s="581">
        <f t="shared" si="138"/>
        <v>33</v>
      </c>
      <c r="F332" s="581">
        <f t="shared" si="139"/>
        <v>0</v>
      </c>
      <c r="G332" s="116">
        <f t="shared" si="140"/>
        <v>32.860000000000007</v>
      </c>
      <c r="H332" s="116">
        <f t="shared" si="141"/>
        <v>2.6700000000000017</v>
      </c>
      <c r="I332" s="118">
        <f t="shared" si="152"/>
        <v>1084.3800000000001</v>
      </c>
      <c r="J332" s="118">
        <f t="shared" si="142"/>
        <v>1084.3800000000001</v>
      </c>
      <c r="K332" s="570">
        <f t="shared" si="153"/>
        <v>0</v>
      </c>
      <c r="L332" s="121">
        <f t="shared" si="143"/>
        <v>0</v>
      </c>
      <c r="M332" s="122">
        <f t="shared" si="144"/>
        <v>0</v>
      </c>
      <c r="N332" s="122">
        <f t="shared" si="145"/>
        <v>0</v>
      </c>
      <c r="O332" s="122">
        <f t="shared" si="146"/>
        <v>0</v>
      </c>
      <c r="P332" s="122">
        <f t="shared" si="147"/>
        <v>0</v>
      </c>
      <c r="Q332" s="123">
        <f t="shared" si="148"/>
        <v>1084.3800000000001</v>
      </c>
      <c r="R332" s="123">
        <f t="shared" si="154"/>
        <v>-1084.3800000000001</v>
      </c>
      <c r="S332" s="582">
        <v>0</v>
      </c>
      <c r="T332" s="123">
        <f t="shared" si="155"/>
        <v>-1084.3800000000001</v>
      </c>
      <c r="U332" s="25">
        <f t="shared" si="149"/>
        <v>88.11</v>
      </c>
      <c r="V332" s="123">
        <f t="shared" si="150"/>
        <v>-88.11</v>
      </c>
      <c r="W332" s="334">
        <f t="shared" si="151"/>
        <v>8.91</v>
      </c>
      <c r="Y332" s="109">
        <f>IF(AE332=1,IF(Y331=MiscData!$F$1,EOMONTH(Y331,-11),EOMONTH(Y331,1)),Y331)</f>
        <v>42521</v>
      </c>
      <c r="Z332" s="108" t="str">
        <f t="shared" si="136"/>
        <v>20140101LGUM_421</v>
      </c>
      <c r="AA332" s="126" t="str">
        <f t="shared" si="137"/>
        <v xml:space="preserve">20140101LS </v>
      </c>
      <c r="AB332" s="583" t="str">
        <f t="shared" si="156"/>
        <v>421</v>
      </c>
      <c r="AD332" s="98">
        <f>MiscData!$X$5</f>
        <v>20140101</v>
      </c>
      <c r="AE332" s="98">
        <f>IF(AE331+1&gt;MiscData!$AC$77,1,AE331+1)</f>
        <v>37</v>
      </c>
      <c r="AF332" s="98" t="str">
        <f>VLOOKUP(AE332,MiscData!$AC$5:$AD$77,2,FALSE)</f>
        <v>LGUM_421</v>
      </c>
      <c r="AG332" s="98" t="str">
        <f>VLOOKUP(AF332,MiscData!$AD$5:$AE$77,2,FALSE)</f>
        <v xml:space="preserve">LS </v>
      </c>
      <c r="AP332" s="98" t="s">
        <v>497</v>
      </c>
      <c r="AR332" s="98">
        <v>0</v>
      </c>
    </row>
    <row r="333" spans="1:44">
      <c r="A333" s="108">
        <f t="shared" si="157"/>
        <v>330</v>
      </c>
      <c r="B333" s="109" t="str">
        <f t="shared" si="133"/>
        <v>May 2016</v>
      </c>
      <c r="C333" s="110" t="str">
        <f t="shared" si="134"/>
        <v xml:space="preserve">LS </v>
      </c>
      <c r="D333" s="110" t="str">
        <f t="shared" si="135"/>
        <v>LGUM_422</v>
      </c>
      <c r="E333" s="581">
        <f t="shared" si="138"/>
        <v>23</v>
      </c>
      <c r="F333" s="581">
        <f t="shared" si="139"/>
        <v>0</v>
      </c>
      <c r="G333" s="116">
        <f t="shared" si="140"/>
        <v>38.389999999999993</v>
      </c>
      <c r="H333" s="116">
        <f t="shared" si="141"/>
        <v>4.279999999999994</v>
      </c>
      <c r="I333" s="118">
        <f t="shared" si="152"/>
        <v>882.97</v>
      </c>
      <c r="J333" s="118">
        <f t="shared" si="142"/>
        <v>882.97</v>
      </c>
      <c r="K333" s="570">
        <f t="shared" si="153"/>
        <v>0</v>
      </c>
      <c r="L333" s="121">
        <f t="shared" si="143"/>
        <v>0</v>
      </c>
      <c r="M333" s="122">
        <f t="shared" si="144"/>
        <v>0</v>
      </c>
      <c r="N333" s="122">
        <f t="shared" si="145"/>
        <v>0</v>
      </c>
      <c r="O333" s="122">
        <f t="shared" si="146"/>
        <v>0</v>
      </c>
      <c r="P333" s="122">
        <f t="shared" si="147"/>
        <v>0</v>
      </c>
      <c r="Q333" s="123">
        <f t="shared" si="148"/>
        <v>882.97</v>
      </c>
      <c r="R333" s="123">
        <f t="shared" si="154"/>
        <v>-882.97</v>
      </c>
      <c r="S333" s="582">
        <v>0</v>
      </c>
      <c r="T333" s="123">
        <f t="shared" si="155"/>
        <v>-882.97</v>
      </c>
      <c r="U333" s="25">
        <f t="shared" si="149"/>
        <v>98.44</v>
      </c>
      <c r="V333" s="123">
        <f t="shared" si="150"/>
        <v>-98.44</v>
      </c>
      <c r="W333" s="334">
        <f t="shared" si="151"/>
        <v>6.67</v>
      </c>
      <c r="Y333" s="109">
        <f>IF(AE333=1,IF(Y332=MiscData!$F$1,EOMONTH(Y332,-11),EOMONTH(Y332,1)),Y332)</f>
        <v>42521</v>
      </c>
      <c r="Z333" s="108" t="str">
        <f t="shared" si="136"/>
        <v>20140101LGUM_422</v>
      </c>
      <c r="AA333" s="126" t="str">
        <f t="shared" si="137"/>
        <v xml:space="preserve">20140101LS </v>
      </c>
      <c r="AB333" s="583" t="str">
        <f t="shared" si="156"/>
        <v>422</v>
      </c>
      <c r="AD333" s="98">
        <f>MiscData!$X$5</f>
        <v>20140101</v>
      </c>
      <c r="AE333" s="98">
        <f>IF(AE332+1&gt;MiscData!$AC$77,1,AE332+1)</f>
        <v>38</v>
      </c>
      <c r="AF333" s="98" t="str">
        <f>VLOOKUP(AE333,MiscData!$AC$5:$AD$77,2,FALSE)</f>
        <v>LGUM_422</v>
      </c>
      <c r="AG333" s="98" t="str">
        <f>VLOOKUP(AF333,MiscData!$AD$5:$AE$77,2,FALSE)</f>
        <v xml:space="preserve">LS </v>
      </c>
      <c r="AP333" s="98" t="s">
        <v>191</v>
      </c>
      <c r="AR333" s="98">
        <v>-9.0500000000000007</v>
      </c>
    </row>
    <row r="334" spans="1:44">
      <c r="A334" s="108">
        <f t="shared" si="157"/>
        <v>331</v>
      </c>
      <c r="B334" s="109" t="str">
        <f t="shared" si="133"/>
        <v>May 2016</v>
      </c>
      <c r="C334" s="110" t="str">
        <f t="shared" si="134"/>
        <v xml:space="preserve">LS </v>
      </c>
      <c r="D334" s="110" t="str">
        <f t="shared" si="135"/>
        <v>LGUM_423</v>
      </c>
      <c r="E334" s="581">
        <f t="shared" si="138"/>
        <v>50</v>
      </c>
      <c r="F334" s="581">
        <f t="shared" si="139"/>
        <v>0</v>
      </c>
      <c r="G334" s="116">
        <f t="shared" si="140"/>
        <v>26.349999999999998</v>
      </c>
      <c r="H334" s="116">
        <f t="shared" si="141"/>
        <v>1.6500000000000021</v>
      </c>
      <c r="I334" s="118">
        <f t="shared" si="152"/>
        <v>1317.5</v>
      </c>
      <c r="J334" s="118">
        <f t="shared" si="142"/>
        <v>1317.5</v>
      </c>
      <c r="K334" s="570">
        <f t="shared" si="153"/>
        <v>0</v>
      </c>
      <c r="L334" s="121">
        <f t="shared" si="143"/>
        <v>0</v>
      </c>
      <c r="M334" s="122">
        <f t="shared" si="144"/>
        <v>0</v>
      </c>
      <c r="N334" s="122">
        <f t="shared" si="145"/>
        <v>0</v>
      </c>
      <c r="O334" s="122">
        <f t="shared" si="146"/>
        <v>0</v>
      </c>
      <c r="P334" s="122">
        <f t="shared" si="147"/>
        <v>0</v>
      </c>
      <c r="Q334" s="123">
        <f t="shared" si="148"/>
        <v>1317.5</v>
      </c>
      <c r="R334" s="123">
        <f t="shared" si="154"/>
        <v>-1317.5</v>
      </c>
      <c r="S334" s="582">
        <v>0</v>
      </c>
      <c r="T334" s="123">
        <f t="shared" si="155"/>
        <v>-1317.5</v>
      </c>
      <c r="U334" s="25">
        <f t="shared" si="149"/>
        <v>82.5</v>
      </c>
      <c r="V334" s="123">
        <f t="shared" si="150"/>
        <v>-82.5</v>
      </c>
      <c r="W334" s="334">
        <f t="shared" si="151"/>
        <v>12</v>
      </c>
      <c r="Y334" s="109">
        <f>IF(AE334=1,IF(Y333=MiscData!$F$1,EOMONTH(Y333,-11),EOMONTH(Y333,1)),Y333)</f>
        <v>42521</v>
      </c>
      <c r="Z334" s="108" t="str">
        <f t="shared" si="136"/>
        <v>20140101LGUM_423</v>
      </c>
      <c r="AA334" s="126" t="str">
        <f t="shared" si="137"/>
        <v xml:space="preserve">20140101LS </v>
      </c>
      <c r="AB334" s="583" t="str">
        <f t="shared" si="156"/>
        <v>423</v>
      </c>
      <c r="AD334" s="98">
        <f>MiscData!$X$5</f>
        <v>20140101</v>
      </c>
      <c r="AE334" s="98">
        <f>IF(AE333+1&gt;MiscData!$AC$77,1,AE333+1)</f>
        <v>39</v>
      </c>
      <c r="AF334" s="98" t="str">
        <f>VLOOKUP(AE334,MiscData!$AC$5:$AD$77,2,FALSE)</f>
        <v>LGUM_423</v>
      </c>
      <c r="AG334" s="98" t="str">
        <f>VLOOKUP(AF334,MiscData!$AD$5:$AE$77,2,FALSE)</f>
        <v xml:space="preserve">LS </v>
      </c>
      <c r="AP334" s="98" t="s">
        <v>192</v>
      </c>
      <c r="AR334" s="98">
        <v>-4.96</v>
      </c>
    </row>
    <row r="335" spans="1:44">
      <c r="A335" s="108">
        <f t="shared" si="157"/>
        <v>332</v>
      </c>
      <c r="B335" s="109" t="str">
        <f t="shared" si="133"/>
        <v>May 2016</v>
      </c>
      <c r="C335" s="110" t="str">
        <f t="shared" si="134"/>
        <v xml:space="preserve">LS </v>
      </c>
      <c r="D335" s="110" t="str">
        <f t="shared" si="135"/>
        <v>LGUM_424</v>
      </c>
      <c r="E335" s="581">
        <f t="shared" si="138"/>
        <v>61</v>
      </c>
      <c r="F335" s="581">
        <f t="shared" si="139"/>
        <v>0</v>
      </c>
      <c r="G335" s="116">
        <f t="shared" si="140"/>
        <v>28.45</v>
      </c>
      <c r="H335" s="116">
        <f t="shared" si="141"/>
        <v>3.9800000000000004</v>
      </c>
      <c r="I335" s="118">
        <f t="shared" si="152"/>
        <v>1735.45</v>
      </c>
      <c r="J335" s="118">
        <f t="shared" si="142"/>
        <v>1735.45</v>
      </c>
      <c r="K335" s="570">
        <f t="shared" si="153"/>
        <v>0</v>
      </c>
      <c r="L335" s="121">
        <f t="shared" si="143"/>
        <v>0</v>
      </c>
      <c r="M335" s="122">
        <f t="shared" si="144"/>
        <v>0</v>
      </c>
      <c r="N335" s="122">
        <f t="shared" si="145"/>
        <v>0</v>
      </c>
      <c r="O335" s="122">
        <f t="shared" si="146"/>
        <v>0</v>
      </c>
      <c r="P335" s="122">
        <f t="shared" si="147"/>
        <v>0</v>
      </c>
      <c r="Q335" s="123">
        <f>SUM(J335,M335:O335)</f>
        <v>1735.45</v>
      </c>
      <c r="R335" s="123">
        <f>ROUND(P335-Q335,2)</f>
        <v>-1735.45</v>
      </c>
      <c r="S335" s="582">
        <v>0</v>
      </c>
      <c r="T335" s="123">
        <f>R335-S335</f>
        <v>-1735.45</v>
      </c>
      <c r="U335" s="25">
        <f t="shared" si="149"/>
        <v>242.78</v>
      </c>
      <c r="V335" s="123">
        <f t="shared" si="150"/>
        <v>-242.78</v>
      </c>
      <c r="W335" s="334">
        <f t="shared" si="151"/>
        <v>16.470000000000002</v>
      </c>
      <c r="Y335" s="109">
        <f>IF(AE335=1,IF(Y334=MiscData!$F$1,EOMONTH(Y334,-11),EOMONTH(Y334,1)),Y334)</f>
        <v>42521</v>
      </c>
      <c r="Z335" s="108" t="str">
        <f t="shared" si="136"/>
        <v>20140101LGUM_424</v>
      </c>
      <c r="AA335" s="126" t="str">
        <f t="shared" si="137"/>
        <v xml:space="preserve">20140101LS </v>
      </c>
      <c r="AB335" s="583" t="str">
        <f t="shared" si="156"/>
        <v>424</v>
      </c>
      <c r="AD335" s="98">
        <f>MiscData!$X$5</f>
        <v>20140101</v>
      </c>
      <c r="AE335" s="98">
        <f>IF(AE334+1&gt;MiscData!$AC$77,1,AE334+1)</f>
        <v>40</v>
      </c>
      <c r="AF335" s="98" t="str">
        <f>VLOOKUP(AE335,MiscData!$AC$5:$AD$77,2,FALSE)</f>
        <v>LGUM_424</v>
      </c>
      <c r="AG335" s="98" t="str">
        <f>VLOOKUP(AF335,MiscData!$AD$5:$AE$77,2,FALSE)</f>
        <v xml:space="preserve">LS </v>
      </c>
      <c r="AP335" s="98" t="s">
        <v>193</v>
      </c>
      <c r="AR335" s="98">
        <v>0</v>
      </c>
    </row>
    <row r="336" spans="1:44">
      <c r="A336" s="108">
        <f t="shared" si="157"/>
        <v>333</v>
      </c>
      <c r="B336" s="109" t="str">
        <f t="shared" si="133"/>
        <v>May 2016</v>
      </c>
      <c r="C336" s="110" t="str">
        <f t="shared" si="134"/>
        <v xml:space="preserve">LS </v>
      </c>
      <c r="D336" s="110" t="str">
        <f t="shared" si="135"/>
        <v>LGUM_425</v>
      </c>
      <c r="E336" s="581">
        <f t="shared" si="138"/>
        <v>200</v>
      </c>
      <c r="F336" s="581">
        <f t="shared" si="139"/>
        <v>0</v>
      </c>
      <c r="G336" s="116">
        <f t="shared" si="140"/>
        <v>34.029999999999994</v>
      </c>
      <c r="H336" s="116">
        <f t="shared" si="141"/>
        <v>4.2799999999999976</v>
      </c>
      <c r="I336" s="118">
        <f t="shared" si="152"/>
        <v>6806</v>
      </c>
      <c r="J336" s="118">
        <f t="shared" si="142"/>
        <v>6806</v>
      </c>
      <c r="K336" s="570">
        <f t="shared" si="153"/>
        <v>0</v>
      </c>
      <c r="L336" s="121">
        <f t="shared" si="143"/>
        <v>0</v>
      </c>
      <c r="M336" s="122">
        <f t="shared" si="144"/>
        <v>0</v>
      </c>
      <c r="N336" s="122">
        <f t="shared" si="145"/>
        <v>0</v>
      </c>
      <c r="O336" s="122">
        <f t="shared" si="146"/>
        <v>0</v>
      </c>
      <c r="P336" s="122">
        <f t="shared" si="147"/>
        <v>0</v>
      </c>
      <c r="Q336" s="123">
        <f t="shared" si="148"/>
        <v>6806</v>
      </c>
      <c r="R336" s="123">
        <f t="shared" si="154"/>
        <v>-6806</v>
      </c>
      <c r="S336" s="582">
        <v>0</v>
      </c>
      <c r="T336" s="123">
        <f t="shared" si="155"/>
        <v>-6806</v>
      </c>
      <c r="U336" s="25">
        <f t="shared" si="149"/>
        <v>856</v>
      </c>
      <c r="V336" s="123">
        <f t="shared" si="150"/>
        <v>-856</v>
      </c>
      <c r="W336" s="334">
        <f t="shared" si="151"/>
        <v>57.999999999999993</v>
      </c>
      <c r="Y336" s="109">
        <f>IF(AE336=1,IF(Y335=MiscData!$F$1,EOMONTH(Y335,-11),EOMONTH(Y335,1)),Y335)</f>
        <v>42521</v>
      </c>
      <c r="Z336" s="108" t="str">
        <f t="shared" si="136"/>
        <v>20140101LGUM_425</v>
      </c>
      <c r="AA336" s="126" t="str">
        <f t="shared" si="137"/>
        <v xml:space="preserve">20140101LS </v>
      </c>
      <c r="AB336" s="583" t="str">
        <f t="shared" si="156"/>
        <v>425</v>
      </c>
      <c r="AD336" s="98">
        <f>MiscData!$X$5</f>
        <v>20140101</v>
      </c>
      <c r="AE336" s="98">
        <f>IF(AE335+1&gt;MiscData!$AC$77,1,AE335+1)</f>
        <v>41</v>
      </c>
      <c r="AF336" s="98" t="str">
        <f>VLOOKUP(AE336,MiscData!$AC$5:$AD$77,2,FALSE)</f>
        <v>LGUM_425</v>
      </c>
      <c r="AG336" s="98" t="str">
        <f>VLOOKUP(AF336,MiscData!$AD$5:$AE$77,2,FALSE)</f>
        <v xml:space="preserve">LS </v>
      </c>
      <c r="AP336" s="98" t="s">
        <v>194</v>
      </c>
      <c r="AR336" s="98">
        <v>-1.41</v>
      </c>
    </row>
    <row r="337" spans="1:44">
      <c r="A337" s="108">
        <f t="shared" si="157"/>
        <v>334</v>
      </c>
      <c r="B337" s="109" t="str">
        <f t="shared" si="133"/>
        <v>May 2016</v>
      </c>
      <c r="C337" s="110" t="str">
        <f t="shared" si="134"/>
        <v>RLS</v>
      </c>
      <c r="D337" s="110" t="str">
        <f t="shared" si="135"/>
        <v>LGUM_426</v>
      </c>
      <c r="E337" s="581">
        <f t="shared" si="138"/>
        <v>205</v>
      </c>
      <c r="F337" s="581">
        <f t="shared" si="139"/>
        <v>0</v>
      </c>
      <c r="G337" s="116">
        <f t="shared" si="140"/>
        <v>33.22</v>
      </c>
      <c r="H337" s="116">
        <f t="shared" si="141"/>
        <v>0.75</v>
      </c>
      <c r="I337" s="118">
        <f t="shared" si="152"/>
        <v>6810.1</v>
      </c>
      <c r="J337" s="118">
        <f t="shared" si="142"/>
        <v>6810.1</v>
      </c>
      <c r="K337" s="570">
        <f t="shared" si="153"/>
        <v>0</v>
      </c>
      <c r="L337" s="121">
        <f t="shared" si="143"/>
        <v>0</v>
      </c>
      <c r="M337" s="122">
        <f t="shared" si="144"/>
        <v>0</v>
      </c>
      <c r="N337" s="122">
        <f t="shared" si="145"/>
        <v>0</v>
      </c>
      <c r="O337" s="122">
        <f t="shared" si="146"/>
        <v>0</v>
      </c>
      <c r="P337" s="122">
        <f t="shared" si="147"/>
        <v>0</v>
      </c>
      <c r="Q337" s="123">
        <f t="shared" si="148"/>
        <v>6810.1</v>
      </c>
      <c r="R337" s="123">
        <f t="shared" si="154"/>
        <v>-6810.1</v>
      </c>
      <c r="S337" s="582">
        <v>0</v>
      </c>
      <c r="T337" s="123">
        <f t="shared" si="155"/>
        <v>-6810.1</v>
      </c>
      <c r="U337" s="25">
        <f t="shared" si="149"/>
        <v>153.75</v>
      </c>
      <c r="V337" s="123">
        <f t="shared" si="150"/>
        <v>-153.75</v>
      </c>
      <c r="W337" s="334">
        <f t="shared" si="151"/>
        <v>53.300000000000004</v>
      </c>
      <c r="Y337" s="109">
        <f>IF(AE337=1,IF(Y336=MiscData!$F$1,EOMONTH(Y336,-11),EOMONTH(Y336,1)),Y336)</f>
        <v>42521</v>
      </c>
      <c r="Z337" s="108" t="str">
        <f t="shared" si="136"/>
        <v>20140101LGUM_426</v>
      </c>
      <c r="AA337" s="126" t="str">
        <f t="shared" si="137"/>
        <v>20140101RLS</v>
      </c>
      <c r="AB337" s="583" t="str">
        <f t="shared" si="156"/>
        <v>426</v>
      </c>
      <c r="AD337" s="98">
        <f>MiscData!$X$5</f>
        <v>20140101</v>
      </c>
      <c r="AE337" s="98">
        <f>IF(AE336+1&gt;MiscData!$AC$77,1,AE336+1)</f>
        <v>42</v>
      </c>
      <c r="AF337" s="98" t="str">
        <f>VLOOKUP(AE337,MiscData!$AC$5:$AD$77,2,FALSE)</f>
        <v>LGUM_426</v>
      </c>
      <c r="AG337" s="98" t="str">
        <f>VLOOKUP(AF337,MiscData!$AD$5:$AE$77,2,FALSE)</f>
        <v>RLS</v>
      </c>
      <c r="AP337" s="98" t="s">
        <v>195</v>
      </c>
      <c r="AR337" s="98">
        <v>0</v>
      </c>
    </row>
    <row r="338" spans="1:44">
      <c r="A338" s="108">
        <f t="shared" si="157"/>
        <v>335</v>
      </c>
      <c r="B338" s="109" t="str">
        <f t="shared" si="133"/>
        <v>May 2016</v>
      </c>
      <c r="C338" s="110" t="str">
        <f t="shared" si="134"/>
        <v xml:space="preserve">LS </v>
      </c>
      <c r="D338" s="110" t="str">
        <f t="shared" si="135"/>
        <v>LGUM_427</v>
      </c>
      <c r="E338" s="581">
        <f t="shared" si="138"/>
        <v>1</v>
      </c>
      <c r="F338" s="581">
        <f t="shared" si="139"/>
        <v>0</v>
      </c>
      <c r="G338" s="116">
        <f t="shared" si="140"/>
        <v>35.199999999999996</v>
      </c>
      <c r="H338" s="116">
        <f t="shared" si="141"/>
        <v>0.75</v>
      </c>
      <c r="I338" s="118">
        <f t="shared" si="152"/>
        <v>35.200000000000003</v>
      </c>
      <c r="J338" s="118">
        <f t="shared" si="142"/>
        <v>35.200000000000003</v>
      </c>
      <c r="K338" s="570">
        <f t="shared" si="153"/>
        <v>0</v>
      </c>
      <c r="L338" s="121">
        <f t="shared" si="143"/>
        <v>0</v>
      </c>
      <c r="M338" s="122">
        <f t="shared" si="144"/>
        <v>0</v>
      </c>
      <c r="N338" s="122">
        <f t="shared" si="145"/>
        <v>0</v>
      </c>
      <c r="O338" s="122">
        <f t="shared" si="146"/>
        <v>0</v>
      </c>
      <c r="P338" s="122">
        <f t="shared" si="147"/>
        <v>0</v>
      </c>
      <c r="Q338" s="123">
        <f t="shared" si="148"/>
        <v>35.200000000000003</v>
      </c>
      <c r="R338" s="123">
        <f t="shared" si="154"/>
        <v>-35.200000000000003</v>
      </c>
      <c r="S338" s="582">
        <v>0</v>
      </c>
      <c r="T338" s="123">
        <f t="shared" si="155"/>
        <v>-35.200000000000003</v>
      </c>
      <c r="U338" s="25">
        <f t="shared" si="149"/>
        <v>0.75</v>
      </c>
      <c r="V338" s="123">
        <f t="shared" si="150"/>
        <v>-0.75</v>
      </c>
      <c r="W338" s="334">
        <f t="shared" si="151"/>
        <v>0.26</v>
      </c>
      <c r="Y338" s="109">
        <f>IF(AE338=1,IF(Y337=MiscData!$F$1,EOMONTH(Y337,-11),EOMONTH(Y337,1)),Y337)</f>
        <v>42521</v>
      </c>
      <c r="Z338" s="108" t="str">
        <f t="shared" si="136"/>
        <v>20140101LGUM_427</v>
      </c>
      <c r="AA338" s="126" t="str">
        <f t="shared" si="137"/>
        <v xml:space="preserve">20140101LS </v>
      </c>
      <c r="AB338" s="583" t="str">
        <f t="shared" si="156"/>
        <v>427</v>
      </c>
      <c r="AD338" s="98">
        <f>MiscData!$X$5</f>
        <v>20140101</v>
      </c>
      <c r="AE338" s="98">
        <f>IF(AE337+1&gt;MiscData!$AC$77,1,AE337+1)</f>
        <v>43</v>
      </c>
      <c r="AF338" s="98" t="str">
        <f>VLOOKUP(AE338,MiscData!$AC$5:$AD$77,2,FALSE)</f>
        <v>LGUM_427</v>
      </c>
      <c r="AG338" s="98" t="str">
        <f>VLOOKUP(AF338,MiscData!$AD$5:$AE$77,2,FALSE)</f>
        <v xml:space="preserve">LS </v>
      </c>
      <c r="AP338" s="98" t="s">
        <v>196</v>
      </c>
      <c r="AR338" s="98">
        <v>-85.45</v>
      </c>
    </row>
    <row r="339" spans="1:44">
      <c r="A339" s="108">
        <f t="shared" si="157"/>
        <v>336</v>
      </c>
      <c r="B339" s="109" t="str">
        <f t="shared" si="133"/>
        <v>May 2016</v>
      </c>
      <c r="C339" s="110" t="str">
        <f t="shared" si="134"/>
        <v>RLS</v>
      </c>
      <c r="D339" s="110" t="str">
        <f t="shared" si="135"/>
        <v>LGUM_428</v>
      </c>
      <c r="E339" s="581">
        <f t="shared" si="138"/>
        <v>42</v>
      </c>
      <c r="F339" s="581">
        <f t="shared" si="139"/>
        <v>0</v>
      </c>
      <c r="G339" s="116">
        <f t="shared" si="140"/>
        <v>34.090000000000003</v>
      </c>
      <c r="H339" s="116">
        <f t="shared" si="141"/>
        <v>1.0600000000000023</v>
      </c>
      <c r="I339" s="118">
        <f t="shared" si="152"/>
        <v>1431.78</v>
      </c>
      <c r="J339" s="118">
        <f t="shared" si="142"/>
        <v>1431.78</v>
      </c>
      <c r="K339" s="570">
        <f t="shared" si="153"/>
        <v>0</v>
      </c>
      <c r="L339" s="121">
        <f t="shared" si="143"/>
        <v>0</v>
      </c>
      <c r="M339" s="122">
        <f t="shared" si="144"/>
        <v>0</v>
      </c>
      <c r="N339" s="122">
        <f t="shared" si="145"/>
        <v>0</v>
      </c>
      <c r="O339" s="122">
        <f t="shared" si="146"/>
        <v>0</v>
      </c>
      <c r="P339" s="122">
        <f t="shared" si="147"/>
        <v>0</v>
      </c>
      <c r="Q339" s="123">
        <f t="shared" si="148"/>
        <v>1431.78</v>
      </c>
      <c r="R339" s="123">
        <f t="shared" si="154"/>
        <v>-1431.78</v>
      </c>
      <c r="S339" s="582">
        <v>0</v>
      </c>
      <c r="T339" s="123">
        <f t="shared" si="155"/>
        <v>-1431.78</v>
      </c>
      <c r="U339" s="25">
        <f t="shared" si="149"/>
        <v>44.52</v>
      </c>
      <c r="V339" s="123">
        <f t="shared" si="150"/>
        <v>-44.52</v>
      </c>
      <c r="W339" s="334">
        <f t="shared" si="151"/>
        <v>11.34</v>
      </c>
      <c r="Y339" s="109">
        <f>IF(AE339=1,IF(Y338=MiscData!$F$1,EOMONTH(Y338,-11),EOMONTH(Y338,1)),Y338)</f>
        <v>42521</v>
      </c>
      <c r="Z339" s="108" t="str">
        <f t="shared" si="136"/>
        <v>20140101LGUM_428</v>
      </c>
      <c r="AA339" s="126" t="str">
        <f t="shared" si="137"/>
        <v>20140101RLS</v>
      </c>
      <c r="AB339" s="583" t="str">
        <f t="shared" si="156"/>
        <v>428</v>
      </c>
      <c r="AD339" s="98">
        <f>MiscData!$X$5</f>
        <v>20140101</v>
      </c>
      <c r="AE339" s="98">
        <f>IF(AE338+1&gt;MiscData!$AC$77,1,AE338+1)</f>
        <v>44</v>
      </c>
      <c r="AF339" s="98" t="str">
        <f>VLOOKUP(AE339,MiscData!$AC$5:$AD$77,2,FALSE)</f>
        <v>LGUM_428</v>
      </c>
      <c r="AG339" s="98" t="str">
        <f>VLOOKUP(AF339,MiscData!$AD$5:$AE$77,2,FALSE)</f>
        <v>RLS</v>
      </c>
      <c r="AP339" s="98" t="s">
        <v>197</v>
      </c>
      <c r="AR339" s="98">
        <v>-161.59</v>
      </c>
    </row>
    <row r="340" spans="1:44">
      <c r="A340" s="108">
        <f t="shared" si="157"/>
        <v>337</v>
      </c>
      <c r="B340" s="109" t="str">
        <f t="shared" si="133"/>
        <v>May 2016</v>
      </c>
      <c r="C340" s="110" t="str">
        <f t="shared" si="134"/>
        <v xml:space="preserve">LS </v>
      </c>
      <c r="D340" s="110" t="str">
        <f t="shared" si="135"/>
        <v>LGUM_429</v>
      </c>
      <c r="E340" s="581">
        <f t="shared" si="138"/>
        <v>9</v>
      </c>
      <c r="F340" s="581">
        <f t="shared" si="139"/>
        <v>0</v>
      </c>
      <c r="G340" s="116">
        <f t="shared" si="140"/>
        <v>36.07</v>
      </c>
      <c r="H340" s="116">
        <f t="shared" si="141"/>
        <v>1.0599999999999952</v>
      </c>
      <c r="I340" s="118">
        <f t="shared" si="152"/>
        <v>324.63</v>
      </c>
      <c r="J340" s="118">
        <f t="shared" si="142"/>
        <v>324.63</v>
      </c>
      <c r="K340" s="570">
        <f t="shared" si="153"/>
        <v>0</v>
      </c>
      <c r="L340" s="121">
        <f t="shared" si="143"/>
        <v>0</v>
      </c>
      <c r="M340" s="122">
        <f t="shared" si="144"/>
        <v>0</v>
      </c>
      <c r="N340" s="122">
        <f t="shared" si="145"/>
        <v>0</v>
      </c>
      <c r="O340" s="122">
        <f t="shared" si="146"/>
        <v>0</v>
      </c>
      <c r="P340" s="122">
        <f t="shared" si="147"/>
        <v>0</v>
      </c>
      <c r="Q340" s="123">
        <f t="shared" si="148"/>
        <v>324.63</v>
      </c>
      <c r="R340" s="123">
        <f t="shared" si="154"/>
        <v>-324.63</v>
      </c>
      <c r="S340" s="582">
        <v>0</v>
      </c>
      <c r="T340" s="123">
        <f t="shared" si="155"/>
        <v>-324.63</v>
      </c>
      <c r="U340" s="25">
        <f t="shared" si="149"/>
        <v>9.5399999999999991</v>
      </c>
      <c r="V340" s="123">
        <f t="shared" si="150"/>
        <v>-9.5399999999999991</v>
      </c>
      <c r="W340" s="334">
        <f t="shared" si="151"/>
        <v>2.4300000000000002</v>
      </c>
      <c r="Y340" s="109">
        <f>IF(AE340=1,IF(Y339=MiscData!$F$1,EOMONTH(Y339,-11),EOMONTH(Y339,1)),Y339)</f>
        <v>42521</v>
      </c>
      <c r="Z340" s="108" t="str">
        <f t="shared" si="136"/>
        <v>20140101LGUM_429</v>
      </c>
      <c r="AA340" s="126" t="str">
        <f t="shared" si="137"/>
        <v xml:space="preserve">20140101LS </v>
      </c>
      <c r="AB340" s="583" t="str">
        <f t="shared" si="156"/>
        <v>429</v>
      </c>
      <c r="AD340" s="98">
        <f>MiscData!$X$5</f>
        <v>20140101</v>
      </c>
      <c r="AE340" s="98">
        <f>IF(AE339+1&gt;MiscData!$AC$77,1,AE339+1)</f>
        <v>45</v>
      </c>
      <c r="AF340" s="98" t="str">
        <f>VLOOKUP(AE340,MiscData!$AC$5:$AD$77,2,FALSE)</f>
        <v>LGUM_429</v>
      </c>
      <c r="AG340" s="98" t="str">
        <f>VLOOKUP(AF340,MiscData!$AD$5:$AE$77,2,FALSE)</f>
        <v xml:space="preserve">LS </v>
      </c>
      <c r="AP340" s="98" t="s">
        <v>198</v>
      </c>
      <c r="AR340" s="98">
        <v>0</v>
      </c>
    </row>
    <row r="341" spans="1:44">
      <c r="A341" s="108">
        <f t="shared" si="157"/>
        <v>338</v>
      </c>
      <c r="B341" s="109" t="str">
        <f t="shared" si="133"/>
        <v>May 2016</v>
      </c>
      <c r="C341" s="110" t="str">
        <f t="shared" si="134"/>
        <v>RLS</v>
      </c>
      <c r="D341" s="110" t="str">
        <f t="shared" si="135"/>
        <v>LGUM_430</v>
      </c>
      <c r="E341" s="581">
        <f t="shared" si="138"/>
        <v>203</v>
      </c>
      <c r="F341" s="581">
        <f t="shared" si="139"/>
        <v>0</v>
      </c>
      <c r="G341" s="116">
        <f t="shared" si="140"/>
        <v>32.26</v>
      </c>
      <c r="H341" s="116">
        <f t="shared" si="141"/>
        <v>0.75</v>
      </c>
      <c r="I341" s="118">
        <f t="shared" si="152"/>
        <v>6548.78</v>
      </c>
      <c r="J341" s="118">
        <f t="shared" si="142"/>
        <v>6548.78</v>
      </c>
      <c r="K341" s="570">
        <f t="shared" si="153"/>
        <v>0</v>
      </c>
      <c r="L341" s="121">
        <f t="shared" si="143"/>
        <v>0</v>
      </c>
      <c r="M341" s="122">
        <f t="shared" si="144"/>
        <v>0</v>
      </c>
      <c r="N341" s="122">
        <f t="shared" si="145"/>
        <v>0</v>
      </c>
      <c r="O341" s="122">
        <f t="shared" si="146"/>
        <v>0</v>
      </c>
      <c r="P341" s="122">
        <f t="shared" si="147"/>
        <v>0</v>
      </c>
      <c r="Q341" s="123">
        <f t="shared" si="148"/>
        <v>6548.78</v>
      </c>
      <c r="R341" s="123">
        <f t="shared" si="154"/>
        <v>-6548.78</v>
      </c>
      <c r="S341" s="582">
        <v>0</v>
      </c>
      <c r="T341" s="123">
        <f t="shared" si="155"/>
        <v>-6548.78</v>
      </c>
      <c r="U341" s="25">
        <f t="shared" si="149"/>
        <v>152.25</v>
      </c>
      <c r="V341" s="123">
        <f t="shared" si="150"/>
        <v>-152.25</v>
      </c>
      <c r="W341" s="334">
        <f t="shared" si="151"/>
        <v>52.78</v>
      </c>
      <c r="Y341" s="109">
        <f>IF(AE341=1,IF(Y340=MiscData!$F$1,EOMONTH(Y340,-11),EOMONTH(Y340,1)),Y340)</f>
        <v>42521</v>
      </c>
      <c r="Z341" s="108" t="str">
        <f t="shared" si="136"/>
        <v>20140101LGUM_430</v>
      </c>
      <c r="AA341" s="126" t="str">
        <f t="shared" si="137"/>
        <v>20140101RLS</v>
      </c>
      <c r="AB341" s="583" t="str">
        <f t="shared" si="156"/>
        <v>430</v>
      </c>
      <c r="AD341" s="98">
        <f>MiscData!$X$5</f>
        <v>20140101</v>
      </c>
      <c r="AE341" s="98">
        <f>IF(AE340+1&gt;MiscData!$AC$77,1,AE340+1)</f>
        <v>46</v>
      </c>
      <c r="AF341" s="98" t="str">
        <f>VLOOKUP(AE341,MiscData!$AC$5:$AD$77,2,FALSE)</f>
        <v>LGUM_430</v>
      </c>
      <c r="AG341" s="98" t="str">
        <f>VLOOKUP(AF341,MiscData!$AD$5:$AE$77,2,FALSE)</f>
        <v>RLS</v>
      </c>
      <c r="AP341" s="98" t="s">
        <v>199</v>
      </c>
      <c r="AR341" s="98">
        <v>56</v>
      </c>
    </row>
    <row r="342" spans="1:44">
      <c r="A342" s="108">
        <f t="shared" si="157"/>
        <v>339</v>
      </c>
      <c r="B342" s="109" t="str">
        <f t="shared" si="133"/>
        <v>May 2016</v>
      </c>
      <c r="C342" s="110" t="str">
        <f t="shared" si="134"/>
        <v xml:space="preserve">LS </v>
      </c>
      <c r="D342" s="110" t="str">
        <f t="shared" si="135"/>
        <v>LGUM_431</v>
      </c>
      <c r="E342" s="581">
        <f t="shared" si="138"/>
        <v>1</v>
      </c>
      <c r="F342" s="581">
        <f t="shared" si="139"/>
        <v>0</v>
      </c>
      <c r="G342" s="116">
        <f t="shared" si="140"/>
        <v>32.93</v>
      </c>
      <c r="H342" s="116">
        <f t="shared" si="141"/>
        <v>0.75</v>
      </c>
      <c r="I342" s="118">
        <f t="shared" si="152"/>
        <v>32.93</v>
      </c>
      <c r="J342" s="118">
        <f t="shared" si="142"/>
        <v>32.93</v>
      </c>
      <c r="K342" s="570">
        <f t="shared" si="153"/>
        <v>0</v>
      </c>
      <c r="L342" s="121">
        <f t="shared" si="143"/>
        <v>0</v>
      </c>
      <c r="M342" s="122">
        <f t="shared" si="144"/>
        <v>0</v>
      </c>
      <c r="N342" s="122">
        <f t="shared" si="145"/>
        <v>0</v>
      </c>
      <c r="O342" s="122">
        <f t="shared" si="146"/>
        <v>0</v>
      </c>
      <c r="P342" s="122">
        <f t="shared" si="147"/>
        <v>0</v>
      </c>
      <c r="Q342" s="123">
        <f t="shared" si="148"/>
        <v>32.93</v>
      </c>
      <c r="R342" s="123">
        <f t="shared" si="154"/>
        <v>-32.93</v>
      </c>
      <c r="S342" s="582">
        <v>0</v>
      </c>
      <c r="T342" s="123">
        <f t="shared" si="155"/>
        <v>-32.93</v>
      </c>
      <c r="U342" s="25">
        <f t="shared" si="149"/>
        <v>0.75</v>
      </c>
      <c r="V342" s="123">
        <f t="shared" si="150"/>
        <v>-0.75</v>
      </c>
      <c r="W342" s="334">
        <f t="shared" si="151"/>
        <v>0.26</v>
      </c>
      <c r="Y342" s="109">
        <f>IF(AE342=1,IF(Y341=MiscData!$F$1,EOMONTH(Y341,-11),EOMONTH(Y341,1)),Y341)</f>
        <v>42521</v>
      </c>
      <c r="Z342" s="108" t="str">
        <f t="shared" si="136"/>
        <v>20140101LGUM_431</v>
      </c>
      <c r="AA342" s="126" t="str">
        <f t="shared" si="137"/>
        <v xml:space="preserve">20140101LS </v>
      </c>
      <c r="AB342" s="583" t="str">
        <f t="shared" si="156"/>
        <v>431</v>
      </c>
      <c r="AD342" s="98">
        <f>MiscData!$X$5</f>
        <v>20140101</v>
      </c>
      <c r="AE342" s="98">
        <f>IF(AE341+1&gt;MiscData!$AC$77,1,AE341+1)</f>
        <v>47</v>
      </c>
      <c r="AF342" s="98" t="str">
        <f>VLOOKUP(AE342,MiscData!$AC$5:$AD$77,2,FALSE)</f>
        <v>LGUM_431</v>
      </c>
      <c r="AG342" s="98" t="str">
        <f>VLOOKUP(AF342,MiscData!$AD$5:$AE$77,2,FALSE)</f>
        <v xml:space="preserve">LS </v>
      </c>
      <c r="AP342" s="98" t="s">
        <v>200</v>
      </c>
      <c r="AR342" s="98">
        <v>-20.85</v>
      </c>
    </row>
    <row r="343" spans="1:44">
      <c r="A343" s="108">
        <f t="shared" si="157"/>
        <v>340</v>
      </c>
      <c r="B343" s="109" t="str">
        <f t="shared" si="133"/>
        <v>May 2016</v>
      </c>
      <c r="C343" s="110" t="str">
        <f t="shared" si="134"/>
        <v>RLS</v>
      </c>
      <c r="D343" s="110" t="str">
        <f t="shared" si="135"/>
        <v>LGUM_432</v>
      </c>
      <c r="E343" s="581">
        <f t="shared" si="138"/>
        <v>9</v>
      </c>
      <c r="F343" s="581">
        <f t="shared" si="139"/>
        <v>0</v>
      </c>
      <c r="G343" s="116">
        <f t="shared" si="140"/>
        <v>34.330000000000005</v>
      </c>
      <c r="H343" s="116">
        <f t="shared" si="141"/>
        <v>1.0600000000000023</v>
      </c>
      <c r="I343" s="118">
        <f t="shared" si="152"/>
        <v>308.97000000000003</v>
      </c>
      <c r="J343" s="118">
        <f t="shared" si="142"/>
        <v>308.97000000000003</v>
      </c>
      <c r="K343" s="570">
        <f t="shared" si="153"/>
        <v>0</v>
      </c>
      <c r="L343" s="121">
        <f t="shared" si="143"/>
        <v>0</v>
      </c>
      <c r="M343" s="122">
        <f t="shared" si="144"/>
        <v>0</v>
      </c>
      <c r="N343" s="122">
        <f t="shared" si="145"/>
        <v>0</v>
      </c>
      <c r="O343" s="122">
        <f t="shared" si="146"/>
        <v>0</v>
      </c>
      <c r="P343" s="122">
        <f t="shared" si="147"/>
        <v>0</v>
      </c>
      <c r="Q343" s="123">
        <f t="shared" si="148"/>
        <v>308.97000000000003</v>
      </c>
      <c r="R343" s="123">
        <f t="shared" si="154"/>
        <v>-308.97000000000003</v>
      </c>
      <c r="S343" s="582">
        <v>0</v>
      </c>
      <c r="T343" s="123">
        <f t="shared" si="155"/>
        <v>-308.97000000000003</v>
      </c>
      <c r="U343" s="25">
        <f t="shared" si="149"/>
        <v>9.5399999999999991</v>
      </c>
      <c r="V343" s="123">
        <f t="shared" si="150"/>
        <v>-9.5399999999999991</v>
      </c>
      <c r="W343" s="334">
        <f t="shared" si="151"/>
        <v>2.4300000000000002</v>
      </c>
      <c r="Y343" s="109">
        <f>IF(AE343=1,IF(Y342=MiscData!$F$1,EOMONTH(Y342,-11),EOMONTH(Y342,1)),Y342)</f>
        <v>42521</v>
      </c>
      <c r="Z343" s="108" t="str">
        <f t="shared" si="136"/>
        <v>20140101LGUM_432</v>
      </c>
      <c r="AA343" s="126" t="str">
        <f t="shared" si="137"/>
        <v>20140101RLS</v>
      </c>
      <c r="AB343" s="583" t="str">
        <f t="shared" si="156"/>
        <v>432</v>
      </c>
      <c r="AD343" s="98">
        <f>MiscData!$X$5</f>
        <v>20140101</v>
      </c>
      <c r="AE343" s="98">
        <f>IF(AE342+1&gt;MiscData!$AC$77,1,AE342+1)</f>
        <v>48</v>
      </c>
      <c r="AF343" s="98" t="str">
        <f>VLOOKUP(AE343,MiscData!$AC$5:$AD$77,2,FALSE)</f>
        <v>LGUM_432</v>
      </c>
      <c r="AG343" s="98" t="str">
        <f>VLOOKUP(AF343,MiscData!$AD$5:$AE$77,2,FALSE)</f>
        <v>RLS</v>
      </c>
      <c r="AP343" s="98" t="s">
        <v>201</v>
      </c>
      <c r="AR343" s="98">
        <v>5.59</v>
      </c>
    </row>
    <row r="344" spans="1:44">
      <c r="A344" s="108">
        <f t="shared" si="157"/>
        <v>341</v>
      </c>
      <c r="B344" s="109" t="str">
        <f t="shared" si="133"/>
        <v>May 2016</v>
      </c>
      <c r="C344" s="110" t="str">
        <f t="shared" si="134"/>
        <v xml:space="preserve">LS </v>
      </c>
      <c r="D344" s="110" t="str">
        <f t="shared" si="135"/>
        <v>LGUM_433</v>
      </c>
      <c r="E344" s="581">
        <f t="shared" si="138"/>
        <v>1203</v>
      </c>
      <c r="F344" s="581">
        <f t="shared" si="139"/>
        <v>0</v>
      </c>
      <c r="G344" s="116">
        <f t="shared" si="140"/>
        <v>34.99</v>
      </c>
      <c r="H344" s="116">
        <f t="shared" si="141"/>
        <v>1.0600000000000023</v>
      </c>
      <c r="I344" s="118">
        <f t="shared" si="152"/>
        <v>42092.97</v>
      </c>
      <c r="J344" s="118">
        <f t="shared" si="142"/>
        <v>42092.97</v>
      </c>
      <c r="K344" s="570">
        <f t="shared" si="153"/>
        <v>0</v>
      </c>
      <c r="L344" s="121">
        <f t="shared" si="143"/>
        <v>0</v>
      </c>
      <c r="M344" s="122">
        <f t="shared" si="144"/>
        <v>0</v>
      </c>
      <c r="N344" s="122">
        <f t="shared" si="145"/>
        <v>0</v>
      </c>
      <c r="O344" s="122">
        <f t="shared" si="146"/>
        <v>0</v>
      </c>
      <c r="P344" s="122">
        <f t="shared" si="147"/>
        <v>0</v>
      </c>
      <c r="Q344" s="123">
        <f t="shared" si="148"/>
        <v>42092.97</v>
      </c>
      <c r="R344" s="123">
        <f t="shared" si="154"/>
        <v>-42092.97</v>
      </c>
      <c r="S344" s="582">
        <v>0</v>
      </c>
      <c r="T344" s="123">
        <f t="shared" si="155"/>
        <v>-42092.97</v>
      </c>
      <c r="U344" s="25">
        <f t="shared" si="149"/>
        <v>1275.18</v>
      </c>
      <c r="V344" s="123">
        <f t="shared" si="150"/>
        <v>-1275.18</v>
      </c>
      <c r="W344" s="334">
        <f t="shared" si="151"/>
        <v>324.81</v>
      </c>
      <c r="Y344" s="109">
        <f>IF(AE344=1,IF(Y343=MiscData!$F$1,EOMONTH(Y343,-11),EOMONTH(Y343,1)),Y343)</f>
        <v>42521</v>
      </c>
      <c r="Z344" s="108" t="str">
        <f t="shared" si="136"/>
        <v>20140101LGUM_433</v>
      </c>
      <c r="AA344" s="126" t="str">
        <f t="shared" si="137"/>
        <v xml:space="preserve">20140101LS </v>
      </c>
      <c r="AB344" s="583" t="str">
        <f t="shared" si="156"/>
        <v>433</v>
      </c>
      <c r="AD344" s="98">
        <f>MiscData!$X$5</f>
        <v>20140101</v>
      </c>
      <c r="AE344" s="98">
        <f>IF(AE343+1&gt;MiscData!$AC$77,1,AE343+1)</f>
        <v>49</v>
      </c>
      <c r="AF344" s="98" t="str">
        <f>VLOOKUP(AE344,MiscData!$AC$5:$AD$77,2,FALSE)</f>
        <v>LGUM_433</v>
      </c>
      <c r="AG344" s="98" t="str">
        <f>VLOOKUP(AF344,MiscData!$AD$5:$AE$77,2,FALSE)</f>
        <v xml:space="preserve">LS </v>
      </c>
      <c r="AP344" s="98" t="s">
        <v>202</v>
      </c>
      <c r="AR344" s="98">
        <v>-406.22</v>
      </c>
    </row>
    <row r="345" spans="1:44">
      <c r="A345" s="108">
        <f t="shared" si="157"/>
        <v>342</v>
      </c>
      <c r="B345" s="109" t="str">
        <f t="shared" si="133"/>
        <v>May 2016</v>
      </c>
      <c r="C345" s="110" t="str">
        <f t="shared" si="134"/>
        <v xml:space="preserve">LS </v>
      </c>
      <c r="D345" s="110" t="str">
        <f t="shared" si="135"/>
        <v>LGUM_439</v>
      </c>
      <c r="E345" s="581">
        <f t="shared" si="138"/>
        <v>0</v>
      </c>
      <c r="F345" s="581">
        <f t="shared" si="139"/>
        <v>0</v>
      </c>
      <c r="G345" s="116">
        <f t="shared" si="140"/>
        <v>16.459999999999997</v>
      </c>
      <c r="H345" s="116">
        <f t="shared" si="141"/>
        <v>1.6499999999999986</v>
      </c>
      <c r="I345" s="118">
        <f t="shared" si="152"/>
        <v>0</v>
      </c>
      <c r="J345" s="118">
        <f t="shared" si="142"/>
        <v>0</v>
      </c>
      <c r="K345" s="570">
        <f t="shared" si="153"/>
        <v>0</v>
      </c>
      <c r="L345" s="121">
        <f t="shared" si="143"/>
        <v>1</v>
      </c>
      <c r="M345" s="122">
        <f t="shared" si="144"/>
        <v>0</v>
      </c>
      <c r="N345" s="122">
        <f t="shared" si="145"/>
        <v>0</v>
      </c>
      <c r="O345" s="122">
        <f t="shared" si="146"/>
        <v>0</v>
      </c>
      <c r="P345" s="122">
        <f t="shared" si="147"/>
        <v>0</v>
      </c>
      <c r="Q345" s="123">
        <f t="shared" si="148"/>
        <v>0</v>
      </c>
      <c r="R345" s="123">
        <f t="shared" si="154"/>
        <v>0</v>
      </c>
      <c r="S345" s="582">
        <v>0</v>
      </c>
      <c r="T345" s="123">
        <f t="shared" si="155"/>
        <v>0</v>
      </c>
      <c r="U345" s="25">
        <f t="shared" si="149"/>
        <v>0</v>
      </c>
      <c r="V345" s="123">
        <f t="shared" si="150"/>
        <v>0</v>
      </c>
      <c r="W345" s="334">
        <f t="shared" si="151"/>
        <v>0</v>
      </c>
      <c r="Y345" s="109">
        <f>IF(AE345=1,IF(Y344=MiscData!$F$1,EOMONTH(Y344,-11),EOMONTH(Y344,1)),Y344)</f>
        <v>42521</v>
      </c>
      <c r="Z345" s="108" t="str">
        <f t="shared" si="136"/>
        <v>20140101LGUM_439</v>
      </c>
      <c r="AA345" s="126" t="str">
        <f t="shared" si="137"/>
        <v xml:space="preserve">20140101LS </v>
      </c>
      <c r="AB345" s="583" t="str">
        <f t="shared" si="156"/>
        <v>439</v>
      </c>
      <c r="AD345" s="98">
        <f>MiscData!$X$5</f>
        <v>20140101</v>
      </c>
      <c r="AE345" s="98">
        <f>IF(AE344+1&gt;MiscData!$AC$77,1,AE344+1)</f>
        <v>50</v>
      </c>
      <c r="AF345" s="98" t="str">
        <f>VLOOKUP(AE345,MiscData!$AC$5:$AD$77,2,FALSE)</f>
        <v>LGUM_439</v>
      </c>
      <c r="AG345" s="98" t="str">
        <f>VLOOKUP(AF345,MiscData!$AD$5:$AE$77,2,FALSE)</f>
        <v xml:space="preserve">LS </v>
      </c>
      <c r="AP345" s="98" t="s">
        <v>203</v>
      </c>
      <c r="AR345" s="98">
        <v>0</v>
      </c>
    </row>
    <row r="346" spans="1:44">
      <c r="A346" s="108">
        <f t="shared" si="157"/>
        <v>343</v>
      </c>
      <c r="B346" s="109" t="str">
        <f t="shared" si="133"/>
        <v>May 2016</v>
      </c>
      <c r="C346" s="110" t="str">
        <f t="shared" si="134"/>
        <v xml:space="preserve">LS </v>
      </c>
      <c r="D346" s="110" t="str">
        <f t="shared" si="135"/>
        <v>LGUM_440</v>
      </c>
      <c r="E346" s="581">
        <f t="shared" si="138"/>
        <v>1767</v>
      </c>
      <c r="F346" s="581">
        <f t="shared" si="139"/>
        <v>0</v>
      </c>
      <c r="G346" s="116">
        <f t="shared" si="140"/>
        <v>18.279999999999998</v>
      </c>
      <c r="H346" s="116">
        <f t="shared" si="141"/>
        <v>2.67</v>
      </c>
      <c r="I346" s="118">
        <f t="shared" si="152"/>
        <v>32300.76</v>
      </c>
      <c r="J346" s="118">
        <f t="shared" si="142"/>
        <v>32300.76</v>
      </c>
      <c r="K346" s="570">
        <f t="shared" si="153"/>
        <v>0</v>
      </c>
      <c r="L346" s="121">
        <f t="shared" si="143"/>
        <v>0</v>
      </c>
      <c r="M346" s="122">
        <f t="shared" si="144"/>
        <v>0</v>
      </c>
      <c r="N346" s="122">
        <f t="shared" si="145"/>
        <v>0</v>
      </c>
      <c r="O346" s="122">
        <f t="shared" si="146"/>
        <v>0</v>
      </c>
      <c r="P346" s="122">
        <f t="shared" si="147"/>
        <v>0</v>
      </c>
      <c r="Q346" s="123">
        <f t="shared" si="148"/>
        <v>32300.76</v>
      </c>
      <c r="R346" s="123">
        <f t="shared" si="154"/>
        <v>-32300.76</v>
      </c>
      <c r="S346" s="582">
        <v>0</v>
      </c>
      <c r="T346" s="123">
        <f t="shared" si="155"/>
        <v>-32300.76</v>
      </c>
      <c r="U346" s="25">
        <f t="shared" si="149"/>
        <v>4717.8900000000003</v>
      </c>
      <c r="V346" s="123">
        <f t="shared" si="150"/>
        <v>-4717.8900000000003</v>
      </c>
      <c r="W346" s="334">
        <f t="shared" si="151"/>
        <v>477.09000000000003</v>
      </c>
      <c r="Y346" s="109">
        <f>IF(AE346=1,IF(Y345=MiscData!$F$1,EOMONTH(Y345,-11),EOMONTH(Y345,1)),Y345)</f>
        <v>42521</v>
      </c>
      <c r="Z346" s="108" t="str">
        <f t="shared" si="136"/>
        <v>20140101LGUM_440</v>
      </c>
      <c r="AA346" s="126" t="str">
        <f t="shared" si="137"/>
        <v xml:space="preserve">20140101LS </v>
      </c>
      <c r="AB346" s="583" t="str">
        <f t="shared" si="156"/>
        <v>440</v>
      </c>
      <c r="AD346" s="98">
        <f>MiscData!$X$5</f>
        <v>20140101</v>
      </c>
      <c r="AE346" s="98">
        <f>IF(AE345+1&gt;MiscData!$AC$77,1,AE345+1)</f>
        <v>51</v>
      </c>
      <c r="AF346" s="98" t="str">
        <f>VLOOKUP(AE346,MiscData!$AC$5:$AD$77,2,FALSE)</f>
        <v>LGUM_440</v>
      </c>
      <c r="AG346" s="98" t="str">
        <f>VLOOKUP(AF346,MiscData!$AD$5:$AE$77,2,FALSE)</f>
        <v xml:space="preserve">LS </v>
      </c>
      <c r="AP346" s="98" t="s">
        <v>204</v>
      </c>
      <c r="AR346" s="98">
        <v>0</v>
      </c>
    </row>
    <row r="347" spans="1:44">
      <c r="A347" s="108">
        <f t="shared" si="157"/>
        <v>344</v>
      </c>
      <c r="B347" s="109" t="str">
        <f t="shared" si="133"/>
        <v>May 2016</v>
      </c>
      <c r="C347" s="110" t="str">
        <f t="shared" si="134"/>
        <v xml:space="preserve">LS </v>
      </c>
      <c r="D347" s="110" t="str">
        <f t="shared" si="135"/>
        <v>LGUM_441</v>
      </c>
      <c r="E347" s="581">
        <f t="shared" si="138"/>
        <v>2616</v>
      </c>
      <c r="F347" s="581">
        <f t="shared" si="139"/>
        <v>0</v>
      </c>
      <c r="G347" s="116">
        <f t="shared" si="140"/>
        <v>22.32</v>
      </c>
      <c r="H347" s="116">
        <f t="shared" si="141"/>
        <v>4.2800000000000011</v>
      </c>
      <c r="I347" s="118">
        <f t="shared" si="152"/>
        <v>58389.120000000003</v>
      </c>
      <c r="J347" s="118">
        <f t="shared" si="142"/>
        <v>58389.120000000003</v>
      </c>
      <c r="K347" s="570">
        <f t="shared" si="153"/>
        <v>0</v>
      </c>
      <c r="L347" s="121">
        <f t="shared" si="143"/>
        <v>0</v>
      </c>
      <c r="M347" s="122">
        <f t="shared" si="144"/>
        <v>0</v>
      </c>
      <c r="N347" s="122">
        <f t="shared" si="145"/>
        <v>0</v>
      </c>
      <c r="O347" s="122">
        <f t="shared" si="146"/>
        <v>0</v>
      </c>
      <c r="P347" s="122">
        <f t="shared" si="147"/>
        <v>0</v>
      </c>
      <c r="Q347" s="123">
        <f t="shared" si="148"/>
        <v>58389.120000000003</v>
      </c>
      <c r="R347" s="123">
        <f t="shared" si="154"/>
        <v>-58389.120000000003</v>
      </c>
      <c r="S347" s="582">
        <v>0</v>
      </c>
      <c r="T347" s="123">
        <f t="shared" si="155"/>
        <v>-58389.120000000003</v>
      </c>
      <c r="U347" s="25">
        <f t="shared" si="149"/>
        <v>11196.48</v>
      </c>
      <c r="V347" s="123">
        <f t="shared" si="150"/>
        <v>-11196.48</v>
      </c>
      <c r="W347" s="334">
        <f t="shared" si="151"/>
        <v>758.64</v>
      </c>
      <c r="Y347" s="109">
        <f>IF(AE347=1,IF(Y346=MiscData!$F$1,EOMONTH(Y346,-11),EOMONTH(Y346,1)),Y346)</f>
        <v>42521</v>
      </c>
      <c r="Z347" s="108" t="str">
        <f t="shared" si="136"/>
        <v>20140101LGUM_441</v>
      </c>
      <c r="AA347" s="126" t="str">
        <f t="shared" si="137"/>
        <v xml:space="preserve">20140101LS </v>
      </c>
      <c r="AB347" s="583" t="str">
        <f t="shared" si="156"/>
        <v>441</v>
      </c>
      <c r="AD347" s="98">
        <f>MiscData!$X$5</f>
        <v>20140101</v>
      </c>
      <c r="AE347" s="98">
        <f>IF(AE346+1&gt;MiscData!$AC$77,1,AE346+1)</f>
        <v>52</v>
      </c>
      <c r="AF347" s="98" t="str">
        <f>VLOOKUP(AE347,MiscData!$AC$5:$AD$77,2,FALSE)</f>
        <v>LGUM_441</v>
      </c>
      <c r="AG347" s="98" t="str">
        <f>VLOOKUP(AF347,MiscData!$AD$5:$AE$77,2,FALSE)</f>
        <v xml:space="preserve">LS </v>
      </c>
      <c r="AP347" s="98" t="s">
        <v>205</v>
      </c>
      <c r="AR347" s="98">
        <v>-48.93</v>
      </c>
    </row>
    <row r="348" spans="1:44">
      <c r="A348" s="108">
        <f t="shared" si="157"/>
        <v>345</v>
      </c>
      <c r="B348" s="109" t="str">
        <f t="shared" si="133"/>
        <v>May 2016</v>
      </c>
      <c r="C348" s="110" t="str">
        <f t="shared" si="134"/>
        <v xml:space="preserve">LS </v>
      </c>
      <c r="D348" s="110" t="str">
        <f t="shared" si="135"/>
        <v>LGUM_452</v>
      </c>
      <c r="E348" s="581">
        <f t="shared" si="138"/>
        <v>432</v>
      </c>
      <c r="F348" s="581">
        <f t="shared" si="139"/>
        <v>0</v>
      </c>
      <c r="G348" s="116">
        <f t="shared" si="140"/>
        <v>12.82</v>
      </c>
      <c r="H348" s="116">
        <f t="shared" si="141"/>
        <v>1.6500000000000004</v>
      </c>
      <c r="I348" s="118">
        <f t="shared" si="152"/>
        <v>5538.24</v>
      </c>
      <c r="J348" s="118">
        <f t="shared" si="142"/>
        <v>5538.24</v>
      </c>
      <c r="K348" s="570">
        <f t="shared" si="153"/>
        <v>0</v>
      </c>
      <c r="L348" s="121">
        <f t="shared" si="143"/>
        <v>0</v>
      </c>
      <c r="M348" s="122">
        <f t="shared" si="144"/>
        <v>0</v>
      </c>
      <c r="N348" s="122">
        <f t="shared" si="145"/>
        <v>0</v>
      </c>
      <c r="O348" s="122">
        <f t="shared" si="146"/>
        <v>0</v>
      </c>
      <c r="P348" s="122">
        <f t="shared" si="147"/>
        <v>0</v>
      </c>
      <c r="Q348" s="123">
        <f t="shared" si="148"/>
        <v>5538.24</v>
      </c>
      <c r="R348" s="123">
        <f t="shared" si="154"/>
        <v>-5538.24</v>
      </c>
      <c r="S348" s="582">
        <v>0</v>
      </c>
      <c r="T348" s="123">
        <f t="shared" si="155"/>
        <v>-5538.24</v>
      </c>
      <c r="U348" s="25">
        <f t="shared" si="149"/>
        <v>712.8</v>
      </c>
      <c r="V348" s="123">
        <f t="shared" si="150"/>
        <v>-712.8</v>
      </c>
      <c r="W348" s="334">
        <f t="shared" si="151"/>
        <v>103.67999999999999</v>
      </c>
      <c r="Y348" s="109">
        <f>IF(AE348=1,IF(Y347=MiscData!$F$1,EOMONTH(Y347,-11),EOMONTH(Y347,1)),Y347)</f>
        <v>42521</v>
      </c>
      <c r="Z348" s="108" t="str">
        <f t="shared" si="136"/>
        <v>20140101LGUM_452</v>
      </c>
      <c r="AA348" s="126" t="str">
        <f t="shared" si="137"/>
        <v xml:space="preserve">20140101LS </v>
      </c>
      <c r="AB348" s="583" t="str">
        <f t="shared" si="156"/>
        <v>452</v>
      </c>
      <c r="AD348" s="98">
        <f>MiscData!$X$5</f>
        <v>20140101</v>
      </c>
      <c r="AE348" s="98">
        <f>IF(AE347+1&gt;MiscData!$AC$77,1,AE347+1)</f>
        <v>53</v>
      </c>
      <c r="AF348" s="98" t="str">
        <f>VLOOKUP(AE348,MiscData!$AC$5:$AD$77,2,FALSE)</f>
        <v>LGUM_452</v>
      </c>
      <c r="AG348" s="98" t="str">
        <f>VLOOKUP(AF348,MiscData!$AD$5:$AE$77,2,FALSE)</f>
        <v xml:space="preserve">LS </v>
      </c>
      <c r="AP348" s="98" t="s">
        <v>206</v>
      </c>
      <c r="AR348" s="98">
        <v>0</v>
      </c>
    </row>
    <row r="349" spans="1:44">
      <c r="A349" s="108">
        <f t="shared" si="157"/>
        <v>346</v>
      </c>
      <c r="B349" s="109" t="str">
        <f t="shared" si="133"/>
        <v>May 2016</v>
      </c>
      <c r="C349" s="110" t="str">
        <f t="shared" si="134"/>
        <v xml:space="preserve">LS </v>
      </c>
      <c r="D349" s="110" t="str">
        <f t="shared" si="135"/>
        <v>LGUM_453</v>
      </c>
      <c r="E349" s="581">
        <f t="shared" si="138"/>
        <v>15333</v>
      </c>
      <c r="F349" s="581">
        <f t="shared" si="139"/>
        <v>0</v>
      </c>
      <c r="G349" s="116">
        <f t="shared" si="140"/>
        <v>15.08</v>
      </c>
      <c r="H349" s="116">
        <f t="shared" si="141"/>
        <v>3.9800000000000004</v>
      </c>
      <c r="I349" s="118">
        <f t="shared" si="152"/>
        <v>231221.64</v>
      </c>
      <c r="J349" s="118">
        <f t="shared" si="142"/>
        <v>231221.64</v>
      </c>
      <c r="K349" s="570">
        <f t="shared" si="153"/>
        <v>0</v>
      </c>
      <c r="L349" s="121">
        <f t="shared" si="143"/>
        <v>0</v>
      </c>
      <c r="M349" s="122">
        <f t="shared" si="144"/>
        <v>0</v>
      </c>
      <c r="N349" s="122">
        <f t="shared" si="145"/>
        <v>0</v>
      </c>
      <c r="O349" s="122">
        <f t="shared" si="146"/>
        <v>0</v>
      </c>
      <c r="P349" s="122">
        <f t="shared" si="147"/>
        <v>0</v>
      </c>
      <c r="Q349" s="123">
        <f t="shared" si="148"/>
        <v>231221.64</v>
      </c>
      <c r="R349" s="123">
        <f t="shared" si="154"/>
        <v>-231221.64</v>
      </c>
      <c r="S349" s="582">
        <v>0</v>
      </c>
      <c r="T349" s="123">
        <f t="shared" si="155"/>
        <v>-231221.64</v>
      </c>
      <c r="U349" s="25">
        <f t="shared" si="149"/>
        <v>61025.34</v>
      </c>
      <c r="V349" s="123">
        <f t="shared" si="150"/>
        <v>-61025.34</v>
      </c>
      <c r="W349" s="334">
        <f t="shared" si="151"/>
        <v>4139.91</v>
      </c>
      <c r="Y349" s="109">
        <f>IF(AE349=1,IF(Y348=MiscData!$F$1,EOMONTH(Y348,-11),EOMONTH(Y348,1)),Y348)</f>
        <v>42521</v>
      </c>
      <c r="Z349" s="108" t="str">
        <f t="shared" si="136"/>
        <v>20140101LGUM_453</v>
      </c>
      <c r="AA349" s="126" t="str">
        <f t="shared" si="137"/>
        <v xml:space="preserve">20140101LS </v>
      </c>
      <c r="AB349" s="583" t="str">
        <f t="shared" si="156"/>
        <v>453</v>
      </c>
      <c r="AD349" s="98">
        <f>MiscData!$X$5</f>
        <v>20140101</v>
      </c>
      <c r="AE349" s="98">
        <f>IF(AE348+1&gt;MiscData!$AC$77,1,AE348+1)</f>
        <v>54</v>
      </c>
      <c r="AF349" s="98" t="str">
        <f>VLOOKUP(AE349,MiscData!$AC$5:$AD$77,2,FALSE)</f>
        <v>LGUM_453</v>
      </c>
      <c r="AG349" s="98" t="str">
        <f>VLOOKUP(AF349,MiscData!$AD$5:$AE$77,2,FALSE)</f>
        <v xml:space="preserve">LS </v>
      </c>
      <c r="AP349" s="98" t="s">
        <v>207</v>
      </c>
      <c r="AR349" s="98">
        <v>0</v>
      </c>
    </row>
    <row r="350" spans="1:44">
      <c r="A350" s="108">
        <f t="shared" si="157"/>
        <v>347</v>
      </c>
      <c r="B350" s="109" t="str">
        <f t="shared" si="133"/>
        <v>May 2016</v>
      </c>
      <c r="C350" s="110" t="str">
        <f t="shared" si="134"/>
        <v xml:space="preserve">LS </v>
      </c>
      <c r="D350" s="110" t="str">
        <f t="shared" si="135"/>
        <v>LGUM_454</v>
      </c>
      <c r="E350" s="581">
        <f t="shared" si="138"/>
        <v>2029</v>
      </c>
      <c r="F350" s="581">
        <f t="shared" si="139"/>
        <v>0</v>
      </c>
      <c r="G350" s="116">
        <f t="shared" si="140"/>
        <v>17.38</v>
      </c>
      <c r="H350" s="116">
        <f t="shared" si="141"/>
        <v>4.2800000000000011</v>
      </c>
      <c r="I350" s="118">
        <f t="shared" si="152"/>
        <v>35264.019999999997</v>
      </c>
      <c r="J350" s="118">
        <f t="shared" si="142"/>
        <v>35264.019999999997</v>
      </c>
      <c r="K350" s="570">
        <f t="shared" si="153"/>
        <v>0</v>
      </c>
      <c r="L350" s="121">
        <f t="shared" si="143"/>
        <v>0</v>
      </c>
      <c r="M350" s="122">
        <f t="shared" si="144"/>
        <v>0</v>
      </c>
      <c r="N350" s="122">
        <f t="shared" si="145"/>
        <v>0</v>
      </c>
      <c r="O350" s="122">
        <f t="shared" si="146"/>
        <v>0</v>
      </c>
      <c r="P350" s="122">
        <f t="shared" si="147"/>
        <v>0</v>
      </c>
      <c r="Q350" s="123">
        <f t="shared" si="148"/>
        <v>35264.019999999997</v>
      </c>
      <c r="R350" s="123">
        <f t="shared" si="154"/>
        <v>-35264.019999999997</v>
      </c>
      <c r="S350" s="582">
        <v>0</v>
      </c>
      <c r="T350" s="123">
        <f t="shared" si="155"/>
        <v>-35264.019999999997</v>
      </c>
      <c r="U350" s="25">
        <f t="shared" si="149"/>
        <v>8684.1200000000008</v>
      </c>
      <c r="V350" s="123">
        <f t="shared" si="150"/>
        <v>-8684.1200000000008</v>
      </c>
      <c r="W350" s="334">
        <f t="shared" si="151"/>
        <v>588.41</v>
      </c>
      <c r="Y350" s="109">
        <f>IF(AE350=1,IF(Y349=MiscData!$F$1,EOMONTH(Y349,-11),EOMONTH(Y349,1)),Y349)</f>
        <v>42521</v>
      </c>
      <c r="Z350" s="108" t="str">
        <f t="shared" si="136"/>
        <v>20140101LGUM_454</v>
      </c>
      <c r="AA350" s="126" t="str">
        <f t="shared" si="137"/>
        <v xml:space="preserve">20140101LS </v>
      </c>
      <c r="AB350" s="583" t="str">
        <f t="shared" si="156"/>
        <v>454</v>
      </c>
      <c r="AD350" s="98">
        <f>MiscData!$X$5</f>
        <v>20140101</v>
      </c>
      <c r="AE350" s="98">
        <f>IF(AE349+1&gt;MiscData!$AC$77,1,AE349+1)</f>
        <v>55</v>
      </c>
      <c r="AF350" s="98" t="str">
        <f>VLOOKUP(AE350,MiscData!$AC$5:$AD$77,2,FALSE)</f>
        <v>LGUM_454</v>
      </c>
      <c r="AG350" s="98" t="str">
        <f>VLOOKUP(AF350,MiscData!$AD$5:$AE$77,2,FALSE)</f>
        <v xml:space="preserve">LS </v>
      </c>
      <c r="AP350" s="98" t="s">
        <v>208</v>
      </c>
      <c r="AR350" s="98">
        <v>0</v>
      </c>
    </row>
    <row r="351" spans="1:44">
      <c r="A351" s="108">
        <f t="shared" si="157"/>
        <v>348</v>
      </c>
      <c r="B351" s="109" t="str">
        <f t="shared" si="133"/>
        <v>May 2016</v>
      </c>
      <c r="C351" s="110" t="str">
        <f t="shared" si="134"/>
        <v xml:space="preserve">LS </v>
      </c>
      <c r="D351" s="110" t="str">
        <f t="shared" si="135"/>
        <v>LGUM_455</v>
      </c>
      <c r="E351" s="581">
        <f t="shared" si="138"/>
        <v>3</v>
      </c>
      <c r="F351" s="581">
        <f t="shared" si="139"/>
        <v>0</v>
      </c>
      <c r="G351" s="116">
        <f t="shared" si="140"/>
        <v>13.77</v>
      </c>
      <c r="H351" s="116">
        <f t="shared" si="141"/>
        <v>1.6499999999999986</v>
      </c>
      <c r="I351" s="118">
        <f t="shared" si="152"/>
        <v>41.31</v>
      </c>
      <c r="J351" s="118">
        <f t="shared" si="142"/>
        <v>41.31</v>
      </c>
      <c r="K351" s="570">
        <f t="shared" si="153"/>
        <v>0</v>
      </c>
      <c r="L351" s="121">
        <f t="shared" si="143"/>
        <v>0</v>
      </c>
      <c r="M351" s="122">
        <f t="shared" si="144"/>
        <v>0</v>
      </c>
      <c r="N351" s="122">
        <f t="shared" si="145"/>
        <v>0</v>
      </c>
      <c r="O351" s="122">
        <f t="shared" si="146"/>
        <v>0</v>
      </c>
      <c r="P351" s="122">
        <f t="shared" si="147"/>
        <v>0</v>
      </c>
      <c r="Q351" s="123">
        <f t="shared" si="148"/>
        <v>41.31</v>
      </c>
      <c r="R351" s="123">
        <f t="shared" si="154"/>
        <v>-41.31</v>
      </c>
      <c r="S351" s="582">
        <v>0</v>
      </c>
      <c r="T351" s="123">
        <f t="shared" si="155"/>
        <v>-41.31</v>
      </c>
      <c r="U351" s="25">
        <f t="shared" si="149"/>
        <v>4.95</v>
      </c>
      <c r="V351" s="123">
        <f t="shared" si="150"/>
        <v>-4.95</v>
      </c>
      <c r="W351" s="334">
        <f t="shared" si="151"/>
        <v>0.72</v>
      </c>
      <c r="Y351" s="109">
        <f>IF(AE351=1,IF(Y350=MiscData!$F$1,EOMONTH(Y350,-11),EOMONTH(Y350,1)),Y350)</f>
        <v>42521</v>
      </c>
      <c r="Z351" s="108" t="str">
        <f t="shared" si="136"/>
        <v>20140101LGUM_455</v>
      </c>
      <c r="AA351" s="126" t="str">
        <f t="shared" si="137"/>
        <v xml:space="preserve">20140101LS </v>
      </c>
      <c r="AB351" s="583" t="str">
        <f t="shared" si="156"/>
        <v>455</v>
      </c>
      <c r="AD351" s="98">
        <f>MiscData!$X$5</f>
        <v>20140101</v>
      </c>
      <c r="AE351" s="98">
        <f>IF(AE350+1&gt;MiscData!$AC$77,1,AE350+1)</f>
        <v>56</v>
      </c>
      <c r="AF351" s="98" t="str">
        <f>VLOOKUP(AE351,MiscData!$AC$5:$AD$77,2,FALSE)</f>
        <v>LGUM_455</v>
      </c>
      <c r="AG351" s="98" t="str">
        <f>VLOOKUP(AF351,MiscData!$AD$5:$AE$77,2,FALSE)</f>
        <v xml:space="preserve">LS </v>
      </c>
      <c r="AP351" s="98" t="s">
        <v>209</v>
      </c>
      <c r="AR351" s="98">
        <v>0</v>
      </c>
    </row>
    <row r="352" spans="1:44">
      <c r="A352" s="108">
        <f t="shared" si="157"/>
        <v>349</v>
      </c>
      <c r="B352" s="109" t="str">
        <f t="shared" si="133"/>
        <v>May 2016</v>
      </c>
      <c r="C352" s="110" t="str">
        <f t="shared" si="134"/>
        <v xml:space="preserve">LS </v>
      </c>
      <c r="D352" s="110" t="str">
        <f t="shared" si="135"/>
        <v>LGUM_456</v>
      </c>
      <c r="E352" s="581">
        <f t="shared" si="138"/>
        <v>16</v>
      </c>
      <c r="F352" s="581">
        <f t="shared" si="139"/>
        <v>0</v>
      </c>
      <c r="G352" s="116">
        <f t="shared" si="140"/>
        <v>18.21</v>
      </c>
      <c r="H352" s="116">
        <f t="shared" si="141"/>
        <v>4.2800000000000011</v>
      </c>
      <c r="I352" s="118">
        <f t="shared" si="152"/>
        <v>291.36</v>
      </c>
      <c r="J352" s="118">
        <f t="shared" si="142"/>
        <v>291.36</v>
      </c>
      <c r="K352" s="570">
        <f t="shared" si="153"/>
        <v>0</v>
      </c>
      <c r="L352" s="121">
        <f t="shared" si="143"/>
        <v>0</v>
      </c>
      <c r="M352" s="122">
        <f t="shared" si="144"/>
        <v>0</v>
      </c>
      <c r="N352" s="122">
        <f t="shared" si="145"/>
        <v>0</v>
      </c>
      <c r="O352" s="122">
        <f t="shared" si="146"/>
        <v>0</v>
      </c>
      <c r="P352" s="122">
        <f t="shared" si="147"/>
        <v>0</v>
      </c>
      <c r="Q352" s="123">
        <f t="shared" si="148"/>
        <v>291.36</v>
      </c>
      <c r="R352" s="123">
        <f t="shared" si="154"/>
        <v>-291.36</v>
      </c>
      <c r="S352" s="582">
        <v>0</v>
      </c>
      <c r="T352" s="123">
        <f t="shared" si="155"/>
        <v>-291.36</v>
      </c>
      <c r="U352" s="25">
        <f t="shared" si="149"/>
        <v>68.48</v>
      </c>
      <c r="V352" s="123">
        <f t="shared" si="150"/>
        <v>-68.48</v>
      </c>
      <c r="W352" s="334">
        <f t="shared" si="151"/>
        <v>4.6399999999999997</v>
      </c>
      <c r="Y352" s="109">
        <f>IF(AE352=1,IF(Y351=MiscData!$F$1,EOMONTH(Y351,-11),EOMONTH(Y351,1)),Y351)</f>
        <v>42521</v>
      </c>
      <c r="Z352" s="108" t="str">
        <f t="shared" si="136"/>
        <v>20140101LGUM_456</v>
      </c>
      <c r="AA352" s="126" t="str">
        <f t="shared" si="137"/>
        <v xml:space="preserve">20140101LS </v>
      </c>
      <c r="AB352" s="583" t="str">
        <f t="shared" si="156"/>
        <v>456</v>
      </c>
      <c r="AD352" s="98">
        <f>MiscData!$X$5</f>
        <v>20140101</v>
      </c>
      <c r="AE352" s="98">
        <f>IF(AE351+1&gt;MiscData!$AC$77,1,AE351+1)</f>
        <v>57</v>
      </c>
      <c r="AF352" s="98" t="str">
        <f>VLOOKUP(AE352,MiscData!$AC$5:$AD$77,2,FALSE)</f>
        <v>LGUM_456</v>
      </c>
      <c r="AG352" s="98" t="str">
        <f>VLOOKUP(AF352,MiscData!$AD$5:$AE$77,2,FALSE)</f>
        <v xml:space="preserve">LS </v>
      </c>
      <c r="AP352" s="98" t="s">
        <v>210</v>
      </c>
      <c r="AR352" s="98">
        <v>108</v>
      </c>
    </row>
    <row r="353" spans="1:44">
      <c r="A353" s="108">
        <f t="shared" si="157"/>
        <v>350</v>
      </c>
      <c r="B353" s="109" t="str">
        <f t="shared" si="133"/>
        <v>May 2016</v>
      </c>
      <c r="C353" s="110" t="str">
        <f t="shared" si="134"/>
        <v xml:space="preserve">LS </v>
      </c>
      <c r="D353" s="110" t="str">
        <f t="shared" si="135"/>
        <v>LGUM_457</v>
      </c>
      <c r="E353" s="581">
        <f t="shared" si="138"/>
        <v>3</v>
      </c>
      <c r="F353" s="581">
        <f t="shared" si="139"/>
        <v>0</v>
      </c>
      <c r="G353" s="116">
        <f t="shared" si="140"/>
        <v>10.86</v>
      </c>
      <c r="H353" s="116">
        <f t="shared" si="141"/>
        <v>1.0599999999999987</v>
      </c>
      <c r="I353" s="118">
        <f t="shared" si="152"/>
        <v>32.58</v>
      </c>
      <c r="J353" s="118">
        <f t="shared" si="142"/>
        <v>32.58</v>
      </c>
      <c r="K353" s="570">
        <f t="shared" si="153"/>
        <v>0</v>
      </c>
      <c r="L353" s="121">
        <f t="shared" si="143"/>
        <v>0</v>
      </c>
      <c r="M353" s="122">
        <f t="shared" si="144"/>
        <v>0</v>
      </c>
      <c r="N353" s="122">
        <f t="shared" si="145"/>
        <v>0</v>
      </c>
      <c r="O353" s="122">
        <f t="shared" si="146"/>
        <v>0</v>
      </c>
      <c r="P353" s="122">
        <f t="shared" si="147"/>
        <v>0</v>
      </c>
      <c r="Q353" s="123">
        <f t="shared" si="148"/>
        <v>32.58</v>
      </c>
      <c r="R353" s="123">
        <f t="shared" si="154"/>
        <v>-32.58</v>
      </c>
      <c r="S353" s="582">
        <v>0</v>
      </c>
      <c r="T353" s="123">
        <f t="shared" si="155"/>
        <v>-32.58</v>
      </c>
      <c r="U353" s="25">
        <f t="shared" si="149"/>
        <v>3.18</v>
      </c>
      <c r="V353" s="123">
        <f t="shared" si="150"/>
        <v>-3.18</v>
      </c>
      <c r="W353" s="334">
        <f t="shared" si="151"/>
        <v>0.81</v>
      </c>
      <c r="Y353" s="109">
        <f>IF(AE353=1,IF(Y352=MiscData!$F$1,EOMONTH(Y352,-11),EOMONTH(Y352,1)),Y352)</f>
        <v>42521</v>
      </c>
      <c r="Z353" s="108" t="str">
        <f t="shared" si="136"/>
        <v>20140101LGUM_457</v>
      </c>
      <c r="AA353" s="126" t="str">
        <f t="shared" si="137"/>
        <v xml:space="preserve">20140101LS </v>
      </c>
      <c r="AB353" s="583" t="str">
        <f t="shared" si="156"/>
        <v>457</v>
      </c>
      <c r="AD353" s="98">
        <f>MiscData!$X$5</f>
        <v>20140101</v>
      </c>
      <c r="AE353" s="98">
        <f>IF(AE352+1&gt;MiscData!$AC$77,1,AE352+1)</f>
        <v>58</v>
      </c>
      <c r="AF353" s="98" t="str">
        <f>VLOOKUP(AE353,MiscData!$AC$5:$AD$77,2,FALSE)</f>
        <v>LGUM_457</v>
      </c>
      <c r="AG353" s="98" t="str">
        <f>VLOOKUP(AF353,MiscData!$AD$5:$AE$77,2,FALSE)</f>
        <v xml:space="preserve">LS </v>
      </c>
      <c r="AP353" s="98" t="s">
        <v>211</v>
      </c>
      <c r="AR353" s="98">
        <v>-37.090000000000003</v>
      </c>
    </row>
    <row r="354" spans="1:44">
      <c r="A354" s="108">
        <f t="shared" si="157"/>
        <v>351</v>
      </c>
      <c r="B354" s="109" t="str">
        <f t="shared" si="133"/>
        <v>May 2016</v>
      </c>
      <c r="C354" s="110" t="str">
        <f t="shared" si="134"/>
        <v>RLS</v>
      </c>
      <c r="D354" s="110" t="str">
        <f t="shared" si="135"/>
        <v>LGUM_458</v>
      </c>
      <c r="E354" s="581">
        <f t="shared" si="138"/>
        <v>672</v>
      </c>
      <c r="F354" s="581">
        <f t="shared" si="139"/>
        <v>0</v>
      </c>
      <c r="G354" s="116">
        <f t="shared" si="140"/>
        <v>11.13</v>
      </c>
      <c r="H354" s="116">
        <f t="shared" si="141"/>
        <v>3.7700000000000014</v>
      </c>
      <c r="I354" s="118">
        <f t="shared" si="152"/>
        <v>7479.36</v>
      </c>
      <c r="J354" s="118">
        <f t="shared" si="142"/>
        <v>7479.36</v>
      </c>
      <c r="K354" s="570">
        <f t="shared" si="153"/>
        <v>0</v>
      </c>
      <c r="L354" s="121">
        <f t="shared" si="143"/>
        <v>0</v>
      </c>
      <c r="M354" s="122">
        <f t="shared" si="144"/>
        <v>0</v>
      </c>
      <c r="N354" s="122">
        <f t="shared" si="145"/>
        <v>0</v>
      </c>
      <c r="O354" s="122">
        <f t="shared" si="146"/>
        <v>0</v>
      </c>
      <c r="P354" s="122">
        <f t="shared" si="147"/>
        <v>0</v>
      </c>
      <c r="Q354" s="123">
        <f t="shared" si="148"/>
        <v>7479.36</v>
      </c>
      <c r="R354" s="123">
        <f t="shared" si="154"/>
        <v>-7479.36</v>
      </c>
      <c r="S354" s="582">
        <v>0</v>
      </c>
      <c r="T354" s="123">
        <f t="shared" si="155"/>
        <v>-7479.36</v>
      </c>
      <c r="U354" s="25">
        <f t="shared" si="149"/>
        <v>2533.44</v>
      </c>
      <c r="V354" s="123">
        <f t="shared" si="150"/>
        <v>-2533.44</v>
      </c>
      <c r="W354" s="334">
        <f t="shared" si="151"/>
        <v>107.52</v>
      </c>
      <c r="Y354" s="109">
        <f>IF(AE354=1,IF(Y353=MiscData!$F$1,EOMONTH(Y353,-11),EOMONTH(Y353,1)),Y353)</f>
        <v>42521</v>
      </c>
      <c r="Z354" s="108" t="str">
        <f t="shared" si="136"/>
        <v>20140101LGUM_458</v>
      </c>
      <c r="AA354" s="126" t="str">
        <f t="shared" si="137"/>
        <v>20140101RLS</v>
      </c>
      <c r="AB354" s="583" t="str">
        <f t="shared" si="156"/>
        <v>458</v>
      </c>
      <c r="AD354" s="98">
        <f>MiscData!$X$5</f>
        <v>20140101</v>
      </c>
      <c r="AE354" s="98">
        <f>IF(AE353+1&gt;MiscData!$AC$77,1,AE353+1)</f>
        <v>59</v>
      </c>
      <c r="AF354" s="98" t="str">
        <f>VLOOKUP(AE354,MiscData!$AC$5:$AD$77,2,FALSE)</f>
        <v>LGUM_458</v>
      </c>
      <c r="AG354" s="98" t="str">
        <f>VLOOKUP(AF354,MiscData!$AD$5:$AE$77,2,FALSE)</f>
        <v>RLS</v>
      </c>
      <c r="AP354" s="98" t="s">
        <v>342</v>
      </c>
      <c r="AR354" s="98">
        <v>0</v>
      </c>
    </row>
    <row r="355" spans="1:44">
      <c r="A355" s="108">
        <f t="shared" si="157"/>
        <v>352</v>
      </c>
      <c r="B355" s="109" t="str">
        <f t="shared" si="133"/>
        <v>May 2016</v>
      </c>
      <c r="C355" s="110" t="str">
        <f t="shared" si="134"/>
        <v xml:space="preserve">LS </v>
      </c>
      <c r="D355" s="110" t="str">
        <f t="shared" si="135"/>
        <v>LGUM_470</v>
      </c>
      <c r="E355" s="581">
        <f t="shared" si="138"/>
        <v>85</v>
      </c>
      <c r="F355" s="581">
        <f t="shared" si="139"/>
        <v>0</v>
      </c>
      <c r="G355" s="116">
        <f t="shared" si="140"/>
        <v>12.79</v>
      </c>
      <c r="H355" s="116">
        <f t="shared" si="141"/>
        <v>1.3699999999999992</v>
      </c>
      <c r="I355" s="118">
        <f t="shared" si="152"/>
        <v>1087.1500000000001</v>
      </c>
      <c r="J355" s="118">
        <f t="shared" si="142"/>
        <v>1087.1500000000001</v>
      </c>
      <c r="K355" s="570">
        <f t="shared" si="153"/>
        <v>0</v>
      </c>
      <c r="L355" s="121">
        <f t="shared" si="143"/>
        <v>0</v>
      </c>
      <c r="M355" s="122">
        <f t="shared" si="144"/>
        <v>0</v>
      </c>
      <c r="N355" s="122">
        <f t="shared" si="145"/>
        <v>0</v>
      </c>
      <c r="O355" s="122">
        <f t="shared" si="146"/>
        <v>0</v>
      </c>
      <c r="P355" s="122">
        <f t="shared" si="147"/>
        <v>0</v>
      </c>
      <c r="Q355" s="123">
        <f t="shared" si="148"/>
        <v>1087.1500000000001</v>
      </c>
      <c r="R355" s="123">
        <f t="shared" si="154"/>
        <v>-1087.1500000000001</v>
      </c>
      <c r="S355" s="582">
        <v>0</v>
      </c>
      <c r="T355" s="123">
        <f t="shared" si="155"/>
        <v>-1087.1500000000001</v>
      </c>
      <c r="U355" s="25">
        <f t="shared" si="149"/>
        <v>116.45</v>
      </c>
      <c r="V355" s="123">
        <f t="shared" si="150"/>
        <v>-116.45</v>
      </c>
      <c r="W355" s="334">
        <f t="shared" si="151"/>
        <v>22.950000000000003</v>
      </c>
      <c r="Y355" s="109">
        <f>IF(AE355=1,IF(Y354=MiscData!$F$1,EOMONTH(Y354,-11),EOMONTH(Y354,1)),Y354)</f>
        <v>42521</v>
      </c>
      <c r="Z355" s="108" t="str">
        <f t="shared" si="136"/>
        <v>20140101LGUM_470</v>
      </c>
      <c r="AA355" s="126" t="str">
        <f t="shared" si="137"/>
        <v xml:space="preserve">20140101LS </v>
      </c>
      <c r="AB355" s="583" t="str">
        <f t="shared" si="156"/>
        <v>470</v>
      </c>
      <c r="AD355" s="98">
        <f>MiscData!$X$5</f>
        <v>20140101</v>
      </c>
      <c r="AE355" s="98">
        <f>IF(AE354+1&gt;MiscData!$AC$77,1,AE354+1)</f>
        <v>60</v>
      </c>
      <c r="AF355" s="98" t="str">
        <f>VLOOKUP(AE355,MiscData!$AC$5:$AD$77,2,FALSE)</f>
        <v>LGUM_470</v>
      </c>
      <c r="AG355" s="98" t="str">
        <f>VLOOKUP(AF355,MiscData!$AD$5:$AE$77,2,FALSE)</f>
        <v xml:space="preserve">LS </v>
      </c>
      <c r="AP355" s="98" t="s">
        <v>212</v>
      </c>
      <c r="AR355" s="98">
        <v>-7.64</v>
      </c>
    </row>
    <row r="356" spans="1:44">
      <c r="A356" s="108">
        <f t="shared" si="157"/>
        <v>353</v>
      </c>
      <c r="B356" s="109" t="str">
        <f t="shared" ref="B356:B419" si="158">TEXT(Y356,"mmm yyyy")</f>
        <v>May 2016</v>
      </c>
      <c r="C356" s="110" t="str">
        <f t="shared" ref="C356:C419" si="159">AG356</f>
        <v>RLS</v>
      </c>
      <c r="D356" s="110" t="str">
        <f t="shared" ref="D356:D419" si="160">AF356</f>
        <v>LGUM_471</v>
      </c>
      <c r="E356" s="581">
        <f t="shared" si="138"/>
        <v>4</v>
      </c>
      <c r="F356" s="581">
        <f t="shared" si="139"/>
        <v>0</v>
      </c>
      <c r="G356" s="116">
        <f t="shared" si="140"/>
        <v>15.07</v>
      </c>
      <c r="H356" s="116">
        <f t="shared" si="141"/>
        <v>1.3699999999999992</v>
      </c>
      <c r="I356" s="118">
        <f t="shared" si="152"/>
        <v>60.28</v>
      </c>
      <c r="J356" s="118">
        <f t="shared" si="142"/>
        <v>60.28</v>
      </c>
      <c r="K356" s="570">
        <f t="shared" si="153"/>
        <v>0</v>
      </c>
      <c r="L356" s="121">
        <f t="shared" si="143"/>
        <v>0</v>
      </c>
      <c r="M356" s="122">
        <f t="shared" si="144"/>
        <v>0</v>
      </c>
      <c r="N356" s="122">
        <f t="shared" si="145"/>
        <v>0</v>
      </c>
      <c r="O356" s="122">
        <f t="shared" si="146"/>
        <v>0</v>
      </c>
      <c r="P356" s="122">
        <f t="shared" si="147"/>
        <v>0</v>
      </c>
      <c r="Q356" s="123">
        <f t="shared" si="148"/>
        <v>60.28</v>
      </c>
      <c r="R356" s="123">
        <f t="shared" si="154"/>
        <v>-60.28</v>
      </c>
      <c r="S356" s="582">
        <v>0</v>
      </c>
      <c r="T356" s="123">
        <f t="shared" si="155"/>
        <v>-60.28</v>
      </c>
      <c r="U356" s="25">
        <f t="shared" si="149"/>
        <v>5.48</v>
      </c>
      <c r="V356" s="123">
        <f t="shared" si="150"/>
        <v>-5.48</v>
      </c>
      <c r="W356" s="334">
        <f t="shared" si="151"/>
        <v>1.08</v>
      </c>
      <c r="Y356" s="109">
        <f>IF(AE356=1,IF(Y355=MiscData!$F$1,EOMONTH(Y355,-11),EOMONTH(Y355,1)),Y355)</f>
        <v>42521</v>
      </c>
      <c r="Z356" s="108" t="str">
        <f t="shared" ref="Z356:Z419" si="161">CONCATENATE(AD356&amp;AF356)</f>
        <v>20140101LGUM_471</v>
      </c>
      <c r="AA356" s="126" t="str">
        <f t="shared" ref="AA356:AA419" si="162">CONCATENATE(AD356&amp;AG356)</f>
        <v>20140101RLS</v>
      </c>
      <c r="AB356" s="583" t="str">
        <f t="shared" si="156"/>
        <v>471</v>
      </c>
      <c r="AD356" s="98">
        <f>MiscData!$X$5</f>
        <v>20140101</v>
      </c>
      <c r="AE356" s="98">
        <f>IF(AE355+1&gt;MiscData!$AC$77,1,AE355+1)</f>
        <v>61</v>
      </c>
      <c r="AF356" s="98" t="str">
        <f>VLOOKUP(AE356,MiscData!$AC$5:$AD$77,2,FALSE)</f>
        <v>LGUM_471</v>
      </c>
      <c r="AG356" s="98" t="str">
        <f>VLOOKUP(AF356,MiscData!$AD$5:$AE$77,2,FALSE)</f>
        <v>RLS</v>
      </c>
      <c r="AP356" s="98" t="s">
        <v>213</v>
      </c>
      <c r="AR356" s="98">
        <v>-13.91</v>
      </c>
    </row>
    <row r="357" spans="1:44">
      <c r="A357" s="108">
        <f t="shared" si="157"/>
        <v>354</v>
      </c>
      <c r="B357" s="109" t="str">
        <f t="shared" si="158"/>
        <v>May 2016</v>
      </c>
      <c r="C357" s="110" t="str">
        <f t="shared" si="159"/>
        <v xml:space="preserve">LS </v>
      </c>
      <c r="D357" s="110" t="str">
        <f t="shared" si="160"/>
        <v>LGUM_473</v>
      </c>
      <c r="E357" s="581">
        <f t="shared" si="138"/>
        <v>920</v>
      </c>
      <c r="F357" s="581">
        <f t="shared" si="139"/>
        <v>0</v>
      </c>
      <c r="G357" s="116">
        <f t="shared" si="140"/>
        <v>18.68</v>
      </c>
      <c r="H357" s="116">
        <f t="shared" si="141"/>
        <v>3.1799999999999979</v>
      </c>
      <c r="I357" s="118">
        <f t="shared" si="152"/>
        <v>17185.599999999999</v>
      </c>
      <c r="J357" s="118">
        <f t="shared" si="142"/>
        <v>17185.599999999999</v>
      </c>
      <c r="K357" s="570">
        <f t="shared" si="153"/>
        <v>0</v>
      </c>
      <c r="L357" s="121">
        <f t="shared" si="143"/>
        <v>0</v>
      </c>
      <c r="M357" s="122">
        <f t="shared" si="144"/>
        <v>0</v>
      </c>
      <c r="N357" s="122">
        <f t="shared" si="145"/>
        <v>0</v>
      </c>
      <c r="O357" s="122">
        <f t="shared" si="146"/>
        <v>0</v>
      </c>
      <c r="P357" s="122">
        <f t="shared" si="147"/>
        <v>0</v>
      </c>
      <c r="Q357" s="123">
        <f t="shared" si="148"/>
        <v>17185.599999999999</v>
      </c>
      <c r="R357" s="123">
        <f t="shared" si="154"/>
        <v>-17185.599999999999</v>
      </c>
      <c r="S357" s="582">
        <v>0</v>
      </c>
      <c r="T357" s="123">
        <f t="shared" si="155"/>
        <v>-17185.599999999999</v>
      </c>
      <c r="U357" s="25">
        <f t="shared" si="149"/>
        <v>2925.6</v>
      </c>
      <c r="V357" s="123">
        <f t="shared" si="150"/>
        <v>-2925.6</v>
      </c>
      <c r="W357" s="334">
        <f t="shared" si="151"/>
        <v>276</v>
      </c>
      <c r="Y357" s="109">
        <f>IF(AE357=1,IF(Y356=MiscData!$F$1,EOMONTH(Y356,-11),EOMONTH(Y356,1)),Y356)</f>
        <v>42521</v>
      </c>
      <c r="Z357" s="108" t="str">
        <f t="shared" si="161"/>
        <v>20140101LGUM_473</v>
      </c>
      <c r="AA357" s="126" t="str">
        <f t="shared" si="162"/>
        <v xml:space="preserve">20140101LS </v>
      </c>
      <c r="AB357" s="583" t="str">
        <f t="shared" si="156"/>
        <v>473</v>
      </c>
      <c r="AD357" s="98">
        <f>MiscData!$X$5</f>
        <v>20140101</v>
      </c>
      <c r="AE357" s="98">
        <f>IF(AE356+1&gt;MiscData!$AC$77,1,AE356+1)</f>
        <v>62</v>
      </c>
      <c r="AF357" s="98" t="str">
        <f>VLOOKUP(AE357,MiscData!$AC$5:$AD$77,2,FALSE)</f>
        <v>LGUM_473</v>
      </c>
      <c r="AG357" s="98" t="str">
        <f>VLOOKUP(AF357,MiscData!$AD$5:$AE$77,2,FALSE)</f>
        <v xml:space="preserve">LS </v>
      </c>
      <c r="AP357" s="98" t="s">
        <v>214</v>
      </c>
      <c r="AR357" s="98">
        <v>-17.55</v>
      </c>
    </row>
    <row r="358" spans="1:44">
      <c r="A358" s="108">
        <f t="shared" si="157"/>
        <v>355</v>
      </c>
      <c r="B358" s="109" t="str">
        <f t="shared" si="158"/>
        <v>May 2016</v>
      </c>
      <c r="C358" s="110" t="str">
        <f t="shared" si="159"/>
        <v>RLS</v>
      </c>
      <c r="D358" s="110" t="str">
        <f t="shared" si="160"/>
        <v>LGUM_474</v>
      </c>
      <c r="E358" s="581">
        <f t="shared" si="138"/>
        <v>124</v>
      </c>
      <c r="F358" s="581">
        <f t="shared" si="139"/>
        <v>0</v>
      </c>
      <c r="G358" s="116">
        <f t="shared" si="140"/>
        <v>20.970000000000002</v>
      </c>
      <c r="H358" s="116">
        <f t="shared" si="141"/>
        <v>3.1799999999999997</v>
      </c>
      <c r="I358" s="118">
        <f t="shared" si="152"/>
        <v>2600.2800000000002</v>
      </c>
      <c r="J358" s="118">
        <f t="shared" si="142"/>
        <v>2600.2800000000002</v>
      </c>
      <c r="K358" s="570">
        <f t="shared" si="153"/>
        <v>0</v>
      </c>
      <c r="L358" s="121">
        <f t="shared" si="143"/>
        <v>0</v>
      </c>
      <c r="M358" s="122">
        <f t="shared" si="144"/>
        <v>0</v>
      </c>
      <c r="N358" s="122">
        <f t="shared" si="145"/>
        <v>0</v>
      </c>
      <c r="O358" s="122">
        <f t="shared" si="146"/>
        <v>0</v>
      </c>
      <c r="P358" s="122">
        <f t="shared" si="147"/>
        <v>0</v>
      </c>
      <c r="Q358" s="123">
        <f t="shared" si="148"/>
        <v>2600.2800000000002</v>
      </c>
      <c r="R358" s="123">
        <f t="shared" si="154"/>
        <v>-2600.2800000000002</v>
      </c>
      <c r="S358" s="582">
        <v>0</v>
      </c>
      <c r="T358" s="123">
        <f t="shared" si="155"/>
        <v>-2600.2800000000002</v>
      </c>
      <c r="U358" s="25">
        <f t="shared" si="149"/>
        <v>394.32</v>
      </c>
      <c r="V358" s="123">
        <f t="shared" si="150"/>
        <v>-394.32</v>
      </c>
      <c r="W358" s="334">
        <f t="shared" si="151"/>
        <v>37.199999999999996</v>
      </c>
      <c r="Y358" s="109">
        <f>IF(AE358=1,IF(Y357=MiscData!$F$1,EOMONTH(Y357,-11),EOMONTH(Y357,1)),Y357)</f>
        <v>42521</v>
      </c>
      <c r="Z358" s="108" t="str">
        <f t="shared" si="161"/>
        <v>20140101LGUM_474</v>
      </c>
      <c r="AA358" s="126" t="str">
        <f t="shared" si="162"/>
        <v>20140101RLS</v>
      </c>
      <c r="AB358" s="583" t="str">
        <f t="shared" si="156"/>
        <v>474</v>
      </c>
      <c r="AD358" s="98">
        <f>MiscData!$X$5</f>
        <v>20140101</v>
      </c>
      <c r="AE358" s="98">
        <f>IF(AE357+1&gt;MiscData!$AC$77,1,AE357+1)</f>
        <v>63</v>
      </c>
      <c r="AF358" s="98" t="str">
        <f>VLOOKUP(AE358,MiscData!$AC$5:$AD$77,2,FALSE)</f>
        <v>LGUM_474</v>
      </c>
      <c r="AG358" s="98" t="str">
        <f>VLOOKUP(AF358,MiscData!$AD$5:$AE$77,2,FALSE)</f>
        <v>RLS</v>
      </c>
      <c r="AP358" s="98" t="s">
        <v>343</v>
      </c>
      <c r="AR358" s="98">
        <v>0</v>
      </c>
    </row>
    <row r="359" spans="1:44">
      <c r="A359" s="108">
        <f t="shared" si="157"/>
        <v>356</v>
      </c>
      <c r="B359" s="109" t="str">
        <f t="shared" si="158"/>
        <v>May 2016</v>
      </c>
      <c r="C359" s="110" t="str">
        <f t="shared" si="159"/>
        <v>RLS</v>
      </c>
      <c r="D359" s="110" t="str">
        <f t="shared" si="160"/>
        <v>LGUM_475</v>
      </c>
      <c r="E359" s="581">
        <f t="shared" si="138"/>
        <v>15</v>
      </c>
      <c r="F359" s="581">
        <f t="shared" si="139"/>
        <v>0</v>
      </c>
      <c r="G359" s="116">
        <f t="shared" si="140"/>
        <v>28.42</v>
      </c>
      <c r="H359" s="116">
        <f t="shared" si="141"/>
        <v>3.1800000000000033</v>
      </c>
      <c r="I359" s="118">
        <f t="shared" si="152"/>
        <v>426.3</v>
      </c>
      <c r="J359" s="118">
        <f t="shared" si="142"/>
        <v>426.3</v>
      </c>
      <c r="K359" s="570">
        <f t="shared" si="153"/>
        <v>0</v>
      </c>
      <c r="L359" s="121">
        <f t="shared" si="143"/>
        <v>0</v>
      </c>
      <c r="M359" s="122">
        <f t="shared" si="144"/>
        <v>0</v>
      </c>
      <c r="N359" s="122">
        <f t="shared" si="145"/>
        <v>0</v>
      </c>
      <c r="O359" s="122">
        <f t="shared" si="146"/>
        <v>0</v>
      </c>
      <c r="P359" s="122">
        <f t="shared" si="147"/>
        <v>0</v>
      </c>
      <c r="Q359" s="123">
        <f t="shared" si="148"/>
        <v>426.3</v>
      </c>
      <c r="R359" s="123">
        <f t="shared" si="154"/>
        <v>-426.3</v>
      </c>
      <c r="S359" s="582">
        <v>0</v>
      </c>
      <c r="T359" s="123">
        <f t="shared" si="155"/>
        <v>-426.3</v>
      </c>
      <c r="U359" s="25">
        <f t="shared" si="149"/>
        <v>47.7</v>
      </c>
      <c r="V359" s="123">
        <f t="shared" si="150"/>
        <v>-47.7</v>
      </c>
      <c r="W359" s="334">
        <f t="shared" si="151"/>
        <v>4.5</v>
      </c>
      <c r="Y359" s="109">
        <f>IF(AE359=1,IF(Y358=MiscData!$F$1,EOMONTH(Y358,-11),EOMONTH(Y358,1)),Y358)</f>
        <v>42521</v>
      </c>
      <c r="Z359" s="108" t="str">
        <f t="shared" si="161"/>
        <v>20140101LGUM_475</v>
      </c>
      <c r="AA359" s="126" t="str">
        <f t="shared" si="162"/>
        <v>20140101RLS</v>
      </c>
      <c r="AB359" s="583" t="str">
        <f t="shared" si="156"/>
        <v>475</v>
      </c>
      <c r="AD359" s="98">
        <f>MiscData!$X$5</f>
        <v>20140101</v>
      </c>
      <c r="AE359" s="98">
        <f>IF(AE358+1&gt;MiscData!$AC$77,1,AE358+1)</f>
        <v>64</v>
      </c>
      <c r="AF359" s="98" t="str">
        <f>VLOOKUP(AE359,MiscData!$AC$5:$AD$77,2,FALSE)</f>
        <v>LGUM_475</v>
      </c>
      <c r="AG359" s="98" t="str">
        <f>VLOOKUP(AF359,MiscData!$AD$5:$AE$77,2,FALSE)</f>
        <v>RLS</v>
      </c>
      <c r="AP359" s="98" t="s">
        <v>215</v>
      </c>
      <c r="AR359" s="98">
        <v>0</v>
      </c>
    </row>
    <row r="360" spans="1:44">
      <c r="A360" s="108">
        <f t="shared" si="157"/>
        <v>357</v>
      </c>
      <c r="B360" s="109" t="str">
        <f t="shared" si="158"/>
        <v>May 2016</v>
      </c>
      <c r="C360" s="110" t="str">
        <f t="shared" si="159"/>
        <v xml:space="preserve">LS </v>
      </c>
      <c r="D360" s="110" t="str">
        <f t="shared" si="160"/>
        <v>LGUM_476</v>
      </c>
      <c r="E360" s="581">
        <f t="shared" si="138"/>
        <v>2</v>
      </c>
      <c r="F360" s="581">
        <f t="shared" si="139"/>
        <v>0</v>
      </c>
      <c r="G360" s="116">
        <f t="shared" si="140"/>
        <v>39.6</v>
      </c>
      <c r="H360" s="116">
        <f t="shared" si="141"/>
        <v>9.8100000000000023</v>
      </c>
      <c r="I360" s="118">
        <f t="shared" si="152"/>
        <v>79.2</v>
      </c>
      <c r="J360" s="118">
        <f t="shared" si="142"/>
        <v>79.2</v>
      </c>
      <c r="K360" s="570">
        <f t="shared" si="153"/>
        <v>0</v>
      </c>
      <c r="L360" s="121">
        <f t="shared" si="143"/>
        <v>0</v>
      </c>
      <c r="M360" s="122">
        <f t="shared" si="144"/>
        <v>0</v>
      </c>
      <c r="N360" s="122">
        <f t="shared" si="145"/>
        <v>0</v>
      </c>
      <c r="O360" s="122">
        <f t="shared" si="146"/>
        <v>0</v>
      </c>
      <c r="P360" s="122">
        <f t="shared" si="147"/>
        <v>0</v>
      </c>
      <c r="Q360" s="123">
        <f t="shared" si="148"/>
        <v>79.2</v>
      </c>
      <c r="R360" s="123">
        <f t="shared" si="154"/>
        <v>-79.2</v>
      </c>
      <c r="S360" s="582">
        <v>0</v>
      </c>
      <c r="T360" s="123">
        <f t="shared" si="155"/>
        <v>-79.2</v>
      </c>
      <c r="U360" s="25">
        <f t="shared" si="149"/>
        <v>19.62</v>
      </c>
      <c r="V360" s="123">
        <f t="shared" si="150"/>
        <v>-19.62</v>
      </c>
      <c r="W360" s="334">
        <f t="shared" si="151"/>
        <v>1.22</v>
      </c>
      <c r="Y360" s="109">
        <f>IF(AE360=1,IF(Y359=MiscData!$F$1,EOMONTH(Y359,-11),EOMONTH(Y359,1)),Y359)</f>
        <v>42521</v>
      </c>
      <c r="Z360" s="108" t="str">
        <f t="shared" si="161"/>
        <v>20140101LGUM_476</v>
      </c>
      <c r="AA360" s="126" t="str">
        <f t="shared" si="162"/>
        <v xml:space="preserve">20140101LS </v>
      </c>
      <c r="AB360" s="583" t="str">
        <f t="shared" si="156"/>
        <v>476</v>
      </c>
      <c r="AD360" s="98">
        <f>MiscData!$X$5</f>
        <v>20140101</v>
      </c>
      <c r="AE360" s="98">
        <f>IF(AE359+1&gt;MiscData!$AC$77,1,AE359+1)</f>
        <v>65</v>
      </c>
      <c r="AF360" s="98" t="str">
        <f>VLOOKUP(AE360,MiscData!$AC$5:$AD$77,2,FALSE)</f>
        <v>LGUM_476</v>
      </c>
      <c r="AG360" s="98" t="str">
        <f>VLOOKUP(AF360,MiscData!$AD$5:$AE$77,2,FALSE)</f>
        <v xml:space="preserve">LS </v>
      </c>
      <c r="AP360" s="98" t="s">
        <v>216</v>
      </c>
      <c r="AR360" s="98">
        <v>0</v>
      </c>
    </row>
    <row r="361" spans="1:44">
      <c r="A361" s="108">
        <f t="shared" si="157"/>
        <v>358</v>
      </c>
      <c r="B361" s="109" t="str">
        <f t="shared" si="158"/>
        <v>May 2016</v>
      </c>
      <c r="C361" s="110" t="str">
        <f t="shared" si="159"/>
        <v>RLS</v>
      </c>
      <c r="D361" s="110" t="str">
        <f t="shared" si="160"/>
        <v>LGUM_477</v>
      </c>
      <c r="E361" s="581">
        <f t="shared" si="138"/>
        <v>28</v>
      </c>
      <c r="F361" s="581">
        <f t="shared" si="139"/>
        <v>0</v>
      </c>
      <c r="G361" s="116">
        <f t="shared" si="140"/>
        <v>42.78</v>
      </c>
      <c r="H361" s="116">
        <f t="shared" si="141"/>
        <v>9.8100000000000023</v>
      </c>
      <c r="I361" s="118">
        <f t="shared" si="152"/>
        <v>1197.8399999999999</v>
      </c>
      <c r="J361" s="118">
        <f t="shared" si="142"/>
        <v>1197.8399999999999</v>
      </c>
      <c r="K361" s="570">
        <f t="shared" si="153"/>
        <v>0</v>
      </c>
      <c r="L361" s="121">
        <f t="shared" si="143"/>
        <v>0</v>
      </c>
      <c r="M361" s="122">
        <f t="shared" si="144"/>
        <v>0</v>
      </c>
      <c r="N361" s="122">
        <f t="shared" si="145"/>
        <v>0</v>
      </c>
      <c r="O361" s="122">
        <f t="shared" si="146"/>
        <v>0</v>
      </c>
      <c r="P361" s="122">
        <f t="shared" si="147"/>
        <v>0</v>
      </c>
      <c r="Q361" s="123">
        <f t="shared" si="148"/>
        <v>1197.8399999999999</v>
      </c>
      <c r="R361" s="123">
        <f t="shared" si="154"/>
        <v>-1197.8399999999999</v>
      </c>
      <c r="S361" s="582">
        <v>0</v>
      </c>
      <c r="T361" s="123">
        <f t="shared" si="155"/>
        <v>-1197.8399999999999</v>
      </c>
      <c r="U361" s="25">
        <f t="shared" si="149"/>
        <v>274.68</v>
      </c>
      <c r="V361" s="123">
        <f t="shared" si="150"/>
        <v>-274.68</v>
      </c>
      <c r="W361" s="334">
        <f t="shared" si="151"/>
        <v>17.079999999999998</v>
      </c>
      <c r="Y361" s="109">
        <f>IF(AE361=1,IF(Y360=MiscData!$F$1,EOMONTH(Y360,-11),EOMONTH(Y360,1)),Y360)</f>
        <v>42521</v>
      </c>
      <c r="Z361" s="108" t="str">
        <f t="shared" si="161"/>
        <v>20140101LGUM_477</v>
      </c>
      <c r="AA361" s="126" t="str">
        <f t="shared" si="162"/>
        <v>20140101RLS</v>
      </c>
      <c r="AB361" s="583" t="str">
        <f t="shared" si="156"/>
        <v>477</v>
      </c>
      <c r="AD361" s="98">
        <f>MiscData!$X$5</f>
        <v>20140101</v>
      </c>
      <c r="AE361" s="98">
        <f>IF(AE360+1&gt;MiscData!$AC$77,1,AE360+1)</f>
        <v>66</v>
      </c>
      <c r="AF361" s="98" t="str">
        <f>VLOOKUP(AE361,MiscData!$AC$5:$AD$77,2,FALSE)</f>
        <v>LGUM_477</v>
      </c>
      <c r="AG361" s="98" t="str">
        <f>VLOOKUP(AF361,MiscData!$AD$5:$AE$77,2,FALSE)</f>
        <v>RLS</v>
      </c>
      <c r="AP361" s="98" t="s">
        <v>217</v>
      </c>
      <c r="AR361" s="98">
        <v>-20.83</v>
      </c>
    </row>
    <row r="362" spans="1:44">
      <c r="A362" s="108">
        <f t="shared" si="157"/>
        <v>359</v>
      </c>
      <c r="B362" s="109" t="str">
        <f t="shared" si="158"/>
        <v>May 2016</v>
      </c>
      <c r="C362" s="110" t="str">
        <f t="shared" si="159"/>
        <v xml:space="preserve">LS </v>
      </c>
      <c r="D362" s="110" t="str">
        <f t="shared" si="160"/>
        <v>LGUM_479</v>
      </c>
      <c r="E362" s="581">
        <f t="shared" si="138"/>
        <v>0</v>
      </c>
      <c r="F362" s="581">
        <f t="shared" si="139"/>
        <v>0</v>
      </c>
      <c r="G362" s="116">
        <f t="shared" si="140"/>
        <v>14.06</v>
      </c>
      <c r="H362" s="116">
        <f t="shared" si="141"/>
        <v>1.370000000000001</v>
      </c>
      <c r="I362" s="118">
        <f t="shared" si="152"/>
        <v>0</v>
      </c>
      <c r="J362" s="118">
        <f t="shared" si="142"/>
        <v>0</v>
      </c>
      <c r="K362" s="570">
        <f t="shared" si="153"/>
        <v>0</v>
      </c>
      <c r="L362" s="121">
        <f t="shared" si="143"/>
        <v>1</v>
      </c>
      <c r="M362" s="122">
        <f t="shared" si="144"/>
        <v>0</v>
      </c>
      <c r="N362" s="122">
        <f t="shared" si="145"/>
        <v>0</v>
      </c>
      <c r="O362" s="122">
        <f t="shared" si="146"/>
        <v>0</v>
      </c>
      <c r="P362" s="122">
        <f t="shared" si="147"/>
        <v>0</v>
      </c>
      <c r="Q362" s="123">
        <f t="shared" si="148"/>
        <v>0</v>
      </c>
      <c r="R362" s="123">
        <f t="shared" si="154"/>
        <v>0</v>
      </c>
      <c r="S362" s="582">
        <v>0</v>
      </c>
      <c r="T362" s="123">
        <f t="shared" si="155"/>
        <v>0</v>
      </c>
      <c r="U362" s="25">
        <f t="shared" si="149"/>
        <v>0</v>
      </c>
      <c r="V362" s="123">
        <f t="shared" si="150"/>
        <v>0</v>
      </c>
      <c r="W362" s="334">
        <f t="shared" si="151"/>
        <v>0</v>
      </c>
      <c r="Y362" s="109">
        <f>IF(AE362=1,IF(Y361=MiscData!$F$1,EOMONTH(Y361,-11),EOMONTH(Y361,1)),Y361)</f>
        <v>42521</v>
      </c>
      <c r="Z362" s="108" t="str">
        <f t="shared" si="161"/>
        <v>20140101LGUM_479</v>
      </c>
      <c r="AA362" s="126" t="str">
        <f t="shared" si="162"/>
        <v xml:space="preserve">20140101LS </v>
      </c>
      <c r="AB362" s="583" t="str">
        <f t="shared" si="156"/>
        <v>479</v>
      </c>
      <c r="AD362" s="98">
        <f>MiscData!$X$5</f>
        <v>20140101</v>
      </c>
      <c r="AE362" s="98">
        <f>IF(AE361+1&gt;MiscData!$AC$77,1,AE361+1)</f>
        <v>67</v>
      </c>
      <c r="AF362" s="98" t="str">
        <f>VLOOKUP(AE362,MiscData!$AC$5:$AD$77,2,FALSE)</f>
        <v>LGUM_479</v>
      </c>
      <c r="AG362" s="98" t="str">
        <f>VLOOKUP(AF362,MiscData!$AD$5:$AE$77,2,FALSE)</f>
        <v xml:space="preserve">LS </v>
      </c>
      <c r="AP362" s="98" t="s">
        <v>344</v>
      </c>
      <c r="AR362" s="98">
        <v>0</v>
      </c>
    </row>
    <row r="363" spans="1:44">
      <c r="A363" s="108">
        <f t="shared" si="157"/>
        <v>360</v>
      </c>
      <c r="B363" s="109" t="str">
        <f t="shared" si="158"/>
        <v>May 2016</v>
      </c>
      <c r="C363" s="110" t="str">
        <f t="shared" si="159"/>
        <v xml:space="preserve">LS </v>
      </c>
      <c r="D363" s="110" t="str">
        <f t="shared" si="160"/>
        <v>LGUM_480</v>
      </c>
      <c r="E363" s="581">
        <f t="shared" si="138"/>
        <v>3</v>
      </c>
      <c r="F363" s="581">
        <f t="shared" si="139"/>
        <v>0</v>
      </c>
      <c r="G363" s="116">
        <f t="shared" si="140"/>
        <v>23.83</v>
      </c>
      <c r="H363" s="116">
        <f t="shared" si="141"/>
        <v>1.370000000000001</v>
      </c>
      <c r="I363" s="118">
        <f t="shared" si="152"/>
        <v>71.489999999999995</v>
      </c>
      <c r="J363" s="118">
        <f t="shared" si="142"/>
        <v>71.489999999999995</v>
      </c>
      <c r="K363" s="570">
        <f t="shared" si="153"/>
        <v>0</v>
      </c>
      <c r="L363" s="121">
        <f t="shared" si="143"/>
        <v>0</v>
      </c>
      <c r="M363" s="122">
        <f t="shared" si="144"/>
        <v>0</v>
      </c>
      <c r="N363" s="122">
        <f t="shared" si="145"/>
        <v>0</v>
      </c>
      <c r="O363" s="122">
        <f t="shared" si="146"/>
        <v>0</v>
      </c>
      <c r="P363" s="122">
        <f t="shared" si="147"/>
        <v>0</v>
      </c>
      <c r="Q363" s="123">
        <f t="shared" si="148"/>
        <v>71.489999999999995</v>
      </c>
      <c r="R363" s="123">
        <f t="shared" si="154"/>
        <v>-71.489999999999995</v>
      </c>
      <c r="S363" s="582">
        <v>0</v>
      </c>
      <c r="T363" s="123">
        <f t="shared" si="155"/>
        <v>-71.489999999999995</v>
      </c>
      <c r="U363" s="25">
        <f t="shared" si="149"/>
        <v>4.1100000000000003</v>
      </c>
      <c r="V363" s="123">
        <f t="shared" si="150"/>
        <v>-4.1100000000000003</v>
      </c>
      <c r="W363" s="334">
        <f t="shared" si="151"/>
        <v>0.81</v>
      </c>
      <c r="Y363" s="109">
        <f>IF(AE363=1,IF(Y362=MiscData!$F$1,EOMONTH(Y362,-11),EOMONTH(Y362,1)),Y362)</f>
        <v>42521</v>
      </c>
      <c r="Z363" s="108" t="str">
        <f t="shared" si="161"/>
        <v>20140101LGUM_480</v>
      </c>
      <c r="AA363" s="126" t="str">
        <f t="shared" si="162"/>
        <v xml:space="preserve">20140101LS </v>
      </c>
      <c r="AB363" s="583" t="str">
        <f t="shared" si="156"/>
        <v>480</v>
      </c>
      <c r="AD363" s="98">
        <f>MiscData!$X$5</f>
        <v>20140101</v>
      </c>
      <c r="AE363" s="98">
        <f>IF(AE362+1&gt;MiscData!$AC$77,1,AE362+1)</f>
        <v>68</v>
      </c>
      <c r="AF363" s="98" t="str">
        <f>VLOOKUP(AE363,MiscData!$AC$5:$AD$77,2,FALSE)</f>
        <v>LGUM_480</v>
      </c>
      <c r="AG363" s="98" t="str">
        <f>VLOOKUP(AF363,MiscData!$AD$5:$AE$77,2,FALSE)</f>
        <v xml:space="preserve">LS </v>
      </c>
      <c r="AP363" s="98" t="s">
        <v>218</v>
      </c>
      <c r="AR363" s="98">
        <v>0</v>
      </c>
    </row>
    <row r="364" spans="1:44">
      <c r="A364" s="108">
        <f t="shared" si="157"/>
        <v>361</v>
      </c>
      <c r="B364" s="109" t="str">
        <f t="shared" si="158"/>
        <v>May 2016</v>
      </c>
      <c r="C364" s="110" t="str">
        <f t="shared" si="159"/>
        <v xml:space="preserve">LS </v>
      </c>
      <c r="D364" s="110" t="str">
        <f t="shared" si="160"/>
        <v>LGUM_481</v>
      </c>
      <c r="E364" s="581">
        <f t="shared" si="138"/>
        <v>32</v>
      </c>
      <c r="F364" s="581">
        <f t="shared" si="139"/>
        <v>0</v>
      </c>
      <c r="G364" s="116">
        <f t="shared" si="140"/>
        <v>20.46</v>
      </c>
      <c r="H364" s="116">
        <f t="shared" si="141"/>
        <v>3.1800000000000033</v>
      </c>
      <c r="I364" s="118">
        <f t="shared" si="152"/>
        <v>654.72</v>
      </c>
      <c r="J364" s="118">
        <f t="shared" si="142"/>
        <v>654.72</v>
      </c>
      <c r="K364" s="570">
        <f t="shared" si="153"/>
        <v>0</v>
      </c>
      <c r="L364" s="121">
        <f t="shared" si="143"/>
        <v>0</v>
      </c>
      <c r="M364" s="122">
        <f t="shared" si="144"/>
        <v>0</v>
      </c>
      <c r="N364" s="122">
        <f t="shared" si="145"/>
        <v>0</v>
      </c>
      <c r="O364" s="122">
        <f t="shared" si="146"/>
        <v>0</v>
      </c>
      <c r="P364" s="122">
        <f t="shared" si="147"/>
        <v>0</v>
      </c>
      <c r="Q364" s="123">
        <f t="shared" si="148"/>
        <v>654.72</v>
      </c>
      <c r="R364" s="123">
        <f t="shared" si="154"/>
        <v>-654.72</v>
      </c>
      <c r="S364" s="582">
        <v>0</v>
      </c>
      <c r="T364" s="123">
        <f t="shared" si="155"/>
        <v>-654.72</v>
      </c>
      <c r="U364" s="25">
        <f t="shared" si="149"/>
        <v>101.76</v>
      </c>
      <c r="V364" s="123">
        <f t="shared" si="150"/>
        <v>-101.76</v>
      </c>
      <c r="W364" s="334">
        <f t="shared" si="151"/>
        <v>9.6</v>
      </c>
      <c r="Y364" s="109">
        <f>IF(AE364=1,IF(Y363=MiscData!$F$1,EOMONTH(Y363,-11),EOMONTH(Y363,1)),Y363)</f>
        <v>42521</v>
      </c>
      <c r="Z364" s="108" t="str">
        <f t="shared" si="161"/>
        <v>20140101LGUM_481</v>
      </c>
      <c r="AA364" s="126" t="str">
        <f t="shared" si="162"/>
        <v xml:space="preserve">20140101LS </v>
      </c>
      <c r="AB364" s="583" t="str">
        <f t="shared" si="156"/>
        <v>481</v>
      </c>
      <c r="AD364" s="98">
        <f>MiscData!$X$5</f>
        <v>20140101</v>
      </c>
      <c r="AE364" s="98">
        <f>IF(AE363+1&gt;MiscData!$AC$77,1,AE363+1)</f>
        <v>69</v>
      </c>
      <c r="AF364" s="98" t="str">
        <f>VLOOKUP(AE364,MiscData!$AC$5:$AD$77,2,FALSE)</f>
        <v>LGUM_481</v>
      </c>
      <c r="AG364" s="98" t="str">
        <f>VLOOKUP(AF364,MiscData!$AD$5:$AE$77,2,FALSE)</f>
        <v xml:space="preserve">LS </v>
      </c>
      <c r="AP364" s="98" t="s">
        <v>219</v>
      </c>
      <c r="AR364" s="98">
        <v>0</v>
      </c>
    </row>
    <row r="365" spans="1:44">
      <c r="A365" s="108">
        <f t="shared" si="157"/>
        <v>362</v>
      </c>
      <c r="B365" s="109" t="str">
        <f t="shared" si="158"/>
        <v>May 2016</v>
      </c>
      <c r="C365" s="110" t="str">
        <f t="shared" si="159"/>
        <v xml:space="preserve">LS </v>
      </c>
      <c r="D365" s="110" t="str">
        <f t="shared" si="160"/>
        <v>LGUM_482</v>
      </c>
      <c r="E365" s="581">
        <f t="shared" si="138"/>
        <v>39</v>
      </c>
      <c r="F365" s="581">
        <f t="shared" si="139"/>
        <v>0</v>
      </c>
      <c r="G365" s="116">
        <f t="shared" si="140"/>
        <v>30.21</v>
      </c>
      <c r="H365" s="116">
        <f t="shared" si="141"/>
        <v>3.1800000000000033</v>
      </c>
      <c r="I365" s="118">
        <f t="shared" si="152"/>
        <v>1178.19</v>
      </c>
      <c r="J365" s="118">
        <f t="shared" si="142"/>
        <v>1178.19</v>
      </c>
      <c r="K365" s="570">
        <f t="shared" si="153"/>
        <v>0</v>
      </c>
      <c r="L365" s="121">
        <f t="shared" si="143"/>
        <v>0</v>
      </c>
      <c r="M365" s="122">
        <f t="shared" si="144"/>
        <v>0</v>
      </c>
      <c r="N365" s="122">
        <f t="shared" si="145"/>
        <v>0</v>
      </c>
      <c r="O365" s="122">
        <f t="shared" si="146"/>
        <v>0</v>
      </c>
      <c r="P365" s="122">
        <f t="shared" si="147"/>
        <v>0</v>
      </c>
      <c r="Q365" s="123">
        <f t="shared" si="148"/>
        <v>1178.19</v>
      </c>
      <c r="R365" s="123">
        <f t="shared" si="154"/>
        <v>-1178.19</v>
      </c>
      <c r="S365" s="582">
        <v>0</v>
      </c>
      <c r="T365" s="123">
        <f t="shared" si="155"/>
        <v>-1178.19</v>
      </c>
      <c r="U365" s="25">
        <f t="shared" si="149"/>
        <v>124.02</v>
      </c>
      <c r="V365" s="123">
        <f t="shared" si="150"/>
        <v>-124.02</v>
      </c>
      <c r="W365" s="334">
        <f t="shared" si="151"/>
        <v>11.7</v>
      </c>
      <c r="Y365" s="109">
        <f>IF(AE365=1,IF(Y364=MiscData!$F$1,EOMONTH(Y364,-11),EOMONTH(Y364,1)),Y364)</f>
        <v>42521</v>
      </c>
      <c r="Z365" s="108" t="str">
        <f t="shared" si="161"/>
        <v>20140101LGUM_482</v>
      </c>
      <c r="AA365" s="126" t="str">
        <f t="shared" si="162"/>
        <v xml:space="preserve">20140101LS </v>
      </c>
      <c r="AB365" s="583" t="str">
        <f t="shared" si="156"/>
        <v>482</v>
      </c>
      <c r="AD365" s="98">
        <f>MiscData!$X$5</f>
        <v>20140101</v>
      </c>
      <c r="AE365" s="98">
        <f>IF(AE364+1&gt;MiscData!$AC$77,1,AE364+1)</f>
        <v>70</v>
      </c>
      <c r="AF365" s="98" t="str">
        <f>VLOOKUP(AE365,MiscData!$AC$5:$AD$77,2,FALSE)</f>
        <v>LGUM_482</v>
      </c>
      <c r="AG365" s="98" t="str">
        <f>VLOOKUP(AF365,MiscData!$AD$5:$AE$77,2,FALSE)</f>
        <v xml:space="preserve">LS </v>
      </c>
      <c r="AP365" s="98" t="s">
        <v>220</v>
      </c>
      <c r="AR365" s="98">
        <v>0</v>
      </c>
    </row>
    <row r="366" spans="1:44">
      <c r="A366" s="108">
        <f t="shared" si="157"/>
        <v>363</v>
      </c>
      <c r="B366" s="109" t="str">
        <f t="shared" si="158"/>
        <v>May 2016</v>
      </c>
      <c r="C366" s="110" t="str">
        <f t="shared" si="159"/>
        <v xml:space="preserve">LS </v>
      </c>
      <c r="D366" s="110" t="str">
        <f t="shared" si="160"/>
        <v>LGUM_483</v>
      </c>
      <c r="E366" s="581">
        <f t="shared" si="138"/>
        <v>2</v>
      </c>
      <c r="F366" s="581">
        <f t="shared" si="139"/>
        <v>0</v>
      </c>
      <c r="G366" s="116">
        <f t="shared" si="140"/>
        <v>42.56</v>
      </c>
      <c r="H366" s="116">
        <f t="shared" si="141"/>
        <v>9.8100000000000023</v>
      </c>
      <c r="I366" s="118">
        <f t="shared" si="152"/>
        <v>85.12</v>
      </c>
      <c r="J366" s="118">
        <f t="shared" si="142"/>
        <v>85.12</v>
      </c>
      <c r="K366" s="570">
        <f t="shared" si="153"/>
        <v>0</v>
      </c>
      <c r="L366" s="121">
        <f t="shared" si="143"/>
        <v>0</v>
      </c>
      <c r="M366" s="122">
        <f t="shared" si="144"/>
        <v>0</v>
      </c>
      <c r="N366" s="122">
        <f t="shared" si="145"/>
        <v>0</v>
      </c>
      <c r="O366" s="122">
        <f t="shared" si="146"/>
        <v>0</v>
      </c>
      <c r="P366" s="122">
        <f t="shared" si="147"/>
        <v>0</v>
      </c>
      <c r="Q366" s="123">
        <f t="shared" si="148"/>
        <v>85.12</v>
      </c>
      <c r="R366" s="123">
        <f t="shared" si="154"/>
        <v>-85.12</v>
      </c>
      <c r="S366" s="582">
        <v>0</v>
      </c>
      <c r="T366" s="123">
        <f t="shared" si="155"/>
        <v>-85.12</v>
      </c>
      <c r="U366" s="25">
        <f t="shared" si="149"/>
        <v>19.62</v>
      </c>
      <c r="V366" s="123">
        <f t="shared" si="150"/>
        <v>-19.62</v>
      </c>
      <c r="W366" s="334">
        <f t="shared" si="151"/>
        <v>1.22</v>
      </c>
      <c r="Y366" s="109">
        <f>IF(AE366=1,IF(Y365=MiscData!$F$1,EOMONTH(Y365,-11),EOMONTH(Y365,1)),Y365)</f>
        <v>42521</v>
      </c>
      <c r="Z366" s="108" t="str">
        <f t="shared" si="161"/>
        <v>20140101LGUM_483</v>
      </c>
      <c r="AA366" s="126" t="str">
        <f t="shared" si="162"/>
        <v xml:space="preserve">20140101LS </v>
      </c>
      <c r="AB366" s="583" t="str">
        <f t="shared" si="156"/>
        <v>483</v>
      </c>
      <c r="AD366" s="98">
        <f>MiscData!$X$5</f>
        <v>20140101</v>
      </c>
      <c r="AE366" s="98">
        <f>IF(AE365+1&gt;MiscData!$AC$77,1,AE365+1)</f>
        <v>71</v>
      </c>
      <c r="AF366" s="98" t="str">
        <f>VLOOKUP(AE366,MiscData!$AC$5:$AD$77,2,FALSE)</f>
        <v>LGUM_483</v>
      </c>
      <c r="AG366" s="98" t="str">
        <f>VLOOKUP(AF366,MiscData!$AD$5:$AE$77,2,FALSE)</f>
        <v xml:space="preserve">LS </v>
      </c>
      <c r="AP366" s="98" t="s">
        <v>345</v>
      </c>
      <c r="AR366" s="98">
        <v>0</v>
      </c>
    </row>
    <row r="367" spans="1:44">
      <c r="A367" s="108">
        <f t="shared" si="157"/>
        <v>364</v>
      </c>
      <c r="B367" s="109" t="str">
        <f t="shared" si="158"/>
        <v>May 2016</v>
      </c>
      <c r="C367" s="110" t="str">
        <f t="shared" si="159"/>
        <v xml:space="preserve">LS </v>
      </c>
      <c r="D367" s="110" t="str">
        <f t="shared" si="160"/>
        <v>LGUM_484</v>
      </c>
      <c r="E367" s="581">
        <f t="shared" si="138"/>
        <v>13</v>
      </c>
      <c r="F367" s="581">
        <f t="shared" si="139"/>
        <v>0</v>
      </c>
      <c r="G367" s="116">
        <f t="shared" si="140"/>
        <v>52.31</v>
      </c>
      <c r="H367" s="116">
        <f t="shared" si="141"/>
        <v>9.8100000000000023</v>
      </c>
      <c r="I367" s="118">
        <f t="shared" si="152"/>
        <v>680.03</v>
      </c>
      <c r="J367" s="118">
        <f t="shared" si="142"/>
        <v>680.03</v>
      </c>
      <c r="K367" s="570">
        <f t="shared" si="153"/>
        <v>0</v>
      </c>
      <c r="L367" s="121">
        <f t="shared" si="143"/>
        <v>0</v>
      </c>
      <c r="M367" s="122">
        <f t="shared" si="144"/>
        <v>0</v>
      </c>
      <c r="N367" s="122">
        <f t="shared" si="145"/>
        <v>0</v>
      </c>
      <c r="O367" s="122">
        <f t="shared" si="146"/>
        <v>0</v>
      </c>
      <c r="P367" s="122">
        <f t="shared" si="147"/>
        <v>0</v>
      </c>
      <c r="Q367" s="123">
        <f t="shared" si="148"/>
        <v>680.03</v>
      </c>
      <c r="R367" s="123">
        <f t="shared" si="154"/>
        <v>-680.03</v>
      </c>
      <c r="S367" s="582">
        <v>0</v>
      </c>
      <c r="T367" s="123">
        <f t="shared" si="155"/>
        <v>-680.03</v>
      </c>
      <c r="U367" s="25">
        <f t="shared" si="149"/>
        <v>127.53</v>
      </c>
      <c r="V367" s="123">
        <f t="shared" si="150"/>
        <v>-127.53</v>
      </c>
      <c r="W367" s="334">
        <f t="shared" si="151"/>
        <v>7.93</v>
      </c>
      <c r="Y367" s="109">
        <f>IF(AE367=1,IF(Y366=MiscData!$F$1,EOMONTH(Y366,-11),EOMONTH(Y366,1)),Y366)</f>
        <v>42521</v>
      </c>
      <c r="Z367" s="108" t="str">
        <f t="shared" si="161"/>
        <v>20140101LGUM_484</v>
      </c>
      <c r="AA367" s="126" t="str">
        <f t="shared" si="162"/>
        <v xml:space="preserve">20140101LS </v>
      </c>
      <c r="AB367" s="583" t="str">
        <f t="shared" si="156"/>
        <v>484</v>
      </c>
      <c r="AD367" s="98">
        <f>MiscData!$X$5</f>
        <v>20140101</v>
      </c>
      <c r="AE367" s="98">
        <f>IF(AE366+1&gt;MiscData!$AC$77,1,AE366+1)</f>
        <v>72</v>
      </c>
      <c r="AF367" s="98" t="str">
        <f>VLOOKUP(AE367,MiscData!$AC$5:$AD$77,2,FALSE)</f>
        <v>LGUM_484</v>
      </c>
      <c r="AG367" s="98" t="str">
        <f>VLOOKUP(AF367,MiscData!$AD$5:$AE$77,2,FALSE)</f>
        <v xml:space="preserve">LS </v>
      </c>
      <c r="AP367" s="98" t="s">
        <v>346</v>
      </c>
      <c r="AR367" s="98">
        <v>0</v>
      </c>
    </row>
    <row r="368" spans="1:44">
      <c r="A368" s="108">
        <f t="shared" si="157"/>
        <v>365</v>
      </c>
      <c r="B368" s="109" t="str">
        <f t="shared" si="158"/>
        <v>May 2016</v>
      </c>
      <c r="C368" s="110" t="str">
        <f t="shared" si="159"/>
        <v>ODL</v>
      </c>
      <c r="D368" s="110" t="str">
        <f t="shared" si="160"/>
        <v>ODL</v>
      </c>
      <c r="E368" s="581">
        <f t="shared" si="138"/>
        <v>0</v>
      </c>
      <c r="F368" s="581">
        <f t="shared" si="139"/>
        <v>8869365</v>
      </c>
      <c r="G368" s="116">
        <f t="shared" si="140"/>
        <v>0</v>
      </c>
      <c r="H368" s="116">
        <f t="shared" si="141"/>
        <v>0</v>
      </c>
      <c r="I368" s="118">
        <f t="shared" si="152"/>
        <v>0</v>
      </c>
      <c r="J368" s="118">
        <f t="shared" si="142"/>
        <v>0</v>
      </c>
      <c r="K368" s="570">
        <f t="shared" si="153"/>
        <v>1190265</v>
      </c>
      <c r="L368" s="121">
        <f t="shared" si="143"/>
        <v>0</v>
      </c>
      <c r="M368" s="122">
        <f t="shared" si="144"/>
        <v>1711</v>
      </c>
      <c r="N368" s="122">
        <f t="shared" si="145"/>
        <v>92840</v>
      </c>
      <c r="O368" s="122">
        <f t="shared" si="146"/>
        <v>0</v>
      </c>
      <c r="P368" s="122">
        <f t="shared" si="147"/>
        <v>1284816</v>
      </c>
      <c r="Q368" s="123">
        <f t="shared" si="148"/>
        <v>94551</v>
      </c>
      <c r="R368" s="123">
        <f t="shared" si="154"/>
        <v>1190265</v>
      </c>
      <c r="S368" s="582">
        <v>0</v>
      </c>
      <c r="T368" s="123">
        <f t="shared" si="155"/>
        <v>1190265</v>
      </c>
      <c r="U368" s="25">
        <f t="shared" si="149"/>
        <v>0</v>
      </c>
      <c r="V368" s="123">
        <f t="shared" si="150"/>
        <v>1190265</v>
      </c>
      <c r="W368" s="334">
        <f t="shared" si="151"/>
        <v>0</v>
      </c>
      <c r="Y368" s="109">
        <f>IF(AE368=1,IF(Y367=MiscData!$F$1,EOMONTH(Y367,-11),EOMONTH(Y367,1)),Y367)</f>
        <v>42521</v>
      </c>
      <c r="Z368" s="108" t="str">
        <f t="shared" si="161"/>
        <v>20140101ODL</v>
      </c>
      <c r="AA368" s="126" t="str">
        <f t="shared" si="162"/>
        <v>20140101ODL</v>
      </c>
      <c r="AB368" s="583" t="str">
        <f t="shared" si="156"/>
        <v>ODL</v>
      </c>
      <c r="AD368" s="98">
        <f>MiscData!$X$5</f>
        <v>20140101</v>
      </c>
      <c r="AE368" s="98">
        <f>IF(AE367+1&gt;MiscData!$AC$77,1,AE367+1)</f>
        <v>73</v>
      </c>
      <c r="AF368" s="98" t="str">
        <f>VLOOKUP(AE368,MiscData!$AC$5:$AD$77,2,FALSE)</f>
        <v>ODL</v>
      </c>
      <c r="AG368" s="98" t="str">
        <f>VLOOKUP(AF368,MiscData!$AD$5:$AE$77,2,FALSE)</f>
        <v>ODL</v>
      </c>
      <c r="AP368" s="98" t="s">
        <v>347</v>
      </c>
      <c r="AR368" s="98">
        <v>0</v>
      </c>
    </row>
    <row r="369" spans="1:44">
      <c r="A369" s="108">
        <f t="shared" si="157"/>
        <v>366</v>
      </c>
      <c r="B369" s="109" t="str">
        <f t="shared" si="158"/>
        <v>Jun 2016</v>
      </c>
      <c r="C369" s="110" t="str">
        <f t="shared" si="159"/>
        <v>RLS</v>
      </c>
      <c r="D369" s="110" t="str">
        <f t="shared" si="160"/>
        <v>LGUM_201</v>
      </c>
      <c r="E369" s="581">
        <f t="shared" si="138"/>
        <v>78</v>
      </c>
      <c r="F369" s="581">
        <f t="shared" si="139"/>
        <v>0</v>
      </c>
      <c r="G369" s="116">
        <f t="shared" si="140"/>
        <v>8.14</v>
      </c>
      <c r="H369" s="116">
        <f t="shared" si="141"/>
        <v>1.0899999999999999</v>
      </c>
      <c r="I369" s="118">
        <f t="shared" si="152"/>
        <v>634.91999999999996</v>
      </c>
      <c r="J369" s="118">
        <f t="shared" si="142"/>
        <v>634.91999999999996</v>
      </c>
      <c r="K369" s="570">
        <f t="shared" si="153"/>
        <v>0</v>
      </c>
      <c r="L369" s="121">
        <f t="shared" si="143"/>
        <v>0</v>
      </c>
      <c r="M369" s="122">
        <f t="shared" si="144"/>
        <v>0</v>
      </c>
      <c r="N369" s="122">
        <f t="shared" si="145"/>
        <v>0</v>
      </c>
      <c r="O369" s="122">
        <f t="shared" si="146"/>
        <v>0</v>
      </c>
      <c r="P369" s="122">
        <f t="shared" si="147"/>
        <v>0</v>
      </c>
      <c r="Q369" s="123">
        <f t="shared" si="148"/>
        <v>634.91999999999996</v>
      </c>
      <c r="R369" s="123">
        <f t="shared" si="154"/>
        <v>-634.91999999999996</v>
      </c>
      <c r="S369" s="582">
        <v>0</v>
      </c>
      <c r="T369" s="123">
        <f t="shared" si="155"/>
        <v>-634.91999999999996</v>
      </c>
      <c r="U369" s="25">
        <f t="shared" si="149"/>
        <v>85.02</v>
      </c>
      <c r="V369" s="123">
        <f t="shared" si="150"/>
        <v>-85.02</v>
      </c>
      <c r="W369" s="334">
        <f t="shared" si="151"/>
        <v>12.48</v>
      </c>
      <c r="Y369" s="109">
        <f>IF(AE369=1,IF(Y368=MiscData!$F$1,EOMONTH(Y368,-11),EOMONTH(Y368,1)),Y368)</f>
        <v>42551</v>
      </c>
      <c r="Z369" s="108" t="str">
        <f t="shared" si="161"/>
        <v>20140101LGUM_201</v>
      </c>
      <c r="AA369" s="126" t="str">
        <f t="shared" si="162"/>
        <v>20140101RLS</v>
      </c>
      <c r="AB369" s="583" t="str">
        <f t="shared" si="156"/>
        <v>201</v>
      </c>
      <c r="AD369" s="98">
        <f>MiscData!$X$5</f>
        <v>20140101</v>
      </c>
      <c r="AE369" s="98">
        <f>IF(AE368+1&gt;MiscData!$AC$77,1,AE368+1)</f>
        <v>1</v>
      </c>
      <c r="AF369" s="98" t="str">
        <f>VLOOKUP(AE369,MiscData!$AC$5:$AD$77,2,FALSE)</f>
        <v>LGUM_201</v>
      </c>
      <c r="AG369" s="98" t="str">
        <f>VLOOKUP(AF369,MiscData!$AD$5:$AE$77,2,FALSE)</f>
        <v>RLS</v>
      </c>
      <c r="AP369" s="98" t="s">
        <v>221</v>
      </c>
      <c r="AR369" s="98">
        <v>0</v>
      </c>
    </row>
    <row r="370" spans="1:44">
      <c r="A370" s="108">
        <f t="shared" si="157"/>
        <v>367</v>
      </c>
      <c r="B370" s="109" t="str">
        <f t="shared" si="158"/>
        <v>Jun 2016</v>
      </c>
      <c r="C370" s="110" t="str">
        <f t="shared" si="159"/>
        <v>RLS</v>
      </c>
      <c r="D370" s="110" t="str">
        <f t="shared" si="160"/>
        <v>LGUM_203</v>
      </c>
      <c r="E370" s="581">
        <f t="shared" si="138"/>
        <v>5739</v>
      </c>
      <c r="F370" s="581">
        <f t="shared" si="139"/>
        <v>0</v>
      </c>
      <c r="G370" s="116">
        <f t="shared" si="140"/>
        <v>10.959999999999999</v>
      </c>
      <c r="H370" s="116">
        <f t="shared" si="141"/>
        <v>2.7099999999999991</v>
      </c>
      <c r="I370" s="118">
        <f t="shared" si="152"/>
        <v>62899.44</v>
      </c>
      <c r="J370" s="118">
        <f t="shared" si="142"/>
        <v>62899.44</v>
      </c>
      <c r="K370" s="570">
        <f t="shared" si="153"/>
        <v>0</v>
      </c>
      <c r="L370" s="121">
        <f t="shared" si="143"/>
        <v>0</v>
      </c>
      <c r="M370" s="122">
        <f t="shared" si="144"/>
        <v>0</v>
      </c>
      <c r="N370" s="122">
        <f t="shared" si="145"/>
        <v>0</v>
      </c>
      <c r="O370" s="122">
        <f t="shared" si="146"/>
        <v>0</v>
      </c>
      <c r="P370" s="122">
        <f t="shared" si="147"/>
        <v>0</v>
      </c>
      <c r="Q370" s="123">
        <f t="shared" si="148"/>
        <v>62899.44</v>
      </c>
      <c r="R370" s="123">
        <f t="shared" si="154"/>
        <v>-62899.44</v>
      </c>
      <c r="S370" s="582">
        <v>0</v>
      </c>
      <c r="T370" s="123">
        <f t="shared" si="155"/>
        <v>-62899.44</v>
      </c>
      <c r="U370" s="25">
        <f t="shared" si="149"/>
        <v>15552.69</v>
      </c>
      <c r="V370" s="123">
        <f t="shared" si="150"/>
        <v>-15552.69</v>
      </c>
      <c r="W370" s="334">
        <f t="shared" si="151"/>
        <v>1033.02</v>
      </c>
      <c r="Y370" s="109">
        <f>IF(AE370=1,IF(Y369=MiscData!$F$1,EOMONTH(Y369,-11),EOMONTH(Y369,1)),Y369)</f>
        <v>42551</v>
      </c>
      <c r="Z370" s="108" t="str">
        <f t="shared" si="161"/>
        <v>20140101LGUM_203</v>
      </c>
      <c r="AA370" s="126" t="str">
        <f t="shared" si="162"/>
        <v>20140101RLS</v>
      </c>
      <c r="AB370" s="583" t="str">
        <f t="shared" si="156"/>
        <v>203</v>
      </c>
      <c r="AD370" s="98">
        <f>MiscData!$X$5</f>
        <v>20140101</v>
      </c>
      <c r="AE370" s="98">
        <f>IF(AE369+1&gt;MiscData!$AC$77,1,AE369+1)</f>
        <v>2</v>
      </c>
      <c r="AF370" s="98" t="str">
        <f>VLOOKUP(AE370,MiscData!$AC$5:$AD$77,2,FALSE)</f>
        <v>LGUM_203</v>
      </c>
      <c r="AG370" s="98" t="str">
        <f>VLOOKUP(AF370,MiscData!$AD$5:$AE$77,2,FALSE)</f>
        <v>RLS</v>
      </c>
      <c r="AP370" s="98" t="s">
        <v>348</v>
      </c>
      <c r="AR370" s="98">
        <v>0</v>
      </c>
    </row>
    <row r="371" spans="1:44">
      <c r="A371" s="108">
        <f t="shared" si="157"/>
        <v>368</v>
      </c>
      <c r="B371" s="109" t="str">
        <f t="shared" si="158"/>
        <v>Jun 2016</v>
      </c>
      <c r="C371" s="110" t="str">
        <f t="shared" si="159"/>
        <v>RLS</v>
      </c>
      <c r="D371" s="110" t="str">
        <f t="shared" si="160"/>
        <v>LGUM_204</v>
      </c>
      <c r="E371" s="581">
        <f t="shared" si="138"/>
        <v>6574</v>
      </c>
      <c r="F371" s="581">
        <f t="shared" si="139"/>
        <v>0</v>
      </c>
      <c r="G371" s="116">
        <f t="shared" si="140"/>
        <v>13.510000000000002</v>
      </c>
      <c r="H371" s="116">
        <f t="shared" si="141"/>
        <v>4.2000000000000011</v>
      </c>
      <c r="I371" s="118">
        <f t="shared" si="152"/>
        <v>88814.74</v>
      </c>
      <c r="J371" s="118">
        <f t="shared" si="142"/>
        <v>88814.74</v>
      </c>
      <c r="K371" s="570">
        <f t="shared" si="153"/>
        <v>0</v>
      </c>
      <c r="L371" s="121">
        <f t="shared" si="143"/>
        <v>0</v>
      </c>
      <c r="M371" s="122">
        <f t="shared" si="144"/>
        <v>0</v>
      </c>
      <c r="N371" s="122">
        <f t="shared" si="145"/>
        <v>0</v>
      </c>
      <c r="O371" s="122">
        <f t="shared" si="146"/>
        <v>0</v>
      </c>
      <c r="P371" s="122">
        <f t="shared" si="147"/>
        <v>0</v>
      </c>
      <c r="Q371" s="123">
        <f t="shared" si="148"/>
        <v>88814.74</v>
      </c>
      <c r="R371" s="123">
        <f t="shared" si="154"/>
        <v>-88814.74</v>
      </c>
      <c r="S371" s="582">
        <v>0</v>
      </c>
      <c r="T371" s="123">
        <f t="shared" si="155"/>
        <v>-88814.74</v>
      </c>
      <c r="U371" s="25">
        <f t="shared" si="149"/>
        <v>27610.799999999999</v>
      </c>
      <c r="V371" s="123">
        <f t="shared" si="150"/>
        <v>-27610.799999999999</v>
      </c>
      <c r="W371" s="334">
        <f t="shared" si="151"/>
        <v>1446.28</v>
      </c>
      <c r="Y371" s="109">
        <f>IF(AE371=1,IF(Y370=MiscData!$F$1,EOMONTH(Y370,-11),EOMONTH(Y370,1)),Y370)</f>
        <v>42551</v>
      </c>
      <c r="Z371" s="108" t="str">
        <f t="shared" si="161"/>
        <v>20140101LGUM_204</v>
      </c>
      <c r="AA371" s="126" t="str">
        <f t="shared" si="162"/>
        <v>20140101RLS</v>
      </c>
      <c r="AB371" s="583" t="str">
        <f t="shared" si="156"/>
        <v>204</v>
      </c>
      <c r="AD371" s="98">
        <f>MiscData!$X$5</f>
        <v>20140101</v>
      </c>
      <c r="AE371" s="98">
        <f>IF(AE370+1&gt;MiscData!$AC$77,1,AE370+1)</f>
        <v>3</v>
      </c>
      <c r="AF371" s="98" t="str">
        <f>VLOOKUP(AE371,MiscData!$AC$5:$AD$77,2,FALSE)</f>
        <v>LGUM_204</v>
      </c>
      <c r="AG371" s="98" t="str">
        <f>VLOOKUP(AF371,MiscData!$AD$5:$AE$77,2,FALSE)</f>
        <v>RLS</v>
      </c>
      <c r="AP371" s="98" t="s">
        <v>222</v>
      </c>
      <c r="AR371" s="98">
        <v>1459.08</v>
      </c>
    </row>
    <row r="372" spans="1:44">
      <c r="A372" s="108">
        <f t="shared" si="157"/>
        <v>369</v>
      </c>
      <c r="B372" s="109" t="str">
        <f t="shared" si="158"/>
        <v>Jun 2016</v>
      </c>
      <c r="C372" s="110" t="str">
        <f t="shared" si="159"/>
        <v>RLS</v>
      </c>
      <c r="D372" s="110" t="str">
        <f t="shared" si="160"/>
        <v>LGUM_206</v>
      </c>
      <c r="E372" s="581">
        <f t="shared" si="138"/>
        <v>93</v>
      </c>
      <c r="F372" s="581">
        <f t="shared" si="139"/>
        <v>0</v>
      </c>
      <c r="G372" s="116">
        <f t="shared" si="140"/>
        <v>12.450000000000001</v>
      </c>
      <c r="H372" s="116">
        <f t="shared" si="141"/>
        <v>1.0899999999999999</v>
      </c>
      <c r="I372" s="118">
        <f t="shared" si="152"/>
        <v>1157.8499999999999</v>
      </c>
      <c r="J372" s="118">
        <f t="shared" si="142"/>
        <v>1157.8499999999999</v>
      </c>
      <c r="K372" s="570">
        <f t="shared" si="153"/>
        <v>0</v>
      </c>
      <c r="L372" s="121">
        <f t="shared" si="143"/>
        <v>0</v>
      </c>
      <c r="M372" s="122">
        <f t="shared" si="144"/>
        <v>0</v>
      </c>
      <c r="N372" s="122">
        <f t="shared" si="145"/>
        <v>0</v>
      </c>
      <c r="O372" s="122">
        <f t="shared" si="146"/>
        <v>0</v>
      </c>
      <c r="P372" s="122">
        <f t="shared" si="147"/>
        <v>0</v>
      </c>
      <c r="Q372" s="123">
        <f t="shared" si="148"/>
        <v>1157.8499999999999</v>
      </c>
      <c r="R372" s="123">
        <f t="shared" si="154"/>
        <v>-1157.8499999999999</v>
      </c>
      <c r="S372" s="582">
        <v>0</v>
      </c>
      <c r="T372" s="123">
        <f t="shared" si="155"/>
        <v>-1157.8499999999999</v>
      </c>
      <c r="U372" s="25">
        <f t="shared" si="149"/>
        <v>101.37</v>
      </c>
      <c r="V372" s="123">
        <f t="shared" si="150"/>
        <v>-101.37</v>
      </c>
      <c r="W372" s="334">
        <f t="shared" si="151"/>
        <v>14.88</v>
      </c>
      <c r="Y372" s="109">
        <f>IF(AE372=1,IF(Y371=MiscData!$F$1,EOMONTH(Y371,-11),EOMONTH(Y371,1)),Y371)</f>
        <v>42551</v>
      </c>
      <c r="Z372" s="108" t="str">
        <f t="shared" si="161"/>
        <v>20140101LGUM_206</v>
      </c>
      <c r="AA372" s="126" t="str">
        <f t="shared" si="162"/>
        <v>20140101RLS</v>
      </c>
      <c r="AB372" s="583" t="str">
        <f t="shared" si="156"/>
        <v>206</v>
      </c>
      <c r="AD372" s="98">
        <f>MiscData!$X$5</f>
        <v>20140101</v>
      </c>
      <c r="AE372" s="98">
        <f>IF(AE371+1&gt;MiscData!$AC$77,1,AE371+1)</f>
        <v>4</v>
      </c>
      <c r="AF372" s="98" t="str">
        <f>VLOOKUP(AE372,MiscData!$AC$5:$AD$77,2,FALSE)</f>
        <v>LGUM_206</v>
      </c>
      <c r="AG372" s="98" t="str">
        <f>VLOOKUP(AF372,MiscData!$AD$5:$AE$77,2,FALSE)</f>
        <v>RLS</v>
      </c>
      <c r="AP372" s="98" t="s">
        <v>484</v>
      </c>
      <c r="AR372" s="98">
        <v>0</v>
      </c>
    </row>
    <row r="373" spans="1:44">
      <c r="A373" s="108">
        <f t="shared" si="157"/>
        <v>370</v>
      </c>
      <c r="B373" s="109" t="str">
        <f t="shared" si="158"/>
        <v>Jun 2016</v>
      </c>
      <c r="C373" s="110" t="str">
        <f t="shared" si="159"/>
        <v>RLS</v>
      </c>
      <c r="D373" s="110" t="str">
        <f t="shared" si="160"/>
        <v>LGUM_207</v>
      </c>
      <c r="E373" s="581">
        <f t="shared" si="138"/>
        <v>770</v>
      </c>
      <c r="F373" s="581">
        <f t="shared" si="139"/>
        <v>0</v>
      </c>
      <c r="G373" s="116">
        <f t="shared" si="140"/>
        <v>15.54</v>
      </c>
      <c r="H373" s="116">
        <f t="shared" si="141"/>
        <v>4.2000000000000011</v>
      </c>
      <c r="I373" s="118">
        <f t="shared" si="152"/>
        <v>11965.8</v>
      </c>
      <c r="J373" s="118">
        <f t="shared" si="142"/>
        <v>11965.8</v>
      </c>
      <c r="K373" s="570">
        <f t="shared" si="153"/>
        <v>0</v>
      </c>
      <c r="L373" s="121">
        <f t="shared" si="143"/>
        <v>0</v>
      </c>
      <c r="M373" s="122">
        <f t="shared" si="144"/>
        <v>0</v>
      </c>
      <c r="N373" s="122">
        <f t="shared" si="145"/>
        <v>0</v>
      </c>
      <c r="O373" s="122">
        <f t="shared" si="146"/>
        <v>0</v>
      </c>
      <c r="P373" s="122">
        <f t="shared" si="147"/>
        <v>0</v>
      </c>
      <c r="Q373" s="123">
        <f t="shared" si="148"/>
        <v>11965.8</v>
      </c>
      <c r="R373" s="123">
        <f t="shared" si="154"/>
        <v>-11965.8</v>
      </c>
      <c r="S373" s="582">
        <v>0</v>
      </c>
      <c r="T373" s="123">
        <f t="shared" si="155"/>
        <v>-11965.8</v>
      </c>
      <c r="U373" s="25">
        <f t="shared" si="149"/>
        <v>3234</v>
      </c>
      <c r="V373" s="123">
        <f t="shared" si="150"/>
        <v>-3234</v>
      </c>
      <c r="W373" s="334">
        <f t="shared" si="151"/>
        <v>169.4</v>
      </c>
      <c r="Y373" s="109">
        <f>IF(AE373=1,IF(Y372=MiscData!$F$1,EOMONTH(Y372,-11),EOMONTH(Y372,1)),Y372)</f>
        <v>42551</v>
      </c>
      <c r="Z373" s="108" t="str">
        <f t="shared" si="161"/>
        <v>20140101LGUM_207</v>
      </c>
      <c r="AA373" s="126" t="str">
        <f t="shared" si="162"/>
        <v>20140101RLS</v>
      </c>
      <c r="AB373" s="583" t="str">
        <f t="shared" si="156"/>
        <v>207</v>
      </c>
      <c r="AD373" s="98">
        <f>MiscData!$X$5</f>
        <v>20140101</v>
      </c>
      <c r="AE373" s="98">
        <f>IF(AE372+1&gt;MiscData!$AC$77,1,AE372+1)</f>
        <v>5</v>
      </c>
      <c r="AF373" s="98" t="str">
        <f>VLOOKUP(AE373,MiscData!$AC$5:$AD$77,2,FALSE)</f>
        <v>LGUM_207</v>
      </c>
      <c r="AG373" s="98" t="str">
        <f>VLOOKUP(AF373,MiscData!$AD$5:$AE$77,2,FALSE)</f>
        <v>RLS</v>
      </c>
      <c r="AP373" s="98" t="s">
        <v>488</v>
      </c>
      <c r="AR373" s="98">
        <v>0</v>
      </c>
    </row>
    <row r="374" spans="1:44">
      <c r="A374" s="108">
        <f t="shared" si="157"/>
        <v>371</v>
      </c>
      <c r="B374" s="109" t="str">
        <f t="shared" si="158"/>
        <v>Jun 2016</v>
      </c>
      <c r="C374" s="110" t="str">
        <f t="shared" si="159"/>
        <v>RLS</v>
      </c>
      <c r="D374" s="110" t="str">
        <f t="shared" si="160"/>
        <v>LGUM_208</v>
      </c>
      <c r="E374" s="581">
        <f t="shared" si="138"/>
        <v>1772</v>
      </c>
      <c r="F374" s="581">
        <f t="shared" si="139"/>
        <v>0</v>
      </c>
      <c r="G374" s="116">
        <f t="shared" si="140"/>
        <v>14.24</v>
      </c>
      <c r="H374" s="116">
        <f t="shared" si="141"/>
        <v>1.9100000000000001</v>
      </c>
      <c r="I374" s="118">
        <f t="shared" si="152"/>
        <v>25233.279999999999</v>
      </c>
      <c r="J374" s="118">
        <f t="shared" si="142"/>
        <v>25233.279999999999</v>
      </c>
      <c r="K374" s="570">
        <f t="shared" si="153"/>
        <v>0</v>
      </c>
      <c r="L374" s="121">
        <f t="shared" si="143"/>
        <v>0</v>
      </c>
      <c r="M374" s="122">
        <f t="shared" si="144"/>
        <v>0</v>
      </c>
      <c r="N374" s="122">
        <f t="shared" si="145"/>
        <v>0</v>
      </c>
      <c r="O374" s="122">
        <f t="shared" si="146"/>
        <v>0</v>
      </c>
      <c r="P374" s="122">
        <f t="shared" si="147"/>
        <v>0</v>
      </c>
      <c r="Q374" s="123">
        <f t="shared" si="148"/>
        <v>25233.279999999999</v>
      </c>
      <c r="R374" s="123">
        <f t="shared" si="154"/>
        <v>-25233.279999999999</v>
      </c>
      <c r="S374" s="582">
        <v>0</v>
      </c>
      <c r="T374" s="123">
        <f t="shared" si="155"/>
        <v>-25233.279999999999</v>
      </c>
      <c r="U374" s="25">
        <f t="shared" si="149"/>
        <v>3384.52</v>
      </c>
      <c r="V374" s="123">
        <f t="shared" si="150"/>
        <v>-3384.52</v>
      </c>
      <c r="W374" s="334">
        <f t="shared" si="151"/>
        <v>283.52</v>
      </c>
      <c r="Y374" s="109">
        <f>IF(AE374=1,IF(Y373=MiscData!$F$1,EOMONTH(Y373,-11),EOMONTH(Y373,1)),Y373)</f>
        <v>42551</v>
      </c>
      <c r="Z374" s="108" t="str">
        <f t="shared" si="161"/>
        <v>20140101LGUM_208</v>
      </c>
      <c r="AA374" s="126" t="str">
        <f t="shared" si="162"/>
        <v>20140101RLS</v>
      </c>
      <c r="AB374" s="583" t="str">
        <f t="shared" si="156"/>
        <v>208</v>
      </c>
      <c r="AD374" s="98">
        <f>MiscData!$X$5</f>
        <v>20140101</v>
      </c>
      <c r="AE374" s="98">
        <f>IF(AE373+1&gt;MiscData!$AC$77,1,AE373+1)</f>
        <v>6</v>
      </c>
      <c r="AF374" s="98" t="str">
        <f>VLOOKUP(AE374,MiscData!$AC$5:$AD$77,2,FALSE)</f>
        <v>LGUM_208</v>
      </c>
      <c r="AG374" s="98" t="str">
        <f>VLOOKUP(AF374,MiscData!$AD$5:$AE$77,2,FALSE)</f>
        <v>RLS</v>
      </c>
      <c r="AP374" s="98" t="s">
        <v>489</v>
      </c>
      <c r="AR374" s="98">
        <v>0</v>
      </c>
    </row>
    <row r="375" spans="1:44">
      <c r="A375" s="108">
        <f t="shared" si="157"/>
        <v>372</v>
      </c>
      <c r="B375" s="109" t="str">
        <f t="shared" si="158"/>
        <v>Jun 2016</v>
      </c>
      <c r="C375" s="110" t="str">
        <f t="shared" si="159"/>
        <v>RLS</v>
      </c>
      <c r="D375" s="110" t="str">
        <f t="shared" si="160"/>
        <v>LGUM_209</v>
      </c>
      <c r="E375" s="581">
        <f t="shared" si="138"/>
        <v>44</v>
      </c>
      <c r="F375" s="581">
        <f t="shared" si="139"/>
        <v>0</v>
      </c>
      <c r="G375" s="116">
        <f t="shared" si="140"/>
        <v>27.69</v>
      </c>
      <c r="H375" s="116">
        <f t="shared" si="141"/>
        <v>10.170000000000002</v>
      </c>
      <c r="I375" s="118">
        <f t="shared" si="152"/>
        <v>1218.3599999999999</v>
      </c>
      <c r="J375" s="118">
        <f t="shared" si="142"/>
        <v>1218.3599999999999</v>
      </c>
      <c r="K375" s="570">
        <f t="shared" si="153"/>
        <v>0</v>
      </c>
      <c r="L375" s="121">
        <f t="shared" si="143"/>
        <v>0</v>
      </c>
      <c r="M375" s="122">
        <f t="shared" si="144"/>
        <v>0</v>
      </c>
      <c r="N375" s="122">
        <f t="shared" si="145"/>
        <v>0</v>
      </c>
      <c r="O375" s="122">
        <f t="shared" si="146"/>
        <v>0</v>
      </c>
      <c r="P375" s="122">
        <f t="shared" si="147"/>
        <v>0</v>
      </c>
      <c r="Q375" s="123">
        <f t="shared" si="148"/>
        <v>1218.3599999999999</v>
      </c>
      <c r="R375" s="123">
        <f t="shared" si="154"/>
        <v>-1218.3599999999999</v>
      </c>
      <c r="S375" s="582">
        <v>0</v>
      </c>
      <c r="T375" s="123">
        <f t="shared" si="155"/>
        <v>-1218.3599999999999</v>
      </c>
      <c r="U375" s="25">
        <f t="shared" si="149"/>
        <v>447.48</v>
      </c>
      <c r="V375" s="123">
        <f t="shared" si="150"/>
        <v>-447.48</v>
      </c>
      <c r="W375" s="334">
        <f t="shared" si="151"/>
        <v>18.04</v>
      </c>
      <c r="Y375" s="109">
        <f>IF(AE375=1,IF(Y374=MiscData!$F$1,EOMONTH(Y374,-11),EOMONTH(Y374,1)),Y374)</f>
        <v>42551</v>
      </c>
      <c r="Z375" s="108" t="str">
        <f t="shared" si="161"/>
        <v>20140101LGUM_209</v>
      </c>
      <c r="AA375" s="126" t="str">
        <f t="shared" si="162"/>
        <v>20140101RLS</v>
      </c>
      <c r="AB375" s="583" t="str">
        <f t="shared" si="156"/>
        <v>209</v>
      </c>
      <c r="AD375" s="98">
        <f>MiscData!$X$5</f>
        <v>20140101</v>
      </c>
      <c r="AE375" s="98">
        <f>IF(AE374+1&gt;MiscData!$AC$77,1,AE374+1)</f>
        <v>7</v>
      </c>
      <c r="AF375" s="98" t="str">
        <f>VLOOKUP(AE375,MiscData!$AC$5:$AD$77,2,FALSE)</f>
        <v>LGUM_209</v>
      </c>
      <c r="AG375" s="98" t="str">
        <f>VLOOKUP(AF375,MiscData!$AD$5:$AE$77,2,FALSE)</f>
        <v>RLS</v>
      </c>
      <c r="AP375" s="98" t="s">
        <v>223</v>
      </c>
      <c r="AR375" s="98">
        <v>0</v>
      </c>
    </row>
    <row r="376" spans="1:44">
      <c r="A376" s="108">
        <f t="shared" si="157"/>
        <v>373</v>
      </c>
      <c r="B376" s="109" t="str">
        <f t="shared" si="158"/>
        <v>Jun 2016</v>
      </c>
      <c r="C376" s="110" t="str">
        <f t="shared" si="159"/>
        <v>RLS</v>
      </c>
      <c r="D376" s="110" t="str">
        <f t="shared" si="160"/>
        <v>LGUM_210</v>
      </c>
      <c r="E376" s="581">
        <f t="shared" si="138"/>
        <v>346</v>
      </c>
      <c r="F376" s="581">
        <f t="shared" si="139"/>
        <v>0</v>
      </c>
      <c r="G376" s="116">
        <f t="shared" si="140"/>
        <v>28.89</v>
      </c>
      <c r="H376" s="116">
        <f t="shared" si="141"/>
        <v>10.170000000000002</v>
      </c>
      <c r="I376" s="118">
        <f t="shared" si="152"/>
        <v>9995.94</v>
      </c>
      <c r="J376" s="118">
        <f t="shared" si="142"/>
        <v>9995.94</v>
      </c>
      <c r="K376" s="570">
        <f t="shared" si="153"/>
        <v>0</v>
      </c>
      <c r="L376" s="121">
        <f t="shared" si="143"/>
        <v>0</v>
      </c>
      <c r="M376" s="122">
        <f t="shared" si="144"/>
        <v>0</v>
      </c>
      <c r="N376" s="122">
        <f t="shared" si="145"/>
        <v>0</v>
      </c>
      <c r="O376" s="122">
        <f t="shared" si="146"/>
        <v>0</v>
      </c>
      <c r="P376" s="122">
        <f t="shared" si="147"/>
        <v>0</v>
      </c>
      <c r="Q376" s="123">
        <f t="shared" si="148"/>
        <v>9995.94</v>
      </c>
      <c r="R376" s="123">
        <f t="shared" si="154"/>
        <v>-9995.94</v>
      </c>
      <c r="S376" s="582">
        <v>0</v>
      </c>
      <c r="T376" s="123">
        <f t="shared" si="155"/>
        <v>-9995.94</v>
      </c>
      <c r="U376" s="25">
        <f t="shared" si="149"/>
        <v>3518.82</v>
      </c>
      <c r="V376" s="123">
        <f t="shared" si="150"/>
        <v>-3518.82</v>
      </c>
      <c r="W376" s="334">
        <f t="shared" si="151"/>
        <v>141.85999999999999</v>
      </c>
      <c r="Y376" s="109">
        <f>IF(AE376=1,IF(Y375=MiscData!$F$1,EOMONTH(Y375,-11),EOMONTH(Y375,1)),Y375)</f>
        <v>42551</v>
      </c>
      <c r="Z376" s="108" t="str">
        <f t="shared" si="161"/>
        <v>20140101LGUM_210</v>
      </c>
      <c r="AA376" s="126" t="str">
        <f t="shared" si="162"/>
        <v>20140101RLS</v>
      </c>
      <c r="AB376" s="583" t="str">
        <f t="shared" si="156"/>
        <v>210</v>
      </c>
      <c r="AD376" s="98">
        <f>MiscData!$X$5</f>
        <v>20140101</v>
      </c>
      <c r="AE376" s="98">
        <f>IF(AE375+1&gt;MiscData!$AC$77,1,AE375+1)</f>
        <v>8</v>
      </c>
      <c r="AF376" s="98" t="str">
        <f>VLOOKUP(AE376,MiscData!$AC$5:$AD$77,2,FALSE)</f>
        <v>LGUM_210</v>
      </c>
      <c r="AG376" s="98" t="str">
        <f>VLOOKUP(AF376,MiscData!$AD$5:$AE$77,2,FALSE)</f>
        <v>RLS</v>
      </c>
      <c r="AP376" s="98" t="s">
        <v>224</v>
      </c>
      <c r="AR376" s="98">
        <v>0</v>
      </c>
    </row>
    <row r="377" spans="1:44">
      <c r="A377" s="108">
        <f t="shared" si="157"/>
        <v>374</v>
      </c>
      <c r="B377" s="109" t="str">
        <f t="shared" si="158"/>
        <v>Jun 2016</v>
      </c>
      <c r="C377" s="110" t="str">
        <f t="shared" si="159"/>
        <v>RLS</v>
      </c>
      <c r="D377" s="110" t="str">
        <f t="shared" si="160"/>
        <v>LGUM_252</v>
      </c>
      <c r="E377" s="581">
        <f t="shared" si="138"/>
        <v>5018</v>
      </c>
      <c r="F377" s="581">
        <f t="shared" si="139"/>
        <v>0</v>
      </c>
      <c r="G377" s="116">
        <f t="shared" si="140"/>
        <v>9.57</v>
      </c>
      <c r="H377" s="116">
        <f t="shared" si="141"/>
        <v>1.9099999999999993</v>
      </c>
      <c r="I377" s="118">
        <f t="shared" si="152"/>
        <v>48022.26</v>
      </c>
      <c r="J377" s="118">
        <f t="shared" si="142"/>
        <v>48022.26</v>
      </c>
      <c r="K377" s="570">
        <f t="shared" si="153"/>
        <v>0</v>
      </c>
      <c r="L377" s="121">
        <f t="shared" si="143"/>
        <v>0</v>
      </c>
      <c r="M377" s="122">
        <f t="shared" si="144"/>
        <v>0</v>
      </c>
      <c r="N377" s="122">
        <f t="shared" si="145"/>
        <v>0</v>
      </c>
      <c r="O377" s="122">
        <f t="shared" si="146"/>
        <v>0</v>
      </c>
      <c r="P377" s="122">
        <f t="shared" si="147"/>
        <v>0</v>
      </c>
      <c r="Q377" s="123">
        <f t="shared" si="148"/>
        <v>48022.26</v>
      </c>
      <c r="R377" s="123">
        <f t="shared" si="154"/>
        <v>-48022.26</v>
      </c>
      <c r="S377" s="582">
        <v>0</v>
      </c>
      <c r="T377" s="123">
        <f t="shared" si="155"/>
        <v>-48022.26</v>
      </c>
      <c r="U377" s="25">
        <f t="shared" si="149"/>
        <v>9584.3799999999992</v>
      </c>
      <c r="V377" s="123">
        <f t="shared" si="150"/>
        <v>-9584.3799999999992</v>
      </c>
      <c r="W377" s="334">
        <f t="shared" si="151"/>
        <v>802.88</v>
      </c>
      <c r="Y377" s="109">
        <f>IF(AE377=1,IF(Y376=MiscData!$F$1,EOMONTH(Y376,-11),EOMONTH(Y376,1)),Y376)</f>
        <v>42551</v>
      </c>
      <c r="Z377" s="108" t="str">
        <f t="shared" si="161"/>
        <v>20140101LGUM_252</v>
      </c>
      <c r="AA377" s="126" t="str">
        <f t="shared" si="162"/>
        <v>20140101RLS</v>
      </c>
      <c r="AB377" s="583" t="str">
        <f t="shared" si="156"/>
        <v>252</v>
      </c>
      <c r="AD377" s="98">
        <f>MiscData!$X$5</f>
        <v>20140101</v>
      </c>
      <c r="AE377" s="98">
        <f>IF(AE376+1&gt;MiscData!$AC$77,1,AE376+1)</f>
        <v>9</v>
      </c>
      <c r="AF377" s="98" t="str">
        <f>VLOOKUP(AE377,MiscData!$AC$5:$AD$77,2,FALSE)</f>
        <v>LGUM_252</v>
      </c>
      <c r="AG377" s="98" t="str">
        <f>VLOOKUP(AF377,MiscData!$AD$5:$AE$77,2,FALSE)</f>
        <v>RLS</v>
      </c>
      <c r="AP377" s="98" t="s">
        <v>349</v>
      </c>
      <c r="AR377" s="98">
        <v>0</v>
      </c>
    </row>
    <row r="378" spans="1:44">
      <c r="A378" s="108">
        <f t="shared" si="157"/>
        <v>375</v>
      </c>
      <c r="B378" s="109" t="str">
        <f t="shared" si="158"/>
        <v>Jun 2016</v>
      </c>
      <c r="C378" s="110" t="str">
        <f t="shared" si="159"/>
        <v>RLS</v>
      </c>
      <c r="D378" s="110" t="str">
        <f t="shared" si="160"/>
        <v>LGUM_266</v>
      </c>
      <c r="E378" s="581">
        <f t="shared" si="138"/>
        <v>3340</v>
      </c>
      <c r="F378" s="581">
        <f t="shared" si="139"/>
        <v>0</v>
      </c>
      <c r="G378" s="116">
        <f t="shared" si="140"/>
        <v>27.34</v>
      </c>
      <c r="H378" s="116">
        <f t="shared" si="141"/>
        <v>2.8000000000000007</v>
      </c>
      <c r="I378" s="118">
        <f t="shared" si="152"/>
        <v>91315.6</v>
      </c>
      <c r="J378" s="118">
        <f t="shared" si="142"/>
        <v>91315.6</v>
      </c>
      <c r="K378" s="570">
        <f t="shared" si="153"/>
        <v>0</v>
      </c>
      <c r="L378" s="121">
        <f t="shared" si="143"/>
        <v>0</v>
      </c>
      <c r="M378" s="122">
        <f t="shared" si="144"/>
        <v>0</v>
      </c>
      <c r="N378" s="122">
        <f t="shared" si="145"/>
        <v>0</v>
      </c>
      <c r="O378" s="122">
        <f t="shared" si="146"/>
        <v>0</v>
      </c>
      <c r="P378" s="122">
        <f t="shared" si="147"/>
        <v>0</v>
      </c>
      <c r="Q378" s="123">
        <f t="shared" si="148"/>
        <v>91315.6</v>
      </c>
      <c r="R378" s="123">
        <f t="shared" si="154"/>
        <v>-91315.6</v>
      </c>
      <c r="S378" s="582">
        <v>0</v>
      </c>
      <c r="T378" s="123">
        <f t="shared" si="155"/>
        <v>-91315.6</v>
      </c>
      <c r="U378" s="25">
        <f t="shared" si="149"/>
        <v>9352</v>
      </c>
      <c r="V378" s="123">
        <f t="shared" si="150"/>
        <v>-9352</v>
      </c>
      <c r="W378" s="334">
        <f t="shared" si="151"/>
        <v>901.80000000000007</v>
      </c>
      <c r="Y378" s="109">
        <f>IF(AE378=1,IF(Y377=MiscData!$F$1,EOMONTH(Y377,-11),EOMONTH(Y377,1)),Y377)</f>
        <v>42551</v>
      </c>
      <c r="Z378" s="108" t="str">
        <f t="shared" si="161"/>
        <v>20140101LGUM_266</v>
      </c>
      <c r="AA378" s="126" t="str">
        <f t="shared" si="162"/>
        <v>20140101RLS</v>
      </c>
      <c r="AB378" s="583" t="str">
        <f t="shared" si="156"/>
        <v>266</v>
      </c>
      <c r="AD378" s="98">
        <f>MiscData!$X$5</f>
        <v>20140101</v>
      </c>
      <c r="AE378" s="98">
        <f>IF(AE377+1&gt;MiscData!$AC$77,1,AE377+1)</f>
        <v>10</v>
      </c>
      <c r="AF378" s="98" t="str">
        <f>VLOOKUP(AE378,MiscData!$AC$5:$AD$77,2,FALSE)</f>
        <v>LGUM_266</v>
      </c>
      <c r="AG378" s="98" t="str">
        <f>VLOOKUP(AF378,MiscData!$AD$5:$AE$77,2,FALSE)</f>
        <v>RLS</v>
      </c>
      <c r="AP378" s="98" t="s">
        <v>225</v>
      </c>
      <c r="AR378" s="98">
        <v>0</v>
      </c>
    </row>
    <row r="379" spans="1:44">
      <c r="A379" s="108">
        <f t="shared" si="157"/>
        <v>376</v>
      </c>
      <c r="B379" s="109" t="str">
        <f t="shared" si="158"/>
        <v>Jun 2016</v>
      </c>
      <c r="C379" s="110" t="str">
        <f t="shared" si="159"/>
        <v>RLS</v>
      </c>
      <c r="D379" s="110" t="str">
        <f t="shared" si="160"/>
        <v>LGUM_267</v>
      </c>
      <c r="E379" s="581">
        <f t="shared" si="138"/>
        <v>2724</v>
      </c>
      <c r="F379" s="581">
        <f t="shared" si="139"/>
        <v>0</v>
      </c>
      <c r="G379" s="116">
        <f t="shared" si="140"/>
        <v>31.4</v>
      </c>
      <c r="H379" s="116">
        <f t="shared" si="141"/>
        <v>4.4499999999999993</v>
      </c>
      <c r="I379" s="118">
        <f t="shared" si="152"/>
        <v>85533.6</v>
      </c>
      <c r="J379" s="118">
        <f t="shared" si="142"/>
        <v>85533.6</v>
      </c>
      <c r="K379" s="570">
        <f t="shared" si="153"/>
        <v>0</v>
      </c>
      <c r="L379" s="121">
        <f t="shared" si="143"/>
        <v>0</v>
      </c>
      <c r="M379" s="122">
        <f t="shared" si="144"/>
        <v>0</v>
      </c>
      <c r="N379" s="122">
        <f t="shared" si="145"/>
        <v>0</v>
      </c>
      <c r="O379" s="122">
        <f t="shared" si="146"/>
        <v>0</v>
      </c>
      <c r="P379" s="122">
        <f t="shared" si="147"/>
        <v>0</v>
      </c>
      <c r="Q379" s="123">
        <f t="shared" si="148"/>
        <v>85533.6</v>
      </c>
      <c r="R379" s="123">
        <f t="shared" si="154"/>
        <v>-85533.6</v>
      </c>
      <c r="S379" s="582">
        <v>0</v>
      </c>
      <c r="T379" s="123">
        <f t="shared" si="155"/>
        <v>-85533.6</v>
      </c>
      <c r="U379" s="25">
        <f t="shared" si="149"/>
        <v>12121.8</v>
      </c>
      <c r="V379" s="123">
        <f t="shared" si="150"/>
        <v>-12121.8</v>
      </c>
      <c r="W379" s="334">
        <f t="shared" si="151"/>
        <v>789.95999999999992</v>
      </c>
      <c r="Y379" s="109">
        <f>IF(AE379=1,IF(Y378=MiscData!$F$1,EOMONTH(Y378,-11),EOMONTH(Y378,1)),Y378)</f>
        <v>42551</v>
      </c>
      <c r="Z379" s="108" t="str">
        <f t="shared" si="161"/>
        <v>20140101LGUM_267</v>
      </c>
      <c r="AA379" s="126" t="str">
        <f t="shared" si="162"/>
        <v>20140101RLS</v>
      </c>
      <c r="AB379" s="583" t="str">
        <f t="shared" si="156"/>
        <v>267</v>
      </c>
      <c r="AD379" s="98">
        <f>MiscData!$X$5</f>
        <v>20140101</v>
      </c>
      <c r="AE379" s="98">
        <f>IF(AE378+1&gt;MiscData!$AC$77,1,AE378+1)</f>
        <v>11</v>
      </c>
      <c r="AF379" s="98" t="str">
        <f>VLOOKUP(AE379,MiscData!$AC$5:$AD$77,2,FALSE)</f>
        <v>LGUM_267</v>
      </c>
      <c r="AG379" s="98" t="str">
        <f>VLOOKUP(AF379,MiscData!$AD$5:$AE$77,2,FALSE)</f>
        <v>RLS</v>
      </c>
      <c r="AP379" s="98" t="s">
        <v>498</v>
      </c>
      <c r="AR379" s="98">
        <v>0</v>
      </c>
    </row>
    <row r="380" spans="1:44">
      <c r="A380" s="108">
        <f t="shared" si="157"/>
        <v>377</v>
      </c>
      <c r="B380" s="109" t="str">
        <f t="shared" si="158"/>
        <v>Jun 2016</v>
      </c>
      <c r="C380" s="110" t="str">
        <f t="shared" si="159"/>
        <v>RLS</v>
      </c>
      <c r="D380" s="110" t="str">
        <f t="shared" si="160"/>
        <v>LGUM_274</v>
      </c>
      <c r="E380" s="581">
        <f t="shared" si="138"/>
        <v>17417</v>
      </c>
      <c r="F380" s="581">
        <f t="shared" si="139"/>
        <v>0</v>
      </c>
      <c r="G380" s="116">
        <f t="shared" si="140"/>
        <v>17.189999999999998</v>
      </c>
      <c r="H380" s="116">
        <f t="shared" si="141"/>
        <v>1.2699999999999996</v>
      </c>
      <c r="I380" s="118">
        <f t="shared" si="152"/>
        <v>299398.23</v>
      </c>
      <c r="J380" s="118">
        <f t="shared" si="142"/>
        <v>299398.23</v>
      </c>
      <c r="K380" s="570">
        <f t="shared" si="153"/>
        <v>0</v>
      </c>
      <c r="L380" s="121">
        <f t="shared" si="143"/>
        <v>0</v>
      </c>
      <c r="M380" s="122">
        <f t="shared" si="144"/>
        <v>0</v>
      </c>
      <c r="N380" s="122">
        <f t="shared" si="145"/>
        <v>0</v>
      </c>
      <c r="O380" s="122">
        <f t="shared" si="146"/>
        <v>0</v>
      </c>
      <c r="P380" s="122">
        <f t="shared" si="147"/>
        <v>0</v>
      </c>
      <c r="Q380" s="123">
        <f t="shared" si="148"/>
        <v>299398.23</v>
      </c>
      <c r="R380" s="123">
        <f t="shared" si="154"/>
        <v>-299398.23</v>
      </c>
      <c r="S380" s="582">
        <v>0</v>
      </c>
      <c r="T380" s="123">
        <f t="shared" si="155"/>
        <v>-299398.23</v>
      </c>
      <c r="U380" s="25">
        <f t="shared" si="149"/>
        <v>22119.59</v>
      </c>
      <c r="V380" s="123">
        <f t="shared" si="150"/>
        <v>-22119.59</v>
      </c>
      <c r="W380" s="334">
        <f t="shared" si="151"/>
        <v>4702.59</v>
      </c>
      <c r="Y380" s="109">
        <f>IF(AE380=1,IF(Y379=MiscData!$F$1,EOMONTH(Y379,-11),EOMONTH(Y379,1)),Y379)</f>
        <v>42551</v>
      </c>
      <c r="Z380" s="108" t="str">
        <f t="shared" si="161"/>
        <v>20140101LGUM_274</v>
      </c>
      <c r="AA380" s="126" t="str">
        <f t="shared" si="162"/>
        <v>20140101RLS</v>
      </c>
      <c r="AB380" s="583" t="str">
        <f t="shared" si="156"/>
        <v>274</v>
      </c>
      <c r="AD380" s="98">
        <f>MiscData!$X$5</f>
        <v>20140101</v>
      </c>
      <c r="AE380" s="98">
        <f>IF(AE379+1&gt;MiscData!$AC$77,1,AE379+1)</f>
        <v>12</v>
      </c>
      <c r="AF380" s="98" t="str">
        <f>VLOOKUP(AE380,MiscData!$AC$5:$AD$77,2,FALSE)</f>
        <v>LGUM_274</v>
      </c>
      <c r="AG380" s="98" t="str">
        <f>VLOOKUP(AF380,MiscData!$AD$5:$AE$77,2,FALSE)</f>
        <v>RLS</v>
      </c>
      <c r="AP380" s="98" t="s">
        <v>350</v>
      </c>
      <c r="AR380" s="98">
        <v>0</v>
      </c>
    </row>
    <row r="381" spans="1:44">
      <c r="A381" s="108">
        <f t="shared" si="157"/>
        <v>378</v>
      </c>
      <c r="B381" s="109" t="str">
        <f t="shared" si="158"/>
        <v>Jun 2016</v>
      </c>
      <c r="C381" s="110" t="str">
        <f t="shared" si="159"/>
        <v>RLS</v>
      </c>
      <c r="D381" s="110" t="str">
        <f t="shared" si="160"/>
        <v>LGUM_275</v>
      </c>
      <c r="E381" s="581">
        <f t="shared" si="138"/>
        <v>595</v>
      </c>
      <c r="F381" s="581">
        <f t="shared" si="139"/>
        <v>0</v>
      </c>
      <c r="G381" s="116">
        <f t="shared" si="140"/>
        <v>24.89</v>
      </c>
      <c r="H381" s="116">
        <f t="shared" si="141"/>
        <v>1.7899999999999991</v>
      </c>
      <c r="I381" s="118">
        <f t="shared" si="152"/>
        <v>14809.55</v>
      </c>
      <c r="J381" s="118">
        <f t="shared" si="142"/>
        <v>14809.55</v>
      </c>
      <c r="K381" s="570">
        <f t="shared" si="153"/>
        <v>0</v>
      </c>
      <c r="L381" s="121">
        <f t="shared" si="143"/>
        <v>0</v>
      </c>
      <c r="M381" s="122">
        <f t="shared" si="144"/>
        <v>0</v>
      </c>
      <c r="N381" s="122">
        <f t="shared" si="145"/>
        <v>0</v>
      </c>
      <c r="O381" s="122">
        <f t="shared" si="146"/>
        <v>0</v>
      </c>
      <c r="P381" s="122">
        <f t="shared" si="147"/>
        <v>0</v>
      </c>
      <c r="Q381" s="123">
        <f t="shared" si="148"/>
        <v>14809.55</v>
      </c>
      <c r="R381" s="123">
        <f t="shared" si="154"/>
        <v>-14809.55</v>
      </c>
      <c r="S381" s="582">
        <v>0</v>
      </c>
      <c r="T381" s="123">
        <f t="shared" si="155"/>
        <v>-14809.55</v>
      </c>
      <c r="U381" s="25">
        <f t="shared" si="149"/>
        <v>1065.05</v>
      </c>
      <c r="V381" s="123">
        <f t="shared" si="150"/>
        <v>-1065.05</v>
      </c>
      <c r="W381" s="334">
        <f t="shared" si="151"/>
        <v>142.79999999999998</v>
      </c>
      <c r="Y381" s="109">
        <f>IF(AE381=1,IF(Y380=MiscData!$F$1,EOMONTH(Y380,-11),EOMONTH(Y380,1)),Y380)</f>
        <v>42551</v>
      </c>
      <c r="Z381" s="108" t="str">
        <f t="shared" si="161"/>
        <v>20140101LGUM_275</v>
      </c>
      <c r="AA381" s="126" t="str">
        <f t="shared" si="162"/>
        <v>20140101RLS</v>
      </c>
      <c r="AB381" s="583" t="str">
        <f t="shared" si="156"/>
        <v>275</v>
      </c>
      <c r="AD381" s="98">
        <f>MiscData!$X$5</f>
        <v>20140101</v>
      </c>
      <c r="AE381" s="98">
        <f>IF(AE380+1&gt;MiscData!$AC$77,1,AE380+1)</f>
        <v>13</v>
      </c>
      <c r="AF381" s="98" t="str">
        <f>VLOOKUP(AE381,MiscData!$AC$5:$AD$77,2,FALSE)</f>
        <v>LGUM_275</v>
      </c>
      <c r="AG381" s="98" t="str">
        <f>VLOOKUP(AF381,MiscData!$AD$5:$AE$77,2,FALSE)</f>
        <v>RLS</v>
      </c>
      <c r="AP381" s="98" t="s">
        <v>226</v>
      </c>
      <c r="AR381" s="98">
        <v>0</v>
      </c>
    </row>
    <row r="382" spans="1:44">
      <c r="A382" s="108">
        <f t="shared" si="157"/>
        <v>379</v>
      </c>
      <c r="B382" s="109" t="str">
        <f t="shared" si="158"/>
        <v>Jun 2016</v>
      </c>
      <c r="C382" s="110" t="str">
        <f t="shared" si="159"/>
        <v>RLS</v>
      </c>
      <c r="D382" s="110" t="str">
        <f t="shared" si="160"/>
        <v>LGUM_276</v>
      </c>
      <c r="E382" s="581">
        <f t="shared" si="138"/>
        <v>1348</v>
      </c>
      <c r="F382" s="581">
        <f t="shared" si="139"/>
        <v>0</v>
      </c>
      <c r="G382" s="116">
        <f t="shared" si="140"/>
        <v>14.17</v>
      </c>
      <c r="H382" s="116">
        <f t="shared" si="141"/>
        <v>0.88000000000000078</v>
      </c>
      <c r="I382" s="118">
        <f t="shared" si="152"/>
        <v>19101.16</v>
      </c>
      <c r="J382" s="118">
        <f t="shared" si="142"/>
        <v>19101.16</v>
      </c>
      <c r="K382" s="570">
        <f t="shared" si="153"/>
        <v>0</v>
      </c>
      <c r="L382" s="121">
        <f t="shared" si="143"/>
        <v>0</v>
      </c>
      <c r="M382" s="122">
        <f t="shared" si="144"/>
        <v>0</v>
      </c>
      <c r="N382" s="122">
        <f t="shared" si="145"/>
        <v>0</v>
      </c>
      <c r="O382" s="122">
        <f t="shared" si="146"/>
        <v>0</v>
      </c>
      <c r="P382" s="122">
        <f t="shared" si="147"/>
        <v>0</v>
      </c>
      <c r="Q382" s="123">
        <f t="shared" si="148"/>
        <v>19101.16</v>
      </c>
      <c r="R382" s="123">
        <f t="shared" si="154"/>
        <v>-19101.16</v>
      </c>
      <c r="S382" s="582">
        <v>0</v>
      </c>
      <c r="T382" s="123">
        <f t="shared" si="155"/>
        <v>-19101.16</v>
      </c>
      <c r="U382" s="25">
        <f t="shared" si="149"/>
        <v>1186.24</v>
      </c>
      <c r="V382" s="123">
        <f t="shared" si="150"/>
        <v>-1186.24</v>
      </c>
      <c r="W382" s="334">
        <f t="shared" si="151"/>
        <v>350.48</v>
      </c>
      <c r="Y382" s="109">
        <f>IF(AE382=1,IF(Y381=MiscData!$F$1,EOMONTH(Y381,-11),EOMONTH(Y381,1)),Y381)</f>
        <v>42551</v>
      </c>
      <c r="Z382" s="108" t="str">
        <f t="shared" si="161"/>
        <v>20140101LGUM_276</v>
      </c>
      <c r="AA382" s="126" t="str">
        <f t="shared" si="162"/>
        <v>20140101RLS</v>
      </c>
      <c r="AB382" s="583" t="str">
        <f t="shared" si="156"/>
        <v>276</v>
      </c>
      <c r="AD382" s="98">
        <f>MiscData!$X$5</f>
        <v>20140101</v>
      </c>
      <c r="AE382" s="98">
        <f>IF(AE381+1&gt;MiscData!$AC$77,1,AE381+1)</f>
        <v>14</v>
      </c>
      <c r="AF382" s="98" t="str">
        <f>VLOOKUP(AE382,MiscData!$AC$5:$AD$77,2,FALSE)</f>
        <v>LGUM_276</v>
      </c>
      <c r="AG382" s="98" t="str">
        <f>VLOOKUP(AF382,MiscData!$AD$5:$AE$77,2,FALSE)</f>
        <v>RLS</v>
      </c>
      <c r="AP382" s="98" t="s">
        <v>227</v>
      </c>
      <c r="AR382" s="98">
        <v>0</v>
      </c>
    </row>
    <row r="383" spans="1:44">
      <c r="A383" s="108">
        <f t="shared" si="157"/>
        <v>380</v>
      </c>
      <c r="B383" s="109" t="str">
        <f t="shared" si="158"/>
        <v>Jun 2016</v>
      </c>
      <c r="C383" s="110" t="str">
        <f t="shared" si="159"/>
        <v>RLS</v>
      </c>
      <c r="D383" s="110" t="str">
        <f t="shared" si="160"/>
        <v>LGUM_277</v>
      </c>
      <c r="E383" s="581">
        <f t="shared" si="138"/>
        <v>2508</v>
      </c>
      <c r="F383" s="581">
        <f t="shared" si="139"/>
        <v>0</v>
      </c>
      <c r="G383" s="116">
        <f t="shared" si="140"/>
        <v>22.15</v>
      </c>
      <c r="H383" s="116">
        <f t="shared" si="141"/>
        <v>1.7900000000000027</v>
      </c>
      <c r="I383" s="118">
        <f t="shared" si="152"/>
        <v>55552.2</v>
      </c>
      <c r="J383" s="118">
        <f t="shared" si="142"/>
        <v>55552.2</v>
      </c>
      <c r="K383" s="570">
        <f t="shared" si="153"/>
        <v>0</v>
      </c>
      <c r="L383" s="121">
        <f t="shared" si="143"/>
        <v>0</v>
      </c>
      <c r="M383" s="122">
        <f t="shared" si="144"/>
        <v>0</v>
      </c>
      <c r="N383" s="122">
        <f t="shared" si="145"/>
        <v>0</v>
      </c>
      <c r="O383" s="122">
        <f t="shared" si="146"/>
        <v>0</v>
      </c>
      <c r="P383" s="122">
        <f t="shared" si="147"/>
        <v>0</v>
      </c>
      <c r="Q383" s="123">
        <f t="shared" si="148"/>
        <v>55552.2</v>
      </c>
      <c r="R383" s="123">
        <f t="shared" si="154"/>
        <v>-55552.2</v>
      </c>
      <c r="S383" s="582">
        <v>0</v>
      </c>
      <c r="T383" s="123">
        <f t="shared" si="155"/>
        <v>-55552.2</v>
      </c>
      <c r="U383" s="25">
        <f t="shared" si="149"/>
        <v>4489.32</v>
      </c>
      <c r="V383" s="123">
        <f t="shared" si="150"/>
        <v>-4489.32</v>
      </c>
      <c r="W383" s="334">
        <f t="shared" si="151"/>
        <v>601.91999999999996</v>
      </c>
      <c r="Y383" s="109">
        <f>IF(AE383=1,IF(Y382=MiscData!$F$1,EOMONTH(Y382,-11),EOMONTH(Y382,1)),Y382)</f>
        <v>42551</v>
      </c>
      <c r="Z383" s="108" t="str">
        <f t="shared" si="161"/>
        <v>20140101LGUM_277</v>
      </c>
      <c r="AA383" s="126" t="str">
        <f t="shared" si="162"/>
        <v>20140101RLS</v>
      </c>
      <c r="AB383" s="583" t="str">
        <f t="shared" si="156"/>
        <v>277</v>
      </c>
      <c r="AD383" s="98">
        <f>MiscData!$X$5</f>
        <v>20140101</v>
      </c>
      <c r="AE383" s="98">
        <f>IF(AE382+1&gt;MiscData!$AC$77,1,AE382+1)</f>
        <v>15</v>
      </c>
      <c r="AF383" s="98" t="str">
        <f>VLOOKUP(AE383,MiscData!$AC$5:$AD$77,2,FALSE)</f>
        <v>LGUM_277</v>
      </c>
      <c r="AG383" s="98" t="str">
        <f>VLOOKUP(AF383,MiscData!$AD$5:$AE$77,2,FALSE)</f>
        <v>RLS</v>
      </c>
      <c r="AP383" s="98" t="s">
        <v>351</v>
      </c>
      <c r="AR383" s="98">
        <v>0</v>
      </c>
    </row>
    <row r="384" spans="1:44">
      <c r="A384" s="108">
        <f t="shared" si="157"/>
        <v>381</v>
      </c>
      <c r="B384" s="109" t="str">
        <f t="shared" si="158"/>
        <v>Jun 2016</v>
      </c>
      <c r="C384" s="110" t="str">
        <f t="shared" si="159"/>
        <v>RLS</v>
      </c>
      <c r="D384" s="110" t="str">
        <f t="shared" si="160"/>
        <v>LGUM_278</v>
      </c>
      <c r="E384" s="581">
        <f t="shared" si="138"/>
        <v>17</v>
      </c>
      <c r="F384" s="581">
        <f t="shared" si="139"/>
        <v>0</v>
      </c>
      <c r="G384" s="116">
        <f t="shared" si="140"/>
        <v>72.550000000000011</v>
      </c>
      <c r="H384" s="116">
        <f t="shared" si="141"/>
        <v>9.8400000000000034</v>
      </c>
      <c r="I384" s="118">
        <f t="shared" si="152"/>
        <v>1233.3499999999999</v>
      </c>
      <c r="J384" s="118">
        <f t="shared" si="142"/>
        <v>1233.3499999999999</v>
      </c>
      <c r="K384" s="570">
        <f t="shared" si="153"/>
        <v>0</v>
      </c>
      <c r="L384" s="121">
        <f t="shared" si="143"/>
        <v>0</v>
      </c>
      <c r="M384" s="122">
        <f t="shared" si="144"/>
        <v>0</v>
      </c>
      <c r="N384" s="122">
        <f t="shared" si="145"/>
        <v>0</v>
      </c>
      <c r="O384" s="122">
        <f t="shared" si="146"/>
        <v>0</v>
      </c>
      <c r="P384" s="122">
        <f t="shared" si="147"/>
        <v>0</v>
      </c>
      <c r="Q384" s="123">
        <f t="shared" si="148"/>
        <v>1233.3499999999999</v>
      </c>
      <c r="R384" s="123">
        <f t="shared" si="154"/>
        <v>-1233.3499999999999</v>
      </c>
      <c r="S384" s="582">
        <v>0</v>
      </c>
      <c r="T384" s="123">
        <f t="shared" si="155"/>
        <v>-1233.3499999999999</v>
      </c>
      <c r="U384" s="25">
        <f t="shared" si="149"/>
        <v>167.28</v>
      </c>
      <c r="V384" s="123">
        <f t="shared" si="150"/>
        <v>-167.28</v>
      </c>
      <c r="W384" s="334">
        <f t="shared" si="151"/>
        <v>15.3</v>
      </c>
      <c r="Y384" s="109">
        <f>IF(AE384=1,IF(Y383=MiscData!$F$1,EOMONTH(Y383,-11),EOMONTH(Y383,1)),Y383)</f>
        <v>42551</v>
      </c>
      <c r="Z384" s="108" t="str">
        <f t="shared" si="161"/>
        <v>20140101LGUM_278</v>
      </c>
      <c r="AA384" s="126" t="str">
        <f t="shared" si="162"/>
        <v>20140101RLS</v>
      </c>
      <c r="AB384" s="583" t="str">
        <f t="shared" si="156"/>
        <v>278</v>
      </c>
      <c r="AD384" s="98">
        <f>MiscData!$X$5</f>
        <v>20140101</v>
      </c>
      <c r="AE384" s="98">
        <f>IF(AE383+1&gt;MiscData!$AC$77,1,AE383+1)</f>
        <v>16</v>
      </c>
      <c r="AF384" s="98" t="str">
        <f>VLOOKUP(AE384,MiscData!$AC$5:$AD$77,2,FALSE)</f>
        <v>LGUM_278</v>
      </c>
      <c r="AG384" s="98" t="str">
        <f>VLOOKUP(AF384,MiscData!$AD$5:$AE$77,2,FALSE)</f>
        <v>RLS</v>
      </c>
      <c r="AP384" s="98" t="s">
        <v>228</v>
      </c>
      <c r="AR384" s="98">
        <v>0</v>
      </c>
    </row>
    <row r="385" spans="1:44">
      <c r="A385" s="108">
        <f t="shared" si="157"/>
        <v>382</v>
      </c>
      <c r="B385" s="109" t="str">
        <f t="shared" si="158"/>
        <v>Jun 2016</v>
      </c>
      <c r="C385" s="110" t="str">
        <f t="shared" si="159"/>
        <v>RLS</v>
      </c>
      <c r="D385" s="110" t="str">
        <f t="shared" si="160"/>
        <v>LGUM_279</v>
      </c>
      <c r="E385" s="581">
        <f t="shared" si="138"/>
        <v>11</v>
      </c>
      <c r="F385" s="581">
        <f t="shared" si="139"/>
        <v>0</v>
      </c>
      <c r="G385" s="116">
        <f t="shared" si="140"/>
        <v>41.43</v>
      </c>
      <c r="H385" s="116">
        <f t="shared" si="141"/>
        <v>9.8399999999999963</v>
      </c>
      <c r="I385" s="118">
        <f t="shared" si="152"/>
        <v>455.73</v>
      </c>
      <c r="J385" s="118">
        <f t="shared" si="142"/>
        <v>455.73</v>
      </c>
      <c r="K385" s="570">
        <f t="shared" si="153"/>
        <v>0</v>
      </c>
      <c r="L385" s="121">
        <f t="shared" si="143"/>
        <v>0</v>
      </c>
      <c r="M385" s="122">
        <f t="shared" si="144"/>
        <v>0</v>
      </c>
      <c r="N385" s="122">
        <f t="shared" si="145"/>
        <v>0</v>
      </c>
      <c r="O385" s="122">
        <f t="shared" si="146"/>
        <v>0</v>
      </c>
      <c r="P385" s="122">
        <f t="shared" si="147"/>
        <v>0</v>
      </c>
      <c r="Q385" s="123">
        <f t="shared" si="148"/>
        <v>455.73</v>
      </c>
      <c r="R385" s="123">
        <f t="shared" si="154"/>
        <v>-455.73</v>
      </c>
      <c r="S385" s="582">
        <v>0</v>
      </c>
      <c r="T385" s="123">
        <f t="shared" si="155"/>
        <v>-455.73</v>
      </c>
      <c r="U385" s="25">
        <f t="shared" si="149"/>
        <v>108.24</v>
      </c>
      <c r="V385" s="123">
        <f t="shared" si="150"/>
        <v>-108.24</v>
      </c>
      <c r="W385" s="334">
        <f t="shared" si="151"/>
        <v>9.9</v>
      </c>
      <c r="Y385" s="109">
        <f>IF(AE385=1,IF(Y384=MiscData!$F$1,EOMONTH(Y384,-11),EOMONTH(Y384,1)),Y384)</f>
        <v>42551</v>
      </c>
      <c r="Z385" s="108" t="str">
        <f t="shared" si="161"/>
        <v>20140101LGUM_279</v>
      </c>
      <c r="AA385" s="126" t="str">
        <f t="shared" si="162"/>
        <v>20140101RLS</v>
      </c>
      <c r="AB385" s="583" t="str">
        <f t="shared" si="156"/>
        <v>279</v>
      </c>
      <c r="AD385" s="98">
        <f>MiscData!$X$5</f>
        <v>20140101</v>
      </c>
      <c r="AE385" s="98">
        <f>IF(AE384+1&gt;MiscData!$AC$77,1,AE384+1)</f>
        <v>17</v>
      </c>
      <c r="AF385" s="98" t="str">
        <f>VLOOKUP(AE385,MiscData!$AC$5:$AD$77,2,FALSE)</f>
        <v>LGUM_279</v>
      </c>
      <c r="AG385" s="98" t="str">
        <f>VLOOKUP(AF385,MiscData!$AD$5:$AE$77,2,FALSE)</f>
        <v>RLS</v>
      </c>
      <c r="AP385" s="98" t="s">
        <v>229</v>
      </c>
      <c r="AR385" s="98">
        <v>0</v>
      </c>
    </row>
    <row r="386" spans="1:44">
      <c r="A386" s="108">
        <f t="shared" si="157"/>
        <v>383</v>
      </c>
      <c r="B386" s="109" t="str">
        <f t="shared" si="158"/>
        <v>Jun 2016</v>
      </c>
      <c r="C386" s="110" t="str">
        <f t="shared" si="159"/>
        <v>RLS</v>
      </c>
      <c r="D386" s="110" t="str">
        <f t="shared" si="160"/>
        <v>LGUM_280</v>
      </c>
      <c r="E386" s="581">
        <f t="shared" si="138"/>
        <v>45</v>
      </c>
      <c r="F386" s="581">
        <f t="shared" si="139"/>
        <v>0</v>
      </c>
      <c r="G386" s="116">
        <f t="shared" si="140"/>
        <v>19.38</v>
      </c>
      <c r="H386" s="116">
        <f t="shared" si="141"/>
        <v>0.87999999999999901</v>
      </c>
      <c r="I386" s="118">
        <f t="shared" si="152"/>
        <v>872.1</v>
      </c>
      <c r="J386" s="118">
        <f t="shared" si="142"/>
        <v>872.1</v>
      </c>
      <c r="K386" s="570">
        <f t="shared" si="153"/>
        <v>0</v>
      </c>
      <c r="L386" s="121">
        <f t="shared" si="143"/>
        <v>0</v>
      </c>
      <c r="M386" s="122">
        <f t="shared" si="144"/>
        <v>0</v>
      </c>
      <c r="N386" s="122">
        <f t="shared" si="145"/>
        <v>0</v>
      </c>
      <c r="O386" s="122">
        <f t="shared" si="146"/>
        <v>0</v>
      </c>
      <c r="P386" s="122">
        <f t="shared" si="147"/>
        <v>0</v>
      </c>
      <c r="Q386" s="123">
        <f t="shared" si="148"/>
        <v>872.1</v>
      </c>
      <c r="R386" s="123">
        <f t="shared" si="154"/>
        <v>-872.1</v>
      </c>
      <c r="S386" s="582">
        <v>0</v>
      </c>
      <c r="T386" s="123">
        <f t="shared" si="155"/>
        <v>-872.1</v>
      </c>
      <c r="U386" s="25">
        <f t="shared" si="149"/>
        <v>39.6</v>
      </c>
      <c r="V386" s="123">
        <f t="shared" si="150"/>
        <v>-39.6</v>
      </c>
      <c r="W386" s="334">
        <f t="shared" si="151"/>
        <v>11.700000000000001</v>
      </c>
      <c r="Y386" s="109">
        <f>IF(AE386=1,IF(Y385=MiscData!$F$1,EOMONTH(Y385,-11),EOMONTH(Y385,1)),Y385)</f>
        <v>42551</v>
      </c>
      <c r="Z386" s="108" t="str">
        <f t="shared" si="161"/>
        <v>20140101LGUM_280</v>
      </c>
      <c r="AA386" s="126" t="str">
        <f t="shared" si="162"/>
        <v>20140101RLS</v>
      </c>
      <c r="AB386" s="583" t="str">
        <f t="shared" si="156"/>
        <v>280</v>
      </c>
      <c r="AD386" s="98">
        <f>MiscData!$X$5</f>
        <v>20140101</v>
      </c>
      <c r="AE386" s="98">
        <f>IF(AE385+1&gt;MiscData!$AC$77,1,AE385+1)</f>
        <v>18</v>
      </c>
      <c r="AF386" s="98" t="str">
        <f>VLOOKUP(AE386,MiscData!$AC$5:$AD$77,2,FALSE)</f>
        <v>LGUM_280</v>
      </c>
      <c r="AG386" s="98" t="str">
        <f>VLOOKUP(AF386,MiscData!$AD$5:$AE$77,2,FALSE)</f>
        <v>RLS</v>
      </c>
      <c r="AP386" s="98" t="s">
        <v>230</v>
      </c>
      <c r="AR386" s="98">
        <v>-16.45</v>
      </c>
    </row>
    <row r="387" spans="1:44">
      <c r="A387" s="108">
        <f t="shared" si="157"/>
        <v>384</v>
      </c>
      <c r="B387" s="109" t="str">
        <f t="shared" si="158"/>
        <v>Jun 2016</v>
      </c>
      <c r="C387" s="110" t="str">
        <f t="shared" si="159"/>
        <v>RLS</v>
      </c>
      <c r="D387" s="110" t="str">
        <f t="shared" si="160"/>
        <v>LGUM_281</v>
      </c>
      <c r="E387" s="581">
        <f t="shared" si="138"/>
        <v>241</v>
      </c>
      <c r="F387" s="581">
        <f t="shared" si="139"/>
        <v>0</v>
      </c>
      <c r="G387" s="116">
        <f t="shared" si="140"/>
        <v>20.349999999999998</v>
      </c>
      <c r="H387" s="116">
        <f t="shared" si="141"/>
        <v>1.2699999999999996</v>
      </c>
      <c r="I387" s="118">
        <f t="shared" si="152"/>
        <v>4904.3500000000004</v>
      </c>
      <c r="J387" s="118">
        <f t="shared" si="142"/>
        <v>4904.3500000000004</v>
      </c>
      <c r="K387" s="570">
        <f t="shared" si="153"/>
        <v>0</v>
      </c>
      <c r="L387" s="121">
        <f t="shared" si="143"/>
        <v>0</v>
      </c>
      <c r="M387" s="122">
        <f t="shared" si="144"/>
        <v>0</v>
      </c>
      <c r="N387" s="122">
        <f t="shared" si="145"/>
        <v>0</v>
      </c>
      <c r="O387" s="122">
        <f t="shared" si="146"/>
        <v>0</v>
      </c>
      <c r="P387" s="122">
        <f t="shared" si="147"/>
        <v>0</v>
      </c>
      <c r="Q387" s="123">
        <f t="shared" si="148"/>
        <v>4904.3500000000004</v>
      </c>
      <c r="R387" s="123">
        <f t="shared" si="154"/>
        <v>-4904.3500000000004</v>
      </c>
      <c r="S387" s="582">
        <v>0</v>
      </c>
      <c r="T387" s="123">
        <f t="shared" si="155"/>
        <v>-4904.3500000000004</v>
      </c>
      <c r="U387" s="25">
        <f t="shared" si="149"/>
        <v>306.07</v>
      </c>
      <c r="V387" s="123">
        <f t="shared" si="150"/>
        <v>-306.07</v>
      </c>
      <c r="W387" s="334">
        <f t="shared" si="151"/>
        <v>65.070000000000007</v>
      </c>
      <c r="Y387" s="109">
        <f>IF(AE387=1,IF(Y386=MiscData!$F$1,EOMONTH(Y386,-11),EOMONTH(Y386,1)),Y386)</f>
        <v>42551</v>
      </c>
      <c r="Z387" s="108" t="str">
        <f t="shared" si="161"/>
        <v>20140101LGUM_281</v>
      </c>
      <c r="AA387" s="126" t="str">
        <f t="shared" si="162"/>
        <v>20140101RLS</v>
      </c>
      <c r="AB387" s="583" t="str">
        <f t="shared" si="156"/>
        <v>281</v>
      </c>
      <c r="AD387" s="98">
        <f>MiscData!$X$5</f>
        <v>20140101</v>
      </c>
      <c r="AE387" s="98">
        <f>IF(AE386+1&gt;MiscData!$AC$77,1,AE386+1)</f>
        <v>19</v>
      </c>
      <c r="AF387" s="98" t="str">
        <f>VLOOKUP(AE387,MiscData!$AC$5:$AD$77,2,FALSE)</f>
        <v>LGUM_281</v>
      </c>
      <c r="AG387" s="98" t="str">
        <f>VLOOKUP(AF387,MiscData!$AD$5:$AE$77,2,FALSE)</f>
        <v>RLS</v>
      </c>
      <c r="AP387" s="98" t="s">
        <v>231</v>
      </c>
      <c r="AR387" s="98">
        <v>0</v>
      </c>
    </row>
    <row r="388" spans="1:44">
      <c r="A388" s="108">
        <f t="shared" si="157"/>
        <v>385</v>
      </c>
      <c r="B388" s="109" t="str">
        <f t="shared" si="158"/>
        <v>Jun 2016</v>
      </c>
      <c r="C388" s="110" t="str">
        <f t="shared" si="159"/>
        <v>RLS</v>
      </c>
      <c r="D388" s="110" t="str">
        <f t="shared" si="160"/>
        <v>LGUM_282</v>
      </c>
      <c r="E388" s="581">
        <f t="shared" ref="E388:E451" si="163">SUMIFS(L_1055_Count_Total,L_1055_Revenue_Month,$B388,L_1055_RateCategory,$D388)</f>
        <v>104</v>
      </c>
      <c r="F388" s="581">
        <f t="shared" ref="F388:F451" si="164">SUMIFS(L_SBR_KWH,L_SBR_Rate_Category,$D388,L_SBR_Revenue_Month,$B388)</f>
        <v>0</v>
      </c>
      <c r="G388" s="116">
        <f t="shared" ref="G388:G451" si="165">SUMIF(L_LightingRates_Tariff_Rate_Category,$Z388,L_LightingRates_UnitCharge)</f>
        <v>19.53</v>
      </c>
      <c r="H388" s="116">
        <f t="shared" ref="H388:H451" si="166">SUMIF(L_LightingRates_Tariff_Rate_Category,$Z388,L_LightingRates_FAC_Rate)</f>
        <v>0.87999999999999901</v>
      </c>
      <c r="I388" s="118">
        <f t="shared" si="152"/>
        <v>2031.12</v>
      </c>
      <c r="J388" s="118">
        <f t="shared" ref="J388:J451" si="167">SUM(I388:I388)</f>
        <v>2031.12</v>
      </c>
      <c r="K388" s="570">
        <f t="shared" si="153"/>
        <v>0</v>
      </c>
      <c r="L388" s="121">
        <f t="shared" ref="L388:L451" si="168">IF(AND(J388=0,K388=0),1,IF(J388=0,0,K388/J388))</f>
        <v>0</v>
      </c>
      <c r="M388" s="122">
        <f t="shared" ref="M388:M451" si="169">SUMIFS(L_SBR_FAC,L_SBR_Revenue_Month,$B388,L_SBR_Rate_Category,$D388)</f>
        <v>0</v>
      </c>
      <c r="N388" s="122">
        <f t="shared" ref="N388:N451" si="170">SUMIFS(L_SBR_ECR,L_SBR_Revenue_Month,$B388,L_SBR_Rate_Category,$D388)</f>
        <v>0</v>
      </c>
      <c r="O388" s="122">
        <f t="shared" ref="O388:O451" si="171">SUMIFS(L_SBR_MSR,L_SBR_Revenue_Month,$B388,L_SBR_Rate_Category,$D388)</f>
        <v>0</v>
      </c>
      <c r="P388" s="122">
        <f t="shared" ref="P388:P451" si="172">SUMIFS(L_SBR_Revenue_Total,L_SBR_Revenue_Month,$B388,L_SBR_Rate_Category,$D388)</f>
        <v>0</v>
      </c>
      <c r="Q388" s="123">
        <f t="shared" ref="Q388:Q451" si="173">SUM(J388,M388:O388)</f>
        <v>2031.12</v>
      </c>
      <c r="R388" s="123">
        <f t="shared" si="154"/>
        <v>-2031.12</v>
      </c>
      <c r="S388" s="582">
        <v>0</v>
      </c>
      <c r="T388" s="123">
        <f t="shared" si="155"/>
        <v>-2031.12</v>
      </c>
      <c r="U388" s="25">
        <f t="shared" ref="U388:U451" si="174">ROUND(E388*H388,2)</f>
        <v>91.52</v>
      </c>
      <c r="V388" s="123">
        <f t="shared" ref="V388:V451" si="175">K388-U388</f>
        <v>-91.52</v>
      </c>
      <c r="W388" s="334">
        <f t="shared" ref="W388:W451" si="176">SUMIF(L_LightingRates_Tariff_Rate_Category,$Z388,L_LightingRates_ECR_Rate)*E388</f>
        <v>27.04</v>
      </c>
      <c r="Y388" s="109">
        <f>IF(AE388=1,IF(Y387=MiscData!$F$1,EOMONTH(Y387,-11),EOMONTH(Y387,1)),Y387)</f>
        <v>42551</v>
      </c>
      <c r="Z388" s="108" t="str">
        <f t="shared" si="161"/>
        <v>20140101LGUM_282</v>
      </c>
      <c r="AA388" s="126" t="str">
        <f t="shared" si="162"/>
        <v>20140101RLS</v>
      </c>
      <c r="AB388" s="583" t="str">
        <f t="shared" si="156"/>
        <v>282</v>
      </c>
      <c r="AD388" s="98">
        <f>MiscData!$X$5</f>
        <v>20140101</v>
      </c>
      <c r="AE388" s="98">
        <f>IF(AE387+1&gt;MiscData!$AC$77,1,AE387+1)</f>
        <v>20</v>
      </c>
      <c r="AF388" s="98" t="str">
        <f>VLOOKUP(AE388,MiscData!$AC$5:$AD$77,2,FALSE)</f>
        <v>LGUM_282</v>
      </c>
      <c r="AG388" s="98" t="str">
        <f>VLOOKUP(AF388,MiscData!$AD$5:$AE$77,2,FALSE)</f>
        <v>RLS</v>
      </c>
      <c r="AP388" s="98" t="s">
        <v>232</v>
      </c>
      <c r="AR388" s="98">
        <v>0</v>
      </c>
    </row>
    <row r="389" spans="1:44">
      <c r="A389" s="108">
        <f t="shared" si="157"/>
        <v>386</v>
      </c>
      <c r="B389" s="109" t="str">
        <f t="shared" si="158"/>
        <v>Jun 2016</v>
      </c>
      <c r="C389" s="110" t="str">
        <f t="shared" si="159"/>
        <v>RLS</v>
      </c>
      <c r="D389" s="110" t="str">
        <f t="shared" si="160"/>
        <v>LGUM_283</v>
      </c>
      <c r="E389" s="581">
        <f t="shared" si="163"/>
        <v>81</v>
      </c>
      <c r="F389" s="581">
        <f t="shared" si="164"/>
        <v>0</v>
      </c>
      <c r="G389" s="116">
        <f t="shared" si="165"/>
        <v>20.819999999999997</v>
      </c>
      <c r="H389" s="116">
        <f t="shared" si="166"/>
        <v>1.2699999999999996</v>
      </c>
      <c r="I389" s="118">
        <f t="shared" ref="I389:I452" si="177">ROUND($E389*$G389,2)</f>
        <v>1686.42</v>
      </c>
      <c r="J389" s="118">
        <f t="shared" si="167"/>
        <v>1686.42</v>
      </c>
      <c r="K389" s="570">
        <f t="shared" ref="K389:K452" si="178">P389-SUM(M389:O389)</f>
        <v>0</v>
      </c>
      <c r="L389" s="121">
        <f t="shared" si="168"/>
        <v>0</v>
      </c>
      <c r="M389" s="122">
        <f t="shared" si="169"/>
        <v>0</v>
      </c>
      <c r="N389" s="122">
        <f t="shared" si="170"/>
        <v>0</v>
      </c>
      <c r="O389" s="122">
        <f t="shared" si="171"/>
        <v>0</v>
      </c>
      <c r="P389" s="122">
        <f t="shared" si="172"/>
        <v>0</v>
      </c>
      <c r="Q389" s="123">
        <f t="shared" si="173"/>
        <v>1686.42</v>
      </c>
      <c r="R389" s="123">
        <f t="shared" ref="R389:R452" si="179">ROUND(P389-Q389,2)</f>
        <v>-1686.42</v>
      </c>
      <c r="S389" s="582">
        <v>0</v>
      </c>
      <c r="T389" s="123">
        <f t="shared" ref="T389:T452" si="180">R389-S389</f>
        <v>-1686.42</v>
      </c>
      <c r="U389" s="25">
        <f t="shared" si="174"/>
        <v>102.87</v>
      </c>
      <c r="V389" s="123">
        <f t="shared" si="175"/>
        <v>-102.87</v>
      </c>
      <c r="W389" s="334">
        <f t="shared" si="176"/>
        <v>21.87</v>
      </c>
      <c r="Y389" s="109">
        <f>IF(AE389=1,IF(Y388=MiscData!$F$1,EOMONTH(Y388,-11),EOMONTH(Y388,1)),Y388)</f>
        <v>42551</v>
      </c>
      <c r="Z389" s="108" t="str">
        <f t="shared" si="161"/>
        <v>20140101LGUM_283</v>
      </c>
      <c r="AA389" s="126" t="str">
        <f t="shared" si="162"/>
        <v>20140101RLS</v>
      </c>
      <c r="AB389" s="583" t="str">
        <f t="shared" ref="AB389:AB452" si="181">RIGHT(AF389,3)</f>
        <v>283</v>
      </c>
      <c r="AD389" s="98">
        <f>MiscData!$X$5</f>
        <v>20140101</v>
      </c>
      <c r="AE389" s="98">
        <f>IF(AE388+1&gt;MiscData!$AC$77,1,AE388+1)</f>
        <v>21</v>
      </c>
      <c r="AF389" s="98" t="str">
        <f>VLOOKUP(AE389,MiscData!$AC$5:$AD$77,2,FALSE)</f>
        <v>LGUM_283</v>
      </c>
      <c r="AG389" s="98" t="str">
        <f>VLOOKUP(AF389,MiscData!$AD$5:$AE$77,2,FALSE)</f>
        <v>RLS</v>
      </c>
      <c r="AP389" s="98" t="s">
        <v>233</v>
      </c>
      <c r="AR389" s="98">
        <v>0</v>
      </c>
    </row>
    <row r="390" spans="1:44">
      <c r="A390" s="108">
        <f t="shared" si="157"/>
        <v>387</v>
      </c>
      <c r="B390" s="109" t="str">
        <f t="shared" si="158"/>
        <v>Jun 2016</v>
      </c>
      <c r="C390" s="110" t="str">
        <f t="shared" si="159"/>
        <v>RLS</v>
      </c>
      <c r="D390" s="110" t="str">
        <f t="shared" si="160"/>
        <v>LGUM_314</v>
      </c>
      <c r="E390" s="581">
        <f t="shared" si="163"/>
        <v>982</v>
      </c>
      <c r="F390" s="581">
        <f t="shared" si="164"/>
        <v>0</v>
      </c>
      <c r="G390" s="116">
        <f t="shared" si="165"/>
        <v>19.2</v>
      </c>
      <c r="H390" s="116">
        <f t="shared" si="166"/>
        <v>2.7100000000000009</v>
      </c>
      <c r="I390" s="118">
        <f t="shared" si="177"/>
        <v>18854.400000000001</v>
      </c>
      <c r="J390" s="118">
        <f t="shared" si="167"/>
        <v>18854.400000000001</v>
      </c>
      <c r="K390" s="570">
        <f t="shared" si="178"/>
        <v>0</v>
      </c>
      <c r="L390" s="121">
        <f t="shared" si="168"/>
        <v>0</v>
      </c>
      <c r="M390" s="122">
        <f t="shared" si="169"/>
        <v>0</v>
      </c>
      <c r="N390" s="122">
        <f t="shared" si="170"/>
        <v>0</v>
      </c>
      <c r="O390" s="122">
        <f t="shared" si="171"/>
        <v>0</v>
      </c>
      <c r="P390" s="122">
        <f t="shared" si="172"/>
        <v>0</v>
      </c>
      <c r="Q390" s="123">
        <f t="shared" si="173"/>
        <v>18854.400000000001</v>
      </c>
      <c r="R390" s="123">
        <f t="shared" si="179"/>
        <v>-18854.400000000001</v>
      </c>
      <c r="S390" s="582">
        <v>0</v>
      </c>
      <c r="T390" s="123">
        <f t="shared" si="180"/>
        <v>-18854.400000000001</v>
      </c>
      <c r="U390" s="25">
        <f t="shared" si="174"/>
        <v>2661.22</v>
      </c>
      <c r="V390" s="123">
        <f t="shared" si="175"/>
        <v>-2661.22</v>
      </c>
      <c r="W390" s="334">
        <f t="shared" si="176"/>
        <v>176.76</v>
      </c>
      <c r="Y390" s="109">
        <f>IF(AE390=1,IF(Y389=MiscData!$F$1,EOMONTH(Y389,-11),EOMONTH(Y389,1)),Y389)</f>
        <v>42551</v>
      </c>
      <c r="Z390" s="108" t="str">
        <f t="shared" si="161"/>
        <v>20140101LGUM_314</v>
      </c>
      <c r="AA390" s="126" t="str">
        <f t="shared" si="162"/>
        <v>20140101RLS</v>
      </c>
      <c r="AB390" s="583" t="str">
        <f t="shared" si="181"/>
        <v>314</v>
      </c>
      <c r="AD390" s="98">
        <f>MiscData!$X$5</f>
        <v>20140101</v>
      </c>
      <c r="AE390" s="98">
        <f>IF(AE389+1&gt;MiscData!$AC$77,1,AE389+1)</f>
        <v>22</v>
      </c>
      <c r="AF390" s="98" t="str">
        <f>VLOOKUP(AE390,MiscData!$AC$5:$AD$77,2,FALSE)</f>
        <v>LGUM_314</v>
      </c>
      <c r="AG390" s="98" t="str">
        <f>VLOOKUP(AF390,MiscData!$AD$5:$AE$77,2,FALSE)</f>
        <v>RLS</v>
      </c>
      <c r="AP390" s="98" t="s">
        <v>352</v>
      </c>
      <c r="AR390" s="98">
        <v>0</v>
      </c>
    </row>
    <row r="391" spans="1:44">
      <c r="A391" s="108">
        <f t="shared" ref="A391:A454" si="182">A390+1</f>
        <v>388</v>
      </c>
      <c r="B391" s="109" t="str">
        <f t="shared" si="158"/>
        <v>Jun 2016</v>
      </c>
      <c r="C391" s="110" t="str">
        <f t="shared" si="159"/>
        <v>RLS</v>
      </c>
      <c r="D391" s="110" t="str">
        <f t="shared" si="160"/>
        <v>LGUM_315</v>
      </c>
      <c r="E391" s="581">
        <f t="shared" si="163"/>
        <v>981</v>
      </c>
      <c r="F391" s="581">
        <f t="shared" si="164"/>
        <v>0</v>
      </c>
      <c r="G391" s="116">
        <f t="shared" si="165"/>
        <v>22.949999999999996</v>
      </c>
      <c r="H391" s="116">
        <f t="shared" si="166"/>
        <v>4.1999999999999993</v>
      </c>
      <c r="I391" s="118">
        <f t="shared" si="177"/>
        <v>22513.95</v>
      </c>
      <c r="J391" s="118">
        <f t="shared" si="167"/>
        <v>22513.95</v>
      </c>
      <c r="K391" s="570">
        <f t="shared" si="178"/>
        <v>0</v>
      </c>
      <c r="L391" s="121">
        <f t="shared" si="168"/>
        <v>0</v>
      </c>
      <c r="M391" s="122">
        <f t="shared" si="169"/>
        <v>0</v>
      </c>
      <c r="N391" s="122">
        <f t="shared" si="170"/>
        <v>0</v>
      </c>
      <c r="O391" s="122">
        <f t="shared" si="171"/>
        <v>0</v>
      </c>
      <c r="P391" s="122">
        <f t="shared" si="172"/>
        <v>0</v>
      </c>
      <c r="Q391" s="123">
        <f t="shared" si="173"/>
        <v>22513.95</v>
      </c>
      <c r="R391" s="123">
        <f t="shared" si="179"/>
        <v>-22513.95</v>
      </c>
      <c r="S391" s="582">
        <v>0</v>
      </c>
      <c r="T391" s="123">
        <f t="shared" si="180"/>
        <v>-22513.95</v>
      </c>
      <c r="U391" s="25">
        <f t="shared" si="174"/>
        <v>4120.2</v>
      </c>
      <c r="V391" s="123">
        <f t="shared" si="175"/>
        <v>-4120.2</v>
      </c>
      <c r="W391" s="334">
        <f t="shared" si="176"/>
        <v>215.82</v>
      </c>
      <c r="Y391" s="109">
        <f>IF(AE391=1,IF(Y390=MiscData!$F$1,EOMONTH(Y390,-11),EOMONTH(Y390,1)),Y390)</f>
        <v>42551</v>
      </c>
      <c r="Z391" s="108" t="str">
        <f t="shared" si="161"/>
        <v>20140101LGUM_315</v>
      </c>
      <c r="AA391" s="126" t="str">
        <f t="shared" si="162"/>
        <v>20140101RLS</v>
      </c>
      <c r="AB391" s="583" t="str">
        <f t="shared" si="181"/>
        <v>315</v>
      </c>
      <c r="AD391" s="98">
        <f>MiscData!$X$5</f>
        <v>20140101</v>
      </c>
      <c r="AE391" s="98">
        <f>IF(AE390+1&gt;MiscData!$AC$77,1,AE390+1)</f>
        <v>23</v>
      </c>
      <c r="AF391" s="98" t="str">
        <f>VLOOKUP(AE391,MiscData!$AC$5:$AD$77,2,FALSE)</f>
        <v>LGUM_315</v>
      </c>
      <c r="AG391" s="98" t="str">
        <f>VLOOKUP(AF391,MiscData!$AD$5:$AE$77,2,FALSE)</f>
        <v>RLS</v>
      </c>
      <c r="AP391" s="98" t="s">
        <v>234</v>
      </c>
      <c r="AR391" s="98">
        <v>140.47999999999999</v>
      </c>
    </row>
    <row r="392" spans="1:44">
      <c r="A392" s="108">
        <f t="shared" si="182"/>
        <v>389</v>
      </c>
      <c r="B392" s="109" t="str">
        <f t="shared" si="158"/>
        <v>Jun 2016</v>
      </c>
      <c r="C392" s="110" t="str">
        <f t="shared" si="159"/>
        <v>RLS</v>
      </c>
      <c r="D392" s="110" t="str">
        <f t="shared" si="160"/>
        <v>LGUM_318</v>
      </c>
      <c r="E392" s="581">
        <f t="shared" si="163"/>
        <v>106</v>
      </c>
      <c r="F392" s="581">
        <f t="shared" si="164"/>
        <v>0</v>
      </c>
      <c r="G392" s="116">
        <f t="shared" si="165"/>
        <v>17.419999999999998</v>
      </c>
      <c r="H392" s="116">
        <f t="shared" si="166"/>
        <v>1.9100000000000001</v>
      </c>
      <c r="I392" s="118">
        <f t="shared" si="177"/>
        <v>1846.52</v>
      </c>
      <c r="J392" s="118">
        <f t="shared" si="167"/>
        <v>1846.52</v>
      </c>
      <c r="K392" s="570">
        <f t="shared" si="178"/>
        <v>0</v>
      </c>
      <c r="L392" s="121">
        <f t="shared" si="168"/>
        <v>0</v>
      </c>
      <c r="M392" s="122">
        <f t="shared" si="169"/>
        <v>0</v>
      </c>
      <c r="N392" s="122">
        <f t="shared" si="170"/>
        <v>0</v>
      </c>
      <c r="O392" s="122">
        <f t="shared" si="171"/>
        <v>0</v>
      </c>
      <c r="P392" s="122">
        <f t="shared" si="172"/>
        <v>0</v>
      </c>
      <c r="Q392" s="123">
        <f t="shared" si="173"/>
        <v>1846.52</v>
      </c>
      <c r="R392" s="123">
        <f t="shared" si="179"/>
        <v>-1846.52</v>
      </c>
      <c r="S392" s="582">
        <v>0</v>
      </c>
      <c r="T392" s="123">
        <f t="shared" si="180"/>
        <v>-1846.52</v>
      </c>
      <c r="U392" s="25">
        <f t="shared" si="174"/>
        <v>202.46</v>
      </c>
      <c r="V392" s="123">
        <f t="shared" si="175"/>
        <v>-202.46</v>
      </c>
      <c r="W392" s="334">
        <f t="shared" si="176"/>
        <v>16.96</v>
      </c>
      <c r="Y392" s="109">
        <f>IF(AE392=1,IF(Y391=MiscData!$F$1,EOMONTH(Y391,-11),EOMONTH(Y391,1)),Y391)</f>
        <v>42551</v>
      </c>
      <c r="Z392" s="108" t="str">
        <f t="shared" si="161"/>
        <v>20140101LGUM_318</v>
      </c>
      <c r="AA392" s="126" t="str">
        <f t="shared" si="162"/>
        <v>20140101RLS</v>
      </c>
      <c r="AB392" s="583" t="str">
        <f t="shared" si="181"/>
        <v>318</v>
      </c>
      <c r="AD392" s="98">
        <f>MiscData!$X$5</f>
        <v>20140101</v>
      </c>
      <c r="AE392" s="98">
        <f>IF(AE391+1&gt;MiscData!$AC$77,1,AE391+1)</f>
        <v>24</v>
      </c>
      <c r="AF392" s="98" t="str">
        <f>VLOOKUP(AE392,MiscData!$AC$5:$AD$77,2,FALSE)</f>
        <v>LGUM_318</v>
      </c>
      <c r="AG392" s="98" t="str">
        <f>VLOOKUP(AF392,MiscData!$AD$5:$AE$77,2,FALSE)</f>
        <v>RLS</v>
      </c>
      <c r="AP392" s="98" t="s">
        <v>353</v>
      </c>
      <c r="AR392" s="98">
        <v>0</v>
      </c>
    </row>
    <row r="393" spans="1:44">
      <c r="A393" s="108">
        <f t="shared" si="182"/>
        <v>390</v>
      </c>
      <c r="B393" s="109" t="str">
        <f t="shared" si="158"/>
        <v>Jun 2016</v>
      </c>
      <c r="C393" s="110" t="str">
        <f t="shared" si="159"/>
        <v>RLS</v>
      </c>
      <c r="D393" s="110" t="str">
        <f t="shared" si="160"/>
        <v>LGUM_347</v>
      </c>
      <c r="E393" s="581">
        <f t="shared" si="163"/>
        <v>0</v>
      </c>
      <c r="F393" s="581">
        <f t="shared" si="164"/>
        <v>0</v>
      </c>
      <c r="G393" s="116">
        <f t="shared" si="165"/>
        <v>22.939999999999998</v>
      </c>
      <c r="H393" s="116">
        <f t="shared" si="166"/>
        <v>26.14</v>
      </c>
      <c r="I393" s="118">
        <f t="shared" si="177"/>
        <v>0</v>
      </c>
      <c r="J393" s="118">
        <f t="shared" si="167"/>
        <v>0</v>
      </c>
      <c r="K393" s="570">
        <f t="shared" si="178"/>
        <v>0</v>
      </c>
      <c r="L393" s="121">
        <f t="shared" si="168"/>
        <v>1</v>
      </c>
      <c r="M393" s="122">
        <f t="shared" si="169"/>
        <v>0</v>
      </c>
      <c r="N393" s="122">
        <f t="shared" si="170"/>
        <v>0</v>
      </c>
      <c r="O393" s="122">
        <f t="shared" si="171"/>
        <v>0</v>
      </c>
      <c r="P393" s="122">
        <f t="shared" si="172"/>
        <v>0</v>
      </c>
      <c r="Q393" s="123">
        <f t="shared" si="173"/>
        <v>0</v>
      </c>
      <c r="R393" s="123">
        <f t="shared" si="179"/>
        <v>0</v>
      </c>
      <c r="S393" s="582">
        <v>0</v>
      </c>
      <c r="T393" s="123">
        <f t="shared" si="180"/>
        <v>0</v>
      </c>
      <c r="U393" s="25">
        <f t="shared" si="174"/>
        <v>0</v>
      </c>
      <c r="V393" s="123">
        <f t="shared" si="175"/>
        <v>0</v>
      </c>
      <c r="W393" s="334">
        <f t="shared" si="176"/>
        <v>0</v>
      </c>
      <c r="Y393" s="109">
        <f>IF(AE393=1,IF(Y392=MiscData!$F$1,EOMONTH(Y392,-11),EOMONTH(Y392,1)),Y392)</f>
        <v>42551</v>
      </c>
      <c r="Z393" s="108" t="str">
        <f t="shared" si="161"/>
        <v>20140101LGUM_347</v>
      </c>
      <c r="AA393" s="126" t="str">
        <f t="shared" si="162"/>
        <v>20140101RLS</v>
      </c>
      <c r="AB393" s="583" t="str">
        <f t="shared" si="181"/>
        <v>347</v>
      </c>
      <c r="AD393" s="98">
        <f>MiscData!$X$5</f>
        <v>20140101</v>
      </c>
      <c r="AE393" s="98">
        <f>IF(AE392+1&gt;MiscData!$AC$77,1,AE392+1)</f>
        <v>25</v>
      </c>
      <c r="AF393" s="98" t="str">
        <f>VLOOKUP(AE393,MiscData!$AC$5:$AD$77,2,FALSE)</f>
        <v>LGUM_347</v>
      </c>
      <c r="AG393" s="98" t="str">
        <f>VLOOKUP(AF393,MiscData!$AD$5:$AE$77,2,FALSE)</f>
        <v>RLS</v>
      </c>
      <c r="AP393" s="98" t="s">
        <v>235</v>
      </c>
      <c r="AR393" s="98">
        <v>0</v>
      </c>
    </row>
    <row r="394" spans="1:44">
      <c r="A394" s="108">
        <f t="shared" si="182"/>
        <v>391</v>
      </c>
      <c r="B394" s="109" t="str">
        <f t="shared" si="158"/>
        <v>Jun 2016</v>
      </c>
      <c r="C394" s="110" t="str">
        <f t="shared" si="159"/>
        <v>RLS</v>
      </c>
      <c r="D394" s="110" t="str">
        <f t="shared" si="160"/>
        <v>LGUM_348</v>
      </c>
      <c r="E394" s="581">
        <f t="shared" si="163"/>
        <v>79</v>
      </c>
      <c r="F394" s="581">
        <f t="shared" si="164"/>
        <v>0</v>
      </c>
      <c r="G394" s="116">
        <f t="shared" si="165"/>
        <v>13.12</v>
      </c>
      <c r="H394" s="116">
        <f t="shared" si="166"/>
        <v>2.9800000000000004</v>
      </c>
      <c r="I394" s="118">
        <f t="shared" si="177"/>
        <v>1036.48</v>
      </c>
      <c r="J394" s="118">
        <f t="shared" si="167"/>
        <v>1036.48</v>
      </c>
      <c r="K394" s="570">
        <f t="shared" si="178"/>
        <v>0</v>
      </c>
      <c r="L394" s="121">
        <f t="shared" si="168"/>
        <v>0</v>
      </c>
      <c r="M394" s="122">
        <f t="shared" si="169"/>
        <v>0</v>
      </c>
      <c r="N394" s="122">
        <f t="shared" si="170"/>
        <v>0</v>
      </c>
      <c r="O394" s="122">
        <f t="shared" si="171"/>
        <v>0</v>
      </c>
      <c r="P394" s="122">
        <f t="shared" si="172"/>
        <v>0</v>
      </c>
      <c r="Q394" s="123">
        <f t="shared" si="173"/>
        <v>1036.48</v>
      </c>
      <c r="R394" s="123">
        <f t="shared" si="179"/>
        <v>-1036.48</v>
      </c>
      <c r="S394" s="582">
        <v>0</v>
      </c>
      <c r="T394" s="123">
        <f t="shared" si="180"/>
        <v>-1036.48</v>
      </c>
      <c r="U394" s="25">
        <f t="shared" si="174"/>
        <v>235.42</v>
      </c>
      <c r="V394" s="123">
        <f t="shared" si="175"/>
        <v>-235.42</v>
      </c>
      <c r="W394" s="334">
        <f t="shared" si="176"/>
        <v>15.01</v>
      </c>
      <c r="Y394" s="109">
        <f>IF(AE394=1,IF(Y393=MiscData!$F$1,EOMONTH(Y393,-11),EOMONTH(Y393,1)),Y393)</f>
        <v>42551</v>
      </c>
      <c r="Z394" s="108" t="str">
        <f t="shared" si="161"/>
        <v>20140101LGUM_348</v>
      </c>
      <c r="AA394" s="126" t="str">
        <f t="shared" si="162"/>
        <v>20140101RLS</v>
      </c>
      <c r="AB394" s="583" t="str">
        <f t="shared" si="181"/>
        <v>348</v>
      </c>
      <c r="AD394" s="98">
        <f>MiscData!$X$5</f>
        <v>20140101</v>
      </c>
      <c r="AE394" s="98">
        <f>IF(AE393+1&gt;MiscData!$AC$77,1,AE393+1)</f>
        <v>26</v>
      </c>
      <c r="AF394" s="98" t="str">
        <f>VLOOKUP(AE394,MiscData!$AC$5:$AD$77,2,FALSE)</f>
        <v>LGUM_348</v>
      </c>
      <c r="AG394" s="98" t="str">
        <f>VLOOKUP(AF394,MiscData!$AD$5:$AE$77,2,FALSE)</f>
        <v>RLS</v>
      </c>
      <c r="AP394" s="98" t="s">
        <v>236</v>
      </c>
      <c r="AR394" s="98">
        <v>0</v>
      </c>
    </row>
    <row r="395" spans="1:44">
      <c r="A395" s="108">
        <f t="shared" si="182"/>
        <v>392</v>
      </c>
      <c r="B395" s="109" t="str">
        <f t="shared" si="158"/>
        <v>Jun 2016</v>
      </c>
      <c r="C395" s="110" t="str">
        <f t="shared" si="159"/>
        <v>RLS</v>
      </c>
      <c r="D395" s="110" t="str">
        <f t="shared" si="160"/>
        <v>LGUM_349</v>
      </c>
      <c r="E395" s="581">
        <f t="shared" si="163"/>
        <v>33</v>
      </c>
      <c r="F395" s="581">
        <f t="shared" si="164"/>
        <v>0</v>
      </c>
      <c r="G395" s="116">
        <f t="shared" si="165"/>
        <v>9.0200000000000014</v>
      </c>
      <c r="H395" s="116">
        <f t="shared" si="166"/>
        <v>0.91000000000000014</v>
      </c>
      <c r="I395" s="118">
        <f t="shared" si="177"/>
        <v>297.66000000000003</v>
      </c>
      <c r="J395" s="118">
        <f t="shared" si="167"/>
        <v>297.66000000000003</v>
      </c>
      <c r="K395" s="570">
        <f t="shared" si="178"/>
        <v>0</v>
      </c>
      <c r="L395" s="121">
        <f t="shared" si="168"/>
        <v>0</v>
      </c>
      <c r="M395" s="122">
        <f t="shared" si="169"/>
        <v>0</v>
      </c>
      <c r="N395" s="122">
        <f t="shared" si="170"/>
        <v>0</v>
      </c>
      <c r="O395" s="122">
        <f t="shared" si="171"/>
        <v>0</v>
      </c>
      <c r="P395" s="122">
        <f t="shared" si="172"/>
        <v>0</v>
      </c>
      <c r="Q395" s="123">
        <f t="shared" si="173"/>
        <v>297.66000000000003</v>
      </c>
      <c r="R395" s="123">
        <f t="shared" si="179"/>
        <v>-297.66000000000003</v>
      </c>
      <c r="S395" s="582">
        <v>0</v>
      </c>
      <c r="T395" s="123">
        <f t="shared" si="180"/>
        <v>-297.66000000000003</v>
      </c>
      <c r="U395" s="25">
        <f t="shared" si="174"/>
        <v>30.03</v>
      </c>
      <c r="V395" s="123">
        <f t="shared" si="175"/>
        <v>-30.03</v>
      </c>
      <c r="W395" s="334">
        <f t="shared" si="176"/>
        <v>4.62</v>
      </c>
      <c r="Y395" s="109">
        <f>IF(AE395=1,IF(Y394=MiscData!$F$1,EOMONTH(Y394,-11),EOMONTH(Y394,1)),Y394)</f>
        <v>42551</v>
      </c>
      <c r="Z395" s="108" t="str">
        <f t="shared" si="161"/>
        <v>20140101LGUM_349</v>
      </c>
      <c r="AA395" s="126" t="str">
        <f t="shared" si="162"/>
        <v>20140101RLS</v>
      </c>
      <c r="AB395" s="583" t="str">
        <f t="shared" si="181"/>
        <v>349</v>
      </c>
      <c r="AD395" s="98">
        <f>MiscData!$X$5</f>
        <v>20140101</v>
      </c>
      <c r="AE395" s="98">
        <f>IF(AE394+1&gt;MiscData!$AC$77,1,AE394+1)</f>
        <v>27</v>
      </c>
      <c r="AF395" s="98" t="str">
        <f>VLOOKUP(AE395,MiscData!$AC$5:$AD$77,2,FALSE)</f>
        <v>LGUM_349</v>
      </c>
      <c r="AG395" s="98" t="str">
        <f>VLOOKUP(AF395,MiscData!$AD$5:$AE$77,2,FALSE)</f>
        <v>RLS</v>
      </c>
      <c r="AP395" s="98" t="s">
        <v>354</v>
      </c>
      <c r="AR395" s="98">
        <v>0</v>
      </c>
    </row>
    <row r="396" spans="1:44">
      <c r="A396" s="108">
        <f t="shared" si="182"/>
        <v>393</v>
      </c>
      <c r="B396" s="109" t="str">
        <f t="shared" si="158"/>
        <v>Jun 2016</v>
      </c>
      <c r="C396" s="110" t="str">
        <f t="shared" si="159"/>
        <v xml:space="preserve">LS </v>
      </c>
      <c r="D396" s="110" t="str">
        <f t="shared" si="160"/>
        <v>LGUM_400</v>
      </c>
      <c r="E396" s="581">
        <f t="shared" si="163"/>
        <v>35</v>
      </c>
      <c r="F396" s="581">
        <f t="shared" si="164"/>
        <v>0</v>
      </c>
      <c r="G396" s="116">
        <f t="shared" si="165"/>
        <v>23.89</v>
      </c>
      <c r="H396" s="116">
        <f t="shared" si="166"/>
        <v>1.0199999999999996</v>
      </c>
      <c r="I396" s="118">
        <f t="shared" si="177"/>
        <v>836.15</v>
      </c>
      <c r="J396" s="118">
        <f t="shared" si="167"/>
        <v>836.15</v>
      </c>
      <c r="K396" s="570">
        <f t="shared" si="178"/>
        <v>0</v>
      </c>
      <c r="L396" s="121">
        <f t="shared" si="168"/>
        <v>0</v>
      </c>
      <c r="M396" s="122">
        <f t="shared" si="169"/>
        <v>0</v>
      </c>
      <c r="N396" s="122">
        <f t="shared" si="170"/>
        <v>0</v>
      </c>
      <c r="O396" s="122">
        <f t="shared" si="171"/>
        <v>0</v>
      </c>
      <c r="P396" s="122">
        <f t="shared" si="172"/>
        <v>0</v>
      </c>
      <c r="Q396" s="123">
        <f t="shared" si="173"/>
        <v>836.15</v>
      </c>
      <c r="R396" s="123">
        <f t="shared" si="179"/>
        <v>-836.15</v>
      </c>
      <c r="S396" s="582">
        <v>0</v>
      </c>
      <c r="T396" s="123">
        <f t="shared" si="180"/>
        <v>-836.15</v>
      </c>
      <c r="U396" s="25">
        <f t="shared" si="174"/>
        <v>35.700000000000003</v>
      </c>
      <c r="V396" s="123">
        <f t="shared" si="175"/>
        <v>-35.700000000000003</v>
      </c>
      <c r="W396" s="334">
        <f t="shared" si="176"/>
        <v>12.95</v>
      </c>
      <c r="Y396" s="109">
        <f>IF(AE396=1,IF(Y395=MiscData!$F$1,EOMONTH(Y395,-11),EOMONTH(Y395,1)),Y395)</f>
        <v>42551</v>
      </c>
      <c r="Z396" s="108" t="str">
        <f t="shared" si="161"/>
        <v>20140101LGUM_400</v>
      </c>
      <c r="AA396" s="126" t="str">
        <f t="shared" si="162"/>
        <v xml:space="preserve">20140101LS </v>
      </c>
      <c r="AB396" s="583" t="str">
        <f t="shared" si="181"/>
        <v>400</v>
      </c>
      <c r="AD396" s="98">
        <f>MiscData!$X$5</f>
        <v>20140101</v>
      </c>
      <c r="AE396" s="98">
        <f>IF(AE395+1&gt;MiscData!$AC$77,1,AE395+1)</f>
        <v>28</v>
      </c>
      <c r="AF396" s="98" t="str">
        <f>VLOOKUP(AE396,MiscData!$AC$5:$AD$77,2,FALSE)</f>
        <v>LGUM_400</v>
      </c>
      <c r="AG396" s="98" t="str">
        <f>VLOOKUP(AF396,MiscData!$AD$5:$AE$77,2,FALSE)</f>
        <v xml:space="preserve">LS </v>
      </c>
      <c r="AP396" s="98" t="s">
        <v>355</v>
      </c>
      <c r="AR396" s="98">
        <v>0</v>
      </c>
    </row>
    <row r="397" spans="1:44">
      <c r="A397" s="108">
        <f t="shared" si="182"/>
        <v>394</v>
      </c>
      <c r="B397" s="109" t="str">
        <f t="shared" si="158"/>
        <v>Jun 2016</v>
      </c>
      <c r="C397" s="110" t="str">
        <f t="shared" si="159"/>
        <v xml:space="preserve">LS </v>
      </c>
      <c r="D397" s="110" t="str">
        <f t="shared" si="160"/>
        <v>LGUM_401</v>
      </c>
      <c r="E397" s="581">
        <f t="shared" si="163"/>
        <v>4</v>
      </c>
      <c r="F397" s="581">
        <f t="shared" si="164"/>
        <v>0</v>
      </c>
      <c r="G397" s="116">
        <f t="shared" si="165"/>
        <v>24.9</v>
      </c>
      <c r="H397" s="116">
        <f t="shared" si="166"/>
        <v>1.0599999999999987</v>
      </c>
      <c r="I397" s="118">
        <f t="shared" si="177"/>
        <v>99.6</v>
      </c>
      <c r="J397" s="118">
        <f t="shared" si="167"/>
        <v>99.6</v>
      </c>
      <c r="K397" s="570">
        <f t="shared" si="178"/>
        <v>0</v>
      </c>
      <c r="L397" s="121">
        <f t="shared" si="168"/>
        <v>0</v>
      </c>
      <c r="M397" s="122">
        <f t="shared" si="169"/>
        <v>0</v>
      </c>
      <c r="N397" s="122">
        <f t="shared" si="170"/>
        <v>0</v>
      </c>
      <c r="O397" s="122">
        <f t="shared" si="171"/>
        <v>0</v>
      </c>
      <c r="P397" s="122">
        <f t="shared" si="172"/>
        <v>0</v>
      </c>
      <c r="Q397" s="123">
        <f t="shared" si="173"/>
        <v>99.6</v>
      </c>
      <c r="R397" s="123">
        <f t="shared" si="179"/>
        <v>-99.6</v>
      </c>
      <c r="S397" s="582">
        <v>0</v>
      </c>
      <c r="T397" s="123">
        <f t="shared" si="180"/>
        <v>-99.6</v>
      </c>
      <c r="U397" s="25">
        <f t="shared" si="174"/>
        <v>4.24</v>
      </c>
      <c r="V397" s="123">
        <f t="shared" si="175"/>
        <v>-4.24</v>
      </c>
      <c r="W397" s="334">
        <f t="shared" si="176"/>
        <v>1.08</v>
      </c>
      <c r="Y397" s="109">
        <f>IF(AE397=1,IF(Y396=MiscData!$F$1,EOMONTH(Y396,-11),EOMONTH(Y396,1)),Y396)</f>
        <v>42551</v>
      </c>
      <c r="Z397" s="108" t="str">
        <f t="shared" si="161"/>
        <v>20140101LGUM_401</v>
      </c>
      <c r="AA397" s="126" t="str">
        <f t="shared" si="162"/>
        <v xml:space="preserve">20140101LS </v>
      </c>
      <c r="AB397" s="583" t="str">
        <f t="shared" si="181"/>
        <v>401</v>
      </c>
      <c r="AD397" s="98">
        <f>MiscData!$X$5</f>
        <v>20140101</v>
      </c>
      <c r="AE397" s="98">
        <f>IF(AE396+1&gt;MiscData!$AC$77,1,AE396+1)</f>
        <v>29</v>
      </c>
      <c r="AF397" s="98" t="str">
        <f>VLOOKUP(AE397,MiscData!$AC$5:$AD$77,2,FALSE)</f>
        <v>LGUM_401</v>
      </c>
      <c r="AG397" s="98" t="str">
        <f>VLOOKUP(AF397,MiscData!$AD$5:$AE$77,2,FALSE)</f>
        <v xml:space="preserve">LS </v>
      </c>
      <c r="AP397" s="98" t="s">
        <v>359</v>
      </c>
      <c r="AR397" s="98">
        <v>0</v>
      </c>
    </row>
    <row r="398" spans="1:44">
      <c r="A398" s="108">
        <f t="shared" si="182"/>
        <v>395</v>
      </c>
      <c r="B398" s="109" t="str">
        <f t="shared" si="158"/>
        <v>Jun 2016</v>
      </c>
      <c r="C398" s="110" t="str">
        <f t="shared" si="159"/>
        <v xml:space="preserve">LS </v>
      </c>
      <c r="D398" s="110" t="str">
        <f t="shared" si="160"/>
        <v>LGUM_412</v>
      </c>
      <c r="E398" s="581">
        <f t="shared" si="163"/>
        <v>219</v>
      </c>
      <c r="F398" s="581">
        <f t="shared" si="164"/>
        <v>0</v>
      </c>
      <c r="G398" s="116">
        <f t="shared" si="165"/>
        <v>19.79</v>
      </c>
      <c r="H398" s="116">
        <f t="shared" si="166"/>
        <v>0.74999999999999645</v>
      </c>
      <c r="I398" s="118">
        <f t="shared" si="177"/>
        <v>4334.01</v>
      </c>
      <c r="J398" s="118">
        <f t="shared" si="167"/>
        <v>4334.01</v>
      </c>
      <c r="K398" s="570">
        <f t="shared" si="178"/>
        <v>0</v>
      </c>
      <c r="L398" s="121">
        <f t="shared" si="168"/>
        <v>0</v>
      </c>
      <c r="M398" s="122">
        <f t="shared" si="169"/>
        <v>0</v>
      </c>
      <c r="N398" s="122">
        <f t="shared" si="170"/>
        <v>0</v>
      </c>
      <c r="O398" s="122">
        <f t="shared" si="171"/>
        <v>0</v>
      </c>
      <c r="P398" s="122">
        <f t="shared" si="172"/>
        <v>0</v>
      </c>
      <c r="Q398" s="123">
        <f t="shared" si="173"/>
        <v>4334.01</v>
      </c>
      <c r="R398" s="123">
        <f t="shared" si="179"/>
        <v>-4334.01</v>
      </c>
      <c r="S398" s="582">
        <v>0</v>
      </c>
      <c r="T398" s="123">
        <f t="shared" si="180"/>
        <v>-4334.01</v>
      </c>
      <c r="U398" s="25">
        <f t="shared" si="174"/>
        <v>164.25</v>
      </c>
      <c r="V398" s="123">
        <f t="shared" si="175"/>
        <v>-164.25</v>
      </c>
      <c r="W398" s="334">
        <f t="shared" si="176"/>
        <v>56.940000000000005</v>
      </c>
      <c r="Y398" s="109">
        <f>IF(AE398=1,IF(Y397=MiscData!$F$1,EOMONTH(Y397,-11),EOMONTH(Y397,1)),Y397)</f>
        <v>42551</v>
      </c>
      <c r="Z398" s="108" t="str">
        <f t="shared" si="161"/>
        <v>20140101LGUM_412</v>
      </c>
      <c r="AA398" s="126" t="str">
        <f t="shared" si="162"/>
        <v xml:space="preserve">20140101LS </v>
      </c>
      <c r="AB398" s="583" t="str">
        <f t="shared" si="181"/>
        <v>412</v>
      </c>
      <c r="AD398" s="98">
        <f>MiscData!$X$5</f>
        <v>20140101</v>
      </c>
      <c r="AE398" s="98">
        <f>IF(AE397+1&gt;MiscData!$AC$77,1,AE397+1)</f>
        <v>30</v>
      </c>
      <c r="AF398" s="98" t="str">
        <f>VLOOKUP(AE398,MiscData!$AC$5:$AD$77,2,FALSE)</f>
        <v>LGUM_412</v>
      </c>
      <c r="AG398" s="98" t="str">
        <f>VLOOKUP(AF398,MiscData!$AD$5:$AE$77,2,FALSE)</f>
        <v xml:space="preserve">LS </v>
      </c>
      <c r="AP398" s="98" t="s">
        <v>356</v>
      </c>
      <c r="AR398" s="98">
        <v>0</v>
      </c>
    </row>
    <row r="399" spans="1:44">
      <c r="A399" s="108">
        <f t="shared" si="182"/>
        <v>396</v>
      </c>
      <c r="B399" s="109" t="str">
        <f t="shared" si="158"/>
        <v>Jun 2016</v>
      </c>
      <c r="C399" s="110" t="str">
        <f t="shared" si="159"/>
        <v xml:space="preserve">LS </v>
      </c>
      <c r="D399" s="110" t="str">
        <f t="shared" si="160"/>
        <v>LGUM_413</v>
      </c>
      <c r="E399" s="581">
        <f t="shared" si="163"/>
        <v>2154</v>
      </c>
      <c r="F399" s="581">
        <f t="shared" si="164"/>
        <v>0</v>
      </c>
      <c r="G399" s="116">
        <f t="shared" si="165"/>
        <v>20.49</v>
      </c>
      <c r="H399" s="116">
        <f t="shared" si="166"/>
        <v>1.0599999999999987</v>
      </c>
      <c r="I399" s="118">
        <f t="shared" si="177"/>
        <v>44135.46</v>
      </c>
      <c r="J399" s="118">
        <f t="shared" si="167"/>
        <v>44135.46</v>
      </c>
      <c r="K399" s="570">
        <f t="shared" si="178"/>
        <v>0</v>
      </c>
      <c r="L399" s="121">
        <f t="shared" si="168"/>
        <v>0</v>
      </c>
      <c r="M399" s="122">
        <f t="shared" si="169"/>
        <v>0</v>
      </c>
      <c r="N399" s="122">
        <f t="shared" si="170"/>
        <v>0</v>
      </c>
      <c r="O399" s="122">
        <f t="shared" si="171"/>
        <v>0</v>
      </c>
      <c r="P399" s="122">
        <f t="shared" si="172"/>
        <v>0</v>
      </c>
      <c r="Q399" s="123">
        <f t="shared" si="173"/>
        <v>44135.46</v>
      </c>
      <c r="R399" s="123">
        <f t="shared" si="179"/>
        <v>-44135.46</v>
      </c>
      <c r="S399" s="582">
        <v>0</v>
      </c>
      <c r="T399" s="123">
        <f t="shared" si="180"/>
        <v>-44135.46</v>
      </c>
      <c r="U399" s="25">
        <f t="shared" si="174"/>
        <v>2283.2399999999998</v>
      </c>
      <c r="V399" s="123">
        <f t="shared" si="175"/>
        <v>-2283.2399999999998</v>
      </c>
      <c r="W399" s="334">
        <f t="shared" si="176"/>
        <v>581.58000000000004</v>
      </c>
      <c r="Y399" s="109">
        <f>IF(AE399=1,IF(Y398=MiscData!$F$1,EOMONTH(Y398,-11),EOMONTH(Y398,1)),Y398)</f>
        <v>42551</v>
      </c>
      <c r="Z399" s="108" t="str">
        <f t="shared" si="161"/>
        <v>20140101LGUM_413</v>
      </c>
      <c r="AA399" s="126" t="str">
        <f t="shared" si="162"/>
        <v xml:space="preserve">20140101LS </v>
      </c>
      <c r="AB399" s="583" t="str">
        <f t="shared" si="181"/>
        <v>413</v>
      </c>
      <c r="AD399" s="98">
        <f>MiscData!$X$5</f>
        <v>20140101</v>
      </c>
      <c r="AE399" s="98">
        <f>IF(AE398+1&gt;MiscData!$AC$77,1,AE398+1)</f>
        <v>31</v>
      </c>
      <c r="AF399" s="98" t="str">
        <f>VLOOKUP(AE399,MiscData!$AC$5:$AD$77,2,FALSE)</f>
        <v>LGUM_413</v>
      </c>
      <c r="AG399" s="98" t="str">
        <f>VLOOKUP(AF399,MiscData!$AD$5:$AE$77,2,FALSE)</f>
        <v xml:space="preserve">LS </v>
      </c>
      <c r="AP399" s="98" t="s">
        <v>357</v>
      </c>
      <c r="AR399" s="98">
        <v>0</v>
      </c>
    </row>
    <row r="400" spans="1:44">
      <c r="A400" s="108">
        <f t="shared" si="182"/>
        <v>397</v>
      </c>
      <c r="B400" s="109" t="str">
        <f t="shared" si="158"/>
        <v>Jun 2016</v>
      </c>
      <c r="C400" s="110" t="str">
        <f t="shared" si="159"/>
        <v xml:space="preserve">LS </v>
      </c>
      <c r="D400" s="110" t="str">
        <f t="shared" si="160"/>
        <v>LGUM_415</v>
      </c>
      <c r="E400" s="581">
        <f t="shared" si="163"/>
        <v>38</v>
      </c>
      <c r="F400" s="581">
        <f t="shared" si="164"/>
        <v>0</v>
      </c>
      <c r="G400" s="116">
        <f t="shared" si="165"/>
        <v>20.18</v>
      </c>
      <c r="H400" s="116">
        <f t="shared" si="166"/>
        <v>0.75</v>
      </c>
      <c r="I400" s="118">
        <f t="shared" si="177"/>
        <v>766.84</v>
      </c>
      <c r="J400" s="118">
        <f t="shared" si="167"/>
        <v>766.84</v>
      </c>
      <c r="K400" s="570">
        <f t="shared" si="178"/>
        <v>0</v>
      </c>
      <c r="L400" s="121">
        <f t="shared" si="168"/>
        <v>0</v>
      </c>
      <c r="M400" s="122">
        <f t="shared" si="169"/>
        <v>0</v>
      </c>
      <c r="N400" s="122">
        <f t="shared" si="170"/>
        <v>0</v>
      </c>
      <c r="O400" s="122">
        <f t="shared" si="171"/>
        <v>0</v>
      </c>
      <c r="P400" s="122">
        <f t="shared" si="172"/>
        <v>0</v>
      </c>
      <c r="Q400" s="123">
        <f t="shared" si="173"/>
        <v>766.84</v>
      </c>
      <c r="R400" s="123">
        <f t="shared" si="179"/>
        <v>-766.84</v>
      </c>
      <c r="S400" s="582">
        <v>0</v>
      </c>
      <c r="T400" s="123">
        <f t="shared" si="180"/>
        <v>-766.84</v>
      </c>
      <c r="U400" s="25">
        <f t="shared" si="174"/>
        <v>28.5</v>
      </c>
      <c r="V400" s="123">
        <f t="shared" si="175"/>
        <v>-28.5</v>
      </c>
      <c r="W400" s="334">
        <f t="shared" si="176"/>
        <v>9.8800000000000008</v>
      </c>
      <c r="Y400" s="109">
        <f>IF(AE400=1,IF(Y399=MiscData!$F$1,EOMONTH(Y399,-11),EOMONTH(Y399,1)),Y399)</f>
        <v>42551</v>
      </c>
      <c r="Z400" s="108" t="str">
        <f t="shared" si="161"/>
        <v>20140101LGUM_415</v>
      </c>
      <c r="AA400" s="126" t="str">
        <f t="shared" si="162"/>
        <v xml:space="preserve">20140101LS </v>
      </c>
      <c r="AB400" s="583" t="str">
        <f t="shared" si="181"/>
        <v>415</v>
      </c>
      <c r="AD400" s="98">
        <f>MiscData!$X$5</f>
        <v>20140101</v>
      </c>
      <c r="AE400" s="98">
        <f>IF(AE399+1&gt;MiscData!$AC$77,1,AE399+1)</f>
        <v>32</v>
      </c>
      <c r="AF400" s="98" t="str">
        <f>VLOOKUP(AE400,MiscData!$AC$5:$AD$77,2,FALSE)</f>
        <v>LGUM_415</v>
      </c>
      <c r="AG400" s="98" t="str">
        <f>VLOOKUP(AF400,MiscData!$AD$5:$AE$77,2,FALSE)</f>
        <v xml:space="preserve">LS </v>
      </c>
      <c r="AP400" s="98" t="s">
        <v>358</v>
      </c>
      <c r="AR400" s="98">
        <v>0</v>
      </c>
    </row>
    <row r="401" spans="1:44">
      <c r="A401" s="108">
        <f t="shared" si="182"/>
        <v>398</v>
      </c>
      <c r="B401" s="109" t="str">
        <f t="shared" si="158"/>
        <v>Jun 2016</v>
      </c>
      <c r="C401" s="110" t="str">
        <f t="shared" si="159"/>
        <v xml:space="preserve">LS </v>
      </c>
      <c r="D401" s="110" t="str">
        <f t="shared" si="160"/>
        <v>LGUM_416</v>
      </c>
      <c r="E401" s="581">
        <f t="shared" si="163"/>
        <v>1807</v>
      </c>
      <c r="F401" s="581">
        <f t="shared" si="164"/>
        <v>0</v>
      </c>
      <c r="G401" s="116">
        <f t="shared" si="165"/>
        <v>22.56</v>
      </c>
      <c r="H401" s="116">
        <f t="shared" si="166"/>
        <v>1.0599999999999987</v>
      </c>
      <c r="I401" s="118">
        <f t="shared" si="177"/>
        <v>40765.919999999998</v>
      </c>
      <c r="J401" s="118">
        <f t="shared" si="167"/>
        <v>40765.919999999998</v>
      </c>
      <c r="K401" s="570">
        <f t="shared" si="178"/>
        <v>0</v>
      </c>
      <c r="L401" s="121">
        <f t="shared" si="168"/>
        <v>0</v>
      </c>
      <c r="M401" s="122">
        <f t="shared" si="169"/>
        <v>0</v>
      </c>
      <c r="N401" s="122">
        <f t="shared" si="170"/>
        <v>0</v>
      </c>
      <c r="O401" s="122">
        <f t="shared" si="171"/>
        <v>0</v>
      </c>
      <c r="P401" s="122">
        <f t="shared" si="172"/>
        <v>0</v>
      </c>
      <c r="Q401" s="123">
        <f t="shared" si="173"/>
        <v>40765.919999999998</v>
      </c>
      <c r="R401" s="123">
        <f t="shared" si="179"/>
        <v>-40765.919999999998</v>
      </c>
      <c r="S401" s="582">
        <v>0</v>
      </c>
      <c r="T401" s="123">
        <f t="shared" si="180"/>
        <v>-40765.919999999998</v>
      </c>
      <c r="U401" s="25">
        <f t="shared" si="174"/>
        <v>1915.42</v>
      </c>
      <c r="V401" s="123">
        <f t="shared" si="175"/>
        <v>-1915.42</v>
      </c>
      <c r="W401" s="334">
        <f t="shared" si="176"/>
        <v>487.89000000000004</v>
      </c>
      <c r="Y401" s="109">
        <f>IF(AE401=1,IF(Y400=MiscData!$F$1,EOMONTH(Y400,-11),EOMONTH(Y400,1)),Y400)</f>
        <v>42551</v>
      </c>
      <c r="Z401" s="108" t="str">
        <f t="shared" si="161"/>
        <v>20140101LGUM_416</v>
      </c>
      <c r="AA401" s="126" t="str">
        <f t="shared" si="162"/>
        <v xml:space="preserve">20140101LS </v>
      </c>
      <c r="AB401" s="583" t="str">
        <f t="shared" si="181"/>
        <v>416</v>
      </c>
      <c r="AD401" s="98">
        <f>MiscData!$X$5</f>
        <v>20140101</v>
      </c>
      <c r="AE401" s="98">
        <f>IF(AE400+1&gt;MiscData!$AC$77,1,AE400+1)</f>
        <v>33</v>
      </c>
      <c r="AF401" s="98" t="str">
        <f>VLOOKUP(AE401,MiscData!$AC$5:$AD$77,2,FALSE)</f>
        <v>LGUM_416</v>
      </c>
      <c r="AG401" s="98" t="str">
        <f>VLOOKUP(AF401,MiscData!$AD$5:$AE$77,2,FALSE)</f>
        <v xml:space="preserve">LS </v>
      </c>
      <c r="AP401" s="98" t="s">
        <v>237</v>
      </c>
      <c r="AR401" s="98">
        <v>0</v>
      </c>
    </row>
    <row r="402" spans="1:44">
      <c r="A402" s="108">
        <f t="shared" si="182"/>
        <v>399</v>
      </c>
      <c r="B402" s="109" t="str">
        <f t="shared" si="158"/>
        <v>Jun 2016</v>
      </c>
      <c r="C402" s="110" t="str">
        <f t="shared" si="159"/>
        <v>RLS</v>
      </c>
      <c r="D402" s="110" t="str">
        <f t="shared" si="160"/>
        <v>LGUM_417</v>
      </c>
      <c r="E402" s="581">
        <f t="shared" si="163"/>
        <v>39</v>
      </c>
      <c r="F402" s="581">
        <f t="shared" si="164"/>
        <v>0</v>
      </c>
      <c r="G402" s="116">
        <f t="shared" si="165"/>
        <v>23.68</v>
      </c>
      <c r="H402" s="116">
        <f t="shared" si="166"/>
        <v>1.0300000000000011</v>
      </c>
      <c r="I402" s="118">
        <f t="shared" si="177"/>
        <v>923.52</v>
      </c>
      <c r="J402" s="118">
        <f t="shared" si="167"/>
        <v>923.52</v>
      </c>
      <c r="K402" s="570">
        <f t="shared" si="178"/>
        <v>0</v>
      </c>
      <c r="L402" s="121">
        <f t="shared" si="168"/>
        <v>0</v>
      </c>
      <c r="M402" s="122">
        <f t="shared" si="169"/>
        <v>0</v>
      </c>
      <c r="N402" s="122">
        <f t="shared" si="170"/>
        <v>0</v>
      </c>
      <c r="O402" s="122">
        <f t="shared" si="171"/>
        <v>0</v>
      </c>
      <c r="P402" s="122">
        <f t="shared" si="172"/>
        <v>0</v>
      </c>
      <c r="Q402" s="123">
        <f t="shared" si="173"/>
        <v>923.52</v>
      </c>
      <c r="R402" s="123">
        <f t="shared" si="179"/>
        <v>-923.52</v>
      </c>
      <c r="S402" s="582">
        <v>0</v>
      </c>
      <c r="T402" s="123">
        <f t="shared" si="180"/>
        <v>-923.52</v>
      </c>
      <c r="U402" s="25">
        <f t="shared" si="174"/>
        <v>40.17</v>
      </c>
      <c r="V402" s="123">
        <f t="shared" si="175"/>
        <v>-40.17</v>
      </c>
      <c r="W402" s="334">
        <f t="shared" si="176"/>
        <v>10.530000000000001</v>
      </c>
      <c r="Y402" s="109">
        <f>IF(AE402=1,IF(Y401=MiscData!$F$1,EOMONTH(Y401,-11),EOMONTH(Y401,1)),Y401)</f>
        <v>42551</v>
      </c>
      <c r="Z402" s="108" t="str">
        <f t="shared" si="161"/>
        <v>20140101LGUM_417</v>
      </c>
      <c r="AA402" s="126" t="str">
        <f t="shared" si="162"/>
        <v>20140101RLS</v>
      </c>
      <c r="AB402" s="583" t="str">
        <f t="shared" si="181"/>
        <v>417</v>
      </c>
      <c r="AD402" s="98">
        <f>MiscData!$X$5</f>
        <v>20140101</v>
      </c>
      <c r="AE402" s="98">
        <f>IF(AE401+1&gt;MiscData!$AC$77,1,AE401+1)</f>
        <v>34</v>
      </c>
      <c r="AF402" s="98" t="str">
        <f>VLOOKUP(AE402,MiscData!$AC$5:$AD$77,2,FALSE)</f>
        <v>LGUM_417</v>
      </c>
      <c r="AG402" s="98" t="str">
        <f>VLOOKUP(AF402,MiscData!$AD$5:$AE$77,2,FALSE)</f>
        <v>RLS</v>
      </c>
      <c r="AP402" s="98" t="s">
        <v>238</v>
      </c>
      <c r="AR402" s="98">
        <v>-3.4</v>
      </c>
    </row>
    <row r="403" spans="1:44">
      <c r="A403" s="108">
        <f t="shared" si="182"/>
        <v>400</v>
      </c>
      <c r="B403" s="109" t="str">
        <f t="shared" si="158"/>
        <v>Jun 2016</v>
      </c>
      <c r="C403" s="110" t="str">
        <f t="shared" si="159"/>
        <v>RLS</v>
      </c>
      <c r="D403" s="110" t="str">
        <f t="shared" si="160"/>
        <v>LGUM_419</v>
      </c>
      <c r="E403" s="581">
        <f t="shared" si="163"/>
        <v>111</v>
      </c>
      <c r="F403" s="581">
        <f t="shared" si="164"/>
        <v>0</v>
      </c>
      <c r="G403" s="116">
        <f t="shared" si="165"/>
        <v>24.77</v>
      </c>
      <c r="H403" s="116">
        <f t="shared" si="166"/>
        <v>1.6499999999999986</v>
      </c>
      <c r="I403" s="118">
        <f t="shared" si="177"/>
        <v>2749.47</v>
      </c>
      <c r="J403" s="118">
        <f t="shared" si="167"/>
        <v>2749.47</v>
      </c>
      <c r="K403" s="570">
        <f t="shared" si="178"/>
        <v>0</v>
      </c>
      <c r="L403" s="121">
        <f t="shared" si="168"/>
        <v>0</v>
      </c>
      <c r="M403" s="122">
        <f t="shared" si="169"/>
        <v>0</v>
      </c>
      <c r="N403" s="122">
        <f t="shared" si="170"/>
        <v>0</v>
      </c>
      <c r="O403" s="122">
        <f t="shared" si="171"/>
        <v>0</v>
      </c>
      <c r="P403" s="122">
        <f t="shared" si="172"/>
        <v>0</v>
      </c>
      <c r="Q403" s="123">
        <f t="shared" si="173"/>
        <v>2749.47</v>
      </c>
      <c r="R403" s="123">
        <f t="shared" si="179"/>
        <v>-2749.47</v>
      </c>
      <c r="S403" s="582">
        <v>0</v>
      </c>
      <c r="T403" s="123">
        <f t="shared" si="180"/>
        <v>-2749.47</v>
      </c>
      <c r="U403" s="25">
        <f t="shared" si="174"/>
        <v>183.15</v>
      </c>
      <c r="V403" s="123">
        <f t="shared" si="175"/>
        <v>-183.15</v>
      </c>
      <c r="W403" s="334">
        <f t="shared" si="176"/>
        <v>41.07</v>
      </c>
      <c r="Y403" s="109">
        <f>IF(AE403=1,IF(Y402=MiscData!$F$1,EOMONTH(Y402,-11),EOMONTH(Y402,1)),Y402)</f>
        <v>42551</v>
      </c>
      <c r="Z403" s="108" t="str">
        <f t="shared" si="161"/>
        <v>20140101LGUM_419</v>
      </c>
      <c r="AA403" s="126" t="str">
        <f t="shared" si="162"/>
        <v>20140101RLS</v>
      </c>
      <c r="AB403" s="583" t="str">
        <f t="shared" si="181"/>
        <v>419</v>
      </c>
      <c r="AD403" s="98">
        <f>MiscData!$X$5</f>
        <v>20140101</v>
      </c>
      <c r="AE403" s="98">
        <f>IF(AE402+1&gt;MiscData!$AC$77,1,AE402+1)</f>
        <v>35</v>
      </c>
      <c r="AF403" s="98" t="str">
        <f>VLOOKUP(AE403,MiscData!$AC$5:$AD$77,2,FALSE)</f>
        <v>LGUM_419</v>
      </c>
      <c r="AG403" s="98" t="str">
        <f>VLOOKUP(AF403,MiscData!$AD$5:$AE$77,2,FALSE)</f>
        <v>RLS</v>
      </c>
      <c r="AP403" s="98" t="s">
        <v>239</v>
      </c>
      <c r="AR403" s="98">
        <v>0</v>
      </c>
    </row>
    <row r="404" spans="1:44">
      <c r="A404" s="108">
        <f t="shared" si="182"/>
        <v>401</v>
      </c>
      <c r="B404" s="109" t="str">
        <f t="shared" si="158"/>
        <v>Jun 2016</v>
      </c>
      <c r="C404" s="110" t="str">
        <f t="shared" si="159"/>
        <v xml:space="preserve">LS </v>
      </c>
      <c r="D404" s="110" t="str">
        <f t="shared" si="160"/>
        <v>LGUM_420</v>
      </c>
      <c r="E404" s="581">
        <f t="shared" si="163"/>
        <v>53</v>
      </c>
      <c r="F404" s="581">
        <f t="shared" si="164"/>
        <v>0</v>
      </c>
      <c r="G404" s="116">
        <f t="shared" si="165"/>
        <v>29.889999999999997</v>
      </c>
      <c r="H404" s="116">
        <f t="shared" si="166"/>
        <v>1.6499999999999986</v>
      </c>
      <c r="I404" s="118">
        <f t="shared" si="177"/>
        <v>1584.17</v>
      </c>
      <c r="J404" s="118">
        <f t="shared" si="167"/>
        <v>1584.17</v>
      </c>
      <c r="K404" s="570">
        <f t="shared" si="178"/>
        <v>0</v>
      </c>
      <c r="L404" s="121">
        <f t="shared" si="168"/>
        <v>0</v>
      </c>
      <c r="M404" s="122">
        <f t="shared" si="169"/>
        <v>0</v>
      </c>
      <c r="N404" s="122">
        <f t="shared" si="170"/>
        <v>0</v>
      </c>
      <c r="O404" s="122">
        <f t="shared" si="171"/>
        <v>0</v>
      </c>
      <c r="P404" s="122">
        <f t="shared" si="172"/>
        <v>0</v>
      </c>
      <c r="Q404" s="123">
        <f t="shared" si="173"/>
        <v>1584.17</v>
      </c>
      <c r="R404" s="123">
        <f t="shared" si="179"/>
        <v>-1584.17</v>
      </c>
      <c r="S404" s="582">
        <v>0</v>
      </c>
      <c r="T404" s="123">
        <f t="shared" si="180"/>
        <v>-1584.17</v>
      </c>
      <c r="U404" s="25">
        <f t="shared" si="174"/>
        <v>87.45</v>
      </c>
      <c r="V404" s="123">
        <f t="shared" si="175"/>
        <v>-87.45</v>
      </c>
      <c r="W404" s="334">
        <f t="shared" si="176"/>
        <v>12.719999999999999</v>
      </c>
      <c r="Y404" s="109">
        <f>IF(AE404=1,IF(Y403=MiscData!$F$1,EOMONTH(Y403,-11),EOMONTH(Y403,1)),Y403)</f>
        <v>42551</v>
      </c>
      <c r="Z404" s="108" t="str">
        <f t="shared" si="161"/>
        <v>20140101LGUM_420</v>
      </c>
      <c r="AA404" s="126" t="str">
        <f t="shared" si="162"/>
        <v xml:space="preserve">20140101LS </v>
      </c>
      <c r="AB404" s="583" t="str">
        <f t="shared" si="181"/>
        <v>420</v>
      </c>
      <c r="AD404" s="98">
        <f>MiscData!$X$5</f>
        <v>20140101</v>
      </c>
      <c r="AE404" s="98">
        <f>IF(AE403+1&gt;MiscData!$AC$77,1,AE403+1)</f>
        <v>36</v>
      </c>
      <c r="AF404" s="98" t="str">
        <f>VLOOKUP(AE404,MiscData!$AC$5:$AD$77,2,FALSE)</f>
        <v>LGUM_420</v>
      </c>
      <c r="AG404" s="98" t="str">
        <f>VLOOKUP(AF404,MiscData!$AD$5:$AE$77,2,FALSE)</f>
        <v xml:space="preserve">LS </v>
      </c>
      <c r="AP404" s="98" t="s">
        <v>240</v>
      </c>
      <c r="AR404" s="98">
        <v>0</v>
      </c>
    </row>
    <row r="405" spans="1:44">
      <c r="A405" s="108">
        <f t="shared" si="182"/>
        <v>402</v>
      </c>
      <c r="B405" s="109" t="str">
        <f t="shared" si="158"/>
        <v>Jun 2016</v>
      </c>
      <c r="C405" s="110" t="str">
        <f t="shared" si="159"/>
        <v xml:space="preserve">LS </v>
      </c>
      <c r="D405" s="110" t="str">
        <f t="shared" si="160"/>
        <v>LGUM_421</v>
      </c>
      <c r="E405" s="581">
        <f t="shared" si="163"/>
        <v>183</v>
      </c>
      <c r="F405" s="581">
        <f t="shared" si="164"/>
        <v>0</v>
      </c>
      <c r="G405" s="116">
        <f t="shared" si="165"/>
        <v>32.860000000000007</v>
      </c>
      <c r="H405" s="116">
        <f t="shared" si="166"/>
        <v>2.6700000000000017</v>
      </c>
      <c r="I405" s="118">
        <f t="shared" si="177"/>
        <v>6013.38</v>
      </c>
      <c r="J405" s="118">
        <f t="shared" si="167"/>
        <v>6013.38</v>
      </c>
      <c r="K405" s="570">
        <f t="shared" si="178"/>
        <v>0</v>
      </c>
      <c r="L405" s="121">
        <f t="shared" si="168"/>
        <v>0</v>
      </c>
      <c r="M405" s="122">
        <f t="shared" si="169"/>
        <v>0</v>
      </c>
      <c r="N405" s="122">
        <f t="shared" si="170"/>
        <v>0</v>
      </c>
      <c r="O405" s="122">
        <f t="shared" si="171"/>
        <v>0</v>
      </c>
      <c r="P405" s="122">
        <f t="shared" si="172"/>
        <v>0</v>
      </c>
      <c r="Q405" s="123">
        <f t="shared" si="173"/>
        <v>6013.38</v>
      </c>
      <c r="R405" s="123">
        <f t="shared" si="179"/>
        <v>-6013.38</v>
      </c>
      <c r="S405" s="582">
        <v>0</v>
      </c>
      <c r="T405" s="123">
        <f t="shared" si="180"/>
        <v>-6013.38</v>
      </c>
      <c r="U405" s="25">
        <f t="shared" si="174"/>
        <v>488.61</v>
      </c>
      <c r="V405" s="123">
        <f t="shared" si="175"/>
        <v>-488.61</v>
      </c>
      <c r="W405" s="334">
        <f t="shared" si="176"/>
        <v>49.410000000000004</v>
      </c>
      <c r="Y405" s="109">
        <f>IF(AE405=1,IF(Y404=MiscData!$F$1,EOMONTH(Y404,-11),EOMONTH(Y404,1)),Y404)</f>
        <v>42551</v>
      </c>
      <c r="Z405" s="108" t="str">
        <f t="shared" si="161"/>
        <v>20140101LGUM_421</v>
      </c>
      <c r="AA405" s="126" t="str">
        <f t="shared" si="162"/>
        <v xml:space="preserve">20140101LS </v>
      </c>
      <c r="AB405" s="583" t="str">
        <f t="shared" si="181"/>
        <v>421</v>
      </c>
      <c r="AD405" s="98">
        <f>MiscData!$X$5</f>
        <v>20140101</v>
      </c>
      <c r="AE405" s="98">
        <f>IF(AE404+1&gt;MiscData!$AC$77,1,AE404+1)</f>
        <v>37</v>
      </c>
      <c r="AF405" s="98" t="str">
        <f>VLOOKUP(AE405,MiscData!$AC$5:$AD$77,2,FALSE)</f>
        <v>LGUM_421</v>
      </c>
      <c r="AG405" s="98" t="str">
        <f>VLOOKUP(AF405,MiscData!$AD$5:$AE$77,2,FALSE)</f>
        <v xml:space="preserve">LS </v>
      </c>
      <c r="AP405" s="98" t="s">
        <v>241</v>
      </c>
      <c r="AR405" s="98">
        <v>0</v>
      </c>
    </row>
    <row r="406" spans="1:44">
      <c r="A406" s="108">
        <f t="shared" si="182"/>
        <v>403</v>
      </c>
      <c r="B406" s="109" t="str">
        <f t="shared" si="158"/>
        <v>Jun 2016</v>
      </c>
      <c r="C406" s="110" t="str">
        <f t="shared" si="159"/>
        <v xml:space="preserve">LS </v>
      </c>
      <c r="D406" s="110" t="str">
        <f t="shared" si="160"/>
        <v>LGUM_422</v>
      </c>
      <c r="E406" s="581">
        <f t="shared" si="163"/>
        <v>374</v>
      </c>
      <c r="F406" s="581">
        <f t="shared" si="164"/>
        <v>0</v>
      </c>
      <c r="G406" s="116">
        <f t="shared" si="165"/>
        <v>38.389999999999993</v>
      </c>
      <c r="H406" s="116">
        <f t="shared" si="166"/>
        <v>4.279999999999994</v>
      </c>
      <c r="I406" s="118">
        <f t="shared" si="177"/>
        <v>14357.86</v>
      </c>
      <c r="J406" s="118">
        <f t="shared" si="167"/>
        <v>14357.86</v>
      </c>
      <c r="K406" s="570">
        <f t="shared" si="178"/>
        <v>0</v>
      </c>
      <c r="L406" s="121">
        <f t="shared" si="168"/>
        <v>0</v>
      </c>
      <c r="M406" s="122">
        <f t="shared" si="169"/>
        <v>0</v>
      </c>
      <c r="N406" s="122">
        <f t="shared" si="170"/>
        <v>0</v>
      </c>
      <c r="O406" s="122">
        <f t="shared" si="171"/>
        <v>0</v>
      </c>
      <c r="P406" s="122">
        <f t="shared" si="172"/>
        <v>0</v>
      </c>
      <c r="Q406" s="123">
        <f t="shared" si="173"/>
        <v>14357.86</v>
      </c>
      <c r="R406" s="123">
        <f t="shared" si="179"/>
        <v>-14357.86</v>
      </c>
      <c r="S406" s="582">
        <v>0</v>
      </c>
      <c r="T406" s="123">
        <f t="shared" si="180"/>
        <v>-14357.86</v>
      </c>
      <c r="U406" s="25">
        <f t="shared" si="174"/>
        <v>1600.72</v>
      </c>
      <c r="V406" s="123">
        <f t="shared" si="175"/>
        <v>-1600.72</v>
      </c>
      <c r="W406" s="334">
        <f t="shared" si="176"/>
        <v>108.46</v>
      </c>
      <c r="Y406" s="109">
        <f>IF(AE406=1,IF(Y405=MiscData!$F$1,EOMONTH(Y405,-11),EOMONTH(Y405,1)),Y405)</f>
        <v>42551</v>
      </c>
      <c r="Z406" s="108" t="str">
        <f t="shared" si="161"/>
        <v>20140101LGUM_422</v>
      </c>
      <c r="AA406" s="126" t="str">
        <f t="shared" si="162"/>
        <v xml:space="preserve">20140101LS </v>
      </c>
      <c r="AB406" s="583" t="str">
        <f t="shared" si="181"/>
        <v>422</v>
      </c>
      <c r="AD406" s="98">
        <f>MiscData!$X$5</f>
        <v>20140101</v>
      </c>
      <c r="AE406" s="98">
        <f>IF(AE405+1&gt;MiscData!$AC$77,1,AE405+1)</f>
        <v>38</v>
      </c>
      <c r="AF406" s="98" t="str">
        <f>VLOOKUP(AE406,MiscData!$AC$5:$AD$77,2,FALSE)</f>
        <v>LGUM_422</v>
      </c>
      <c r="AG406" s="98" t="str">
        <f>VLOOKUP(AF406,MiscData!$AD$5:$AE$77,2,FALSE)</f>
        <v xml:space="preserve">LS </v>
      </c>
      <c r="AP406" s="98" t="s">
        <v>242</v>
      </c>
      <c r="AR406" s="98">
        <v>0</v>
      </c>
    </row>
    <row r="407" spans="1:44">
      <c r="A407" s="108">
        <f t="shared" si="182"/>
        <v>404</v>
      </c>
      <c r="B407" s="109" t="str">
        <f t="shared" si="158"/>
        <v>Jun 2016</v>
      </c>
      <c r="C407" s="110" t="str">
        <f t="shared" si="159"/>
        <v xml:space="preserve">LS </v>
      </c>
      <c r="D407" s="110" t="str">
        <f t="shared" si="160"/>
        <v>LGUM_423</v>
      </c>
      <c r="E407" s="581">
        <f t="shared" si="163"/>
        <v>29</v>
      </c>
      <c r="F407" s="581">
        <f t="shared" si="164"/>
        <v>0</v>
      </c>
      <c r="G407" s="116">
        <f t="shared" si="165"/>
        <v>26.349999999999998</v>
      </c>
      <c r="H407" s="116">
        <f t="shared" si="166"/>
        <v>1.6500000000000021</v>
      </c>
      <c r="I407" s="118">
        <f t="shared" si="177"/>
        <v>764.15</v>
      </c>
      <c r="J407" s="118">
        <f t="shared" si="167"/>
        <v>764.15</v>
      </c>
      <c r="K407" s="570">
        <f t="shared" si="178"/>
        <v>0</v>
      </c>
      <c r="L407" s="121">
        <f t="shared" si="168"/>
        <v>0</v>
      </c>
      <c r="M407" s="122">
        <f t="shared" si="169"/>
        <v>0</v>
      </c>
      <c r="N407" s="122">
        <f t="shared" si="170"/>
        <v>0</v>
      </c>
      <c r="O407" s="122">
        <f t="shared" si="171"/>
        <v>0</v>
      </c>
      <c r="P407" s="122">
        <f t="shared" si="172"/>
        <v>0</v>
      </c>
      <c r="Q407" s="123">
        <f t="shared" si="173"/>
        <v>764.15</v>
      </c>
      <c r="R407" s="123">
        <f t="shared" si="179"/>
        <v>-764.15</v>
      </c>
      <c r="S407" s="582">
        <v>0</v>
      </c>
      <c r="T407" s="123">
        <f t="shared" si="180"/>
        <v>-764.15</v>
      </c>
      <c r="U407" s="25">
        <f t="shared" si="174"/>
        <v>47.85</v>
      </c>
      <c r="V407" s="123">
        <f t="shared" si="175"/>
        <v>-47.85</v>
      </c>
      <c r="W407" s="334">
        <f t="shared" si="176"/>
        <v>6.96</v>
      </c>
      <c r="Y407" s="109">
        <f>IF(AE407=1,IF(Y406=MiscData!$F$1,EOMONTH(Y406,-11),EOMONTH(Y406,1)),Y406)</f>
        <v>42551</v>
      </c>
      <c r="Z407" s="108" t="str">
        <f t="shared" si="161"/>
        <v>20140101LGUM_423</v>
      </c>
      <c r="AA407" s="126" t="str">
        <f t="shared" si="162"/>
        <v xml:space="preserve">20140101LS </v>
      </c>
      <c r="AB407" s="583" t="str">
        <f t="shared" si="181"/>
        <v>423</v>
      </c>
      <c r="AD407" s="98">
        <f>MiscData!$X$5</f>
        <v>20140101</v>
      </c>
      <c r="AE407" s="98">
        <f>IF(AE406+1&gt;MiscData!$AC$77,1,AE406+1)</f>
        <v>39</v>
      </c>
      <c r="AF407" s="98" t="str">
        <f>VLOOKUP(AE407,MiscData!$AC$5:$AD$77,2,FALSE)</f>
        <v>LGUM_423</v>
      </c>
      <c r="AG407" s="98" t="str">
        <f>VLOOKUP(AF407,MiscData!$AD$5:$AE$77,2,FALSE)</f>
        <v xml:space="preserve">LS </v>
      </c>
      <c r="AP407" s="98" t="s">
        <v>243</v>
      </c>
      <c r="AR407" s="98">
        <v>0</v>
      </c>
    </row>
    <row r="408" spans="1:44">
      <c r="A408" s="108">
        <f t="shared" si="182"/>
        <v>405</v>
      </c>
      <c r="B408" s="109" t="str">
        <f t="shared" si="158"/>
        <v>Jun 2016</v>
      </c>
      <c r="C408" s="110" t="str">
        <f t="shared" si="159"/>
        <v xml:space="preserve">LS </v>
      </c>
      <c r="D408" s="110" t="str">
        <f t="shared" si="160"/>
        <v>LGUM_424</v>
      </c>
      <c r="E408" s="581">
        <f t="shared" si="163"/>
        <v>880</v>
      </c>
      <c r="F408" s="581">
        <f t="shared" si="164"/>
        <v>0</v>
      </c>
      <c r="G408" s="116">
        <f t="shared" si="165"/>
        <v>28.45</v>
      </c>
      <c r="H408" s="116">
        <f t="shared" si="166"/>
        <v>3.9800000000000004</v>
      </c>
      <c r="I408" s="118">
        <f t="shared" si="177"/>
        <v>25036</v>
      </c>
      <c r="J408" s="118">
        <f t="shared" si="167"/>
        <v>25036</v>
      </c>
      <c r="K408" s="570">
        <f t="shared" si="178"/>
        <v>0</v>
      </c>
      <c r="L408" s="121">
        <f t="shared" si="168"/>
        <v>0</v>
      </c>
      <c r="M408" s="122">
        <f t="shared" si="169"/>
        <v>0</v>
      </c>
      <c r="N408" s="122">
        <f t="shared" si="170"/>
        <v>0</v>
      </c>
      <c r="O408" s="122">
        <f t="shared" si="171"/>
        <v>0</v>
      </c>
      <c r="P408" s="122">
        <f t="shared" si="172"/>
        <v>0</v>
      </c>
      <c r="Q408" s="123">
        <f t="shared" si="173"/>
        <v>25036</v>
      </c>
      <c r="R408" s="123">
        <f t="shared" si="179"/>
        <v>-25036</v>
      </c>
      <c r="S408" s="582">
        <v>0</v>
      </c>
      <c r="T408" s="123">
        <f t="shared" si="180"/>
        <v>-25036</v>
      </c>
      <c r="U408" s="25">
        <f t="shared" si="174"/>
        <v>3502.4</v>
      </c>
      <c r="V408" s="123">
        <f t="shared" si="175"/>
        <v>-3502.4</v>
      </c>
      <c r="W408" s="334">
        <f t="shared" si="176"/>
        <v>237.60000000000002</v>
      </c>
      <c r="Y408" s="109">
        <f>IF(AE408=1,IF(Y407=MiscData!$F$1,EOMONTH(Y407,-11),EOMONTH(Y407,1)),Y407)</f>
        <v>42551</v>
      </c>
      <c r="Z408" s="108" t="str">
        <f t="shared" si="161"/>
        <v>20140101LGUM_424</v>
      </c>
      <c r="AA408" s="126" t="str">
        <f t="shared" si="162"/>
        <v xml:space="preserve">20140101LS </v>
      </c>
      <c r="AB408" s="583" t="str">
        <f t="shared" si="181"/>
        <v>424</v>
      </c>
      <c r="AD408" s="98">
        <f>MiscData!$X$5</f>
        <v>20140101</v>
      </c>
      <c r="AE408" s="98">
        <f>IF(AE407+1&gt;MiscData!$AC$77,1,AE407+1)</f>
        <v>40</v>
      </c>
      <c r="AF408" s="98" t="str">
        <f>VLOOKUP(AE408,MiscData!$AC$5:$AD$77,2,FALSE)</f>
        <v>LGUM_424</v>
      </c>
      <c r="AG408" s="98" t="str">
        <f>VLOOKUP(AF408,MiscData!$AD$5:$AE$77,2,FALSE)</f>
        <v xml:space="preserve">LS </v>
      </c>
      <c r="AP408" s="98" t="s">
        <v>244</v>
      </c>
      <c r="AR408" s="98">
        <v>-28.06</v>
      </c>
    </row>
    <row r="409" spans="1:44">
      <c r="A409" s="108">
        <f t="shared" si="182"/>
        <v>406</v>
      </c>
      <c r="B409" s="109" t="str">
        <f t="shared" si="158"/>
        <v>Jun 2016</v>
      </c>
      <c r="C409" s="110" t="str">
        <f t="shared" si="159"/>
        <v xml:space="preserve">LS </v>
      </c>
      <c r="D409" s="110" t="str">
        <f t="shared" si="160"/>
        <v>LGUM_425</v>
      </c>
      <c r="E409" s="581">
        <f t="shared" si="163"/>
        <v>42</v>
      </c>
      <c r="F409" s="581">
        <f t="shared" si="164"/>
        <v>0</v>
      </c>
      <c r="G409" s="116">
        <f t="shared" si="165"/>
        <v>34.029999999999994</v>
      </c>
      <c r="H409" s="116">
        <f t="shared" si="166"/>
        <v>4.2799999999999976</v>
      </c>
      <c r="I409" s="118">
        <f t="shared" si="177"/>
        <v>1429.26</v>
      </c>
      <c r="J409" s="118">
        <f t="shared" si="167"/>
        <v>1429.26</v>
      </c>
      <c r="K409" s="570">
        <f t="shared" si="178"/>
        <v>0</v>
      </c>
      <c r="L409" s="121">
        <f t="shared" si="168"/>
        <v>0</v>
      </c>
      <c r="M409" s="122">
        <f t="shared" si="169"/>
        <v>0</v>
      </c>
      <c r="N409" s="122">
        <f t="shared" si="170"/>
        <v>0</v>
      </c>
      <c r="O409" s="122">
        <f t="shared" si="171"/>
        <v>0</v>
      </c>
      <c r="P409" s="122">
        <f t="shared" si="172"/>
        <v>0</v>
      </c>
      <c r="Q409" s="123">
        <f t="shared" si="173"/>
        <v>1429.26</v>
      </c>
      <c r="R409" s="123">
        <f t="shared" si="179"/>
        <v>-1429.26</v>
      </c>
      <c r="S409" s="582">
        <v>0</v>
      </c>
      <c r="T409" s="123">
        <f t="shared" si="180"/>
        <v>-1429.26</v>
      </c>
      <c r="U409" s="25">
        <f t="shared" si="174"/>
        <v>179.76</v>
      </c>
      <c r="V409" s="123">
        <f t="shared" si="175"/>
        <v>-179.76</v>
      </c>
      <c r="W409" s="334">
        <f t="shared" si="176"/>
        <v>12.18</v>
      </c>
      <c r="Y409" s="109">
        <f>IF(AE409=1,IF(Y408=MiscData!$F$1,EOMONTH(Y408,-11),EOMONTH(Y408,1)),Y408)</f>
        <v>42551</v>
      </c>
      <c r="Z409" s="108" t="str">
        <f t="shared" si="161"/>
        <v>20140101LGUM_425</v>
      </c>
      <c r="AA409" s="126" t="str">
        <f t="shared" si="162"/>
        <v xml:space="preserve">20140101LS </v>
      </c>
      <c r="AB409" s="583" t="str">
        <f t="shared" si="181"/>
        <v>425</v>
      </c>
      <c r="AD409" s="98">
        <f>MiscData!$X$5</f>
        <v>20140101</v>
      </c>
      <c r="AE409" s="98">
        <f>IF(AE408+1&gt;MiscData!$AC$77,1,AE408+1)</f>
        <v>41</v>
      </c>
      <c r="AF409" s="98" t="str">
        <f>VLOOKUP(AE409,MiscData!$AC$5:$AD$77,2,FALSE)</f>
        <v>LGUM_425</v>
      </c>
      <c r="AG409" s="98" t="str">
        <f>VLOOKUP(AF409,MiscData!$AD$5:$AE$77,2,FALSE)</f>
        <v xml:space="preserve">LS </v>
      </c>
      <c r="AP409" s="98" t="s">
        <v>245</v>
      </c>
      <c r="AR409" s="98">
        <v>0</v>
      </c>
    </row>
    <row r="410" spans="1:44">
      <c r="A410" s="108">
        <f t="shared" si="182"/>
        <v>407</v>
      </c>
      <c r="B410" s="109" t="str">
        <f t="shared" si="158"/>
        <v>Jun 2016</v>
      </c>
      <c r="C410" s="110" t="str">
        <f t="shared" si="159"/>
        <v>RLS</v>
      </c>
      <c r="D410" s="110" t="str">
        <f t="shared" si="160"/>
        <v>LGUM_426</v>
      </c>
      <c r="E410" s="581">
        <f t="shared" si="163"/>
        <v>40</v>
      </c>
      <c r="F410" s="581">
        <f t="shared" si="164"/>
        <v>0</v>
      </c>
      <c r="G410" s="116">
        <f t="shared" si="165"/>
        <v>33.22</v>
      </c>
      <c r="H410" s="116">
        <f t="shared" si="166"/>
        <v>0.75</v>
      </c>
      <c r="I410" s="118">
        <f t="shared" si="177"/>
        <v>1328.8</v>
      </c>
      <c r="J410" s="118">
        <f t="shared" si="167"/>
        <v>1328.8</v>
      </c>
      <c r="K410" s="570">
        <f t="shared" si="178"/>
        <v>0</v>
      </c>
      <c r="L410" s="121">
        <f t="shared" si="168"/>
        <v>0</v>
      </c>
      <c r="M410" s="122">
        <f t="shared" si="169"/>
        <v>0</v>
      </c>
      <c r="N410" s="122">
        <f t="shared" si="170"/>
        <v>0</v>
      </c>
      <c r="O410" s="122">
        <f t="shared" si="171"/>
        <v>0</v>
      </c>
      <c r="P410" s="122">
        <f t="shared" si="172"/>
        <v>0</v>
      </c>
      <c r="Q410" s="123">
        <f t="shared" si="173"/>
        <v>1328.8</v>
      </c>
      <c r="R410" s="123">
        <f t="shared" si="179"/>
        <v>-1328.8</v>
      </c>
      <c r="S410" s="582">
        <v>0</v>
      </c>
      <c r="T410" s="123">
        <f t="shared" si="180"/>
        <v>-1328.8</v>
      </c>
      <c r="U410" s="25">
        <f t="shared" si="174"/>
        <v>30</v>
      </c>
      <c r="V410" s="123">
        <f t="shared" si="175"/>
        <v>-30</v>
      </c>
      <c r="W410" s="334">
        <f t="shared" si="176"/>
        <v>10.4</v>
      </c>
      <c r="Y410" s="109">
        <f>IF(AE410=1,IF(Y409=MiscData!$F$1,EOMONTH(Y409,-11),EOMONTH(Y409,1)),Y409)</f>
        <v>42551</v>
      </c>
      <c r="Z410" s="108" t="str">
        <f t="shared" si="161"/>
        <v>20140101LGUM_426</v>
      </c>
      <c r="AA410" s="126" t="str">
        <f t="shared" si="162"/>
        <v>20140101RLS</v>
      </c>
      <c r="AB410" s="583" t="str">
        <f t="shared" si="181"/>
        <v>426</v>
      </c>
      <c r="AD410" s="98">
        <f>MiscData!$X$5</f>
        <v>20140101</v>
      </c>
      <c r="AE410" s="98">
        <f>IF(AE409+1&gt;MiscData!$AC$77,1,AE409+1)</f>
        <v>42</v>
      </c>
      <c r="AF410" s="98" t="str">
        <f>VLOOKUP(AE410,MiscData!$AC$5:$AD$77,2,FALSE)</f>
        <v>LGUM_426</v>
      </c>
      <c r="AG410" s="98" t="str">
        <f>VLOOKUP(AF410,MiscData!$AD$5:$AE$77,2,FALSE)</f>
        <v>RLS</v>
      </c>
      <c r="AP410" s="98" t="s">
        <v>246</v>
      </c>
      <c r="AR410" s="98">
        <v>0</v>
      </c>
    </row>
    <row r="411" spans="1:44">
      <c r="A411" s="108">
        <f t="shared" si="182"/>
        <v>408</v>
      </c>
      <c r="B411" s="109" t="str">
        <f t="shared" si="158"/>
        <v>Jun 2016</v>
      </c>
      <c r="C411" s="110" t="str">
        <f t="shared" si="159"/>
        <v xml:space="preserve">LS </v>
      </c>
      <c r="D411" s="110" t="str">
        <f t="shared" si="160"/>
        <v>LGUM_427</v>
      </c>
      <c r="E411" s="581">
        <f t="shared" si="163"/>
        <v>54</v>
      </c>
      <c r="F411" s="581">
        <f t="shared" si="164"/>
        <v>0</v>
      </c>
      <c r="G411" s="116">
        <f t="shared" si="165"/>
        <v>35.199999999999996</v>
      </c>
      <c r="H411" s="116">
        <f t="shared" si="166"/>
        <v>0.75</v>
      </c>
      <c r="I411" s="118">
        <f t="shared" si="177"/>
        <v>1900.8</v>
      </c>
      <c r="J411" s="118">
        <f t="shared" si="167"/>
        <v>1900.8</v>
      </c>
      <c r="K411" s="570">
        <f t="shared" si="178"/>
        <v>0</v>
      </c>
      <c r="L411" s="121">
        <f t="shared" si="168"/>
        <v>0</v>
      </c>
      <c r="M411" s="122">
        <f t="shared" si="169"/>
        <v>0</v>
      </c>
      <c r="N411" s="122">
        <f t="shared" si="170"/>
        <v>0</v>
      </c>
      <c r="O411" s="122">
        <f t="shared" si="171"/>
        <v>0</v>
      </c>
      <c r="P411" s="122">
        <f t="shared" si="172"/>
        <v>0</v>
      </c>
      <c r="Q411" s="123">
        <f t="shared" si="173"/>
        <v>1900.8</v>
      </c>
      <c r="R411" s="123">
        <f t="shared" si="179"/>
        <v>-1900.8</v>
      </c>
      <c r="S411" s="582">
        <v>0</v>
      </c>
      <c r="T411" s="123">
        <f t="shared" si="180"/>
        <v>-1900.8</v>
      </c>
      <c r="U411" s="25">
        <f t="shared" si="174"/>
        <v>40.5</v>
      </c>
      <c r="V411" s="123">
        <f t="shared" si="175"/>
        <v>-40.5</v>
      </c>
      <c r="W411" s="334">
        <f t="shared" si="176"/>
        <v>14.040000000000001</v>
      </c>
      <c r="Y411" s="109">
        <f>IF(AE411=1,IF(Y410=MiscData!$F$1,EOMONTH(Y410,-11),EOMONTH(Y410,1)),Y410)</f>
        <v>42551</v>
      </c>
      <c r="Z411" s="108" t="str">
        <f t="shared" si="161"/>
        <v>20140101LGUM_427</v>
      </c>
      <c r="AA411" s="126" t="str">
        <f t="shared" si="162"/>
        <v xml:space="preserve">20140101LS </v>
      </c>
      <c r="AB411" s="583" t="str">
        <f t="shared" si="181"/>
        <v>427</v>
      </c>
      <c r="AD411" s="98">
        <f>MiscData!$X$5</f>
        <v>20140101</v>
      </c>
      <c r="AE411" s="98">
        <f>IF(AE410+1&gt;MiscData!$AC$77,1,AE410+1)</f>
        <v>43</v>
      </c>
      <c r="AF411" s="98" t="str">
        <f>VLOOKUP(AE411,MiscData!$AC$5:$AD$77,2,FALSE)</f>
        <v>LGUM_427</v>
      </c>
      <c r="AG411" s="98" t="str">
        <f>VLOOKUP(AF411,MiscData!$AD$5:$AE$77,2,FALSE)</f>
        <v xml:space="preserve">LS </v>
      </c>
      <c r="AP411" s="98" t="s">
        <v>247</v>
      </c>
      <c r="AR411" s="98">
        <v>0</v>
      </c>
    </row>
    <row r="412" spans="1:44">
      <c r="A412" s="108">
        <f t="shared" si="182"/>
        <v>409</v>
      </c>
      <c r="B412" s="109" t="str">
        <f t="shared" si="158"/>
        <v>Jun 2016</v>
      </c>
      <c r="C412" s="110" t="str">
        <f t="shared" si="159"/>
        <v>RLS</v>
      </c>
      <c r="D412" s="110" t="str">
        <f t="shared" si="160"/>
        <v>LGUM_428</v>
      </c>
      <c r="E412" s="581">
        <f t="shared" si="163"/>
        <v>289</v>
      </c>
      <c r="F412" s="581">
        <f t="shared" si="164"/>
        <v>0</v>
      </c>
      <c r="G412" s="116">
        <f t="shared" si="165"/>
        <v>34.090000000000003</v>
      </c>
      <c r="H412" s="116">
        <f t="shared" si="166"/>
        <v>1.0600000000000023</v>
      </c>
      <c r="I412" s="118">
        <f t="shared" si="177"/>
        <v>9852.01</v>
      </c>
      <c r="J412" s="118">
        <f t="shared" si="167"/>
        <v>9852.01</v>
      </c>
      <c r="K412" s="570">
        <f t="shared" si="178"/>
        <v>0</v>
      </c>
      <c r="L412" s="121">
        <f t="shared" si="168"/>
        <v>0</v>
      </c>
      <c r="M412" s="122">
        <f t="shared" si="169"/>
        <v>0</v>
      </c>
      <c r="N412" s="122">
        <f t="shared" si="170"/>
        <v>0</v>
      </c>
      <c r="O412" s="122">
        <f t="shared" si="171"/>
        <v>0</v>
      </c>
      <c r="P412" s="122">
        <f t="shared" si="172"/>
        <v>0</v>
      </c>
      <c r="Q412" s="123">
        <f t="shared" si="173"/>
        <v>9852.01</v>
      </c>
      <c r="R412" s="123">
        <f t="shared" si="179"/>
        <v>-9852.01</v>
      </c>
      <c r="S412" s="582">
        <v>0</v>
      </c>
      <c r="T412" s="123">
        <f t="shared" si="180"/>
        <v>-9852.01</v>
      </c>
      <c r="U412" s="25">
        <f t="shared" si="174"/>
        <v>306.33999999999997</v>
      </c>
      <c r="V412" s="123">
        <f t="shared" si="175"/>
        <v>-306.33999999999997</v>
      </c>
      <c r="W412" s="334">
        <f t="shared" si="176"/>
        <v>78.03</v>
      </c>
      <c r="Y412" s="109">
        <f>IF(AE412=1,IF(Y411=MiscData!$F$1,EOMONTH(Y411,-11),EOMONTH(Y411,1)),Y411)</f>
        <v>42551</v>
      </c>
      <c r="Z412" s="108" t="str">
        <f t="shared" si="161"/>
        <v>20140101LGUM_428</v>
      </c>
      <c r="AA412" s="126" t="str">
        <f t="shared" si="162"/>
        <v>20140101RLS</v>
      </c>
      <c r="AB412" s="583" t="str">
        <f t="shared" si="181"/>
        <v>428</v>
      </c>
      <c r="AD412" s="98">
        <f>MiscData!$X$5</f>
        <v>20140101</v>
      </c>
      <c r="AE412" s="98">
        <f>IF(AE411+1&gt;MiscData!$AC$77,1,AE411+1)</f>
        <v>44</v>
      </c>
      <c r="AF412" s="98" t="str">
        <f>VLOOKUP(AE412,MiscData!$AC$5:$AD$77,2,FALSE)</f>
        <v>LGUM_428</v>
      </c>
      <c r="AG412" s="98" t="str">
        <f>VLOOKUP(AF412,MiscData!$AD$5:$AE$77,2,FALSE)</f>
        <v>RLS</v>
      </c>
      <c r="AP412" s="98" t="s">
        <v>248</v>
      </c>
      <c r="AR412" s="98">
        <v>0</v>
      </c>
    </row>
    <row r="413" spans="1:44">
      <c r="A413" s="108">
        <f t="shared" si="182"/>
        <v>410</v>
      </c>
      <c r="B413" s="109" t="str">
        <f t="shared" si="158"/>
        <v>Jun 2016</v>
      </c>
      <c r="C413" s="110" t="str">
        <f t="shared" si="159"/>
        <v xml:space="preserve">LS </v>
      </c>
      <c r="D413" s="110" t="str">
        <f t="shared" si="160"/>
        <v>LGUM_429</v>
      </c>
      <c r="E413" s="581">
        <f t="shared" si="163"/>
        <v>194</v>
      </c>
      <c r="F413" s="581">
        <f t="shared" si="164"/>
        <v>0</v>
      </c>
      <c r="G413" s="116">
        <f t="shared" si="165"/>
        <v>36.07</v>
      </c>
      <c r="H413" s="116">
        <f t="shared" si="166"/>
        <v>1.0599999999999952</v>
      </c>
      <c r="I413" s="118">
        <f t="shared" si="177"/>
        <v>6997.58</v>
      </c>
      <c r="J413" s="118">
        <f t="shared" si="167"/>
        <v>6997.58</v>
      </c>
      <c r="K413" s="570">
        <f t="shared" si="178"/>
        <v>0</v>
      </c>
      <c r="L413" s="121">
        <f t="shared" si="168"/>
        <v>0</v>
      </c>
      <c r="M413" s="122">
        <f t="shared" si="169"/>
        <v>0</v>
      </c>
      <c r="N413" s="122">
        <f t="shared" si="170"/>
        <v>0</v>
      </c>
      <c r="O413" s="122">
        <f t="shared" si="171"/>
        <v>0</v>
      </c>
      <c r="P413" s="122">
        <f t="shared" si="172"/>
        <v>0</v>
      </c>
      <c r="Q413" s="123">
        <f t="shared" si="173"/>
        <v>6997.58</v>
      </c>
      <c r="R413" s="123">
        <f t="shared" si="179"/>
        <v>-6997.58</v>
      </c>
      <c r="S413" s="582">
        <v>0</v>
      </c>
      <c r="T413" s="123">
        <f t="shared" si="180"/>
        <v>-6997.58</v>
      </c>
      <c r="U413" s="25">
        <f t="shared" si="174"/>
        <v>205.64</v>
      </c>
      <c r="V413" s="123">
        <f t="shared" si="175"/>
        <v>-205.64</v>
      </c>
      <c r="W413" s="334">
        <f t="shared" si="176"/>
        <v>52.38</v>
      </c>
      <c r="Y413" s="109">
        <f>IF(AE413=1,IF(Y412=MiscData!$F$1,EOMONTH(Y412,-11),EOMONTH(Y412,1)),Y412)</f>
        <v>42551</v>
      </c>
      <c r="Z413" s="108" t="str">
        <f t="shared" si="161"/>
        <v>20140101LGUM_429</v>
      </c>
      <c r="AA413" s="126" t="str">
        <f t="shared" si="162"/>
        <v xml:space="preserve">20140101LS </v>
      </c>
      <c r="AB413" s="583" t="str">
        <f t="shared" si="181"/>
        <v>429</v>
      </c>
      <c r="AD413" s="98">
        <f>MiscData!$X$5</f>
        <v>20140101</v>
      </c>
      <c r="AE413" s="98">
        <f>IF(AE412+1&gt;MiscData!$AC$77,1,AE412+1)</f>
        <v>45</v>
      </c>
      <c r="AF413" s="98" t="str">
        <f>VLOOKUP(AE413,MiscData!$AC$5:$AD$77,2,FALSE)</f>
        <v>LGUM_429</v>
      </c>
      <c r="AG413" s="98" t="str">
        <f>VLOOKUP(AF413,MiscData!$AD$5:$AE$77,2,FALSE)</f>
        <v xml:space="preserve">LS </v>
      </c>
      <c r="AP413" s="98" t="s">
        <v>249</v>
      </c>
      <c r="AR413" s="98">
        <v>0</v>
      </c>
    </row>
    <row r="414" spans="1:44">
      <c r="A414" s="108">
        <f t="shared" si="182"/>
        <v>411</v>
      </c>
      <c r="B414" s="109" t="str">
        <f t="shared" si="158"/>
        <v>Jun 2016</v>
      </c>
      <c r="C414" s="110" t="str">
        <f t="shared" si="159"/>
        <v>RLS</v>
      </c>
      <c r="D414" s="110" t="str">
        <f t="shared" si="160"/>
        <v>LGUM_430</v>
      </c>
      <c r="E414" s="581">
        <f t="shared" si="163"/>
        <v>25</v>
      </c>
      <c r="F414" s="581">
        <f t="shared" si="164"/>
        <v>0</v>
      </c>
      <c r="G414" s="116">
        <f t="shared" si="165"/>
        <v>32.26</v>
      </c>
      <c r="H414" s="116">
        <f t="shared" si="166"/>
        <v>0.75</v>
      </c>
      <c r="I414" s="118">
        <f t="shared" si="177"/>
        <v>806.5</v>
      </c>
      <c r="J414" s="118">
        <f t="shared" si="167"/>
        <v>806.5</v>
      </c>
      <c r="K414" s="570">
        <f t="shared" si="178"/>
        <v>0</v>
      </c>
      <c r="L414" s="121">
        <f t="shared" si="168"/>
        <v>0</v>
      </c>
      <c r="M414" s="122">
        <f t="shared" si="169"/>
        <v>0</v>
      </c>
      <c r="N414" s="122">
        <f t="shared" si="170"/>
        <v>0</v>
      </c>
      <c r="O414" s="122">
        <f t="shared" si="171"/>
        <v>0</v>
      </c>
      <c r="P414" s="122">
        <f t="shared" si="172"/>
        <v>0</v>
      </c>
      <c r="Q414" s="123">
        <f t="shared" si="173"/>
        <v>806.5</v>
      </c>
      <c r="R414" s="123">
        <f t="shared" si="179"/>
        <v>-806.5</v>
      </c>
      <c r="S414" s="582">
        <v>0</v>
      </c>
      <c r="T414" s="123">
        <f t="shared" si="180"/>
        <v>-806.5</v>
      </c>
      <c r="U414" s="25">
        <f t="shared" si="174"/>
        <v>18.75</v>
      </c>
      <c r="V414" s="123">
        <f t="shared" si="175"/>
        <v>-18.75</v>
      </c>
      <c r="W414" s="334">
        <f t="shared" si="176"/>
        <v>6.5</v>
      </c>
      <c r="Y414" s="109">
        <f>IF(AE414=1,IF(Y413=MiscData!$F$1,EOMONTH(Y413,-11),EOMONTH(Y413,1)),Y413)</f>
        <v>42551</v>
      </c>
      <c r="Z414" s="108" t="str">
        <f t="shared" si="161"/>
        <v>20140101LGUM_430</v>
      </c>
      <c r="AA414" s="126" t="str">
        <f t="shared" si="162"/>
        <v>20140101RLS</v>
      </c>
      <c r="AB414" s="583" t="str">
        <f t="shared" si="181"/>
        <v>430</v>
      </c>
      <c r="AD414" s="98">
        <f>MiscData!$X$5</f>
        <v>20140101</v>
      </c>
      <c r="AE414" s="98">
        <f>IF(AE413+1&gt;MiscData!$AC$77,1,AE413+1)</f>
        <v>46</v>
      </c>
      <c r="AF414" s="98" t="str">
        <f>VLOOKUP(AE414,MiscData!$AC$5:$AD$77,2,FALSE)</f>
        <v>LGUM_430</v>
      </c>
      <c r="AG414" s="98" t="str">
        <f>VLOOKUP(AF414,MiscData!$AD$5:$AE$77,2,FALSE)</f>
        <v>RLS</v>
      </c>
      <c r="AP414" s="98" t="s">
        <v>250</v>
      </c>
      <c r="AR414" s="98">
        <v>0</v>
      </c>
    </row>
    <row r="415" spans="1:44">
      <c r="A415" s="108">
        <f t="shared" si="182"/>
        <v>412</v>
      </c>
      <c r="B415" s="109" t="str">
        <f t="shared" si="158"/>
        <v>Jun 2016</v>
      </c>
      <c r="C415" s="110" t="str">
        <f t="shared" si="159"/>
        <v xml:space="preserve">LS </v>
      </c>
      <c r="D415" s="110" t="str">
        <f t="shared" si="160"/>
        <v>LGUM_431</v>
      </c>
      <c r="E415" s="581">
        <f t="shared" si="163"/>
        <v>44</v>
      </c>
      <c r="F415" s="581">
        <f t="shared" si="164"/>
        <v>0</v>
      </c>
      <c r="G415" s="116">
        <f t="shared" si="165"/>
        <v>32.93</v>
      </c>
      <c r="H415" s="116">
        <f t="shared" si="166"/>
        <v>0.75</v>
      </c>
      <c r="I415" s="118">
        <f t="shared" si="177"/>
        <v>1448.92</v>
      </c>
      <c r="J415" s="118">
        <f t="shared" si="167"/>
        <v>1448.92</v>
      </c>
      <c r="K415" s="570">
        <f t="shared" si="178"/>
        <v>0</v>
      </c>
      <c r="L415" s="121">
        <f t="shared" si="168"/>
        <v>0</v>
      </c>
      <c r="M415" s="122">
        <f t="shared" si="169"/>
        <v>0</v>
      </c>
      <c r="N415" s="122">
        <f t="shared" si="170"/>
        <v>0</v>
      </c>
      <c r="O415" s="122">
        <f t="shared" si="171"/>
        <v>0</v>
      </c>
      <c r="P415" s="122">
        <f t="shared" si="172"/>
        <v>0</v>
      </c>
      <c r="Q415" s="123">
        <f t="shared" si="173"/>
        <v>1448.92</v>
      </c>
      <c r="R415" s="123">
        <f t="shared" si="179"/>
        <v>-1448.92</v>
      </c>
      <c r="S415" s="582">
        <v>0</v>
      </c>
      <c r="T415" s="123">
        <f t="shared" si="180"/>
        <v>-1448.92</v>
      </c>
      <c r="U415" s="25">
        <f t="shared" si="174"/>
        <v>33</v>
      </c>
      <c r="V415" s="123">
        <f t="shared" si="175"/>
        <v>-33</v>
      </c>
      <c r="W415" s="334">
        <f t="shared" si="176"/>
        <v>11.440000000000001</v>
      </c>
      <c r="Y415" s="109">
        <f>IF(AE415=1,IF(Y414=MiscData!$F$1,EOMONTH(Y414,-11),EOMONTH(Y414,1)),Y414)</f>
        <v>42551</v>
      </c>
      <c r="Z415" s="108" t="str">
        <f t="shared" si="161"/>
        <v>20140101LGUM_431</v>
      </c>
      <c r="AA415" s="126" t="str">
        <f t="shared" si="162"/>
        <v xml:space="preserve">20140101LS </v>
      </c>
      <c r="AB415" s="583" t="str">
        <f t="shared" si="181"/>
        <v>431</v>
      </c>
      <c r="AD415" s="98">
        <f>MiscData!$X$5</f>
        <v>20140101</v>
      </c>
      <c r="AE415" s="98">
        <f>IF(AE414+1&gt;MiscData!$AC$77,1,AE414+1)</f>
        <v>47</v>
      </c>
      <c r="AF415" s="98" t="str">
        <f>VLOOKUP(AE415,MiscData!$AC$5:$AD$77,2,FALSE)</f>
        <v>LGUM_431</v>
      </c>
      <c r="AG415" s="98" t="str">
        <f>VLOOKUP(AF415,MiscData!$AD$5:$AE$77,2,FALSE)</f>
        <v xml:space="preserve">LS </v>
      </c>
      <c r="AP415" s="98" t="s">
        <v>251</v>
      </c>
      <c r="AR415" s="98">
        <v>0</v>
      </c>
    </row>
    <row r="416" spans="1:44">
      <c r="A416" s="108">
        <f t="shared" si="182"/>
        <v>413</v>
      </c>
      <c r="B416" s="109" t="str">
        <f t="shared" si="158"/>
        <v>Jun 2016</v>
      </c>
      <c r="C416" s="110" t="str">
        <f t="shared" si="159"/>
        <v>RLS</v>
      </c>
      <c r="D416" s="110" t="str">
        <f t="shared" si="160"/>
        <v>LGUM_432</v>
      </c>
      <c r="E416" s="581">
        <f t="shared" si="163"/>
        <v>10</v>
      </c>
      <c r="F416" s="581">
        <f t="shared" si="164"/>
        <v>0</v>
      </c>
      <c r="G416" s="116">
        <f t="shared" si="165"/>
        <v>34.330000000000005</v>
      </c>
      <c r="H416" s="116">
        <f t="shared" si="166"/>
        <v>1.0600000000000023</v>
      </c>
      <c r="I416" s="118">
        <f t="shared" si="177"/>
        <v>343.3</v>
      </c>
      <c r="J416" s="118">
        <f t="shared" si="167"/>
        <v>343.3</v>
      </c>
      <c r="K416" s="570">
        <f t="shared" si="178"/>
        <v>0</v>
      </c>
      <c r="L416" s="121">
        <f t="shared" si="168"/>
        <v>0</v>
      </c>
      <c r="M416" s="122">
        <f t="shared" si="169"/>
        <v>0</v>
      </c>
      <c r="N416" s="122">
        <f t="shared" si="170"/>
        <v>0</v>
      </c>
      <c r="O416" s="122">
        <f t="shared" si="171"/>
        <v>0</v>
      </c>
      <c r="P416" s="122">
        <f t="shared" si="172"/>
        <v>0</v>
      </c>
      <c r="Q416" s="123">
        <f t="shared" si="173"/>
        <v>343.3</v>
      </c>
      <c r="R416" s="123">
        <f t="shared" si="179"/>
        <v>-343.3</v>
      </c>
      <c r="S416" s="582">
        <v>0</v>
      </c>
      <c r="T416" s="123">
        <f t="shared" si="180"/>
        <v>-343.3</v>
      </c>
      <c r="U416" s="25">
        <f t="shared" si="174"/>
        <v>10.6</v>
      </c>
      <c r="V416" s="123">
        <f t="shared" si="175"/>
        <v>-10.6</v>
      </c>
      <c r="W416" s="334">
        <f t="shared" si="176"/>
        <v>2.7</v>
      </c>
      <c r="Y416" s="109">
        <f>IF(AE416=1,IF(Y415=MiscData!$F$1,EOMONTH(Y415,-11),EOMONTH(Y415,1)),Y415)</f>
        <v>42551</v>
      </c>
      <c r="Z416" s="108" t="str">
        <f t="shared" si="161"/>
        <v>20140101LGUM_432</v>
      </c>
      <c r="AA416" s="126" t="str">
        <f t="shared" si="162"/>
        <v>20140101RLS</v>
      </c>
      <c r="AB416" s="583" t="str">
        <f t="shared" si="181"/>
        <v>432</v>
      </c>
      <c r="AD416" s="98">
        <f>MiscData!$X$5</f>
        <v>20140101</v>
      </c>
      <c r="AE416" s="98">
        <f>IF(AE415+1&gt;MiscData!$AC$77,1,AE415+1)</f>
        <v>48</v>
      </c>
      <c r="AF416" s="98" t="str">
        <f>VLOOKUP(AE416,MiscData!$AC$5:$AD$77,2,FALSE)</f>
        <v>LGUM_432</v>
      </c>
      <c r="AG416" s="98" t="str">
        <f>VLOOKUP(AF416,MiscData!$AD$5:$AE$77,2,FALSE)</f>
        <v>RLS</v>
      </c>
      <c r="AP416" s="98" t="s">
        <v>252</v>
      </c>
      <c r="AR416" s="98">
        <v>0</v>
      </c>
    </row>
    <row r="417" spans="1:44">
      <c r="A417" s="108">
        <f t="shared" si="182"/>
        <v>414</v>
      </c>
      <c r="B417" s="109" t="str">
        <f t="shared" si="158"/>
        <v>Jun 2016</v>
      </c>
      <c r="C417" s="110" t="str">
        <f t="shared" si="159"/>
        <v xml:space="preserve">LS </v>
      </c>
      <c r="D417" s="110" t="str">
        <f t="shared" si="160"/>
        <v>LGUM_433</v>
      </c>
      <c r="E417" s="581">
        <f t="shared" si="163"/>
        <v>192</v>
      </c>
      <c r="F417" s="581">
        <f t="shared" si="164"/>
        <v>0</v>
      </c>
      <c r="G417" s="116">
        <f t="shared" si="165"/>
        <v>34.99</v>
      </c>
      <c r="H417" s="116">
        <f t="shared" si="166"/>
        <v>1.0600000000000023</v>
      </c>
      <c r="I417" s="118">
        <f t="shared" si="177"/>
        <v>6718.08</v>
      </c>
      <c r="J417" s="118">
        <f t="shared" si="167"/>
        <v>6718.08</v>
      </c>
      <c r="K417" s="570">
        <f t="shared" si="178"/>
        <v>0</v>
      </c>
      <c r="L417" s="121">
        <f t="shared" si="168"/>
        <v>0</v>
      </c>
      <c r="M417" s="122">
        <f t="shared" si="169"/>
        <v>0</v>
      </c>
      <c r="N417" s="122">
        <f t="shared" si="170"/>
        <v>0</v>
      </c>
      <c r="O417" s="122">
        <f t="shared" si="171"/>
        <v>0</v>
      </c>
      <c r="P417" s="122">
        <f t="shared" si="172"/>
        <v>0</v>
      </c>
      <c r="Q417" s="123">
        <f t="shared" si="173"/>
        <v>6718.08</v>
      </c>
      <c r="R417" s="123">
        <f t="shared" si="179"/>
        <v>-6718.08</v>
      </c>
      <c r="S417" s="582">
        <v>0</v>
      </c>
      <c r="T417" s="123">
        <f t="shared" si="180"/>
        <v>-6718.08</v>
      </c>
      <c r="U417" s="25">
        <f t="shared" si="174"/>
        <v>203.52</v>
      </c>
      <c r="V417" s="123">
        <f t="shared" si="175"/>
        <v>-203.52</v>
      </c>
      <c r="W417" s="334">
        <f t="shared" si="176"/>
        <v>51.84</v>
      </c>
      <c r="Y417" s="109">
        <f>IF(AE417=1,IF(Y416=MiscData!$F$1,EOMONTH(Y416,-11),EOMONTH(Y416,1)),Y416)</f>
        <v>42551</v>
      </c>
      <c r="Z417" s="108" t="str">
        <f t="shared" si="161"/>
        <v>20140101LGUM_433</v>
      </c>
      <c r="AA417" s="126" t="str">
        <f t="shared" si="162"/>
        <v xml:space="preserve">20140101LS </v>
      </c>
      <c r="AB417" s="583" t="str">
        <f t="shared" si="181"/>
        <v>433</v>
      </c>
      <c r="AD417" s="98">
        <f>MiscData!$X$5</f>
        <v>20140101</v>
      </c>
      <c r="AE417" s="98">
        <f>IF(AE416+1&gt;MiscData!$AC$77,1,AE416+1)</f>
        <v>49</v>
      </c>
      <c r="AF417" s="98" t="str">
        <f>VLOOKUP(AE417,MiscData!$AC$5:$AD$77,2,FALSE)</f>
        <v>LGUM_433</v>
      </c>
      <c r="AG417" s="98" t="str">
        <f>VLOOKUP(AF417,MiscData!$AD$5:$AE$77,2,FALSE)</f>
        <v xml:space="preserve">LS </v>
      </c>
      <c r="AP417" s="98" t="s">
        <v>253</v>
      </c>
      <c r="AR417" s="98">
        <v>0</v>
      </c>
    </row>
    <row r="418" spans="1:44">
      <c r="A418" s="108">
        <f t="shared" si="182"/>
        <v>415</v>
      </c>
      <c r="B418" s="109" t="str">
        <f t="shared" si="158"/>
        <v>Jun 2016</v>
      </c>
      <c r="C418" s="110" t="str">
        <f t="shared" si="159"/>
        <v xml:space="preserve">LS </v>
      </c>
      <c r="D418" s="110" t="str">
        <f t="shared" si="160"/>
        <v>LGUM_439</v>
      </c>
      <c r="E418" s="581">
        <f t="shared" si="163"/>
        <v>0</v>
      </c>
      <c r="F418" s="581">
        <f t="shared" si="164"/>
        <v>0</v>
      </c>
      <c r="G418" s="116">
        <f t="shared" si="165"/>
        <v>16.459999999999997</v>
      </c>
      <c r="H418" s="116">
        <f t="shared" si="166"/>
        <v>1.6499999999999986</v>
      </c>
      <c r="I418" s="118">
        <f t="shared" si="177"/>
        <v>0</v>
      </c>
      <c r="J418" s="118">
        <f t="shared" si="167"/>
        <v>0</v>
      </c>
      <c r="K418" s="570">
        <f t="shared" si="178"/>
        <v>0</v>
      </c>
      <c r="L418" s="121">
        <f t="shared" si="168"/>
        <v>1</v>
      </c>
      <c r="M418" s="122">
        <f t="shared" si="169"/>
        <v>0</v>
      </c>
      <c r="N418" s="122">
        <f t="shared" si="170"/>
        <v>0</v>
      </c>
      <c r="O418" s="122">
        <f t="shared" si="171"/>
        <v>0</v>
      </c>
      <c r="P418" s="122">
        <f t="shared" si="172"/>
        <v>0</v>
      </c>
      <c r="Q418" s="123">
        <f t="shared" si="173"/>
        <v>0</v>
      </c>
      <c r="R418" s="123">
        <f t="shared" si="179"/>
        <v>0</v>
      </c>
      <c r="S418" s="582">
        <v>0</v>
      </c>
      <c r="T418" s="123">
        <f t="shared" si="180"/>
        <v>0</v>
      </c>
      <c r="U418" s="25">
        <f t="shared" si="174"/>
        <v>0</v>
      </c>
      <c r="V418" s="123">
        <f t="shared" si="175"/>
        <v>0</v>
      </c>
      <c r="W418" s="334">
        <f t="shared" si="176"/>
        <v>0</v>
      </c>
      <c r="Y418" s="109">
        <f>IF(AE418=1,IF(Y417=MiscData!$F$1,EOMONTH(Y417,-11),EOMONTH(Y417,1)),Y417)</f>
        <v>42551</v>
      </c>
      <c r="Z418" s="108" t="str">
        <f t="shared" si="161"/>
        <v>20140101LGUM_439</v>
      </c>
      <c r="AA418" s="126" t="str">
        <f t="shared" si="162"/>
        <v xml:space="preserve">20140101LS </v>
      </c>
      <c r="AB418" s="583" t="str">
        <f t="shared" si="181"/>
        <v>439</v>
      </c>
      <c r="AD418" s="98">
        <f>MiscData!$X$5</f>
        <v>20140101</v>
      </c>
      <c r="AE418" s="98">
        <f>IF(AE417+1&gt;MiscData!$AC$77,1,AE417+1)</f>
        <v>50</v>
      </c>
      <c r="AF418" s="98" t="str">
        <f>VLOOKUP(AE418,MiscData!$AC$5:$AD$77,2,FALSE)</f>
        <v>LGUM_439</v>
      </c>
      <c r="AG418" s="98" t="str">
        <f>VLOOKUP(AF418,MiscData!$AD$5:$AE$77,2,FALSE)</f>
        <v xml:space="preserve">LS </v>
      </c>
      <c r="AP418" s="98" t="s">
        <v>254</v>
      </c>
      <c r="AR418" s="98">
        <v>0</v>
      </c>
    </row>
    <row r="419" spans="1:44">
      <c r="A419" s="108">
        <f t="shared" si="182"/>
        <v>416</v>
      </c>
      <c r="B419" s="109" t="str">
        <f t="shared" si="158"/>
        <v>Jun 2016</v>
      </c>
      <c r="C419" s="110" t="str">
        <f t="shared" si="159"/>
        <v xml:space="preserve">LS </v>
      </c>
      <c r="D419" s="110" t="str">
        <f t="shared" si="160"/>
        <v>LGUM_440</v>
      </c>
      <c r="E419" s="581">
        <f t="shared" si="163"/>
        <v>2</v>
      </c>
      <c r="F419" s="581">
        <f t="shared" si="164"/>
        <v>0</v>
      </c>
      <c r="G419" s="116">
        <f t="shared" si="165"/>
        <v>18.279999999999998</v>
      </c>
      <c r="H419" s="116">
        <f t="shared" si="166"/>
        <v>2.67</v>
      </c>
      <c r="I419" s="118">
        <f t="shared" si="177"/>
        <v>36.56</v>
      </c>
      <c r="J419" s="118">
        <f t="shared" si="167"/>
        <v>36.56</v>
      </c>
      <c r="K419" s="570">
        <f t="shared" si="178"/>
        <v>0</v>
      </c>
      <c r="L419" s="121">
        <f t="shared" si="168"/>
        <v>0</v>
      </c>
      <c r="M419" s="122">
        <f t="shared" si="169"/>
        <v>0</v>
      </c>
      <c r="N419" s="122">
        <f t="shared" si="170"/>
        <v>0</v>
      </c>
      <c r="O419" s="122">
        <f t="shared" si="171"/>
        <v>0</v>
      </c>
      <c r="P419" s="122">
        <f t="shared" si="172"/>
        <v>0</v>
      </c>
      <c r="Q419" s="123">
        <f t="shared" si="173"/>
        <v>36.56</v>
      </c>
      <c r="R419" s="123">
        <f t="shared" si="179"/>
        <v>-36.56</v>
      </c>
      <c r="S419" s="582">
        <v>0</v>
      </c>
      <c r="T419" s="123">
        <f t="shared" si="180"/>
        <v>-36.56</v>
      </c>
      <c r="U419" s="25">
        <f t="shared" si="174"/>
        <v>5.34</v>
      </c>
      <c r="V419" s="123">
        <f t="shared" si="175"/>
        <v>-5.34</v>
      </c>
      <c r="W419" s="334">
        <f t="shared" si="176"/>
        <v>0.54</v>
      </c>
      <c r="Y419" s="109">
        <f>IF(AE419=1,IF(Y418=MiscData!$F$1,EOMONTH(Y418,-11),EOMONTH(Y418,1)),Y418)</f>
        <v>42551</v>
      </c>
      <c r="Z419" s="108" t="str">
        <f t="shared" si="161"/>
        <v>20140101LGUM_440</v>
      </c>
      <c r="AA419" s="126" t="str">
        <f t="shared" si="162"/>
        <v xml:space="preserve">20140101LS </v>
      </c>
      <c r="AB419" s="583" t="str">
        <f t="shared" si="181"/>
        <v>440</v>
      </c>
      <c r="AD419" s="98">
        <f>MiscData!$X$5</f>
        <v>20140101</v>
      </c>
      <c r="AE419" s="98">
        <f>IF(AE418+1&gt;MiscData!$AC$77,1,AE418+1)</f>
        <v>51</v>
      </c>
      <c r="AF419" s="98" t="str">
        <f>VLOOKUP(AE419,MiscData!$AC$5:$AD$77,2,FALSE)</f>
        <v>LGUM_440</v>
      </c>
      <c r="AG419" s="98" t="str">
        <f>VLOOKUP(AF419,MiscData!$AD$5:$AE$77,2,FALSE)</f>
        <v xml:space="preserve">LS </v>
      </c>
      <c r="AP419" s="98" t="s">
        <v>532</v>
      </c>
      <c r="AR419" s="98">
        <v>0</v>
      </c>
    </row>
    <row r="420" spans="1:44">
      <c r="A420" s="108">
        <f t="shared" si="182"/>
        <v>417</v>
      </c>
      <c r="B420" s="109" t="str">
        <f t="shared" ref="B420:B483" si="183">TEXT(Y420,"mmm yyyy")</f>
        <v>Jun 2016</v>
      </c>
      <c r="C420" s="110" t="str">
        <f t="shared" ref="C420:C483" si="184">AG420</f>
        <v xml:space="preserve">LS </v>
      </c>
      <c r="D420" s="110" t="str">
        <f t="shared" ref="D420:D483" si="185">AF420</f>
        <v>LGUM_441</v>
      </c>
      <c r="E420" s="581">
        <f t="shared" si="163"/>
        <v>18</v>
      </c>
      <c r="F420" s="581">
        <f t="shared" si="164"/>
        <v>0</v>
      </c>
      <c r="G420" s="116">
        <f t="shared" si="165"/>
        <v>22.32</v>
      </c>
      <c r="H420" s="116">
        <f t="shared" si="166"/>
        <v>4.2800000000000011</v>
      </c>
      <c r="I420" s="118">
        <f t="shared" si="177"/>
        <v>401.76</v>
      </c>
      <c r="J420" s="118">
        <f t="shared" si="167"/>
        <v>401.76</v>
      </c>
      <c r="K420" s="570">
        <f t="shared" si="178"/>
        <v>0</v>
      </c>
      <c r="L420" s="121">
        <f t="shared" si="168"/>
        <v>0</v>
      </c>
      <c r="M420" s="122">
        <f t="shared" si="169"/>
        <v>0</v>
      </c>
      <c r="N420" s="122">
        <f t="shared" si="170"/>
        <v>0</v>
      </c>
      <c r="O420" s="122">
        <f t="shared" si="171"/>
        <v>0</v>
      </c>
      <c r="P420" s="122">
        <f t="shared" si="172"/>
        <v>0</v>
      </c>
      <c r="Q420" s="123">
        <f t="shared" si="173"/>
        <v>401.76</v>
      </c>
      <c r="R420" s="123">
        <f t="shared" si="179"/>
        <v>-401.76</v>
      </c>
      <c r="S420" s="582">
        <v>0</v>
      </c>
      <c r="T420" s="123">
        <f t="shared" si="180"/>
        <v>-401.76</v>
      </c>
      <c r="U420" s="25">
        <f t="shared" si="174"/>
        <v>77.040000000000006</v>
      </c>
      <c r="V420" s="123">
        <f t="shared" si="175"/>
        <v>-77.040000000000006</v>
      </c>
      <c r="W420" s="334">
        <f t="shared" si="176"/>
        <v>5.22</v>
      </c>
      <c r="Y420" s="109">
        <f>IF(AE420=1,IF(Y419=MiscData!$F$1,EOMONTH(Y419,-11),EOMONTH(Y419,1)),Y419)</f>
        <v>42551</v>
      </c>
      <c r="Z420" s="108" t="str">
        <f t="shared" ref="Z420:Z483" si="186">CONCATENATE(AD420&amp;AF420)</f>
        <v>20140101LGUM_441</v>
      </c>
      <c r="AA420" s="126" t="str">
        <f t="shared" ref="AA420:AA483" si="187">CONCATENATE(AD420&amp;AG420)</f>
        <v xml:space="preserve">20140101LS </v>
      </c>
      <c r="AB420" s="583" t="str">
        <f t="shared" si="181"/>
        <v>441</v>
      </c>
      <c r="AD420" s="98">
        <f>MiscData!$X$5</f>
        <v>20140101</v>
      </c>
      <c r="AE420" s="98">
        <f>IF(AE419+1&gt;MiscData!$AC$77,1,AE419+1)</f>
        <v>52</v>
      </c>
      <c r="AF420" s="98" t="str">
        <f>VLOOKUP(AE420,MiscData!$AC$5:$AD$77,2,FALSE)</f>
        <v>LGUM_441</v>
      </c>
      <c r="AG420" s="98" t="str">
        <f>VLOOKUP(AF420,MiscData!$AD$5:$AE$77,2,FALSE)</f>
        <v xml:space="preserve">LS </v>
      </c>
      <c r="AP420" s="98" t="s">
        <v>534</v>
      </c>
      <c r="AR420" s="98">
        <v>0</v>
      </c>
    </row>
    <row r="421" spans="1:44">
      <c r="A421" s="108">
        <f t="shared" si="182"/>
        <v>418</v>
      </c>
      <c r="B421" s="109" t="str">
        <f t="shared" si="183"/>
        <v>Jun 2016</v>
      </c>
      <c r="C421" s="110" t="str">
        <f t="shared" si="184"/>
        <v xml:space="preserve">LS </v>
      </c>
      <c r="D421" s="110" t="str">
        <f t="shared" si="185"/>
        <v>LGUM_452</v>
      </c>
      <c r="E421" s="581">
        <f t="shared" si="163"/>
        <v>9720</v>
      </c>
      <c r="F421" s="581">
        <f t="shared" si="164"/>
        <v>0</v>
      </c>
      <c r="G421" s="116">
        <f t="shared" si="165"/>
        <v>12.82</v>
      </c>
      <c r="H421" s="116">
        <f t="shared" si="166"/>
        <v>1.6500000000000004</v>
      </c>
      <c r="I421" s="118">
        <f t="shared" si="177"/>
        <v>124610.4</v>
      </c>
      <c r="J421" s="118">
        <f t="shared" si="167"/>
        <v>124610.4</v>
      </c>
      <c r="K421" s="570">
        <f t="shared" si="178"/>
        <v>0</v>
      </c>
      <c r="L421" s="121">
        <f t="shared" si="168"/>
        <v>0</v>
      </c>
      <c r="M421" s="122">
        <f t="shared" si="169"/>
        <v>0</v>
      </c>
      <c r="N421" s="122">
        <f t="shared" si="170"/>
        <v>0</v>
      </c>
      <c r="O421" s="122">
        <f t="shared" si="171"/>
        <v>0</v>
      </c>
      <c r="P421" s="122">
        <f t="shared" si="172"/>
        <v>0</v>
      </c>
      <c r="Q421" s="123">
        <f t="shared" si="173"/>
        <v>124610.4</v>
      </c>
      <c r="R421" s="123">
        <f t="shared" si="179"/>
        <v>-124610.4</v>
      </c>
      <c r="S421" s="582">
        <v>0</v>
      </c>
      <c r="T421" s="123">
        <f t="shared" si="180"/>
        <v>-124610.4</v>
      </c>
      <c r="U421" s="25">
        <f t="shared" si="174"/>
        <v>16038</v>
      </c>
      <c r="V421" s="123">
        <f t="shared" si="175"/>
        <v>-16038</v>
      </c>
      <c r="W421" s="334">
        <f t="shared" si="176"/>
        <v>2332.7999999999997</v>
      </c>
      <c r="Y421" s="109">
        <f>IF(AE421=1,IF(Y420=MiscData!$F$1,EOMONTH(Y420,-11),EOMONTH(Y420,1)),Y420)</f>
        <v>42551</v>
      </c>
      <c r="Z421" s="108" t="str">
        <f t="shared" si="186"/>
        <v>20140101LGUM_452</v>
      </c>
      <c r="AA421" s="126" t="str">
        <f t="shared" si="187"/>
        <v xml:space="preserve">20140101LS </v>
      </c>
      <c r="AB421" s="583" t="str">
        <f t="shared" si="181"/>
        <v>452</v>
      </c>
      <c r="AD421" s="98">
        <f>MiscData!$X$5</f>
        <v>20140101</v>
      </c>
      <c r="AE421" s="98">
        <f>IF(AE420+1&gt;MiscData!$AC$77,1,AE420+1)</f>
        <v>53</v>
      </c>
      <c r="AF421" s="98" t="str">
        <f>VLOOKUP(AE421,MiscData!$AC$5:$AD$77,2,FALSE)</f>
        <v>LGUM_452</v>
      </c>
      <c r="AG421" s="98" t="str">
        <f>VLOOKUP(AF421,MiscData!$AD$5:$AE$77,2,FALSE)</f>
        <v xml:space="preserve">LS </v>
      </c>
      <c r="AP421" s="98" t="s">
        <v>255</v>
      </c>
      <c r="AR421" s="98">
        <v>0</v>
      </c>
    </row>
    <row r="422" spans="1:44">
      <c r="A422" s="108">
        <f t="shared" si="182"/>
        <v>419</v>
      </c>
      <c r="B422" s="109" t="str">
        <f t="shared" si="183"/>
        <v>Jun 2016</v>
      </c>
      <c r="C422" s="110" t="str">
        <f t="shared" si="184"/>
        <v xml:space="preserve">LS </v>
      </c>
      <c r="D422" s="110" t="str">
        <f t="shared" si="185"/>
        <v>LGUM_453</v>
      </c>
      <c r="E422" s="581">
        <f t="shared" si="163"/>
        <v>16566</v>
      </c>
      <c r="F422" s="581">
        <f t="shared" si="164"/>
        <v>0</v>
      </c>
      <c r="G422" s="116">
        <f t="shared" si="165"/>
        <v>15.08</v>
      </c>
      <c r="H422" s="116">
        <f t="shared" si="166"/>
        <v>3.9800000000000004</v>
      </c>
      <c r="I422" s="118">
        <f t="shared" si="177"/>
        <v>249815.28</v>
      </c>
      <c r="J422" s="118">
        <f t="shared" si="167"/>
        <v>249815.28</v>
      </c>
      <c r="K422" s="570">
        <f t="shared" si="178"/>
        <v>0</v>
      </c>
      <c r="L422" s="121">
        <f t="shared" si="168"/>
        <v>0</v>
      </c>
      <c r="M422" s="122">
        <f t="shared" si="169"/>
        <v>0</v>
      </c>
      <c r="N422" s="122">
        <f t="shared" si="170"/>
        <v>0</v>
      </c>
      <c r="O422" s="122">
        <f t="shared" si="171"/>
        <v>0</v>
      </c>
      <c r="P422" s="122">
        <f t="shared" si="172"/>
        <v>0</v>
      </c>
      <c r="Q422" s="123">
        <f t="shared" si="173"/>
        <v>249815.28</v>
      </c>
      <c r="R422" s="123">
        <f t="shared" si="179"/>
        <v>-249815.28</v>
      </c>
      <c r="S422" s="582">
        <v>0</v>
      </c>
      <c r="T422" s="123">
        <f t="shared" si="180"/>
        <v>-249815.28</v>
      </c>
      <c r="U422" s="25">
        <f t="shared" si="174"/>
        <v>65932.679999999993</v>
      </c>
      <c r="V422" s="123">
        <f t="shared" si="175"/>
        <v>-65932.679999999993</v>
      </c>
      <c r="W422" s="334">
        <f t="shared" si="176"/>
        <v>4472.8200000000006</v>
      </c>
      <c r="Y422" s="109">
        <f>IF(AE422=1,IF(Y421=MiscData!$F$1,EOMONTH(Y421,-11),EOMONTH(Y421,1)),Y421)</f>
        <v>42551</v>
      </c>
      <c r="Z422" s="108" t="str">
        <f t="shared" si="186"/>
        <v>20140101LGUM_453</v>
      </c>
      <c r="AA422" s="126" t="str">
        <f t="shared" si="187"/>
        <v xml:space="preserve">20140101LS </v>
      </c>
      <c r="AB422" s="583" t="str">
        <f t="shared" si="181"/>
        <v>453</v>
      </c>
      <c r="AD422" s="98">
        <f>MiscData!$X$5</f>
        <v>20140101</v>
      </c>
      <c r="AE422" s="98">
        <f>IF(AE421+1&gt;MiscData!$AC$77,1,AE421+1)</f>
        <v>54</v>
      </c>
      <c r="AF422" s="98" t="str">
        <f>VLOOKUP(AE422,MiscData!$AC$5:$AD$77,2,FALSE)</f>
        <v>LGUM_453</v>
      </c>
      <c r="AG422" s="98" t="str">
        <f>VLOOKUP(AF422,MiscData!$AD$5:$AE$77,2,FALSE)</f>
        <v xml:space="preserve">LS </v>
      </c>
      <c r="AP422" s="98" t="s">
        <v>256</v>
      </c>
      <c r="AR422" s="98">
        <v>0</v>
      </c>
    </row>
    <row r="423" spans="1:44">
      <c r="A423" s="108">
        <f t="shared" si="182"/>
        <v>420</v>
      </c>
      <c r="B423" s="109" t="str">
        <f t="shared" si="183"/>
        <v>Jun 2016</v>
      </c>
      <c r="C423" s="110" t="str">
        <f t="shared" si="184"/>
        <v xml:space="preserve">LS </v>
      </c>
      <c r="D423" s="110" t="str">
        <f t="shared" si="185"/>
        <v>LGUM_454</v>
      </c>
      <c r="E423" s="581">
        <f t="shared" si="163"/>
        <v>7675</v>
      </c>
      <c r="F423" s="581">
        <f t="shared" si="164"/>
        <v>0</v>
      </c>
      <c r="G423" s="116">
        <f t="shared" si="165"/>
        <v>17.38</v>
      </c>
      <c r="H423" s="116">
        <f t="shared" si="166"/>
        <v>4.2800000000000011</v>
      </c>
      <c r="I423" s="118">
        <f t="shared" si="177"/>
        <v>133391.5</v>
      </c>
      <c r="J423" s="118">
        <f t="shared" si="167"/>
        <v>133391.5</v>
      </c>
      <c r="K423" s="570">
        <f t="shared" si="178"/>
        <v>0</v>
      </c>
      <c r="L423" s="121">
        <f t="shared" si="168"/>
        <v>0</v>
      </c>
      <c r="M423" s="122">
        <f t="shared" si="169"/>
        <v>0</v>
      </c>
      <c r="N423" s="122">
        <f t="shared" si="170"/>
        <v>0</v>
      </c>
      <c r="O423" s="122">
        <f t="shared" si="171"/>
        <v>0</v>
      </c>
      <c r="P423" s="122">
        <f t="shared" si="172"/>
        <v>0</v>
      </c>
      <c r="Q423" s="123">
        <f t="shared" si="173"/>
        <v>133391.5</v>
      </c>
      <c r="R423" s="123">
        <f t="shared" si="179"/>
        <v>-133391.5</v>
      </c>
      <c r="S423" s="582">
        <v>0</v>
      </c>
      <c r="T423" s="123">
        <f t="shared" si="180"/>
        <v>-133391.5</v>
      </c>
      <c r="U423" s="25">
        <f t="shared" si="174"/>
        <v>32849</v>
      </c>
      <c r="V423" s="123">
        <f t="shared" si="175"/>
        <v>-32849</v>
      </c>
      <c r="W423" s="334">
        <f t="shared" si="176"/>
        <v>2225.75</v>
      </c>
      <c r="Y423" s="109">
        <f>IF(AE423=1,IF(Y422=MiscData!$F$1,EOMONTH(Y422,-11),EOMONTH(Y422,1)),Y422)</f>
        <v>42551</v>
      </c>
      <c r="Z423" s="108" t="str">
        <f t="shared" si="186"/>
        <v>20140101LGUM_454</v>
      </c>
      <c r="AA423" s="126" t="str">
        <f t="shared" si="187"/>
        <v xml:space="preserve">20140101LS </v>
      </c>
      <c r="AB423" s="583" t="str">
        <f t="shared" si="181"/>
        <v>454</v>
      </c>
      <c r="AD423" s="98">
        <f>MiscData!$X$5</f>
        <v>20140101</v>
      </c>
      <c r="AE423" s="98">
        <f>IF(AE422+1&gt;MiscData!$AC$77,1,AE422+1)</f>
        <v>55</v>
      </c>
      <c r="AF423" s="98" t="str">
        <f>VLOOKUP(AE423,MiscData!$AC$5:$AD$77,2,FALSE)</f>
        <v>LGUM_454</v>
      </c>
      <c r="AG423" s="98" t="str">
        <f>VLOOKUP(AF423,MiscData!$AD$5:$AE$77,2,FALSE)</f>
        <v xml:space="preserve">LS </v>
      </c>
      <c r="AP423" s="98" t="s">
        <v>257</v>
      </c>
      <c r="AR423" s="98">
        <v>0</v>
      </c>
    </row>
    <row r="424" spans="1:44">
      <c r="A424" s="108">
        <f t="shared" si="182"/>
        <v>421</v>
      </c>
      <c r="B424" s="109" t="str">
        <f t="shared" si="183"/>
        <v>Jun 2016</v>
      </c>
      <c r="C424" s="110" t="str">
        <f t="shared" si="184"/>
        <v xml:space="preserve">LS </v>
      </c>
      <c r="D424" s="110" t="str">
        <f t="shared" si="185"/>
        <v>LGUM_455</v>
      </c>
      <c r="E424" s="581">
        <f t="shared" si="163"/>
        <v>408</v>
      </c>
      <c r="F424" s="581">
        <f t="shared" si="164"/>
        <v>0</v>
      </c>
      <c r="G424" s="116">
        <f t="shared" si="165"/>
        <v>13.77</v>
      </c>
      <c r="H424" s="116">
        <f t="shared" si="166"/>
        <v>1.6499999999999986</v>
      </c>
      <c r="I424" s="118">
        <f t="shared" si="177"/>
        <v>5618.16</v>
      </c>
      <c r="J424" s="118">
        <f t="shared" si="167"/>
        <v>5618.16</v>
      </c>
      <c r="K424" s="570">
        <f t="shared" si="178"/>
        <v>0</v>
      </c>
      <c r="L424" s="121">
        <f t="shared" si="168"/>
        <v>0</v>
      </c>
      <c r="M424" s="122">
        <f t="shared" si="169"/>
        <v>0</v>
      </c>
      <c r="N424" s="122">
        <f t="shared" si="170"/>
        <v>0</v>
      </c>
      <c r="O424" s="122">
        <f t="shared" si="171"/>
        <v>0</v>
      </c>
      <c r="P424" s="122">
        <f t="shared" si="172"/>
        <v>0</v>
      </c>
      <c r="Q424" s="123">
        <f t="shared" si="173"/>
        <v>5618.16</v>
      </c>
      <c r="R424" s="123">
        <f t="shared" si="179"/>
        <v>-5618.16</v>
      </c>
      <c r="S424" s="582">
        <v>0</v>
      </c>
      <c r="T424" s="123">
        <f t="shared" si="180"/>
        <v>-5618.16</v>
      </c>
      <c r="U424" s="25">
        <f t="shared" si="174"/>
        <v>673.2</v>
      </c>
      <c r="V424" s="123">
        <f t="shared" si="175"/>
        <v>-673.2</v>
      </c>
      <c r="W424" s="334">
        <f t="shared" si="176"/>
        <v>97.92</v>
      </c>
      <c r="Y424" s="109">
        <f>IF(AE424=1,IF(Y423=MiscData!$F$1,EOMONTH(Y423,-11),EOMONTH(Y423,1)),Y423)</f>
        <v>42551</v>
      </c>
      <c r="Z424" s="108" t="str">
        <f t="shared" si="186"/>
        <v>20140101LGUM_455</v>
      </c>
      <c r="AA424" s="126" t="str">
        <f t="shared" si="187"/>
        <v xml:space="preserve">20140101LS </v>
      </c>
      <c r="AB424" s="583" t="str">
        <f t="shared" si="181"/>
        <v>455</v>
      </c>
      <c r="AD424" s="98">
        <f>MiscData!$X$5</f>
        <v>20140101</v>
      </c>
      <c r="AE424" s="98">
        <f>IF(AE423+1&gt;MiscData!$AC$77,1,AE423+1)</f>
        <v>56</v>
      </c>
      <c r="AF424" s="98" t="str">
        <f>VLOOKUP(AE424,MiscData!$AC$5:$AD$77,2,FALSE)</f>
        <v>LGUM_455</v>
      </c>
      <c r="AG424" s="98" t="str">
        <f>VLOOKUP(AF424,MiscData!$AD$5:$AE$77,2,FALSE)</f>
        <v xml:space="preserve">LS </v>
      </c>
      <c r="AP424" s="98" t="s">
        <v>258</v>
      </c>
      <c r="AR424" s="98">
        <v>0</v>
      </c>
    </row>
    <row r="425" spans="1:44">
      <c r="A425" s="108">
        <f t="shared" si="182"/>
        <v>422</v>
      </c>
      <c r="B425" s="109" t="str">
        <f t="shared" si="183"/>
        <v>Jun 2016</v>
      </c>
      <c r="C425" s="110" t="str">
        <f t="shared" si="184"/>
        <v xml:space="preserve">LS </v>
      </c>
      <c r="D425" s="110" t="str">
        <f t="shared" si="185"/>
        <v>LGUM_456</v>
      </c>
      <c r="E425" s="581">
        <f t="shared" si="163"/>
        <v>12961</v>
      </c>
      <c r="F425" s="581">
        <f t="shared" si="164"/>
        <v>0</v>
      </c>
      <c r="G425" s="116">
        <f t="shared" si="165"/>
        <v>18.21</v>
      </c>
      <c r="H425" s="116">
        <f t="shared" si="166"/>
        <v>4.2800000000000011</v>
      </c>
      <c r="I425" s="118">
        <f t="shared" si="177"/>
        <v>236019.81</v>
      </c>
      <c r="J425" s="118">
        <f t="shared" si="167"/>
        <v>236019.81</v>
      </c>
      <c r="K425" s="570">
        <f t="shared" si="178"/>
        <v>0</v>
      </c>
      <c r="L425" s="121">
        <f t="shared" si="168"/>
        <v>0</v>
      </c>
      <c r="M425" s="122">
        <f t="shared" si="169"/>
        <v>0</v>
      </c>
      <c r="N425" s="122">
        <f t="shared" si="170"/>
        <v>0</v>
      </c>
      <c r="O425" s="122">
        <f t="shared" si="171"/>
        <v>0</v>
      </c>
      <c r="P425" s="122">
        <f t="shared" si="172"/>
        <v>0</v>
      </c>
      <c r="Q425" s="123">
        <f t="shared" si="173"/>
        <v>236019.81</v>
      </c>
      <c r="R425" s="123">
        <f t="shared" si="179"/>
        <v>-236019.81</v>
      </c>
      <c r="S425" s="582">
        <v>0</v>
      </c>
      <c r="T425" s="123">
        <f t="shared" si="180"/>
        <v>-236019.81</v>
      </c>
      <c r="U425" s="25">
        <f t="shared" si="174"/>
        <v>55473.08</v>
      </c>
      <c r="V425" s="123">
        <f t="shared" si="175"/>
        <v>-55473.08</v>
      </c>
      <c r="W425" s="334">
        <f t="shared" si="176"/>
        <v>3758.6899999999996</v>
      </c>
      <c r="Y425" s="109">
        <f>IF(AE425=1,IF(Y424=MiscData!$F$1,EOMONTH(Y424,-11),EOMONTH(Y424,1)),Y424)</f>
        <v>42551</v>
      </c>
      <c r="Z425" s="108" t="str">
        <f t="shared" si="186"/>
        <v>20140101LGUM_456</v>
      </c>
      <c r="AA425" s="126" t="str">
        <f t="shared" si="187"/>
        <v xml:space="preserve">20140101LS </v>
      </c>
      <c r="AB425" s="583" t="str">
        <f t="shared" si="181"/>
        <v>456</v>
      </c>
      <c r="AD425" s="98">
        <f>MiscData!$X$5</f>
        <v>20140101</v>
      </c>
      <c r="AE425" s="98">
        <f>IF(AE424+1&gt;MiscData!$AC$77,1,AE424+1)</f>
        <v>57</v>
      </c>
      <c r="AF425" s="98" t="str">
        <f>VLOOKUP(AE425,MiscData!$AC$5:$AD$77,2,FALSE)</f>
        <v>LGUM_456</v>
      </c>
      <c r="AG425" s="98" t="str">
        <f>VLOOKUP(AF425,MiscData!$AD$5:$AE$77,2,FALSE)</f>
        <v xml:space="preserve">LS </v>
      </c>
      <c r="AP425" s="98" t="s">
        <v>259</v>
      </c>
      <c r="AR425" s="98">
        <v>0</v>
      </c>
    </row>
    <row r="426" spans="1:44">
      <c r="A426" s="108">
        <f t="shared" si="182"/>
        <v>423</v>
      </c>
      <c r="B426" s="109" t="str">
        <f t="shared" si="183"/>
        <v>Jun 2016</v>
      </c>
      <c r="C426" s="110" t="str">
        <f t="shared" si="184"/>
        <v xml:space="preserve">LS </v>
      </c>
      <c r="D426" s="110" t="str">
        <f t="shared" si="185"/>
        <v>LGUM_457</v>
      </c>
      <c r="E426" s="581">
        <f t="shared" si="163"/>
        <v>3363</v>
      </c>
      <c r="F426" s="581">
        <f t="shared" si="164"/>
        <v>0</v>
      </c>
      <c r="G426" s="116">
        <f t="shared" si="165"/>
        <v>10.86</v>
      </c>
      <c r="H426" s="116">
        <f t="shared" si="166"/>
        <v>1.0599999999999987</v>
      </c>
      <c r="I426" s="118">
        <f t="shared" si="177"/>
        <v>36522.18</v>
      </c>
      <c r="J426" s="118">
        <f t="shared" si="167"/>
        <v>36522.18</v>
      </c>
      <c r="K426" s="570">
        <f t="shared" si="178"/>
        <v>0</v>
      </c>
      <c r="L426" s="121">
        <f t="shared" si="168"/>
        <v>0</v>
      </c>
      <c r="M426" s="122">
        <f t="shared" si="169"/>
        <v>0</v>
      </c>
      <c r="N426" s="122">
        <f t="shared" si="170"/>
        <v>0</v>
      </c>
      <c r="O426" s="122">
        <f t="shared" si="171"/>
        <v>0</v>
      </c>
      <c r="P426" s="122">
        <f t="shared" si="172"/>
        <v>0</v>
      </c>
      <c r="Q426" s="123">
        <f t="shared" si="173"/>
        <v>36522.18</v>
      </c>
      <c r="R426" s="123">
        <f t="shared" si="179"/>
        <v>-36522.18</v>
      </c>
      <c r="S426" s="582">
        <v>0</v>
      </c>
      <c r="T426" s="123">
        <f t="shared" si="180"/>
        <v>-36522.18</v>
      </c>
      <c r="U426" s="25">
        <f t="shared" si="174"/>
        <v>3564.78</v>
      </c>
      <c r="V426" s="123">
        <f t="shared" si="175"/>
        <v>-3564.78</v>
      </c>
      <c r="W426" s="334">
        <f t="shared" si="176"/>
        <v>908.0100000000001</v>
      </c>
      <c r="Y426" s="109">
        <f>IF(AE426=1,IF(Y425=MiscData!$F$1,EOMONTH(Y425,-11),EOMONTH(Y425,1)),Y425)</f>
        <v>42551</v>
      </c>
      <c r="Z426" s="108" t="str">
        <f t="shared" si="186"/>
        <v>20140101LGUM_457</v>
      </c>
      <c r="AA426" s="126" t="str">
        <f t="shared" si="187"/>
        <v xml:space="preserve">20140101LS </v>
      </c>
      <c r="AB426" s="583" t="str">
        <f t="shared" si="181"/>
        <v>457</v>
      </c>
      <c r="AD426" s="98">
        <f>MiscData!$X$5</f>
        <v>20140101</v>
      </c>
      <c r="AE426" s="98">
        <f>IF(AE425+1&gt;MiscData!$AC$77,1,AE425+1)</f>
        <v>58</v>
      </c>
      <c r="AF426" s="98" t="str">
        <f>VLOOKUP(AE426,MiscData!$AC$5:$AD$77,2,FALSE)</f>
        <v>LGUM_457</v>
      </c>
      <c r="AG426" s="98" t="str">
        <f>VLOOKUP(AF426,MiscData!$AD$5:$AE$77,2,FALSE)</f>
        <v xml:space="preserve">LS </v>
      </c>
      <c r="AP426" s="98" t="s">
        <v>538</v>
      </c>
      <c r="AR426" s="98">
        <v>0</v>
      </c>
    </row>
    <row r="427" spans="1:44">
      <c r="A427" s="108">
        <f t="shared" si="182"/>
        <v>424</v>
      </c>
      <c r="B427" s="109" t="str">
        <f t="shared" si="183"/>
        <v>Jun 2016</v>
      </c>
      <c r="C427" s="110" t="str">
        <f t="shared" si="184"/>
        <v>RLS</v>
      </c>
      <c r="D427" s="110" t="str">
        <f t="shared" si="185"/>
        <v>LGUM_458</v>
      </c>
      <c r="E427" s="581">
        <f t="shared" si="163"/>
        <v>6</v>
      </c>
      <c r="F427" s="581">
        <f t="shared" si="164"/>
        <v>0</v>
      </c>
      <c r="G427" s="116">
        <f t="shared" si="165"/>
        <v>11.13</v>
      </c>
      <c r="H427" s="116">
        <f t="shared" si="166"/>
        <v>3.7700000000000014</v>
      </c>
      <c r="I427" s="118">
        <f t="shared" si="177"/>
        <v>66.78</v>
      </c>
      <c r="J427" s="118">
        <f t="shared" si="167"/>
        <v>66.78</v>
      </c>
      <c r="K427" s="570">
        <f t="shared" si="178"/>
        <v>0</v>
      </c>
      <c r="L427" s="121">
        <f t="shared" si="168"/>
        <v>0</v>
      </c>
      <c r="M427" s="122">
        <f t="shared" si="169"/>
        <v>0</v>
      </c>
      <c r="N427" s="122">
        <f t="shared" si="170"/>
        <v>0</v>
      </c>
      <c r="O427" s="122">
        <f t="shared" si="171"/>
        <v>0</v>
      </c>
      <c r="P427" s="122">
        <f t="shared" si="172"/>
        <v>0</v>
      </c>
      <c r="Q427" s="123">
        <f t="shared" si="173"/>
        <v>66.78</v>
      </c>
      <c r="R427" s="123">
        <f t="shared" si="179"/>
        <v>-66.78</v>
      </c>
      <c r="S427" s="582">
        <v>0</v>
      </c>
      <c r="T427" s="123">
        <f t="shared" si="180"/>
        <v>-66.78</v>
      </c>
      <c r="U427" s="25">
        <f t="shared" si="174"/>
        <v>22.62</v>
      </c>
      <c r="V427" s="123">
        <f t="shared" si="175"/>
        <v>-22.62</v>
      </c>
      <c r="W427" s="334">
        <f t="shared" si="176"/>
        <v>0.96</v>
      </c>
      <c r="Y427" s="109">
        <f>IF(AE427=1,IF(Y426=MiscData!$F$1,EOMONTH(Y426,-11),EOMONTH(Y426,1)),Y426)</f>
        <v>42551</v>
      </c>
      <c r="Z427" s="108" t="str">
        <f t="shared" si="186"/>
        <v>20140101LGUM_458</v>
      </c>
      <c r="AA427" s="126" t="str">
        <f t="shared" si="187"/>
        <v>20140101RLS</v>
      </c>
      <c r="AB427" s="583" t="str">
        <f t="shared" si="181"/>
        <v>458</v>
      </c>
      <c r="AD427" s="98">
        <f>MiscData!$X$5</f>
        <v>20140101</v>
      </c>
      <c r="AE427" s="98">
        <f>IF(AE426+1&gt;MiscData!$AC$77,1,AE426+1)</f>
        <v>59</v>
      </c>
      <c r="AF427" s="98" t="str">
        <f>VLOOKUP(AE427,MiscData!$AC$5:$AD$77,2,FALSE)</f>
        <v>LGUM_458</v>
      </c>
      <c r="AG427" s="98" t="str">
        <f>VLOOKUP(AF427,MiscData!$AD$5:$AE$77,2,FALSE)</f>
        <v>RLS</v>
      </c>
      <c r="AP427" s="98" t="s">
        <v>540</v>
      </c>
      <c r="AR427" s="98">
        <v>0</v>
      </c>
    </row>
    <row r="428" spans="1:44">
      <c r="A428" s="108">
        <f t="shared" si="182"/>
        <v>425</v>
      </c>
      <c r="B428" s="109" t="str">
        <f t="shared" si="183"/>
        <v>Jun 2016</v>
      </c>
      <c r="C428" s="110" t="str">
        <f t="shared" si="184"/>
        <v xml:space="preserve">LS </v>
      </c>
      <c r="D428" s="110" t="str">
        <f t="shared" si="185"/>
        <v>LGUM_470</v>
      </c>
      <c r="E428" s="581">
        <f t="shared" si="163"/>
        <v>24</v>
      </c>
      <c r="F428" s="581">
        <f t="shared" si="164"/>
        <v>0</v>
      </c>
      <c r="G428" s="116">
        <f t="shared" si="165"/>
        <v>12.79</v>
      </c>
      <c r="H428" s="116">
        <f t="shared" si="166"/>
        <v>1.3699999999999992</v>
      </c>
      <c r="I428" s="118">
        <f t="shared" si="177"/>
        <v>306.95999999999998</v>
      </c>
      <c r="J428" s="118">
        <f t="shared" si="167"/>
        <v>306.95999999999998</v>
      </c>
      <c r="K428" s="570">
        <f t="shared" si="178"/>
        <v>0</v>
      </c>
      <c r="L428" s="121">
        <f t="shared" si="168"/>
        <v>0</v>
      </c>
      <c r="M428" s="122">
        <f t="shared" si="169"/>
        <v>0</v>
      </c>
      <c r="N428" s="122">
        <f t="shared" si="170"/>
        <v>0</v>
      </c>
      <c r="O428" s="122">
        <f t="shared" si="171"/>
        <v>0</v>
      </c>
      <c r="P428" s="122">
        <f t="shared" si="172"/>
        <v>0</v>
      </c>
      <c r="Q428" s="123">
        <f t="shared" si="173"/>
        <v>306.95999999999998</v>
      </c>
      <c r="R428" s="123">
        <f t="shared" si="179"/>
        <v>-306.95999999999998</v>
      </c>
      <c r="S428" s="582">
        <v>0</v>
      </c>
      <c r="T428" s="123">
        <f t="shared" si="180"/>
        <v>-306.95999999999998</v>
      </c>
      <c r="U428" s="25">
        <f t="shared" si="174"/>
        <v>32.880000000000003</v>
      </c>
      <c r="V428" s="123">
        <f t="shared" si="175"/>
        <v>-32.880000000000003</v>
      </c>
      <c r="W428" s="334">
        <f t="shared" si="176"/>
        <v>6.48</v>
      </c>
      <c r="Y428" s="109">
        <f>IF(AE428=1,IF(Y427=MiscData!$F$1,EOMONTH(Y427,-11),EOMONTH(Y427,1)),Y427)</f>
        <v>42551</v>
      </c>
      <c r="Z428" s="108" t="str">
        <f t="shared" si="186"/>
        <v>20140101LGUM_470</v>
      </c>
      <c r="AA428" s="126" t="str">
        <f t="shared" si="187"/>
        <v xml:space="preserve">20140101LS </v>
      </c>
      <c r="AB428" s="583" t="str">
        <f t="shared" si="181"/>
        <v>470</v>
      </c>
      <c r="AD428" s="98">
        <f>MiscData!$X$5</f>
        <v>20140101</v>
      </c>
      <c r="AE428" s="98">
        <f>IF(AE427+1&gt;MiscData!$AC$77,1,AE427+1)</f>
        <v>60</v>
      </c>
      <c r="AF428" s="98" t="str">
        <f>VLOOKUP(AE428,MiscData!$AC$5:$AD$77,2,FALSE)</f>
        <v>LGUM_470</v>
      </c>
      <c r="AG428" s="98" t="str">
        <f>VLOOKUP(AF428,MiscData!$AD$5:$AE$77,2,FALSE)</f>
        <v xml:space="preserve">LS </v>
      </c>
      <c r="AP428" s="98" t="s">
        <v>542</v>
      </c>
      <c r="AR428" s="98">
        <v>0</v>
      </c>
    </row>
    <row r="429" spans="1:44">
      <c r="A429" s="108">
        <f t="shared" si="182"/>
        <v>426</v>
      </c>
      <c r="B429" s="109" t="str">
        <f t="shared" si="183"/>
        <v>Jun 2016</v>
      </c>
      <c r="C429" s="110" t="str">
        <f t="shared" si="184"/>
        <v>RLS</v>
      </c>
      <c r="D429" s="110" t="str">
        <f t="shared" si="185"/>
        <v>LGUM_471</v>
      </c>
      <c r="E429" s="581">
        <f t="shared" si="163"/>
        <v>2</v>
      </c>
      <c r="F429" s="581">
        <f t="shared" si="164"/>
        <v>0</v>
      </c>
      <c r="G429" s="116">
        <f t="shared" si="165"/>
        <v>15.07</v>
      </c>
      <c r="H429" s="116">
        <f t="shared" si="166"/>
        <v>1.3699999999999992</v>
      </c>
      <c r="I429" s="118">
        <f t="shared" si="177"/>
        <v>30.14</v>
      </c>
      <c r="J429" s="118">
        <f t="shared" si="167"/>
        <v>30.14</v>
      </c>
      <c r="K429" s="570">
        <f t="shared" si="178"/>
        <v>0</v>
      </c>
      <c r="L429" s="121">
        <f t="shared" si="168"/>
        <v>0</v>
      </c>
      <c r="M429" s="122">
        <f t="shared" si="169"/>
        <v>0</v>
      </c>
      <c r="N429" s="122">
        <f t="shared" si="170"/>
        <v>0</v>
      </c>
      <c r="O429" s="122">
        <f t="shared" si="171"/>
        <v>0</v>
      </c>
      <c r="P429" s="122">
        <f t="shared" si="172"/>
        <v>0</v>
      </c>
      <c r="Q429" s="123">
        <f t="shared" si="173"/>
        <v>30.14</v>
      </c>
      <c r="R429" s="123">
        <f t="shared" si="179"/>
        <v>-30.14</v>
      </c>
      <c r="S429" s="582">
        <v>0</v>
      </c>
      <c r="T429" s="123">
        <f t="shared" si="180"/>
        <v>-30.14</v>
      </c>
      <c r="U429" s="25">
        <f t="shared" si="174"/>
        <v>2.74</v>
      </c>
      <c r="V429" s="123">
        <f t="shared" si="175"/>
        <v>-2.74</v>
      </c>
      <c r="W429" s="334">
        <f t="shared" si="176"/>
        <v>0.54</v>
      </c>
      <c r="Y429" s="109">
        <f>IF(AE429=1,IF(Y428=MiscData!$F$1,EOMONTH(Y428,-11),EOMONTH(Y428,1)),Y428)</f>
        <v>42551</v>
      </c>
      <c r="Z429" s="108" t="str">
        <f t="shared" si="186"/>
        <v>20140101LGUM_471</v>
      </c>
      <c r="AA429" s="126" t="str">
        <f t="shared" si="187"/>
        <v>20140101RLS</v>
      </c>
      <c r="AB429" s="583" t="str">
        <f t="shared" si="181"/>
        <v>471</v>
      </c>
      <c r="AD429" s="98">
        <f>MiscData!$X$5</f>
        <v>20140101</v>
      </c>
      <c r="AE429" s="98">
        <f>IF(AE428+1&gt;MiscData!$AC$77,1,AE428+1)</f>
        <v>61</v>
      </c>
      <c r="AF429" s="98" t="str">
        <f>VLOOKUP(AE429,MiscData!$AC$5:$AD$77,2,FALSE)</f>
        <v>LGUM_471</v>
      </c>
      <c r="AG429" s="98" t="str">
        <f>VLOOKUP(AF429,MiscData!$AD$5:$AE$77,2,FALSE)</f>
        <v>RLS</v>
      </c>
      <c r="AP429" s="98" t="s">
        <v>260</v>
      </c>
      <c r="AR429" s="98">
        <v>-4.76</v>
      </c>
    </row>
    <row r="430" spans="1:44">
      <c r="A430" s="108">
        <f t="shared" si="182"/>
        <v>427</v>
      </c>
      <c r="B430" s="109" t="str">
        <f t="shared" si="183"/>
        <v>Jun 2016</v>
      </c>
      <c r="C430" s="110" t="str">
        <f t="shared" si="184"/>
        <v xml:space="preserve">LS </v>
      </c>
      <c r="D430" s="110" t="str">
        <f t="shared" si="185"/>
        <v>LGUM_473</v>
      </c>
      <c r="E430" s="581">
        <f t="shared" si="163"/>
        <v>407</v>
      </c>
      <c r="F430" s="581">
        <f t="shared" si="164"/>
        <v>0</v>
      </c>
      <c r="G430" s="116">
        <f t="shared" si="165"/>
        <v>18.68</v>
      </c>
      <c r="H430" s="116">
        <f t="shared" si="166"/>
        <v>3.1799999999999979</v>
      </c>
      <c r="I430" s="118">
        <f t="shared" si="177"/>
        <v>7602.76</v>
      </c>
      <c r="J430" s="118">
        <f t="shared" si="167"/>
        <v>7602.76</v>
      </c>
      <c r="K430" s="570">
        <f t="shared" si="178"/>
        <v>0</v>
      </c>
      <c r="L430" s="121">
        <f t="shared" si="168"/>
        <v>0</v>
      </c>
      <c r="M430" s="122">
        <f t="shared" si="169"/>
        <v>0</v>
      </c>
      <c r="N430" s="122">
        <f t="shared" si="170"/>
        <v>0</v>
      </c>
      <c r="O430" s="122">
        <f t="shared" si="171"/>
        <v>0</v>
      </c>
      <c r="P430" s="122">
        <f t="shared" si="172"/>
        <v>0</v>
      </c>
      <c r="Q430" s="123">
        <f t="shared" si="173"/>
        <v>7602.76</v>
      </c>
      <c r="R430" s="123">
        <f t="shared" si="179"/>
        <v>-7602.76</v>
      </c>
      <c r="S430" s="582">
        <v>0</v>
      </c>
      <c r="T430" s="123">
        <f t="shared" si="180"/>
        <v>-7602.76</v>
      </c>
      <c r="U430" s="25">
        <f t="shared" si="174"/>
        <v>1294.26</v>
      </c>
      <c r="V430" s="123">
        <f t="shared" si="175"/>
        <v>-1294.26</v>
      </c>
      <c r="W430" s="334">
        <f t="shared" si="176"/>
        <v>122.1</v>
      </c>
      <c r="Y430" s="109">
        <f>IF(AE430=1,IF(Y429=MiscData!$F$1,EOMONTH(Y429,-11),EOMONTH(Y429,1)),Y429)</f>
        <v>42551</v>
      </c>
      <c r="Z430" s="108" t="str">
        <f t="shared" si="186"/>
        <v>20140101LGUM_473</v>
      </c>
      <c r="AA430" s="126" t="str">
        <f t="shared" si="187"/>
        <v xml:space="preserve">20140101LS </v>
      </c>
      <c r="AB430" s="583" t="str">
        <f t="shared" si="181"/>
        <v>473</v>
      </c>
      <c r="AD430" s="98">
        <f>MiscData!$X$5</f>
        <v>20140101</v>
      </c>
      <c r="AE430" s="98">
        <f>IF(AE429+1&gt;MiscData!$AC$77,1,AE429+1)</f>
        <v>62</v>
      </c>
      <c r="AF430" s="98" t="str">
        <f>VLOOKUP(AE430,MiscData!$AC$5:$AD$77,2,FALSE)</f>
        <v>LGUM_473</v>
      </c>
      <c r="AG430" s="98" t="str">
        <f>VLOOKUP(AF430,MiscData!$AD$5:$AE$77,2,FALSE)</f>
        <v xml:space="preserve">LS </v>
      </c>
      <c r="AP430" s="98" t="s">
        <v>262</v>
      </c>
      <c r="AR430" s="98">
        <v>0</v>
      </c>
    </row>
    <row r="431" spans="1:44">
      <c r="A431" s="108">
        <f t="shared" si="182"/>
        <v>428</v>
      </c>
      <c r="B431" s="109" t="str">
        <f t="shared" si="183"/>
        <v>Jun 2016</v>
      </c>
      <c r="C431" s="110" t="str">
        <f t="shared" si="184"/>
        <v>RLS</v>
      </c>
      <c r="D431" s="110" t="str">
        <f t="shared" si="185"/>
        <v>LGUM_474</v>
      </c>
      <c r="E431" s="581">
        <f t="shared" si="163"/>
        <v>53</v>
      </c>
      <c r="F431" s="581">
        <f t="shared" si="164"/>
        <v>0</v>
      </c>
      <c r="G431" s="116">
        <f t="shared" si="165"/>
        <v>20.970000000000002</v>
      </c>
      <c r="H431" s="116">
        <f t="shared" si="166"/>
        <v>3.1799999999999997</v>
      </c>
      <c r="I431" s="118">
        <f t="shared" si="177"/>
        <v>1111.4100000000001</v>
      </c>
      <c r="J431" s="118">
        <f t="shared" si="167"/>
        <v>1111.4100000000001</v>
      </c>
      <c r="K431" s="570">
        <f t="shared" si="178"/>
        <v>0</v>
      </c>
      <c r="L431" s="121">
        <f t="shared" si="168"/>
        <v>0</v>
      </c>
      <c r="M431" s="122">
        <f t="shared" si="169"/>
        <v>0</v>
      </c>
      <c r="N431" s="122">
        <f t="shared" si="170"/>
        <v>0</v>
      </c>
      <c r="O431" s="122">
        <f t="shared" si="171"/>
        <v>0</v>
      </c>
      <c r="P431" s="122">
        <f t="shared" si="172"/>
        <v>0</v>
      </c>
      <c r="Q431" s="123">
        <f t="shared" si="173"/>
        <v>1111.4100000000001</v>
      </c>
      <c r="R431" s="123">
        <f t="shared" si="179"/>
        <v>-1111.4100000000001</v>
      </c>
      <c r="S431" s="582">
        <v>0</v>
      </c>
      <c r="T431" s="123">
        <f t="shared" si="180"/>
        <v>-1111.4100000000001</v>
      </c>
      <c r="U431" s="25">
        <f t="shared" si="174"/>
        <v>168.54</v>
      </c>
      <c r="V431" s="123">
        <f t="shared" si="175"/>
        <v>-168.54</v>
      </c>
      <c r="W431" s="334">
        <f t="shared" si="176"/>
        <v>15.899999999999999</v>
      </c>
      <c r="Y431" s="109">
        <f>IF(AE431=1,IF(Y430=MiscData!$F$1,EOMONTH(Y430,-11),EOMONTH(Y430,1)),Y430)</f>
        <v>42551</v>
      </c>
      <c r="Z431" s="108" t="str">
        <f t="shared" si="186"/>
        <v>20140101LGUM_474</v>
      </c>
      <c r="AA431" s="126" t="str">
        <f t="shared" si="187"/>
        <v>20140101RLS</v>
      </c>
      <c r="AB431" s="583" t="str">
        <f t="shared" si="181"/>
        <v>474</v>
      </c>
      <c r="AD431" s="98">
        <f>MiscData!$X$5</f>
        <v>20140101</v>
      </c>
      <c r="AE431" s="98">
        <f>IF(AE430+1&gt;MiscData!$AC$77,1,AE430+1)</f>
        <v>63</v>
      </c>
      <c r="AF431" s="98" t="str">
        <f>VLOOKUP(AE431,MiscData!$AC$5:$AD$77,2,FALSE)</f>
        <v>LGUM_474</v>
      </c>
      <c r="AG431" s="98" t="str">
        <f>VLOOKUP(AF431,MiscData!$AD$5:$AE$77,2,FALSE)</f>
        <v>RLS</v>
      </c>
      <c r="AP431" s="98" t="s">
        <v>264</v>
      </c>
      <c r="AR431" s="98">
        <v>0</v>
      </c>
    </row>
    <row r="432" spans="1:44">
      <c r="A432" s="108">
        <f t="shared" si="182"/>
        <v>429</v>
      </c>
      <c r="B432" s="109" t="str">
        <f t="shared" si="183"/>
        <v>Jun 2016</v>
      </c>
      <c r="C432" s="110" t="str">
        <f t="shared" si="184"/>
        <v>RLS</v>
      </c>
      <c r="D432" s="110" t="str">
        <f t="shared" si="185"/>
        <v>LGUM_475</v>
      </c>
      <c r="E432" s="581">
        <f t="shared" si="163"/>
        <v>2</v>
      </c>
      <c r="F432" s="581">
        <f t="shared" si="164"/>
        <v>0</v>
      </c>
      <c r="G432" s="116">
        <f t="shared" si="165"/>
        <v>28.42</v>
      </c>
      <c r="H432" s="116">
        <f t="shared" si="166"/>
        <v>3.1800000000000033</v>
      </c>
      <c r="I432" s="118">
        <f t="shared" si="177"/>
        <v>56.84</v>
      </c>
      <c r="J432" s="118">
        <f t="shared" si="167"/>
        <v>56.84</v>
      </c>
      <c r="K432" s="570">
        <f t="shared" si="178"/>
        <v>0</v>
      </c>
      <c r="L432" s="121">
        <f t="shared" si="168"/>
        <v>0</v>
      </c>
      <c r="M432" s="122">
        <f t="shared" si="169"/>
        <v>0</v>
      </c>
      <c r="N432" s="122">
        <f t="shared" si="170"/>
        <v>0</v>
      </c>
      <c r="O432" s="122">
        <f t="shared" si="171"/>
        <v>0</v>
      </c>
      <c r="P432" s="122">
        <f t="shared" si="172"/>
        <v>0</v>
      </c>
      <c r="Q432" s="123">
        <f t="shared" si="173"/>
        <v>56.84</v>
      </c>
      <c r="R432" s="123">
        <f t="shared" si="179"/>
        <v>-56.84</v>
      </c>
      <c r="S432" s="582">
        <v>0</v>
      </c>
      <c r="T432" s="123">
        <f t="shared" si="180"/>
        <v>-56.84</v>
      </c>
      <c r="U432" s="25">
        <f t="shared" si="174"/>
        <v>6.36</v>
      </c>
      <c r="V432" s="123">
        <f t="shared" si="175"/>
        <v>-6.36</v>
      </c>
      <c r="W432" s="334">
        <f t="shared" si="176"/>
        <v>0.6</v>
      </c>
      <c r="Y432" s="109">
        <f>IF(AE432=1,IF(Y431=MiscData!$F$1,EOMONTH(Y431,-11),EOMONTH(Y431,1)),Y431)</f>
        <v>42551</v>
      </c>
      <c r="Z432" s="108" t="str">
        <f t="shared" si="186"/>
        <v>20140101LGUM_475</v>
      </c>
      <c r="AA432" s="126" t="str">
        <f t="shared" si="187"/>
        <v>20140101RLS</v>
      </c>
      <c r="AB432" s="583" t="str">
        <f t="shared" si="181"/>
        <v>475</v>
      </c>
      <c r="AD432" s="98">
        <f>MiscData!$X$5</f>
        <v>20140101</v>
      </c>
      <c r="AE432" s="98">
        <f>IF(AE431+1&gt;MiscData!$AC$77,1,AE431+1)</f>
        <v>64</v>
      </c>
      <c r="AF432" s="98" t="str">
        <f>VLOOKUP(AE432,MiscData!$AC$5:$AD$77,2,FALSE)</f>
        <v>LGUM_475</v>
      </c>
      <c r="AG432" s="98" t="str">
        <f>VLOOKUP(AF432,MiscData!$AD$5:$AE$77,2,FALSE)</f>
        <v>RLS</v>
      </c>
      <c r="AP432" s="98" t="s">
        <v>265</v>
      </c>
      <c r="AR432" s="98">
        <v>0</v>
      </c>
    </row>
    <row r="433" spans="1:44">
      <c r="A433" s="108">
        <f t="shared" si="182"/>
        <v>430</v>
      </c>
      <c r="B433" s="109" t="str">
        <f t="shared" si="183"/>
        <v>Jun 2016</v>
      </c>
      <c r="C433" s="110" t="str">
        <f t="shared" si="184"/>
        <v xml:space="preserve">LS </v>
      </c>
      <c r="D433" s="110" t="str">
        <f t="shared" si="185"/>
        <v>LGUM_476</v>
      </c>
      <c r="E433" s="581">
        <f t="shared" si="163"/>
        <v>398</v>
      </c>
      <c r="F433" s="581">
        <f t="shared" si="164"/>
        <v>0</v>
      </c>
      <c r="G433" s="116">
        <f t="shared" si="165"/>
        <v>39.6</v>
      </c>
      <c r="H433" s="116">
        <f t="shared" si="166"/>
        <v>9.8100000000000023</v>
      </c>
      <c r="I433" s="118">
        <f t="shared" si="177"/>
        <v>15760.8</v>
      </c>
      <c r="J433" s="118">
        <f t="shared" si="167"/>
        <v>15760.8</v>
      </c>
      <c r="K433" s="570">
        <f t="shared" si="178"/>
        <v>0</v>
      </c>
      <c r="L433" s="121">
        <f t="shared" si="168"/>
        <v>0</v>
      </c>
      <c r="M433" s="122">
        <f t="shared" si="169"/>
        <v>0</v>
      </c>
      <c r="N433" s="122">
        <f t="shared" si="170"/>
        <v>0</v>
      </c>
      <c r="O433" s="122">
        <f t="shared" si="171"/>
        <v>0</v>
      </c>
      <c r="P433" s="122">
        <f t="shared" si="172"/>
        <v>0</v>
      </c>
      <c r="Q433" s="123">
        <f t="shared" si="173"/>
        <v>15760.8</v>
      </c>
      <c r="R433" s="123">
        <f t="shared" si="179"/>
        <v>-15760.8</v>
      </c>
      <c r="S433" s="582">
        <v>0</v>
      </c>
      <c r="T433" s="123">
        <f t="shared" si="180"/>
        <v>-15760.8</v>
      </c>
      <c r="U433" s="25">
        <f t="shared" si="174"/>
        <v>3904.38</v>
      </c>
      <c r="V433" s="123">
        <f t="shared" si="175"/>
        <v>-3904.38</v>
      </c>
      <c r="W433" s="334">
        <f t="shared" si="176"/>
        <v>242.78</v>
      </c>
      <c r="Y433" s="109">
        <f>IF(AE433=1,IF(Y432=MiscData!$F$1,EOMONTH(Y432,-11),EOMONTH(Y432,1)),Y432)</f>
        <v>42551</v>
      </c>
      <c r="Z433" s="108" t="str">
        <f t="shared" si="186"/>
        <v>20140101LGUM_476</v>
      </c>
      <c r="AA433" s="126" t="str">
        <f t="shared" si="187"/>
        <v xml:space="preserve">20140101LS </v>
      </c>
      <c r="AB433" s="583" t="str">
        <f t="shared" si="181"/>
        <v>476</v>
      </c>
      <c r="AD433" s="98">
        <f>MiscData!$X$5</f>
        <v>20140101</v>
      </c>
      <c r="AE433" s="98">
        <f>IF(AE432+1&gt;MiscData!$AC$77,1,AE432+1)</f>
        <v>65</v>
      </c>
      <c r="AF433" s="98" t="str">
        <f>VLOOKUP(AE433,MiscData!$AC$5:$AD$77,2,FALSE)</f>
        <v>LGUM_476</v>
      </c>
      <c r="AG433" s="98" t="str">
        <f>VLOOKUP(AF433,MiscData!$AD$5:$AE$77,2,FALSE)</f>
        <v xml:space="preserve">LS </v>
      </c>
      <c r="AP433" s="98" t="s">
        <v>266</v>
      </c>
      <c r="AR433" s="98">
        <v>0</v>
      </c>
    </row>
    <row r="434" spans="1:44">
      <c r="A434" s="108">
        <f t="shared" si="182"/>
        <v>431</v>
      </c>
      <c r="B434" s="109" t="str">
        <f t="shared" si="183"/>
        <v>Jun 2016</v>
      </c>
      <c r="C434" s="110" t="str">
        <f t="shared" si="184"/>
        <v>RLS</v>
      </c>
      <c r="D434" s="110" t="str">
        <f t="shared" si="185"/>
        <v>LGUM_477</v>
      </c>
      <c r="E434" s="581">
        <f t="shared" si="163"/>
        <v>60</v>
      </c>
      <c r="F434" s="581">
        <f t="shared" si="164"/>
        <v>0</v>
      </c>
      <c r="G434" s="116">
        <f t="shared" si="165"/>
        <v>42.78</v>
      </c>
      <c r="H434" s="116">
        <f t="shared" si="166"/>
        <v>9.8100000000000023</v>
      </c>
      <c r="I434" s="118">
        <f t="shared" si="177"/>
        <v>2566.8000000000002</v>
      </c>
      <c r="J434" s="118">
        <f t="shared" si="167"/>
        <v>2566.8000000000002</v>
      </c>
      <c r="K434" s="570">
        <f t="shared" si="178"/>
        <v>0</v>
      </c>
      <c r="L434" s="121">
        <f t="shared" si="168"/>
        <v>0</v>
      </c>
      <c r="M434" s="122">
        <f t="shared" si="169"/>
        <v>0</v>
      </c>
      <c r="N434" s="122">
        <f t="shared" si="170"/>
        <v>0</v>
      </c>
      <c r="O434" s="122">
        <f t="shared" si="171"/>
        <v>0</v>
      </c>
      <c r="P434" s="122">
        <f t="shared" si="172"/>
        <v>0</v>
      </c>
      <c r="Q434" s="123">
        <f t="shared" si="173"/>
        <v>2566.8000000000002</v>
      </c>
      <c r="R434" s="123">
        <f t="shared" si="179"/>
        <v>-2566.8000000000002</v>
      </c>
      <c r="S434" s="582">
        <v>0</v>
      </c>
      <c r="T434" s="123">
        <f t="shared" si="180"/>
        <v>-2566.8000000000002</v>
      </c>
      <c r="U434" s="25">
        <f t="shared" si="174"/>
        <v>588.6</v>
      </c>
      <c r="V434" s="123">
        <f t="shared" si="175"/>
        <v>-588.6</v>
      </c>
      <c r="W434" s="334">
        <f t="shared" si="176"/>
        <v>36.6</v>
      </c>
      <c r="Y434" s="109">
        <f>IF(AE434=1,IF(Y433=MiscData!$F$1,EOMONTH(Y433,-11),EOMONTH(Y433,1)),Y433)</f>
        <v>42551</v>
      </c>
      <c r="Z434" s="108" t="str">
        <f t="shared" si="186"/>
        <v>20140101LGUM_477</v>
      </c>
      <c r="AA434" s="126" t="str">
        <f t="shared" si="187"/>
        <v>20140101RLS</v>
      </c>
      <c r="AB434" s="583" t="str">
        <f t="shared" si="181"/>
        <v>477</v>
      </c>
      <c r="AD434" s="98">
        <f>MiscData!$X$5</f>
        <v>20140101</v>
      </c>
      <c r="AE434" s="98">
        <f>IF(AE433+1&gt;MiscData!$AC$77,1,AE433+1)</f>
        <v>66</v>
      </c>
      <c r="AF434" s="98" t="str">
        <f>VLOOKUP(AE434,MiscData!$AC$5:$AD$77,2,FALSE)</f>
        <v>LGUM_477</v>
      </c>
      <c r="AG434" s="98" t="str">
        <f>VLOOKUP(AF434,MiscData!$AD$5:$AE$77,2,FALSE)</f>
        <v>RLS</v>
      </c>
      <c r="AP434" s="98" t="s">
        <v>267</v>
      </c>
      <c r="AR434" s="98">
        <v>0</v>
      </c>
    </row>
    <row r="435" spans="1:44">
      <c r="A435" s="108">
        <f t="shared" si="182"/>
        <v>432</v>
      </c>
      <c r="B435" s="109" t="str">
        <f t="shared" si="183"/>
        <v>Jun 2016</v>
      </c>
      <c r="C435" s="110" t="str">
        <f t="shared" si="184"/>
        <v xml:space="preserve">LS </v>
      </c>
      <c r="D435" s="110" t="str">
        <f t="shared" si="185"/>
        <v>LGUM_479</v>
      </c>
      <c r="E435" s="581">
        <f t="shared" si="163"/>
        <v>0</v>
      </c>
      <c r="F435" s="581">
        <f t="shared" si="164"/>
        <v>0</v>
      </c>
      <c r="G435" s="116">
        <f t="shared" si="165"/>
        <v>14.06</v>
      </c>
      <c r="H435" s="116">
        <f t="shared" si="166"/>
        <v>1.370000000000001</v>
      </c>
      <c r="I435" s="118">
        <f t="shared" si="177"/>
        <v>0</v>
      </c>
      <c r="J435" s="118">
        <f t="shared" si="167"/>
        <v>0</v>
      </c>
      <c r="K435" s="570">
        <f t="shared" si="178"/>
        <v>0</v>
      </c>
      <c r="L435" s="121">
        <f t="shared" si="168"/>
        <v>1</v>
      </c>
      <c r="M435" s="122">
        <f t="shared" si="169"/>
        <v>0</v>
      </c>
      <c r="N435" s="122">
        <f t="shared" si="170"/>
        <v>0</v>
      </c>
      <c r="O435" s="122">
        <f t="shared" si="171"/>
        <v>0</v>
      </c>
      <c r="P435" s="122">
        <f t="shared" si="172"/>
        <v>0</v>
      </c>
      <c r="Q435" s="123">
        <f t="shared" si="173"/>
        <v>0</v>
      </c>
      <c r="R435" s="123">
        <f t="shared" si="179"/>
        <v>0</v>
      </c>
      <c r="S435" s="582">
        <v>0</v>
      </c>
      <c r="T435" s="123">
        <f t="shared" si="180"/>
        <v>0</v>
      </c>
      <c r="U435" s="25">
        <f t="shared" si="174"/>
        <v>0</v>
      </c>
      <c r="V435" s="123">
        <f t="shared" si="175"/>
        <v>0</v>
      </c>
      <c r="W435" s="334">
        <f t="shared" si="176"/>
        <v>0</v>
      </c>
      <c r="Y435" s="109">
        <f>IF(AE435=1,IF(Y434=MiscData!$F$1,EOMONTH(Y434,-11),EOMONTH(Y434,1)),Y434)</f>
        <v>42551</v>
      </c>
      <c r="Z435" s="108" t="str">
        <f t="shared" si="186"/>
        <v>20140101LGUM_479</v>
      </c>
      <c r="AA435" s="126" t="str">
        <f t="shared" si="187"/>
        <v xml:space="preserve">20140101LS </v>
      </c>
      <c r="AB435" s="583" t="str">
        <f t="shared" si="181"/>
        <v>479</v>
      </c>
      <c r="AD435" s="98">
        <f>MiscData!$X$5</f>
        <v>20140101</v>
      </c>
      <c r="AE435" s="98">
        <f>IF(AE434+1&gt;MiscData!$AC$77,1,AE434+1)</f>
        <v>67</v>
      </c>
      <c r="AF435" s="98" t="str">
        <f>VLOOKUP(AE435,MiscData!$AC$5:$AD$77,2,FALSE)</f>
        <v>LGUM_479</v>
      </c>
      <c r="AG435" s="98" t="str">
        <f>VLOOKUP(AF435,MiscData!$AD$5:$AE$77,2,FALSE)</f>
        <v xml:space="preserve">LS </v>
      </c>
      <c r="AP435" s="98" t="s">
        <v>546</v>
      </c>
      <c r="AR435" s="98">
        <v>0</v>
      </c>
    </row>
    <row r="436" spans="1:44">
      <c r="A436" s="108">
        <f t="shared" si="182"/>
        <v>433</v>
      </c>
      <c r="B436" s="109" t="str">
        <f t="shared" si="183"/>
        <v>Jun 2016</v>
      </c>
      <c r="C436" s="110" t="str">
        <f t="shared" si="184"/>
        <v xml:space="preserve">LS </v>
      </c>
      <c r="D436" s="110" t="str">
        <f t="shared" si="185"/>
        <v>LGUM_480</v>
      </c>
      <c r="E436" s="581">
        <f t="shared" si="163"/>
        <v>18</v>
      </c>
      <c r="F436" s="581">
        <f t="shared" si="164"/>
        <v>0</v>
      </c>
      <c r="G436" s="116">
        <f t="shared" si="165"/>
        <v>23.83</v>
      </c>
      <c r="H436" s="116">
        <f t="shared" si="166"/>
        <v>1.370000000000001</v>
      </c>
      <c r="I436" s="118">
        <f t="shared" si="177"/>
        <v>428.94</v>
      </c>
      <c r="J436" s="118">
        <f t="shared" si="167"/>
        <v>428.94</v>
      </c>
      <c r="K436" s="570">
        <f t="shared" si="178"/>
        <v>0</v>
      </c>
      <c r="L436" s="121">
        <f t="shared" si="168"/>
        <v>0</v>
      </c>
      <c r="M436" s="122">
        <f t="shared" si="169"/>
        <v>0</v>
      </c>
      <c r="N436" s="122">
        <f t="shared" si="170"/>
        <v>0</v>
      </c>
      <c r="O436" s="122">
        <f t="shared" si="171"/>
        <v>0</v>
      </c>
      <c r="P436" s="122">
        <f t="shared" si="172"/>
        <v>0</v>
      </c>
      <c r="Q436" s="123">
        <f t="shared" si="173"/>
        <v>428.94</v>
      </c>
      <c r="R436" s="123">
        <f t="shared" si="179"/>
        <v>-428.94</v>
      </c>
      <c r="S436" s="582">
        <v>0</v>
      </c>
      <c r="T436" s="123">
        <f t="shared" si="180"/>
        <v>-428.94</v>
      </c>
      <c r="U436" s="25">
        <f t="shared" si="174"/>
        <v>24.66</v>
      </c>
      <c r="V436" s="123">
        <f t="shared" si="175"/>
        <v>-24.66</v>
      </c>
      <c r="W436" s="334">
        <f t="shared" si="176"/>
        <v>4.8600000000000003</v>
      </c>
      <c r="Y436" s="109">
        <f>IF(AE436=1,IF(Y435=MiscData!$F$1,EOMONTH(Y435,-11),EOMONTH(Y435,1)),Y435)</f>
        <v>42551</v>
      </c>
      <c r="Z436" s="108" t="str">
        <f t="shared" si="186"/>
        <v>20140101LGUM_480</v>
      </c>
      <c r="AA436" s="126" t="str">
        <f t="shared" si="187"/>
        <v xml:space="preserve">20140101LS </v>
      </c>
      <c r="AB436" s="583" t="str">
        <f t="shared" si="181"/>
        <v>480</v>
      </c>
      <c r="AD436" s="98">
        <f>MiscData!$X$5</f>
        <v>20140101</v>
      </c>
      <c r="AE436" s="98">
        <f>IF(AE435+1&gt;MiscData!$AC$77,1,AE435+1)</f>
        <v>68</v>
      </c>
      <c r="AF436" s="98" t="str">
        <f>VLOOKUP(AE436,MiscData!$AC$5:$AD$77,2,FALSE)</f>
        <v>LGUM_480</v>
      </c>
      <c r="AG436" s="98" t="str">
        <f>VLOOKUP(AF436,MiscData!$AD$5:$AE$77,2,FALSE)</f>
        <v xml:space="preserve">LS </v>
      </c>
      <c r="AP436" s="98" t="s">
        <v>268</v>
      </c>
      <c r="AR436" s="98">
        <v>0</v>
      </c>
    </row>
    <row r="437" spans="1:44">
      <c r="A437" s="108">
        <f t="shared" si="182"/>
        <v>434</v>
      </c>
      <c r="B437" s="109" t="str">
        <f t="shared" si="183"/>
        <v>Jun 2016</v>
      </c>
      <c r="C437" s="110" t="str">
        <f t="shared" si="184"/>
        <v xml:space="preserve">LS </v>
      </c>
      <c r="D437" s="110" t="str">
        <f t="shared" si="185"/>
        <v>LGUM_481</v>
      </c>
      <c r="E437" s="581">
        <f t="shared" si="163"/>
        <v>4</v>
      </c>
      <c r="F437" s="581">
        <f t="shared" si="164"/>
        <v>0</v>
      </c>
      <c r="G437" s="116">
        <f t="shared" si="165"/>
        <v>20.46</v>
      </c>
      <c r="H437" s="116">
        <f t="shared" si="166"/>
        <v>3.1800000000000033</v>
      </c>
      <c r="I437" s="118">
        <f t="shared" si="177"/>
        <v>81.84</v>
      </c>
      <c r="J437" s="118">
        <f t="shared" si="167"/>
        <v>81.84</v>
      </c>
      <c r="K437" s="570">
        <f t="shared" si="178"/>
        <v>0</v>
      </c>
      <c r="L437" s="121">
        <f t="shared" si="168"/>
        <v>0</v>
      </c>
      <c r="M437" s="122">
        <f t="shared" si="169"/>
        <v>0</v>
      </c>
      <c r="N437" s="122">
        <f t="shared" si="170"/>
        <v>0</v>
      </c>
      <c r="O437" s="122">
        <f t="shared" si="171"/>
        <v>0</v>
      </c>
      <c r="P437" s="122">
        <f t="shared" si="172"/>
        <v>0</v>
      </c>
      <c r="Q437" s="123">
        <f t="shared" si="173"/>
        <v>81.84</v>
      </c>
      <c r="R437" s="123">
        <f t="shared" si="179"/>
        <v>-81.84</v>
      </c>
      <c r="S437" s="582">
        <v>0</v>
      </c>
      <c r="T437" s="123">
        <f t="shared" si="180"/>
        <v>-81.84</v>
      </c>
      <c r="U437" s="25">
        <f t="shared" si="174"/>
        <v>12.72</v>
      </c>
      <c r="V437" s="123">
        <f t="shared" si="175"/>
        <v>-12.72</v>
      </c>
      <c r="W437" s="334">
        <f t="shared" si="176"/>
        <v>1.2</v>
      </c>
      <c r="Y437" s="109">
        <f>IF(AE437=1,IF(Y436=MiscData!$F$1,EOMONTH(Y436,-11),EOMONTH(Y436,1)),Y436)</f>
        <v>42551</v>
      </c>
      <c r="Z437" s="108" t="str">
        <f t="shared" si="186"/>
        <v>20140101LGUM_481</v>
      </c>
      <c r="AA437" s="126" t="str">
        <f t="shared" si="187"/>
        <v xml:space="preserve">20140101LS </v>
      </c>
      <c r="AB437" s="583" t="str">
        <f t="shared" si="181"/>
        <v>481</v>
      </c>
      <c r="AD437" s="98">
        <f>MiscData!$X$5</f>
        <v>20140101</v>
      </c>
      <c r="AE437" s="98">
        <f>IF(AE436+1&gt;MiscData!$AC$77,1,AE436+1)</f>
        <v>69</v>
      </c>
      <c r="AF437" s="98" t="str">
        <f>VLOOKUP(AE437,MiscData!$AC$5:$AD$77,2,FALSE)</f>
        <v>LGUM_481</v>
      </c>
      <c r="AG437" s="98" t="str">
        <f>VLOOKUP(AF437,MiscData!$AD$5:$AE$77,2,FALSE)</f>
        <v xml:space="preserve">LS </v>
      </c>
      <c r="AP437" s="98" t="s">
        <v>269</v>
      </c>
      <c r="AR437" s="98">
        <v>0</v>
      </c>
    </row>
    <row r="438" spans="1:44">
      <c r="A438" s="108">
        <f t="shared" si="182"/>
        <v>435</v>
      </c>
      <c r="B438" s="109" t="str">
        <f t="shared" si="183"/>
        <v>Jun 2016</v>
      </c>
      <c r="C438" s="110" t="str">
        <f t="shared" si="184"/>
        <v xml:space="preserve">LS </v>
      </c>
      <c r="D438" s="110" t="str">
        <f t="shared" si="185"/>
        <v>LGUM_482</v>
      </c>
      <c r="E438" s="581">
        <f t="shared" si="163"/>
        <v>45</v>
      </c>
      <c r="F438" s="581">
        <f t="shared" si="164"/>
        <v>0</v>
      </c>
      <c r="G438" s="116">
        <f t="shared" si="165"/>
        <v>30.21</v>
      </c>
      <c r="H438" s="116">
        <f t="shared" si="166"/>
        <v>3.1800000000000033</v>
      </c>
      <c r="I438" s="118">
        <f t="shared" si="177"/>
        <v>1359.45</v>
      </c>
      <c r="J438" s="118">
        <f t="shared" si="167"/>
        <v>1359.45</v>
      </c>
      <c r="K438" s="570">
        <f t="shared" si="178"/>
        <v>0</v>
      </c>
      <c r="L438" s="121">
        <f t="shared" si="168"/>
        <v>0</v>
      </c>
      <c r="M438" s="122">
        <f t="shared" si="169"/>
        <v>0</v>
      </c>
      <c r="N438" s="122">
        <f t="shared" si="170"/>
        <v>0</v>
      </c>
      <c r="O438" s="122">
        <f t="shared" si="171"/>
        <v>0</v>
      </c>
      <c r="P438" s="122">
        <f t="shared" si="172"/>
        <v>0</v>
      </c>
      <c r="Q438" s="123">
        <f t="shared" si="173"/>
        <v>1359.45</v>
      </c>
      <c r="R438" s="123">
        <f t="shared" si="179"/>
        <v>-1359.45</v>
      </c>
      <c r="S438" s="582">
        <v>0</v>
      </c>
      <c r="T438" s="123">
        <f t="shared" si="180"/>
        <v>-1359.45</v>
      </c>
      <c r="U438" s="25">
        <f t="shared" si="174"/>
        <v>143.1</v>
      </c>
      <c r="V438" s="123">
        <f t="shared" si="175"/>
        <v>-143.1</v>
      </c>
      <c r="W438" s="334">
        <f t="shared" si="176"/>
        <v>13.5</v>
      </c>
      <c r="Y438" s="109">
        <f>IF(AE438=1,IF(Y437=MiscData!$F$1,EOMONTH(Y437,-11),EOMONTH(Y437,1)),Y437)</f>
        <v>42551</v>
      </c>
      <c r="Z438" s="108" t="str">
        <f t="shared" si="186"/>
        <v>20140101LGUM_482</v>
      </c>
      <c r="AA438" s="126" t="str">
        <f t="shared" si="187"/>
        <v xml:space="preserve">20140101LS </v>
      </c>
      <c r="AB438" s="583" t="str">
        <f t="shared" si="181"/>
        <v>482</v>
      </c>
      <c r="AD438" s="98">
        <f>MiscData!$X$5</f>
        <v>20140101</v>
      </c>
      <c r="AE438" s="98">
        <f>IF(AE437+1&gt;MiscData!$AC$77,1,AE437+1)</f>
        <v>70</v>
      </c>
      <c r="AF438" s="98" t="str">
        <f>VLOOKUP(AE438,MiscData!$AC$5:$AD$77,2,FALSE)</f>
        <v>LGUM_482</v>
      </c>
      <c r="AG438" s="98" t="str">
        <f>VLOOKUP(AF438,MiscData!$AD$5:$AE$77,2,FALSE)</f>
        <v xml:space="preserve">LS </v>
      </c>
      <c r="AP438" s="98" t="s">
        <v>270</v>
      </c>
      <c r="AR438" s="98">
        <v>0</v>
      </c>
    </row>
    <row r="439" spans="1:44">
      <c r="A439" s="108">
        <f t="shared" si="182"/>
        <v>436</v>
      </c>
      <c r="B439" s="109" t="str">
        <f t="shared" si="183"/>
        <v>Jun 2016</v>
      </c>
      <c r="C439" s="110" t="str">
        <f t="shared" si="184"/>
        <v xml:space="preserve">LS </v>
      </c>
      <c r="D439" s="110" t="str">
        <f t="shared" si="185"/>
        <v>LGUM_483</v>
      </c>
      <c r="E439" s="581">
        <f t="shared" si="163"/>
        <v>2</v>
      </c>
      <c r="F439" s="581">
        <f t="shared" si="164"/>
        <v>0</v>
      </c>
      <c r="G439" s="116">
        <f t="shared" si="165"/>
        <v>42.56</v>
      </c>
      <c r="H439" s="116">
        <f t="shared" si="166"/>
        <v>9.8100000000000023</v>
      </c>
      <c r="I439" s="118">
        <f t="shared" si="177"/>
        <v>85.12</v>
      </c>
      <c r="J439" s="118">
        <f t="shared" si="167"/>
        <v>85.12</v>
      </c>
      <c r="K439" s="570">
        <f t="shared" si="178"/>
        <v>0</v>
      </c>
      <c r="L439" s="121">
        <f t="shared" si="168"/>
        <v>0</v>
      </c>
      <c r="M439" s="122">
        <f t="shared" si="169"/>
        <v>0</v>
      </c>
      <c r="N439" s="122">
        <f t="shared" si="170"/>
        <v>0</v>
      </c>
      <c r="O439" s="122">
        <f t="shared" si="171"/>
        <v>0</v>
      </c>
      <c r="P439" s="122">
        <f t="shared" si="172"/>
        <v>0</v>
      </c>
      <c r="Q439" s="123">
        <f t="shared" si="173"/>
        <v>85.12</v>
      </c>
      <c r="R439" s="123">
        <f t="shared" si="179"/>
        <v>-85.12</v>
      </c>
      <c r="S439" s="582">
        <v>0</v>
      </c>
      <c r="T439" s="123">
        <f t="shared" si="180"/>
        <v>-85.12</v>
      </c>
      <c r="U439" s="25">
        <f t="shared" si="174"/>
        <v>19.62</v>
      </c>
      <c r="V439" s="123">
        <f t="shared" si="175"/>
        <v>-19.62</v>
      </c>
      <c r="W439" s="334">
        <f t="shared" si="176"/>
        <v>1.22</v>
      </c>
      <c r="Y439" s="109">
        <f>IF(AE439=1,IF(Y438=MiscData!$F$1,EOMONTH(Y438,-11),EOMONTH(Y438,1)),Y438)</f>
        <v>42551</v>
      </c>
      <c r="Z439" s="108" t="str">
        <f t="shared" si="186"/>
        <v>20140101LGUM_483</v>
      </c>
      <c r="AA439" s="126" t="str">
        <f t="shared" si="187"/>
        <v xml:space="preserve">20140101LS </v>
      </c>
      <c r="AB439" s="583" t="str">
        <f t="shared" si="181"/>
        <v>483</v>
      </c>
      <c r="AD439" s="98">
        <f>MiscData!$X$5</f>
        <v>20140101</v>
      </c>
      <c r="AE439" s="98">
        <f>IF(AE438+1&gt;MiscData!$AC$77,1,AE438+1)</f>
        <v>71</v>
      </c>
      <c r="AF439" s="98" t="str">
        <f>VLOOKUP(AE439,MiscData!$AC$5:$AD$77,2,FALSE)</f>
        <v>LGUM_483</v>
      </c>
      <c r="AG439" s="98" t="str">
        <f>VLOOKUP(AF439,MiscData!$AD$5:$AE$77,2,FALSE)</f>
        <v xml:space="preserve">LS </v>
      </c>
      <c r="AP439" s="98" t="s">
        <v>271</v>
      </c>
      <c r="AR439" s="98">
        <v>0</v>
      </c>
    </row>
    <row r="440" spans="1:44">
      <c r="A440" s="108">
        <f t="shared" si="182"/>
        <v>437</v>
      </c>
      <c r="B440" s="109" t="str">
        <f t="shared" si="183"/>
        <v>Jun 2016</v>
      </c>
      <c r="C440" s="110" t="str">
        <f t="shared" si="184"/>
        <v xml:space="preserve">LS </v>
      </c>
      <c r="D440" s="110" t="str">
        <f t="shared" si="185"/>
        <v>LGUM_484</v>
      </c>
      <c r="E440" s="581">
        <f t="shared" si="163"/>
        <v>13</v>
      </c>
      <c r="F440" s="581">
        <f t="shared" si="164"/>
        <v>0</v>
      </c>
      <c r="G440" s="116">
        <f t="shared" si="165"/>
        <v>52.31</v>
      </c>
      <c r="H440" s="116">
        <f t="shared" si="166"/>
        <v>9.8100000000000023</v>
      </c>
      <c r="I440" s="118">
        <f t="shared" si="177"/>
        <v>680.03</v>
      </c>
      <c r="J440" s="118">
        <f t="shared" si="167"/>
        <v>680.03</v>
      </c>
      <c r="K440" s="570">
        <f t="shared" si="178"/>
        <v>0</v>
      </c>
      <c r="L440" s="121">
        <f t="shared" si="168"/>
        <v>0</v>
      </c>
      <c r="M440" s="122">
        <f t="shared" si="169"/>
        <v>0</v>
      </c>
      <c r="N440" s="122">
        <f t="shared" si="170"/>
        <v>0</v>
      </c>
      <c r="O440" s="122">
        <f t="shared" si="171"/>
        <v>0</v>
      </c>
      <c r="P440" s="122">
        <f t="shared" si="172"/>
        <v>0</v>
      </c>
      <c r="Q440" s="123">
        <f t="shared" si="173"/>
        <v>680.03</v>
      </c>
      <c r="R440" s="123">
        <f t="shared" si="179"/>
        <v>-680.03</v>
      </c>
      <c r="S440" s="582">
        <v>0</v>
      </c>
      <c r="T440" s="123">
        <f t="shared" si="180"/>
        <v>-680.03</v>
      </c>
      <c r="U440" s="25">
        <f t="shared" si="174"/>
        <v>127.53</v>
      </c>
      <c r="V440" s="123">
        <f t="shared" si="175"/>
        <v>-127.53</v>
      </c>
      <c r="W440" s="334">
        <f t="shared" si="176"/>
        <v>7.93</v>
      </c>
      <c r="Y440" s="109">
        <f>IF(AE440=1,IF(Y439=MiscData!$F$1,EOMONTH(Y439,-11),EOMONTH(Y439,1)),Y439)</f>
        <v>42551</v>
      </c>
      <c r="Z440" s="108" t="str">
        <f t="shared" si="186"/>
        <v>20140101LGUM_484</v>
      </c>
      <c r="AA440" s="126" t="str">
        <f t="shared" si="187"/>
        <v xml:space="preserve">20140101LS </v>
      </c>
      <c r="AB440" s="583" t="str">
        <f t="shared" si="181"/>
        <v>484</v>
      </c>
      <c r="AD440" s="98">
        <f>MiscData!$X$5</f>
        <v>20140101</v>
      </c>
      <c r="AE440" s="98">
        <f>IF(AE439+1&gt;MiscData!$AC$77,1,AE439+1)</f>
        <v>72</v>
      </c>
      <c r="AF440" s="98" t="str">
        <f>VLOOKUP(AE440,MiscData!$AC$5:$AD$77,2,FALSE)</f>
        <v>LGUM_484</v>
      </c>
      <c r="AG440" s="98" t="str">
        <f>VLOOKUP(AF440,MiscData!$AD$5:$AE$77,2,FALSE)</f>
        <v xml:space="preserve">LS </v>
      </c>
      <c r="AP440" s="98" t="s">
        <v>272</v>
      </c>
      <c r="AR440" s="98">
        <v>10.57</v>
      </c>
    </row>
    <row r="441" spans="1:44">
      <c r="A441" s="108">
        <f t="shared" si="182"/>
        <v>438</v>
      </c>
      <c r="B441" s="109" t="str">
        <f t="shared" si="183"/>
        <v>Jun 2016</v>
      </c>
      <c r="C441" s="110" t="str">
        <f t="shared" si="184"/>
        <v>ODL</v>
      </c>
      <c r="D441" s="110" t="str">
        <f t="shared" si="185"/>
        <v>ODL</v>
      </c>
      <c r="E441" s="581">
        <f t="shared" si="163"/>
        <v>0</v>
      </c>
      <c r="F441" s="581">
        <f t="shared" si="164"/>
        <v>7911510</v>
      </c>
      <c r="G441" s="116">
        <f t="shared" si="165"/>
        <v>0</v>
      </c>
      <c r="H441" s="116">
        <f t="shared" si="166"/>
        <v>0</v>
      </c>
      <c r="I441" s="118">
        <f t="shared" si="177"/>
        <v>0</v>
      </c>
      <c r="J441" s="118">
        <f t="shared" si="167"/>
        <v>0</v>
      </c>
      <c r="K441" s="570">
        <f t="shared" si="178"/>
        <v>1931254</v>
      </c>
      <c r="L441" s="121">
        <f t="shared" si="168"/>
        <v>0</v>
      </c>
      <c r="M441" s="122">
        <f t="shared" si="169"/>
        <v>11986</v>
      </c>
      <c r="N441" s="122">
        <f t="shared" si="170"/>
        <v>73018</v>
      </c>
      <c r="O441" s="122">
        <f t="shared" si="171"/>
        <v>0</v>
      </c>
      <c r="P441" s="122">
        <f t="shared" si="172"/>
        <v>2016258</v>
      </c>
      <c r="Q441" s="123">
        <f t="shared" si="173"/>
        <v>85004</v>
      </c>
      <c r="R441" s="123">
        <f t="shared" si="179"/>
        <v>1931254</v>
      </c>
      <c r="S441" s="582">
        <v>0</v>
      </c>
      <c r="T441" s="123">
        <f t="shared" si="180"/>
        <v>1931254</v>
      </c>
      <c r="U441" s="25">
        <f t="shared" si="174"/>
        <v>0</v>
      </c>
      <c r="V441" s="123">
        <f t="shared" si="175"/>
        <v>1931254</v>
      </c>
      <c r="W441" s="334">
        <f t="shared" si="176"/>
        <v>0</v>
      </c>
      <c r="Y441" s="109">
        <f>IF(AE441=1,IF(Y440=MiscData!$F$1,EOMONTH(Y440,-11),EOMONTH(Y440,1)),Y440)</f>
        <v>42551</v>
      </c>
      <c r="Z441" s="108" t="str">
        <f t="shared" si="186"/>
        <v>20140101ODL</v>
      </c>
      <c r="AA441" s="126" t="str">
        <f t="shared" si="187"/>
        <v>20140101ODL</v>
      </c>
      <c r="AB441" s="583" t="str">
        <f t="shared" si="181"/>
        <v>ODL</v>
      </c>
      <c r="AD441" s="98">
        <f>MiscData!$X$5</f>
        <v>20140101</v>
      </c>
      <c r="AE441" s="98">
        <f>IF(AE440+1&gt;MiscData!$AC$77,1,AE440+1)</f>
        <v>73</v>
      </c>
      <c r="AF441" s="98" t="str">
        <f>VLOOKUP(AE441,MiscData!$AC$5:$AD$77,2,FALSE)</f>
        <v>ODL</v>
      </c>
      <c r="AG441" s="98" t="str">
        <f>VLOOKUP(AF441,MiscData!$AD$5:$AE$77,2,FALSE)</f>
        <v>ODL</v>
      </c>
      <c r="AP441" s="98" t="s">
        <v>273</v>
      </c>
      <c r="AR441" s="98">
        <v>0</v>
      </c>
    </row>
    <row r="442" spans="1:44">
      <c r="A442" s="108">
        <f t="shared" si="182"/>
        <v>439</v>
      </c>
      <c r="B442" s="109" t="str">
        <f t="shared" si="183"/>
        <v>Jul 2015</v>
      </c>
      <c r="C442" s="110" t="str">
        <f t="shared" si="184"/>
        <v>RLS</v>
      </c>
      <c r="D442" s="110" t="str">
        <f t="shared" si="185"/>
        <v>LGUM_201</v>
      </c>
      <c r="E442" s="581">
        <f t="shared" si="163"/>
        <v>75</v>
      </c>
      <c r="F442" s="581">
        <f t="shared" si="164"/>
        <v>0</v>
      </c>
      <c r="G442" s="116">
        <f t="shared" si="165"/>
        <v>8.14</v>
      </c>
      <c r="H442" s="116">
        <f t="shared" si="166"/>
        <v>1.0899999999999999</v>
      </c>
      <c r="I442" s="118">
        <f t="shared" si="177"/>
        <v>610.5</v>
      </c>
      <c r="J442" s="118">
        <f t="shared" si="167"/>
        <v>610.5</v>
      </c>
      <c r="K442" s="570">
        <f t="shared" si="178"/>
        <v>0</v>
      </c>
      <c r="L442" s="121">
        <f t="shared" si="168"/>
        <v>0</v>
      </c>
      <c r="M442" s="122">
        <f t="shared" si="169"/>
        <v>0</v>
      </c>
      <c r="N442" s="122">
        <f t="shared" si="170"/>
        <v>0</v>
      </c>
      <c r="O442" s="122">
        <f t="shared" si="171"/>
        <v>0</v>
      </c>
      <c r="P442" s="122">
        <f t="shared" si="172"/>
        <v>0</v>
      </c>
      <c r="Q442" s="123">
        <f t="shared" si="173"/>
        <v>610.5</v>
      </c>
      <c r="R442" s="123">
        <f t="shared" si="179"/>
        <v>-610.5</v>
      </c>
      <c r="S442" s="582">
        <v>0</v>
      </c>
      <c r="T442" s="123">
        <f t="shared" si="180"/>
        <v>-610.5</v>
      </c>
      <c r="U442" s="25">
        <f t="shared" si="174"/>
        <v>81.75</v>
      </c>
      <c r="V442" s="123">
        <f t="shared" si="175"/>
        <v>-81.75</v>
      </c>
      <c r="W442" s="334">
        <f t="shared" si="176"/>
        <v>12</v>
      </c>
      <c r="Y442" s="109">
        <f>IF(AE442=1,IF(Y441=MiscData!$F$1,EOMONTH(Y441,-11),EOMONTH(Y441,1)),Y441)</f>
        <v>42216</v>
      </c>
      <c r="Z442" s="108" t="str">
        <f t="shared" si="186"/>
        <v>20140101LGUM_201</v>
      </c>
      <c r="AA442" s="126" t="str">
        <f t="shared" si="187"/>
        <v>20140101RLS</v>
      </c>
      <c r="AB442" s="583" t="str">
        <f t="shared" si="181"/>
        <v>201</v>
      </c>
      <c r="AD442" s="98">
        <f>MiscData!$X$5</f>
        <v>20140101</v>
      </c>
      <c r="AE442" s="98">
        <f>IF(AE441+1&gt;MiscData!$AC$77,1,AE441+1)</f>
        <v>1</v>
      </c>
      <c r="AF442" s="98" t="str">
        <f>VLOOKUP(AE442,MiscData!$AC$5:$AD$77,2,FALSE)</f>
        <v>LGUM_201</v>
      </c>
      <c r="AG442" s="98" t="str">
        <f>VLOOKUP(AF442,MiscData!$AD$5:$AE$77,2,FALSE)</f>
        <v>RLS</v>
      </c>
      <c r="AP442" s="98" t="s">
        <v>274</v>
      </c>
      <c r="AR442" s="98">
        <v>0</v>
      </c>
    </row>
    <row r="443" spans="1:44">
      <c r="A443" s="108">
        <f t="shared" si="182"/>
        <v>440</v>
      </c>
      <c r="B443" s="109" t="str">
        <f t="shared" si="183"/>
        <v>Jul 2015</v>
      </c>
      <c r="C443" s="110" t="str">
        <f t="shared" si="184"/>
        <v>RLS</v>
      </c>
      <c r="D443" s="110" t="str">
        <f t="shared" si="185"/>
        <v>LGUM_203</v>
      </c>
      <c r="E443" s="581">
        <f t="shared" si="163"/>
        <v>3649</v>
      </c>
      <c r="F443" s="581">
        <f t="shared" si="164"/>
        <v>0</v>
      </c>
      <c r="G443" s="116">
        <f t="shared" si="165"/>
        <v>10.959999999999999</v>
      </c>
      <c r="H443" s="116">
        <f t="shared" si="166"/>
        <v>2.7099999999999991</v>
      </c>
      <c r="I443" s="118">
        <f t="shared" si="177"/>
        <v>39993.040000000001</v>
      </c>
      <c r="J443" s="118">
        <f t="shared" si="167"/>
        <v>39993.040000000001</v>
      </c>
      <c r="K443" s="570">
        <f t="shared" si="178"/>
        <v>0</v>
      </c>
      <c r="L443" s="121">
        <f t="shared" si="168"/>
        <v>0</v>
      </c>
      <c r="M443" s="122">
        <f t="shared" si="169"/>
        <v>0</v>
      </c>
      <c r="N443" s="122">
        <f t="shared" si="170"/>
        <v>0</v>
      </c>
      <c r="O443" s="122">
        <f t="shared" si="171"/>
        <v>0</v>
      </c>
      <c r="P443" s="122">
        <f t="shared" si="172"/>
        <v>0</v>
      </c>
      <c r="Q443" s="123">
        <f t="shared" si="173"/>
        <v>39993.040000000001</v>
      </c>
      <c r="R443" s="123">
        <f t="shared" si="179"/>
        <v>-39993.040000000001</v>
      </c>
      <c r="S443" s="582">
        <v>0</v>
      </c>
      <c r="T443" s="123">
        <f t="shared" si="180"/>
        <v>-39993.040000000001</v>
      </c>
      <c r="U443" s="25">
        <f t="shared" si="174"/>
        <v>9888.7900000000009</v>
      </c>
      <c r="V443" s="123">
        <f t="shared" si="175"/>
        <v>-9888.7900000000009</v>
      </c>
      <c r="W443" s="334">
        <f t="shared" si="176"/>
        <v>656.81999999999994</v>
      </c>
      <c r="Y443" s="109">
        <f>IF(AE443=1,IF(Y442=MiscData!$F$1,EOMONTH(Y442,-11),EOMONTH(Y442,1)),Y442)</f>
        <v>42216</v>
      </c>
      <c r="Z443" s="108" t="str">
        <f t="shared" si="186"/>
        <v>20140101LGUM_203</v>
      </c>
      <c r="AA443" s="126" t="str">
        <f t="shared" si="187"/>
        <v>20140101RLS</v>
      </c>
      <c r="AB443" s="583" t="str">
        <f t="shared" si="181"/>
        <v>203</v>
      </c>
      <c r="AD443" s="98">
        <f>MiscData!$X$5</f>
        <v>20140101</v>
      </c>
      <c r="AE443" s="98">
        <f>IF(AE442+1&gt;MiscData!$AC$77,1,AE442+1)</f>
        <v>2</v>
      </c>
      <c r="AF443" s="98" t="str">
        <f>VLOOKUP(AE443,MiscData!$AC$5:$AD$77,2,FALSE)</f>
        <v>LGUM_203</v>
      </c>
      <c r="AG443" s="98" t="str">
        <f>VLOOKUP(AF443,MiscData!$AD$5:$AE$77,2,FALSE)</f>
        <v>RLS</v>
      </c>
      <c r="AP443" s="98" t="s">
        <v>275</v>
      </c>
      <c r="AR443" s="98">
        <v>0</v>
      </c>
    </row>
    <row r="444" spans="1:44">
      <c r="A444" s="108">
        <f t="shared" si="182"/>
        <v>441</v>
      </c>
      <c r="B444" s="109" t="str">
        <f t="shared" si="183"/>
        <v>Jul 2015</v>
      </c>
      <c r="C444" s="110" t="str">
        <f t="shared" si="184"/>
        <v>RLS</v>
      </c>
      <c r="D444" s="110" t="str">
        <f t="shared" si="185"/>
        <v>LGUM_204</v>
      </c>
      <c r="E444" s="581">
        <f t="shared" si="163"/>
        <v>3686</v>
      </c>
      <c r="F444" s="581">
        <f t="shared" si="164"/>
        <v>0</v>
      </c>
      <c r="G444" s="116">
        <f t="shared" si="165"/>
        <v>13.510000000000002</v>
      </c>
      <c r="H444" s="116">
        <f t="shared" si="166"/>
        <v>4.2000000000000011</v>
      </c>
      <c r="I444" s="118">
        <f t="shared" si="177"/>
        <v>49797.86</v>
      </c>
      <c r="J444" s="118">
        <f t="shared" si="167"/>
        <v>49797.86</v>
      </c>
      <c r="K444" s="570">
        <f t="shared" si="178"/>
        <v>0</v>
      </c>
      <c r="L444" s="121">
        <f t="shared" si="168"/>
        <v>0</v>
      </c>
      <c r="M444" s="122">
        <f t="shared" si="169"/>
        <v>0</v>
      </c>
      <c r="N444" s="122">
        <f t="shared" si="170"/>
        <v>0</v>
      </c>
      <c r="O444" s="122">
        <f t="shared" si="171"/>
        <v>0</v>
      </c>
      <c r="P444" s="122">
        <f t="shared" si="172"/>
        <v>0</v>
      </c>
      <c r="Q444" s="123">
        <f t="shared" si="173"/>
        <v>49797.86</v>
      </c>
      <c r="R444" s="123">
        <f t="shared" si="179"/>
        <v>-49797.86</v>
      </c>
      <c r="S444" s="582">
        <v>0</v>
      </c>
      <c r="T444" s="123">
        <f t="shared" si="180"/>
        <v>-49797.86</v>
      </c>
      <c r="U444" s="25">
        <f t="shared" si="174"/>
        <v>15481.2</v>
      </c>
      <c r="V444" s="123">
        <f t="shared" si="175"/>
        <v>-15481.2</v>
      </c>
      <c r="W444" s="334">
        <f t="shared" si="176"/>
        <v>810.92</v>
      </c>
      <c r="Y444" s="109">
        <f>IF(AE444=1,IF(Y443=MiscData!$F$1,EOMONTH(Y443,-11),EOMONTH(Y443,1)),Y443)</f>
        <v>42216</v>
      </c>
      <c r="Z444" s="108" t="str">
        <f t="shared" si="186"/>
        <v>20140101LGUM_204</v>
      </c>
      <c r="AA444" s="126" t="str">
        <f t="shared" si="187"/>
        <v>20140101RLS</v>
      </c>
      <c r="AB444" s="583" t="str">
        <f t="shared" si="181"/>
        <v>204</v>
      </c>
      <c r="AD444" s="98">
        <f>MiscData!$X$5</f>
        <v>20140101</v>
      </c>
      <c r="AE444" s="98">
        <f>IF(AE443+1&gt;MiscData!$AC$77,1,AE443+1)</f>
        <v>3</v>
      </c>
      <c r="AF444" s="98" t="str">
        <f>VLOOKUP(AE444,MiscData!$AC$5:$AD$77,2,FALSE)</f>
        <v>LGUM_204</v>
      </c>
      <c r="AG444" s="98" t="str">
        <f>VLOOKUP(AF444,MiscData!$AD$5:$AE$77,2,FALSE)</f>
        <v>RLS</v>
      </c>
      <c r="AP444" s="98" t="s">
        <v>276</v>
      </c>
      <c r="AR444" s="98">
        <v>0</v>
      </c>
    </row>
    <row r="445" spans="1:44">
      <c r="A445" s="108">
        <f t="shared" si="182"/>
        <v>442</v>
      </c>
      <c r="B445" s="109" t="str">
        <f t="shared" si="183"/>
        <v>Jul 2015</v>
      </c>
      <c r="C445" s="110" t="str">
        <f t="shared" si="184"/>
        <v>RLS</v>
      </c>
      <c r="D445" s="110" t="str">
        <f t="shared" si="185"/>
        <v>LGUM_206</v>
      </c>
      <c r="E445" s="581">
        <f t="shared" si="163"/>
        <v>92</v>
      </c>
      <c r="F445" s="581">
        <f t="shared" si="164"/>
        <v>0</v>
      </c>
      <c r="G445" s="116">
        <f t="shared" si="165"/>
        <v>12.450000000000001</v>
      </c>
      <c r="H445" s="116">
        <f t="shared" si="166"/>
        <v>1.0899999999999999</v>
      </c>
      <c r="I445" s="118">
        <f t="shared" si="177"/>
        <v>1145.4000000000001</v>
      </c>
      <c r="J445" s="118">
        <f t="shared" si="167"/>
        <v>1145.4000000000001</v>
      </c>
      <c r="K445" s="570">
        <f t="shared" si="178"/>
        <v>0</v>
      </c>
      <c r="L445" s="121">
        <f t="shared" si="168"/>
        <v>0</v>
      </c>
      <c r="M445" s="122">
        <f t="shared" si="169"/>
        <v>0</v>
      </c>
      <c r="N445" s="122">
        <f t="shared" si="170"/>
        <v>0</v>
      </c>
      <c r="O445" s="122">
        <f t="shared" si="171"/>
        <v>0</v>
      </c>
      <c r="P445" s="122">
        <f t="shared" si="172"/>
        <v>0</v>
      </c>
      <c r="Q445" s="123">
        <f t="shared" si="173"/>
        <v>1145.4000000000001</v>
      </c>
      <c r="R445" s="123">
        <f t="shared" si="179"/>
        <v>-1145.4000000000001</v>
      </c>
      <c r="S445" s="582">
        <v>0</v>
      </c>
      <c r="T445" s="123">
        <f t="shared" si="180"/>
        <v>-1145.4000000000001</v>
      </c>
      <c r="U445" s="25">
        <f t="shared" si="174"/>
        <v>100.28</v>
      </c>
      <c r="V445" s="123">
        <f t="shared" si="175"/>
        <v>-100.28</v>
      </c>
      <c r="W445" s="334">
        <f t="shared" si="176"/>
        <v>14.72</v>
      </c>
      <c r="Y445" s="109">
        <f>IF(AE445=1,IF(Y444=MiscData!$F$1,EOMONTH(Y444,-11),EOMONTH(Y444,1)),Y444)</f>
        <v>42216</v>
      </c>
      <c r="Z445" s="108" t="str">
        <f t="shared" si="186"/>
        <v>20140101LGUM_206</v>
      </c>
      <c r="AA445" s="126" t="str">
        <f t="shared" si="187"/>
        <v>20140101RLS</v>
      </c>
      <c r="AB445" s="583" t="str">
        <f t="shared" si="181"/>
        <v>206</v>
      </c>
      <c r="AD445" s="98">
        <f>MiscData!$X$5</f>
        <v>20140101</v>
      </c>
      <c r="AE445" s="98">
        <f>IF(AE444+1&gt;MiscData!$AC$77,1,AE444+1)</f>
        <v>4</v>
      </c>
      <c r="AF445" s="98" t="str">
        <f>VLOOKUP(AE445,MiscData!$AC$5:$AD$77,2,FALSE)</f>
        <v>LGUM_206</v>
      </c>
      <c r="AG445" s="98" t="str">
        <f>VLOOKUP(AF445,MiscData!$AD$5:$AE$77,2,FALSE)</f>
        <v>RLS</v>
      </c>
      <c r="AP445" s="98" t="s">
        <v>277</v>
      </c>
      <c r="AR445" s="98">
        <v>0</v>
      </c>
    </row>
    <row r="446" spans="1:44">
      <c r="A446" s="108">
        <f t="shared" si="182"/>
        <v>443</v>
      </c>
      <c r="B446" s="109" t="str">
        <f t="shared" si="183"/>
        <v>Jul 2015</v>
      </c>
      <c r="C446" s="110" t="str">
        <f t="shared" si="184"/>
        <v>RLS</v>
      </c>
      <c r="D446" s="110" t="str">
        <f t="shared" si="185"/>
        <v>LGUM_207</v>
      </c>
      <c r="E446" s="581">
        <f t="shared" si="163"/>
        <v>744</v>
      </c>
      <c r="F446" s="581">
        <f t="shared" si="164"/>
        <v>0</v>
      </c>
      <c r="G446" s="116">
        <f t="shared" si="165"/>
        <v>15.54</v>
      </c>
      <c r="H446" s="116">
        <f t="shared" si="166"/>
        <v>4.2000000000000011</v>
      </c>
      <c r="I446" s="118">
        <f t="shared" si="177"/>
        <v>11561.76</v>
      </c>
      <c r="J446" s="118">
        <f t="shared" si="167"/>
        <v>11561.76</v>
      </c>
      <c r="K446" s="570">
        <f t="shared" si="178"/>
        <v>0</v>
      </c>
      <c r="L446" s="121">
        <f t="shared" si="168"/>
        <v>0</v>
      </c>
      <c r="M446" s="122">
        <f t="shared" si="169"/>
        <v>0</v>
      </c>
      <c r="N446" s="122">
        <f t="shared" si="170"/>
        <v>0</v>
      </c>
      <c r="O446" s="122">
        <f t="shared" si="171"/>
        <v>0</v>
      </c>
      <c r="P446" s="122">
        <f t="shared" si="172"/>
        <v>0</v>
      </c>
      <c r="Q446" s="123">
        <f t="shared" si="173"/>
        <v>11561.76</v>
      </c>
      <c r="R446" s="123">
        <f t="shared" si="179"/>
        <v>-11561.76</v>
      </c>
      <c r="S446" s="582">
        <v>0</v>
      </c>
      <c r="T446" s="123">
        <f t="shared" si="180"/>
        <v>-11561.76</v>
      </c>
      <c r="U446" s="25">
        <f t="shared" si="174"/>
        <v>3124.8</v>
      </c>
      <c r="V446" s="123">
        <f t="shared" si="175"/>
        <v>-3124.8</v>
      </c>
      <c r="W446" s="334">
        <f t="shared" si="176"/>
        <v>163.68</v>
      </c>
      <c r="Y446" s="109">
        <f>IF(AE446=1,IF(Y445=MiscData!$F$1,EOMONTH(Y445,-11),EOMONTH(Y445,1)),Y445)</f>
        <v>42216</v>
      </c>
      <c r="Z446" s="108" t="str">
        <f t="shared" si="186"/>
        <v>20140101LGUM_207</v>
      </c>
      <c r="AA446" s="126" t="str">
        <f t="shared" si="187"/>
        <v>20140101RLS</v>
      </c>
      <c r="AB446" s="583" t="str">
        <f t="shared" si="181"/>
        <v>207</v>
      </c>
      <c r="AD446" s="98">
        <f>MiscData!$X$5</f>
        <v>20140101</v>
      </c>
      <c r="AE446" s="98">
        <f>IF(AE445+1&gt;MiscData!$AC$77,1,AE445+1)</f>
        <v>5</v>
      </c>
      <c r="AF446" s="98" t="str">
        <f>VLOOKUP(AE446,MiscData!$AC$5:$AD$77,2,FALSE)</f>
        <v>LGUM_207</v>
      </c>
      <c r="AG446" s="98" t="str">
        <f>VLOOKUP(AF446,MiscData!$AD$5:$AE$77,2,FALSE)</f>
        <v>RLS</v>
      </c>
      <c r="AP446" s="98" t="s">
        <v>553</v>
      </c>
      <c r="AR446" s="98">
        <v>0</v>
      </c>
    </row>
    <row r="447" spans="1:44">
      <c r="A447" s="108">
        <f t="shared" si="182"/>
        <v>444</v>
      </c>
      <c r="B447" s="109" t="str">
        <f t="shared" si="183"/>
        <v>Jul 2015</v>
      </c>
      <c r="C447" s="110" t="str">
        <f t="shared" si="184"/>
        <v>RLS</v>
      </c>
      <c r="D447" s="110" t="str">
        <f t="shared" si="185"/>
        <v>LGUM_208</v>
      </c>
      <c r="E447" s="581">
        <f t="shared" si="163"/>
        <v>1387</v>
      </c>
      <c r="F447" s="581">
        <f t="shared" si="164"/>
        <v>0</v>
      </c>
      <c r="G447" s="116">
        <f t="shared" si="165"/>
        <v>14.24</v>
      </c>
      <c r="H447" s="116">
        <f t="shared" si="166"/>
        <v>1.9100000000000001</v>
      </c>
      <c r="I447" s="118">
        <f t="shared" si="177"/>
        <v>19750.88</v>
      </c>
      <c r="J447" s="118">
        <f t="shared" si="167"/>
        <v>19750.88</v>
      </c>
      <c r="K447" s="570">
        <f t="shared" si="178"/>
        <v>0</v>
      </c>
      <c r="L447" s="121">
        <f t="shared" si="168"/>
        <v>0</v>
      </c>
      <c r="M447" s="122">
        <f t="shared" si="169"/>
        <v>0</v>
      </c>
      <c r="N447" s="122">
        <f t="shared" si="170"/>
        <v>0</v>
      </c>
      <c r="O447" s="122">
        <f t="shared" si="171"/>
        <v>0</v>
      </c>
      <c r="P447" s="122">
        <f t="shared" si="172"/>
        <v>0</v>
      </c>
      <c r="Q447" s="123">
        <f t="shared" si="173"/>
        <v>19750.88</v>
      </c>
      <c r="R447" s="123">
        <f t="shared" si="179"/>
        <v>-19750.88</v>
      </c>
      <c r="S447" s="582">
        <v>0</v>
      </c>
      <c r="T447" s="123">
        <f t="shared" si="180"/>
        <v>-19750.88</v>
      </c>
      <c r="U447" s="25">
        <f t="shared" si="174"/>
        <v>2649.17</v>
      </c>
      <c r="V447" s="123">
        <f t="shared" si="175"/>
        <v>-2649.17</v>
      </c>
      <c r="W447" s="334">
        <f t="shared" si="176"/>
        <v>221.92000000000002</v>
      </c>
      <c r="Y447" s="109">
        <f>IF(AE447=1,IF(Y446=MiscData!$F$1,EOMONTH(Y446,-11),EOMONTH(Y446,1)),Y446)</f>
        <v>42216</v>
      </c>
      <c r="Z447" s="108" t="str">
        <f t="shared" si="186"/>
        <v>20140101LGUM_208</v>
      </c>
      <c r="AA447" s="126" t="str">
        <f t="shared" si="187"/>
        <v>20140101RLS</v>
      </c>
      <c r="AB447" s="583" t="str">
        <f t="shared" si="181"/>
        <v>208</v>
      </c>
      <c r="AD447" s="98">
        <f>MiscData!$X$5</f>
        <v>20140101</v>
      </c>
      <c r="AE447" s="98">
        <f>IF(AE446+1&gt;MiscData!$AC$77,1,AE446+1)</f>
        <v>6</v>
      </c>
      <c r="AF447" s="98" t="str">
        <f>VLOOKUP(AE447,MiscData!$AC$5:$AD$77,2,FALSE)</f>
        <v>LGUM_208</v>
      </c>
      <c r="AG447" s="98" t="str">
        <f>VLOOKUP(AF447,MiscData!$AD$5:$AE$77,2,FALSE)</f>
        <v>RLS</v>
      </c>
      <c r="AP447" s="98" t="s">
        <v>554</v>
      </c>
      <c r="AR447" s="98">
        <v>0</v>
      </c>
    </row>
    <row r="448" spans="1:44">
      <c r="A448" s="108">
        <f t="shared" si="182"/>
        <v>445</v>
      </c>
      <c r="B448" s="109" t="str">
        <f t="shared" si="183"/>
        <v>Jul 2015</v>
      </c>
      <c r="C448" s="110" t="str">
        <f t="shared" si="184"/>
        <v>RLS</v>
      </c>
      <c r="D448" s="110" t="str">
        <f t="shared" si="185"/>
        <v>LGUM_209</v>
      </c>
      <c r="E448" s="581">
        <f t="shared" si="163"/>
        <v>43</v>
      </c>
      <c r="F448" s="581">
        <f t="shared" si="164"/>
        <v>0</v>
      </c>
      <c r="G448" s="116">
        <f t="shared" si="165"/>
        <v>27.69</v>
      </c>
      <c r="H448" s="116">
        <f t="shared" si="166"/>
        <v>10.170000000000002</v>
      </c>
      <c r="I448" s="118">
        <f t="shared" si="177"/>
        <v>1190.67</v>
      </c>
      <c r="J448" s="118">
        <f t="shared" si="167"/>
        <v>1190.67</v>
      </c>
      <c r="K448" s="570">
        <f t="shared" si="178"/>
        <v>0</v>
      </c>
      <c r="L448" s="121">
        <f t="shared" si="168"/>
        <v>0</v>
      </c>
      <c r="M448" s="122">
        <f t="shared" si="169"/>
        <v>0</v>
      </c>
      <c r="N448" s="122">
        <f t="shared" si="170"/>
        <v>0</v>
      </c>
      <c r="O448" s="122">
        <f t="shared" si="171"/>
        <v>0</v>
      </c>
      <c r="P448" s="122">
        <f t="shared" si="172"/>
        <v>0</v>
      </c>
      <c r="Q448" s="123">
        <f t="shared" si="173"/>
        <v>1190.67</v>
      </c>
      <c r="R448" s="123">
        <f t="shared" si="179"/>
        <v>-1190.67</v>
      </c>
      <c r="S448" s="582">
        <v>0</v>
      </c>
      <c r="T448" s="123">
        <f t="shared" si="180"/>
        <v>-1190.67</v>
      </c>
      <c r="U448" s="25">
        <f t="shared" si="174"/>
        <v>437.31</v>
      </c>
      <c r="V448" s="123">
        <f t="shared" si="175"/>
        <v>-437.31</v>
      </c>
      <c r="W448" s="334">
        <f t="shared" si="176"/>
        <v>17.63</v>
      </c>
      <c r="Y448" s="109">
        <f>IF(AE448=1,IF(Y447=MiscData!$F$1,EOMONTH(Y447,-11),EOMONTH(Y447,1)),Y447)</f>
        <v>42216</v>
      </c>
      <c r="Z448" s="108" t="str">
        <f t="shared" si="186"/>
        <v>20140101LGUM_209</v>
      </c>
      <c r="AA448" s="126" t="str">
        <f t="shared" si="187"/>
        <v>20140101RLS</v>
      </c>
      <c r="AB448" s="583" t="str">
        <f t="shared" si="181"/>
        <v>209</v>
      </c>
      <c r="AD448" s="98">
        <f>MiscData!$X$5</f>
        <v>20140101</v>
      </c>
      <c r="AE448" s="98">
        <f>IF(AE447+1&gt;MiscData!$AC$77,1,AE447+1)</f>
        <v>7</v>
      </c>
      <c r="AF448" s="98" t="str">
        <f>VLOOKUP(AE448,MiscData!$AC$5:$AD$77,2,FALSE)</f>
        <v>LGUM_209</v>
      </c>
      <c r="AG448" s="98" t="str">
        <f>VLOOKUP(AF448,MiscData!$AD$5:$AE$77,2,FALSE)</f>
        <v>RLS</v>
      </c>
      <c r="AP448" s="98" t="s">
        <v>278</v>
      </c>
      <c r="AR448" s="98">
        <v>0</v>
      </c>
    </row>
    <row r="449" spans="1:44">
      <c r="A449" s="108">
        <f t="shared" si="182"/>
        <v>446</v>
      </c>
      <c r="B449" s="109" t="str">
        <f t="shared" si="183"/>
        <v>Jul 2015</v>
      </c>
      <c r="C449" s="110" t="str">
        <f t="shared" si="184"/>
        <v>RLS</v>
      </c>
      <c r="D449" s="110" t="str">
        <f t="shared" si="185"/>
        <v>LGUM_210</v>
      </c>
      <c r="E449" s="581">
        <f t="shared" si="163"/>
        <v>329</v>
      </c>
      <c r="F449" s="581">
        <f t="shared" si="164"/>
        <v>0</v>
      </c>
      <c r="G449" s="116">
        <f t="shared" si="165"/>
        <v>28.89</v>
      </c>
      <c r="H449" s="116">
        <f t="shared" si="166"/>
        <v>10.170000000000002</v>
      </c>
      <c r="I449" s="118">
        <f t="shared" si="177"/>
        <v>9504.81</v>
      </c>
      <c r="J449" s="118">
        <f t="shared" si="167"/>
        <v>9504.81</v>
      </c>
      <c r="K449" s="570">
        <f t="shared" si="178"/>
        <v>0</v>
      </c>
      <c r="L449" s="121">
        <f t="shared" si="168"/>
        <v>0</v>
      </c>
      <c r="M449" s="122">
        <f t="shared" si="169"/>
        <v>0</v>
      </c>
      <c r="N449" s="122">
        <f t="shared" si="170"/>
        <v>0</v>
      </c>
      <c r="O449" s="122">
        <f t="shared" si="171"/>
        <v>0</v>
      </c>
      <c r="P449" s="122">
        <f t="shared" si="172"/>
        <v>0</v>
      </c>
      <c r="Q449" s="123">
        <f t="shared" si="173"/>
        <v>9504.81</v>
      </c>
      <c r="R449" s="123">
        <f t="shared" si="179"/>
        <v>-9504.81</v>
      </c>
      <c r="S449" s="582">
        <v>0</v>
      </c>
      <c r="T449" s="123">
        <f t="shared" si="180"/>
        <v>-9504.81</v>
      </c>
      <c r="U449" s="25">
        <f t="shared" si="174"/>
        <v>3345.93</v>
      </c>
      <c r="V449" s="123">
        <f t="shared" si="175"/>
        <v>-3345.93</v>
      </c>
      <c r="W449" s="334">
        <f t="shared" si="176"/>
        <v>134.88999999999999</v>
      </c>
      <c r="Y449" s="109">
        <f>IF(AE449=1,IF(Y448=MiscData!$F$1,EOMONTH(Y448,-11),EOMONTH(Y448,1)),Y448)</f>
        <v>42216</v>
      </c>
      <c r="Z449" s="108" t="str">
        <f t="shared" si="186"/>
        <v>20140101LGUM_210</v>
      </c>
      <c r="AA449" s="126" t="str">
        <f t="shared" si="187"/>
        <v>20140101RLS</v>
      </c>
      <c r="AB449" s="583" t="str">
        <f t="shared" si="181"/>
        <v>210</v>
      </c>
      <c r="AD449" s="98">
        <f>MiscData!$X$5</f>
        <v>20140101</v>
      </c>
      <c r="AE449" s="98">
        <f>IF(AE448+1&gt;MiscData!$AC$77,1,AE448+1)</f>
        <v>8</v>
      </c>
      <c r="AF449" s="98" t="str">
        <f>VLOOKUP(AE449,MiscData!$AC$5:$AD$77,2,FALSE)</f>
        <v>LGUM_210</v>
      </c>
      <c r="AG449" s="98" t="str">
        <f>VLOOKUP(AF449,MiscData!$AD$5:$AE$77,2,FALSE)</f>
        <v>RLS</v>
      </c>
      <c r="AP449" s="98" t="s">
        <v>279</v>
      </c>
      <c r="AR449" s="98">
        <v>0</v>
      </c>
    </row>
    <row r="450" spans="1:44">
      <c r="A450" s="108">
        <f t="shared" si="182"/>
        <v>447</v>
      </c>
      <c r="B450" s="109" t="str">
        <f t="shared" si="183"/>
        <v>Jul 2015</v>
      </c>
      <c r="C450" s="110" t="str">
        <f t="shared" si="184"/>
        <v>RLS</v>
      </c>
      <c r="D450" s="110" t="str">
        <f t="shared" si="185"/>
        <v>LGUM_252</v>
      </c>
      <c r="E450" s="581">
        <f t="shared" si="163"/>
        <v>3911</v>
      </c>
      <c r="F450" s="581">
        <f t="shared" si="164"/>
        <v>0</v>
      </c>
      <c r="G450" s="116">
        <f t="shared" si="165"/>
        <v>9.57</v>
      </c>
      <c r="H450" s="116">
        <f t="shared" si="166"/>
        <v>1.9099999999999993</v>
      </c>
      <c r="I450" s="118">
        <f t="shared" si="177"/>
        <v>37428.269999999997</v>
      </c>
      <c r="J450" s="118">
        <f t="shared" si="167"/>
        <v>37428.269999999997</v>
      </c>
      <c r="K450" s="570">
        <f t="shared" si="178"/>
        <v>0</v>
      </c>
      <c r="L450" s="121">
        <f t="shared" si="168"/>
        <v>0</v>
      </c>
      <c r="M450" s="122">
        <f t="shared" si="169"/>
        <v>0</v>
      </c>
      <c r="N450" s="122">
        <f t="shared" si="170"/>
        <v>0</v>
      </c>
      <c r="O450" s="122">
        <f t="shared" si="171"/>
        <v>0</v>
      </c>
      <c r="P450" s="122">
        <f t="shared" si="172"/>
        <v>0</v>
      </c>
      <c r="Q450" s="123">
        <f t="shared" si="173"/>
        <v>37428.269999999997</v>
      </c>
      <c r="R450" s="123">
        <f t="shared" si="179"/>
        <v>-37428.269999999997</v>
      </c>
      <c r="S450" s="582">
        <v>0</v>
      </c>
      <c r="T450" s="123">
        <f t="shared" si="180"/>
        <v>-37428.269999999997</v>
      </c>
      <c r="U450" s="25">
        <f t="shared" si="174"/>
        <v>7470.01</v>
      </c>
      <c r="V450" s="123">
        <f t="shared" si="175"/>
        <v>-7470.01</v>
      </c>
      <c r="W450" s="334">
        <f t="shared" si="176"/>
        <v>625.76</v>
      </c>
      <c r="Y450" s="109">
        <f>IF(AE450=1,IF(Y449=MiscData!$F$1,EOMONTH(Y449,-11),EOMONTH(Y449,1)),Y449)</f>
        <v>42216</v>
      </c>
      <c r="Z450" s="108" t="str">
        <f t="shared" si="186"/>
        <v>20140101LGUM_252</v>
      </c>
      <c r="AA450" s="126" t="str">
        <f t="shared" si="187"/>
        <v>20140101RLS</v>
      </c>
      <c r="AB450" s="583" t="str">
        <f t="shared" si="181"/>
        <v>252</v>
      </c>
      <c r="AD450" s="98">
        <f>MiscData!$X$5</f>
        <v>20140101</v>
      </c>
      <c r="AE450" s="98">
        <f>IF(AE449+1&gt;MiscData!$AC$77,1,AE449+1)</f>
        <v>9</v>
      </c>
      <c r="AF450" s="98" t="str">
        <f>VLOOKUP(AE450,MiscData!$AC$5:$AD$77,2,FALSE)</f>
        <v>LGUM_252</v>
      </c>
      <c r="AG450" s="98" t="str">
        <f>VLOOKUP(AF450,MiscData!$AD$5:$AE$77,2,FALSE)</f>
        <v>RLS</v>
      </c>
      <c r="AP450" s="98" t="s">
        <v>280</v>
      </c>
      <c r="AR450" s="98">
        <v>0</v>
      </c>
    </row>
    <row r="451" spans="1:44">
      <c r="A451" s="108">
        <f t="shared" si="182"/>
        <v>448</v>
      </c>
      <c r="B451" s="109" t="str">
        <f t="shared" si="183"/>
        <v>Jul 2015</v>
      </c>
      <c r="C451" s="110" t="str">
        <f t="shared" si="184"/>
        <v>RLS</v>
      </c>
      <c r="D451" s="110" t="str">
        <f t="shared" si="185"/>
        <v>LGUM_266</v>
      </c>
      <c r="E451" s="581">
        <f t="shared" si="163"/>
        <v>2037</v>
      </c>
      <c r="F451" s="581">
        <f t="shared" si="164"/>
        <v>0</v>
      </c>
      <c r="G451" s="116">
        <f t="shared" si="165"/>
        <v>27.34</v>
      </c>
      <c r="H451" s="116">
        <f t="shared" si="166"/>
        <v>2.8000000000000007</v>
      </c>
      <c r="I451" s="118">
        <f t="shared" si="177"/>
        <v>55691.58</v>
      </c>
      <c r="J451" s="118">
        <f t="shared" si="167"/>
        <v>55691.58</v>
      </c>
      <c r="K451" s="570">
        <f t="shared" si="178"/>
        <v>0</v>
      </c>
      <c r="L451" s="121">
        <f t="shared" si="168"/>
        <v>0</v>
      </c>
      <c r="M451" s="122">
        <f t="shared" si="169"/>
        <v>0</v>
      </c>
      <c r="N451" s="122">
        <f t="shared" si="170"/>
        <v>0</v>
      </c>
      <c r="O451" s="122">
        <f t="shared" si="171"/>
        <v>0</v>
      </c>
      <c r="P451" s="122">
        <f t="shared" si="172"/>
        <v>0</v>
      </c>
      <c r="Q451" s="123">
        <f t="shared" si="173"/>
        <v>55691.58</v>
      </c>
      <c r="R451" s="123">
        <f t="shared" si="179"/>
        <v>-55691.58</v>
      </c>
      <c r="S451" s="582">
        <v>0</v>
      </c>
      <c r="T451" s="123">
        <f t="shared" si="180"/>
        <v>-55691.58</v>
      </c>
      <c r="U451" s="25">
        <f t="shared" si="174"/>
        <v>5703.6</v>
      </c>
      <c r="V451" s="123">
        <f t="shared" si="175"/>
        <v>-5703.6</v>
      </c>
      <c r="W451" s="334">
        <f t="shared" si="176"/>
        <v>549.99</v>
      </c>
      <c r="Y451" s="109">
        <f>IF(AE451=1,IF(Y450=MiscData!$F$1,EOMONTH(Y450,-11),EOMONTH(Y450,1)),Y450)</f>
        <v>42216</v>
      </c>
      <c r="Z451" s="108" t="str">
        <f t="shared" si="186"/>
        <v>20140101LGUM_266</v>
      </c>
      <c r="AA451" s="126" t="str">
        <f t="shared" si="187"/>
        <v>20140101RLS</v>
      </c>
      <c r="AB451" s="583" t="str">
        <f t="shared" si="181"/>
        <v>266</v>
      </c>
      <c r="AD451" s="98">
        <f>MiscData!$X$5</f>
        <v>20140101</v>
      </c>
      <c r="AE451" s="98">
        <f>IF(AE450+1&gt;MiscData!$AC$77,1,AE450+1)</f>
        <v>10</v>
      </c>
      <c r="AF451" s="98" t="str">
        <f>VLOOKUP(AE451,MiscData!$AC$5:$AD$77,2,FALSE)</f>
        <v>LGUM_266</v>
      </c>
      <c r="AG451" s="98" t="str">
        <f>VLOOKUP(AF451,MiscData!$AD$5:$AE$77,2,FALSE)</f>
        <v>RLS</v>
      </c>
      <c r="AP451" s="98" t="s">
        <v>281</v>
      </c>
      <c r="AR451" s="98">
        <v>0</v>
      </c>
    </row>
    <row r="452" spans="1:44">
      <c r="A452" s="108">
        <f t="shared" si="182"/>
        <v>449</v>
      </c>
      <c r="B452" s="109" t="str">
        <f t="shared" si="183"/>
        <v>Jul 2015</v>
      </c>
      <c r="C452" s="110" t="str">
        <f t="shared" si="184"/>
        <v>RLS</v>
      </c>
      <c r="D452" s="110" t="str">
        <f t="shared" si="185"/>
        <v>LGUM_267</v>
      </c>
      <c r="E452" s="581">
        <f t="shared" ref="E452:E515" si="188">SUMIFS(L_1055_Count_Total,L_1055_Revenue_Month,$B452,L_1055_RateCategory,$D452)</f>
        <v>2275</v>
      </c>
      <c r="F452" s="581">
        <f t="shared" ref="F452:F515" si="189">SUMIFS(L_SBR_KWH,L_SBR_Rate_Category,$D452,L_SBR_Revenue_Month,$B452)</f>
        <v>0</v>
      </c>
      <c r="G452" s="116">
        <f t="shared" ref="G452:G515" si="190">SUMIF(L_LightingRates_Tariff_Rate_Category,$Z452,L_LightingRates_UnitCharge)</f>
        <v>31.4</v>
      </c>
      <c r="H452" s="116">
        <f t="shared" ref="H452:H515" si="191">SUMIF(L_LightingRates_Tariff_Rate_Category,$Z452,L_LightingRates_FAC_Rate)</f>
        <v>4.4499999999999993</v>
      </c>
      <c r="I452" s="118">
        <f t="shared" si="177"/>
        <v>71435</v>
      </c>
      <c r="J452" s="118">
        <f t="shared" ref="J452:J515" si="192">SUM(I452:I452)</f>
        <v>71435</v>
      </c>
      <c r="K452" s="570">
        <f t="shared" si="178"/>
        <v>0</v>
      </c>
      <c r="L452" s="121">
        <f t="shared" ref="L452:L515" si="193">IF(AND(J452=0,K452=0),1,IF(J452=0,0,K452/J452))</f>
        <v>0</v>
      </c>
      <c r="M452" s="122">
        <f t="shared" ref="M452:M515" si="194">SUMIFS(L_SBR_FAC,L_SBR_Revenue_Month,$B452,L_SBR_Rate_Category,$D452)</f>
        <v>0</v>
      </c>
      <c r="N452" s="122">
        <f t="shared" ref="N452:N515" si="195">SUMIFS(L_SBR_ECR,L_SBR_Revenue_Month,$B452,L_SBR_Rate_Category,$D452)</f>
        <v>0</v>
      </c>
      <c r="O452" s="122">
        <f t="shared" ref="O452:O515" si="196">SUMIFS(L_SBR_MSR,L_SBR_Revenue_Month,$B452,L_SBR_Rate_Category,$D452)</f>
        <v>0</v>
      </c>
      <c r="P452" s="122">
        <f t="shared" ref="P452:P515" si="197">SUMIFS(L_SBR_Revenue_Total,L_SBR_Revenue_Month,$B452,L_SBR_Rate_Category,$D452)</f>
        <v>0</v>
      </c>
      <c r="Q452" s="123">
        <f t="shared" ref="Q452:Q515" si="198">SUM(J452,M452:O452)</f>
        <v>71435</v>
      </c>
      <c r="R452" s="123">
        <f t="shared" si="179"/>
        <v>-71435</v>
      </c>
      <c r="S452" s="582">
        <v>0</v>
      </c>
      <c r="T452" s="123">
        <f t="shared" si="180"/>
        <v>-71435</v>
      </c>
      <c r="U452" s="25">
        <f t="shared" ref="U452:U515" si="199">ROUND(E452*H452,2)</f>
        <v>10123.75</v>
      </c>
      <c r="V452" s="123">
        <f t="shared" ref="V452:V515" si="200">K452-U452</f>
        <v>-10123.75</v>
      </c>
      <c r="W452" s="334">
        <f t="shared" ref="W452:W515" si="201">SUMIF(L_LightingRates_Tariff_Rate_Category,$Z452,L_LightingRates_ECR_Rate)*E452</f>
        <v>659.75</v>
      </c>
      <c r="Y452" s="109">
        <f>IF(AE452=1,IF(Y451=MiscData!$F$1,EOMONTH(Y451,-11),EOMONTH(Y451,1)),Y451)</f>
        <v>42216</v>
      </c>
      <c r="Z452" s="108" t="str">
        <f t="shared" si="186"/>
        <v>20140101LGUM_267</v>
      </c>
      <c r="AA452" s="126" t="str">
        <f t="shared" si="187"/>
        <v>20140101RLS</v>
      </c>
      <c r="AB452" s="583" t="str">
        <f t="shared" si="181"/>
        <v>267</v>
      </c>
      <c r="AD452" s="98">
        <f>MiscData!$X$5</f>
        <v>20140101</v>
      </c>
      <c r="AE452" s="98">
        <f>IF(AE451+1&gt;MiscData!$AC$77,1,AE451+1)</f>
        <v>11</v>
      </c>
      <c r="AF452" s="98" t="str">
        <f>VLOOKUP(AE452,MiscData!$AC$5:$AD$77,2,FALSE)</f>
        <v>LGUM_267</v>
      </c>
      <c r="AG452" s="98" t="str">
        <f>VLOOKUP(AF452,MiscData!$AD$5:$AE$77,2,FALSE)</f>
        <v>RLS</v>
      </c>
      <c r="AP452" s="98" t="s">
        <v>282</v>
      </c>
      <c r="AR452" s="98">
        <v>0</v>
      </c>
    </row>
    <row r="453" spans="1:44">
      <c r="A453" s="108">
        <f t="shared" si="182"/>
        <v>450</v>
      </c>
      <c r="B453" s="109" t="str">
        <f t="shared" si="183"/>
        <v>Jul 2015</v>
      </c>
      <c r="C453" s="110" t="str">
        <f t="shared" si="184"/>
        <v>RLS</v>
      </c>
      <c r="D453" s="110" t="str">
        <f t="shared" si="185"/>
        <v>LGUM_274</v>
      </c>
      <c r="E453" s="581">
        <f t="shared" si="188"/>
        <v>16749</v>
      </c>
      <c r="F453" s="581">
        <f t="shared" si="189"/>
        <v>0</v>
      </c>
      <c r="G453" s="116">
        <f t="shared" si="190"/>
        <v>17.189999999999998</v>
      </c>
      <c r="H453" s="116">
        <f t="shared" si="191"/>
        <v>1.2699999999999996</v>
      </c>
      <c r="I453" s="118">
        <f t="shared" ref="I453:I516" si="202">ROUND($E453*$G453,2)</f>
        <v>287915.31</v>
      </c>
      <c r="J453" s="118">
        <f t="shared" si="192"/>
        <v>287915.31</v>
      </c>
      <c r="K453" s="570">
        <f t="shared" ref="K453:K516" si="203">P453-SUM(M453:O453)</f>
        <v>0</v>
      </c>
      <c r="L453" s="121">
        <f t="shared" si="193"/>
        <v>0</v>
      </c>
      <c r="M453" s="122">
        <f t="shared" si="194"/>
        <v>0</v>
      </c>
      <c r="N453" s="122">
        <f t="shared" si="195"/>
        <v>0</v>
      </c>
      <c r="O453" s="122">
        <f t="shared" si="196"/>
        <v>0</v>
      </c>
      <c r="P453" s="122">
        <f t="shared" si="197"/>
        <v>0</v>
      </c>
      <c r="Q453" s="123">
        <f t="shared" si="198"/>
        <v>287915.31</v>
      </c>
      <c r="R453" s="123">
        <f t="shared" ref="R453:R516" si="204">ROUND(P453-Q453,2)</f>
        <v>-287915.31</v>
      </c>
      <c r="S453" s="582">
        <v>0</v>
      </c>
      <c r="T453" s="123">
        <f t="shared" ref="T453:T516" si="205">R453-S453</f>
        <v>-287915.31</v>
      </c>
      <c r="U453" s="25">
        <f t="shared" si="199"/>
        <v>21271.23</v>
      </c>
      <c r="V453" s="123">
        <f t="shared" si="200"/>
        <v>-21271.23</v>
      </c>
      <c r="W453" s="334">
        <f t="shared" si="201"/>
        <v>4522.2300000000005</v>
      </c>
      <c r="Y453" s="109">
        <f>IF(AE453=1,IF(Y452=MiscData!$F$1,EOMONTH(Y452,-11),EOMONTH(Y452,1)),Y452)</f>
        <v>42216</v>
      </c>
      <c r="Z453" s="108" t="str">
        <f t="shared" si="186"/>
        <v>20140101LGUM_274</v>
      </c>
      <c r="AA453" s="126" t="str">
        <f t="shared" si="187"/>
        <v>20140101RLS</v>
      </c>
      <c r="AB453" s="583" t="str">
        <f t="shared" ref="AB453:AB516" si="206">RIGHT(AF453,3)</f>
        <v>274</v>
      </c>
      <c r="AD453" s="98">
        <f>MiscData!$X$5</f>
        <v>20140101</v>
      </c>
      <c r="AE453" s="98">
        <f>IF(AE452+1&gt;MiscData!$AC$77,1,AE452+1)</f>
        <v>12</v>
      </c>
      <c r="AF453" s="98" t="str">
        <f>VLOOKUP(AE453,MiscData!$AC$5:$AD$77,2,FALSE)</f>
        <v>LGUM_274</v>
      </c>
      <c r="AG453" s="98" t="str">
        <f>VLOOKUP(AF453,MiscData!$AD$5:$AE$77,2,FALSE)</f>
        <v>RLS</v>
      </c>
      <c r="AP453" s="98" t="s">
        <v>283</v>
      </c>
      <c r="AR453" s="98">
        <v>0</v>
      </c>
    </row>
    <row r="454" spans="1:44">
      <c r="A454" s="108">
        <f t="shared" si="182"/>
        <v>451</v>
      </c>
      <c r="B454" s="109" t="str">
        <f t="shared" si="183"/>
        <v>Jul 2015</v>
      </c>
      <c r="C454" s="110" t="str">
        <f t="shared" si="184"/>
        <v>RLS</v>
      </c>
      <c r="D454" s="110" t="str">
        <f t="shared" si="185"/>
        <v>LGUM_275</v>
      </c>
      <c r="E454" s="581">
        <f t="shared" si="188"/>
        <v>516</v>
      </c>
      <c r="F454" s="581">
        <f t="shared" si="189"/>
        <v>0</v>
      </c>
      <c r="G454" s="116">
        <f t="shared" si="190"/>
        <v>24.89</v>
      </c>
      <c r="H454" s="116">
        <f t="shared" si="191"/>
        <v>1.7899999999999991</v>
      </c>
      <c r="I454" s="118">
        <f t="shared" si="202"/>
        <v>12843.24</v>
      </c>
      <c r="J454" s="118">
        <f t="shared" si="192"/>
        <v>12843.24</v>
      </c>
      <c r="K454" s="570">
        <f t="shared" si="203"/>
        <v>0</v>
      </c>
      <c r="L454" s="121">
        <f t="shared" si="193"/>
        <v>0</v>
      </c>
      <c r="M454" s="122">
        <f t="shared" si="194"/>
        <v>0</v>
      </c>
      <c r="N454" s="122">
        <f t="shared" si="195"/>
        <v>0</v>
      </c>
      <c r="O454" s="122">
        <f t="shared" si="196"/>
        <v>0</v>
      </c>
      <c r="P454" s="122">
        <f t="shared" si="197"/>
        <v>0</v>
      </c>
      <c r="Q454" s="123">
        <f t="shared" si="198"/>
        <v>12843.24</v>
      </c>
      <c r="R454" s="123">
        <f t="shared" si="204"/>
        <v>-12843.24</v>
      </c>
      <c r="S454" s="582">
        <v>0</v>
      </c>
      <c r="T454" s="123">
        <f t="shared" si="205"/>
        <v>-12843.24</v>
      </c>
      <c r="U454" s="25">
        <f t="shared" si="199"/>
        <v>923.64</v>
      </c>
      <c r="V454" s="123">
        <f t="shared" si="200"/>
        <v>-923.64</v>
      </c>
      <c r="W454" s="334">
        <f t="shared" si="201"/>
        <v>123.83999999999999</v>
      </c>
      <c r="Y454" s="109">
        <f>IF(AE454=1,IF(Y453=MiscData!$F$1,EOMONTH(Y453,-11),EOMONTH(Y453,1)),Y453)</f>
        <v>42216</v>
      </c>
      <c r="Z454" s="108" t="str">
        <f t="shared" si="186"/>
        <v>20140101LGUM_275</v>
      </c>
      <c r="AA454" s="126" t="str">
        <f t="shared" si="187"/>
        <v>20140101RLS</v>
      </c>
      <c r="AB454" s="583" t="str">
        <f t="shared" si="206"/>
        <v>275</v>
      </c>
      <c r="AD454" s="98">
        <f>MiscData!$X$5</f>
        <v>20140101</v>
      </c>
      <c r="AE454" s="98">
        <f>IF(AE453+1&gt;MiscData!$AC$77,1,AE453+1)</f>
        <v>13</v>
      </c>
      <c r="AF454" s="98" t="str">
        <f>VLOOKUP(AE454,MiscData!$AC$5:$AD$77,2,FALSE)</f>
        <v>LGUM_275</v>
      </c>
      <c r="AG454" s="98" t="str">
        <f>VLOOKUP(AF454,MiscData!$AD$5:$AE$77,2,FALSE)</f>
        <v>RLS</v>
      </c>
      <c r="AP454" s="98" t="s">
        <v>284</v>
      </c>
      <c r="AR454" s="98">
        <v>0</v>
      </c>
    </row>
    <row r="455" spans="1:44">
      <c r="A455" s="108">
        <f t="shared" ref="A455:A518" si="207">A454+1</f>
        <v>452</v>
      </c>
      <c r="B455" s="109" t="str">
        <f t="shared" si="183"/>
        <v>Jul 2015</v>
      </c>
      <c r="C455" s="110" t="str">
        <f t="shared" si="184"/>
        <v>RLS</v>
      </c>
      <c r="D455" s="110" t="str">
        <f t="shared" si="185"/>
        <v>LGUM_276</v>
      </c>
      <c r="E455" s="581">
        <f t="shared" si="188"/>
        <v>1321</v>
      </c>
      <c r="F455" s="581">
        <f t="shared" si="189"/>
        <v>0</v>
      </c>
      <c r="G455" s="116">
        <f t="shared" si="190"/>
        <v>14.17</v>
      </c>
      <c r="H455" s="116">
        <f t="shared" si="191"/>
        <v>0.88000000000000078</v>
      </c>
      <c r="I455" s="118">
        <f t="shared" si="202"/>
        <v>18718.57</v>
      </c>
      <c r="J455" s="118">
        <f t="shared" si="192"/>
        <v>18718.57</v>
      </c>
      <c r="K455" s="570">
        <f t="shared" si="203"/>
        <v>0</v>
      </c>
      <c r="L455" s="121">
        <f t="shared" si="193"/>
        <v>0</v>
      </c>
      <c r="M455" s="122">
        <f t="shared" si="194"/>
        <v>0</v>
      </c>
      <c r="N455" s="122">
        <f t="shared" si="195"/>
        <v>0</v>
      </c>
      <c r="O455" s="122">
        <f t="shared" si="196"/>
        <v>0</v>
      </c>
      <c r="P455" s="122">
        <f t="shared" si="197"/>
        <v>0</v>
      </c>
      <c r="Q455" s="123">
        <f t="shared" si="198"/>
        <v>18718.57</v>
      </c>
      <c r="R455" s="123">
        <f t="shared" si="204"/>
        <v>-18718.57</v>
      </c>
      <c r="S455" s="582">
        <v>0</v>
      </c>
      <c r="T455" s="123">
        <f t="shared" si="205"/>
        <v>-18718.57</v>
      </c>
      <c r="U455" s="25">
        <f t="shared" si="199"/>
        <v>1162.48</v>
      </c>
      <c r="V455" s="123">
        <f t="shared" si="200"/>
        <v>-1162.48</v>
      </c>
      <c r="W455" s="334">
        <f t="shared" si="201"/>
        <v>343.46000000000004</v>
      </c>
      <c r="Y455" s="109">
        <f>IF(AE455=1,IF(Y454=MiscData!$F$1,EOMONTH(Y454,-11),EOMONTH(Y454,1)),Y454)</f>
        <v>42216</v>
      </c>
      <c r="Z455" s="108" t="str">
        <f t="shared" si="186"/>
        <v>20140101LGUM_276</v>
      </c>
      <c r="AA455" s="126" t="str">
        <f t="shared" si="187"/>
        <v>20140101RLS</v>
      </c>
      <c r="AB455" s="583" t="str">
        <f t="shared" si="206"/>
        <v>276</v>
      </c>
      <c r="AD455" s="98">
        <f>MiscData!$X$5</f>
        <v>20140101</v>
      </c>
      <c r="AE455" s="98">
        <f>IF(AE454+1&gt;MiscData!$AC$77,1,AE454+1)</f>
        <v>14</v>
      </c>
      <c r="AF455" s="98" t="str">
        <f>VLOOKUP(AE455,MiscData!$AC$5:$AD$77,2,FALSE)</f>
        <v>LGUM_276</v>
      </c>
      <c r="AG455" s="98" t="str">
        <f>VLOOKUP(AF455,MiscData!$AD$5:$AE$77,2,FALSE)</f>
        <v>RLS</v>
      </c>
      <c r="AP455" s="98" t="s">
        <v>285</v>
      </c>
      <c r="AR455" s="98">
        <v>0</v>
      </c>
    </row>
    <row r="456" spans="1:44">
      <c r="A456" s="108">
        <f t="shared" si="207"/>
        <v>453</v>
      </c>
      <c r="B456" s="109" t="str">
        <f t="shared" si="183"/>
        <v>Jul 2015</v>
      </c>
      <c r="C456" s="110" t="str">
        <f t="shared" si="184"/>
        <v>RLS</v>
      </c>
      <c r="D456" s="110" t="str">
        <f t="shared" si="185"/>
        <v>LGUM_277</v>
      </c>
      <c r="E456" s="581">
        <f t="shared" si="188"/>
        <v>2292</v>
      </c>
      <c r="F456" s="581">
        <f t="shared" si="189"/>
        <v>0</v>
      </c>
      <c r="G456" s="116">
        <f t="shared" si="190"/>
        <v>22.15</v>
      </c>
      <c r="H456" s="116">
        <f t="shared" si="191"/>
        <v>1.7900000000000027</v>
      </c>
      <c r="I456" s="118">
        <f t="shared" si="202"/>
        <v>50767.8</v>
      </c>
      <c r="J456" s="118">
        <f t="shared" si="192"/>
        <v>50767.8</v>
      </c>
      <c r="K456" s="570">
        <f t="shared" si="203"/>
        <v>0</v>
      </c>
      <c r="L456" s="121">
        <f t="shared" si="193"/>
        <v>0</v>
      </c>
      <c r="M456" s="122">
        <f t="shared" si="194"/>
        <v>0</v>
      </c>
      <c r="N456" s="122">
        <f t="shared" si="195"/>
        <v>0</v>
      </c>
      <c r="O456" s="122">
        <f t="shared" si="196"/>
        <v>0</v>
      </c>
      <c r="P456" s="122">
        <f t="shared" si="197"/>
        <v>0</v>
      </c>
      <c r="Q456" s="123">
        <f t="shared" si="198"/>
        <v>50767.8</v>
      </c>
      <c r="R456" s="123">
        <f t="shared" si="204"/>
        <v>-50767.8</v>
      </c>
      <c r="S456" s="582">
        <v>0</v>
      </c>
      <c r="T456" s="123">
        <f t="shared" si="205"/>
        <v>-50767.8</v>
      </c>
      <c r="U456" s="25">
        <f t="shared" si="199"/>
        <v>4102.68</v>
      </c>
      <c r="V456" s="123">
        <f t="shared" si="200"/>
        <v>-4102.68</v>
      </c>
      <c r="W456" s="334">
        <f t="shared" si="201"/>
        <v>550.07999999999993</v>
      </c>
      <c r="Y456" s="109">
        <f>IF(AE456=1,IF(Y455=MiscData!$F$1,EOMONTH(Y455,-11),EOMONTH(Y455,1)),Y455)</f>
        <v>42216</v>
      </c>
      <c r="Z456" s="108" t="str">
        <f t="shared" si="186"/>
        <v>20140101LGUM_277</v>
      </c>
      <c r="AA456" s="126" t="str">
        <f t="shared" si="187"/>
        <v>20140101RLS</v>
      </c>
      <c r="AB456" s="583" t="str">
        <f t="shared" si="206"/>
        <v>277</v>
      </c>
      <c r="AD456" s="98">
        <f>MiscData!$X$5</f>
        <v>20140101</v>
      </c>
      <c r="AE456" s="98">
        <f>IF(AE455+1&gt;MiscData!$AC$77,1,AE455+1)</f>
        <v>15</v>
      </c>
      <c r="AF456" s="98" t="str">
        <f>VLOOKUP(AE456,MiscData!$AC$5:$AD$77,2,FALSE)</f>
        <v>LGUM_277</v>
      </c>
      <c r="AG456" s="98" t="str">
        <f>VLOOKUP(AF456,MiscData!$AD$5:$AE$77,2,FALSE)</f>
        <v>RLS</v>
      </c>
      <c r="AP456" s="98" t="s">
        <v>286</v>
      </c>
      <c r="AR456" s="98">
        <v>0</v>
      </c>
    </row>
    <row r="457" spans="1:44">
      <c r="A457" s="108">
        <f t="shared" si="207"/>
        <v>454</v>
      </c>
      <c r="B457" s="109" t="str">
        <f t="shared" si="183"/>
        <v>Jul 2015</v>
      </c>
      <c r="C457" s="110" t="str">
        <f t="shared" si="184"/>
        <v>RLS</v>
      </c>
      <c r="D457" s="110" t="str">
        <f t="shared" si="185"/>
        <v>LGUM_278</v>
      </c>
      <c r="E457" s="581">
        <f t="shared" si="188"/>
        <v>17</v>
      </c>
      <c r="F457" s="581">
        <f t="shared" si="189"/>
        <v>0</v>
      </c>
      <c r="G457" s="116">
        <f t="shared" si="190"/>
        <v>72.550000000000011</v>
      </c>
      <c r="H457" s="116">
        <f t="shared" si="191"/>
        <v>9.8400000000000034</v>
      </c>
      <c r="I457" s="118">
        <f t="shared" si="202"/>
        <v>1233.3499999999999</v>
      </c>
      <c r="J457" s="118">
        <f t="shared" si="192"/>
        <v>1233.3499999999999</v>
      </c>
      <c r="K457" s="570">
        <f t="shared" si="203"/>
        <v>0</v>
      </c>
      <c r="L457" s="121">
        <f t="shared" si="193"/>
        <v>0</v>
      </c>
      <c r="M457" s="122">
        <f t="shared" si="194"/>
        <v>0</v>
      </c>
      <c r="N457" s="122">
        <f t="shared" si="195"/>
        <v>0</v>
      </c>
      <c r="O457" s="122">
        <f t="shared" si="196"/>
        <v>0</v>
      </c>
      <c r="P457" s="122">
        <f t="shared" si="197"/>
        <v>0</v>
      </c>
      <c r="Q457" s="123">
        <f t="shared" si="198"/>
        <v>1233.3499999999999</v>
      </c>
      <c r="R457" s="123">
        <f t="shared" si="204"/>
        <v>-1233.3499999999999</v>
      </c>
      <c r="S457" s="582">
        <v>0</v>
      </c>
      <c r="T457" s="123">
        <f t="shared" si="205"/>
        <v>-1233.3499999999999</v>
      </c>
      <c r="U457" s="25">
        <f t="shared" si="199"/>
        <v>167.28</v>
      </c>
      <c r="V457" s="123">
        <f t="shared" si="200"/>
        <v>-167.28</v>
      </c>
      <c r="W457" s="334">
        <f t="shared" si="201"/>
        <v>15.3</v>
      </c>
      <c r="Y457" s="109">
        <f>IF(AE457=1,IF(Y456=MiscData!$F$1,EOMONTH(Y456,-11),EOMONTH(Y456,1)),Y456)</f>
        <v>42216</v>
      </c>
      <c r="Z457" s="108" t="str">
        <f t="shared" si="186"/>
        <v>20140101LGUM_278</v>
      </c>
      <c r="AA457" s="126" t="str">
        <f t="shared" si="187"/>
        <v>20140101RLS</v>
      </c>
      <c r="AB457" s="583" t="str">
        <f t="shared" si="206"/>
        <v>278</v>
      </c>
      <c r="AD457" s="98">
        <f>MiscData!$X$5</f>
        <v>20140101</v>
      </c>
      <c r="AE457" s="98">
        <f>IF(AE456+1&gt;MiscData!$AC$77,1,AE456+1)</f>
        <v>16</v>
      </c>
      <c r="AF457" s="98" t="str">
        <f>VLOOKUP(AE457,MiscData!$AC$5:$AD$77,2,FALSE)</f>
        <v>LGUM_278</v>
      </c>
      <c r="AG457" s="98" t="str">
        <f>VLOOKUP(AF457,MiscData!$AD$5:$AE$77,2,FALSE)</f>
        <v>RLS</v>
      </c>
      <c r="AP457" s="98" t="s">
        <v>287</v>
      </c>
      <c r="AR457" s="98">
        <v>0</v>
      </c>
    </row>
    <row r="458" spans="1:44">
      <c r="A458" s="108">
        <f t="shared" si="207"/>
        <v>455</v>
      </c>
      <c r="B458" s="109" t="str">
        <f t="shared" si="183"/>
        <v>Jul 2015</v>
      </c>
      <c r="C458" s="110" t="str">
        <f t="shared" si="184"/>
        <v>RLS</v>
      </c>
      <c r="D458" s="110" t="str">
        <f t="shared" si="185"/>
        <v>LGUM_279</v>
      </c>
      <c r="E458" s="581">
        <f t="shared" si="188"/>
        <v>11</v>
      </c>
      <c r="F458" s="581">
        <f t="shared" si="189"/>
        <v>0</v>
      </c>
      <c r="G458" s="116">
        <f t="shared" si="190"/>
        <v>41.43</v>
      </c>
      <c r="H458" s="116">
        <f t="shared" si="191"/>
        <v>9.8399999999999963</v>
      </c>
      <c r="I458" s="118">
        <f t="shared" si="202"/>
        <v>455.73</v>
      </c>
      <c r="J458" s="118">
        <f t="shared" si="192"/>
        <v>455.73</v>
      </c>
      <c r="K458" s="570">
        <f t="shared" si="203"/>
        <v>0</v>
      </c>
      <c r="L458" s="121">
        <f t="shared" si="193"/>
        <v>0</v>
      </c>
      <c r="M458" s="122">
        <f t="shared" si="194"/>
        <v>0</v>
      </c>
      <c r="N458" s="122">
        <f t="shared" si="195"/>
        <v>0</v>
      </c>
      <c r="O458" s="122">
        <f t="shared" si="196"/>
        <v>0</v>
      </c>
      <c r="P458" s="122">
        <f t="shared" si="197"/>
        <v>0</v>
      </c>
      <c r="Q458" s="123">
        <f t="shared" si="198"/>
        <v>455.73</v>
      </c>
      <c r="R458" s="123">
        <f t="shared" si="204"/>
        <v>-455.73</v>
      </c>
      <c r="S458" s="582">
        <v>0</v>
      </c>
      <c r="T458" s="123">
        <f t="shared" si="205"/>
        <v>-455.73</v>
      </c>
      <c r="U458" s="25">
        <f t="shared" si="199"/>
        <v>108.24</v>
      </c>
      <c r="V458" s="123">
        <f t="shared" si="200"/>
        <v>-108.24</v>
      </c>
      <c r="W458" s="334">
        <f t="shared" si="201"/>
        <v>9.9</v>
      </c>
      <c r="Y458" s="109">
        <f>IF(AE458=1,IF(Y457=MiscData!$F$1,EOMONTH(Y457,-11),EOMONTH(Y457,1)),Y457)</f>
        <v>42216</v>
      </c>
      <c r="Z458" s="108" t="str">
        <f t="shared" si="186"/>
        <v>20140101LGUM_279</v>
      </c>
      <c r="AA458" s="126" t="str">
        <f t="shared" si="187"/>
        <v>20140101RLS</v>
      </c>
      <c r="AB458" s="583" t="str">
        <f t="shared" si="206"/>
        <v>279</v>
      </c>
      <c r="AD458" s="98">
        <f>MiscData!$X$5</f>
        <v>20140101</v>
      </c>
      <c r="AE458" s="98">
        <f>IF(AE457+1&gt;MiscData!$AC$77,1,AE457+1)</f>
        <v>17</v>
      </c>
      <c r="AF458" s="98" t="str">
        <f>VLOOKUP(AE458,MiscData!$AC$5:$AD$77,2,FALSE)</f>
        <v>LGUM_279</v>
      </c>
      <c r="AG458" s="98" t="str">
        <f>VLOOKUP(AF458,MiscData!$AD$5:$AE$77,2,FALSE)</f>
        <v>RLS</v>
      </c>
      <c r="AP458" s="98" t="s">
        <v>288</v>
      </c>
      <c r="AR458" s="98">
        <v>0</v>
      </c>
    </row>
    <row r="459" spans="1:44">
      <c r="A459" s="108">
        <f t="shared" si="207"/>
        <v>456</v>
      </c>
      <c r="B459" s="109" t="str">
        <f t="shared" si="183"/>
        <v>Jul 2015</v>
      </c>
      <c r="C459" s="110" t="str">
        <f t="shared" si="184"/>
        <v>RLS</v>
      </c>
      <c r="D459" s="110" t="str">
        <f t="shared" si="185"/>
        <v>LGUM_280</v>
      </c>
      <c r="E459" s="581">
        <f t="shared" si="188"/>
        <v>45</v>
      </c>
      <c r="F459" s="581">
        <f t="shared" si="189"/>
        <v>0</v>
      </c>
      <c r="G459" s="116">
        <f t="shared" si="190"/>
        <v>19.38</v>
      </c>
      <c r="H459" s="116">
        <f t="shared" si="191"/>
        <v>0.87999999999999901</v>
      </c>
      <c r="I459" s="118">
        <f t="shared" si="202"/>
        <v>872.1</v>
      </c>
      <c r="J459" s="118">
        <f t="shared" si="192"/>
        <v>872.1</v>
      </c>
      <c r="K459" s="570">
        <f t="shared" si="203"/>
        <v>0</v>
      </c>
      <c r="L459" s="121">
        <f t="shared" si="193"/>
        <v>0</v>
      </c>
      <c r="M459" s="122">
        <f t="shared" si="194"/>
        <v>0</v>
      </c>
      <c r="N459" s="122">
        <f t="shared" si="195"/>
        <v>0</v>
      </c>
      <c r="O459" s="122">
        <f t="shared" si="196"/>
        <v>0</v>
      </c>
      <c r="P459" s="122">
        <f t="shared" si="197"/>
        <v>0</v>
      </c>
      <c r="Q459" s="123">
        <f t="shared" si="198"/>
        <v>872.1</v>
      </c>
      <c r="R459" s="123">
        <f t="shared" si="204"/>
        <v>-872.1</v>
      </c>
      <c r="S459" s="582">
        <v>0</v>
      </c>
      <c r="T459" s="123">
        <f t="shared" si="205"/>
        <v>-872.1</v>
      </c>
      <c r="U459" s="25">
        <f t="shared" si="199"/>
        <v>39.6</v>
      </c>
      <c r="V459" s="123">
        <f t="shared" si="200"/>
        <v>-39.6</v>
      </c>
      <c r="W459" s="334">
        <f t="shared" si="201"/>
        <v>11.700000000000001</v>
      </c>
      <c r="Y459" s="109">
        <f>IF(AE459=1,IF(Y458=MiscData!$F$1,EOMONTH(Y458,-11),EOMONTH(Y458,1)),Y458)</f>
        <v>42216</v>
      </c>
      <c r="Z459" s="108" t="str">
        <f t="shared" si="186"/>
        <v>20140101LGUM_280</v>
      </c>
      <c r="AA459" s="126" t="str">
        <f t="shared" si="187"/>
        <v>20140101RLS</v>
      </c>
      <c r="AB459" s="583" t="str">
        <f t="shared" si="206"/>
        <v>280</v>
      </c>
      <c r="AD459" s="98">
        <f>MiscData!$X$5</f>
        <v>20140101</v>
      </c>
      <c r="AE459" s="98">
        <f>IF(AE458+1&gt;MiscData!$AC$77,1,AE458+1)</f>
        <v>18</v>
      </c>
      <c r="AF459" s="98" t="str">
        <f>VLOOKUP(AE459,MiscData!$AC$5:$AD$77,2,FALSE)</f>
        <v>LGUM_280</v>
      </c>
      <c r="AG459" s="98" t="str">
        <f>VLOOKUP(AF459,MiscData!$AD$5:$AE$77,2,FALSE)</f>
        <v>RLS</v>
      </c>
      <c r="AP459" s="98" t="s">
        <v>289</v>
      </c>
      <c r="AR459" s="98">
        <v>0</v>
      </c>
    </row>
    <row r="460" spans="1:44">
      <c r="A460" s="108">
        <f t="shared" si="207"/>
        <v>457</v>
      </c>
      <c r="B460" s="109" t="str">
        <f t="shared" si="183"/>
        <v>Jul 2015</v>
      </c>
      <c r="C460" s="110" t="str">
        <f t="shared" si="184"/>
        <v>RLS</v>
      </c>
      <c r="D460" s="110" t="str">
        <f t="shared" si="185"/>
        <v>LGUM_281</v>
      </c>
      <c r="E460" s="581">
        <f t="shared" si="188"/>
        <v>239</v>
      </c>
      <c r="F460" s="581">
        <f t="shared" si="189"/>
        <v>0</v>
      </c>
      <c r="G460" s="116">
        <f t="shared" si="190"/>
        <v>20.349999999999998</v>
      </c>
      <c r="H460" s="116">
        <f t="shared" si="191"/>
        <v>1.2699999999999996</v>
      </c>
      <c r="I460" s="118">
        <f t="shared" si="202"/>
        <v>4863.6499999999996</v>
      </c>
      <c r="J460" s="118">
        <f t="shared" si="192"/>
        <v>4863.6499999999996</v>
      </c>
      <c r="K460" s="570">
        <f t="shared" si="203"/>
        <v>0</v>
      </c>
      <c r="L460" s="121">
        <f t="shared" si="193"/>
        <v>0</v>
      </c>
      <c r="M460" s="122">
        <f t="shared" si="194"/>
        <v>0</v>
      </c>
      <c r="N460" s="122">
        <f t="shared" si="195"/>
        <v>0</v>
      </c>
      <c r="O460" s="122">
        <f t="shared" si="196"/>
        <v>0</v>
      </c>
      <c r="P460" s="122">
        <f t="shared" si="197"/>
        <v>0</v>
      </c>
      <c r="Q460" s="123">
        <f t="shared" si="198"/>
        <v>4863.6499999999996</v>
      </c>
      <c r="R460" s="123">
        <f t="shared" si="204"/>
        <v>-4863.6499999999996</v>
      </c>
      <c r="S460" s="582">
        <v>0</v>
      </c>
      <c r="T460" s="123">
        <f t="shared" si="205"/>
        <v>-4863.6499999999996</v>
      </c>
      <c r="U460" s="25">
        <f t="shared" si="199"/>
        <v>303.52999999999997</v>
      </c>
      <c r="V460" s="123">
        <f t="shared" si="200"/>
        <v>-303.52999999999997</v>
      </c>
      <c r="W460" s="334">
        <f t="shared" si="201"/>
        <v>64.53</v>
      </c>
      <c r="Y460" s="109">
        <f>IF(AE460=1,IF(Y459=MiscData!$F$1,EOMONTH(Y459,-11),EOMONTH(Y459,1)),Y459)</f>
        <v>42216</v>
      </c>
      <c r="Z460" s="108" t="str">
        <f t="shared" si="186"/>
        <v>20140101LGUM_281</v>
      </c>
      <c r="AA460" s="126" t="str">
        <f t="shared" si="187"/>
        <v>20140101RLS</v>
      </c>
      <c r="AB460" s="583" t="str">
        <f t="shared" si="206"/>
        <v>281</v>
      </c>
      <c r="AD460" s="98">
        <f>MiscData!$X$5</f>
        <v>20140101</v>
      </c>
      <c r="AE460" s="98">
        <f>IF(AE459+1&gt;MiscData!$AC$77,1,AE459+1)</f>
        <v>19</v>
      </c>
      <c r="AF460" s="98" t="str">
        <f>VLOOKUP(AE460,MiscData!$AC$5:$AD$77,2,FALSE)</f>
        <v>LGUM_281</v>
      </c>
      <c r="AG460" s="98" t="str">
        <f>VLOOKUP(AF460,MiscData!$AD$5:$AE$77,2,FALSE)</f>
        <v>RLS</v>
      </c>
      <c r="AP460" s="98" t="s">
        <v>290</v>
      </c>
      <c r="AR460" s="98">
        <v>0</v>
      </c>
    </row>
    <row r="461" spans="1:44">
      <c r="A461" s="108">
        <f t="shared" si="207"/>
        <v>458</v>
      </c>
      <c r="B461" s="109" t="str">
        <f t="shared" si="183"/>
        <v>Jul 2015</v>
      </c>
      <c r="C461" s="110" t="str">
        <f t="shared" si="184"/>
        <v>RLS</v>
      </c>
      <c r="D461" s="110" t="str">
        <f t="shared" si="185"/>
        <v>LGUM_282</v>
      </c>
      <c r="E461" s="581">
        <f t="shared" si="188"/>
        <v>103</v>
      </c>
      <c r="F461" s="581">
        <f t="shared" si="189"/>
        <v>0</v>
      </c>
      <c r="G461" s="116">
        <f t="shared" si="190"/>
        <v>19.53</v>
      </c>
      <c r="H461" s="116">
        <f t="shared" si="191"/>
        <v>0.87999999999999901</v>
      </c>
      <c r="I461" s="118">
        <f t="shared" si="202"/>
        <v>2011.59</v>
      </c>
      <c r="J461" s="118">
        <f t="shared" si="192"/>
        <v>2011.59</v>
      </c>
      <c r="K461" s="570">
        <f t="shared" si="203"/>
        <v>0</v>
      </c>
      <c r="L461" s="121">
        <f t="shared" si="193"/>
        <v>0</v>
      </c>
      <c r="M461" s="122">
        <f t="shared" si="194"/>
        <v>0</v>
      </c>
      <c r="N461" s="122">
        <f t="shared" si="195"/>
        <v>0</v>
      </c>
      <c r="O461" s="122">
        <f t="shared" si="196"/>
        <v>0</v>
      </c>
      <c r="P461" s="122">
        <f t="shared" si="197"/>
        <v>0</v>
      </c>
      <c r="Q461" s="123">
        <f t="shared" si="198"/>
        <v>2011.59</v>
      </c>
      <c r="R461" s="123">
        <f t="shared" si="204"/>
        <v>-2011.59</v>
      </c>
      <c r="S461" s="582">
        <v>0</v>
      </c>
      <c r="T461" s="123">
        <f t="shared" si="205"/>
        <v>-2011.59</v>
      </c>
      <c r="U461" s="25">
        <f t="shared" si="199"/>
        <v>90.64</v>
      </c>
      <c r="V461" s="123">
        <f t="shared" si="200"/>
        <v>-90.64</v>
      </c>
      <c r="W461" s="334">
        <f t="shared" si="201"/>
        <v>26.78</v>
      </c>
      <c r="Y461" s="109">
        <f>IF(AE461=1,IF(Y460=MiscData!$F$1,EOMONTH(Y460,-11),EOMONTH(Y460,1)),Y460)</f>
        <v>42216</v>
      </c>
      <c r="Z461" s="108" t="str">
        <f t="shared" si="186"/>
        <v>20140101LGUM_282</v>
      </c>
      <c r="AA461" s="126" t="str">
        <f t="shared" si="187"/>
        <v>20140101RLS</v>
      </c>
      <c r="AB461" s="583" t="str">
        <f t="shared" si="206"/>
        <v>282</v>
      </c>
      <c r="AD461" s="98">
        <f>MiscData!$X$5</f>
        <v>20140101</v>
      </c>
      <c r="AE461" s="98">
        <f>IF(AE460+1&gt;MiscData!$AC$77,1,AE460+1)</f>
        <v>20</v>
      </c>
      <c r="AF461" s="98" t="str">
        <f>VLOOKUP(AE461,MiscData!$AC$5:$AD$77,2,FALSE)</f>
        <v>LGUM_282</v>
      </c>
      <c r="AG461" s="98" t="str">
        <f>VLOOKUP(AF461,MiscData!$AD$5:$AE$77,2,FALSE)</f>
        <v>RLS</v>
      </c>
      <c r="AP461" s="98" t="s">
        <v>291</v>
      </c>
      <c r="AR461" s="98">
        <v>0</v>
      </c>
    </row>
    <row r="462" spans="1:44">
      <c r="A462" s="108">
        <f t="shared" si="207"/>
        <v>459</v>
      </c>
      <c r="B462" s="109" t="str">
        <f t="shared" si="183"/>
        <v>Jul 2015</v>
      </c>
      <c r="C462" s="110" t="str">
        <f t="shared" si="184"/>
        <v>RLS</v>
      </c>
      <c r="D462" s="110" t="str">
        <f t="shared" si="185"/>
        <v>LGUM_283</v>
      </c>
      <c r="E462" s="581">
        <f t="shared" si="188"/>
        <v>80</v>
      </c>
      <c r="F462" s="581">
        <f t="shared" si="189"/>
        <v>0</v>
      </c>
      <c r="G462" s="116">
        <f t="shared" si="190"/>
        <v>20.819999999999997</v>
      </c>
      <c r="H462" s="116">
        <f t="shared" si="191"/>
        <v>1.2699999999999996</v>
      </c>
      <c r="I462" s="118">
        <f t="shared" si="202"/>
        <v>1665.6</v>
      </c>
      <c r="J462" s="118">
        <f t="shared" si="192"/>
        <v>1665.6</v>
      </c>
      <c r="K462" s="570">
        <f t="shared" si="203"/>
        <v>0</v>
      </c>
      <c r="L462" s="121">
        <f t="shared" si="193"/>
        <v>0</v>
      </c>
      <c r="M462" s="122">
        <f t="shared" si="194"/>
        <v>0</v>
      </c>
      <c r="N462" s="122">
        <f t="shared" si="195"/>
        <v>0</v>
      </c>
      <c r="O462" s="122">
        <f t="shared" si="196"/>
        <v>0</v>
      </c>
      <c r="P462" s="122">
        <f t="shared" si="197"/>
        <v>0</v>
      </c>
      <c r="Q462" s="123">
        <f t="shared" si="198"/>
        <v>1665.6</v>
      </c>
      <c r="R462" s="123">
        <f t="shared" si="204"/>
        <v>-1665.6</v>
      </c>
      <c r="S462" s="582">
        <v>0</v>
      </c>
      <c r="T462" s="123">
        <f t="shared" si="205"/>
        <v>-1665.6</v>
      </c>
      <c r="U462" s="25">
        <f t="shared" si="199"/>
        <v>101.6</v>
      </c>
      <c r="V462" s="123">
        <f t="shared" si="200"/>
        <v>-101.6</v>
      </c>
      <c r="W462" s="334">
        <f t="shared" si="201"/>
        <v>21.6</v>
      </c>
      <c r="Y462" s="109">
        <f>IF(AE462=1,IF(Y461=MiscData!$F$1,EOMONTH(Y461,-11),EOMONTH(Y461,1)),Y461)</f>
        <v>42216</v>
      </c>
      <c r="Z462" s="108" t="str">
        <f t="shared" si="186"/>
        <v>20140101LGUM_283</v>
      </c>
      <c r="AA462" s="126" t="str">
        <f t="shared" si="187"/>
        <v>20140101RLS</v>
      </c>
      <c r="AB462" s="583" t="str">
        <f t="shared" si="206"/>
        <v>283</v>
      </c>
      <c r="AD462" s="98">
        <f>MiscData!$X$5</f>
        <v>20140101</v>
      </c>
      <c r="AE462" s="98">
        <f>IF(AE461+1&gt;MiscData!$AC$77,1,AE461+1)</f>
        <v>21</v>
      </c>
      <c r="AF462" s="98" t="str">
        <f>VLOOKUP(AE462,MiscData!$AC$5:$AD$77,2,FALSE)</f>
        <v>LGUM_283</v>
      </c>
      <c r="AG462" s="98" t="str">
        <f>VLOOKUP(AF462,MiscData!$AD$5:$AE$77,2,FALSE)</f>
        <v>RLS</v>
      </c>
      <c r="AP462" s="98" t="s">
        <v>340</v>
      </c>
      <c r="AR462" s="98">
        <v>0</v>
      </c>
    </row>
    <row r="463" spans="1:44">
      <c r="A463" s="108">
        <f t="shared" si="207"/>
        <v>460</v>
      </c>
      <c r="B463" s="109" t="str">
        <f t="shared" si="183"/>
        <v>Jul 2015</v>
      </c>
      <c r="C463" s="110" t="str">
        <f t="shared" si="184"/>
        <v>RLS</v>
      </c>
      <c r="D463" s="110" t="str">
        <f t="shared" si="185"/>
        <v>LGUM_314</v>
      </c>
      <c r="E463" s="581">
        <f t="shared" si="188"/>
        <v>512</v>
      </c>
      <c r="F463" s="581">
        <f t="shared" si="189"/>
        <v>0</v>
      </c>
      <c r="G463" s="116">
        <f t="shared" si="190"/>
        <v>19.2</v>
      </c>
      <c r="H463" s="116">
        <f t="shared" si="191"/>
        <v>2.7100000000000009</v>
      </c>
      <c r="I463" s="118">
        <f t="shared" si="202"/>
        <v>9830.4</v>
      </c>
      <c r="J463" s="118">
        <f t="shared" si="192"/>
        <v>9830.4</v>
      </c>
      <c r="K463" s="570">
        <f t="shared" si="203"/>
        <v>0</v>
      </c>
      <c r="L463" s="121">
        <f t="shared" si="193"/>
        <v>0</v>
      </c>
      <c r="M463" s="122">
        <f t="shared" si="194"/>
        <v>0</v>
      </c>
      <c r="N463" s="122">
        <f t="shared" si="195"/>
        <v>0</v>
      </c>
      <c r="O463" s="122">
        <f t="shared" si="196"/>
        <v>0</v>
      </c>
      <c r="P463" s="122">
        <f t="shared" si="197"/>
        <v>0</v>
      </c>
      <c r="Q463" s="123">
        <f t="shared" si="198"/>
        <v>9830.4</v>
      </c>
      <c r="R463" s="123">
        <f t="shared" si="204"/>
        <v>-9830.4</v>
      </c>
      <c r="S463" s="582">
        <v>0</v>
      </c>
      <c r="T463" s="123">
        <f t="shared" si="205"/>
        <v>-9830.4</v>
      </c>
      <c r="U463" s="25">
        <f t="shared" si="199"/>
        <v>1387.52</v>
      </c>
      <c r="V463" s="123">
        <f t="shared" si="200"/>
        <v>-1387.52</v>
      </c>
      <c r="W463" s="334">
        <f t="shared" si="201"/>
        <v>92.16</v>
      </c>
      <c r="Y463" s="109">
        <f>IF(AE463=1,IF(Y462=MiscData!$F$1,EOMONTH(Y462,-11),EOMONTH(Y462,1)),Y462)</f>
        <v>42216</v>
      </c>
      <c r="Z463" s="108" t="str">
        <f t="shared" si="186"/>
        <v>20140101LGUM_314</v>
      </c>
      <c r="AA463" s="126" t="str">
        <f t="shared" si="187"/>
        <v>20140101RLS</v>
      </c>
      <c r="AB463" s="583" t="str">
        <f t="shared" si="206"/>
        <v>314</v>
      </c>
      <c r="AD463" s="98">
        <f>MiscData!$X$5</f>
        <v>20140101</v>
      </c>
      <c r="AE463" s="98">
        <f>IF(AE462+1&gt;MiscData!$AC$77,1,AE462+1)</f>
        <v>22</v>
      </c>
      <c r="AF463" s="98" t="str">
        <f>VLOOKUP(AE463,MiscData!$AC$5:$AD$77,2,FALSE)</f>
        <v>LGUM_314</v>
      </c>
      <c r="AG463" s="98" t="str">
        <f>VLOOKUP(AF463,MiscData!$AD$5:$AE$77,2,FALSE)</f>
        <v>RLS</v>
      </c>
      <c r="AP463" s="98" t="s">
        <v>692</v>
      </c>
      <c r="AR463" s="98">
        <v>0</v>
      </c>
    </row>
    <row r="464" spans="1:44">
      <c r="A464" s="108">
        <f t="shared" si="207"/>
        <v>461</v>
      </c>
      <c r="B464" s="109" t="str">
        <f t="shared" si="183"/>
        <v>Jul 2015</v>
      </c>
      <c r="C464" s="110" t="str">
        <f t="shared" si="184"/>
        <v>RLS</v>
      </c>
      <c r="D464" s="110" t="str">
        <f t="shared" si="185"/>
        <v>LGUM_315</v>
      </c>
      <c r="E464" s="581">
        <f t="shared" si="188"/>
        <v>497</v>
      </c>
      <c r="F464" s="581">
        <f t="shared" si="189"/>
        <v>0</v>
      </c>
      <c r="G464" s="116">
        <f t="shared" si="190"/>
        <v>22.949999999999996</v>
      </c>
      <c r="H464" s="116">
        <f t="shared" si="191"/>
        <v>4.1999999999999993</v>
      </c>
      <c r="I464" s="118">
        <f t="shared" si="202"/>
        <v>11406.15</v>
      </c>
      <c r="J464" s="118">
        <f t="shared" si="192"/>
        <v>11406.15</v>
      </c>
      <c r="K464" s="570">
        <f t="shared" si="203"/>
        <v>0</v>
      </c>
      <c r="L464" s="121">
        <f t="shared" si="193"/>
        <v>0</v>
      </c>
      <c r="M464" s="122">
        <f t="shared" si="194"/>
        <v>0</v>
      </c>
      <c r="N464" s="122">
        <f t="shared" si="195"/>
        <v>0</v>
      </c>
      <c r="O464" s="122">
        <f t="shared" si="196"/>
        <v>0</v>
      </c>
      <c r="P464" s="122">
        <f t="shared" si="197"/>
        <v>0</v>
      </c>
      <c r="Q464" s="123">
        <f t="shared" si="198"/>
        <v>11406.15</v>
      </c>
      <c r="R464" s="123">
        <f t="shared" si="204"/>
        <v>-11406.15</v>
      </c>
      <c r="S464" s="582">
        <v>0</v>
      </c>
      <c r="T464" s="123">
        <f t="shared" si="205"/>
        <v>-11406.15</v>
      </c>
      <c r="U464" s="25">
        <f t="shared" si="199"/>
        <v>2087.4</v>
      </c>
      <c r="V464" s="123">
        <f t="shared" si="200"/>
        <v>-2087.4</v>
      </c>
      <c r="W464" s="334">
        <f t="shared" si="201"/>
        <v>109.34</v>
      </c>
      <c r="Y464" s="109">
        <f>IF(AE464=1,IF(Y463=MiscData!$F$1,EOMONTH(Y463,-11),EOMONTH(Y463,1)),Y463)</f>
        <v>42216</v>
      </c>
      <c r="Z464" s="108" t="str">
        <f t="shared" si="186"/>
        <v>20140101LGUM_315</v>
      </c>
      <c r="AA464" s="126" t="str">
        <f t="shared" si="187"/>
        <v>20140101RLS</v>
      </c>
      <c r="AB464" s="583" t="str">
        <f t="shared" si="206"/>
        <v>315</v>
      </c>
      <c r="AD464" s="98">
        <f>MiscData!$X$5</f>
        <v>20140101</v>
      </c>
      <c r="AE464" s="98">
        <f>IF(AE463+1&gt;MiscData!$AC$77,1,AE463+1)</f>
        <v>23</v>
      </c>
      <c r="AF464" s="98" t="str">
        <f>VLOOKUP(AE464,MiscData!$AC$5:$AD$77,2,FALSE)</f>
        <v>LGUM_315</v>
      </c>
      <c r="AG464" s="98" t="str">
        <f>VLOOKUP(AF464,MiscData!$AD$5:$AE$77,2,FALSE)</f>
        <v>RLS</v>
      </c>
      <c r="AP464" s="98" t="s">
        <v>292</v>
      </c>
      <c r="AR464" s="98">
        <v>0</v>
      </c>
    </row>
    <row r="465" spans="1:44">
      <c r="A465" s="108">
        <f t="shared" si="207"/>
        <v>462</v>
      </c>
      <c r="B465" s="109" t="str">
        <f t="shared" si="183"/>
        <v>Jul 2015</v>
      </c>
      <c r="C465" s="110" t="str">
        <f t="shared" si="184"/>
        <v>RLS</v>
      </c>
      <c r="D465" s="110" t="str">
        <f t="shared" si="185"/>
        <v>LGUM_318</v>
      </c>
      <c r="E465" s="581">
        <f t="shared" si="188"/>
        <v>53</v>
      </c>
      <c r="F465" s="581">
        <f t="shared" si="189"/>
        <v>0</v>
      </c>
      <c r="G465" s="116">
        <f t="shared" si="190"/>
        <v>17.419999999999998</v>
      </c>
      <c r="H465" s="116">
        <f t="shared" si="191"/>
        <v>1.9100000000000001</v>
      </c>
      <c r="I465" s="118">
        <f t="shared" si="202"/>
        <v>923.26</v>
      </c>
      <c r="J465" s="118">
        <f t="shared" si="192"/>
        <v>923.26</v>
      </c>
      <c r="K465" s="570">
        <f t="shared" si="203"/>
        <v>0</v>
      </c>
      <c r="L465" s="121">
        <f t="shared" si="193"/>
        <v>0</v>
      </c>
      <c r="M465" s="122">
        <f t="shared" si="194"/>
        <v>0</v>
      </c>
      <c r="N465" s="122">
        <f t="shared" si="195"/>
        <v>0</v>
      </c>
      <c r="O465" s="122">
        <f t="shared" si="196"/>
        <v>0</v>
      </c>
      <c r="P465" s="122">
        <f t="shared" si="197"/>
        <v>0</v>
      </c>
      <c r="Q465" s="123">
        <f t="shared" si="198"/>
        <v>923.26</v>
      </c>
      <c r="R465" s="123">
        <f t="shared" si="204"/>
        <v>-923.26</v>
      </c>
      <c r="S465" s="582">
        <v>0</v>
      </c>
      <c r="T465" s="123">
        <f t="shared" si="205"/>
        <v>-923.26</v>
      </c>
      <c r="U465" s="25">
        <f t="shared" si="199"/>
        <v>101.23</v>
      </c>
      <c r="V465" s="123">
        <f t="shared" si="200"/>
        <v>-101.23</v>
      </c>
      <c r="W465" s="334">
        <f t="shared" si="201"/>
        <v>8.48</v>
      </c>
      <c r="Y465" s="109">
        <f>IF(AE465=1,IF(Y464=MiscData!$F$1,EOMONTH(Y464,-11),EOMONTH(Y464,1)),Y464)</f>
        <v>42216</v>
      </c>
      <c r="Z465" s="108" t="str">
        <f t="shared" si="186"/>
        <v>20140101LGUM_318</v>
      </c>
      <c r="AA465" s="126" t="str">
        <f t="shared" si="187"/>
        <v>20140101RLS</v>
      </c>
      <c r="AB465" s="583" t="str">
        <f t="shared" si="206"/>
        <v>318</v>
      </c>
      <c r="AD465" s="98">
        <f>MiscData!$X$5</f>
        <v>20140101</v>
      </c>
      <c r="AE465" s="98">
        <f>IF(AE464+1&gt;MiscData!$AC$77,1,AE464+1)</f>
        <v>24</v>
      </c>
      <c r="AF465" s="98" t="str">
        <f>VLOOKUP(AE465,MiscData!$AC$5:$AD$77,2,FALSE)</f>
        <v>LGUM_318</v>
      </c>
      <c r="AG465" s="98" t="str">
        <f>VLOOKUP(AF465,MiscData!$AD$5:$AE$77,2,FALSE)</f>
        <v>RLS</v>
      </c>
      <c r="AP465" s="98" t="s">
        <v>293</v>
      </c>
      <c r="AR465" s="98">
        <v>44148.97</v>
      </c>
    </row>
    <row r="466" spans="1:44">
      <c r="A466" s="108">
        <f t="shared" si="207"/>
        <v>463</v>
      </c>
      <c r="B466" s="109" t="str">
        <f t="shared" si="183"/>
        <v>Jul 2015</v>
      </c>
      <c r="C466" s="110" t="str">
        <f t="shared" si="184"/>
        <v>RLS</v>
      </c>
      <c r="D466" s="110" t="str">
        <f t="shared" si="185"/>
        <v>LGUM_347</v>
      </c>
      <c r="E466" s="581">
        <f t="shared" si="188"/>
        <v>0</v>
      </c>
      <c r="F466" s="581">
        <f t="shared" si="189"/>
        <v>0</v>
      </c>
      <c r="G466" s="116">
        <f t="shared" si="190"/>
        <v>22.939999999999998</v>
      </c>
      <c r="H466" s="116">
        <f t="shared" si="191"/>
        <v>26.14</v>
      </c>
      <c r="I466" s="118">
        <f t="shared" si="202"/>
        <v>0</v>
      </c>
      <c r="J466" s="118">
        <f t="shared" si="192"/>
        <v>0</v>
      </c>
      <c r="K466" s="570">
        <f t="shared" si="203"/>
        <v>0</v>
      </c>
      <c r="L466" s="121">
        <f t="shared" si="193"/>
        <v>1</v>
      </c>
      <c r="M466" s="122">
        <f t="shared" si="194"/>
        <v>0</v>
      </c>
      <c r="N466" s="122">
        <f t="shared" si="195"/>
        <v>0</v>
      </c>
      <c r="O466" s="122">
        <f t="shared" si="196"/>
        <v>0</v>
      </c>
      <c r="P466" s="122">
        <f t="shared" si="197"/>
        <v>0</v>
      </c>
      <c r="Q466" s="123">
        <f t="shared" si="198"/>
        <v>0</v>
      </c>
      <c r="R466" s="123">
        <f t="shared" si="204"/>
        <v>0</v>
      </c>
      <c r="S466" s="582">
        <v>0</v>
      </c>
      <c r="T466" s="123">
        <f t="shared" si="205"/>
        <v>0</v>
      </c>
      <c r="U466" s="25">
        <f t="shared" si="199"/>
        <v>0</v>
      </c>
      <c r="V466" s="123">
        <f t="shared" si="200"/>
        <v>0</v>
      </c>
      <c r="W466" s="334">
        <f t="shared" si="201"/>
        <v>0</v>
      </c>
      <c r="Y466" s="109">
        <f>IF(AE466=1,IF(Y465=MiscData!$F$1,EOMONTH(Y465,-11),EOMONTH(Y465,1)),Y465)</f>
        <v>42216</v>
      </c>
      <c r="Z466" s="108" t="str">
        <f t="shared" si="186"/>
        <v>20140101LGUM_347</v>
      </c>
      <c r="AA466" s="126" t="str">
        <f t="shared" si="187"/>
        <v>20140101RLS</v>
      </c>
      <c r="AB466" s="583" t="str">
        <f t="shared" si="206"/>
        <v>347</v>
      </c>
      <c r="AD466" s="98">
        <f>MiscData!$X$5</f>
        <v>20140101</v>
      </c>
      <c r="AE466" s="98">
        <f>IF(AE465+1&gt;MiscData!$AC$77,1,AE465+1)</f>
        <v>25</v>
      </c>
      <c r="AF466" s="98" t="str">
        <f>VLOOKUP(AE466,MiscData!$AC$5:$AD$77,2,FALSE)</f>
        <v>LGUM_347</v>
      </c>
      <c r="AG466" s="98" t="str">
        <f>VLOOKUP(AF466,MiscData!$AD$5:$AE$77,2,FALSE)</f>
        <v>RLS</v>
      </c>
      <c r="AP466" s="98" t="s">
        <v>294</v>
      </c>
      <c r="AR466" s="98">
        <v>-58.7</v>
      </c>
    </row>
    <row r="467" spans="1:44">
      <c r="A467" s="108">
        <f t="shared" si="207"/>
        <v>464</v>
      </c>
      <c r="B467" s="109" t="str">
        <f t="shared" si="183"/>
        <v>Jul 2015</v>
      </c>
      <c r="C467" s="110" t="str">
        <f t="shared" si="184"/>
        <v>RLS</v>
      </c>
      <c r="D467" s="110" t="str">
        <f t="shared" si="185"/>
        <v>LGUM_348</v>
      </c>
      <c r="E467" s="581">
        <f t="shared" si="188"/>
        <v>39</v>
      </c>
      <c r="F467" s="581">
        <f t="shared" si="189"/>
        <v>0</v>
      </c>
      <c r="G467" s="116">
        <f t="shared" si="190"/>
        <v>13.12</v>
      </c>
      <c r="H467" s="116">
        <f t="shared" si="191"/>
        <v>2.9800000000000004</v>
      </c>
      <c r="I467" s="118">
        <f t="shared" si="202"/>
        <v>511.68</v>
      </c>
      <c r="J467" s="118">
        <f t="shared" si="192"/>
        <v>511.68</v>
      </c>
      <c r="K467" s="570">
        <f t="shared" si="203"/>
        <v>0</v>
      </c>
      <c r="L467" s="121">
        <f t="shared" si="193"/>
        <v>0</v>
      </c>
      <c r="M467" s="122">
        <f t="shared" si="194"/>
        <v>0</v>
      </c>
      <c r="N467" s="122">
        <f t="shared" si="195"/>
        <v>0</v>
      </c>
      <c r="O467" s="122">
        <f t="shared" si="196"/>
        <v>0</v>
      </c>
      <c r="P467" s="122">
        <f t="shared" si="197"/>
        <v>0</v>
      </c>
      <c r="Q467" s="123">
        <f t="shared" si="198"/>
        <v>511.68</v>
      </c>
      <c r="R467" s="123">
        <f t="shared" si="204"/>
        <v>-511.68</v>
      </c>
      <c r="S467" s="582">
        <v>0</v>
      </c>
      <c r="T467" s="123">
        <f t="shared" si="205"/>
        <v>-511.68</v>
      </c>
      <c r="U467" s="25">
        <f t="shared" si="199"/>
        <v>116.22</v>
      </c>
      <c r="V467" s="123">
        <f t="shared" si="200"/>
        <v>-116.22</v>
      </c>
      <c r="W467" s="334">
        <f t="shared" si="201"/>
        <v>7.41</v>
      </c>
      <c r="Y467" s="109">
        <f>IF(AE467=1,IF(Y466=MiscData!$F$1,EOMONTH(Y466,-11),EOMONTH(Y466,1)),Y466)</f>
        <v>42216</v>
      </c>
      <c r="Z467" s="108" t="str">
        <f t="shared" si="186"/>
        <v>20140101LGUM_348</v>
      </c>
      <c r="AA467" s="126" t="str">
        <f t="shared" si="187"/>
        <v>20140101RLS</v>
      </c>
      <c r="AB467" s="583" t="str">
        <f t="shared" si="206"/>
        <v>348</v>
      </c>
      <c r="AD467" s="98">
        <f>MiscData!$X$5</f>
        <v>20140101</v>
      </c>
      <c r="AE467" s="98">
        <f>IF(AE466+1&gt;MiscData!$AC$77,1,AE466+1)</f>
        <v>26</v>
      </c>
      <c r="AF467" s="98" t="str">
        <f>VLOOKUP(AE467,MiscData!$AC$5:$AD$77,2,FALSE)</f>
        <v>LGUM_348</v>
      </c>
      <c r="AG467" s="98" t="str">
        <f>VLOOKUP(AF467,MiscData!$AD$5:$AE$77,2,FALSE)</f>
        <v>RLS</v>
      </c>
      <c r="AP467" s="98" t="s">
        <v>295</v>
      </c>
      <c r="AR467" s="98">
        <v>0</v>
      </c>
    </row>
    <row r="468" spans="1:44">
      <c r="A468" s="108">
        <f t="shared" si="207"/>
        <v>465</v>
      </c>
      <c r="B468" s="109" t="str">
        <f t="shared" si="183"/>
        <v>Jul 2015</v>
      </c>
      <c r="C468" s="110" t="str">
        <f t="shared" si="184"/>
        <v>RLS</v>
      </c>
      <c r="D468" s="110" t="str">
        <f t="shared" si="185"/>
        <v>LGUM_349</v>
      </c>
      <c r="E468" s="581">
        <f t="shared" si="188"/>
        <v>17</v>
      </c>
      <c r="F468" s="581">
        <f t="shared" si="189"/>
        <v>0</v>
      </c>
      <c r="G468" s="116">
        <f t="shared" si="190"/>
        <v>9.0200000000000014</v>
      </c>
      <c r="H468" s="116">
        <f t="shared" si="191"/>
        <v>0.91000000000000014</v>
      </c>
      <c r="I468" s="118">
        <f t="shared" si="202"/>
        <v>153.34</v>
      </c>
      <c r="J468" s="118">
        <f t="shared" si="192"/>
        <v>153.34</v>
      </c>
      <c r="K468" s="570">
        <f t="shared" si="203"/>
        <v>0</v>
      </c>
      <c r="L468" s="121">
        <f t="shared" si="193"/>
        <v>0</v>
      </c>
      <c r="M468" s="122">
        <f t="shared" si="194"/>
        <v>0</v>
      </c>
      <c r="N468" s="122">
        <f t="shared" si="195"/>
        <v>0</v>
      </c>
      <c r="O468" s="122">
        <f t="shared" si="196"/>
        <v>0</v>
      </c>
      <c r="P468" s="122">
        <f t="shared" si="197"/>
        <v>0</v>
      </c>
      <c r="Q468" s="123">
        <f t="shared" si="198"/>
        <v>153.34</v>
      </c>
      <c r="R468" s="123">
        <f t="shared" si="204"/>
        <v>-153.34</v>
      </c>
      <c r="S468" s="582">
        <v>0</v>
      </c>
      <c r="T468" s="123">
        <f t="shared" si="205"/>
        <v>-153.34</v>
      </c>
      <c r="U468" s="25">
        <f t="shared" si="199"/>
        <v>15.47</v>
      </c>
      <c r="V468" s="123">
        <f t="shared" si="200"/>
        <v>-15.47</v>
      </c>
      <c r="W468" s="334">
        <f t="shared" si="201"/>
        <v>2.3800000000000003</v>
      </c>
      <c r="Y468" s="109">
        <f>IF(AE468=1,IF(Y467=MiscData!$F$1,EOMONTH(Y467,-11),EOMONTH(Y467,1)),Y467)</f>
        <v>42216</v>
      </c>
      <c r="Z468" s="108" t="str">
        <f t="shared" si="186"/>
        <v>20140101LGUM_349</v>
      </c>
      <c r="AA468" s="126" t="str">
        <f t="shared" si="187"/>
        <v>20140101RLS</v>
      </c>
      <c r="AB468" s="583" t="str">
        <f t="shared" si="206"/>
        <v>349</v>
      </c>
      <c r="AD468" s="98">
        <f>MiscData!$X$5</f>
        <v>20140101</v>
      </c>
      <c r="AE468" s="98">
        <f>IF(AE467+1&gt;MiscData!$AC$77,1,AE467+1)</f>
        <v>27</v>
      </c>
      <c r="AF468" s="98" t="str">
        <f>VLOOKUP(AE468,MiscData!$AC$5:$AD$77,2,FALSE)</f>
        <v>LGUM_349</v>
      </c>
      <c r="AG468" s="98" t="str">
        <f>VLOOKUP(AF468,MiscData!$AD$5:$AE$77,2,FALSE)</f>
        <v>RLS</v>
      </c>
      <c r="AP468" s="98" t="s">
        <v>296</v>
      </c>
      <c r="AR468" s="98">
        <v>68512.929999999993</v>
      </c>
    </row>
    <row r="469" spans="1:44">
      <c r="A469" s="108">
        <f t="shared" si="207"/>
        <v>466</v>
      </c>
      <c r="B469" s="109" t="str">
        <f t="shared" si="183"/>
        <v>Jul 2015</v>
      </c>
      <c r="C469" s="110" t="str">
        <f t="shared" si="184"/>
        <v xml:space="preserve">LS </v>
      </c>
      <c r="D469" s="110" t="str">
        <f t="shared" si="185"/>
        <v>LGUM_400</v>
      </c>
      <c r="E469" s="581">
        <f t="shared" si="188"/>
        <v>35</v>
      </c>
      <c r="F469" s="581">
        <f t="shared" si="189"/>
        <v>0</v>
      </c>
      <c r="G469" s="116">
        <f t="shared" si="190"/>
        <v>23.89</v>
      </c>
      <c r="H469" s="116">
        <f t="shared" si="191"/>
        <v>1.0199999999999996</v>
      </c>
      <c r="I469" s="118">
        <f t="shared" si="202"/>
        <v>836.15</v>
      </c>
      <c r="J469" s="118">
        <f t="shared" si="192"/>
        <v>836.15</v>
      </c>
      <c r="K469" s="570">
        <f t="shared" si="203"/>
        <v>0</v>
      </c>
      <c r="L469" s="121">
        <f t="shared" si="193"/>
        <v>0</v>
      </c>
      <c r="M469" s="122">
        <f t="shared" si="194"/>
        <v>0</v>
      </c>
      <c r="N469" s="122">
        <f t="shared" si="195"/>
        <v>0</v>
      </c>
      <c r="O469" s="122">
        <f t="shared" si="196"/>
        <v>0</v>
      </c>
      <c r="P469" s="122">
        <f t="shared" si="197"/>
        <v>0</v>
      </c>
      <c r="Q469" s="123">
        <f t="shared" si="198"/>
        <v>836.15</v>
      </c>
      <c r="R469" s="123">
        <f t="shared" si="204"/>
        <v>-836.15</v>
      </c>
      <c r="S469" s="582">
        <v>0</v>
      </c>
      <c r="T469" s="123">
        <f t="shared" si="205"/>
        <v>-836.15</v>
      </c>
      <c r="U469" s="25">
        <f t="shared" si="199"/>
        <v>35.700000000000003</v>
      </c>
      <c r="V469" s="123">
        <f t="shared" si="200"/>
        <v>-35.700000000000003</v>
      </c>
      <c r="W469" s="334">
        <f t="shared" si="201"/>
        <v>12.95</v>
      </c>
      <c r="Y469" s="109">
        <f>IF(AE469=1,IF(Y468=MiscData!$F$1,EOMONTH(Y468,-11),EOMONTH(Y468,1)),Y468)</f>
        <v>42216</v>
      </c>
      <c r="Z469" s="108" t="str">
        <f t="shared" si="186"/>
        <v>20140101LGUM_400</v>
      </c>
      <c r="AA469" s="126" t="str">
        <f t="shared" si="187"/>
        <v xml:space="preserve">20140101LS </v>
      </c>
      <c r="AB469" s="583" t="str">
        <f t="shared" si="206"/>
        <v>400</v>
      </c>
      <c r="AD469" s="98">
        <f>MiscData!$X$5</f>
        <v>20140101</v>
      </c>
      <c r="AE469" s="98">
        <f>IF(AE468+1&gt;MiscData!$AC$77,1,AE468+1)</f>
        <v>28</v>
      </c>
      <c r="AF469" s="98" t="str">
        <f>VLOOKUP(AE469,MiscData!$AC$5:$AD$77,2,FALSE)</f>
        <v>LGUM_400</v>
      </c>
      <c r="AG469" s="98" t="str">
        <f>VLOOKUP(AF469,MiscData!$AD$5:$AE$77,2,FALSE)</f>
        <v xml:space="preserve">LS </v>
      </c>
      <c r="AP469" s="98" t="s">
        <v>297</v>
      </c>
      <c r="AR469" s="98">
        <v>0</v>
      </c>
    </row>
    <row r="470" spans="1:44">
      <c r="A470" s="108">
        <f t="shared" si="207"/>
        <v>467</v>
      </c>
      <c r="B470" s="109" t="str">
        <f t="shared" si="183"/>
        <v>Jul 2015</v>
      </c>
      <c r="C470" s="110" t="str">
        <f t="shared" si="184"/>
        <v xml:space="preserve">LS </v>
      </c>
      <c r="D470" s="110" t="str">
        <f t="shared" si="185"/>
        <v>LGUM_401</v>
      </c>
      <c r="E470" s="581">
        <f t="shared" si="188"/>
        <v>4</v>
      </c>
      <c r="F470" s="581">
        <f t="shared" si="189"/>
        <v>0</v>
      </c>
      <c r="G470" s="116">
        <f t="shared" si="190"/>
        <v>24.9</v>
      </c>
      <c r="H470" s="116">
        <f t="shared" si="191"/>
        <v>1.0599999999999987</v>
      </c>
      <c r="I470" s="118">
        <f t="shared" si="202"/>
        <v>99.6</v>
      </c>
      <c r="J470" s="118">
        <f t="shared" si="192"/>
        <v>99.6</v>
      </c>
      <c r="K470" s="570">
        <f t="shared" si="203"/>
        <v>0</v>
      </c>
      <c r="L470" s="121">
        <f t="shared" si="193"/>
        <v>0</v>
      </c>
      <c r="M470" s="122">
        <f t="shared" si="194"/>
        <v>0</v>
      </c>
      <c r="N470" s="122">
        <f t="shared" si="195"/>
        <v>0</v>
      </c>
      <c r="O470" s="122">
        <f t="shared" si="196"/>
        <v>0</v>
      </c>
      <c r="P470" s="122">
        <f t="shared" si="197"/>
        <v>0</v>
      </c>
      <c r="Q470" s="123">
        <f t="shared" si="198"/>
        <v>99.6</v>
      </c>
      <c r="R470" s="123">
        <f t="shared" si="204"/>
        <v>-99.6</v>
      </c>
      <c r="S470" s="582">
        <v>0</v>
      </c>
      <c r="T470" s="123">
        <f t="shared" si="205"/>
        <v>-99.6</v>
      </c>
      <c r="U470" s="25">
        <f t="shared" si="199"/>
        <v>4.24</v>
      </c>
      <c r="V470" s="123">
        <f t="shared" si="200"/>
        <v>-4.24</v>
      </c>
      <c r="W470" s="334">
        <f t="shared" si="201"/>
        <v>1.08</v>
      </c>
      <c r="Y470" s="109">
        <f>IF(AE470=1,IF(Y469=MiscData!$F$1,EOMONTH(Y469,-11),EOMONTH(Y469,1)),Y469)</f>
        <v>42216</v>
      </c>
      <c r="Z470" s="108" t="str">
        <f t="shared" si="186"/>
        <v>20140101LGUM_401</v>
      </c>
      <c r="AA470" s="126" t="str">
        <f t="shared" si="187"/>
        <v xml:space="preserve">20140101LS </v>
      </c>
      <c r="AB470" s="583" t="str">
        <f t="shared" si="206"/>
        <v>401</v>
      </c>
      <c r="AD470" s="98">
        <f>MiscData!$X$5</f>
        <v>20140101</v>
      </c>
      <c r="AE470" s="98">
        <f>IF(AE469+1&gt;MiscData!$AC$77,1,AE469+1)</f>
        <v>29</v>
      </c>
      <c r="AF470" s="98" t="str">
        <f>VLOOKUP(AE470,MiscData!$AC$5:$AD$77,2,FALSE)</f>
        <v>LGUM_401</v>
      </c>
      <c r="AG470" s="98" t="str">
        <f>VLOOKUP(AF470,MiscData!$AD$5:$AE$77,2,FALSE)</f>
        <v xml:space="preserve">LS </v>
      </c>
      <c r="AP470" s="98" t="s">
        <v>298</v>
      </c>
      <c r="AR470" s="98">
        <v>0</v>
      </c>
    </row>
    <row r="471" spans="1:44">
      <c r="A471" s="108">
        <f t="shared" si="207"/>
        <v>468</v>
      </c>
      <c r="B471" s="109" t="str">
        <f t="shared" si="183"/>
        <v>Jul 2015</v>
      </c>
      <c r="C471" s="110" t="str">
        <f t="shared" si="184"/>
        <v xml:space="preserve">LS </v>
      </c>
      <c r="D471" s="110" t="str">
        <f t="shared" si="185"/>
        <v>LGUM_412</v>
      </c>
      <c r="E471" s="581">
        <f t="shared" si="188"/>
        <v>219</v>
      </c>
      <c r="F471" s="581">
        <f t="shared" si="189"/>
        <v>0</v>
      </c>
      <c r="G471" s="116">
        <f t="shared" si="190"/>
        <v>19.79</v>
      </c>
      <c r="H471" s="116">
        <f t="shared" si="191"/>
        <v>0.74999999999999645</v>
      </c>
      <c r="I471" s="118">
        <f t="shared" si="202"/>
        <v>4334.01</v>
      </c>
      <c r="J471" s="118">
        <f t="shared" si="192"/>
        <v>4334.01</v>
      </c>
      <c r="K471" s="570">
        <f t="shared" si="203"/>
        <v>0</v>
      </c>
      <c r="L471" s="121">
        <f t="shared" si="193"/>
        <v>0</v>
      </c>
      <c r="M471" s="122">
        <f t="shared" si="194"/>
        <v>0</v>
      </c>
      <c r="N471" s="122">
        <f t="shared" si="195"/>
        <v>0</v>
      </c>
      <c r="O471" s="122">
        <f t="shared" si="196"/>
        <v>0</v>
      </c>
      <c r="P471" s="122">
        <f t="shared" si="197"/>
        <v>0</v>
      </c>
      <c r="Q471" s="123">
        <f t="shared" si="198"/>
        <v>4334.01</v>
      </c>
      <c r="R471" s="123">
        <f t="shared" si="204"/>
        <v>-4334.01</v>
      </c>
      <c r="S471" s="582">
        <v>0</v>
      </c>
      <c r="T471" s="123">
        <f t="shared" si="205"/>
        <v>-4334.01</v>
      </c>
      <c r="U471" s="25">
        <f t="shared" si="199"/>
        <v>164.25</v>
      </c>
      <c r="V471" s="123">
        <f t="shared" si="200"/>
        <v>-164.25</v>
      </c>
      <c r="W471" s="334">
        <f t="shared" si="201"/>
        <v>56.940000000000005</v>
      </c>
      <c r="Y471" s="109">
        <f>IF(AE471=1,IF(Y470=MiscData!$F$1,EOMONTH(Y470,-11),EOMONTH(Y470,1)),Y470)</f>
        <v>42216</v>
      </c>
      <c r="Z471" s="108" t="str">
        <f t="shared" si="186"/>
        <v>20140101LGUM_412</v>
      </c>
      <c r="AA471" s="126" t="str">
        <f t="shared" si="187"/>
        <v xml:space="preserve">20140101LS </v>
      </c>
      <c r="AB471" s="583" t="str">
        <f t="shared" si="206"/>
        <v>412</v>
      </c>
      <c r="AD471" s="98">
        <f>MiscData!$X$5</f>
        <v>20140101</v>
      </c>
      <c r="AE471" s="98">
        <f>IF(AE470+1&gt;MiscData!$AC$77,1,AE470+1)</f>
        <v>30</v>
      </c>
      <c r="AF471" s="98" t="str">
        <f>VLOOKUP(AE471,MiscData!$AC$5:$AD$77,2,FALSE)</f>
        <v>LGUM_412</v>
      </c>
      <c r="AG471" s="98" t="str">
        <f>VLOOKUP(AF471,MiscData!$AD$5:$AE$77,2,FALSE)</f>
        <v xml:space="preserve">LS </v>
      </c>
      <c r="AP471" s="98" t="s">
        <v>299</v>
      </c>
      <c r="AR471" s="98">
        <v>0</v>
      </c>
    </row>
    <row r="472" spans="1:44">
      <c r="A472" s="108">
        <f t="shared" si="207"/>
        <v>469</v>
      </c>
      <c r="B472" s="109" t="str">
        <f t="shared" si="183"/>
        <v>Jul 2015</v>
      </c>
      <c r="C472" s="110" t="str">
        <f t="shared" si="184"/>
        <v xml:space="preserve">LS </v>
      </c>
      <c r="D472" s="110" t="str">
        <f t="shared" si="185"/>
        <v>LGUM_413</v>
      </c>
      <c r="E472" s="581">
        <f t="shared" si="188"/>
        <v>2088</v>
      </c>
      <c r="F472" s="581">
        <f t="shared" si="189"/>
        <v>0</v>
      </c>
      <c r="G472" s="116">
        <f t="shared" si="190"/>
        <v>20.49</v>
      </c>
      <c r="H472" s="116">
        <f t="shared" si="191"/>
        <v>1.0599999999999987</v>
      </c>
      <c r="I472" s="118">
        <f t="shared" si="202"/>
        <v>42783.12</v>
      </c>
      <c r="J472" s="118">
        <f t="shared" si="192"/>
        <v>42783.12</v>
      </c>
      <c r="K472" s="570">
        <f t="shared" si="203"/>
        <v>0</v>
      </c>
      <c r="L472" s="121">
        <f t="shared" si="193"/>
        <v>0</v>
      </c>
      <c r="M472" s="122">
        <f t="shared" si="194"/>
        <v>0</v>
      </c>
      <c r="N472" s="122">
        <f t="shared" si="195"/>
        <v>0</v>
      </c>
      <c r="O472" s="122">
        <f t="shared" si="196"/>
        <v>0</v>
      </c>
      <c r="P472" s="122">
        <f t="shared" si="197"/>
        <v>0</v>
      </c>
      <c r="Q472" s="123">
        <f t="shared" si="198"/>
        <v>42783.12</v>
      </c>
      <c r="R472" s="123">
        <f t="shared" si="204"/>
        <v>-42783.12</v>
      </c>
      <c r="S472" s="582">
        <v>0</v>
      </c>
      <c r="T472" s="123">
        <f t="shared" si="205"/>
        <v>-42783.12</v>
      </c>
      <c r="U472" s="25">
        <f t="shared" si="199"/>
        <v>2213.2800000000002</v>
      </c>
      <c r="V472" s="123">
        <f t="shared" si="200"/>
        <v>-2213.2800000000002</v>
      </c>
      <c r="W472" s="334">
        <f t="shared" si="201"/>
        <v>563.76</v>
      </c>
      <c r="Y472" s="109">
        <f>IF(AE472=1,IF(Y471=MiscData!$F$1,EOMONTH(Y471,-11),EOMONTH(Y471,1)),Y471)</f>
        <v>42216</v>
      </c>
      <c r="Z472" s="108" t="str">
        <f t="shared" si="186"/>
        <v>20140101LGUM_413</v>
      </c>
      <c r="AA472" s="126" t="str">
        <f t="shared" si="187"/>
        <v xml:space="preserve">20140101LS </v>
      </c>
      <c r="AB472" s="583" t="str">
        <f t="shared" si="206"/>
        <v>413</v>
      </c>
      <c r="AD472" s="98">
        <f>MiscData!$X$5</f>
        <v>20140101</v>
      </c>
      <c r="AE472" s="98">
        <f>IF(AE471+1&gt;MiscData!$AC$77,1,AE471+1)</f>
        <v>31</v>
      </c>
      <c r="AF472" s="98" t="str">
        <f>VLOOKUP(AE472,MiscData!$AC$5:$AD$77,2,FALSE)</f>
        <v>LGUM_413</v>
      </c>
      <c r="AG472" s="98" t="str">
        <f>VLOOKUP(AF472,MiscData!$AD$5:$AE$77,2,FALSE)</f>
        <v xml:space="preserve">LS </v>
      </c>
      <c r="AP472" s="98" t="s">
        <v>300</v>
      </c>
      <c r="AR472" s="98">
        <v>0</v>
      </c>
    </row>
    <row r="473" spans="1:44">
      <c r="A473" s="108">
        <f t="shared" si="207"/>
        <v>470</v>
      </c>
      <c r="B473" s="109" t="str">
        <f t="shared" si="183"/>
        <v>Jul 2015</v>
      </c>
      <c r="C473" s="110" t="str">
        <f t="shared" si="184"/>
        <v xml:space="preserve">LS </v>
      </c>
      <c r="D473" s="110" t="str">
        <f t="shared" si="185"/>
        <v>LGUM_415</v>
      </c>
      <c r="E473" s="581">
        <f t="shared" si="188"/>
        <v>37</v>
      </c>
      <c r="F473" s="581">
        <f t="shared" si="189"/>
        <v>0</v>
      </c>
      <c r="G473" s="116">
        <f t="shared" si="190"/>
        <v>20.18</v>
      </c>
      <c r="H473" s="116">
        <f t="shared" si="191"/>
        <v>0.75</v>
      </c>
      <c r="I473" s="118">
        <f t="shared" si="202"/>
        <v>746.66</v>
      </c>
      <c r="J473" s="118">
        <f t="shared" si="192"/>
        <v>746.66</v>
      </c>
      <c r="K473" s="570">
        <f t="shared" si="203"/>
        <v>0</v>
      </c>
      <c r="L473" s="121">
        <f t="shared" si="193"/>
        <v>0</v>
      </c>
      <c r="M473" s="122">
        <f t="shared" si="194"/>
        <v>0</v>
      </c>
      <c r="N473" s="122">
        <f t="shared" si="195"/>
        <v>0</v>
      </c>
      <c r="O473" s="122">
        <f t="shared" si="196"/>
        <v>0</v>
      </c>
      <c r="P473" s="122">
        <f t="shared" si="197"/>
        <v>0</v>
      </c>
      <c r="Q473" s="123">
        <f t="shared" si="198"/>
        <v>746.66</v>
      </c>
      <c r="R473" s="123">
        <f t="shared" si="204"/>
        <v>-746.66</v>
      </c>
      <c r="S473" s="582">
        <v>0</v>
      </c>
      <c r="T473" s="123">
        <f t="shared" si="205"/>
        <v>-746.66</v>
      </c>
      <c r="U473" s="25">
        <f t="shared" si="199"/>
        <v>27.75</v>
      </c>
      <c r="V473" s="123">
        <f t="shared" si="200"/>
        <v>-27.75</v>
      </c>
      <c r="W473" s="334">
        <f t="shared" si="201"/>
        <v>9.620000000000001</v>
      </c>
      <c r="Y473" s="109">
        <f>IF(AE473=1,IF(Y472=MiscData!$F$1,EOMONTH(Y472,-11),EOMONTH(Y472,1)),Y472)</f>
        <v>42216</v>
      </c>
      <c r="Z473" s="108" t="str">
        <f t="shared" si="186"/>
        <v>20140101LGUM_415</v>
      </c>
      <c r="AA473" s="126" t="str">
        <f t="shared" si="187"/>
        <v xml:space="preserve">20140101LS </v>
      </c>
      <c r="AB473" s="583" t="str">
        <f t="shared" si="206"/>
        <v>415</v>
      </c>
      <c r="AD473" s="98">
        <f>MiscData!$X$5</f>
        <v>20140101</v>
      </c>
      <c r="AE473" s="98">
        <f>IF(AE472+1&gt;MiscData!$AC$77,1,AE472+1)</f>
        <v>32</v>
      </c>
      <c r="AF473" s="98" t="str">
        <f>VLOOKUP(AE473,MiscData!$AC$5:$AD$77,2,FALSE)</f>
        <v>LGUM_415</v>
      </c>
      <c r="AG473" s="98" t="str">
        <f>VLOOKUP(AF473,MiscData!$AD$5:$AE$77,2,FALSE)</f>
        <v xml:space="preserve">LS </v>
      </c>
      <c r="AP473" s="98" t="s">
        <v>301</v>
      </c>
      <c r="AR473" s="98">
        <v>0</v>
      </c>
    </row>
    <row r="474" spans="1:44">
      <c r="A474" s="108">
        <f t="shared" si="207"/>
        <v>471</v>
      </c>
      <c r="B474" s="109" t="str">
        <f t="shared" si="183"/>
        <v>Jul 2015</v>
      </c>
      <c r="C474" s="110" t="str">
        <f t="shared" si="184"/>
        <v xml:space="preserve">LS </v>
      </c>
      <c r="D474" s="110" t="str">
        <f t="shared" si="185"/>
        <v>LGUM_416</v>
      </c>
      <c r="E474" s="581">
        <f t="shared" si="188"/>
        <v>1835</v>
      </c>
      <c r="F474" s="581">
        <f t="shared" si="189"/>
        <v>0</v>
      </c>
      <c r="G474" s="116">
        <f t="shared" si="190"/>
        <v>22.56</v>
      </c>
      <c r="H474" s="116">
        <f t="shared" si="191"/>
        <v>1.0599999999999987</v>
      </c>
      <c r="I474" s="118">
        <f t="shared" si="202"/>
        <v>41397.599999999999</v>
      </c>
      <c r="J474" s="118">
        <f t="shared" si="192"/>
        <v>41397.599999999999</v>
      </c>
      <c r="K474" s="570">
        <f t="shared" si="203"/>
        <v>0</v>
      </c>
      <c r="L474" s="121">
        <f t="shared" si="193"/>
        <v>0</v>
      </c>
      <c r="M474" s="122">
        <f t="shared" si="194"/>
        <v>0</v>
      </c>
      <c r="N474" s="122">
        <f t="shared" si="195"/>
        <v>0</v>
      </c>
      <c r="O474" s="122">
        <f t="shared" si="196"/>
        <v>0</v>
      </c>
      <c r="P474" s="122">
        <f t="shared" si="197"/>
        <v>0</v>
      </c>
      <c r="Q474" s="123">
        <f t="shared" si="198"/>
        <v>41397.599999999999</v>
      </c>
      <c r="R474" s="123">
        <f t="shared" si="204"/>
        <v>-41397.599999999999</v>
      </c>
      <c r="S474" s="582">
        <v>0</v>
      </c>
      <c r="T474" s="123">
        <f t="shared" si="205"/>
        <v>-41397.599999999999</v>
      </c>
      <c r="U474" s="25">
        <f t="shared" si="199"/>
        <v>1945.1</v>
      </c>
      <c r="V474" s="123">
        <f t="shared" si="200"/>
        <v>-1945.1</v>
      </c>
      <c r="W474" s="334">
        <f t="shared" si="201"/>
        <v>495.45000000000005</v>
      </c>
      <c r="Y474" s="109">
        <f>IF(AE474=1,IF(Y473=MiscData!$F$1,EOMONTH(Y473,-11),EOMONTH(Y473,1)),Y473)</f>
        <v>42216</v>
      </c>
      <c r="Z474" s="108" t="str">
        <f t="shared" si="186"/>
        <v>20140101LGUM_416</v>
      </c>
      <c r="AA474" s="126" t="str">
        <f t="shared" si="187"/>
        <v xml:space="preserve">20140101LS </v>
      </c>
      <c r="AB474" s="583" t="str">
        <f t="shared" si="206"/>
        <v>416</v>
      </c>
      <c r="AD474" s="98">
        <f>MiscData!$X$5</f>
        <v>20140101</v>
      </c>
      <c r="AE474" s="98">
        <f>IF(AE473+1&gt;MiscData!$AC$77,1,AE473+1)</f>
        <v>33</v>
      </c>
      <c r="AF474" s="98" t="str">
        <f>VLOOKUP(AE474,MiscData!$AC$5:$AD$77,2,FALSE)</f>
        <v>LGUM_416</v>
      </c>
      <c r="AG474" s="98" t="str">
        <f>VLOOKUP(AF474,MiscData!$AD$5:$AE$77,2,FALSE)</f>
        <v xml:space="preserve">LS </v>
      </c>
      <c r="AP474" s="98" t="s">
        <v>302</v>
      </c>
      <c r="AR474" s="98">
        <v>-50.02</v>
      </c>
    </row>
    <row r="475" spans="1:44">
      <c r="A475" s="108">
        <f t="shared" si="207"/>
        <v>472</v>
      </c>
      <c r="B475" s="109" t="str">
        <f t="shared" si="183"/>
        <v>Jul 2015</v>
      </c>
      <c r="C475" s="110" t="str">
        <f t="shared" si="184"/>
        <v>RLS</v>
      </c>
      <c r="D475" s="110" t="str">
        <f t="shared" si="185"/>
        <v>LGUM_417</v>
      </c>
      <c r="E475" s="581">
        <f t="shared" si="188"/>
        <v>39</v>
      </c>
      <c r="F475" s="581">
        <f t="shared" si="189"/>
        <v>0</v>
      </c>
      <c r="G475" s="116">
        <f t="shared" si="190"/>
        <v>23.68</v>
      </c>
      <c r="H475" s="116">
        <f t="shared" si="191"/>
        <v>1.0300000000000011</v>
      </c>
      <c r="I475" s="118">
        <f t="shared" si="202"/>
        <v>923.52</v>
      </c>
      <c r="J475" s="118">
        <f t="shared" si="192"/>
        <v>923.52</v>
      </c>
      <c r="K475" s="570">
        <f t="shared" si="203"/>
        <v>0</v>
      </c>
      <c r="L475" s="121">
        <f t="shared" si="193"/>
        <v>0</v>
      </c>
      <c r="M475" s="122">
        <f t="shared" si="194"/>
        <v>0</v>
      </c>
      <c r="N475" s="122">
        <f t="shared" si="195"/>
        <v>0</v>
      </c>
      <c r="O475" s="122">
        <f t="shared" si="196"/>
        <v>0</v>
      </c>
      <c r="P475" s="122">
        <f t="shared" si="197"/>
        <v>0</v>
      </c>
      <c r="Q475" s="123">
        <f t="shared" si="198"/>
        <v>923.52</v>
      </c>
      <c r="R475" s="123">
        <f t="shared" si="204"/>
        <v>-923.52</v>
      </c>
      <c r="S475" s="582">
        <v>0</v>
      </c>
      <c r="T475" s="123">
        <f t="shared" si="205"/>
        <v>-923.52</v>
      </c>
      <c r="U475" s="25">
        <f t="shared" si="199"/>
        <v>40.17</v>
      </c>
      <c r="V475" s="123">
        <f t="shared" si="200"/>
        <v>-40.17</v>
      </c>
      <c r="W475" s="334">
        <f t="shared" si="201"/>
        <v>10.530000000000001</v>
      </c>
      <c r="Y475" s="109">
        <f>IF(AE475=1,IF(Y474=MiscData!$F$1,EOMONTH(Y474,-11),EOMONTH(Y474,1)),Y474)</f>
        <v>42216</v>
      </c>
      <c r="Z475" s="108" t="str">
        <f t="shared" si="186"/>
        <v>20140101LGUM_417</v>
      </c>
      <c r="AA475" s="126" t="str">
        <f t="shared" si="187"/>
        <v>20140101RLS</v>
      </c>
      <c r="AB475" s="583" t="str">
        <f t="shared" si="206"/>
        <v>417</v>
      </c>
      <c r="AD475" s="98">
        <f>MiscData!$X$5</f>
        <v>20140101</v>
      </c>
      <c r="AE475" s="98">
        <f>IF(AE474+1&gt;MiscData!$AC$77,1,AE474+1)</f>
        <v>34</v>
      </c>
      <c r="AF475" s="98" t="str">
        <f>VLOOKUP(AE475,MiscData!$AC$5:$AD$77,2,FALSE)</f>
        <v>LGUM_417</v>
      </c>
      <c r="AG475" s="98" t="str">
        <f>VLOOKUP(AF475,MiscData!$AD$5:$AE$77,2,FALSE)</f>
        <v>RLS</v>
      </c>
      <c r="AP475" s="98" t="s">
        <v>303</v>
      </c>
      <c r="AR475" s="98">
        <v>0</v>
      </c>
    </row>
    <row r="476" spans="1:44">
      <c r="A476" s="108">
        <f t="shared" si="207"/>
        <v>473</v>
      </c>
      <c r="B476" s="109" t="str">
        <f t="shared" si="183"/>
        <v>Jul 2015</v>
      </c>
      <c r="C476" s="110" t="str">
        <f t="shared" si="184"/>
        <v>RLS</v>
      </c>
      <c r="D476" s="110" t="str">
        <f t="shared" si="185"/>
        <v>LGUM_419</v>
      </c>
      <c r="E476" s="581">
        <f t="shared" si="188"/>
        <v>110</v>
      </c>
      <c r="F476" s="581">
        <f t="shared" si="189"/>
        <v>0</v>
      </c>
      <c r="G476" s="116">
        <f t="shared" si="190"/>
        <v>24.77</v>
      </c>
      <c r="H476" s="116">
        <f t="shared" si="191"/>
        <v>1.6499999999999986</v>
      </c>
      <c r="I476" s="118">
        <f t="shared" si="202"/>
        <v>2724.7</v>
      </c>
      <c r="J476" s="118">
        <f t="shared" si="192"/>
        <v>2724.7</v>
      </c>
      <c r="K476" s="570">
        <f t="shared" si="203"/>
        <v>0</v>
      </c>
      <c r="L476" s="121">
        <f t="shared" si="193"/>
        <v>0</v>
      </c>
      <c r="M476" s="122">
        <f t="shared" si="194"/>
        <v>0</v>
      </c>
      <c r="N476" s="122">
        <f t="shared" si="195"/>
        <v>0</v>
      </c>
      <c r="O476" s="122">
        <f t="shared" si="196"/>
        <v>0</v>
      </c>
      <c r="P476" s="122">
        <f t="shared" si="197"/>
        <v>0</v>
      </c>
      <c r="Q476" s="123">
        <f t="shared" si="198"/>
        <v>2724.7</v>
      </c>
      <c r="R476" s="123">
        <f t="shared" si="204"/>
        <v>-2724.7</v>
      </c>
      <c r="S476" s="582">
        <v>0</v>
      </c>
      <c r="T476" s="123">
        <f t="shared" si="205"/>
        <v>-2724.7</v>
      </c>
      <c r="U476" s="25">
        <f t="shared" si="199"/>
        <v>181.5</v>
      </c>
      <c r="V476" s="123">
        <f t="shared" si="200"/>
        <v>-181.5</v>
      </c>
      <c r="W476" s="334">
        <f t="shared" si="201"/>
        <v>40.700000000000003</v>
      </c>
      <c r="Y476" s="109">
        <f>IF(AE476=1,IF(Y475=MiscData!$F$1,EOMONTH(Y475,-11),EOMONTH(Y475,1)),Y475)</f>
        <v>42216</v>
      </c>
      <c r="Z476" s="108" t="str">
        <f t="shared" si="186"/>
        <v>20140101LGUM_419</v>
      </c>
      <c r="AA476" s="126" t="str">
        <f t="shared" si="187"/>
        <v>20140101RLS</v>
      </c>
      <c r="AB476" s="583" t="str">
        <f t="shared" si="206"/>
        <v>419</v>
      </c>
      <c r="AD476" s="98">
        <f>MiscData!$X$5</f>
        <v>20140101</v>
      </c>
      <c r="AE476" s="98">
        <f>IF(AE475+1&gt;MiscData!$AC$77,1,AE475+1)</f>
        <v>35</v>
      </c>
      <c r="AF476" s="98" t="str">
        <f>VLOOKUP(AE476,MiscData!$AC$5:$AD$77,2,FALSE)</f>
        <v>LGUM_419</v>
      </c>
      <c r="AG476" s="98" t="str">
        <f>VLOOKUP(AF476,MiscData!$AD$5:$AE$77,2,FALSE)</f>
        <v>RLS</v>
      </c>
      <c r="AP476" s="98" t="s">
        <v>304</v>
      </c>
      <c r="AR476" s="98">
        <v>0</v>
      </c>
    </row>
    <row r="477" spans="1:44">
      <c r="A477" s="108">
        <f t="shared" si="207"/>
        <v>474</v>
      </c>
      <c r="B477" s="109" t="str">
        <f t="shared" si="183"/>
        <v>Jul 2015</v>
      </c>
      <c r="C477" s="110" t="str">
        <f t="shared" si="184"/>
        <v xml:space="preserve">LS </v>
      </c>
      <c r="D477" s="110" t="str">
        <f t="shared" si="185"/>
        <v>LGUM_420</v>
      </c>
      <c r="E477" s="581">
        <f t="shared" si="188"/>
        <v>53</v>
      </c>
      <c r="F477" s="581">
        <f t="shared" si="189"/>
        <v>0</v>
      </c>
      <c r="G477" s="116">
        <f t="shared" si="190"/>
        <v>29.889999999999997</v>
      </c>
      <c r="H477" s="116">
        <f t="shared" si="191"/>
        <v>1.6499999999999986</v>
      </c>
      <c r="I477" s="118">
        <f t="shared" si="202"/>
        <v>1584.17</v>
      </c>
      <c r="J477" s="118">
        <f t="shared" si="192"/>
        <v>1584.17</v>
      </c>
      <c r="K477" s="570">
        <f t="shared" si="203"/>
        <v>0</v>
      </c>
      <c r="L477" s="121">
        <f t="shared" si="193"/>
        <v>0</v>
      </c>
      <c r="M477" s="122">
        <f t="shared" si="194"/>
        <v>0</v>
      </c>
      <c r="N477" s="122">
        <f t="shared" si="195"/>
        <v>0</v>
      </c>
      <c r="O477" s="122">
        <f t="shared" si="196"/>
        <v>0</v>
      </c>
      <c r="P477" s="122">
        <f t="shared" si="197"/>
        <v>0</v>
      </c>
      <c r="Q477" s="123">
        <f t="shared" si="198"/>
        <v>1584.17</v>
      </c>
      <c r="R477" s="123">
        <f t="shared" si="204"/>
        <v>-1584.17</v>
      </c>
      <c r="S477" s="582">
        <v>0</v>
      </c>
      <c r="T477" s="123">
        <f t="shared" si="205"/>
        <v>-1584.17</v>
      </c>
      <c r="U477" s="25">
        <f t="shared" si="199"/>
        <v>87.45</v>
      </c>
      <c r="V477" s="123">
        <f t="shared" si="200"/>
        <v>-87.45</v>
      </c>
      <c r="W477" s="334">
        <f t="shared" si="201"/>
        <v>12.719999999999999</v>
      </c>
      <c r="Y477" s="109">
        <f>IF(AE477=1,IF(Y476=MiscData!$F$1,EOMONTH(Y476,-11),EOMONTH(Y476,1)),Y476)</f>
        <v>42216</v>
      </c>
      <c r="Z477" s="108" t="str">
        <f t="shared" si="186"/>
        <v>20140101LGUM_420</v>
      </c>
      <c r="AA477" s="126" t="str">
        <f t="shared" si="187"/>
        <v xml:space="preserve">20140101LS </v>
      </c>
      <c r="AB477" s="583" t="str">
        <f t="shared" si="206"/>
        <v>420</v>
      </c>
      <c r="AD477" s="98">
        <f>MiscData!$X$5</f>
        <v>20140101</v>
      </c>
      <c r="AE477" s="98">
        <f>IF(AE476+1&gt;MiscData!$AC$77,1,AE476+1)</f>
        <v>36</v>
      </c>
      <c r="AF477" s="98" t="str">
        <f>VLOOKUP(AE477,MiscData!$AC$5:$AD$77,2,FALSE)</f>
        <v>LGUM_420</v>
      </c>
      <c r="AG477" s="98" t="str">
        <f>VLOOKUP(AF477,MiscData!$AD$5:$AE$77,2,FALSE)</f>
        <v xml:space="preserve">LS </v>
      </c>
      <c r="AP477" s="98" t="s">
        <v>305</v>
      </c>
      <c r="AR477" s="98">
        <v>0</v>
      </c>
    </row>
    <row r="478" spans="1:44">
      <c r="A478" s="108">
        <f t="shared" si="207"/>
        <v>475</v>
      </c>
      <c r="B478" s="109" t="str">
        <f t="shared" si="183"/>
        <v>Jul 2015</v>
      </c>
      <c r="C478" s="110" t="str">
        <f t="shared" si="184"/>
        <v xml:space="preserve">LS </v>
      </c>
      <c r="D478" s="110" t="str">
        <f t="shared" si="185"/>
        <v>LGUM_421</v>
      </c>
      <c r="E478" s="581">
        <f t="shared" si="188"/>
        <v>173</v>
      </c>
      <c r="F478" s="581">
        <f t="shared" si="189"/>
        <v>0</v>
      </c>
      <c r="G478" s="116">
        <f t="shared" si="190"/>
        <v>32.860000000000007</v>
      </c>
      <c r="H478" s="116">
        <f t="shared" si="191"/>
        <v>2.6700000000000017</v>
      </c>
      <c r="I478" s="118">
        <f t="shared" si="202"/>
        <v>5684.78</v>
      </c>
      <c r="J478" s="118">
        <f t="shared" si="192"/>
        <v>5684.78</v>
      </c>
      <c r="K478" s="570">
        <f t="shared" si="203"/>
        <v>0</v>
      </c>
      <c r="L478" s="121">
        <f t="shared" si="193"/>
        <v>0</v>
      </c>
      <c r="M478" s="122">
        <f t="shared" si="194"/>
        <v>0</v>
      </c>
      <c r="N478" s="122">
        <f t="shared" si="195"/>
        <v>0</v>
      </c>
      <c r="O478" s="122">
        <f t="shared" si="196"/>
        <v>0</v>
      </c>
      <c r="P478" s="122">
        <f t="shared" si="197"/>
        <v>0</v>
      </c>
      <c r="Q478" s="123">
        <f t="shared" si="198"/>
        <v>5684.78</v>
      </c>
      <c r="R478" s="123">
        <f t="shared" si="204"/>
        <v>-5684.78</v>
      </c>
      <c r="S478" s="582">
        <v>0</v>
      </c>
      <c r="T478" s="123">
        <f t="shared" si="205"/>
        <v>-5684.78</v>
      </c>
      <c r="U478" s="25">
        <f t="shared" si="199"/>
        <v>461.91</v>
      </c>
      <c r="V478" s="123">
        <f t="shared" si="200"/>
        <v>-461.91</v>
      </c>
      <c r="W478" s="334">
        <f t="shared" si="201"/>
        <v>46.71</v>
      </c>
      <c r="Y478" s="109">
        <f>IF(AE478=1,IF(Y477=MiscData!$F$1,EOMONTH(Y477,-11),EOMONTH(Y477,1)),Y477)</f>
        <v>42216</v>
      </c>
      <c r="Z478" s="108" t="str">
        <f t="shared" si="186"/>
        <v>20140101LGUM_421</v>
      </c>
      <c r="AA478" s="126" t="str">
        <f t="shared" si="187"/>
        <v xml:space="preserve">20140101LS </v>
      </c>
      <c r="AB478" s="583" t="str">
        <f t="shared" si="206"/>
        <v>421</v>
      </c>
      <c r="AD478" s="98">
        <f>MiscData!$X$5</f>
        <v>20140101</v>
      </c>
      <c r="AE478" s="98">
        <f>IF(AE477+1&gt;MiscData!$AC$77,1,AE477+1)</f>
        <v>37</v>
      </c>
      <c r="AF478" s="98" t="str">
        <f>VLOOKUP(AE478,MiscData!$AC$5:$AD$77,2,FALSE)</f>
        <v>LGUM_421</v>
      </c>
      <c r="AG478" s="98" t="str">
        <f>VLOOKUP(AF478,MiscData!$AD$5:$AE$77,2,FALSE)</f>
        <v xml:space="preserve">LS </v>
      </c>
      <c r="AP478" s="98" t="s">
        <v>306</v>
      </c>
      <c r="AR478" s="98">
        <v>0</v>
      </c>
    </row>
    <row r="479" spans="1:44">
      <c r="A479" s="108">
        <f t="shared" si="207"/>
        <v>476</v>
      </c>
      <c r="B479" s="109" t="str">
        <f t="shared" si="183"/>
        <v>Jul 2015</v>
      </c>
      <c r="C479" s="110" t="str">
        <f t="shared" si="184"/>
        <v xml:space="preserve">LS </v>
      </c>
      <c r="D479" s="110" t="str">
        <f t="shared" si="185"/>
        <v>LGUM_422</v>
      </c>
      <c r="E479" s="581">
        <f t="shared" si="188"/>
        <v>388</v>
      </c>
      <c r="F479" s="581">
        <f t="shared" si="189"/>
        <v>0</v>
      </c>
      <c r="G479" s="116">
        <f t="shared" si="190"/>
        <v>38.389999999999993</v>
      </c>
      <c r="H479" s="116">
        <f t="shared" si="191"/>
        <v>4.279999999999994</v>
      </c>
      <c r="I479" s="118">
        <f t="shared" si="202"/>
        <v>14895.32</v>
      </c>
      <c r="J479" s="118">
        <f t="shared" si="192"/>
        <v>14895.32</v>
      </c>
      <c r="K479" s="570">
        <f t="shared" si="203"/>
        <v>0</v>
      </c>
      <c r="L479" s="121">
        <f t="shared" si="193"/>
        <v>0</v>
      </c>
      <c r="M479" s="122">
        <f t="shared" si="194"/>
        <v>0</v>
      </c>
      <c r="N479" s="122">
        <f t="shared" si="195"/>
        <v>0</v>
      </c>
      <c r="O479" s="122">
        <f t="shared" si="196"/>
        <v>0</v>
      </c>
      <c r="P479" s="122">
        <f t="shared" si="197"/>
        <v>0</v>
      </c>
      <c r="Q479" s="123">
        <f t="shared" si="198"/>
        <v>14895.32</v>
      </c>
      <c r="R479" s="123">
        <f t="shared" si="204"/>
        <v>-14895.32</v>
      </c>
      <c r="S479" s="582">
        <v>0</v>
      </c>
      <c r="T479" s="123">
        <f t="shared" si="205"/>
        <v>-14895.32</v>
      </c>
      <c r="U479" s="25">
        <f t="shared" si="199"/>
        <v>1660.64</v>
      </c>
      <c r="V479" s="123">
        <f t="shared" si="200"/>
        <v>-1660.64</v>
      </c>
      <c r="W479" s="334">
        <f t="shared" si="201"/>
        <v>112.52</v>
      </c>
      <c r="Y479" s="109">
        <f>IF(AE479=1,IF(Y478=MiscData!$F$1,EOMONTH(Y478,-11),EOMONTH(Y478,1)),Y478)</f>
        <v>42216</v>
      </c>
      <c r="Z479" s="108" t="str">
        <f t="shared" si="186"/>
        <v>20140101LGUM_422</v>
      </c>
      <c r="AA479" s="126" t="str">
        <f t="shared" si="187"/>
        <v xml:space="preserve">20140101LS </v>
      </c>
      <c r="AB479" s="583" t="str">
        <f t="shared" si="206"/>
        <v>422</v>
      </c>
      <c r="AD479" s="98">
        <f>MiscData!$X$5</f>
        <v>20140101</v>
      </c>
      <c r="AE479" s="98">
        <f>IF(AE478+1&gt;MiscData!$AC$77,1,AE478+1)</f>
        <v>38</v>
      </c>
      <c r="AF479" s="98" t="str">
        <f>VLOOKUP(AE479,MiscData!$AC$5:$AD$77,2,FALSE)</f>
        <v>LGUM_422</v>
      </c>
      <c r="AG479" s="98" t="str">
        <f>VLOOKUP(AF479,MiscData!$AD$5:$AE$77,2,FALSE)</f>
        <v xml:space="preserve">LS </v>
      </c>
      <c r="AP479" s="98" t="s">
        <v>307</v>
      </c>
      <c r="AR479" s="98">
        <v>0</v>
      </c>
    </row>
    <row r="480" spans="1:44">
      <c r="A480" s="108">
        <f t="shared" si="207"/>
        <v>477</v>
      </c>
      <c r="B480" s="109" t="str">
        <f t="shared" si="183"/>
        <v>Jul 2015</v>
      </c>
      <c r="C480" s="110" t="str">
        <f t="shared" si="184"/>
        <v xml:space="preserve">LS </v>
      </c>
      <c r="D480" s="110" t="str">
        <f t="shared" si="185"/>
        <v>LGUM_423</v>
      </c>
      <c r="E480" s="581">
        <f t="shared" si="188"/>
        <v>21</v>
      </c>
      <c r="F480" s="581">
        <f t="shared" si="189"/>
        <v>0</v>
      </c>
      <c r="G480" s="116">
        <f t="shared" si="190"/>
        <v>26.349999999999998</v>
      </c>
      <c r="H480" s="116">
        <f t="shared" si="191"/>
        <v>1.6500000000000021</v>
      </c>
      <c r="I480" s="118">
        <f t="shared" si="202"/>
        <v>553.35</v>
      </c>
      <c r="J480" s="118">
        <f t="shared" si="192"/>
        <v>553.35</v>
      </c>
      <c r="K480" s="570">
        <f t="shared" si="203"/>
        <v>0</v>
      </c>
      <c r="L480" s="121">
        <f t="shared" si="193"/>
        <v>0</v>
      </c>
      <c r="M480" s="122">
        <f t="shared" si="194"/>
        <v>0</v>
      </c>
      <c r="N480" s="122">
        <f t="shared" si="195"/>
        <v>0</v>
      </c>
      <c r="O480" s="122">
        <f t="shared" si="196"/>
        <v>0</v>
      </c>
      <c r="P480" s="122">
        <f t="shared" si="197"/>
        <v>0</v>
      </c>
      <c r="Q480" s="123">
        <f t="shared" si="198"/>
        <v>553.35</v>
      </c>
      <c r="R480" s="123">
        <f t="shared" si="204"/>
        <v>-553.35</v>
      </c>
      <c r="S480" s="582">
        <v>0</v>
      </c>
      <c r="T480" s="123">
        <f t="shared" si="205"/>
        <v>-553.35</v>
      </c>
      <c r="U480" s="25">
        <f t="shared" si="199"/>
        <v>34.65</v>
      </c>
      <c r="V480" s="123">
        <f t="shared" si="200"/>
        <v>-34.65</v>
      </c>
      <c r="W480" s="334">
        <f t="shared" si="201"/>
        <v>5.04</v>
      </c>
      <c r="Y480" s="109">
        <f>IF(AE480=1,IF(Y479=MiscData!$F$1,EOMONTH(Y479,-11),EOMONTH(Y479,1)),Y479)</f>
        <v>42216</v>
      </c>
      <c r="Z480" s="108" t="str">
        <f t="shared" si="186"/>
        <v>20140101LGUM_423</v>
      </c>
      <c r="AA480" s="126" t="str">
        <f t="shared" si="187"/>
        <v xml:space="preserve">20140101LS </v>
      </c>
      <c r="AB480" s="583" t="str">
        <f t="shared" si="206"/>
        <v>423</v>
      </c>
      <c r="AD480" s="98">
        <f>MiscData!$X$5</f>
        <v>20140101</v>
      </c>
      <c r="AE480" s="98">
        <f>IF(AE479+1&gt;MiscData!$AC$77,1,AE479+1)</f>
        <v>39</v>
      </c>
      <c r="AF480" s="98" t="str">
        <f>VLOOKUP(AE480,MiscData!$AC$5:$AD$77,2,FALSE)</f>
        <v>LGUM_423</v>
      </c>
      <c r="AG480" s="98" t="str">
        <f>VLOOKUP(AF480,MiscData!$AD$5:$AE$77,2,FALSE)</f>
        <v xml:space="preserve">LS </v>
      </c>
      <c r="AP480" s="98" t="s">
        <v>308</v>
      </c>
      <c r="AR480" s="98">
        <v>733.41</v>
      </c>
    </row>
    <row r="481" spans="1:44">
      <c r="A481" s="108">
        <f t="shared" si="207"/>
        <v>478</v>
      </c>
      <c r="B481" s="109" t="str">
        <f t="shared" si="183"/>
        <v>Jul 2015</v>
      </c>
      <c r="C481" s="110" t="str">
        <f t="shared" si="184"/>
        <v xml:space="preserve">LS </v>
      </c>
      <c r="D481" s="110" t="str">
        <f t="shared" si="185"/>
        <v>LGUM_424</v>
      </c>
      <c r="E481" s="581">
        <f t="shared" si="188"/>
        <v>448</v>
      </c>
      <c r="F481" s="581">
        <f t="shared" si="189"/>
        <v>0</v>
      </c>
      <c r="G481" s="116">
        <f t="shared" si="190"/>
        <v>28.45</v>
      </c>
      <c r="H481" s="116">
        <f t="shared" si="191"/>
        <v>3.9800000000000004</v>
      </c>
      <c r="I481" s="118">
        <f t="shared" si="202"/>
        <v>12745.6</v>
      </c>
      <c r="J481" s="118">
        <f t="shared" si="192"/>
        <v>12745.6</v>
      </c>
      <c r="K481" s="570">
        <f t="shared" si="203"/>
        <v>0</v>
      </c>
      <c r="L481" s="121">
        <f t="shared" si="193"/>
        <v>0</v>
      </c>
      <c r="M481" s="122">
        <f t="shared" si="194"/>
        <v>0</v>
      </c>
      <c r="N481" s="122">
        <f t="shared" si="195"/>
        <v>0</v>
      </c>
      <c r="O481" s="122">
        <f t="shared" si="196"/>
        <v>0</v>
      </c>
      <c r="P481" s="122">
        <f t="shared" si="197"/>
        <v>0</v>
      </c>
      <c r="Q481" s="123">
        <f t="shared" si="198"/>
        <v>12745.6</v>
      </c>
      <c r="R481" s="123">
        <f t="shared" si="204"/>
        <v>-12745.6</v>
      </c>
      <c r="S481" s="582">
        <v>0</v>
      </c>
      <c r="T481" s="123">
        <f t="shared" si="205"/>
        <v>-12745.6</v>
      </c>
      <c r="U481" s="25">
        <f t="shared" si="199"/>
        <v>1783.04</v>
      </c>
      <c r="V481" s="123">
        <f t="shared" si="200"/>
        <v>-1783.04</v>
      </c>
      <c r="W481" s="334">
        <f t="shared" si="201"/>
        <v>120.96000000000001</v>
      </c>
      <c r="Y481" s="109">
        <f>IF(AE481=1,IF(Y480=MiscData!$F$1,EOMONTH(Y480,-11),EOMONTH(Y480,1)),Y480)</f>
        <v>42216</v>
      </c>
      <c r="Z481" s="108" t="str">
        <f t="shared" si="186"/>
        <v>20140101LGUM_424</v>
      </c>
      <c r="AA481" s="126" t="str">
        <f t="shared" si="187"/>
        <v xml:space="preserve">20140101LS </v>
      </c>
      <c r="AB481" s="583" t="str">
        <f t="shared" si="206"/>
        <v>424</v>
      </c>
      <c r="AD481" s="98">
        <f>MiscData!$X$5</f>
        <v>20140101</v>
      </c>
      <c r="AE481" s="98">
        <f>IF(AE480+1&gt;MiscData!$AC$77,1,AE480+1)</f>
        <v>40</v>
      </c>
      <c r="AF481" s="98" t="str">
        <f>VLOOKUP(AE481,MiscData!$AC$5:$AD$77,2,FALSE)</f>
        <v>LGUM_424</v>
      </c>
      <c r="AG481" s="98" t="str">
        <f>VLOOKUP(AF481,MiscData!$AD$5:$AE$77,2,FALSE)</f>
        <v xml:space="preserve">LS </v>
      </c>
      <c r="AP481" s="98" t="s">
        <v>309</v>
      </c>
      <c r="AR481" s="98">
        <v>5756.7</v>
      </c>
    </row>
    <row r="482" spans="1:44">
      <c r="A482" s="108">
        <f t="shared" si="207"/>
        <v>479</v>
      </c>
      <c r="B482" s="109" t="str">
        <f t="shared" si="183"/>
        <v>Jul 2015</v>
      </c>
      <c r="C482" s="110" t="str">
        <f t="shared" si="184"/>
        <v xml:space="preserve">LS </v>
      </c>
      <c r="D482" s="110" t="str">
        <f t="shared" si="185"/>
        <v>LGUM_425</v>
      </c>
      <c r="E482" s="581">
        <f t="shared" si="188"/>
        <v>34</v>
      </c>
      <c r="F482" s="581">
        <f t="shared" si="189"/>
        <v>0</v>
      </c>
      <c r="G482" s="116">
        <f t="shared" si="190"/>
        <v>34.029999999999994</v>
      </c>
      <c r="H482" s="116">
        <f t="shared" si="191"/>
        <v>4.2799999999999976</v>
      </c>
      <c r="I482" s="118">
        <f t="shared" si="202"/>
        <v>1157.02</v>
      </c>
      <c r="J482" s="118">
        <f t="shared" si="192"/>
        <v>1157.02</v>
      </c>
      <c r="K482" s="570">
        <f t="shared" si="203"/>
        <v>0</v>
      </c>
      <c r="L482" s="121">
        <f t="shared" si="193"/>
        <v>0</v>
      </c>
      <c r="M482" s="122">
        <f t="shared" si="194"/>
        <v>0</v>
      </c>
      <c r="N482" s="122">
        <f t="shared" si="195"/>
        <v>0</v>
      </c>
      <c r="O482" s="122">
        <f t="shared" si="196"/>
        <v>0</v>
      </c>
      <c r="P482" s="122">
        <f t="shared" si="197"/>
        <v>0</v>
      </c>
      <c r="Q482" s="123">
        <f t="shared" si="198"/>
        <v>1157.02</v>
      </c>
      <c r="R482" s="123">
        <f t="shared" si="204"/>
        <v>-1157.02</v>
      </c>
      <c r="S482" s="582">
        <v>0</v>
      </c>
      <c r="T482" s="123">
        <f t="shared" si="205"/>
        <v>-1157.02</v>
      </c>
      <c r="U482" s="25">
        <f t="shared" si="199"/>
        <v>145.52000000000001</v>
      </c>
      <c r="V482" s="123">
        <f t="shared" si="200"/>
        <v>-145.52000000000001</v>
      </c>
      <c r="W482" s="334">
        <f t="shared" si="201"/>
        <v>9.86</v>
      </c>
      <c r="Y482" s="109">
        <f>IF(AE482=1,IF(Y481=MiscData!$F$1,EOMONTH(Y481,-11),EOMONTH(Y481,1)),Y481)</f>
        <v>42216</v>
      </c>
      <c r="Z482" s="108" t="str">
        <f t="shared" si="186"/>
        <v>20140101LGUM_425</v>
      </c>
      <c r="AA482" s="126" t="str">
        <f t="shared" si="187"/>
        <v xml:space="preserve">20140101LS </v>
      </c>
      <c r="AB482" s="583" t="str">
        <f t="shared" si="206"/>
        <v>425</v>
      </c>
      <c r="AD482" s="98">
        <f>MiscData!$X$5</f>
        <v>20140101</v>
      </c>
      <c r="AE482" s="98">
        <f>IF(AE481+1&gt;MiscData!$AC$77,1,AE481+1)</f>
        <v>41</v>
      </c>
      <c r="AF482" s="98" t="str">
        <f>VLOOKUP(AE482,MiscData!$AC$5:$AD$77,2,FALSE)</f>
        <v>LGUM_425</v>
      </c>
      <c r="AG482" s="98" t="str">
        <f>VLOOKUP(AF482,MiscData!$AD$5:$AE$77,2,FALSE)</f>
        <v xml:space="preserve">LS </v>
      </c>
      <c r="AP482" s="98" t="s">
        <v>310</v>
      </c>
      <c r="AR482" s="98">
        <v>0</v>
      </c>
    </row>
    <row r="483" spans="1:44">
      <c r="A483" s="108">
        <f t="shared" si="207"/>
        <v>480</v>
      </c>
      <c r="B483" s="109" t="str">
        <f t="shared" si="183"/>
        <v>Jul 2015</v>
      </c>
      <c r="C483" s="110" t="str">
        <f t="shared" si="184"/>
        <v>RLS</v>
      </c>
      <c r="D483" s="110" t="str">
        <f t="shared" si="185"/>
        <v>LGUM_426</v>
      </c>
      <c r="E483" s="581">
        <f t="shared" si="188"/>
        <v>40</v>
      </c>
      <c r="F483" s="581">
        <f t="shared" si="189"/>
        <v>0</v>
      </c>
      <c r="G483" s="116">
        <f t="shared" si="190"/>
        <v>33.22</v>
      </c>
      <c r="H483" s="116">
        <f t="shared" si="191"/>
        <v>0.75</v>
      </c>
      <c r="I483" s="118">
        <f t="shared" si="202"/>
        <v>1328.8</v>
      </c>
      <c r="J483" s="118">
        <f t="shared" si="192"/>
        <v>1328.8</v>
      </c>
      <c r="K483" s="570">
        <f t="shared" si="203"/>
        <v>0</v>
      </c>
      <c r="L483" s="121">
        <f t="shared" si="193"/>
        <v>0</v>
      </c>
      <c r="M483" s="122">
        <f t="shared" si="194"/>
        <v>0</v>
      </c>
      <c r="N483" s="122">
        <f t="shared" si="195"/>
        <v>0</v>
      </c>
      <c r="O483" s="122">
        <f t="shared" si="196"/>
        <v>0</v>
      </c>
      <c r="P483" s="122">
        <f t="shared" si="197"/>
        <v>0</v>
      </c>
      <c r="Q483" s="123">
        <f t="shared" si="198"/>
        <v>1328.8</v>
      </c>
      <c r="R483" s="123">
        <f t="shared" si="204"/>
        <v>-1328.8</v>
      </c>
      <c r="S483" s="582">
        <v>0</v>
      </c>
      <c r="T483" s="123">
        <f t="shared" si="205"/>
        <v>-1328.8</v>
      </c>
      <c r="U483" s="25">
        <f t="shared" si="199"/>
        <v>30</v>
      </c>
      <c r="V483" s="123">
        <f t="shared" si="200"/>
        <v>-30</v>
      </c>
      <c r="W483" s="334">
        <f t="shared" si="201"/>
        <v>10.4</v>
      </c>
      <c r="Y483" s="109">
        <f>IF(AE483=1,IF(Y482=MiscData!$F$1,EOMONTH(Y482,-11),EOMONTH(Y482,1)),Y482)</f>
        <v>42216</v>
      </c>
      <c r="Z483" s="108" t="str">
        <f t="shared" si="186"/>
        <v>20140101LGUM_426</v>
      </c>
      <c r="AA483" s="126" t="str">
        <f t="shared" si="187"/>
        <v>20140101RLS</v>
      </c>
      <c r="AB483" s="583" t="str">
        <f t="shared" si="206"/>
        <v>426</v>
      </c>
      <c r="AD483" s="98">
        <f>MiscData!$X$5</f>
        <v>20140101</v>
      </c>
      <c r="AE483" s="98">
        <f>IF(AE482+1&gt;MiscData!$AC$77,1,AE482+1)</f>
        <v>42</v>
      </c>
      <c r="AF483" s="98" t="str">
        <f>VLOOKUP(AE483,MiscData!$AC$5:$AD$77,2,FALSE)</f>
        <v>LGUM_426</v>
      </c>
      <c r="AG483" s="98" t="str">
        <f>VLOOKUP(AF483,MiscData!$AD$5:$AE$77,2,FALSE)</f>
        <v>RLS</v>
      </c>
      <c r="AP483" s="98" t="s">
        <v>311</v>
      </c>
      <c r="AR483" s="98">
        <v>0</v>
      </c>
    </row>
    <row r="484" spans="1:44">
      <c r="A484" s="108">
        <f t="shared" si="207"/>
        <v>481</v>
      </c>
      <c r="B484" s="109" t="str">
        <f t="shared" ref="B484:B515" si="208">TEXT(Y484,"mmm yyyy")</f>
        <v>Jul 2015</v>
      </c>
      <c r="C484" s="110" t="str">
        <f t="shared" ref="C484:C515" si="209">AG484</f>
        <v xml:space="preserve">LS </v>
      </c>
      <c r="D484" s="110" t="str">
        <f t="shared" ref="D484:D515" si="210">AF484</f>
        <v>LGUM_427</v>
      </c>
      <c r="E484" s="581">
        <f t="shared" si="188"/>
        <v>52</v>
      </c>
      <c r="F484" s="581">
        <f t="shared" si="189"/>
        <v>0</v>
      </c>
      <c r="G484" s="116">
        <f t="shared" si="190"/>
        <v>35.199999999999996</v>
      </c>
      <c r="H484" s="116">
        <f t="shared" si="191"/>
        <v>0.75</v>
      </c>
      <c r="I484" s="118">
        <f t="shared" si="202"/>
        <v>1830.4</v>
      </c>
      <c r="J484" s="118">
        <f t="shared" si="192"/>
        <v>1830.4</v>
      </c>
      <c r="K484" s="570">
        <f t="shared" si="203"/>
        <v>0</v>
      </c>
      <c r="L484" s="121">
        <f t="shared" si="193"/>
        <v>0</v>
      </c>
      <c r="M484" s="122">
        <f t="shared" si="194"/>
        <v>0</v>
      </c>
      <c r="N484" s="122">
        <f t="shared" si="195"/>
        <v>0</v>
      </c>
      <c r="O484" s="122">
        <f t="shared" si="196"/>
        <v>0</v>
      </c>
      <c r="P484" s="122">
        <f t="shared" si="197"/>
        <v>0</v>
      </c>
      <c r="Q484" s="123">
        <f t="shared" si="198"/>
        <v>1830.4</v>
      </c>
      <c r="R484" s="123">
        <f t="shared" si="204"/>
        <v>-1830.4</v>
      </c>
      <c r="S484" s="582">
        <v>0</v>
      </c>
      <c r="T484" s="123">
        <f t="shared" si="205"/>
        <v>-1830.4</v>
      </c>
      <c r="U484" s="25">
        <f t="shared" si="199"/>
        <v>39</v>
      </c>
      <c r="V484" s="123">
        <f t="shared" si="200"/>
        <v>-39</v>
      </c>
      <c r="W484" s="334">
        <f t="shared" si="201"/>
        <v>13.52</v>
      </c>
      <c r="Y484" s="109">
        <f>IF(AE484=1,IF(Y483=MiscData!$F$1,EOMONTH(Y483,-11),EOMONTH(Y483,1)),Y483)</f>
        <v>42216</v>
      </c>
      <c r="Z484" s="108" t="str">
        <f t="shared" ref="Z484:Z519" si="211">CONCATENATE(AD484&amp;AF484)</f>
        <v>20140101LGUM_427</v>
      </c>
      <c r="AA484" s="126" t="str">
        <f t="shared" ref="AA484:AA519" si="212">CONCATENATE(AD484&amp;AG484)</f>
        <v xml:space="preserve">20140101LS </v>
      </c>
      <c r="AB484" s="583" t="str">
        <f t="shared" si="206"/>
        <v>427</v>
      </c>
      <c r="AD484" s="98">
        <f>MiscData!$X$5</f>
        <v>20140101</v>
      </c>
      <c r="AE484" s="98">
        <f>IF(AE483+1&gt;MiscData!$AC$77,1,AE483+1)</f>
        <v>43</v>
      </c>
      <c r="AF484" s="98" t="str">
        <f>VLOOKUP(AE484,MiscData!$AC$5:$AD$77,2,FALSE)</f>
        <v>LGUM_427</v>
      </c>
      <c r="AG484" s="98" t="str">
        <f>VLOOKUP(AF484,MiscData!$AD$5:$AE$77,2,FALSE)</f>
        <v xml:space="preserve">LS </v>
      </c>
      <c r="AP484" s="98" t="s">
        <v>339</v>
      </c>
      <c r="AR484" s="98">
        <v>0</v>
      </c>
    </row>
    <row r="485" spans="1:44">
      <c r="A485" s="108">
        <f t="shared" si="207"/>
        <v>482</v>
      </c>
      <c r="B485" s="109" t="str">
        <f t="shared" si="208"/>
        <v>Jul 2015</v>
      </c>
      <c r="C485" s="110" t="str">
        <f t="shared" si="209"/>
        <v>RLS</v>
      </c>
      <c r="D485" s="110" t="str">
        <f t="shared" si="210"/>
        <v>LGUM_428</v>
      </c>
      <c r="E485" s="581">
        <f t="shared" si="188"/>
        <v>216</v>
      </c>
      <c r="F485" s="581">
        <f t="shared" si="189"/>
        <v>0</v>
      </c>
      <c r="G485" s="116">
        <f t="shared" si="190"/>
        <v>34.090000000000003</v>
      </c>
      <c r="H485" s="116">
        <f t="shared" si="191"/>
        <v>1.0600000000000023</v>
      </c>
      <c r="I485" s="118">
        <f t="shared" si="202"/>
        <v>7363.44</v>
      </c>
      <c r="J485" s="118">
        <f t="shared" si="192"/>
        <v>7363.44</v>
      </c>
      <c r="K485" s="570">
        <f t="shared" si="203"/>
        <v>0</v>
      </c>
      <c r="L485" s="121">
        <f t="shared" si="193"/>
        <v>0</v>
      </c>
      <c r="M485" s="122">
        <f t="shared" si="194"/>
        <v>0</v>
      </c>
      <c r="N485" s="122">
        <f t="shared" si="195"/>
        <v>0</v>
      </c>
      <c r="O485" s="122">
        <f t="shared" si="196"/>
        <v>0</v>
      </c>
      <c r="P485" s="122">
        <f t="shared" si="197"/>
        <v>0</v>
      </c>
      <c r="Q485" s="123">
        <f t="shared" si="198"/>
        <v>7363.44</v>
      </c>
      <c r="R485" s="123">
        <f t="shared" si="204"/>
        <v>-7363.44</v>
      </c>
      <c r="S485" s="582">
        <v>0</v>
      </c>
      <c r="T485" s="123">
        <f t="shared" si="205"/>
        <v>-7363.44</v>
      </c>
      <c r="U485" s="25">
        <f t="shared" si="199"/>
        <v>228.96</v>
      </c>
      <c r="V485" s="123">
        <f t="shared" si="200"/>
        <v>-228.96</v>
      </c>
      <c r="W485" s="334">
        <f t="shared" si="201"/>
        <v>58.320000000000007</v>
      </c>
      <c r="Y485" s="109">
        <f>IF(AE485=1,IF(Y484=MiscData!$F$1,EOMONTH(Y484,-11),EOMONTH(Y484,1)),Y484)</f>
        <v>42216</v>
      </c>
      <c r="Z485" s="108" t="str">
        <f t="shared" si="211"/>
        <v>20140101LGUM_428</v>
      </c>
      <c r="AA485" s="126" t="str">
        <f t="shared" si="212"/>
        <v>20140101RLS</v>
      </c>
      <c r="AB485" s="583" t="str">
        <f t="shared" si="206"/>
        <v>428</v>
      </c>
      <c r="AD485" s="98">
        <f>MiscData!$X$5</f>
        <v>20140101</v>
      </c>
      <c r="AE485" s="98">
        <f>IF(AE484+1&gt;MiscData!$AC$77,1,AE484+1)</f>
        <v>44</v>
      </c>
      <c r="AF485" s="98" t="str">
        <f>VLOOKUP(AE485,MiscData!$AC$5:$AD$77,2,FALSE)</f>
        <v>LGUM_428</v>
      </c>
      <c r="AG485" s="98" t="str">
        <f>VLOOKUP(AF485,MiscData!$AD$5:$AE$77,2,FALSE)</f>
        <v>RLS</v>
      </c>
      <c r="AP485" s="98" t="s">
        <v>312</v>
      </c>
      <c r="AR485" s="98">
        <v>48.17</v>
      </c>
    </row>
    <row r="486" spans="1:44">
      <c r="A486" s="108">
        <f t="shared" si="207"/>
        <v>483</v>
      </c>
      <c r="B486" s="109" t="str">
        <f t="shared" si="208"/>
        <v>Jul 2015</v>
      </c>
      <c r="C486" s="110" t="str">
        <f t="shared" si="209"/>
        <v xml:space="preserve">LS </v>
      </c>
      <c r="D486" s="110" t="str">
        <f t="shared" si="210"/>
        <v>LGUM_429</v>
      </c>
      <c r="E486" s="581">
        <f t="shared" si="188"/>
        <v>193</v>
      </c>
      <c r="F486" s="581">
        <f t="shared" si="189"/>
        <v>0</v>
      </c>
      <c r="G486" s="116">
        <f t="shared" si="190"/>
        <v>36.07</v>
      </c>
      <c r="H486" s="116">
        <f t="shared" si="191"/>
        <v>1.0599999999999952</v>
      </c>
      <c r="I486" s="118">
        <f t="shared" si="202"/>
        <v>6961.51</v>
      </c>
      <c r="J486" s="118">
        <f t="shared" si="192"/>
        <v>6961.51</v>
      </c>
      <c r="K486" s="570">
        <f t="shared" si="203"/>
        <v>0</v>
      </c>
      <c r="L486" s="121">
        <f t="shared" si="193"/>
        <v>0</v>
      </c>
      <c r="M486" s="122">
        <f t="shared" si="194"/>
        <v>0</v>
      </c>
      <c r="N486" s="122">
        <f t="shared" si="195"/>
        <v>0</v>
      </c>
      <c r="O486" s="122">
        <f t="shared" si="196"/>
        <v>0</v>
      </c>
      <c r="P486" s="122">
        <f t="shared" si="197"/>
        <v>0</v>
      </c>
      <c r="Q486" s="123">
        <f t="shared" si="198"/>
        <v>6961.51</v>
      </c>
      <c r="R486" s="123">
        <f t="shared" si="204"/>
        <v>-6961.51</v>
      </c>
      <c r="S486" s="582">
        <v>0</v>
      </c>
      <c r="T486" s="123">
        <f t="shared" si="205"/>
        <v>-6961.51</v>
      </c>
      <c r="U486" s="25">
        <f t="shared" si="199"/>
        <v>204.58</v>
      </c>
      <c r="V486" s="123">
        <f t="shared" si="200"/>
        <v>-204.58</v>
      </c>
      <c r="W486" s="334">
        <f t="shared" si="201"/>
        <v>52.110000000000007</v>
      </c>
      <c r="Y486" s="109">
        <f>IF(AE486=1,IF(Y485=MiscData!$F$1,EOMONTH(Y485,-11),EOMONTH(Y485,1)),Y485)</f>
        <v>42216</v>
      </c>
      <c r="Z486" s="108" t="str">
        <f t="shared" si="211"/>
        <v>20140101LGUM_429</v>
      </c>
      <c r="AA486" s="126" t="str">
        <f t="shared" si="212"/>
        <v xml:space="preserve">20140101LS </v>
      </c>
      <c r="AB486" s="583" t="str">
        <f t="shared" si="206"/>
        <v>429</v>
      </c>
      <c r="AD486" s="98">
        <f>MiscData!$X$5</f>
        <v>20140101</v>
      </c>
      <c r="AE486" s="98">
        <f>IF(AE485+1&gt;MiscData!$AC$77,1,AE485+1)</f>
        <v>45</v>
      </c>
      <c r="AF486" s="98" t="str">
        <f>VLOOKUP(AE486,MiscData!$AC$5:$AD$77,2,FALSE)</f>
        <v>LGUM_429</v>
      </c>
      <c r="AG486" s="98" t="str">
        <f>VLOOKUP(AF486,MiscData!$AD$5:$AE$77,2,FALSE)</f>
        <v xml:space="preserve">LS </v>
      </c>
      <c r="AP486" s="98" t="s">
        <v>313</v>
      </c>
      <c r="AR486" s="98">
        <v>0</v>
      </c>
    </row>
    <row r="487" spans="1:44">
      <c r="A487" s="108">
        <f t="shared" si="207"/>
        <v>484</v>
      </c>
      <c r="B487" s="109" t="str">
        <f t="shared" si="208"/>
        <v>Jul 2015</v>
      </c>
      <c r="C487" s="110" t="str">
        <f t="shared" si="209"/>
        <v>RLS</v>
      </c>
      <c r="D487" s="110" t="str">
        <f t="shared" si="210"/>
        <v>LGUM_430</v>
      </c>
      <c r="E487" s="581">
        <f t="shared" si="188"/>
        <v>13</v>
      </c>
      <c r="F487" s="581">
        <f t="shared" si="189"/>
        <v>0</v>
      </c>
      <c r="G487" s="116">
        <f t="shared" si="190"/>
        <v>32.26</v>
      </c>
      <c r="H487" s="116">
        <f t="shared" si="191"/>
        <v>0.75</v>
      </c>
      <c r="I487" s="118">
        <f t="shared" si="202"/>
        <v>419.38</v>
      </c>
      <c r="J487" s="118">
        <f t="shared" si="192"/>
        <v>419.38</v>
      </c>
      <c r="K487" s="570">
        <f t="shared" si="203"/>
        <v>0</v>
      </c>
      <c r="L487" s="121">
        <f t="shared" si="193"/>
        <v>0</v>
      </c>
      <c r="M487" s="122">
        <f t="shared" si="194"/>
        <v>0</v>
      </c>
      <c r="N487" s="122">
        <f t="shared" si="195"/>
        <v>0</v>
      </c>
      <c r="O487" s="122">
        <f t="shared" si="196"/>
        <v>0</v>
      </c>
      <c r="P487" s="122">
        <f t="shared" si="197"/>
        <v>0</v>
      </c>
      <c r="Q487" s="123">
        <f t="shared" si="198"/>
        <v>419.38</v>
      </c>
      <c r="R487" s="123">
        <f t="shared" si="204"/>
        <v>-419.38</v>
      </c>
      <c r="S487" s="582">
        <v>0</v>
      </c>
      <c r="T487" s="123">
        <f t="shared" si="205"/>
        <v>-419.38</v>
      </c>
      <c r="U487" s="25">
        <f t="shared" si="199"/>
        <v>9.75</v>
      </c>
      <c r="V487" s="123">
        <f t="shared" si="200"/>
        <v>-9.75</v>
      </c>
      <c r="W487" s="334">
        <f t="shared" si="201"/>
        <v>3.38</v>
      </c>
      <c r="Y487" s="109">
        <f>IF(AE487=1,IF(Y486=MiscData!$F$1,EOMONTH(Y486,-11),EOMONTH(Y486,1)),Y486)</f>
        <v>42216</v>
      </c>
      <c r="Z487" s="108" t="str">
        <f t="shared" si="211"/>
        <v>20140101LGUM_430</v>
      </c>
      <c r="AA487" s="126" t="str">
        <f t="shared" si="212"/>
        <v>20140101RLS</v>
      </c>
      <c r="AB487" s="583" t="str">
        <f t="shared" si="206"/>
        <v>430</v>
      </c>
      <c r="AD487" s="98">
        <f>MiscData!$X$5</f>
        <v>20140101</v>
      </c>
      <c r="AE487" s="98">
        <f>IF(AE486+1&gt;MiscData!$AC$77,1,AE486+1)</f>
        <v>46</v>
      </c>
      <c r="AF487" s="98" t="str">
        <f>VLOOKUP(AE487,MiscData!$AC$5:$AD$77,2,FALSE)</f>
        <v>LGUM_430</v>
      </c>
      <c r="AG487" s="98" t="str">
        <f>VLOOKUP(AF487,MiscData!$AD$5:$AE$77,2,FALSE)</f>
        <v>RLS</v>
      </c>
      <c r="AP487" s="98" t="s">
        <v>314</v>
      </c>
      <c r="AR487" s="98">
        <v>0</v>
      </c>
    </row>
    <row r="488" spans="1:44">
      <c r="A488" s="108">
        <f t="shared" si="207"/>
        <v>485</v>
      </c>
      <c r="B488" s="109" t="str">
        <f t="shared" si="208"/>
        <v>Jul 2015</v>
      </c>
      <c r="C488" s="110" t="str">
        <f t="shared" si="209"/>
        <v xml:space="preserve">LS </v>
      </c>
      <c r="D488" s="110" t="str">
        <f t="shared" si="210"/>
        <v>LGUM_431</v>
      </c>
      <c r="E488" s="581">
        <f t="shared" si="188"/>
        <v>44</v>
      </c>
      <c r="F488" s="581">
        <f t="shared" si="189"/>
        <v>0</v>
      </c>
      <c r="G488" s="116">
        <f t="shared" si="190"/>
        <v>32.93</v>
      </c>
      <c r="H488" s="116">
        <f t="shared" si="191"/>
        <v>0.75</v>
      </c>
      <c r="I488" s="118">
        <f t="shared" si="202"/>
        <v>1448.92</v>
      </c>
      <c r="J488" s="118">
        <f t="shared" si="192"/>
        <v>1448.92</v>
      </c>
      <c r="K488" s="570">
        <f t="shared" si="203"/>
        <v>0</v>
      </c>
      <c r="L488" s="121">
        <f t="shared" si="193"/>
        <v>0</v>
      </c>
      <c r="M488" s="122">
        <f t="shared" si="194"/>
        <v>0</v>
      </c>
      <c r="N488" s="122">
        <f t="shared" si="195"/>
        <v>0</v>
      </c>
      <c r="O488" s="122">
        <f t="shared" si="196"/>
        <v>0</v>
      </c>
      <c r="P488" s="122">
        <f t="shared" si="197"/>
        <v>0</v>
      </c>
      <c r="Q488" s="123">
        <f t="shared" si="198"/>
        <v>1448.92</v>
      </c>
      <c r="R488" s="123">
        <f t="shared" si="204"/>
        <v>-1448.92</v>
      </c>
      <c r="S488" s="582">
        <v>0</v>
      </c>
      <c r="T488" s="123">
        <f t="shared" si="205"/>
        <v>-1448.92</v>
      </c>
      <c r="U488" s="25">
        <f t="shared" si="199"/>
        <v>33</v>
      </c>
      <c r="V488" s="123">
        <f t="shared" si="200"/>
        <v>-33</v>
      </c>
      <c r="W488" s="334">
        <f t="shared" si="201"/>
        <v>11.440000000000001</v>
      </c>
      <c r="Y488" s="109">
        <f>IF(AE488=1,IF(Y487=MiscData!$F$1,EOMONTH(Y487,-11),EOMONTH(Y487,1)),Y487)</f>
        <v>42216</v>
      </c>
      <c r="Z488" s="108" t="str">
        <f t="shared" si="211"/>
        <v>20140101LGUM_431</v>
      </c>
      <c r="AA488" s="126" t="str">
        <f t="shared" si="212"/>
        <v xml:space="preserve">20140101LS </v>
      </c>
      <c r="AB488" s="583" t="str">
        <f t="shared" si="206"/>
        <v>431</v>
      </c>
      <c r="AD488" s="98">
        <f>MiscData!$X$5</f>
        <v>20140101</v>
      </c>
      <c r="AE488" s="98">
        <f>IF(AE487+1&gt;MiscData!$AC$77,1,AE487+1)</f>
        <v>47</v>
      </c>
      <c r="AF488" s="98" t="str">
        <f>VLOOKUP(AE488,MiscData!$AC$5:$AD$77,2,FALSE)</f>
        <v>LGUM_431</v>
      </c>
      <c r="AG488" s="98" t="str">
        <f>VLOOKUP(AF488,MiscData!$AD$5:$AE$77,2,FALSE)</f>
        <v xml:space="preserve">LS </v>
      </c>
      <c r="AP488" s="98" t="s">
        <v>592</v>
      </c>
      <c r="AR488" s="98">
        <v>0</v>
      </c>
    </row>
    <row r="489" spans="1:44">
      <c r="A489" s="108">
        <f t="shared" si="207"/>
        <v>486</v>
      </c>
      <c r="B489" s="109" t="str">
        <f t="shared" si="208"/>
        <v>Jul 2015</v>
      </c>
      <c r="C489" s="110" t="str">
        <f t="shared" si="209"/>
        <v>RLS</v>
      </c>
      <c r="D489" s="110" t="str">
        <f t="shared" si="210"/>
        <v>LGUM_432</v>
      </c>
      <c r="E489" s="581">
        <f t="shared" si="188"/>
        <v>10</v>
      </c>
      <c r="F489" s="581">
        <f t="shared" si="189"/>
        <v>0</v>
      </c>
      <c r="G489" s="116">
        <f t="shared" si="190"/>
        <v>34.330000000000005</v>
      </c>
      <c r="H489" s="116">
        <f t="shared" si="191"/>
        <v>1.0600000000000023</v>
      </c>
      <c r="I489" s="118">
        <f t="shared" si="202"/>
        <v>343.3</v>
      </c>
      <c r="J489" s="118">
        <f t="shared" si="192"/>
        <v>343.3</v>
      </c>
      <c r="K489" s="570">
        <f t="shared" si="203"/>
        <v>0</v>
      </c>
      <c r="L489" s="121">
        <f t="shared" si="193"/>
        <v>0</v>
      </c>
      <c r="M489" s="122">
        <f t="shared" si="194"/>
        <v>0</v>
      </c>
      <c r="N489" s="122">
        <f t="shared" si="195"/>
        <v>0</v>
      </c>
      <c r="O489" s="122">
        <f t="shared" si="196"/>
        <v>0</v>
      </c>
      <c r="P489" s="122">
        <f t="shared" si="197"/>
        <v>0</v>
      </c>
      <c r="Q489" s="123">
        <f t="shared" si="198"/>
        <v>343.3</v>
      </c>
      <c r="R489" s="123">
        <f t="shared" si="204"/>
        <v>-343.3</v>
      </c>
      <c r="S489" s="582">
        <v>0</v>
      </c>
      <c r="T489" s="123">
        <f t="shared" si="205"/>
        <v>-343.3</v>
      </c>
      <c r="U489" s="25">
        <f t="shared" si="199"/>
        <v>10.6</v>
      </c>
      <c r="V489" s="123">
        <f t="shared" si="200"/>
        <v>-10.6</v>
      </c>
      <c r="W489" s="334">
        <f t="shared" si="201"/>
        <v>2.7</v>
      </c>
      <c r="Y489" s="109">
        <f>IF(AE489=1,IF(Y488=MiscData!$F$1,EOMONTH(Y488,-11),EOMONTH(Y488,1)),Y488)</f>
        <v>42216</v>
      </c>
      <c r="Z489" s="108" t="str">
        <f t="shared" si="211"/>
        <v>20140101LGUM_432</v>
      </c>
      <c r="AA489" s="126" t="str">
        <f t="shared" si="212"/>
        <v>20140101RLS</v>
      </c>
      <c r="AB489" s="583" t="str">
        <f t="shared" si="206"/>
        <v>432</v>
      </c>
      <c r="AD489" s="98">
        <f>MiscData!$X$5</f>
        <v>20140101</v>
      </c>
      <c r="AE489" s="98">
        <f>IF(AE488+1&gt;MiscData!$AC$77,1,AE488+1)</f>
        <v>48</v>
      </c>
      <c r="AF489" s="98" t="str">
        <f>VLOOKUP(AE489,MiscData!$AC$5:$AD$77,2,FALSE)</f>
        <v>LGUM_432</v>
      </c>
      <c r="AG489" s="98" t="str">
        <f>VLOOKUP(AF489,MiscData!$AD$5:$AE$77,2,FALSE)</f>
        <v>RLS</v>
      </c>
      <c r="AP489" s="98" t="s">
        <v>315</v>
      </c>
      <c r="AR489" s="98">
        <v>0</v>
      </c>
    </row>
    <row r="490" spans="1:44">
      <c r="A490" s="108">
        <f t="shared" si="207"/>
        <v>487</v>
      </c>
      <c r="B490" s="109" t="str">
        <f t="shared" si="208"/>
        <v>Jul 2015</v>
      </c>
      <c r="C490" s="110" t="str">
        <f t="shared" si="209"/>
        <v xml:space="preserve">LS </v>
      </c>
      <c r="D490" s="110" t="str">
        <f t="shared" si="210"/>
        <v>LGUM_433</v>
      </c>
      <c r="E490" s="581">
        <f t="shared" si="188"/>
        <v>191</v>
      </c>
      <c r="F490" s="581">
        <f t="shared" si="189"/>
        <v>0</v>
      </c>
      <c r="G490" s="116">
        <f t="shared" si="190"/>
        <v>34.99</v>
      </c>
      <c r="H490" s="116">
        <f t="shared" si="191"/>
        <v>1.0600000000000023</v>
      </c>
      <c r="I490" s="118">
        <f t="shared" si="202"/>
        <v>6683.09</v>
      </c>
      <c r="J490" s="118">
        <f t="shared" si="192"/>
        <v>6683.09</v>
      </c>
      <c r="K490" s="570">
        <f t="shared" si="203"/>
        <v>0</v>
      </c>
      <c r="L490" s="121">
        <f t="shared" si="193"/>
        <v>0</v>
      </c>
      <c r="M490" s="122">
        <f t="shared" si="194"/>
        <v>0</v>
      </c>
      <c r="N490" s="122">
        <f t="shared" si="195"/>
        <v>0</v>
      </c>
      <c r="O490" s="122">
        <f t="shared" si="196"/>
        <v>0</v>
      </c>
      <c r="P490" s="122">
        <f t="shared" si="197"/>
        <v>0</v>
      </c>
      <c r="Q490" s="123">
        <f t="shared" si="198"/>
        <v>6683.09</v>
      </c>
      <c r="R490" s="123">
        <f t="shared" si="204"/>
        <v>-6683.09</v>
      </c>
      <c r="S490" s="582">
        <v>0</v>
      </c>
      <c r="T490" s="123">
        <f t="shared" si="205"/>
        <v>-6683.09</v>
      </c>
      <c r="U490" s="25">
        <f t="shared" si="199"/>
        <v>202.46</v>
      </c>
      <c r="V490" s="123">
        <f t="shared" si="200"/>
        <v>-202.46</v>
      </c>
      <c r="W490" s="334">
        <f t="shared" si="201"/>
        <v>51.57</v>
      </c>
      <c r="Y490" s="109">
        <f>IF(AE490=1,IF(Y489=MiscData!$F$1,EOMONTH(Y489,-11),EOMONTH(Y489,1)),Y489)</f>
        <v>42216</v>
      </c>
      <c r="Z490" s="108" t="str">
        <f t="shared" si="211"/>
        <v>20140101LGUM_433</v>
      </c>
      <c r="AA490" s="126" t="str">
        <f t="shared" si="212"/>
        <v xml:space="preserve">20140101LS </v>
      </c>
      <c r="AB490" s="583" t="str">
        <f t="shared" si="206"/>
        <v>433</v>
      </c>
      <c r="AD490" s="98">
        <f>MiscData!$X$5</f>
        <v>20140101</v>
      </c>
      <c r="AE490" s="98">
        <f>IF(AE489+1&gt;MiscData!$AC$77,1,AE489+1)</f>
        <v>49</v>
      </c>
      <c r="AF490" s="98" t="str">
        <f>VLOOKUP(AE490,MiscData!$AC$5:$AD$77,2,FALSE)</f>
        <v>LGUM_433</v>
      </c>
      <c r="AG490" s="98" t="str">
        <f>VLOOKUP(AF490,MiscData!$AD$5:$AE$77,2,FALSE)</f>
        <v xml:space="preserve">LS </v>
      </c>
      <c r="AP490" s="98" t="s">
        <v>316</v>
      </c>
      <c r="AR490" s="98">
        <v>0</v>
      </c>
    </row>
    <row r="491" spans="1:44">
      <c r="A491" s="108">
        <f t="shared" si="207"/>
        <v>488</v>
      </c>
      <c r="B491" s="109" t="str">
        <f t="shared" si="208"/>
        <v>Jul 2015</v>
      </c>
      <c r="C491" s="110" t="str">
        <f t="shared" si="209"/>
        <v xml:space="preserve">LS </v>
      </c>
      <c r="D491" s="110" t="str">
        <f t="shared" si="210"/>
        <v>LGUM_439</v>
      </c>
      <c r="E491" s="581">
        <f t="shared" si="188"/>
        <v>0</v>
      </c>
      <c r="F491" s="581">
        <f t="shared" si="189"/>
        <v>0</v>
      </c>
      <c r="G491" s="116">
        <f t="shared" si="190"/>
        <v>16.459999999999997</v>
      </c>
      <c r="H491" s="116">
        <f t="shared" si="191"/>
        <v>1.6499999999999986</v>
      </c>
      <c r="I491" s="118">
        <f t="shared" si="202"/>
        <v>0</v>
      </c>
      <c r="J491" s="118">
        <f t="shared" si="192"/>
        <v>0</v>
      </c>
      <c r="K491" s="570">
        <f t="shared" si="203"/>
        <v>0</v>
      </c>
      <c r="L491" s="121">
        <f t="shared" si="193"/>
        <v>1</v>
      </c>
      <c r="M491" s="122">
        <f t="shared" si="194"/>
        <v>0</v>
      </c>
      <c r="N491" s="122">
        <f t="shared" si="195"/>
        <v>0</v>
      </c>
      <c r="O491" s="122">
        <f t="shared" si="196"/>
        <v>0</v>
      </c>
      <c r="P491" s="122">
        <f t="shared" si="197"/>
        <v>0</v>
      </c>
      <c r="Q491" s="123">
        <f t="shared" si="198"/>
        <v>0</v>
      </c>
      <c r="R491" s="123">
        <f t="shared" si="204"/>
        <v>0</v>
      </c>
      <c r="S491" s="582">
        <v>0</v>
      </c>
      <c r="T491" s="123">
        <f t="shared" si="205"/>
        <v>0</v>
      </c>
      <c r="U491" s="25">
        <f t="shared" si="199"/>
        <v>0</v>
      </c>
      <c r="V491" s="123">
        <f t="shared" si="200"/>
        <v>0</v>
      </c>
      <c r="W491" s="334">
        <f t="shared" si="201"/>
        <v>0</v>
      </c>
      <c r="Y491" s="109">
        <f>IF(AE491=1,IF(Y490=MiscData!$F$1,EOMONTH(Y490,-11),EOMONTH(Y490,1)),Y490)</f>
        <v>42216</v>
      </c>
      <c r="Z491" s="108" t="str">
        <f t="shared" si="211"/>
        <v>20140101LGUM_439</v>
      </c>
      <c r="AA491" s="126" t="str">
        <f t="shared" si="212"/>
        <v xml:space="preserve">20140101LS </v>
      </c>
      <c r="AB491" s="583" t="str">
        <f t="shared" si="206"/>
        <v>439</v>
      </c>
      <c r="AD491" s="98">
        <f>MiscData!$X$5</f>
        <v>20140101</v>
      </c>
      <c r="AE491" s="98">
        <f>IF(AE490+1&gt;MiscData!$AC$77,1,AE490+1)</f>
        <v>50</v>
      </c>
      <c r="AF491" s="98" t="str">
        <f>VLOOKUP(AE491,MiscData!$AC$5:$AD$77,2,FALSE)</f>
        <v>LGUM_439</v>
      </c>
      <c r="AG491" s="98" t="str">
        <f>VLOOKUP(AF491,MiscData!$AD$5:$AE$77,2,FALSE)</f>
        <v xml:space="preserve">LS </v>
      </c>
      <c r="AP491" s="98" t="s">
        <v>687</v>
      </c>
      <c r="AR491" s="98">
        <v>0</v>
      </c>
    </row>
    <row r="492" spans="1:44">
      <c r="A492" s="108">
        <f t="shared" si="207"/>
        <v>489</v>
      </c>
      <c r="B492" s="109" t="str">
        <f t="shared" si="208"/>
        <v>Jul 2015</v>
      </c>
      <c r="C492" s="110" t="str">
        <f t="shared" si="209"/>
        <v xml:space="preserve">LS </v>
      </c>
      <c r="D492" s="110" t="str">
        <f t="shared" si="210"/>
        <v>LGUM_440</v>
      </c>
      <c r="E492" s="581">
        <f t="shared" si="188"/>
        <v>2</v>
      </c>
      <c r="F492" s="581">
        <f t="shared" si="189"/>
        <v>0</v>
      </c>
      <c r="G492" s="116">
        <f t="shared" si="190"/>
        <v>18.279999999999998</v>
      </c>
      <c r="H492" s="116">
        <f t="shared" si="191"/>
        <v>2.67</v>
      </c>
      <c r="I492" s="118">
        <f t="shared" si="202"/>
        <v>36.56</v>
      </c>
      <c r="J492" s="118">
        <f t="shared" si="192"/>
        <v>36.56</v>
      </c>
      <c r="K492" s="570">
        <f t="shared" si="203"/>
        <v>0</v>
      </c>
      <c r="L492" s="121">
        <f t="shared" si="193"/>
        <v>0</v>
      </c>
      <c r="M492" s="122">
        <f t="shared" si="194"/>
        <v>0</v>
      </c>
      <c r="N492" s="122">
        <f t="shared" si="195"/>
        <v>0</v>
      </c>
      <c r="O492" s="122">
        <f t="shared" si="196"/>
        <v>0</v>
      </c>
      <c r="P492" s="122">
        <f t="shared" si="197"/>
        <v>0</v>
      </c>
      <c r="Q492" s="123">
        <f t="shared" si="198"/>
        <v>36.56</v>
      </c>
      <c r="R492" s="123">
        <f t="shared" si="204"/>
        <v>-36.56</v>
      </c>
      <c r="S492" s="582">
        <v>0</v>
      </c>
      <c r="T492" s="123">
        <f t="shared" si="205"/>
        <v>-36.56</v>
      </c>
      <c r="U492" s="25">
        <f t="shared" si="199"/>
        <v>5.34</v>
      </c>
      <c r="V492" s="123">
        <f t="shared" si="200"/>
        <v>-5.34</v>
      </c>
      <c r="W492" s="334">
        <f t="shared" si="201"/>
        <v>0.54</v>
      </c>
      <c r="Y492" s="109">
        <f>IF(AE492=1,IF(Y491=MiscData!$F$1,EOMONTH(Y491,-11),EOMONTH(Y491,1)),Y491)</f>
        <v>42216</v>
      </c>
      <c r="Z492" s="108" t="str">
        <f t="shared" si="211"/>
        <v>20140101LGUM_440</v>
      </c>
      <c r="AA492" s="126" t="str">
        <f t="shared" si="212"/>
        <v xml:space="preserve">20140101LS </v>
      </c>
      <c r="AB492" s="583" t="str">
        <f t="shared" si="206"/>
        <v>440</v>
      </c>
      <c r="AD492" s="98">
        <f>MiscData!$X$5</f>
        <v>20140101</v>
      </c>
      <c r="AE492" s="98">
        <f>IF(AE491+1&gt;MiscData!$AC$77,1,AE491+1)</f>
        <v>51</v>
      </c>
      <c r="AF492" s="98" t="str">
        <f>VLOOKUP(AE492,MiscData!$AC$5:$AD$77,2,FALSE)</f>
        <v>LGUM_440</v>
      </c>
      <c r="AG492" s="98" t="str">
        <f>VLOOKUP(AF492,MiscData!$AD$5:$AE$77,2,FALSE)</f>
        <v xml:space="preserve">LS </v>
      </c>
      <c r="AP492" s="98" t="s">
        <v>688</v>
      </c>
      <c r="AR492" s="98">
        <v>0</v>
      </c>
    </row>
    <row r="493" spans="1:44">
      <c r="A493" s="108">
        <f t="shared" si="207"/>
        <v>490</v>
      </c>
      <c r="B493" s="109" t="str">
        <f t="shared" si="208"/>
        <v>Jul 2015</v>
      </c>
      <c r="C493" s="110" t="str">
        <f t="shared" si="209"/>
        <v xml:space="preserve">LS </v>
      </c>
      <c r="D493" s="110" t="str">
        <f t="shared" si="210"/>
        <v>LGUM_441</v>
      </c>
      <c r="E493" s="581">
        <f t="shared" si="188"/>
        <v>17</v>
      </c>
      <c r="F493" s="581">
        <f t="shared" si="189"/>
        <v>0</v>
      </c>
      <c r="G493" s="116">
        <f t="shared" si="190"/>
        <v>22.32</v>
      </c>
      <c r="H493" s="116">
        <f t="shared" si="191"/>
        <v>4.2800000000000011</v>
      </c>
      <c r="I493" s="118">
        <f t="shared" si="202"/>
        <v>379.44</v>
      </c>
      <c r="J493" s="118">
        <f t="shared" si="192"/>
        <v>379.44</v>
      </c>
      <c r="K493" s="570">
        <f t="shared" si="203"/>
        <v>0</v>
      </c>
      <c r="L493" s="121">
        <f t="shared" si="193"/>
        <v>0</v>
      </c>
      <c r="M493" s="122">
        <f t="shared" si="194"/>
        <v>0</v>
      </c>
      <c r="N493" s="122">
        <f t="shared" si="195"/>
        <v>0</v>
      </c>
      <c r="O493" s="122">
        <f t="shared" si="196"/>
        <v>0</v>
      </c>
      <c r="P493" s="122">
        <f t="shared" si="197"/>
        <v>0</v>
      </c>
      <c r="Q493" s="123">
        <f t="shared" si="198"/>
        <v>379.44</v>
      </c>
      <c r="R493" s="123">
        <f t="shared" si="204"/>
        <v>-379.44</v>
      </c>
      <c r="S493" s="582">
        <v>0</v>
      </c>
      <c r="T493" s="123">
        <f t="shared" si="205"/>
        <v>-379.44</v>
      </c>
      <c r="U493" s="25">
        <f t="shared" si="199"/>
        <v>72.760000000000005</v>
      </c>
      <c r="V493" s="123">
        <f t="shared" si="200"/>
        <v>-72.760000000000005</v>
      </c>
      <c r="W493" s="334">
        <f t="shared" si="201"/>
        <v>4.93</v>
      </c>
      <c r="Y493" s="109">
        <f>IF(AE493=1,IF(Y492=MiscData!$F$1,EOMONTH(Y492,-11),EOMONTH(Y492,1)),Y492)</f>
        <v>42216</v>
      </c>
      <c r="Z493" s="108" t="str">
        <f t="shared" si="211"/>
        <v>20140101LGUM_441</v>
      </c>
      <c r="AA493" s="126" t="str">
        <f t="shared" si="212"/>
        <v xml:space="preserve">20140101LS </v>
      </c>
      <c r="AB493" s="583" t="str">
        <f t="shared" si="206"/>
        <v>441</v>
      </c>
      <c r="AD493" s="98">
        <f>MiscData!$X$5</f>
        <v>20140101</v>
      </c>
      <c r="AE493" s="98">
        <f>IF(AE492+1&gt;MiscData!$AC$77,1,AE492+1)</f>
        <v>52</v>
      </c>
      <c r="AF493" s="98" t="str">
        <f>VLOOKUP(AE493,MiscData!$AC$5:$AD$77,2,FALSE)</f>
        <v>LGUM_441</v>
      </c>
      <c r="AG493" s="98" t="str">
        <f>VLOOKUP(AF493,MiscData!$AD$5:$AE$77,2,FALSE)</f>
        <v xml:space="preserve">LS </v>
      </c>
      <c r="AP493" s="98" t="s">
        <v>341</v>
      </c>
      <c r="AR493" s="98">
        <v>0</v>
      </c>
    </row>
    <row r="494" spans="1:44">
      <c r="A494" s="108">
        <f t="shared" si="207"/>
        <v>491</v>
      </c>
      <c r="B494" s="109" t="str">
        <f t="shared" si="208"/>
        <v>Jul 2015</v>
      </c>
      <c r="C494" s="110" t="str">
        <f t="shared" si="209"/>
        <v xml:space="preserve">LS </v>
      </c>
      <c r="D494" s="110" t="str">
        <f t="shared" si="210"/>
        <v>LGUM_452</v>
      </c>
      <c r="E494" s="581">
        <f t="shared" si="188"/>
        <v>6446</v>
      </c>
      <c r="F494" s="581">
        <f t="shared" si="189"/>
        <v>0</v>
      </c>
      <c r="G494" s="116">
        <f t="shared" si="190"/>
        <v>12.82</v>
      </c>
      <c r="H494" s="116">
        <f t="shared" si="191"/>
        <v>1.6500000000000004</v>
      </c>
      <c r="I494" s="118">
        <f t="shared" si="202"/>
        <v>82637.72</v>
      </c>
      <c r="J494" s="118">
        <f t="shared" si="192"/>
        <v>82637.72</v>
      </c>
      <c r="K494" s="570">
        <f t="shared" si="203"/>
        <v>0</v>
      </c>
      <c r="L494" s="121">
        <f t="shared" si="193"/>
        <v>0</v>
      </c>
      <c r="M494" s="122">
        <f t="shared" si="194"/>
        <v>0</v>
      </c>
      <c r="N494" s="122">
        <f t="shared" si="195"/>
        <v>0</v>
      </c>
      <c r="O494" s="122">
        <f t="shared" si="196"/>
        <v>0</v>
      </c>
      <c r="P494" s="122">
        <f t="shared" si="197"/>
        <v>0</v>
      </c>
      <c r="Q494" s="123">
        <f t="shared" si="198"/>
        <v>82637.72</v>
      </c>
      <c r="R494" s="123">
        <f t="shared" si="204"/>
        <v>-82637.72</v>
      </c>
      <c r="S494" s="582">
        <v>0</v>
      </c>
      <c r="T494" s="123">
        <f t="shared" si="205"/>
        <v>-82637.72</v>
      </c>
      <c r="U494" s="25">
        <f t="shared" si="199"/>
        <v>10635.9</v>
      </c>
      <c r="V494" s="123">
        <f t="shared" si="200"/>
        <v>-10635.9</v>
      </c>
      <c r="W494" s="334">
        <f t="shared" si="201"/>
        <v>1547.04</v>
      </c>
      <c r="Y494" s="109">
        <f>IF(AE494=1,IF(Y493=MiscData!$F$1,EOMONTH(Y493,-11),EOMONTH(Y493,1)),Y493)</f>
        <v>42216</v>
      </c>
      <c r="Z494" s="108" t="str">
        <f t="shared" si="211"/>
        <v>20140101LGUM_452</v>
      </c>
      <c r="AA494" s="126" t="str">
        <f t="shared" si="212"/>
        <v xml:space="preserve">20140101LS </v>
      </c>
      <c r="AB494" s="583" t="str">
        <f t="shared" si="206"/>
        <v>452</v>
      </c>
      <c r="AD494" s="98">
        <f>MiscData!$X$5</f>
        <v>20140101</v>
      </c>
      <c r="AE494" s="98">
        <f>IF(AE493+1&gt;MiscData!$AC$77,1,AE493+1)</f>
        <v>53</v>
      </c>
      <c r="AF494" s="98" t="str">
        <f>VLOOKUP(AE494,MiscData!$AC$5:$AD$77,2,FALSE)</f>
        <v>LGUM_452</v>
      </c>
      <c r="AG494" s="98" t="str">
        <f>VLOOKUP(AF494,MiscData!$AD$5:$AE$77,2,FALSE)</f>
        <v xml:space="preserve">LS </v>
      </c>
      <c r="AP494" s="98" t="s">
        <v>317</v>
      </c>
      <c r="AR494" s="98">
        <v>23.03</v>
      </c>
    </row>
    <row r="495" spans="1:44">
      <c r="A495" s="108">
        <f t="shared" si="207"/>
        <v>492</v>
      </c>
      <c r="B495" s="109" t="str">
        <f t="shared" si="208"/>
        <v>Jul 2015</v>
      </c>
      <c r="C495" s="110" t="str">
        <f t="shared" si="209"/>
        <v xml:space="preserve">LS </v>
      </c>
      <c r="D495" s="110" t="str">
        <f t="shared" si="210"/>
        <v>LGUM_453</v>
      </c>
      <c r="E495" s="581">
        <f t="shared" si="188"/>
        <v>9193</v>
      </c>
      <c r="F495" s="581">
        <f t="shared" si="189"/>
        <v>0</v>
      </c>
      <c r="G495" s="116">
        <f t="shared" si="190"/>
        <v>15.08</v>
      </c>
      <c r="H495" s="116">
        <f t="shared" si="191"/>
        <v>3.9800000000000004</v>
      </c>
      <c r="I495" s="118">
        <f t="shared" si="202"/>
        <v>138630.44</v>
      </c>
      <c r="J495" s="118">
        <f t="shared" si="192"/>
        <v>138630.44</v>
      </c>
      <c r="K495" s="570">
        <f t="shared" si="203"/>
        <v>0</v>
      </c>
      <c r="L495" s="121">
        <f t="shared" si="193"/>
        <v>0</v>
      </c>
      <c r="M495" s="122">
        <f t="shared" si="194"/>
        <v>0</v>
      </c>
      <c r="N495" s="122">
        <f t="shared" si="195"/>
        <v>0</v>
      </c>
      <c r="O495" s="122">
        <f t="shared" si="196"/>
        <v>0</v>
      </c>
      <c r="P495" s="122">
        <f t="shared" si="197"/>
        <v>0</v>
      </c>
      <c r="Q495" s="123">
        <f t="shared" si="198"/>
        <v>138630.44</v>
      </c>
      <c r="R495" s="123">
        <f t="shared" si="204"/>
        <v>-138630.44</v>
      </c>
      <c r="S495" s="582">
        <v>0</v>
      </c>
      <c r="T495" s="123">
        <f t="shared" si="205"/>
        <v>-138630.44</v>
      </c>
      <c r="U495" s="25">
        <f t="shared" si="199"/>
        <v>36588.14</v>
      </c>
      <c r="V495" s="123">
        <f t="shared" si="200"/>
        <v>-36588.14</v>
      </c>
      <c r="W495" s="334">
        <f t="shared" si="201"/>
        <v>2482.11</v>
      </c>
      <c r="Y495" s="109">
        <f>IF(AE495=1,IF(Y494=MiscData!$F$1,EOMONTH(Y494,-11),EOMONTH(Y494,1)),Y494)</f>
        <v>42216</v>
      </c>
      <c r="Z495" s="108" t="str">
        <f t="shared" si="211"/>
        <v>20140101LGUM_453</v>
      </c>
      <c r="AA495" s="126" t="str">
        <f t="shared" si="212"/>
        <v xml:space="preserve">20140101LS </v>
      </c>
      <c r="AB495" s="583" t="str">
        <f t="shared" si="206"/>
        <v>453</v>
      </c>
      <c r="AD495" s="98">
        <f>MiscData!$X$5</f>
        <v>20140101</v>
      </c>
      <c r="AE495" s="98">
        <f>IF(AE494+1&gt;MiscData!$AC$77,1,AE494+1)</f>
        <v>54</v>
      </c>
      <c r="AF495" s="98" t="str">
        <f>VLOOKUP(AE495,MiscData!$AC$5:$AD$77,2,FALSE)</f>
        <v>LGUM_453</v>
      </c>
      <c r="AG495" s="98" t="str">
        <f>VLOOKUP(AF495,MiscData!$AD$5:$AE$77,2,FALSE)</f>
        <v xml:space="preserve">LS </v>
      </c>
      <c r="AP495" s="98" t="s">
        <v>318</v>
      </c>
      <c r="AR495" s="98">
        <v>208.69</v>
      </c>
    </row>
    <row r="496" spans="1:44">
      <c r="A496" s="108">
        <f t="shared" si="207"/>
        <v>493</v>
      </c>
      <c r="B496" s="109" t="str">
        <f t="shared" si="208"/>
        <v>Jul 2015</v>
      </c>
      <c r="C496" s="110" t="str">
        <f t="shared" si="209"/>
        <v xml:space="preserve">LS </v>
      </c>
      <c r="D496" s="110" t="str">
        <f t="shared" si="210"/>
        <v>LGUM_454</v>
      </c>
      <c r="E496" s="581">
        <f t="shared" si="188"/>
        <v>5487</v>
      </c>
      <c r="F496" s="581">
        <f t="shared" si="189"/>
        <v>0</v>
      </c>
      <c r="G496" s="116">
        <f t="shared" si="190"/>
        <v>17.38</v>
      </c>
      <c r="H496" s="116">
        <f t="shared" si="191"/>
        <v>4.2800000000000011</v>
      </c>
      <c r="I496" s="118">
        <f t="shared" si="202"/>
        <v>95364.06</v>
      </c>
      <c r="J496" s="118">
        <f t="shared" si="192"/>
        <v>95364.06</v>
      </c>
      <c r="K496" s="570">
        <f t="shared" si="203"/>
        <v>0</v>
      </c>
      <c r="L496" s="121">
        <f t="shared" si="193"/>
        <v>0</v>
      </c>
      <c r="M496" s="122">
        <f t="shared" si="194"/>
        <v>0</v>
      </c>
      <c r="N496" s="122">
        <f t="shared" si="195"/>
        <v>0</v>
      </c>
      <c r="O496" s="122">
        <f t="shared" si="196"/>
        <v>0</v>
      </c>
      <c r="P496" s="122">
        <f t="shared" si="197"/>
        <v>0</v>
      </c>
      <c r="Q496" s="123">
        <f t="shared" si="198"/>
        <v>95364.06</v>
      </c>
      <c r="R496" s="123">
        <f t="shared" si="204"/>
        <v>-95364.06</v>
      </c>
      <c r="S496" s="582">
        <v>0</v>
      </c>
      <c r="T496" s="123">
        <f t="shared" si="205"/>
        <v>-95364.06</v>
      </c>
      <c r="U496" s="25">
        <f t="shared" si="199"/>
        <v>23484.36</v>
      </c>
      <c r="V496" s="123">
        <f t="shared" si="200"/>
        <v>-23484.36</v>
      </c>
      <c r="W496" s="334">
        <f t="shared" si="201"/>
        <v>1591.2299999999998</v>
      </c>
      <c r="Y496" s="109">
        <f>IF(AE496=1,IF(Y495=MiscData!$F$1,EOMONTH(Y495,-11),EOMONTH(Y495,1)),Y495)</f>
        <v>42216</v>
      </c>
      <c r="Z496" s="108" t="str">
        <f t="shared" si="211"/>
        <v>20140101LGUM_454</v>
      </c>
      <c r="AA496" s="126" t="str">
        <f t="shared" si="212"/>
        <v xml:space="preserve">20140101LS </v>
      </c>
      <c r="AB496" s="583" t="str">
        <f t="shared" si="206"/>
        <v>454</v>
      </c>
      <c r="AD496" s="98">
        <f>MiscData!$X$5</f>
        <v>20140101</v>
      </c>
      <c r="AE496" s="98">
        <f>IF(AE495+1&gt;MiscData!$AC$77,1,AE495+1)</f>
        <v>55</v>
      </c>
      <c r="AF496" s="98" t="str">
        <f>VLOOKUP(AE496,MiscData!$AC$5:$AD$77,2,FALSE)</f>
        <v>LGUM_454</v>
      </c>
      <c r="AG496" s="98" t="str">
        <f>VLOOKUP(AF496,MiscData!$AD$5:$AE$77,2,FALSE)</f>
        <v xml:space="preserve">LS </v>
      </c>
      <c r="AP496" s="98" t="s">
        <v>319</v>
      </c>
      <c r="AR496" s="98">
        <v>622.97</v>
      </c>
    </row>
    <row r="497" spans="1:44">
      <c r="A497" s="108">
        <f t="shared" si="207"/>
        <v>494</v>
      </c>
      <c r="B497" s="109" t="str">
        <f t="shared" si="208"/>
        <v>Jul 2015</v>
      </c>
      <c r="C497" s="110" t="str">
        <f t="shared" si="209"/>
        <v xml:space="preserve">LS </v>
      </c>
      <c r="D497" s="110" t="str">
        <f t="shared" si="210"/>
        <v>LGUM_455</v>
      </c>
      <c r="E497" s="581">
        <f t="shared" si="188"/>
        <v>409</v>
      </c>
      <c r="F497" s="581">
        <f t="shared" si="189"/>
        <v>0</v>
      </c>
      <c r="G497" s="116">
        <f t="shared" si="190"/>
        <v>13.77</v>
      </c>
      <c r="H497" s="116">
        <f t="shared" si="191"/>
        <v>1.6499999999999986</v>
      </c>
      <c r="I497" s="118">
        <f t="shared" si="202"/>
        <v>5631.93</v>
      </c>
      <c r="J497" s="118">
        <f t="shared" si="192"/>
        <v>5631.93</v>
      </c>
      <c r="K497" s="570">
        <f t="shared" si="203"/>
        <v>0</v>
      </c>
      <c r="L497" s="121">
        <f t="shared" si="193"/>
        <v>0</v>
      </c>
      <c r="M497" s="122">
        <f t="shared" si="194"/>
        <v>0</v>
      </c>
      <c r="N497" s="122">
        <f t="shared" si="195"/>
        <v>0</v>
      </c>
      <c r="O497" s="122">
        <f t="shared" si="196"/>
        <v>0</v>
      </c>
      <c r="P497" s="122">
        <f t="shared" si="197"/>
        <v>0</v>
      </c>
      <c r="Q497" s="123">
        <f t="shared" si="198"/>
        <v>5631.93</v>
      </c>
      <c r="R497" s="123">
        <f t="shared" si="204"/>
        <v>-5631.93</v>
      </c>
      <c r="S497" s="582">
        <v>0</v>
      </c>
      <c r="T497" s="123">
        <f t="shared" si="205"/>
        <v>-5631.93</v>
      </c>
      <c r="U497" s="25">
        <f t="shared" si="199"/>
        <v>674.85</v>
      </c>
      <c r="V497" s="123">
        <f t="shared" si="200"/>
        <v>-674.85</v>
      </c>
      <c r="W497" s="334">
        <f t="shared" si="201"/>
        <v>98.16</v>
      </c>
      <c r="Y497" s="109">
        <f>IF(AE497=1,IF(Y496=MiscData!$F$1,EOMONTH(Y496,-11),EOMONTH(Y496,1)),Y496)</f>
        <v>42216</v>
      </c>
      <c r="Z497" s="108" t="str">
        <f t="shared" si="211"/>
        <v>20140101LGUM_455</v>
      </c>
      <c r="AA497" s="126" t="str">
        <f t="shared" si="212"/>
        <v xml:space="preserve">20140101LS </v>
      </c>
      <c r="AB497" s="583" t="str">
        <f t="shared" si="206"/>
        <v>455</v>
      </c>
      <c r="AD497" s="98">
        <f>MiscData!$X$5</f>
        <v>20140101</v>
      </c>
      <c r="AE497" s="98">
        <f>IF(AE496+1&gt;MiscData!$AC$77,1,AE496+1)</f>
        <v>56</v>
      </c>
      <c r="AF497" s="98" t="str">
        <f>VLOOKUP(AE497,MiscData!$AC$5:$AD$77,2,FALSE)</f>
        <v>LGUM_455</v>
      </c>
      <c r="AG497" s="98" t="str">
        <f>VLOOKUP(AF497,MiscData!$AD$5:$AE$77,2,FALSE)</f>
        <v xml:space="preserve">LS </v>
      </c>
      <c r="AP497" s="98" t="s">
        <v>320</v>
      </c>
      <c r="AR497" s="98">
        <v>0</v>
      </c>
    </row>
    <row r="498" spans="1:44">
      <c r="A498" s="108">
        <f t="shared" si="207"/>
        <v>495</v>
      </c>
      <c r="B498" s="109" t="str">
        <f t="shared" si="208"/>
        <v>Jul 2015</v>
      </c>
      <c r="C498" s="110" t="str">
        <f t="shared" si="209"/>
        <v xml:space="preserve">LS </v>
      </c>
      <c r="D498" s="110" t="str">
        <f t="shared" si="210"/>
        <v>LGUM_456</v>
      </c>
      <c r="E498" s="581">
        <f t="shared" si="188"/>
        <v>12934</v>
      </c>
      <c r="F498" s="581">
        <f t="shared" si="189"/>
        <v>0</v>
      </c>
      <c r="G498" s="116">
        <f t="shared" si="190"/>
        <v>18.21</v>
      </c>
      <c r="H498" s="116">
        <f t="shared" si="191"/>
        <v>4.2800000000000011</v>
      </c>
      <c r="I498" s="118">
        <f t="shared" si="202"/>
        <v>235528.14</v>
      </c>
      <c r="J498" s="118">
        <f t="shared" si="192"/>
        <v>235528.14</v>
      </c>
      <c r="K498" s="570">
        <f t="shared" si="203"/>
        <v>0</v>
      </c>
      <c r="L498" s="121">
        <f t="shared" si="193"/>
        <v>0</v>
      </c>
      <c r="M498" s="122">
        <f t="shared" si="194"/>
        <v>0</v>
      </c>
      <c r="N498" s="122">
        <f t="shared" si="195"/>
        <v>0</v>
      </c>
      <c r="O498" s="122">
        <f t="shared" si="196"/>
        <v>0</v>
      </c>
      <c r="P498" s="122">
        <f t="shared" si="197"/>
        <v>0</v>
      </c>
      <c r="Q498" s="123">
        <f t="shared" si="198"/>
        <v>235528.14</v>
      </c>
      <c r="R498" s="123">
        <f t="shared" si="204"/>
        <v>-235528.14</v>
      </c>
      <c r="S498" s="582">
        <v>0</v>
      </c>
      <c r="T498" s="123">
        <f t="shared" si="205"/>
        <v>-235528.14</v>
      </c>
      <c r="U498" s="25">
        <f t="shared" si="199"/>
        <v>55357.52</v>
      </c>
      <c r="V498" s="123">
        <f t="shared" si="200"/>
        <v>-55357.52</v>
      </c>
      <c r="W498" s="334">
        <f t="shared" si="201"/>
        <v>3750.8599999999997</v>
      </c>
      <c r="Y498" s="109">
        <f>IF(AE498=1,IF(Y497=MiscData!$F$1,EOMONTH(Y497,-11),EOMONTH(Y497,1)),Y497)</f>
        <v>42216</v>
      </c>
      <c r="Z498" s="108" t="str">
        <f t="shared" si="211"/>
        <v>20140101LGUM_456</v>
      </c>
      <c r="AA498" s="126" t="str">
        <f t="shared" si="212"/>
        <v xml:space="preserve">20140101LS </v>
      </c>
      <c r="AB498" s="583" t="str">
        <f t="shared" si="206"/>
        <v>456</v>
      </c>
      <c r="AD498" s="98">
        <f>MiscData!$X$5</f>
        <v>20140101</v>
      </c>
      <c r="AE498" s="98">
        <f>IF(AE497+1&gt;MiscData!$AC$77,1,AE497+1)</f>
        <v>57</v>
      </c>
      <c r="AF498" s="98" t="str">
        <f>VLOOKUP(AE498,MiscData!$AC$5:$AD$77,2,FALSE)</f>
        <v>LGUM_456</v>
      </c>
      <c r="AG498" s="98" t="str">
        <f>VLOOKUP(AF498,MiscData!$AD$5:$AE$77,2,FALSE)</f>
        <v xml:space="preserve">LS </v>
      </c>
      <c r="AP498" s="98" t="s">
        <v>321</v>
      </c>
      <c r="AR498" s="98">
        <v>987.34</v>
      </c>
    </row>
    <row r="499" spans="1:44">
      <c r="A499" s="108">
        <f t="shared" si="207"/>
        <v>496</v>
      </c>
      <c r="B499" s="109" t="str">
        <f t="shared" si="208"/>
        <v>Jul 2015</v>
      </c>
      <c r="C499" s="110" t="str">
        <f t="shared" si="209"/>
        <v xml:space="preserve">LS </v>
      </c>
      <c r="D499" s="110" t="str">
        <f t="shared" si="210"/>
        <v>LGUM_457</v>
      </c>
      <c r="E499" s="581">
        <f t="shared" si="188"/>
        <v>3316</v>
      </c>
      <c r="F499" s="581">
        <f t="shared" si="189"/>
        <v>0</v>
      </c>
      <c r="G499" s="116">
        <f t="shared" si="190"/>
        <v>10.86</v>
      </c>
      <c r="H499" s="116">
        <f t="shared" si="191"/>
        <v>1.0599999999999987</v>
      </c>
      <c r="I499" s="118">
        <f t="shared" si="202"/>
        <v>36011.760000000002</v>
      </c>
      <c r="J499" s="118">
        <f t="shared" si="192"/>
        <v>36011.760000000002</v>
      </c>
      <c r="K499" s="570">
        <f t="shared" si="203"/>
        <v>0</v>
      </c>
      <c r="L499" s="121">
        <f t="shared" si="193"/>
        <v>0</v>
      </c>
      <c r="M499" s="122">
        <f t="shared" si="194"/>
        <v>0</v>
      </c>
      <c r="N499" s="122">
        <f t="shared" si="195"/>
        <v>0</v>
      </c>
      <c r="O499" s="122">
        <f t="shared" si="196"/>
        <v>0</v>
      </c>
      <c r="P499" s="122">
        <f t="shared" si="197"/>
        <v>0</v>
      </c>
      <c r="Q499" s="123">
        <f t="shared" si="198"/>
        <v>36011.760000000002</v>
      </c>
      <c r="R499" s="123">
        <f t="shared" si="204"/>
        <v>-36011.760000000002</v>
      </c>
      <c r="S499" s="582">
        <v>0</v>
      </c>
      <c r="T499" s="123">
        <f t="shared" si="205"/>
        <v>-36011.760000000002</v>
      </c>
      <c r="U499" s="25">
        <f t="shared" si="199"/>
        <v>3514.96</v>
      </c>
      <c r="V499" s="123">
        <f t="shared" si="200"/>
        <v>-3514.96</v>
      </c>
      <c r="W499" s="334">
        <f t="shared" si="201"/>
        <v>895.32</v>
      </c>
      <c r="Y499" s="109">
        <f>IF(AE499=1,IF(Y498=MiscData!$F$1,EOMONTH(Y498,-11),EOMONTH(Y498,1)),Y498)</f>
        <v>42216</v>
      </c>
      <c r="Z499" s="108" t="str">
        <f t="shared" si="211"/>
        <v>20140101LGUM_457</v>
      </c>
      <c r="AA499" s="126" t="str">
        <f t="shared" si="212"/>
        <v xml:space="preserve">20140101LS </v>
      </c>
      <c r="AB499" s="583" t="str">
        <f t="shared" si="206"/>
        <v>457</v>
      </c>
      <c r="AD499" s="98">
        <f>MiscData!$X$5</f>
        <v>20140101</v>
      </c>
      <c r="AE499" s="98">
        <f>IF(AE498+1&gt;MiscData!$AC$77,1,AE498+1)</f>
        <v>58</v>
      </c>
      <c r="AF499" s="98" t="str">
        <f>VLOOKUP(AE499,MiscData!$AC$5:$AD$77,2,FALSE)</f>
        <v>LGUM_457</v>
      </c>
      <c r="AG499" s="98" t="str">
        <f>VLOOKUP(AF499,MiscData!$AD$5:$AE$77,2,FALSE)</f>
        <v xml:space="preserve">LS </v>
      </c>
      <c r="AP499" s="98" t="s">
        <v>322</v>
      </c>
      <c r="AR499" s="98">
        <v>48.47</v>
      </c>
    </row>
    <row r="500" spans="1:44">
      <c r="A500" s="108">
        <f t="shared" si="207"/>
        <v>497</v>
      </c>
      <c r="B500" s="109" t="str">
        <f t="shared" si="208"/>
        <v>Jul 2015</v>
      </c>
      <c r="C500" s="110" t="str">
        <f t="shared" si="209"/>
        <v>RLS</v>
      </c>
      <c r="D500" s="110" t="str">
        <f t="shared" si="210"/>
        <v>LGUM_458</v>
      </c>
      <c r="E500" s="581">
        <f t="shared" si="188"/>
        <v>5</v>
      </c>
      <c r="F500" s="581">
        <f t="shared" si="189"/>
        <v>0</v>
      </c>
      <c r="G500" s="116">
        <f t="shared" si="190"/>
        <v>11.13</v>
      </c>
      <c r="H500" s="116">
        <f t="shared" si="191"/>
        <v>3.7700000000000014</v>
      </c>
      <c r="I500" s="118">
        <f t="shared" si="202"/>
        <v>55.65</v>
      </c>
      <c r="J500" s="118">
        <f t="shared" si="192"/>
        <v>55.65</v>
      </c>
      <c r="K500" s="570">
        <f t="shared" si="203"/>
        <v>0</v>
      </c>
      <c r="L500" s="121">
        <f t="shared" si="193"/>
        <v>0</v>
      </c>
      <c r="M500" s="122">
        <f t="shared" si="194"/>
        <v>0</v>
      </c>
      <c r="N500" s="122">
        <f t="shared" si="195"/>
        <v>0</v>
      </c>
      <c r="O500" s="122">
        <f t="shared" si="196"/>
        <v>0</v>
      </c>
      <c r="P500" s="122">
        <f t="shared" si="197"/>
        <v>0</v>
      </c>
      <c r="Q500" s="123">
        <f t="shared" si="198"/>
        <v>55.65</v>
      </c>
      <c r="R500" s="123">
        <f t="shared" si="204"/>
        <v>-55.65</v>
      </c>
      <c r="S500" s="582">
        <v>0</v>
      </c>
      <c r="T500" s="123">
        <f t="shared" si="205"/>
        <v>-55.65</v>
      </c>
      <c r="U500" s="25">
        <f t="shared" si="199"/>
        <v>18.850000000000001</v>
      </c>
      <c r="V500" s="123">
        <f t="shared" si="200"/>
        <v>-18.850000000000001</v>
      </c>
      <c r="W500" s="334">
        <f t="shared" si="201"/>
        <v>0.8</v>
      </c>
      <c r="Y500" s="109">
        <f>IF(AE500=1,IF(Y499=MiscData!$F$1,EOMONTH(Y499,-11),EOMONTH(Y499,1)),Y499)</f>
        <v>42216</v>
      </c>
      <c r="Z500" s="108" t="str">
        <f t="shared" si="211"/>
        <v>20140101LGUM_458</v>
      </c>
      <c r="AA500" s="126" t="str">
        <f t="shared" si="212"/>
        <v>20140101RLS</v>
      </c>
      <c r="AB500" s="583" t="str">
        <f t="shared" si="206"/>
        <v>458</v>
      </c>
      <c r="AD500" s="98">
        <f>MiscData!$X$5</f>
        <v>20140101</v>
      </c>
      <c r="AE500" s="98">
        <f>IF(AE499+1&gt;MiscData!$AC$77,1,AE499+1)</f>
        <v>59</v>
      </c>
      <c r="AF500" s="98" t="str">
        <f>VLOOKUP(AE500,MiscData!$AC$5:$AD$77,2,FALSE)</f>
        <v>LGUM_458</v>
      </c>
      <c r="AG500" s="98" t="str">
        <f>VLOOKUP(AF500,MiscData!$AD$5:$AE$77,2,FALSE)</f>
        <v>RLS</v>
      </c>
      <c r="AP500" s="98" t="s">
        <v>323</v>
      </c>
      <c r="AR500" s="98">
        <v>0</v>
      </c>
    </row>
    <row r="501" spans="1:44">
      <c r="A501" s="108">
        <f t="shared" si="207"/>
        <v>498</v>
      </c>
      <c r="B501" s="109" t="str">
        <f t="shared" si="208"/>
        <v>Jul 2015</v>
      </c>
      <c r="C501" s="110" t="str">
        <f t="shared" si="209"/>
        <v xml:space="preserve">LS </v>
      </c>
      <c r="D501" s="110" t="str">
        <f t="shared" si="210"/>
        <v>LGUM_470</v>
      </c>
      <c r="E501" s="581">
        <f t="shared" si="188"/>
        <v>23</v>
      </c>
      <c r="F501" s="581">
        <f t="shared" si="189"/>
        <v>0</v>
      </c>
      <c r="G501" s="116">
        <f t="shared" si="190"/>
        <v>12.79</v>
      </c>
      <c r="H501" s="116">
        <f t="shared" si="191"/>
        <v>1.3699999999999992</v>
      </c>
      <c r="I501" s="118">
        <f t="shared" si="202"/>
        <v>294.17</v>
      </c>
      <c r="J501" s="118">
        <f t="shared" si="192"/>
        <v>294.17</v>
      </c>
      <c r="K501" s="570">
        <f t="shared" si="203"/>
        <v>0</v>
      </c>
      <c r="L501" s="121">
        <f t="shared" si="193"/>
        <v>0</v>
      </c>
      <c r="M501" s="122">
        <f t="shared" si="194"/>
        <v>0</v>
      </c>
      <c r="N501" s="122">
        <f t="shared" si="195"/>
        <v>0</v>
      </c>
      <c r="O501" s="122">
        <f t="shared" si="196"/>
        <v>0</v>
      </c>
      <c r="P501" s="122">
        <f t="shared" si="197"/>
        <v>0</v>
      </c>
      <c r="Q501" s="123">
        <f t="shared" si="198"/>
        <v>294.17</v>
      </c>
      <c r="R501" s="123">
        <f t="shared" si="204"/>
        <v>-294.17</v>
      </c>
      <c r="S501" s="582">
        <v>0</v>
      </c>
      <c r="T501" s="123">
        <f t="shared" si="205"/>
        <v>-294.17</v>
      </c>
      <c r="U501" s="25">
        <f t="shared" si="199"/>
        <v>31.51</v>
      </c>
      <c r="V501" s="123">
        <f t="shared" si="200"/>
        <v>-31.51</v>
      </c>
      <c r="W501" s="334">
        <f t="shared" si="201"/>
        <v>6.2100000000000009</v>
      </c>
      <c r="Y501" s="109">
        <f>IF(AE501=1,IF(Y500=MiscData!$F$1,EOMONTH(Y500,-11),EOMONTH(Y500,1)),Y500)</f>
        <v>42216</v>
      </c>
      <c r="Z501" s="108" t="str">
        <f t="shared" si="211"/>
        <v>20140101LGUM_470</v>
      </c>
      <c r="AA501" s="126" t="str">
        <f t="shared" si="212"/>
        <v xml:space="preserve">20140101LS </v>
      </c>
      <c r="AB501" s="583" t="str">
        <f t="shared" si="206"/>
        <v>470</v>
      </c>
      <c r="AD501" s="98">
        <f>MiscData!$X$5</f>
        <v>20140101</v>
      </c>
      <c r="AE501" s="98">
        <f>IF(AE500+1&gt;MiscData!$AC$77,1,AE500+1)</f>
        <v>60</v>
      </c>
      <c r="AF501" s="98" t="str">
        <f>VLOOKUP(AE501,MiscData!$AC$5:$AD$77,2,FALSE)</f>
        <v>LGUM_470</v>
      </c>
      <c r="AG501" s="98" t="str">
        <f>VLOOKUP(AF501,MiscData!$AD$5:$AE$77,2,FALSE)</f>
        <v xml:space="preserve">LS </v>
      </c>
      <c r="AP501" s="98" t="s">
        <v>324</v>
      </c>
      <c r="AR501" s="98">
        <v>0</v>
      </c>
    </row>
    <row r="502" spans="1:44">
      <c r="A502" s="108">
        <f t="shared" si="207"/>
        <v>499</v>
      </c>
      <c r="B502" s="109" t="str">
        <f t="shared" si="208"/>
        <v>Jul 2015</v>
      </c>
      <c r="C502" s="110" t="str">
        <f t="shared" si="209"/>
        <v>RLS</v>
      </c>
      <c r="D502" s="110" t="str">
        <f t="shared" si="210"/>
        <v>LGUM_471</v>
      </c>
      <c r="E502" s="581">
        <f t="shared" si="188"/>
        <v>2</v>
      </c>
      <c r="F502" s="581">
        <f t="shared" si="189"/>
        <v>0</v>
      </c>
      <c r="G502" s="116">
        <f t="shared" si="190"/>
        <v>15.07</v>
      </c>
      <c r="H502" s="116">
        <f t="shared" si="191"/>
        <v>1.3699999999999992</v>
      </c>
      <c r="I502" s="118">
        <f t="shared" si="202"/>
        <v>30.14</v>
      </c>
      <c r="J502" s="118">
        <f t="shared" si="192"/>
        <v>30.14</v>
      </c>
      <c r="K502" s="570">
        <f t="shared" si="203"/>
        <v>0</v>
      </c>
      <c r="L502" s="121">
        <f t="shared" si="193"/>
        <v>0</v>
      </c>
      <c r="M502" s="122">
        <f t="shared" si="194"/>
        <v>0</v>
      </c>
      <c r="N502" s="122">
        <f t="shared" si="195"/>
        <v>0</v>
      </c>
      <c r="O502" s="122">
        <f t="shared" si="196"/>
        <v>0</v>
      </c>
      <c r="P502" s="122">
        <f t="shared" si="197"/>
        <v>0</v>
      </c>
      <c r="Q502" s="123">
        <f t="shared" si="198"/>
        <v>30.14</v>
      </c>
      <c r="R502" s="123">
        <f t="shared" si="204"/>
        <v>-30.14</v>
      </c>
      <c r="S502" s="582">
        <v>0</v>
      </c>
      <c r="T502" s="123">
        <f t="shared" si="205"/>
        <v>-30.14</v>
      </c>
      <c r="U502" s="25">
        <f t="shared" si="199"/>
        <v>2.74</v>
      </c>
      <c r="V502" s="123">
        <f t="shared" si="200"/>
        <v>-2.74</v>
      </c>
      <c r="W502" s="334">
        <f t="shared" si="201"/>
        <v>0.54</v>
      </c>
      <c r="Y502" s="109">
        <f>IF(AE502=1,IF(Y501=MiscData!$F$1,EOMONTH(Y501,-11),EOMONTH(Y501,1)),Y501)</f>
        <v>42216</v>
      </c>
      <c r="Z502" s="108" t="str">
        <f t="shared" si="211"/>
        <v>20140101LGUM_471</v>
      </c>
      <c r="AA502" s="126" t="str">
        <f t="shared" si="212"/>
        <v>20140101RLS</v>
      </c>
      <c r="AB502" s="583" t="str">
        <f t="shared" si="206"/>
        <v>471</v>
      </c>
      <c r="AD502" s="98">
        <f>MiscData!$X$5</f>
        <v>20140101</v>
      </c>
      <c r="AE502" s="98">
        <f>IF(AE501+1&gt;MiscData!$AC$77,1,AE501+1)</f>
        <v>61</v>
      </c>
      <c r="AF502" s="98" t="str">
        <f>VLOOKUP(AE502,MiscData!$AC$5:$AD$77,2,FALSE)</f>
        <v>LGUM_471</v>
      </c>
      <c r="AG502" s="98" t="str">
        <f>VLOOKUP(AF502,MiscData!$AD$5:$AE$77,2,FALSE)</f>
        <v>RLS</v>
      </c>
      <c r="AP502" s="98" t="s">
        <v>325</v>
      </c>
      <c r="AR502" s="98">
        <v>0</v>
      </c>
    </row>
    <row r="503" spans="1:44">
      <c r="A503" s="108">
        <f t="shared" si="207"/>
        <v>500</v>
      </c>
      <c r="B503" s="109" t="str">
        <f t="shared" si="208"/>
        <v>Jul 2015</v>
      </c>
      <c r="C503" s="110" t="str">
        <f t="shared" si="209"/>
        <v xml:space="preserve">LS </v>
      </c>
      <c r="D503" s="110" t="str">
        <f t="shared" si="210"/>
        <v>LGUM_473</v>
      </c>
      <c r="E503" s="581">
        <f t="shared" si="188"/>
        <v>432</v>
      </c>
      <c r="F503" s="581">
        <f t="shared" si="189"/>
        <v>0</v>
      </c>
      <c r="G503" s="116">
        <f t="shared" si="190"/>
        <v>18.68</v>
      </c>
      <c r="H503" s="116">
        <f t="shared" si="191"/>
        <v>3.1799999999999979</v>
      </c>
      <c r="I503" s="118">
        <f t="shared" si="202"/>
        <v>8069.76</v>
      </c>
      <c r="J503" s="118">
        <f t="shared" si="192"/>
        <v>8069.76</v>
      </c>
      <c r="K503" s="570">
        <f t="shared" si="203"/>
        <v>0</v>
      </c>
      <c r="L503" s="121">
        <f t="shared" si="193"/>
        <v>0</v>
      </c>
      <c r="M503" s="122">
        <f t="shared" si="194"/>
        <v>0</v>
      </c>
      <c r="N503" s="122">
        <f t="shared" si="195"/>
        <v>0</v>
      </c>
      <c r="O503" s="122">
        <f t="shared" si="196"/>
        <v>0</v>
      </c>
      <c r="P503" s="122">
        <f t="shared" si="197"/>
        <v>0</v>
      </c>
      <c r="Q503" s="123">
        <f t="shared" si="198"/>
        <v>8069.76</v>
      </c>
      <c r="R503" s="123">
        <f t="shared" si="204"/>
        <v>-8069.76</v>
      </c>
      <c r="S503" s="582">
        <v>0</v>
      </c>
      <c r="T503" s="123">
        <f t="shared" si="205"/>
        <v>-8069.76</v>
      </c>
      <c r="U503" s="25">
        <f t="shared" si="199"/>
        <v>1373.76</v>
      </c>
      <c r="V503" s="123">
        <f t="shared" si="200"/>
        <v>-1373.76</v>
      </c>
      <c r="W503" s="334">
        <f t="shared" si="201"/>
        <v>129.6</v>
      </c>
      <c r="Y503" s="109">
        <f>IF(AE503=1,IF(Y502=MiscData!$F$1,EOMONTH(Y502,-11),EOMONTH(Y502,1)),Y502)</f>
        <v>42216</v>
      </c>
      <c r="Z503" s="108" t="str">
        <f t="shared" si="211"/>
        <v>20140101LGUM_473</v>
      </c>
      <c r="AA503" s="126" t="str">
        <f t="shared" si="212"/>
        <v xml:space="preserve">20140101LS </v>
      </c>
      <c r="AB503" s="583" t="str">
        <f t="shared" si="206"/>
        <v>473</v>
      </c>
      <c r="AD503" s="98">
        <f>MiscData!$X$5</f>
        <v>20140101</v>
      </c>
      <c r="AE503" s="98">
        <f>IF(AE502+1&gt;MiscData!$AC$77,1,AE502+1)</f>
        <v>62</v>
      </c>
      <c r="AF503" s="98" t="str">
        <f>VLOOKUP(AE503,MiscData!$AC$5:$AD$77,2,FALSE)</f>
        <v>LGUM_473</v>
      </c>
      <c r="AG503" s="98" t="str">
        <f>VLOOKUP(AF503,MiscData!$AD$5:$AE$77,2,FALSE)</f>
        <v xml:space="preserve">LS </v>
      </c>
      <c r="AP503" s="98" t="s">
        <v>326</v>
      </c>
      <c r="AR503" s="98">
        <v>-37.51</v>
      </c>
    </row>
    <row r="504" spans="1:44">
      <c r="A504" s="108">
        <f t="shared" si="207"/>
        <v>501</v>
      </c>
      <c r="B504" s="109" t="str">
        <f t="shared" si="208"/>
        <v>Jul 2015</v>
      </c>
      <c r="C504" s="110" t="str">
        <f t="shared" si="209"/>
        <v>RLS</v>
      </c>
      <c r="D504" s="110" t="str">
        <f t="shared" si="210"/>
        <v>LGUM_474</v>
      </c>
      <c r="E504" s="581">
        <f t="shared" si="188"/>
        <v>54</v>
      </c>
      <c r="F504" s="581">
        <f t="shared" si="189"/>
        <v>0</v>
      </c>
      <c r="G504" s="116">
        <f t="shared" si="190"/>
        <v>20.970000000000002</v>
      </c>
      <c r="H504" s="116">
        <f t="shared" si="191"/>
        <v>3.1799999999999997</v>
      </c>
      <c r="I504" s="118">
        <f t="shared" si="202"/>
        <v>1132.3800000000001</v>
      </c>
      <c r="J504" s="118">
        <f t="shared" si="192"/>
        <v>1132.3800000000001</v>
      </c>
      <c r="K504" s="570">
        <f t="shared" si="203"/>
        <v>0</v>
      </c>
      <c r="L504" s="121">
        <f t="shared" si="193"/>
        <v>0</v>
      </c>
      <c r="M504" s="122">
        <f t="shared" si="194"/>
        <v>0</v>
      </c>
      <c r="N504" s="122">
        <f t="shared" si="195"/>
        <v>0</v>
      </c>
      <c r="O504" s="122">
        <f t="shared" si="196"/>
        <v>0</v>
      </c>
      <c r="P504" s="122">
        <f t="shared" si="197"/>
        <v>0</v>
      </c>
      <c r="Q504" s="123">
        <f t="shared" si="198"/>
        <v>1132.3800000000001</v>
      </c>
      <c r="R504" s="123">
        <f t="shared" si="204"/>
        <v>-1132.3800000000001</v>
      </c>
      <c r="S504" s="582">
        <v>0</v>
      </c>
      <c r="T504" s="123">
        <f t="shared" si="205"/>
        <v>-1132.3800000000001</v>
      </c>
      <c r="U504" s="25">
        <f t="shared" si="199"/>
        <v>171.72</v>
      </c>
      <c r="V504" s="123">
        <f t="shared" si="200"/>
        <v>-171.72</v>
      </c>
      <c r="W504" s="334">
        <f t="shared" si="201"/>
        <v>16.2</v>
      </c>
      <c r="Y504" s="109">
        <f>IF(AE504=1,IF(Y503=MiscData!$F$1,EOMONTH(Y503,-11),EOMONTH(Y503,1)),Y503)</f>
        <v>42216</v>
      </c>
      <c r="Z504" s="108" t="str">
        <f t="shared" si="211"/>
        <v>20140101LGUM_474</v>
      </c>
      <c r="AA504" s="126" t="str">
        <f t="shared" si="212"/>
        <v>20140101RLS</v>
      </c>
      <c r="AB504" s="583" t="str">
        <f t="shared" si="206"/>
        <v>474</v>
      </c>
      <c r="AD504" s="98">
        <f>MiscData!$X$5</f>
        <v>20140101</v>
      </c>
      <c r="AE504" s="98">
        <f>IF(AE503+1&gt;MiscData!$AC$77,1,AE503+1)</f>
        <v>63</v>
      </c>
      <c r="AF504" s="98" t="str">
        <f>VLOOKUP(AE504,MiscData!$AC$5:$AD$77,2,FALSE)</f>
        <v>LGUM_474</v>
      </c>
      <c r="AG504" s="98" t="str">
        <f>VLOOKUP(AF504,MiscData!$AD$5:$AE$77,2,FALSE)</f>
        <v>RLS</v>
      </c>
      <c r="AP504" s="98" t="s">
        <v>327</v>
      </c>
      <c r="AR504" s="98">
        <v>9.9</v>
      </c>
    </row>
    <row r="505" spans="1:44">
      <c r="A505" s="108">
        <f t="shared" si="207"/>
        <v>502</v>
      </c>
      <c r="B505" s="109" t="str">
        <f t="shared" si="208"/>
        <v>Jul 2015</v>
      </c>
      <c r="C505" s="110" t="str">
        <f t="shared" si="209"/>
        <v>RLS</v>
      </c>
      <c r="D505" s="110" t="str">
        <f t="shared" si="210"/>
        <v>LGUM_475</v>
      </c>
      <c r="E505" s="581">
        <f t="shared" si="188"/>
        <v>2</v>
      </c>
      <c r="F505" s="581">
        <f t="shared" si="189"/>
        <v>0</v>
      </c>
      <c r="G505" s="116">
        <f t="shared" si="190"/>
        <v>28.42</v>
      </c>
      <c r="H505" s="116">
        <f t="shared" si="191"/>
        <v>3.1800000000000033</v>
      </c>
      <c r="I505" s="118">
        <f t="shared" si="202"/>
        <v>56.84</v>
      </c>
      <c r="J505" s="118">
        <f t="shared" si="192"/>
        <v>56.84</v>
      </c>
      <c r="K505" s="570">
        <f t="shared" si="203"/>
        <v>0</v>
      </c>
      <c r="L505" s="121">
        <f t="shared" si="193"/>
        <v>0</v>
      </c>
      <c r="M505" s="122">
        <f t="shared" si="194"/>
        <v>0</v>
      </c>
      <c r="N505" s="122">
        <f t="shared" si="195"/>
        <v>0</v>
      </c>
      <c r="O505" s="122">
        <f t="shared" si="196"/>
        <v>0</v>
      </c>
      <c r="P505" s="122">
        <f t="shared" si="197"/>
        <v>0</v>
      </c>
      <c r="Q505" s="123">
        <f t="shared" si="198"/>
        <v>56.84</v>
      </c>
      <c r="R505" s="123">
        <f t="shared" si="204"/>
        <v>-56.84</v>
      </c>
      <c r="S505" s="582">
        <v>0</v>
      </c>
      <c r="T505" s="123">
        <f t="shared" si="205"/>
        <v>-56.84</v>
      </c>
      <c r="U505" s="25">
        <f t="shared" si="199"/>
        <v>6.36</v>
      </c>
      <c r="V505" s="123">
        <f t="shared" si="200"/>
        <v>-6.36</v>
      </c>
      <c r="W505" s="334">
        <f t="shared" si="201"/>
        <v>0.6</v>
      </c>
      <c r="Y505" s="109">
        <f>IF(AE505=1,IF(Y504=MiscData!$F$1,EOMONTH(Y504,-11),EOMONTH(Y504,1)),Y504)</f>
        <v>42216</v>
      </c>
      <c r="Z505" s="108" t="str">
        <f t="shared" si="211"/>
        <v>20140101LGUM_475</v>
      </c>
      <c r="AA505" s="126" t="str">
        <f t="shared" si="212"/>
        <v>20140101RLS</v>
      </c>
      <c r="AB505" s="583" t="str">
        <f t="shared" si="206"/>
        <v>475</v>
      </c>
      <c r="AD505" s="98">
        <f>MiscData!$X$5</f>
        <v>20140101</v>
      </c>
      <c r="AE505" s="98">
        <f>IF(AE504+1&gt;MiscData!$AC$77,1,AE504+1)</f>
        <v>64</v>
      </c>
      <c r="AF505" s="98" t="str">
        <f>VLOOKUP(AE505,MiscData!$AC$5:$AD$77,2,FALSE)</f>
        <v>LGUM_475</v>
      </c>
      <c r="AG505" s="98" t="str">
        <f>VLOOKUP(AF505,MiscData!$AD$5:$AE$77,2,FALSE)</f>
        <v>RLS</v>
      </c>
      <c r="AP505" s="98" t="s">
        <v>328</v>
      </c>
      <c r="AR505" s="98">
        <v>6.68</v>
      </c>
    </row>
    <row r="506" spans="1:44">
      <c r="A506" s="108">
        <f t="shared" si="207"/>
        <v>503</v>
      </c>
      <c r="B506" s="109" t="str">
        <f t="shared" si="208"/>
        <v>Jul 2015</v>
      </c>
      <c r="C506" s="110" t="str">
        <f t="shared" si="209"/>
        <v xml:space="preserve">LS </v>
      </c>
      <c r="D506" s="110" t="str">
        <f t="shared" si="210"/>
        <v>LGUM_476</v>
      </c>
      <c r="E506" s="581">
        <f t="shared" si="188"/>
        <v>399</v>
      </c>
      <c r="F506" s="581">
        <f t="shared" si="189"/>
        <v>0</v>
      </c>
      <c r="G506" s="116">
        <f t="shared" si="190"/>
        <v>39.6</v>
      </c>
      <c r="H506" s="116">
        <f t="shared" si="191"/>
        <v>9.8100000000000023</v>
      </c>
      <c r="I506" s="118">
        <f t="shared" si="202"/>
        <v>15800.4</v>
      </c>
      <c r="J506" s="118">
        <f t="shared" si="192"/>
        <v>15800.4</v>
      </c>
      <c r="K506" s="570">
        <f t="shared" si="203"/>
        <v>0</v>
      </c>
      <c r="L506" s="121">
        <f t="shared" si="193"/>
        <v>0</v>
      </c>
      <c r="M506" s="122">
        <f t="shared" si="194"/>
        <v>0</v>
      </c>
      <c r="N506" s="122">
        <f t="shared" si="195"/>
        <v>0</v>
      </c>
      <c r="O506" s="122">
        <f t="shared" si="196"/>
        <v>0</v>
      </c>
      <c r="P506" s="122">
        <f t="shared" si="197"/>
        <v>0</v>
      </c>
      <c r="Q506" s="123">
        <f t="shared" si="198"/>
        <v>15800.4</v>
      </c>
      <c r="R506" s="123">
        <f t="shared" si="204"/>
        <v>-15800.4</v>
      </c>
      <c r="S506" s="582">
        <v>0</v>
      </c>
      <c r="T506" s="123">
        <f t="shared" si="205"/>
        <v>-15800.4</v>
      </c>
      <c r="U506" s="25">
        <f t="shared" si="199"/>
        <v>3914.19</v>
      </c>
      <c r="V506" s="123">
        <f t="shared" si="200"/>
        <v>-3914.19</v>
      </c>
      <c r="W506" s="334">
        <f t="shared" si="201"/>
        <v>243.39</v>
      </c>
      <c r="Y506" s="109">
        <f>IF(AE506=1,IF(Y505=MiscData!$F$1,EOMONTH(Y505,-11),EOMONTH(Y505,1)),Y505)</f>
        <v>42216</v>
      </c>
      <c r="Z506" s="108" t="str">
        <f t="shared" si="211"/>
        <v>20140101LGUM_476</v>
      </c>
      <c r="AA506" s="126" t="str">
        <f t="shared" si="212"/>
        <v xml:space="preserve">20140101LS </v>
      </c>
      <c r="AB506" s="583" t="str">
        <f t="shared" si="206"/>
        <v>476</v>
      </c>
      <c r="AD506" s="98">
        <f>MiscData!$X$5</f>
        <v>20140101</v>
      </c>
      <c r="AE506" s="98">
        <f>IF(AE505+1&gt;MiscData!$AC$77,1,AE505+1)</f>
        <v>65</v>
      </c>
      <c r="AF506" s="98" t="str">
        <f>VLOOKUP(AE506,MiscData!$AC$5:$AD$77,2,FALSE)</f>
        <v>LGUM_476</v>
      </c>
      <c r="AG506" s="98" t="str">
        <f>VLOOKUP(AF506,MiscData!$AD$5:$AE$77,2,FALSE)</f>
        <v xml:space="preserve">LS </v>
      </c>
      <c r="AP506" s="98" t="s">
        <v>329</v>
      </c>
      <c r="AR506" s="98">
        <v>0</v>
      </c>
    </row>
    <row r="507" spans="1:44">
      <c r="A507" s="108">
        <f t="shared" si="207"/>
        <v>504</v>
      </c>
      <c r="B507" s="109" t="str">
        <f t="shared" si="208"/>
        <v>Jul 2015</v>
      </c>
      <c r="C507" s="110" t="str">
        <f t="shared" si="209"/>
        <v>RLS</v>
      </c>
      <c r="D507" s="110" t="str">
        <f t="shared" si="210"/>
        <v>LGUM_477</v>
      </c>
      <c r="E507" s="581">
        <f t="shared" si="188"/>
        <v>58</v>
      </c>
      <c r="F507" s="581">
        <f t="shared" si="189"/>
        <v>0</v>
      </c>
      <c r="G507" s="116">
        <f t="shared" si="190"/>
        <v>42.78</v>
      </c>
      <c r="H507" s="116">
        <f t="shared" si="191"/>
        <v>9.8100000000000023</v>
      </c>
      <c r="I507" s="118">
        <f t="shared" si="202"/>
        <v>2481.2399999999998</v>
      </c>
      <c r="J507" s="118">
        <f t="shared" si="192"/>
        <v>2481.2399999999998</v>
      </c>
      <c r="K507" s="570">
        <f t="shared" si="203"/>
        <v>0</v>
      </c>
      <c r="L507" s="121">
        <f t="shared" si="193"/>
        <v>0</v>
      </c>
      <c r="M507" s="122">
        <f t="shared" si="194"/>
        <v>0</v>
      </c>
      <c r="N507" s="122">
        <f t="shared" si="195"/>
        <v>0</v>
      </c>
      <c r="O507" s="122">
        <f t="shared" si="196"/>
        <v>0</v>
      </c>
      <c r="P507" s="122">
        <f t="shared" si="197"/>
        <v>0</v>
      </c>
      <c r="Q507" s="123">
        <f t="shared" si="198"/>
        <v>2481.2399999999998</v>
      </c>
      <c r="R507" s="123">
        <f t="shared" si="204"/>
        <v>-2481.2399999999998</v>
      </c>
      <c r="S507" s="582">
        <v>0</v>
      </c>
      <c r="T507" s="123">
        <f t="shared" si="205"/>
        <v>-2481.2399999999998</v>
      </c>
      <c r="U507" s="25">
        <f t="shared" si="199"/>
        <v>568.98</v>
      </c>
      <c r="V507" s="123">
        <f t="shared" si="200"/>
        <v>-568.98</v>
      </c>
      <c r="W507" s="334">
        <f t="shared" si="201"/>
        <v>35.380000000000003</v>
      </c>
      <c r="Y507" s="109">
        <f>IF(AE507=1,IF(Y506=MiscData!$F$1,EOMONTH(Y506,-11),EOMONTH(Y506,1)),Y506)</f>
        <v>42216</v>
      </c>
      <c r="Z507" s="108" t="str">
        <f t="shared" si="211"/>
        <v>20140101LGUM_477</v>
      </c>
      <c r="AA507" s="126" t="str">
        <f t="shared" si="212"/>
        <v>20140101RLS</v>
      </c>
      <c r="AB507" s="583" t="str">
        <f t="shared" si="206"/>
        <v>477</v>
      </c>
      <c r="AD507" s="98">
        <f>MiscData!$X$5</f>
        <v>20140101</v>
      </c>
      <c r="AE507" s="98">
        <f>IF(AE506+1&gt;MiscData!$AC$77,1,AE506+1)</f>
        <v>66</v>
      </c>
      <c r="AF507" s="98" t="str">
        <f>VLOOKUP(AE507,MiscData!$AC$5:$AD$77,2,FALSE)</f>
        <v>LGUM_477</v>
      </c>
      <c r="AG507" s="98" t="str">
        <f>VLOOKUP(AF507,MiscData!$AD$5:$AE$77,2,FALSE)</f>
        <v>RLS</v>
      </c>
      <c r="AP507" s="98" t="s">
        <v>609</v>
      </c>
      <c r="AR507" s="98">
        <v>0</v>
      </c>
    </row>
    <row r="508" spans="1:44">
      <c r="A508" s="108">
        <f t="shared" si="207"/>
        <v>505</v>
      </c>
      <c r="B508" s="109" t="str">
        <f t="shared" si="208"/>
        <v>Jul 2015</v>
      </c>
      <c r="C508" s="110" t="str">
        <f t="shared" si="209"/>
        <v xml:space="preserve">LS </v>
      </c>
      <c r="D508" s="110" t="str">
        <f t="shared" si="210"/>
        <v>LGUM_479</v>
      </c>
      <c r="E508" s="581">
        <f t="shared" si="188"/>
        <v>0</v>
      </c>
      <c r="F508" s="581">
        <f t="shared" si="189"/>
        <v>0</v>
      </c>
      <c r="G508" s="116">
        <f t="shared" si="190"/>
        <v>14.06</v>
      </c>
      <c r="H508" s="116">
        <f t="shared" si="191"/>
        <v>1.370000000000001</v>
      </c>
      <c r="I508" s="118">
        <f t="shared" si="202"/>
        <v>0</v>
      </c>
      <c r="J508" s="118">
        <f t="shared" si="192"/>
        <v>0</v>
      </c>
      <c r="K508" s="570">
        <f t="shared" si="203"/>
        <v>0</v>
      </c>
      <c r="L508" s="121">
        <f t="shared" si="193"/>
        <v>1</v>
      </c>
      <c r="M508" s="122">
        <f t="shared" si="194"/>
        <v>0</v>
      </c>
      <c r="N508" s="122">
        <f t="shared" si="195"/>
        <v>0</v>
      </c>
      <c r="O508" s="122">
        <f t="shared" si="196"/>
        <v>0</v>
      </c>
      <c r="P508" s="122">
        <f t="shared" si="197"/>
        <v>0</v>
      </c>
      <c r="Q508" s="123">
        <f t="shared" si="198"/>
        <v>0</v>
      </c>
      <c r="R508" s="123">
        <f t="shared" si="204"/>
        <v>0</v>
      </c>
      <c r="S508" s="582">
        <v>0</v>
      </c>
      <c r="T508" s="123">
        <f t="shared" si="205"/>
        <v>0</v>
      </c>
      <c r="U508" s="25">
        <f t="shared" si="199"/>
        <v>0</v>
      </c>
      <c r="V508" s="123">
        <f t="shared" si="200"/>
        <v>0</v>
      </c>
      <c r="W508" s="334">
        <f t="shared" si="201"/>
        <v>0</v>
      </c>
      <c r="Y508" s="109">
        <f>IF(AE508=1,IF(Y507=MiscData!$F$1,EOMONTH(Y507,-11),EOMONTH(Y507,1)),Y507)</f>
        <v>42216</v>
      </c>
      <c r="Z508" s="108" t="str">
        <f t="shared" si="211"/>
        <v>20140101LGUM_479</v>
      </c>
      <c r="AA508" s="126" t="str">
        <f t="shared" si="212"/>
        <v xml:space="preserve">20140101LS </v>
      </c>
      <c r="AB508" s="583" t="str">
        <f t="shared" si="206"/>
        <v>479</v>
      </c>
      <c r="AD508" s="98">
        <f>MiscData!$X$5</f>
        <v>20140101</v>
      </c>
      <c r="AE508" s="98">
        <f>IF(AE507+1&gt;MiscData!$AC$77,1,AE507+1)</f>
        <v>67</v>
      </c>
      <c r="AF508" s="98" t="str">
        <f>VLOOKUP(AE508,MiscData!$AC$5:$AD$77,2,FALSE)</f>
        <v>LGUM_479</v>
      </c>
      <c r="AG508" s="98" t="str">
        <f>VLOOKUP(AF508,MiscData!$AD$5:$AE$77,2,FALSE)</f>
        <v xml:space="preserve">LS </v>
      </c>
      <c r="AP508" s="98" t="s">
        <v>330</v>
      </c>
      <c r="AR508" s="98">
        <v>29.38</v>
      </c>
    </row>
    <row r="509" spans="1:44">
      <c r="A509" s="108">
        <f t="shared" si="207"/>
        <v>506</v>
      </c>
      <c r="B509" s="109" t="str">
        <f t="shared" si="208"/>
        <v>Jul 2015</v>
      </c>
      <c r="C509" s="110" t="str">
        <f t="shared" si="209"/>
        <v xml:space="preserve">LS </v>
      </c>
      <c r="D509" s="110" t="str">
        <f t="shared" si="210"/>
        <v>LGUM_480</v>
      </c>
      <c r="E509" s="581">
        <f t="shared" si="188"/>
        <v>18</v>
      </c>
      <c r="F509" s="581">
        <f t="shared" si="189"/>
        <v>0</v>
      </c>
      <c r="G509" s="116">
        <f t="shared" si="190"/>
        <v>23.83</v>
      </c>
      <c r="H509" s="116">
        <f t="shared" si="191"/>
        <v>1.370000000000001</v>
      </c>
      <c r="I509" s="118">
        <f t="shared" si="202"/>
        <v>428.94</v>
      </c>
      <c r="J509" s="118">
        <f t="shared" si="192"/>
        <v>428.94</v>
      </c>
      <c r="K509" s="570">
        <f t="shared" si="203"/>
        <v>0</v>
      </c>
      <c r="L509" s="121">
        <f t="shared" si="193"/>
        <v>0</v>
      </c>
      <c r="M509" s="122">
        <f t="shared" si="194"/>
        <v>0</v>
      </c>
      <c r="N509" s="122">
        <f t="shared" si="195"/>
        <v>0</v>
      </c>
      <c r="O509" s="122">
        <f t="shared" si="196"/>
        <v>0</v>
      </c>
      <c r="P509" s="122">
        <f t="shared" si="197"/>
        <v>0</v>
      </c>
      <c r="Q509" s="123">
        <f t="shared" si="198"/>
        <v>428.94</v>
      </c>
      <c r="R509" s="123">
        <f t="shared" si="204"/>
        <v>-428.94</v>
      </c>
      <c r="S509" s="582">
        <v>0</v>
      </c>
      <c r="T509" s="123">
        <f t="shared" si="205"/>
        <v>-428.94</v>
      </c>
      <c r="U509" s="25">
        <f t="shared" si="199"/>
        <v>24.66</v>
      </c>
      <c r="V509" s="123">
        <f t="shared" si="200"/>
        <v>-24.66</v>
      </c>
      <c r="W509" s="334">
        <f t="shared" si="201"/>
        <v>4.8600000000000003</v>
      </c>
      <c r="Y509" s="109">
        <f>IF(AE509=1,IF(Y508=MiscData!$F$1,EOMONTH(Y508,-11),EOMONTH(Y508,1)),Y508)</f>
        <v>42216</v>
      </c>
      <c r="Z509" s="108" t="str">
        <f t="shared" si="211"/>
        <v>20140101LGUM_480</v>
      </c>
      <c r="AA509" s="126" t="str">
        <f t="shared" si="212"/>
        <v xml:space="preserve">20140101LS </v>
      </c>
      <c r="AB509" s="583" t="str">
        <f t="shared" si="206"/>
        <v>480</v>
      </c>
      <c r="AD509" s="98">
        <f>MiscData!$X$5</f>
        <v>20140101</v>
      </c>
      <c r="AE509" s="98">
        <f>IF(AE508+1&gt;MiscData!$AC$77,1,AE508+1)</f>
        <v>68</v>
      </c>
      <c r="AF509" s="98" t="str">
        <f>VLOOKUP(AE509,MiscData!$AC$5:$AD$77,2,FALSE)</f>
        <v>LGUM_480</v>
      </c>
      <c r="AG509" s="98" t="str">
        <f>VLOOKUP(AF509,MiscData!$AD$5:$AE$77,2,FALSE)</f>
        <v xml:space="preserve">LS </v>
      </c>
      <c r="AP509" s="98" t="s">
        <v>331</v>
      </c>
      <c r="AR509" s="98">
        <v>0</v>
      </c>
    </row>
    <row r="510" spans="1:44">
      <c r="A510" s="108">
        <f t="shared" si="207"/>
        <v>507</v>
      </c>
      <c r="B510" s="109" t="str">
        <f t="shared" si="208"/>
        <v>Jul 2015</v>
      </c>
      <c r="C510" s="110" t="str">
        <f t="shared" si="209"/>
        <v xml:space="preserve">LS </v>
      </c>
      <c r="D510" s="110" t="str">
        <f t="shared" si="210"/>
        <v>LGUM_481</v>
      </c>
      <c r="E510" s="581">
        <f t="shared" si="188"/>
        <v>4</v>
      </c>
      <c r="F510" s="581">
        <f t="shared" si="189"/>
        <v>0</v>
      </c>
      <c r="G510" s="116">
        <f t="shared" si="190"/>
        <v>20.46</v>
      </c>
      <c r="H510" s="116">
        <f t="shared" si="191"/>
        <v>3.1800000000000033</v>
      </c>
      <c r="I510" s="118">
        <f t="shared" si="202"/>
        <v>81.84</v>
      </c>
      <c r="J510" s="118">
        <f t="shared" si="192"/>
        <v>81.84</v>
      </c>
      <c r="K510" s="570">
        <f t="shared" si="203"/>
        <v>0</v>
      </c>
      <c r="L510" s="121">
        <f t="shared" si="193"/>
        <v>0</v>
      </c>
      <c r="M510" s="122">
        <f t="shared" si="194"/>
        <v>0</v>
      </c>
      <c r="N510" s="122">
        <f t="shared" si="195"/>
        <v>0</v>
      </c>
      <c r="O510" s="122">
        <f t="shared" si="196"/>
        <v>0</v>
      </c>
      <c r="P510" s="122">
        <f t="shared" si="197"/>
        <v>0</v>
      </c>
      <c r="Q510" s="123">
        <f t="shared" si="198"/>
        <v>81.84</v>
      </c>
      <c r="R510" s="123">
        <f t="shared" si="204"/>
        <v>-81.84</v>
      </c>
      <c r="S510" s="582">
        <v>0</v>
      </c>
      <c r="T510" s="123">
        <f t="shared" si="205"/>
        <v>-81.84</v>
      </c>
      <c r="U510" s="25">
        <f t="shared" si="199"/>
        <v>12.72</v>
      </c>
      <c r="V510" s="123">
        <f t="shared" si="200"/>
        <v>-12.72</v>
      </c>
      <c r="W510" s="334">
        <f t="shared" si="201"/>
        <v>1.2</v>
      </c>
      <c r="Y510" s="109">
        <f>IF(AE510=1,IF(Y509=MiscData!$F$1,EOMONTH(Y509,-11),EOMONTH(Y509,1)),Y509)</f>
        <v>42216</v>
      </c>
      <c r="Z510" s="108" t="str">
        <f t="shared" si="211"/>
        <v>20140101LGUM_481</v>
      </c>
      <c r="AA510" s="126" t="str">
        <f t="shared" si="212"/>
        <v xml:space="preserve">20140101LS </v>
      </c>
      <c r="AB510" s="583" t="str">
        <f t="shared" si="206"/>
        <v>481</v>
      </c>
      <c r="AD510" s="98">
        <f>MiscData!$X$5</f>
        <v>20140101</v>
      </c>
      <c r="AE510" s="98">
        <f>IF(AE509+1&gt;MiscData!$AC$77,1,AE509+1)</f>
        <v>69</v>
      </c>
      <c r="AF510" s="98" t="str">
        <f>VLOOKUP(AE510,MiscData!$AC$5:$AD$77,2,FALSE)</f>
        <v>LGUM_481</v>
      </c>
      <c r="AG510" s="98" t="str">
        <f>VLOOKUP(AF510,MiscData!$AD$5:$AE$77,2,FALSE)</f>
        <v xml:space="preserve">LS </v>
      </c>
      <c r="AP510" s="98" t="s">
        <v>332</v>
      </c>
      <c r="AR510" s="98">
        <v>0</v>
      </c>
    </row>
    <row r="511" spans="1:44">
      <c r="A511" s="108">
        <f t="shared" si="207"/>
        <v>508</v>
      </c>
      <c r="B511" s="109" t="str">
        <f t="shared" si="208"/>
        <v>Jul 2015</v>
      </c>
      <c r="C511" s="110" t="str">
        <f t="shared" si="209"/>
        <v xml:space="preserve">LS </v>
      </c>
      <c r="D511" s="110" t="str">
        <f t="shared" si="210"/>
        <v>LGUM_482</v>
      </c>
      <c r="E511" s="581">
        <f t="shared" si="188"/>
        <v>43</v>
      </c>
      <c r="F511" s="581">
        <f t="shared" si="189"/>
        <v>0</v>
      </c>
      <c r="G511" s="116">
        <f t="shared" si="190"/>
        <v>30.21</v>
      </c>
      <c r="H511" s="116">
        <f t="shared" si="191"/>
        <v>3.1800000000000033</v>
      </c>
      <c r="I511" s="118">
        <f t="shared" si="202"/>
        <v>1299.03</v>
      </c>
      <c r="J511" s="118">
        <f t="shared" si="192"/>
        <v>1299.03</v>
      </c>
      <c r="K511" s="570">
        <f t="shared" si="203"/>
        <v>0</v>
      </c>
      <c r="L511" s="121">
        <f t="shared" si="193"/>
        <v>0</v>
      </c>
      <c r="M511" s="122">
        <f t="shared" si="194"/>
        <v>0</v>
      </c>
      <c r="N511" s="122">
        <f t="shared" si="195"/>
        <v>0</v>
      </c>
      <c r="O511" s="122">
        <f t="shared" si="196"/>
        <v>0</v>
      </c>
      <c r="P511" s="122">
        <f t="shared" si="197"/>
        <v>0</v>
      </c>
      <c r="Q511" s="123">
        <f t="shared" si="198"/>
        <v>1299.03</v>
      </c>
      <c r="R511" s="123">
        <f t="shared" si="204"/>
        <v>-1299.03</v>
      </c>
      <c r="S511" s="582">
        <v>0</v>
      </c>
      <c r="T511" s="123">
        <f t="shared" si="205"/>
        <v>-1299.03</v>
      </c>
      <c r="U511" s="25">
        <f t="shared" si="199"/>
        <v>136.74</v>
      </c>
      <c r="V511" s="123">
        <f t="shared" si="200"/>
        <v>-136.74</v>
      </c>
      <c r="W511" s="334">
        <f t="shared" si="201"/>
        <v>12.9</v>
      </c>
      <c r="Y511" s="109">
        <f>IF(AE511=1,IF(Y510=MiscData!$F$1,EOMONTH(Y510,-11),EOMONTH(Y510,1)),Y510)</f>
        <v>42216</v>
      </c>
      <c r="Z511" s="108" t="str">
        <f t="shared" si="211"/>
        <v>20140101LGUM_482</v>
      </c>
      <c r="AA511" s="126" t="str">
        <f t="shared" si="212"/>
        <v xml:space="preserve">20140101LS </v>
      </c>
      <c r="AB511" s="583" t="str">
        <f t="shared" si="206"/>
        <v>482</v>
      </c>
      <c r="AD511" s="98">
        <f>MiscData!$X$5</f>
        <v>20140101</v>
      </c>
      <c r="AE511" s="98">
        <f>IF(AE510+1&gt;MiscData!$AC$77,1,AE510+1)</f>
        <v>70</v>
      </c>
      <c r="AF511" s="98" t="str">
        <f>VLOOKUP(AE511,MiscData!$AC$5:$AD$77,2,FALSE)</f>
        <v>LGUM_482</v>
      </c>
      <c r="AG511" s="98" t="str">
        <f>VLOOKUP(AF511,MiscData!$AD$5:$AE$77,2,FALSE)</f>
        <v xml:space="preserve">LS </v>
      </c>
      <c r="AP511" s="98" t="s">
        <v>333</v>
      </c>
      <c r="AR511" s="98">
        <v>0</v>
      </c>
    </row>
    <row r="512" spans="1:44">
      <c r="A512" s="108">
        <f t="shared" si="207"/>
        <v>509</v>
      </c>
      <c r="B512" s="109" t="str">
        <f t="shared" si="208"/>
        <v>Jul 2015</v>
      </c>
      <c r="C512" s="110" t="str">
        <f t="shared" si="209"/>
        <v xml:space="preserve">LS </v>
      </c>
      <c r="D512" s="110" t="str">
        <f t="shared" si="210"/>
        <v>LGUM_483</v>
      </c>
      <c r="E512" s="581">
        <f t="shared" si="188"/>
        <v>2</v>
      </c>
      <c r="F512" s="581">
        <f t="shared" si="189"/>
        <v>0</v>
      </c>
      <c r="G512" s="116">
        <f t="shared" si="190"/>
        <v>42.56</v>
      </c>
      <c r="H512" s="116">
        <f t="shared" si="191"/>
        <v>9.8100000000000023</v>
      </c>
      <c r="I512" s="118">
        <f t="shared" si="202"/>
        <v>85.12</v>
      </c>
      <c r="J512" s="118">
        <f t="shared" si="192"/>
        <v>85.12</v>
      </c>
      <c r="K512" s="570">
        <f t="shared" si="203"/>
        <v>0</v>
      </c>
      <c r="L512" s="121">
        <f t="shared" si="193"/>
        <v>0</v>
      </c>
      <c r="M512" s="122">
        <f t="shared" si="194"/>
        <v>0</v>
      </c>
      <c r="N512" s="122">
        <f t="shared" si="195"/>
        <v>0</v>
      </c>
      <c r="O512" s="122">
        <f t="shared" si="196"/>
        <v>0</v>
      </c>
      <c r="P512" s="122">
        <f t="shared" si="197"/>
        <v>0</v>
      </c>
      <c r="Q512" s="123">
        <f t="shared" si="198"/>
        <v>85.12</v>
      </c>
      <c r="R512" s="123">
        <f t="shared" si="204"/>
        <v>-85.12</v>
      </c>
      <c r="S512" s="582">
        <v>0</v>
      </c>
      <c r="T512" s="123">
        <f t="shared" si="205"/>
        <v>-85.12</v>
      </c>
      <c r="U512" s="25">
        <f t="shared" si="199"/>
        <v>19.62</v>
      </c>
      <c r="V512" s="123">
        <f t="shared" si="200"/>
        <v>-19.62</v>
      </c>
      <c r="W512" s="334">
        <f t="shared" si="201"/>
        <v>1.22</v>
      </c>
      <c r="Y512" s="109">
        <f>IF(AE512=1,IF(Y511=MiscData!$F$1,EOMONTH(Y511,-11),EOMONTH(Y511,1)),Y511)</f>
        <v>42216</v>
      </c>
      <c r="Z512" s="108" t="str">
        <f t="shared" si="211"/>
        <v>20140101LGUM_483</v>
      </c>
      <c r="AA512" s="126" t="str">
        <f t="shared" si="212"/>
        <v xml:space="preserve">20140101LS </v>
      </c>
      <c r="AB512" s="583" t="str">
        <f t="shared" si="206"/>
        <v>483</v>
      </c>
      <c r="AD512" s="98">
        <f>MiscData!$X$5</f>
        <v>20140101</v>
      </c>
      <c r="AE512" s="98">
        <f>IF(AE511+1&gt;MiscData!$AC$77,1,AE511+1)</f>
        <v>71</v>
      </c>
      <c r="AF512" s="98" t="str">
        <f>VLOOKUP(AE512,MiscData!$AC$5:$AD$77,2,FALSE)</f>
        <v>LGUM_483</v>
      </c>
      <c r="AG512" s="98" t="str">
        <f>VLOOKUP(AF512,MiscData!$AD$5:$AE$77,2,FALSE)</f>
        <v xml:space="preserve">LS </v>
      </c>
      <c r="AP512" s="98" t="s">
        <v>334</v>
      </c>
      <c r="AR512" s="98">
        <v>25.43</v>
      </c>
    </row>
    <row r="513" spans="1:44">
      <c r="A513" s="108">
        <f t="shared" si="207"/>
        <v>510</v>
      </c>
      <c r="B513" s="109" t="str">
        <f t="shared" si="208"/>
        <v>Jul 2015</v>
      </c>
      <c r="C513" s="110" t="str">
        <f t="shared" si="209"/>
        <v xml:space="preserve">LS </v>
      </c>
      <c r="D513" s="110" t="str">
        <f t="shared" si="210"/>
        <v>LGUM_484</v>
      </c>
      <c r="E513" s="581">
        <f t="shared" si="188"/>
        <v>13</v>
      </c>
      <c r="F513" s="581">
        <f t="shared" si="189"/>
        <v>0</v>
      </c>
      <c r="G513" s="116">
        <f t="shared" si="190"/>
        <v>52.31</v>
      </c>
      <c r="H513" s="116">
        <f t="shared" si="191"/>
        <v>9.8100000000000023</v>
      </c>
      <c r="I513" s="118">
        <f t="shared" si="202"/>
        <v>680.03</v>
      </c>
      <c r="J513" s="118">
        <f t="shared" si="192"/>
        <v>680.03</v>
      </c>
      <c r="K513" s="570">
        <f t="shared" si="203"/>
        <v>0</v>
      </c>
      <c r="L513" s="121">
        <f t="shared" si="193"/>
        <v>0</v>
      </c>
      <c r="M513" s="122">
        <f t="shared" si="194"/>
        <v>0</v>
      </c>
      <c r="N513" s="122">
        <f t="shared" si="195"/>
        <v>0</v>
      </c>
      <c r="O513" s="122">
        <f t="shared" si="196"/>
        <v>0</v>
      </c>
      <c r="P513" s="122">
        <f t="shared" si="197"/>
        <v>0</v>
      </c>
      <c r="Q513" s="123">
        <f t="shared" si="198"/>
        <v>680.03</v>
      </c>
      <c r="R513" s="123">
        <f t="shared" si="204"/>
        <v>-680.03</v>
      </c>
      <c r="S513" s="582">
        <v>0</v>
      </c>
      <c r="T513" s="123">
        <f t="shared" si="205"/>
        <v>-680.03</v>
      </c>
      <c r="U513" s="25">
        <f t="shared" si="199"/>
        <v>127.53</v>
      </c>
      <c r="V513" s="123">
        <f t="shared" si="200"/>
        <v>-127.53</v>
      </c>
      <c r="W513" s="334">
        <f t="shared" si="201"/>
        <v>7.93</v>
      </c>
      <c r="Y513" s="109">
        <f>IF(AE513=1,IF(Y512=MiscData!$F$1,EOMONTH(Y512,-11),EOMONTH(Y512,1)),Y512)</f>
        <v>42216</v>
      </c>
      <c r="Z513" s="108" t="str">
        <f t="shared" si="211"/>
        <v>20140101LGUM_484</v>
      </c>
      <c r="AA513" s="126" t="str">
        <f t="shared" si="212"/>
        <v xml:space="preserve">20140101LS </v>
      </c>
      <c r="AB513" s="583" t="str">
        <f t="shared" si="206"/>
        <v>484</v>
      </c>
      <c r="AD513" s="98">
        <f>MiscData!$X$5</f>
        <v>20140101</v>
      </c>
      <c r="AE513" s="98">
        <f>IF(AE512+1&gt;MiscData!$AC$77,1,AE512+1)</f>
        <v>72</v>
      </c>
      <c r="AF513" s="98" t="str">
        <f>VLOOKUP(AE513,MiscData!$AC$5:$AD$77,2,FALSE)</f>
        <v>LGUM_484</v>
      </c>
      <c r="AG513" s="98" t="str">
        <f>VLOOKUP(AF513,MiscData!$AD$5:$AE$77,2,FALSE)</f>
        <v xml:space="preserve">LS </v>
      </c>
      <c r="AP513" s="98" t="s">
        <v>616</v>
      </c>
      <c r="AR513" s="98">
        <v>0</v>
      </c>
    </row>
    <row r="514" spans="1:44">
      <c r="A514" s="108">
        <f t="shared" si="207"/>
        <v>511</v>
      </c>
      <c r="B514" s="109" t="str">
        <f t="shared" si="208"/>
        <v>Jul 2015</v>
      </c>
      <c r="C514" s="110" t="str">
        <f t="shared" si="209"/>
        <v>ODL</v>
      </c>
      <c r="D514" s="110" t="str">
        <f t="shared" si="210"/>
        <v>ODL</v>
      </c>
      <c r="E514" s="581">
        <f t="shared" si="188"/>
        <v>0</v>
      </c>
      <c r="F514" s="581">
        <f t="shared" si="189"/>
        <v>7505864</v>
      </c>
      <c r="G514" s="116">
        <f t="shared" si="190"/>
        <v>0</v>
      </c>
      <c r="H514" s="116">
        <f t="shared" si="191"/>
        <v>0</v>
      </c>
      <c r="I514" s="118">
        <f t="shared" si="202"/>
        <v>0</v>
      </c>
      <c r="J514" s="118">
        <f t="shared" si="192"/>
        <v>0</v>
      </c>
      <c r="K514" s="570">
        <f t="shared" si="203"/>
        <v>1551367</v>
      </c>
      <c r="L514" s="121">
        <f t="shared" si="193"/>
        <v>0</v>
      </c>
      <c r="M514" s="122">
        <f t="shared" si="194"/>
        <v>14702</v>
      </c>
      <c r="N514" s="122">
        <f t="shared" si="195"/>
        <v>47403</v>
      </c>
      <c r="O514" s="122">
        <f t="shared" si="196"/>
        <v>0</v>
      </c>
      <c r="P514" s="122">
        <f t="shared" si="197"/>
        <v>1613472</v>
      </c>
      <c r="Q514" s="123">
        <f t="shared" si="198"/>
        <v>62105</v>
      </c>
      <c r="R514" s="123">
        <f t="shared" si="204"/>
        <v>1551367</v>
      </c>
      <c r="S514" s="582">
        <v>0</v>
      </c>
      <c r="T514" s="123">
        <f t="shared" si="205"/>
        <v>1551367</v>
      </c>
      <c r="U514" s="25">
        <f t="shared" si="199"/>
        <v>0</v>
      </c>
      <c r="V514" s="123">
        <f t="shared" si="200"/>
        <v>1551367</v>
      </c>
      <c r="W514" s="334">
        <f t="shared" si="201"/>
        <v>0</v>
      </c>
      <c r="Y514" s="109">
        <f>IF(AE514=1,IF(Y513=MiscData!$F$1,EOMONTH(Y513,-11),EOMONTH(Y513,1)),Y513)</f>
        <v>42216</v>
      </c>
      <c r="Z514" s="108" t="str">
        <f t="shared" si="211"/>
        <v>20140101ODL</v>
      </c>
      <c r="AA514" s="126" t="str">
        <f t="shared" si="212"/>
        <v>20140101ODL</v>
      </c>
      <c r="AB514" s="583" t="str">
        <f t="shared" si="206"/>
        <v>ODL</v>
      </c>
      <c r="AD514" s="98">
        <f>MiscData!$X$5</f>
        <v>20140101</v>
      </c>
      <c r="AE514" s="98">
        <f>IF(AE513+1&gt;MiscData!$AC$77,1,AE513+1)</f>
        <v>73</v>
      </c>
      <c r="AF514" s="98" t="str">
        <f>VLOOKUP(AE514,MiscData!$AC$5:$AD$77,2,FALSE)</f>
        <v>ODL</v>
      </c>
      <c r="AG514" s="98" t="str">
        <f>VLOOKUP(AF514,MiscData!$AD$5:$AE$77,2,FALSE)</f>
        <v>ODL</v>
      </c>
      <c r="AP514" s="98" t="s">
        <v>618</v>
      </c>
      <c r="AR514" s="98">
        <v>0</v>
      </c>
    </row>
    <row r="515" spans="1:44">
      <c r="A515" s="108">
        <f t="shared" si="207"/>
        <v>512</v>
      </c>
      <c r="B515" s="109" t="str">
        <f t="shared" si="208"/>
        <v>Aug 2015</v>
      </c>
      <c r="C515" s="110" t="str">
        <f t="shared" si="209"/>
        <v>RLS</v>
      </c>
      <c r="D515" s="110" t="str">
        <f t="shared" si="210"/>
        <v>LGUM_201</v>
      </c>
      <c r="E515" s="581">
        <f t="shared" si="188"/>
        <v>75</v>
      </c>
      <c r="F515" s="581">
        <f t="shared" si="189"/>
        <v>0</v>
      </c>
      <c r="G515" s="116">
        <f t="shared" si="190"/>
        <v>8.14</v>
      </c>
      <c r="H515" s="116">
        <f t="shared" si="191"/>
        <v>1.0899999999999999</v>
      </c>
      <c r="I515" s="118">
        <f t="shared" si="202"/>
        <v>610.5</v>
      </c>
      <c r="J515" s="118">
        <f t="shared" si="192"/>
        <v>610.5</v>
      </c>
      <c r="K515" s="570">
        <f t="shared" si="203"/>
        <v>0</v>
      </c>
      <c r="L515" s="121">
        <f t="shared" si="193"/>
        <v>0</v>
      </c>
      <c r="M515" s="122">
        <f t="shared" si="194"/>
        <v>0</v>
      </c>
      <c r="N515" s="122">
        <f t="shared" si="195"/>
        <v>0</v>
      </c>
      <c r="O515" s="122">
        <f t="shared" si="196"/>
        <v>0</v>
      </c>
      <c r="P515" s="122">
        <f t="shared" si="197"/>
        <v>0</v>
      </c>
      <c r="Q515" s="123">
        <f t="shared" si="198"/>
        <v>610.5</v>
      </c>
      <c r="R515" s="123">
        <f t="shared" si="204"/>
        <v>-610.5</v>
      </c>
      <c r="S515" s="582">
        <v>0</v>
      </c>
      <c r="T515" s="123">
        <f t="shared" si="205"/>
        <v>-610.5</v>
      </c>
      <c r="U515" s="25">
        <f t="shared" si="199"/>
        <v>81.75</v>
      </c>
      <c r="V515" s="123">
        <f t="shared" si="200"/>
        <v>-81.75</v>
      </c>
      <c r="W515" s="334">
        <f t="shared" si="201"/>
        <v>12</v>
      </c>
      <c r="Y515" s="109">
        <f>IF(AE515=1,IF(Y514=MiscData!$F$1,EOMONTH(Y514,-11),EOMONTH(Y514,1)),Y514)</f>
        <v>42247</v>
      </c>
      <c r="Z515" s="108" t="str">
        <f t="shared" si="211"/>
        <v>20140101LGUM_201</v>
      </c>
      <c r="AA515" s="126" t="str">
        <f t="shared" si="212"/>
        <v>20140101RLS</v>
      </c>
      <c r="AB515" s="583" t="str">
        <f t="shared" si="206"/>
        <v>201</v>
      </c>
      <c r="AD515" s="98">
        <f>MiscData!$X$5</f>
        <v>20140101</v>
      </c>
      <c r="AE515" s="98">
        <f>IF(AE514+1&gt;MiscData!$AC$77,1,AE514+1)</f>
        <v>1</v>
      </c>
      <c r="AF515" s="98" t="str">
        <f>VLOOKUP(AE515,MiscData!$AC$5:$AD$77,2,FALSE)</f>
        <v>LGUM_201</v>
      </c>
      <c r="AG515" s="98" t="str">
        <f>VLOOKUP(AF515,MiscData!$AD$5:$AE$77,2,FALSE)</f>
        <v>RLS</v>
      </c>
      <c r="AP515" s="98" t="s">
        <v>620</v>
      </c>
      <c r="AR515" s="98">
        <v>0</v>
      </c>
    </row>
    <row r="516" spans="1:44">
      <c r="A516" s="108">
        <f t="shared" si="207"/>
        <v>513</v>
      </c>
      <c r="B516" s="109" t="str">
        <f t="shared" ref="B516:B547" si="213">TEXT(Y516,"mmm yyyy")</f>
        <v>Aug 2015</v>
      </c>
      <c r="C516" s="110" t="str">
        <f t="shared" ref="C516:C547" si="214">AG516</f>
        <v>RLS</v>
      </c>
      <c r="D516" s="110" t="str">
        <f t="shared" ref="D516:D547" si="215">AF516</f>
        <v>LGUM_203</v>
      </c>
      <c r="E516" s="581">
        <f t="shared" ref="E516:E579" si="216">SUMIFS(L_1055_Count_Total,L_1055_Revenue_Month,$B516,L_1055_RateCategory,$D516)</f>
        <v>3647</v>
      </c>
      <c r="F516" s="581">
        <f t="shared" ref="F516:F579" si="217">SUMIFS(L_SBR_KWH,L_SBR_Rate_Category,$D516,L_SBR_Revenue_Month,$B516)</f>
        <v>0</v>
      </c>
      <c r="G516" s="116">
        <f t="shared" ref="G516:G579" si="218">SUMIF(L_LightingRates_Tariff_Rate_Category,$Z516,L_LightingRates_UnitCharge)</f>
        <v>10.959999999999999</v>
      </c>
      <c r="H516" s="116">
        <f t="shared" ref="H516:H579" si="219">SUMIF(L_LightingRates_Tariff_Rate_Category,$Z516,L_LightingRates_FAC_Rate)</f>
        <v>2.7099999999999991</v>
      </c>
      <c r="I516" s="118">
        <f t="shared" si="202"/>
        <v>39971.120000000003</v>
      </c>
      <c r="J516" s="118">
        <f t="shared" ref="J516:J579" si="220">SUM(I516:I516)</f>
        <v>39971.120000000003</v>
      </c>
      <c r="K516" s="570">
        <f t="shared" si="203"/>
        <v>0</v>
      </c>
      <c r="L516" s="121">
        <f t="shared" ref="L516:L579" si="221">IF(AND(J516=0,K516=0),1,IF(J516=0,0,K516/J516))</f>
        <v>0</v>
      </c>
      <c r="M516" s="122">
        <f t="shared" ref="M516:M579" si="222">SUMIFS(L_SBR_FAC,L_SBR_Revenue_Month,$B516,L_SBR_Rate_Category,$D516)</f>
        <v>0</v>
      </c>
      <c r="N516" s="122">
        <f t="shared" ref="N516:N579" si="223">SUMIFS(L_SBR_ECR,L_SBR_Revenue_Month,$B516,L_SBR_Rate_Category,$D516)</f>
        <v>0</v>
      </c>
      <c r="O516" s="122">
        <f t="shared" ref="O516:O579" si="224">SUMIFS(L_SBR_MSR,L_SBR_Revenue_Month,$B516,L_SBR_Rate_Category,$D516)</f>
        <v>0</v>
      </c>
      <c r="P516" s="122">
        <f t="shared" ref="P516:P579" si="225">SUMIFS(L_SBR_Revenue_Total,L_SBR_Revenue_Month,$B516,L_SBR_Rate_Category,$D516)</f>
        <v>0</v>
      </c>
      <c r="Q516" s="123">
        <f t="shared" ref="Q516:Q579" si="226">SUM(J516,M516:O516)</f>
        <v>39971.120000000003</v>
      </c>
      <c r="R516" s="123">
        <f t="shared" si="204"/>
        <v>-39971.120000000003</v>
      </c>
      <c r="S516" s="582">
        <v>0</v>
      </c>
      <c r="T516" s="123">
        <f t="shared" si="205"/>
        <v>-39971.120000000003</v>
      </c>
      <c r="U516" s="25">
        <f t="shared" ref="U516:U579" si="227">ROUND(E516*H516,2)</f>
        <v>9883.3700000000008</v>
      </c>
      <c r="V516" s="123">
        <f t="shared" ref="V516:V579" si="228">K516-U516</f>
        <v>-9883.3700000000008</v>
      </c>
      <c r="W516" s="334">
        <f t="shared" ref="W516:W579" si="229">SUMIF(L_LightingRates_Tariff_Rate_Category,$Z516,L_LightingRates_ECR_Rate)*E516</f>
        <v>656.45999999999992</v>
      </c>
      <c r="Y516" s="109">
        <f>IF(AE516=1,IF(Y515=MiscData!$F$1,EOMONTH(Y515,-11),EOMONTH(Y515,1)),Y515)</f>
        <v>42247</v>
      </c>
      <c r="Z516" s="108" t="str">
        <f t="shared" si="211"/>
        <v>20140101LGUM_203</v>
      </c>
      <c r="AA516" s="126" t="str">
        <f t="shared" si="212"/>
        <v>20140101RLS</v>
      </c>
      <c r="AB516" s="583" t="str">
        <f t="shared" si="206"/>
        <v>203</v>
      </c>
      <c r="AD516" s="98">
        <f>MiscData!$X$5</f>
        <v>20140101</v>
      </c>
      <c r="AE516" s="98">
        <f>IF(AE515+1&gt;MiscData!$AC$77,1,AE515+1)</f>
        <v>2</v>
      </c>
      <c r="AF516" s="98" t="str">
        <f>VLOOKUP(AE516,MiscData!$AC$5:$AD$77,2,FALSE)</f>
        <v>LGUM_203</v>
      </c>
      <c r="AG516" s="98" t="str">
        <f>VLOOKUP(AF516,MiscData!$AD$5:$AE$77,2,FALSE)</f>
        <v>RLS</v>
      </c>
      <c r="AP516" s="98" t="s">
        <v>360</v>
      </c>
      <c r="AR516" s="98">
        <v>0</v>
      </c>
    </row>
    <row r="517" spans="1:44">
      <c r="A517" s="108">
        <f t="shared" si="207"/>
        <v>514</v>
      </c>
      <c r="B517" s="109" t="str">
        <f t="shared" si="213"/>
        <v>Aug 2015</v>
      </c>
      <c r="C517" s="110" t="str">
        <f t="shared" si="214"/>
        <v>RLS</v>
      </c>
      <c r="D517" s="110" t="str">
        <f t="shared" si="215"/>
        <v>LGUM_204</v>
      </c>
      <c r="E517" s="581">
        <f t="shared" si="216"/>
        <v>3672</v>
      </c>
      <c r="F517" s="581">
        <f t="shared" si="217"/>
        <v>0</v>
      </c>
      <c r="G517" s="116">
        <f t="shared" si="218"/>
        <v>13.510000000000002</v>
      </c>
      <c r="H517" s="116">
        <f t="shared" si="219"/>
        <v>4.2000000000000011</v>
      </c>
      <c r="I517" s="118">
        <f t="shared" ref="I517:I580" si="230">ROUND($E517*$G517,2)</f>
        <v>49608.72</v>
      </c>
      <c r="J517" s="118">
        <f t="shared" si="220"/>
        <v>49608.72</v>
      </c>
      <c r="K517" s="570">
        <f t="shared" ref="K517:K580" si="231">P517-SUM(M517:O517)</f>
        <v>0</v>
      </c>
      <c r="L517" s="121">
        <f t="shared" si="221"/>
        <v>0</v>
      </c>
      <c r="M517" s="122">
        <f t="shared" si="222"/>
        <v>0</v>
      </c>
      <c r="N517" s="122">
        <f t="shared" si="223"/>
        <v>0</v>
      </c>
      <c r="O517" s="122">
        <f t="shared" si="224"/>
        <v>0</v>
      </c>
      <c r="P517" s="122">
        <f t="shared" si="225"/>
        <v>0</v>
      </c>
      <c r="Q517" s="123">
        <f t="shared" si="226"/>
        <v>49608.72</v>
      </c>
      <c r="R517" s="123">
        <f t="shared" ref="R517:R580" si="232">ROUND(P517-Q517,2)</f>
        <v>-49608.72</v>
      </c>
      <c r="S517" s="582">
        <v>0</v>
      </c>
      <c r="T517" s="123">
        <f t="shared" ref="T517:T580" si="233">R517-S517</f>
        <v>-49608.72</v>
      </c>
      <c r="U517" s="25">
        <f t="shared" si="227"/>
        <v>15422.4</v>
      </c>
      <c r="V517" s="123">
        <f t="shared" si="228"/>
        <v>-15422.4</v>
      </c>
      <c r="W517" s="334">
        <f t="shared" si="229"/>
        <v>807.84</v>
      </c>
      <c r="Y517" s="109">
        <f>IF(AE517=1,IF(Y516=MiscData!$F$1,EOMONTH(Y516,-11),EOMONTH(Y516,1)),Y516)</f>
        <v>42247</v>
      </c>
      <c r="Z517" s="108" t="str">
        <f t="shared" si="211"/>
        <v>20140101LGUM_204</v>
      </c>
      <c r="AA517" s="126" t="str">
        <f t="shared" si="212"/>
        <v>20140101RLS</v>
      </c>
      <c r="AB517" s="583" t="str">
        <f t="shared" ref="AB517:AB580" si="234">RIGHT(AF517,3)</f>
        <v>204</v>
      </c>
      <c r="AD517" s="98">
        <f>MiscData!$X$5</f>
        <v>20140101</v>
      </c>
      <c r="AE517" s="98">
        <f>IF(AE516+1&gt;MiscData!$AC$77,1,AE516+1)</f>
        <v>3</v>
      </c>
      <c r="AF517" s="98" t="str">
        <f>VLOOKUP(AE517,MiscData!$AC$5:$AD$77,2,FALSE)</f>
        <v>LGUM_204</v>
      </c>
      <c r="AG517" s="98" t="str">
        <f>VLOOKUP(AF517,MiscData!$AD$5:$AE$77,2,FALSE)</f>
        <v>RLS</v>
      </c>
      <c r="AP517" s="98" t="s">
        <v>335</v>
      </c>
      <c r="AR517" s="98">
        <v>0</v>
      </c>
    </row>
    <row r="518" spans="1:44">
      <c r="A518" s="108">
        <f t="shared" si="207"/>
        <v>515</v>
      </c>
      <c r="B518" s="109" t="str">
        <f t="shared" si="213"/>
        <v>Aug 2015</v>
      </c>
      <c r="C518" s="110" t="str">
        <f t="shared" si="214"/>
        <v>RLS</v>
      </c>
      <c r="D518" s="110" t="str">
        <f t="shared" si="215"/>
        <v>LGUM_206</v>
      </c>
      <c r="E518" s="581">
        <f t="shared" si="216"/>
        <v>92</v>
      </c>
      <c r="F518" s="581">
        <f t="shared" si="217"/>
        <v>0</v>
      </c>
      <c r="G518" s="116">
        <f t="shared" si="218"/>
        <v>12.450000000000001</v>
      </c>
      <c r="H518" s="116">
        <f t="shared" si="219"/>
        <v>1.0899999999999999</v>
      </c>
      <c r="I518" s="118">
        <f t="shared" si="230"/>
        <v>1145.4000000000001</v>
      </c>
      <c r="J518" s="118">
        <f t="shared" si="220"/>
        <v>1145.4000000000001</v>
      </c>
      <c r="K518" s="570">
        <f t="shared" si="231"/>
        <v>0</v>
      </c>
      <c r="L518" s="121">
        <f t="shared" si="221"/>
        <v>0</v>
      </c>
      <c r="M518" s="122">
        <f t="shared" si="222"/>
        <v>0</v>
      </c>
      <c r="N518" s="122">
        <f t="shared" si="223"/>
        <v>0</v>
      </c>
      <c r="O518" s="122">
        <f t="shared" si="224"/>
        <v>0</v>
      </c>
      <c r="P518" s="122">
        <f t="shared" si="225"/>
        <v>0</v>
      </c>
      <c r="Q518" s="123">
        <f t="shared" si="226"/>
        <v>1145.4000000000001</v>
      </c>
      <c r="R518" s="123">
        <f t="shared" si="232"/>
        <v>-1145.4000000000001</v>
      </c>
      <c r="S518" s="582">
        <v>0</v>
      </c>
      <c r="T518" s="123">
        <f t="shared" si="233"/>
        <v>-1145.4000000000001</v>
      </c>
      <c r="U518" s="25">
        <f t="shared" si="227"/>
        <v>100.28</v>
      </c>
      <c r="V518" s="123">
        <f t="shared" si="228"/>
        <v>-100.28</v>
      </c>
      <c r="W518" s="334">
        <f t="shared" si="229"/>
        <v>14.72</v>
      </c>
      <c r="Y518" s="109">
        <f>IF(AE518=1,IF(Y517=MiscData!$F$1,EOMONTH(Y517,-11),EOMONTH(Y517,1)),Y517)</f>
        <v>42247</v>
      </c>
      <c r="Z518" s="108" t="str">
        <f t="shared" si="211"/>
        <v>20140101LGUM_206</v>
      </c>
      <c r="AA518" s="126" t="str">
        <f t="shared" si="212"/>
        <v>20140101RLS</v>
      </c>
      <c r="AB518" s="583" t="str">
        <f t="shared" si="234"/>
        <v>206</v>
      </c>
      <c r="AD518" s="98">
        <f>MiscData!$X$5</f>
        <v>20140101</v>
      </c>
      <c r="AE518" s="98">
        <f>IF(AE517+1&gt;MiscData!$AC$77,1,AE517+1)</f>
        <v>4</v>
      </c>
      <c r="AF518" s="98" t="str">
        <f>VLOOKUP(AE518,MiscData!$AC$5:$AD$77,2,FALSE)</f>
        <v>LGUM_206</v>
      </c>
      <c r="AG518" s="98" t="str">
        <f>VLOOKUP(AF518,MiscData!$AD$5:$AE$77,2,FALSE)</f>
        <v>RLS</v>
      </c>
      <c r="AP518" s="98" t="s">
        <v>336</v>
      </c>
      <c r="AR518" s="98">
        <v>0</v>
      </c>
    </row>
    <row r="519" spans="1:44">
      <c r="A519" s="108">
        <f t="shared" ref="A519:A582" si="235">A518+1</f>
        <v>516</v>
      </c>
      <c r="B519" s="109" t="str">
        <f t="shared" si="213"/>
        <v>Aug 2015</v>
      </c>
      <c r="C519" s="110" t="str">
        <f t="shared" si="214"/>
        <v>RLS</v>
      </c>
      <c r="D519" s="110" t="str">
        <f t="shared" si="215"/>
        <v>LGUM_207</v>
      </c>
      <c r="E519" s="581">
        <f t="shared" si="216"/>
        <v>727</v>
      </c>
      <c r="F519" s="581">
        <f t="shared" si="217"/>
        <v>0</v>
      </c>
      <c r="G519" s="116">
        <f t="shared" si="218"/>
        <v>15.54</v>
      </c>
      <c r="H519" s="116">
        <f t="shared" si="219"/>
        <v>4.2000000000000011</v>
      </c>
      <c r="I519" s="118">
        <f t="shared" si="230"/>
        <v>11297.58</v>
      </c>
      <c r="J519" s="118">
        <f t="shared" si="220"/>
        <v>11297.58</v>
      </c>
      <c r="K519" s="570">
        <f t="shared" si="231"/>
        <v>0</v>
      </c>
      <c r="L519" s="121">
        <f t="shared" si="221"/>
        <v>0</v>
      </c>
      <c r="M519" s="122">
        <f t="shared" si="222"/>
        <v>0</v>
      </c>
      <c r="N519" s="122">
        <f t="shared" si="223"/>
        <v>0</v>
      </c>
      <c r="O519" s="122">
        <f t="shared" si="224"/>
        <v>0</v>
      </c>
      <c r="P519" s="122">
        <f t="shared" si="225"/>
        <v>0</v>
      </c>
      <c r="Q519" s="123">
        <f t="shared" si="226"/>
        <v>11297.58</v>
      </c>
      <c r="R519" s="123">
        <f t="shared" si="232"/>
        <v>-11297.58</v>
      </c>
      <c r="S519" s="582">
        <v>0</v>
      </c>
      <c r="T519" s="123">
        <f t="shared" si="233"/>
        <v>-11297.58</v>
      </c>
      <c r="U519" s="25">
        <f t="shared" si="227"/>
        <v>3053.4</v>
      </c>
      <c r="V519" s="123">
        <f t="shared" si="228"/>
        <v>-3053.4</v>
      </c>
      <c r="W519" s="334">
        <f t="shared" si="229"/>
        <v>159.94</v>
      </c>
      <c r="Y519" s="109">
        <f>IF(AE519=1,IF(Y518=MiscData!$F$1,EOMONTH(Y518,-11),EOMONTH(Y518,1)),Y518)</f>
        <v>42247</v>
      </c>
      <c r="Z519" s="108" t="str">
        <f t="shared" si="211"/>
        <v>20140101LGUM_207</v>
      </c>
      <c r="AA519" s="126" t="str">
        <f t="shared" si="212"/>
        <v>20140101RLS</v>
      </c>
      <c r="AB519" s="583" t="str">
        <f t="shared" si="234"/>
        <v>207</v>
      </c>
      <c r="AD519" s="98">
        <f>MiscData!$X$5</f>
        <v>20140101</v>
      </c>
      <c r="AE519" s="98">
        <f>IF(AE518+1&gt;MiscData!$AC$77,1,AE518+1)</f>
        <v>5</v>
      </c>
      <c r="AF519" s="98" t="str">
        <f>VLOOKUP(AE519,MiscData!$AC$5:$AD$77,2,FALSE)</f>
        <v>LGUM_207</v>
      </c>
      <c r="AG519" s="98" t="str">
        <f>VLOOKUP(AF519,MiscData!$AD$5:$AE$77,2,FALSE)</f>
        <v>RLS</v>
      </c>
      <c r="AP519" s="98" t="s">
        <v>337</v>
      </c>
      <c r="AR519" s="98">
        <v>0</v>
      </c>
    </row>
    <row r="520" spans="1:44">
      <c r="A520" s="108">
        <f t="shared" si="235"/>
        <v>517</v>
      </c>
      <c r="B520" s="109" t="str">
        <f t="shared" si="213"/>
        <v>Aug 2015</v>
      </c>
      <c r="C520" s="110" t="str">
        <f t="shared" si="214"/>
        <v>RLS</v>
      </c>
      <c r="D520" s="110" t="str">
        <f t="shared" si="215"/>
        <v>LGUM_208</v>
      </c>
      <c r="E520" s="581">
        <f t="shared" si="216"/>
        <v>1389</v>
      </c>
      <c r="F520" s="581">
        <f t="shared" si="217"/>
        <v>0</v>
      </c>
      <c r="G520" s="116">
        <f t="shared" si="218"/>
        <v>14.24</v>
      </c>
      <c r="H520" s="116">
        <f t="shared" si="219"/>
        <v>1.9100000000000001</v>
      </c>
      <c r="I520" s="118">
        <f t="shared" si="230"/>
        <v>19779.36</v>
      </c>
      <c r="J520" s="118">
        <f t="shared" si="220"/>
        <v>19779.36</v>
      </c>
      <c r="K520" s="570">
        <f t="shared" si="231"/>
        <v>0</v>
      </c>
      <c r="L520" s="121">
        <f t="shared" si="221"/>
        <v>0</v>
      </c>
      <c r="M520" s="122">
        <f t="shared" si="222"/>
        <v>0</v>
      </c>
      <c r="N520" s="122">
        <f t="shared" si="223"/>
        <v>0</v>
      </c>
      <c r="O520" s="122">
        <f t="shared" si="224"/>
        <v>0</v>
      </c>
      <c r="P520" s="122">
        <f t="shared" si="225"/>
        <v>0</v>
      </c>
      <c r="Q520" s="123">
        <f t="shared" si="226"/>
        <v>19779.36</v>
      </c>
      <c r="R520" s="123">
        <f t="shared" si="232"/>
        <v>-19779.36</v>
      </c>
      <c r="S520" s="582">
        <v>0</v>
      </c>
      <c r="T520" s="123">
        <f t="shared" si="233"/>
        <v>-19779.36</v>
      </c>
      <c r="U520" s="25">
        <f t="shared" si="227"/>
        <v>2652.99</v>
      </c>
      <c r="V520" s="123">
        <f t="shared" si="228"/>
        <v>-2652.99</v>
      </c>
      <c r="W520" s="334">
        <f t="shared" si="229"/>
        <v>222.24</v>
      </c>
      <c r="Y520" s="109">
        <f>IF(AE520=1,IF(Y519=MiscData!$F$1,EOMONTH(Y519,-11),EOMONTH(Y519,1)),Y519)</f>
        <v>42247</v>
      </c>
      <c r="Z520" s="108" t="str">
        <f t="shared" ref="Z520:Z553" si="236">CONCATENATE(AD520&amp;AF520)</f>
        <v>20140101LGUM_208</v>
      </c>
      <c r="AA520" s="126" t="str">
        <f t="shared" ref="AA520:AA553" si="237">CONCATENATE(AD520&amp;AG520)</f>
        <v>20140101RLS</v>
      </c>
      <c r="AB520" s="583" t="str">
        <f t="shared" si="234"/>
        <v>208</v>
      </c>
      <c r="AD520" s="98">
        <f>MiscData!$X$5</f>
        <v>20140101</v>
      </c>
      <c r="AE520" s="98">
        <f>IF(AE519+1&gt;MiscData!$AC$77,1,AE519+1)</f>
        <v>6</v>
      </c>
      <c r="AF520" s="98" t="str">
        <f>VLOOKUP(AE520,MiscData!$AC$5:$AD$77,2,FALSE)</f>
        <v>LGUM_208</v>
      </c>
      <c r="AG520" s="98" t="str">
        <f>VLOOKUP(AF520,MiscData!$AD$5:$AE$77,2,FALSE)</f>
        <v>RLS</v>
      </c>
      <c r="AP520" s="98" t="s">
        <v>137</v>
      </c>
      <c r="AR520" s="98">
        <v>0</v>
      </c>
    </row>
    <row r="521" spans="1:44">
      <c r="A521" s="108">
        <f t="shared" si="235"/>
        <v>518</v>
      </c>
      <c r="B521" s="109" t="str">
        <f t="shared" si="213"/>
        <v>Aug 2015</v>
      </c>
      <c r="C521" s="110" t="str">
        <f t="shared" si="214"/>
        <v>RLS</v>
      </c>
      <c r="D521" s="110" t="str">
        <f t="shared" si="215"/>
        <v>LGUM_209</v>
      </c>
      <c r="E521" s="581">
        <f t="shared" si="216"/>
        <v>42</v>
      </c>
      <c r="F521" s="581">
        <f t="shared" si="217"/>
        <v>0</v>
      </c>
      <c r="G521" s="116">
        <f t="shared" si="218"/>
        <v>27.69</v>
      </c>
      <c r="H521" s="116">
        <f t="shared" si="219"/>
        <v>10.170000000000002</v>
      </c>
      <c r="I521" s="118">
        <f t="shared" si="230"/>
        <v>1162.98</v>
      </c>
      <c r="J521" s="118">
        <f t="shared" si="220"/>
        <v>1162.98</v>
      </c>
      <c r="K521" s="570">
        <f t="shared" si="231"/>
        <v>0</v>
      </c>
      <c r="L521" s="121">
        <f t="shared" si="221"/>
        <v>0</v>
      </c>
      <c r="M521" s="122">
        <f t="shared" si="222"/>
        <v>0</v>
      </c>
      <c r="N521" s="122">
        <f t="shared" si="223"/>
        <v>0</v>
      </c>
      <c r="O521" s="122">
        <f t="shared" si="224"/>
        <v>0</v>
      </c>
      <c r="P521" s="122">
        <f t="shared" si="225"/>
        <v>0</v>
      </c>
      <c r="Q521" s="123">
        <f t="shared" si="226"/>
        <v>1162.98</v>
      </c>
      <c r="R521" s="123">
        <f t="shared" si="232"/>
        <v>-1162.98</v>
      </c>
      <c r="S521" s="582">
        <v>0</v>
      </c>
      <c r="T521" s="123">
        <f t="shared" si="233"/>
        <v>-1162.98</v>
      </c>
      <c r="U521" s="25">
        <f t="shared" si="227"/>
        <v>427.14</v>
      </c>
      <c r="V521" s="123">
        <f t="shared" si="228"/>
        <v>-427.14</v>
      </c>
      <c r="W521" s="334">
        <f t="shared" si="229"/>
        <v>17.22</v>
      </c>
      <c r="Y521" s="109">
        <f>IF(AE521=1,IF(Y520=MiscData!$F$1,EOMONTH(Y520,-11),EOMONTH(Y520,1)),Y520)</f>
        <v>42247</v>
      </c>
      <c r="Z521" s="108" t="str">
        <f t="shared" si="236"/>
        <v>20140101LGUM_209</v>
      </c>
      <c r="AA521" s="126" t="str">
        <f t="shared" si="237"/>
        <v>20140101RLS</v>
      </c>
      <c r="AB521" s="583" t="str">
        <f t="shared" si="234"/>
        <v>209</v>
      </c>
      <c r="AD521" s="98">
        <f>MiscData!$X$5</f>
        <v>20140101</v>
      </c>
      <c r="AE521" s="98">
        <f>IF(AE520+1&gt;MiscData!$AC$77,1,AE520+1)</f>
        <v>7</v>
      </c>
      <c r="AF521" s="98" t="str">
        <f>VLOOKUP(AE521,MiscData!$AC$5:$AD$77,2,FALSE)</f>
        <v>LGUM_209</v>
      </c>
      <c r="AG521" s="98" t="str">
        <f>VLOOKUP(AF521,MiscData!$AD$5:$AE$77,2,FALSE)</f>
        <v>RLS</v>
      </c>
      <c r="AP521" s="98" t="s">
        <v>138</v>
      </c>
      <c r="AR521" s="98">
        <v>24.09</v>
      </c>
    </row>
    <row r="522" spans="1:44">
      <c r="A522" s="108">
        <f t="shared" si="235"/>
        <v>519</v>
      </c>
      <c r="B522" s="109" t="str">
        <f t="shared" si="213"/>
        <v>Aug 2015</v>
      </c>
      <c r="C522" s="110" t="str">
        <f t="shared" si="214"/>
        <v>RLS</v>
      </c>
      <c r="D522" s="110" t="str">
        <f t="shared" si="215"/>
        <v>LGUM_210</v>
      </c>
      <c r="E522" s="581">
        <f t="shared" si="216"/>
        <v>325</v>
      </c>
      <c r="F522" s="581">
        <f t="shared" si="217"/>
        <v>0</v>
      </c>
      <c r="G522" s="116">
        <f t="shared" si="218"/>
        <v>28.89</v>
      </c>
      <c r="H522" s="116">
        <f t="shared" si="219"/>
        <v>10.170000000000002</v>
      </c>
      <c r="I522" s="118">
        <f t="shared" si="230"/>
        <v>9389.25</v>
      </c>
      <c r="J522" s="118">
        <f t="shared" si="220"/>
        <v>9389.25</v>
      </c>
      <c r="K522" s="570">
        <f t="shared" si="231"/>
        <v>0</v>
      </c>
      <c r="L522" s="121">
        <f t="shared" si="221"/>
        <v>0</v>
      </c>
      <c r="M522" s="122">
        <f t="shared" si="222"/>
        <v>0</v>
      </c>
      <c r="N522" s="122">
        <f t="shared" si="223"/>
        <v>0</v>
      </c>
      <c r="O522" s="122">
        <f t="shared" si="224"/>
        <v>0</v>
      </c>
      <c r="P522" s="122">
        <f t="shared" si="225"/>
        <v>0</v>
      </c>
      <c r="Q522" s="123">
        <f t="shared" si="226"/>
        <v>9389.25</v>
      </c>
      <c r="R522" s="123">
        <f t="shared" si="232"/>
        <v>-9389.25</v>
      </c>
      <c r="S522" s="582">
        <v>0</v>
      </c>
      <c r="T522" s="123">
        <f t="shared" si="233"/>
        <v>-9389.25</v>
      </c>
      <c r="U522" s="25">
        <f t="shared" si="227"/>
        <v>3305.25</v>
      </c>
      <c r="V522" s="123">
        <f t="shared" si="228"/>
        <v>-3305.25</v>
      </c>
      <c r="W522" s="334">
        <f t="shared" si="229"/>
        <v>133.25</v>
      </c>
      <c r="Y522" s="109">
        <f>IF(AE522=1,IF(Y521=MiscData!$F$1,EOMONTH(Y521,-11),EOMONTH(Y521,1)),Y521)</f>
        <v>42247</v>
      </c>
      <c r="Z522" s="108" t="str">
        <f t="shared" si="236"/>
        <v>20140101LGUM_210</v>
      </c>
      <c r="AA522" s="126" t="str">
        <f t="shared" si="237"/>
        <v>20140101RLS</v>
      </c>
      <c r="AB522" s="583" t="str">
        <f t="shared" si="234"/>
        <v>210</v>
      </c>
      <c r="AD522" s="98">
        <f>MiscData!$X$5</f>
        <v>20140101</v>
      </c>
      <c r="AE522" s="98">
        <f>IF(AE521+1&gt;MiscData!$AC$77,1,AE521+1)</f>
        <v>8</v>
      </c>
      <c r="AF522" s="98" t="str">
        <f>VLOOKUP(AE522,MiscData!$AC$5:$AD$77,2,FALSE)</f>
        <v>LGUM_210</v>
      </c>
      <c r="AG522" s="98" t="str">
        <f>VLOOKUP(AF522,MiscData!$AD$5:$AE$77,2,FALSE)</f>
        <v>RLS</v>
      </c>
      <c r="AP522" s="98" t="s">
        <v>139</v>
      </c>
      <c r="AR522" s="98">
        <v>-9.5</v>
      </c>
    </row>
    <row r="523" spans="1:44">
      <c r="A523" s="108">
        <f t="shared" si="235"/>
        <v>520</v>
      </c>
      <c r="B523" s="109" t="str">
        <f t="shared" si="213"/>
        <v>Aug 2015</v>
      </c>
      <c r="C523" s="110" t="str">
        <f t="shared" si="214"/>
        <v>RLS</v>
      </c>
      <c r="D523" s="110" t="str">
        <f t="shared" si="215"/>
        <v>LGUM_252</v>
      </c>
      <c r="E523" s="581">
        <f t="shared" si="216"/>
        <v>3903</v>
      </c>
      <c r="F523" s="581">
        <f t="shared" si="217"/>
        <v>0</v>
      </c>
      <c r="G523" s="116">
        <f t="shared" si="218"/>
        <v>9.57</v>
      </c>
      <c r="H523" s="116">
        <f t="shared" si="219"/>
        <v>1.9099999999999993</v>
      </c>
      <c r="I523" s="118">
        <f t="shared" si="230"/>
        <v>37351.71</v>
      </c>
      <c r="J523" s="118">
        <f t="shared" si="220"/>
        <v>37351.71</v>
      </c>
      <c r="K523" s="570">
        <f t="shared" si="231"/>
        <v>0</v>
      </c>
      <c r="L523" s="121">
        <f t="shared" si="221"/>
        <v>0</v>
      </c>
      <c r="M523" s="122">
        <f t="shared" si="222"/>
        <v>0</v>
      </c>
      <c r="N523" s="122">
        <f t="shared" si="223"/>
        <v>0</v>
      </c>
      <c r="O523" s="122">
        <f t="shared" si="224"/>
        <v>0</v>
      </c>
      <c r="P523" s="122">
        <f t="shared" si="225"/>
        <v>0</v>
      </c>
      <c r="Q523" s="123">
        <f t="shared" si="226"/>
        <v>37351.71</v>
      </c>
      <c r="R523" s="123">
        <f t="shared" si="232"/>
        <v>-37351.71</v>
      </c>
      <c r="S523" s="582">
        <v>0</v>
      </c>
      <c r="T523" s="123">
        <f t="shared" si="233"/>
        <v>-37351.71</v>
      </c>
      <c r="U523" s="25">
        <f t="shared" si="227"/>
        <v>7454.73</v>
      </c>
      <c r="V523" s="123">
        <f t="shared" si="228"/>
        <v>-7454.73</v>
      </c>
      <c r="W523" s="334">
        <f t="shared" si="229"/>
        <v>624.48</v>
      </c>
      <c r="Y523" s="109">
        <f>IF(AE523=1,IF(Y522=MiscData!$F$1,EOMONTH(Y522,-11),EOMONTH(Y522,1)),Y522)</f>
        <v>42247</v>
      </c>
      <c r="Z523" s="108" t="str">
        <f t="shared" si="236"/>
        <v>20140101LGUM_252</v>
      </c>
      <c r="AA523" s="126" t="str">
        <f t="shared" si="237"/>
        <v>20140101RLS</v>
      </c>
      <c r="AB523" s="583" t="str">
        <f t="shared" si="234"/>
        <v>252</v>
      </c>
      <c r="AD523" s="98">
        <f>MiscData!$X$5</f>
        <v>20140101</v>
      </c>
      <c r="AE523" s="98">
        <f>IF(AE522+1&gt;MiscData!$AC$77,1,AE522+1)</f>
        <v>9</v>
      </c>
      <c r="AF523" s="98" t="str">
        <f>VLOOKUP(AE523,MiscData!$AC$5:$AD$77,2,FALSE)</f>
        <v>LGUM_252</v>
      </c>
      <c r="AG523" s="98" t="str">
        <f>VLOOKUP(AF523,MiscData!$AD$5:$AE$77,2,FALSE)</f>
        <v>RLS</v>
      </c>
      <c r="AP523" s="98" t="s">
        <v>140</v>
      </c>
      <c r="AR523" s="98">
        <v>-8.7799999999999994</v>
      </c>
    </row>
    <row r="524" spans="1:44">
      <c r="A524" s="108">
        <f t="shared" si="235"/>
        <v>521</v>
      </c>
      <c r="B524" s="109" t="str">
        <f t="shared" si="213"/>
        <v>Aug 2015</v>
      </c>
      <c r="C524" s="110" t="str">
        <f t="shared" si="214"/>
        <v>RLS</v>
      </c>
      <c r="D524" s="110" t="str">
        <f t="shared" si="215"/>
        <v>LGUM_266</v>
      </c>
      <c r="E524" s="581">
        <f t="shared" si="216"/>
        <v>2019</v>
      </c>
      <c r="F524" s="581">
        <f t="shared" si="217"/>
        <v>0</v>
      </c>
      <c r="G524" s="116">
        <f t="shared" si="218"/>
        <v>27.34</v>
      </c>
      <c r="H524" s="116">
        <f t="shared" si="219"/>
        <v>2.8000000000000007</v>
      </c>
      <c r="I524" s="118">
        <f t="shared" si="230"/>
        <v>55199.46</v>
      </c>
      <c r="J524" s="118">
        <f t="shared" si="220"/>
        <v>55199.46</v>
      </c>
      <c r="K524" s="570">
        <f t="shared" si="231"/>
        <v>0</v>
      </c>
      <c r="L524" s="121">
        <f t="shared" si="221"/>
        <v>0</v>
      </c>
      <c r="M524" s="122">
        <f t="shared" si="222"/>
        <v>0</v>
      </c>
      <c r="N524" s="122">
        <f t="shared" si="223"/>
        <v>0</v>
      </c>
      <c r="O524" s="122">
        <f t="shared" si="224"/>
        <v>0</v>
      </c>
      <c r="P524" s="122">
        <f t="shared" si="225"/>
        <v>0</v>
      </c>
      <c r="Q524" s="123">
        <f t="shared" si="226"/>
        <v>55199.46</v>
      </c>
      <c r="R524" s="123">
        <f t="shared" si="232"/>
        <v>-55199.46</v>
      </c>
      <c r="S524" s="582">
        <v>0</v>
      </c>
      <c r="T524" s="123">
        <f t="shared" si="233"/>
        <v>-55199.46</v>
      </c>
      <c r="U524" s="25">
        <f t="shared" si="227"/>
        <v>5653.2</v>
      </c>
      <c r="V524" s="123">
        <f t="shared" si="228"/>
        <v>-5653.2</v>
      </c>
      <c r="W524" s="334">
        <f t="shared" si="229"/>
        <v>545.13</v>
      </c>
      <c r="Y524" s="109">
        <f>IF(AE524=1,IF(Y523=MiscData!$F$1,EOMONTH(Y523,-11),EOMONTH(Y523,1)),Y523)</f>
        <v>42247</v>
      </c>
      <c r="Z524" s="108" t="str">
        <f t="shared" si="236"/>
        <v>20140101LGUM_266</v>
      </c>
      <c r="AA524" s="126" t="str">
        <f t="shared" si="237"/>
        <v>20140101RLS</v>
      </c>
      <c r="AB524" s="583" t="str">
        <f t="shared" si="234"/>
        <v>266</v>
      </c>
      <c r="AD524" s="98">
        <f>MiscData!$X$5</f>
        <v>20140101</v>
      </c>
      <c r="AE524" s="98">
        <f>IF(AE523+1&gt;MiscData!$AC$77,1,AE523+1)</f>
        <v>10</v>
      </c>
      <c r="AF524" s="98" t="str">
        <f>VLOOKUP(AE524,MiscData!$AC$5:$AD$77,2,FALSE)</f>
        <v>LGUM_266</v>
      </c>
      <c r="AG524" s="98" t="str">
        <f>VLOOKUP(AF524,MiscData!$AD$5:$AE$77,2,FALSE)</f>
        <v>RLS</v>
      </c>
      <c r="AP524" s="98" t="s">
        <v>141</v>
      </c>
      <c r="AR524" s="98">
        <v>0</v>
      </c>
    </row>
    <row r="525" spans="1:44">
      <c r="A525" s="108">
        <f t="shared" si="235"/>
        <v>522</v>
      </c>
      <c r="B525" s="109" t="str">
        <f t="shared" si="213"/>
        <v>Aug 2015</v>
      </c>
      <c r="C525" s="110" t="str">
        <f t="shared" si="214"/>
        <v>RLS</v>
      </c>
      <c r="D525" s="110" t="str">
        <f t="shared" si="215"/>
        <v>LGUM_267</v>
      </c>
      <c r="E525" s="581">
        <f t="shared" si="216"/>
        <v>2263</v>
      </c>
      <c r="F525" s="581">
        <f t="shared" si="217"/>
        <v>0</v>
      </c>
      <c r="G525" s="116">
        <f t="shared" si="218"/>
        <v>31.4</v>
      </c>
      <c r="H525" s="116">
        <f t="shared" si="219"/>
        <v>4.4499999999999993</v>
      </c>
      <c r="I525" s="118">
        <f t="shared" si="230"/>
        <v>71058.2</v>
      </c>
      <c r="J525" s="118">
        <f t="shared" si="220"/>
        <v>71058.2</v>
      </c>
      <c r="K525" s="570">
        <f t="shared" si="231"/>
        <v>0</v>
      </c>
      <c r="L525" s="121">
        <f t="shared" si="221"/>
        <v>0</v>
      </c>
      <c r="M525" s="122">
        <f t="shared" si="222"/>
        <v>0</v>
      </c>
      <c r="N525" s="122">
        <f t="shared" si="223"/>
        <v>0</v>
      </c>
      <c r="O525" s="122">
        <f t="shared" si="224"/>
        <v>0</v>
      </c>
      <c r="P525" s="122">
        <f t="shared" si="225"/>
        <v>0</v>
      </c>
      <c r="Q525" s="123">
        <f t="shared" si="226"/>
        <v>71058.2</v>
      </c>
      <c r="R525" s="123">
        <f t="shared" si="232"/>
        <v>-71058.2</v>
      </c>
      <c r="S525" s="582">
        <v>0</v>
      </c>
      <c r="T525" s="123">
        <f t="shared" si="233"/>
        <v>-71058.2</v>
      </c>
      <c r="U525" s="25">
        <f t="shared" si="227"/>
        <v>10070.35</v>
      </c>
      <c r="V525" s="123">
        <f t="shared" si="228"/>
        <v>-10070.35</v>
      </c>
      <c r="W525" s="334">
        <f t="shared" si="229"/>
        <v>656.27</v>
      </c>
      <c r="Y525" s="109">
        <f>IF(AE525=1,IF(Y524=MiscData!$F$1,EOMONTH(Y524,-11),EOMONTH(Y524,1)),Y524)</f>
        <v>42247</v>
      </c>
      <c r="Z525" s="108" t="str">
        <f t="shared" si="236"/>
        <v>20140101LGUM_267</v>
      </c>
      <c r="AA525" s="126" t="str">
        <f t="shared" si="237"/>
        <v>20140101RLS</v>
      </c>
      <c r="AB525" s="583" t="str">
        <f t="shared" si="234"/>
        <v>267</v>
      </c>
      <c r="AD525" s="98">
        <f>MiscData!$X$5</f>
        <v>20140101</v>
      </c>
      <c r="AE525" s="98">
        <f>IF(AE524+1&gt;MiscData!$AC$77,1,AE524+1)</f>
        <v>11</v>
      </c>
      <c r="AF525" s="98" t="str">
        <f>VLOOKUP(AE525,MiscData!$AC$5:$AD$77,2,FALSE)</f>
        <v>LGUM_267</v>
      </c>
      <c r="AG525" s="98" t="str">
        <f>VLOOKUP(AF525,MiscData!$AD$5:$AE$77,2,FALSE)</f>
        <v>RLS</v>
      </c>
      <c r="AP525" s="98" t="s">
        <v>465</v>
      </c>
      <c r="AR525" s="98">
        <v>0</v>
      </c>
    </row>
    <row r="526" spans="1:44">
      <c r="A526" s="108">
        <f t="shared" si="235"/>
        <v>523</v>
      </c>
      <c r="B526" s="109" t="str">
        <f t="shared" si="213"/>
        <v>Aug 2015</v>
      </c>
      <c r="C526" s="110" t="str">
        <f t="shared" si="214"/>
        <v>RLS</v>
      </c>
      <c r="D526" s="110" t="str">
        <f t="shared" si="215"/>
        <v>LGUM_274</v>
      </c>
      <c r="E526" s="581">
        <f t="shared" si="216"/>
        <v>16754</v>
      </c>
      <c r="F526" s="581">
        <f t="shared" si="217"/>
        <v>0</v>
      </c>
      <c r="G526" s="116">
        <f t="shared" si="218"/>
        <v>17.189999999999998</v>
      </c>
      <c r="H526" s="116">
        <f t="shared" si="219"/>
        <v>1.2699999999999996</v>
      </c>
      <c r="I526" s="118">
        <f t="shared" si="230"/>
        <v>288001.26</v>
      </c>
      <c r="J526" s="118">
        <f t="shared" si="220"/>
        <v>288001.26</v>
      </c>
      <c r="K526" s="570">
        <f t="shared" si="231"/>
        <v>0</v>
      </c>
      <c r="L526" s="121">
        <f t="shared" si="221"/>
        <v>0</v>
      </c>
      <c r="M526" s="122">
        <f t="shared" si="222"/>
        <v>0</v>
      </c>
      <c r="N526" s="122">
        <f t="shared" si="223"/>
        <v>0</v>
      </c>
      <c r="O526" s="122">
        <f t="shared" si="224"/>
        <v>0</v>
      </c>
      <c r="P526" s="122">
        <f t="shared" si="225"/>
        <v>0</v>
      </c>
      <c r="Q526" s="123">
        <f t="shared" si="226"/>
        <v>288001.26</v>
      </c>
      <c r="R526" s="123">
        <f t="shared" si="232"/>
        <v>-288001.26</v>
      </c>
      <c r="S526" s="582">
        <v>0</v>
      </c>
      <c r="T526" s="123">
        <f t="shared" si="233"/>
        <v>-288001.26</v>
      </c>
      <c r="U526" s="25">
        <f t="shared" si="227"/>
        <v>21277.58</v>
      </c>
      <c r="V526" s="123">
        <f t="shared" si="228"/>
        <v>-21277.58</v>
      </c>
      <c r="W526" s="334">
        <f t="shared" si="229"/>
        <v>4523.58</v>
      </c>
      <c r="Y526" s="109">
        <f>IF(AE526=1,IF(Y525=MiscData!$F$1,EOMONTH(Y525,-11),EOMONTH(Y525,1)),Y525)</f>
        <v>42247</v>
      </c>
      <c r="Z526" s="108" t="str">
        <f t="shared" si="236"/>
        <v>20140101LGUM_274</v>
      </c>
      <c r="AA526" s="126" t="str">
        <f t="shared" si="237"/>
        <v>20140101RLS</v>
      </c>
      <c r="AB526" s="583" t="str">
        <f t="shared" si="234"/>
        <v>274</v>
      </c>
      <c r="AD526" s="98">
        <f>MiscData!$X$5</f>
        <v>20140101</v>
      </c>
      <c r="AE526" s="98">
        <f>IF(AE525+1&gt;MiscData!$AC$77,1,AE525+1)</f>
        <v>12</v>
      </c>
      <c r="AF526" s="98" t="str">
        <f>VLOOKUP(AE526,MiscData!$AC$5:$AD$77,2,FALSE)</f>
        <v>LGUM_274</v>
      </c>
      <c r="AG526" s="98" t="str">
        <f>VLOOKUP(AF526,MiscData!$AD$5:$AE$77,2,FALSE)</f>
        <v>RLS</v>
      </c>
      <c r="AP526" s="98" t="s">
        <v>142</v>
      </c>
      <c r="AR526" s="98">
        <v>0</v>
      </c>
    </row>
    <row r="527" spans="1:44">
      <c r="A527" s="108">
        <f t="shared" si="235"/>
        <v>524</v>
      </c>
      <c r="B527" s="109" t="str">
        <f t="shared" si="213"/>
        <v>Aug 2015</v>
      </c>
      <c r="C527" s="110" t="str">
        <f t="shared" si="214"/>
        <v>RLS</v>
      </c>
      <c r="D527" s="110" t="str">
        <f t="shared" si="215"/>
        <v>LGUM_275</v>
      </c>
      <c r="E527" s="581">
        <f t="shared" si="216"/>
        <v>517</v>
      </c>
      <c r="F527" s="581">
        <f t="shared" si="217"/>
        <v>0</v>
      </c>
      <c r="G527" s="116">
        <f t="shared" si="218"/>
        <v>24.89</v>
      </c>
      <c r="H527" s="116">
        <f t="shared" si="219"/>
        <v>1.7899999999999991</v>
      </c>
      <c r="I527" s="118">
        <f t="shared" si="230"/>
        <v>12868.13</v>
      </c>
      <c r="J527" s="118">
        <f t="shared" si="220"/>
        <v>12868.13</v>
      </c>
      <c r="K527" s="570">
        <f t="shared" si="231"/>
        <v>0</v>
      </c>
      <c r="L527" s="121">
        <f t="shared" si="221"/>
        <v>0</v>
      </c>
      <c r="M527" s="122">
        <f t="shared" si="222"/>
        <v>0</v>
      </c>
      <c r="N527" s="122">
        <f t="shared" si="223"/>
        <v>0</v>
      </c>
      <c r="O527" s="122">
        <f t="shared" si="224"/>
        <v>0</v>
      </c>
      <c r="P527" s="122">
        <f t="shared" si="225"/>
        <v>0</v>
      </c>
      <c r="Q527" s="123">
        <f t="shared" si="226"/>
        <v>12868.13</v>
      </c>
      <c r="R527" s="123">
        <f t="shared" si="232"/>
        <v>-12868.13</v>
      </c>
      <c r="S527" s="582">
        <v>0</v>
      </c>
      <c r="T527" s="123">
        <f t="shared" si="233"/>
        <v>-12868.13</v>
      </c>
      <c r="U527" s="25">
        <f t="shared" si="227"/>
        <v>925.43</v>
      </c>
      <c r="V527" s="123">
        <f t="shared" si="228"/>
        <v>-925.43</v>
      </c>
      <c r="W527" s="334">
        <f t="shared" si="229"/>
        <v>124.08</v>
      </c>
      <c r="Y527" s="109">
        <f>IF(AE527=1,IF(Y526=MiscData!$F$1,EOMONTH(Y526,-11),EOMONTH(Y526,1)),Y526)</f>
        <v>42247</v>
      </c>
      <c r="Z527" s="108" t="str">
        <f t="shared" si="236"/>
        <v>20140101LGUM_275</v>
      </c>
      <c r="AA527" s="126" t="str">
        <f t="shared" si="237"/>
        <v>20140101RLS</v>
      </c>
      <c r="AB527" s="583" t="str">
        <f t="shared" si="234"/>
        <v>275</v>
      </c>
      <c r="AD527" s="98">
        <f>MiscData!$X$5</f>
        <v>20140101</v>
      </c>
      <c r="AE527" s="98">
        <f>IF(AE526+1&gt;MiscData!$AC$77,1,AE526+1)</f>
        <v>13</v>
      </c>
      <c r="AF527" s="98" t="str">
        <f>VLOOKUP(AE527,MiscData!$AC$5:$AD$77,2,FALSE)</f>
        <v>LGUM_275</v>
      </c>
      <c r="AG527" s="98" t="str">
        <f>VLOOKUP(AF527,MiscData!$AD$5:$AE$77,2,FALSE)</f>
        <v>RLS</v>
      </c>
      <c r="AP527" s="98" t="s">
        <v>143</v>
      </c>
      <c r="AR527" s="98">
        <v>0</v>
      </c>
    </row>
    <row r="528" spans="1:44">
      <c r="A528" s="108">
        <f t="shared" si="235"/>
        <v>525</v>
      </c>
      <c r="B528" s="109" t="str">
        <f t="shared" si="213"/>
        <v>Aug 2015</v>
      </c>
      <c r="C528" s="110" t="str">
        <f t="shared" si="214"/>
        <v>RLS</v>
      </c>
      <c r="D528" s="110" t="str">
        <f t="shared" si="215"/>
        <v>LGUM_276</v>
      </c>
      <c r="E528" s="581">
        <f t="shared" si="216"/>
        <v>1286</v>
      </c>
      <c r="F528" s="581">
        <f t="shared" si="217"/>
        <v>0</v>
      </c>
      <c r="G528" s="116">
        <f t="shared" si="218"/>
        <v>14.17</v>
      </c>
      <c r="H528" s="116">
        <f t="shared" si="219"/>
        <v>0.88000000000000078</v>
      </c>
      <c r="I528" s="118">
        <f t="shared" si="230"/>
        <v>18222.62</v>
      </c>
      <c r="J528" s="118">
        <f t="shared" si="220"/>
        <v>18222.62</v>
      </c>
      <c r="K528" s="570">
        <f t="shared" si="231"/>
        <v>0</v>
      </c>
      <c r="L528" s="121">
        <f t="shared" si="221"/>
        <v>0</v>
      </c>
      <c r="M528" s="122">
        <f t="shared" si="222"/>
        <v>0</v>
      </c>
      <c r="N528" s="122">
        <f t="shared" si="223"/>
        <v>0</v>
      </c>
      <c r="O528" s="122">
        <f t="shared" si="224"/>
        <v>0</v>
      </c>
      <c r="P528" s="122">
        <f t="shared" si="225"/>
        <v>0</v>
      </c>
      <c r="Q528" s="123">
        <f t="shared" si="226"/>
        <v>18222.62</v>
      </c>
      <c r="R528" s="123">
        <f t="shared" si="232"/>
        <v>-18222.62</v>
      </c>
      <c r="S528" s="582">
        <v>0</v>
      </c>
      <c r="T528" s="123">
        <f t="shared" si="233"/>
        <v>-18222.62</v>
      </c>
      <c r="U528" s="25">
        <f t="shared" si="227"/>
        <v>1131.68</v>
      </c>
      <c r="V528" s="123">
        <f t="shared" si="228"/>
        <v>-1131.68</v>
      </c>
      <c r="W528" s="334">
        <f t="shared" si="229"/>
        <v>334.36</v>
      </c>
      <c r="Y528" s="109">
        <f>IF(AE528=1,IF(Y527=MiscData!$F$1,EOMONTH(Y527,-11),EOMONTH(Y527,1)),Y527)</f>
        <v>42247</v>
      </c>
      <c r="Z528" s="108" t="str">
        <f t="shared" si="236"/>
        <v>20140101LGUM_276</v>
      </c>
      <c r="AA528" s="126" t="str">
        <f t="shared" si="237"/>
        <v>20140101RLS</v>
      </c>
      <c r="AB528" s="583" t="str">
        <f t="shared" si="234"/>
        <v>276</v>
      </c>
      <c r="AD528" s="98">
        <f>MiscData!$X$5</f>
        <v>20140101</v>
      </c>
      <c r="AE528" s="98">
        <f>IF(AE527+1&gt;MiscData!$AC$77,1,AE527+1)</f>
        <v>14</v>
      </c>
      <c r="AF528" s="98" t="str">
        <f>VLOOKUP(AE528,MiscData!$AC$5:$AD$77,2,FALSE)</f>
        <v>LGUM_276</v>
      </c>
      <c r="AG528" s="98" t="str">
        <f>VLOOKUP(AF528,MiscData!$AD$5:$AE$77,2,FALSE)</f>
        <v>RLS</v>
      </c>
      <c r="AP528" s="98" t="s">
        <v>469</v>
      </c>
      <c r="AR528" s="98">
        <v>0</v>
      </c>
    </row>
    <row r="529" spans="1:44">
      <c r="A529" s="108">
        <f t="shared" si="235"/>
        <v>526</v>
      </c>
      <c r="B529" s="109" t="str">
        <f t="shared" si="213"/>
        <v>Aug 2015</v>
      </c>
      <c r="C529" s="110" t="str">
        <f t="shared" si="214"/>
        <v>RLS</v>
      </c>
      <c r="D529" s="110" t="str">
        <f t="shared" si="215"/>
        <v>LGUM_277</v>
      </c>
      <c r="E529" s="581">
        <f t="shared" si="216"/>
        <v>2246</v>
      </c>
      <c r="F529" s="581">
        <f t="shared" si="217"/>
        <v>0</v>
      </c>
      <c r="G529" s="116">
        <f t="shared" si="218"/>
        <v>22.15</v>
      </c>
      <c r="H529" s="116">
        <f t="shared" si="219"/>
        <v>1.7900000000000027</v>
      </c>
      <c r="I529" s="118">
        <f t="shared" si="230"/>
        <v>49748.9</v>
      </c>
      <c r="J529" s="118">
        <f t="shared" si="220"/>
        <v>49748.9</v>
      </c>
      <c r="K529" s="570">
        <f t="shared" si="231"/>
        <v>0</v>
      </c>
      <c r="L529" s="121">
        <f t="shared" si="221"/>
        <v>0</v>
      </c>
      <c r="M529" s="122">
        <f t="shared" si="222"/>
        <v>0</v>
      </c>
      <c r="N529" s="122">
        <f t="shared" si="223"/>
        <v>0</v>
      </c>
      <c r="O529" s="122">
        <f t="shared" si="224"/>
        <v>0</v>
      </c>
      <c r="P529" s="122">
        <f t="shared" si="225"/>
        <v>0</v>
      </c>
      <c r="Q529" s="123">
        <f t="shared" si="226"/>
        <v>49748.9</v>
      </c>
      <c r="R529" s="123">
        <f t="shared" si="232"/>
        <v>-49748.9</v>
      </c>
      <c r="S529" s="582">
        <v>0</v>
      </c>
      <c r="T529" s="123">
        <f t="shared" si="233"/>
        <v>-49748.9</v>
      </c>
      <c r="U529" s="25">
        <f t="shared" si="227"/>
        <v>4020.34</v>
      </c>
      <c r="V529" s="123">
        <f t="shared" si="228"/>
        <v>-4020.34</v>
      </c>
      <c r="W529" s="334">
        <f t="shared" si="229"/>
        <v>539.04</v>
      </c>
      <c r="Y529" s="109">
        <f>IF(AE529=1,IF(Y528=MiscData!$F$1,EOMONTH(Y528,-11),EOMONTH(Y528,1)),Y528)</f>
        <v>42247</v>
      </c>
      <c r="Z529" s="108" t="str">
        <f t="shared" si="236"/>
        <v>20140101LGUM_277</v>
      </c>
      <c r="AA529" s="126" t="str">
        <f t="shared" si="237"/>
        <v>20140101RLS</v>
      </c>
      <c r="AB529" s="583" t="str">
        <f t="shared" si="234"/>
        <v>277</v>
      </c>
      <c r="AD529" s="98">
        <f>MiscData!$X$5</f>
        <v>20140101</v>
      </c>
      <c r="AE529" s="98">
        <f>IF(AE528+1&gt;MiscData!$AC$77,1,AE528+1)</f>
        <v>15</v>
      </c>
      <c r="AF529" s="98" t="str">
        <f>VLOOKUP(AE529,MiscData!$AC$5:$AD$77,2,FALSE)</f>
        <v>LGUM_277</v>
      </c>
      <c r="AG529" s="98" t="str">
        <f>VLOOKUP(AF529,MiscData!$AD$5:$AE$77,2,FALSE)</f>
        <v>RLS</v>
      </c>
      <c r="AP529" s="98" t="s">
        <v>144</v>
      </c>
      <c r="AR529" s="98">
        <v>0</v>
      </c>
    </row>
    <row r="530" spans="1:44">
      <c r="A530" s="108">
        <f t="shared" si="235"/>
        <v>527</v>
      </c>
      <c r="B530" s="109" t="str">
        <f t="shared" si="213"/>
        <v>Aug 2015</v>
      </c>
      <c r="C530" s="110" t="str">
        <f t="shared" si="214"/>
        <v>RLS</v>
      </c>
      <c r="D530" s="110" t="str">
        <f t="shared" si="215"/>
        <v>LGUM_278</v>
      </c>
      <c r="E530" s="581">
        <f t="shared" si="216"/>
        <v>17</v>
      </c>
      <c r="F530" s="581">
        <f t="shared" si="217"/>
        <v>0</v>
      </c>
      <c r="G530" s="116">
        <f t="shared" si="218"/>
        <v>72.550000000000011</v>
      </c>
      <c r="H530" s="116">
        <f t="shared" si="219"/>
        <v>9.8400000000000034</v>
      </c>
      <c r="I530" s="118">
        <f t="shared" si="230"/>
        <v>1233.3499999999999</v>
      </c>
      <c r="J530" s="118">
        <f t="shared" si="220"/>
        <v>1233.3499999999999</v>
      </c>
      <c r="K530" s="570">
        <f t="shared" si="231"/>
        <v>0</v>
      </c>
      <c r="L530" s="121">
        <f t="shared" si="221"/>
        <v>0</v>
      </c>
      <c r="M530" s="122">
        <f t="shared" si="222"/>
        <v>0</v>
      </c>
      <c r="N530" s="122">
        <f t="shared" si="223"/>
        <v>0</v>
      </c>
      <c r="O530" s="122">
        <f t="shared" si="224"/>
        <v>0</v>
      </c>
      <c r="P530" s="122">
        <f t="shared" si="225"/>
        <v>0</v>
      </c>
      <c r="Q530" s="123">
        <f t="shared" si="226"/>
        <v>1233.3499999999999</v>
      </c>
      <c r="R530" s="123">
        <f t="shared" si="232"/>
        <v>-1233.3499999999999</v>
      </c>
      <c r="S530" s="582">
        <v>0</v>
      </c>
      <c r="T530" s="123">
        <f t="shared" si="233"/>
        <v>-1233.3499999999999</v>
      </c>
      <c r="U530" s="25">
        <f t="shared" si="227"/>
        <v>167.28</v>
      </c>
      <c r="V530" s="123">
        <f t="shared" si="228"/>
        <v>-167.28</v>
      </c>
      <c r="W530" s="334">
        <f t="shared" si="229"/>
        <v>15.3</v>
      </c>
      <c r="Y530" s="109">
        <f>IF(AE530=1,IF(Y529=MiscData!$F$1,EOMONTH(Y529,-11),EOMONTH(Y529,1)),Y529)</f>
        <v>42247</v>
      </c>
      <c r="Z530" s="108" t="str">
        <f t="shared" si="236"/>
        <v>20140101LGUM_278</v>
      </c>
      <c r="AA530" s="126" t="str">
        <f t="shared" si="237"/>
        <v>20140101RLS</v>
      </c>
      <c r="AB530" s="583" t="str">
        <f t="shared" si="234"/>
        <v>278</v>
      </c>
      <c r="AD530" s="98">
        <f>MiscData!$X$5</f>
        <v>20140101</v>
      </c>
      <c r="AE530" s="98">
        <f>IF(AE529+1&gt;MiscData!$AC$77,1,AE529+1)</f>
        <v>16</v>
      </c>
      <c r="AF530" s="98" t="str">
        <f>VLOOKUP(AE530,MiscData!$AC$5:$AD$77,2,FALSE)</f>
        <v>LGUM_278</v>
      </c>
      <c r="AG530" s="98" t="str">
        <f>VLOOKUP(AF530,MiscData!$AD$5:$AE$77,2,FALSE)</f>
        <v>RLS</v>
      </c>
      <c r="AP530" s="98" t="s">
        <v>145</v>
      </c>
      <c r="AR530" s="98">
        <v>0</v>
      </c>
    </row>
    <row r="531" spans="1:44">
      <c r="A531" s="108">
        <f t="shared" si="235"/>
        <v>528</v>
      </c>
      <c r="B531" s="109" t="str">
        <f t="shared" si="213"/>
        <v>Aug 2015</v>
      </c>
      <c r="C531" s="110" t="str">
        <f t="shared" si="214"/>
        <v>RLS</v>
      </c>
      <c r="D531" s="110" t="str">
        <f t="shared" si="215"/>
        <v>LGUM_279</v>
      </c>
      <c r="E531" s="581">
        <f t="shared" si="216"/>
        <v>11</v>
      </c>
      <c r="F531" s="581">
        <f t="shared" si="217"/>
        <v>0</v>
      </c>
      <c r="G531" s="116">
        <f t="shared" si="218"/>
        <v>41.43</v>
      </c>
      <c r="H531" s="116">
        <f t="shared" si="219"/>
        <v>9.8399999999999963</v>
      </c>
      <c r="I531" s="118">
        <f t="shared" si="230"/>
        <v>455.73</v>
      </c>
      <c r="J531" s="118">
        <f t="shared" si="220"/>
        <v>455.73</v>
      </c>
      <c r="K531" s="570">
        <f t="shared" si="231"/>
        <v>0</v>
      </c>
      <c r="L531" s="121">
        <f t="shared" si="221"/>
        <v>0</v>
      </c>
      <c r="M531" s="122">
        <f t="shared" si="222"/>
        <v>0</v>
      </c>
      <c r="N531" s="122">
        <f t="shared" si="223"/>
        <v>0</v>
      </c>
      <c r="O531" s="122">
        <f t="shared" si="224"/>
        <v>0</v>
      </c>
      <c r="P531" s="122">
        <f t="shared" si="225"/>
        <v>0</v>
      </c>
      <c r="Q531" s="123">
        <f t="shared" si="226"/>
        <v>455.73</v>
      </c>
      <c r="R531" s="123">
        <f t="shared" si="232"/>
        <v>-455.73</v>
      </c>
      <c r="S531" s="582">
        <v>0</v>
      </c>
      <c r="T531" s="123">
        <f t="shared" si="233"/>
        <v>-455.73</v>
      </c>
      <c r="U531" s="25">
        <f t="shared" si="227"/>
        <v>108.24</v>
      </c>
      <c r="V531" s="123">
        <f t="shared" si="228"/>
        <v>-108.24</v>
      </c>
      <c r="W531" s="334">
        <f t="shared" si="229"/>
        <v>9.9</v>
      </c>
      <c r="Y531" s="109">
        <f>IF(AE531=1,IF(Y530=MiscData!$F$1,EOMONTH(Y530,-11),EOMONTH(Y530,1)),Y530)</f>
        <v>42247</v>
      </c>
      <c r="Z531" s="108" t="str">
        <f t="shared" si="236"/>
        <v>20140101LGUM_279</v>
      </c>
      <c r="AA531" s="126" t="str">
        <f t="shared" si="237"/>
        <v>20140101RLS</v>
      </c>
      <c r="AB531" s="583" t="str">
        <f t="shared" si="234"/>
        <v>279</v>
      </c>
      <c r="AD531" s="98">
        <f>MiscData!$X$5</f>
        <v>20140101</v>
      </c>
      <c r="AE531" s="98">
        <f>IF(AE530+1&gt;MiscData!$AC$77,1,AE530+1)</f>
        <v>17</v>
      </c>
      <c r="AF531" s="98" t="str">
        <f>VLOOKUP(AE531,MiscData!$AC$5:$AD$77,2,FALSE)</f>
        <v>LGUM_279</v>
      </c>
      <c r="AG531" s="98" t="str">
        <f>VLOOKUP(AF531,MiscData!$AD$5:$AE$77,2,FALSE)</f>
        <v>RLS</v>
      </c>
      <c r="AP531" s="98" t="s">
        <v>146</v>
      </c>
      <c r="AR531" s="98">
        <v>0</v>
      </c>
    </row>
    <row r="532" spans="1:44">
      <c r="A532" s="108">
        <f t="shared" si="235"/>
        <v>529</v>
      </c>
      <c r="B532" s="109" t="str">
        <f t="shared" si="213"/>
        <v>Aug 2015</v>
      </c>
      <c r="C532" s="110" t="str">
        <f t="shared" si="214"/>
        <v>RLS</v>
      </c>
      <c r="D532" s="110" t="str">
        <f t="shared" si="215"/>
        <v>LGUM_280</v>
      </c>
      <c r="E532" s="581">
        <f t="shared" si="216"/>
        <v>45</v>
      </c>
      <c r="F532" s="581">
        <f t="shared" si="217"/>
        <v>0</v>
      </c>
      <c r="G532" s="116">
        <f t="shared" si="218"/>
        <v>19.38</v>
      </c>
      <c r="H532" s="116">
        <f t="shared" si="219"/>
        <v>0.87999999999999901</v>
      </c>
      <c r="I532" s="118">
        <f t="shared" si="230"/>
        <v>872.1</v>
      </c>
      <c r="J532" s="118">
        <f t="shared" si="220"/>
        <v>872.1</v>
      </c>
      <c r="K532" s="570">
        <f t="shared" si="231"/>
        <v>0</v>
      </c>
      <c r="L532" s="121">
        <f t="shared" si="221"/>
        <v>0</v>
      </c>
      <c r="M532" s="122">
        <f t="shared" si="222"/>
        <v>0</v>
      </c>
      <c r="N532" s="122">
        <f t="shared" si="223"/>
        <v>0</v>
      </c>
      <c r="O532" s="122">
        <f t="shared" si="224"/>
        <v>0</v>
      </c>
      <c r="P532" s="122">
        <f t="shared" si="225"/>
        <v>0</v>
      </c>
      <c r="Q532" s="123">
        <f t="shared" si="226"/>
        <v>872.1</v>
      </c>
      <c r="R532" s="123">
        <f t="shared" si="232"/>
        <v>-872.1</v>
      </c>
      <c r="S532" s="582">
        <v>0</v>
      </c>
      <c r="T532" s="123">
        <f t="shared" si="233"/>
        <v>-872.1</v>
      </c>
      <c r="U532" s="25">
        <f t="shared" si="227"/>
        <v>39.6</v>
      </c>
      <c r="V532" s="123">
        <f t="shared" si="228"/>
        <v>-39.6</v>
      </c>
      <c r="W532" s="334">
        <f t="shared" si="229"/>
        <v>11.700000000000001</v>
      </c>
      <c r="Y532" s="109">
        <f>IF(AE532=1,IF(Y531=MiscData!$F$1,EOMONTH(Y531,-11),EOMONTH(Y531,1)),Y531)</f>
        <v>42247</v>
      </c>
      <c r="Z532" s="108" t="str">
        <f t="shared" si="236"/>
        <v>20140101LGUM_280</v>
      </c>
      <c r="AA532" s="126" t="str">
        <f t="shared" si="237"/>
        <v>20140101RLS</v>
      </c>
      <c r="AB532" s="583" t="str">
        <f t="shared" si="234"/>
        <v>280</v>
      </c>
      <c r="AD532" s="98">
        <f>MiscData!$X$5</f>
        <v>20140101</v>
      </c>
      <c r="AE532" s="98">
        <f>IF(AE531+1&gt;MiscData!$AC$77,1,AE531+1)</f>
        <v>18</v>
      </c>
      <c r="AF532" s="98" t="str">
        <f>VLOOKUP(AE532,MiscData!$AC$5:$AD$77,2,FALSE)</f>
        <v>LGUM_280</v>
      </c>
      <c r="AG532" s="98" t="str">
        <f>VLOOKUP(AF532,MiscData!$AD$5:$AE$77,2,FALSE)</f>
        <v>RLS</v>
      </c>
      <c r="AP532" s="98" t="s">
        <v>147</v>
      </c>
      <c r="AR532" s="98">
        <v>0</v>
      </c>
    </row>
    <row r="533" spans="1:44">
      <c r="A533" s="108">
        <f t="shared" si="235"/>
        <v>530</v>
      </c>
      <c r="B533" s="109" t="str">
        <f t="shared" si="213"/>
        <v>Aug 2015</v>
      </c>
      <c r="C533" s="110" t="str">
        <f t="shared" si="214"/>
        <v>RLS</v>
      </c>
      <c r="D533" s="110" t="str">
        <f t="shared" si="215"/>
        <v>LGUM_281</v>
      </c>
      <c r="E533" s="581">
        <f t="shared" si="216"/>
        <v>239</v>
      </c>
      <c r="F533" s="581">
        <f t="shared" si="217"/>
        <v>0</v>
      </c>
      <c r="G533" s="116">
        <f t="shared" si="218"/>
        <v>20.349999999999998</v>
      </c>
      <c r="H533" s="116">
        <f t="shared" si="219"/>
        <v>1.2699999999999996</v>
      </c>
      <c r="I533" s="118">
        <f t="shared" si="230"/>
        <v>4863.6499999999996</v>
      </c>
      <c r="J533" s="118">
        <f t="shared" si="220"/>
        <v>4863.6499999999996</v>
      </c>
      <c r="K533" s="570">
        <f t="shared" si="231"/>
        <v>0</v>
      </c>
      <c r="L533" s="121">
        <f t="shared" si="221"/>
        <v>0</v>
      </c>
      <c r="M533" s="122">
        <f t="shared" si="222"/>
        <v>0</v>
      </c>
      <c r="N533" s="122">
        <f t="shared" si="223"/>
        <v>0</v>
      </c>
      <c r="O533" s="122">
        <f t="shared" si="224"/>
        <v>0</v>
      </c>
      <c r="P533" s="122">
        <f t="shared" si="225"/>
        <v>0</v>
      </c>
      <c r="Q533" s="123">
        <f t="shared" si="226"/>
        <v>4863.6499999999996</v>
      </c>
      <c r="R533" s="123">
        <f t="shared" si="232"/>
        <v>-4863.6499999999996</v>
      </c>
      <c r="S533" s="582">
        <v>0</v>
      </c>
      <c r="T533" s="123">
        <f t="shared" si="233"/>
        <v>-4863.6499999999996</v>
      </c>
      <c r="U533" s="25">
        <f t="shared" si="227"/>
        <v>303.52999999999997</v>
      </c>
      <c r="V533" s="123">
        <f t="shared" si="228"/>
        <v>-303.52999999999997</v>
      </c>
      <c r="W533" s="334">
        <f t="shared" si="229"/>
        <v>64.53</v>
      </c>
      <c r="Y533" s="109">
        <f>IF(AE533=1,IF(Y532=MiscData!$F$1,EOMONTH(Y532,-11),EOMONTH(Y532,1)),Y532)</f>
        <v>42247</v>
      </c>
      <c r="Z533" s="108" t="str">
        <f t="shared" si="236"/>
        <v>20140101LGUM_281</v>
      </c>
      <c r="AA533" s="126" t="str">
        <f t="shared" si="237"/>
        <v>20140101RLS</v>
      </c>
      <c r="AB533" s="583" t="str">
        <f t="shared" si="234"/>
        <v>281</v>
      </c>
      <c r="AD533" s="98">
        <f>MiscData!$X$5</f>
        <v>20140101</v>
      </c>
      <c r="AE533" s="98">
        <f>IF(AE532+1&gt;MiscData!$AC$77,1,AE532+1)</f>
        <v>19</v>
      </c>
      <c r="AF533" s="98" t="str">
        <f>VLOOKUP(AE533,MiscData!$AC$5:$AD$77,2,FALSE)</f>
        <v>LGUM_281</v>
      </c>
      <c r="AG533" s="98" t="str">
        <f>VLOOKUP(AF533,MiscData!$AD$5:$AE$77,2,FALSE)</f>
        <v>RLS</v>
      </c>
      <c r="AP533" s="98" t="s">
        <v>475</v>
      </c>
      <c r="AR533" s="98">
        <v>0</v>
      </c>
    </row>
    <row r="534" spans="1:44">
      <c r="A534" s="108">
        <f t="shared" si="235"/>
        <v>531</v>
      </c>
      <c r="B534" s="109" t="str">
        <f t="shared" si="213"/>
        <v>Aug 2015</v>
      </c>
      <c r="C534" s="110" t="str">
        <f t="shared" si="214"/>
        <v>RLS</v>
      </c>
      <c r="D534" s="110" t="str">
        <f t="shared" si="215"/>
        <v>LGUM_282</v>
      </c>
      <c r="E534" s="581">
        <f t="shared" si="216"/>
        <v>104</v>
      </c>
      <c r="F534" s="581">
        <f t="shared" si="217"/>
        <v>0</v>
      </c>
      <c r="G534" s="116">
        <f t="shared" si="218"/>
        <v>19.53</v>
      </c>
      <c r="H534" s="116">
        <f t="shared" si="219"/>
        <v>0.87999999999999901</v>
      </c>
      <c r="I534" s="118">
        <f t="shared" si="230"/>
        <v>2031.12</v>
      </c>
      <c r="J534" s="118">
        <f t="shared" si="220"/>
        <v>2031.12</v>
      </c>
      <c r="K534" s="570">
        <f t="shared" si="231"/>
        <v>0</v>
      </c>
      <c r="L534" s="121">
        <f t="shared" si="221"/>
        <v>0</v>
      </c>
      <c r="M534" s="122">
        <f t="shared" si="222"/>
        <v>0</v>
      </c>
      <c r="N534" s="122">
        <f t="shared" si="223"/>
        <v>0</v>
      </c>
      <c r="O534" s="122">
        <f t="shared" si="224"/>
        <v>0</v>
      </c>
      <c r="P534" s="122">
        <f t="shared" si="225"/>
        <v>0</v>
      </c>
      <c r="Q534" s="123">
        <f t="shared" si="226"/>
        <v>2031.12</v>
      </c>
      <c r="R534" s="123">
        <f t="shared" si="232"/>
        <v>-2031.12</v>
      </c>
      <c r="S534" s="582">
        <v>0</v>
      </c>
      <c r="T534" s="123">
        <f t="shared" si="233"/>
        <v>-2031.12</v>
      </c>
      <c r="U534" s="25">
        <f t="shared" si="227"/>
        <v>91.52</v>
      </c>
      <c r="V534" s="123">
        <f t="shared" si="228"/>
        <v>-91.52</v>
      </c>
      <c r="W534" s="334">
        <f t="shared" si="229"/>
        <v>27.04</v>
      </c>
      <c r="Y534" s="109">
        <f>IF(AE534=1,IF(Y533=MiscData!$F$1,EOMONTH(Y533,-11),EOMONTH(Y533,1)),Y533)</f>
        <v>42247</v>
      </c>
      <c r="Z534" s="108" t="str">
        <f t="shared" si="236"/>
        <v>20140101LGUM_282</v>
      </c>
      <c r="AA534" s="126" t="str">
        <f t="shared" si="237"/>
        <v>20140101RLS</v>
      </c>
      <c r="AB534" s="583" t="str">
        <f t="shared" si="234"/>
        <v>282</v>
      </c>
      <c r="AD534" s="98">
        <f>MiscData!$X$5</f>
        <v>20140101</v>
      </c>
      <c r="AE534" s="98">
        <f>IF(AE533+1&gt;MiscData!$AC$77,1,AE533+1)</f>
        <v>20</v>
      </c>
      <c r="AF534" s="98" t="str">
        <f>VLOOKUP(AE534,MiscData!$AC$5:$AD$77,2,FALSE)</f>
        <v>LGUM_282</v>
      </c>
      <c r="AG534" s="98" t="str">
        <f>VLOOKUP(AF534,MiscData!$AD$5:$AE$77,2,FALSE)</f>
        <v>RLS</v>
      </c>
      <c r="AP534" s="98" t="s">
        <v>477</v>
      </c>
      <c r="AR534" s="98">
        <v>0</v>
      </c>
    </row>
    <row r="535" spans="1:44">
      <c r="A535" s="108">
        <f t="shared" si="235"/>
        <v>532</v>
      </c>
      <c r="B535" s="109" t="str">
        <f t="shared" si="213"/>
        <v>Aug 2015</v>
      </c>
      <c r="C535" s="110" t="str">
        <f t="shared" si="214"/>
        <v>RLS</v>
      </c>
      <c r="D535" s="110" t="str">
        <f t="shared" si="215"/>
        <v>LGUM_283</v>
      </c>
      <c r="E535" s="581">
        <f t="shared" si="216"/>
        <v>80</v>
      </c>
      <c r="F535" s="581">
        <f t="shared" si="217"/>
        <v>0</v>
      </c>
      <c r="G535" s="116">
        <f t="shared" si="218"/>
        <v>20.819999999999997</v>
      </c>
      <c r="H535" s="116">
        <f t="shared" si="219"/>
        <v>1.2699999999999996</v>
      </c>
      <c r="I535" s="118">
        <f t="shared" si="230"/>
        <v>1665.6</v>
      </c>
      <c r="J535" s="118">
        <f t="shared" si="220"/>
        <v>1665.6</v>
      </c>
      <c r="K535" s="570">
        <f t="shared" si="231"/>
        <v>0</v>
      </c>
      <c r="L535" s="121">
        <f t="shared" si="221"/>
        <v>0</v>
      </c>
      <c r="M535" s="122">
        <f t="shared" si="222"/>
        <v>0</v>
      </c>
      <c r="N535" s="122">
        <f t="shared" si="223"/>
        <v>0</v>
      </c>
      <c r="O535" s="122">
        <f t="shared" si="224"/>
        <v>0</v>
      </c>
      <c r="P535" s="122">
        <f t="shared" si="225"/>
        <v>0</v>
      </c>
      <c r="Q535" s="123">
        <f t="shared" si="226"/>
        <v>1665.6</v>
      </c>
      <c r="R535" s="123">
        <f t="shared" si="232"/>
        <v>-1665.6</v>
      </c>
      <c r="S535" s="582">
        <v>0</v>
      </c>
      <c r="T535" s="123">
        <f t="shared" si="233"/>
        <v>-1665.6</v>
      </c>
      <c r="U535" s="25">
        <f t="shared" si="227"/>
        <v>101.6</v>
      </c>
      <c r="V535" s="123">
        <f t="shared" si="228"/>
        <v>-101.6</v>
      </c>
      <c r="W535" s="334">
        <f t="shared" si="229"/>
        <v>21.6</v>
      </c>
      <c r="Y535" s="109">
        <f>IF(AE535=1,IF(Y534=MiscData!$F$1,EOMONTH(Y534,-11),EOMONTH(Y534,1)),Y534)</f>
        <v>42247</v>
      </c>
      <c r="Z535" s="108" t="str">
        <f t="shared" si="236"/>
        <v>20140101LGUM_283</v>
      </c>
      <c r="AA535" s="126" t="str">
        <f t="shared" si="237"/>
        <v>20140101RLS</v>
      </c>
      <c r="AB535" s="583" t="str">
        <f t="shared" si="234"/>
        <v>283</v>
      </c>
      <c r="AD535" s="98">
        <f>MiscData!$X$5</f>
        <v>20140101</v>
      </c>
      <c r="AE535" s="98">
        <f>IF(AE534+1&gt;MiscData!$AC$77,1,AE534+1)</f>
        <v>21</v>
      </c>
      <c r="AF535" s="98" t="str">
        <f>VLOOKUP(AE535,MiscData!$AC$5:$AD$77,2,FALSE)</f>
        <v>LGUM_283</v>
      </c>
      <c r="AG535" s="98" t="str">
        <f>VLOOKUP(AF535,MiscData!$AD$5:$AE$77,2,FALSE)</f>
        <v>RLS</v>
      </c>
      <c r="AP535" s="98" t="s">
        <v>148</v>
      </c>
      <c r="AR535" s="98">
        <v>0</v>
      </c>
    </row>
    <row r="536" spans="1:44">
      <c r="A536" s="108">
        <f t="shared" si="235"/>
        <v>533</v>
      </c>
      <c r="B536" s="109" t="str">
        <f t="shared" si="213"/>
        <v>Aug 2015</v>
      </c>
      <c r="C536" s="110" t="str">
        <f t="shared" si="214"/>
        <v>RLS</v>
      </c>
      <c r="D536" s="110" t="str">
        <f t="shared" si="215"/>
        <v>LGUM_314</v>
      </c>
      <c r="E536" s="581">
        <f t="shared" si="216"/>
        <v>506</v>
      </c>
      <c r="F536" s="581">
        <f t="shared" si="217"/>
        <v>0</v>
      </c>
      <c r="G536" s="116">
        <f t="shared" si="218"/>
        <v>19.2</v>
      </c>
      <c r="H536" s="116">
        <f t="shared" si="219"/>
        <v>2.7100000000000009</v>
      </c>
      <c r="I536" s="118">
        <f t="shared" si="230"/>
        <v>9715.2000000000007</v>
      </c>
      <c r="J536" s="118">
        <f t="shared" si="220"/>
        <v>9715.2000000000007</v>
      </c>
      <c r="K536" s="570">
        <f t="shared" si="231"/>
        <v>0</v>
      </c>
      <c r="L536" s="121">
        <f t="shared" si="221"/>
        <v>0</v>
      </c>
      <c r="M536" s="122">
        <f t="shared" si="222"/>
        <v>0</v>
      </c>
      <c r="N536" s="122">
        <f t="shared" si="223"/>
        <v>0</v>
      </c>
      <c r="O536" s="122">
        <f t="shared" si="224"/>
        <v>0</v>
      </c>
      <c r="P536" s="122">
        <f t="shared" si="225"/>
        <v>0</v>
      </c>
      <c r="Q536" s="123">
        <f t="shared" si="226"/>
        <v>9715.2000000000007</v>
      </c>
      <c r="R536" s="123">
        <f t="shared" si="232"/>
        <v>-9715.2000000000007</v>
      </c>
      <c r="S536" s="582">
        <v>0</v>
      </c>
      <c r="T536" s="123">
        <f t="shared" si="233"/>
        <v>-9715.2000000000007</v>
      </c>
      <c r="U536" s="25">
        <f t="shared" si="227"/>
        <v>1371.26</v>
      </c>
      <c r="V536" s="123">
        <f t="shared" si="228"/>
        <v>-1371.26</v>
      </c>
      <c r="W536" s="334">
        <f t="shared" si="229"/>
        <v>91.08</v>
      </c>
      <c r="Y536" s="109">
        <f>IF(AE536=1,IF(Y535=MiscData!$F$1,EOMONTH(Y535,-11),EOMONTH(Y535,1)),Y535)</f>
        <v>42247</v>
      </c>
      <c r="Z536" s="108" t="str">
        <f t="shared" si="236"/>
        <v>20140101LGUM_314</v>
      </c>
      <c r="AA536" s="126" t="str">
        <f t="shared" si="237"/>
        <v>20140101RLS</v>
      </c>
      <c r="AB536" s="583" t="str">
        <f t="shared" si="234"/>
        <v>314</v>
      </c>
      <c r="AD536" s="98">
        <f>MiscData!$X$5</f>
        <v>20140101</v>
      </c>
      <c r="AE536" s="98">
        <f>IF(AE535+1&gt;MiscData!$AC$77,1,AE535+1)</f>
        <v>22</v>
      </c>
      <c r="AF536" s="98" t="str">
        <f>VLOOKUP(AE536,MiscData!$AC$5:$AD$77,2,FALSE)</f>
        <v>LGUM_314</v>
      </c>
      <c r="AG536" s="98" t="str">
        <f>VLOOKUP(AF536,MiscData!$AD$5:$AE$77,2,FALSE)</f>
        <v>RLS</v>
      </c>
      <c r="AP536" s="98" t="s">
        <v>149</v>
      </c>
      <c r="AR536" s="98">
        <v>0</v>
      </c>
    </row>
    <row r="537" spans="1:44">
      <c r="A537" s="108">
        <f t="shared" si="235"/>
        <v>534</v>
      </c>
      <c r="B537" s="109" t="str">
        <f t="shared" si="213"/>
        <v>Aug 2015</v>
      </c>
      <c r="C537" s="110" t="str">
        <f t="shared" si="214"/>
        <v>RLS</v>
      </c>
      <c r="D537" s="110" t="str">
        <f t="shared" si="215"/>
        <v>LGUM_315</v>
      </c>
      <c r="E537" s="581">
        <f t="shared" si="216"/>
        <v>497</v>
      </c>
      <c r="F537" s="581">
        <f t="shared" si="217"/>
        <v>0</v>
      </c>
      <c r="G537" s="116">
        <f t="shared" si="218"/>
        <v>22.949999999999996</v>
      </c>
      <c r="H537" s="116">
        <f t="shared" si="219"/>
        <v>4.1999999999999993</v>
      </c>
      <c r="I537" s="118">
        <f t="shared" si="230"/>
        <v>11406.15</v>
      </c>
      <c r="J537" s="118">
        <f t="shared" si="220"/>
        <v>11406.15</v>
      </c>
      <c r="K537" s="570">
        <f t="shared" si="231"/>
        <v>0</v>
      </c>
      <c r="L537" s="121">
        <f t="shared" si="221"/>
        <v>0</v>
      </c>
      <c r="M537" s="122">
        <f t="shared" si="222"/>
        <v>0</v>
      </c>
      <c r="N537" s="122">
        <f t="shared" si="223"/>
        <v>0</v>
      </c>
      <c r="O537" s="122">
        <f t="shared" si="224"/>
        <v>0</v>
      </c>
      <c r="P537" s="122">
        <f t="shared" si="225"/>
        <v>0</v>
      </c>
      <c r="Q537" s="123">
        <f t="shared" si="226"/>
        <v>11406.15</v>
      </c>
      <c r="R537" s="123">
        <f t="shared" si="232"/>
        <v>-11406.15</v>
      </c>
      <c r="S537" s="582">
        <v>0</v>
      </c>
      <c r="T537" s="123">
        <f t="shared" si="233"/>
        <v>-11406.15</v>
      </c>
      <c r="U537" s="25">
        <f t="shared" si="227"/>
        <v>2087.4</v>
      </c>
      <c r="V537" s="123">
        <f t="shared" si="228"/>
        <v>-2087.4</v>
      </c>
      <c r="W537" s="334">
        <f t="shared" si="229"/>
        <v>109.34</v>
      </c>
      <c r="Y537" s="109">
        <f>IF(AE537=1,IF(Y536=MiscData!$F$1,EOMONTH(Y536,-11),EOMONTH(Y536,1)),Y536)</f>
        <v>42247</v>
      </c>
      <c r="Z537" s="108" t="str">
        <f t="shared" si="236"/>
        <v>20140101LGUM_315</v>
      </c>
      <c r="AA537" s="126" t="str">
        <f t="shared" si="237"/>
        <v>20140101RLS</v>
      </c>
      <c r="AB537" s="583" t="str">
        <f t="shared" si="234"/>
        <v>315</v>
      </c>
      <c r="AD537" s="98">
        <f>MiscData!$X$5</f>
        <v>20140101</v>
      </c>
      <c r="AE537" s="98">
        <f>IF(AE536+1&gt;MiscData!$AC$77,1,AE536+1)</f>
        <v>23</v>
      </c>
      <c r="AF537" s="98" t="str">
        <f>VLOOKUP(AE537,MiscData!$AC$5:$AD$77,2,FALSE)</f>
        <v>LGUM_315</v>
      </c>
      <c r="AG537" s="98" t="str">
        <f>VLOOKUP(AF537,MiscData!$AD$5:$AE$77,2,FALSE)</f>
        <v>RLS</v>
      </c>
      <c r="AP537" s="98" t="s">
        <v>150</v>
      </c>
      <c r="AR537" s="98">
        <v>0</v>
      </c>
    </row>
    <row r="538" spans="1:44">
      <c r="A538" s="108">
        <f t="shared" si="235"/>
        <v>535</v>
      </c>
      <c r="B538" s="109" t="str">
        <f t="shared" si="213"/>
        <v>Aug 2015</v>
      </c>
      <c r="C538" s="110" t="str">
        <f t="shared" si="214"/>
        <v>RLS</v>
      </c>
      <c r="D538" s="110" t="str">
        <f t="shared" si="215"/>
        <v>LGUM_318</v>
      </c>
      <c r="E538" s="581">
        <f t="shared" si="216"/>
        <v>53</v>
      </c>
      <c r="F538" s="581">
        <f t="shared" si="217"/>
        <v>0</v>
      </c>
      <c r="G538" s="116">
        <f t="shared" si="218"/>
        <v>17.419999999999998</v>
      </c>
      <c r="H538" s="116">
        <f t="shared" si="219"/>
        <v>1.9100000000000001</v>
      </c>
      <c r="I538" s="118">
        <f t="shared" si="230"/>
        <v>923.26</v>
      </c>
      <c r="J538" s="118">
        <f t="shared" si="220"/>
        <v>923.26</v>
      </c>
      <c r="K538" s="570">
        <f t="shared" si="231"/>
        <v>0</v>
      </c>
      <c r="L538" s="121">
        <f t="shared" si="221"/>
        <v>0</v>
      </c>
      <c r="M538" s="122">
        <f t="shared" si="222"/>
        <v>0</v>
      </c>
      <c r="N538" s="122">
        <f t="shared" si="223"/>
        <v>0</v>
      </c>
      <c r="O538" s="122">
        <f t="shared" si="224"/>
        <v>0</v>
      </c>
      <c r="P538" s="122">
        <f t="shared" si="225"/>
        <v>0</v>
      </c>
      <c r="Q538" s="123">
        <f t="shared" si="226"/>
        <v>923.26</v>
      </c>
      <c r="R538" s="123">
        <f t="shared" si="232"/>
        <v>-923.26</v>
      </c>
      <c r="S538" s="582">
        <v>0</v>
      </c>
      <c r="T538" s="123">
        <f t="shared" si="233"/>
        <v>-923.26</v>
      </c>
      <c r="U538" s="25">
        <f t="shared" si="227"/>
        <v>101.23</v>
      </c>
      <c r="V538" s="123">
        <f t="shared" si="228"/>
        <v>-101.23</v>
      </c>
      <c r="W538" s="334">
        <f t="shared" si="229"/>
        <v>8.48</v>
      </c>
      <c r="Y538" s="109">
        <f>IF(AE538=1,IF(Y537=MiscData!$F$1,EOMONTH(Y537,-11),EOMONTH(Y537,1)),Y537)</f>
        <v>42247</v>
      </c>
      <c r="Z538" s="108" t="str">
        <f t="shared" si="236"/>
        <v>20140101LGUM_318</v>
      </c>
      <c r="AA538" s="126" t="str">
        <f t="shared" si="237"/>
        <v>20140101RLS</v>
      </c>
      <c r="AB538" s="583" t="str">
        <f t="shared" si="234"/>
        <v>318</v>
      </c>
      <c r="AD538" s="98">
        <f>MiscData!$X$5</f>
        <v>20140101</v>
      </c>
      <c r="AE538" s="98">
        <f>IF(AE537+1&gt;MiscData!$AC$77,1,AE537+1)</f>
        <v>24</v>
      </c>
      <c r="AF538" s="98" t="str">
        <f>VLOOKUP(AE538,MiscData!$AC$5:$AD$77,2,FALSE)</f>
        <v>LGUM_318</v>
      </c>
      <c r="AG538" s="98" t="str">
        <f>VLOOKUP(AF538,MiscData!$AD$5:$AE$77,2,FALSE)</f>
        <v>RLS</v>
      </c>
      <c r="AP538" s="98" t="s">
        <v>482</v>
      </c>
      <c r="AR538" s="98">
        <v>0</v>
      </c>
    </row>
    <row r="539" spans="1:44">
      <c r="A539" s="108">
        <f t="shared" si="235"/>
        <v>536</v>
      </c>
      <c r="B539" s="109" t="str">
        <f t="shared" si="213"/>
        <v>Aug 2015</v>
      </c>
      <c r="C539" s="110" t="str">
        <f t="shared" si="214"/>
        <v>RLS</v>
      </c>
      <c r="D539" s="110" t="str">
        <f t="shared" si="215"/>
        <v>LGUM_347</v>
      </c>
      <c r="E539" s="581">
        <f t="shared" si="216"/>
        <v>0</v>
      </c>
      <c r="F539" s="581">
        <f t="shared" si="217"/>
        <v>0</v>
      </c>
      <c r="G539" s="116">
        <f t="shared" si="218"/>
        <v>22.939999999999998</v>
      </c>
      <c r="H539" s="116">
        <f t="shared" si="219"/>
        <v>26.14</v>
      </c>
      <c r="I539" s="118">
        <f t="shared" si="230"/>
        <v>0</v>
      </c>
      <c r="J539" s="118">
        <f t="shared" si="220"/>
        <v>0</v>
      </c>
      <c r="K539" s="570">
        <f t="shared" si="231"/>
        <v>0</v>
      </c>
      <c r="L539" s="121">
        <f t="shared" si="221"/>
        <v>1</v>
      </c>
      <c r="M539" s="122">
        <f t="shared" si="222"/>
        <v>0</v>
      </c>
      <c r="N539" s="122">
        <f t="shared" si="223"/>
        <v>0</v>
      </c>
      <c r="O539" s="122">
        <f t="shared" si="224"/>
        <v>0</v>
      </c>
      <c r="P539" s="122">
        <f t="shared" si="225"/>
        <v>0</v>
      </c>
      <c r="Q539" s="123">
        <f t="shared" si="226"/>
        <v>0</v>
      </c>
      <c r="R539" s="123">
        <f t="shared" si="232"/>
        <v>0</v>
      </c>
      <c r="S539" s="582">
        <v>0</v>
      </c>
      <c r="T539" s="123">
        <f t="shared" si="233"/>
        <v>0</v>
      </c>
      <c r="U539" s="25">
        <f t="shared" si="227"/>
        <v>0</v>
      </c>
      <c r="V539" s="123">
        <f t="shared" si="228"/>
        <v>0</v>
      </c>
      <c r="W539" s="334">
        <f t="shared" si="229"/>
        <v>0</v>
      </c>
      <c r="Y539" s="109">
        <f>IF(AE539=1,IF(Y538=MiscData!$F$1,EOMONTH(Y538,-11),EOMONTH(Y538,1)),Y538)</f>
        <v>42247</v>
      </c>
      <c r="Z539" s="108" t="str">
        <f t="shared" si="236"/>
        <v>20140101LGUM_347</v>
      </c>
      <c r="AA539" s="126" t="str">
        <f t="shared" si="237"/>
        <v>20140101RLS</v>
      </c>
      <c r="AB539" s="583" t="str">
        <f t="shared" si="234"/>
        <v>347</v>
      </c>
      <c r="AD539" s="98">
        <f>MiscData!$X$5</f>
        <v>20140101</v>
      </c>
      <c r="AE539" s="98">
        <f>IF(AE538+1&gt;MiscData!$AC$77,1,AE538+1)</f>
        <v>25</v>
      </c>
      <c r="AF539" s="98" t="str">
        <f>VLOOKUP(AE539,MiscData!$AC$5:$AD$77,2,FALSE)</f>
        <v>LGUM_347</v>
      </c>
      <c r="AG539" s="98" t="str">
        <f>VLOOKUP(AF539,MiscData!$AD$5:$AE$77,2,FALSE)</f>
        <v>RLS</v>
      </c>
      <c r="AP539" s="98" t="s">
        <v>485</v>
      </c>
      <c r="AR539" s="98">
        <v>0</v>
      </c>
    </row>
    <row r="540" spans="1:44">
      <c r="A540" s="108">
        <f t="shared" si="235"/>
        <v>537</v>
      </c>
      <c r="B540" s="109" t="str">
        <f t="shared" si="213"/>
        <v>Aug 2015</v>
      </c>
      <c r="C540" s="110" t="str">
        <f t="shared" si="214"/>
        <v>RLS</v>
      </c>
      <c r="D540" s="110" t="str">
        <f t="shared" si="215"/>
        <v>LGUM_348</v>
      </c>
      <c r="E540" s="581">
        <f t="shared" si="216"/>
        <v>39</v>
      </c>
      <c r="F540" s="581">
        <f t="shared" si="217"/>
        <v>0</v>
      </c>
      <c r="G540" s="116">
        <f t="shared" si="218"/>
        <v>13.12</v>
      </c>
      <c r="H540" s="116">
        <f t="shared" si="219"/>
        <v>2.9800000000000004</v>
      </c>
      <c r="I540" s="118">
        <f t="shared" si="230"/>
        <v>511.68</v>
      </c>
      <c r="J540" s="118">
        <f t="shared" si="220"/>
        <v>511.68</v>
      </c>
      <c r="K540" s="570">
        <f t="shared" si="231"/>
        <v>0</v>
      </c>
      <c r="L540" s="121">
        <f t="shared" si="221"/>
        <v>0</v>
      </c>
      <c r="M540" s="122">
        <f t="shared" si="222"/>
        <v>0</v>
      </c>
      <c r="N540" s="122">
        <f t="shared" si="223"/>
        <v>0</v>
      </c>
      <c r="O540" s="122">
        <f t="shared" si="224"/>
        <v>0</v>
      </c>
      <c r="P540" s="122">
        <f t="shared" si="225"/>
        <v>0</v>
      </c>
      <c r="Q540" s="123">
        <f t="shared" si="226"/>
        <v>511.68</v>
      </c>
      <c r="R540" s="123">
        <f t="shared" si="232"/>
        <v>-511.68</v>
      </c>
      <c r="S540" s="582">
        <v>0</v>
      </c>
      <c r="T540" s="123">
        <f t="shared" si="233"/>
        <v>-511.68</v>
      </c>
      <c r="U540" s="25">
        <f t="shared" si="227"/>
        <v>116.22</v>
      </c>
      <c r="V540" s="123">
        <f t="shared" si="228"/>
        <v>-116.22</v>
      </c>
      <c r="W540" s="334">
        <f t="shared" si="229"/>
        <v>7.41</v>
      </c>
      <c r="Y540" s="109">
        <f>IF(AE540=1,IF(Y539=MiscData!$F$1,EOMONTH(Y539,-11),EOMONTH(Y539,1)),Y539)</f>
        <v>42247</v>
      </c>
      <c r="Z540" s="108" t="str">
        <f t="shared" si="236"/>
        <v>20140101LGUM_348</v>
      </c>
      <c r="AA540" s="126" t="str">
        <f t="shared" si="237"/>
        <v>20140101RLS</v>
      </c>
      <c r="AB540" s="583" t="str">
        <f t="shared" si="234"/>
        <v>348</v>
      </c>
      <c r="AD540" s="98">
        <f>MiscData!$X$5</f>
        <v>20140101</v>
      </c>
      <c r="AE540" s="98">
        <f>IF(AE539+1&gt;MiscData!$AC$77,1,AE539+1)</f>
        <v>26</v>
      </c>
      <c r="AF540" s="98" t="str">
        <f>VLOOKUP(AE540,MiscData!$AC$5:$AD$77,2,FALSE)</f>
        <v>LGUM_348</v>
      </c>
      <c r="AG540" s="98" t="str">
        <f>VLOOKUP(AF540,MiscData!$AD$5:$AE$77,2,FALSE)</f>
        <v>RLS</v>
      </c>
      <c r="AP540" s="98" t="s">
        <v>151</v>
      </c>
      <c r="AR540" s="98">
        <v>0</v>
      </c>
    </row>
    <row r="541" spans="1:44">
      <c r="A541" s="108">
        <f t="shared" si="235"/>
        <v>538</v>
      </c>
      <c r="B541" s="109" t="str">
        <f t="shared" si="213"/>
        <v>Aug 2015</v>
      </c>
      <c r="C541" s="110" t="str">
        <f t="shared" si="214"/>
        <v>RLS</v>
      </c>
      <c r="D541" s="110" t="str">
        <f t="shared" si="215"/>
        <v>LGUM_349</v>
      </c>
      <c r="E541" s="581">
        <f t="shared" si="216"/>
        <v>17</v>
      </c>
      <c r="F541" s="581">
        <f t="shared" si="217"/>
        <v>0</v>
      </c>
      <c r="G541" s="116">
        <f t="shared" si="218"/>
        <v>9.0200000000000014</v>
      </c>
      <c r="H541" s="116">
        <f t="shared" si="219"/>
        <v>0.91000000000000014</v>
      </c>
      <c r="I541" s="118">
        <f t="shared" si="230"/>
        <v>153.34</v>
      </c>
      <c r="J541" s="118">
        <f t="shared" si="220"/>
        <v>153.34</v>
      </c>
      <c r="K541" s="570">
        <f t="shared" si="231"/>
        <v>0</v>
      </c>
      <c r="L541" s="121">
        <f t="shared" si="221"/>
        <v>0</v>
      </c>
      <c r="M541" s="122">
        <f t="shared" si="222"/>
        <v>0</v>
      </c>
      <c r="N541" s="122">
        <f t="shared" si="223"/>
        <v>0</v>
      </c>
      <c r="O541" s="122">
        <f t="shared" si="224"/>
        <v>0</v>
      </c>
      <c r="P541" s="122">
        <f t="shared" si="225"/>
        <v>0</v>
      </c>
      <c r="Q541" s="123">
        <f t="shared" si="226"/>
        <v>153.34</v>
      </c>
      <c r="R541" s="123">
        <f t="shared" si="232"/>
        <v>-153.34</v>
      </c>
      <c r="S541" s="582">
        <v>0</v>
      </c>
      <c r="T541" s="123">
        <f t="shared" si="233"/>
        <v>-153.34</v>
      </c>
      <c r="U541" s="25">
        <f t="shared" si="227"/>
        <v>15.47</v>
      </c>
      <c r="V541" s="123">
        <f t="shared" si="228"/>
        <v>-15.47</v>
      </c>
      <c r="W541" s="334">
        <f t="shared" si="229"/>
        <v>2.3800000000000003</v>
      </c>
      <c r="Y541" s="109">
        <f>IF(AE541=1,IF(Y540=MiscData!$F$1,EOMONTH(Y540,-11),EOMONTH(Y540,1)),Y540)</f>
        <v>42247</v>
      </c>
      <c r="Z541" s="108" t="str">
        <f t="shared" si="236"/>
        <v>20140101LGUM_349</v>
      </c>
      <c r="AA541" s="126" t="str">
        <f t="shared" si="237"/>
        <v>20140101RLS</v>
      </c>
      <c r="AB541" s="583" t="str">
        <f t="shared" si="234"/>
        <v>349</v>
      </c>
      <c r="AD541" s="98">
        <f>MiscData!$X$5</f>
        <v>20140101</v>
      </c>
      <c r="AE541" s="98">
        <f>IF(AE540+1&gt;MiscData!$AC$77,1,AE540+1)</f>
        <v>27</v>
      </c>
      <c r="AF541" s="98" t="str">
        <f>VLOOKUP(AE541,MiscData!$AC$5:$AD$77,2,FALSE)</f>
        <v>LGUM_349</v>
      </c>
      <c r="AG541" s="98" t="str">
        <f>VLOOKUP(AF541,MiscData!$AD$5:$AE$77,2,FALSE)</f>
        <v>RLS</v>
      </c>
      <c r="AP541" s="98" t="s">
        <v>152</v>
      </c>
      <c r="AR541" s="98">
        <v>0</v>
      </c>
    </row>
    <row r="542" spans="1:44">
      <c r="A542" s="108">
        <f t="shared" si="235"/>
        <v>539</v>
      </c>
      <c r="B542" s="109" t="str">
        <f t="shared" si="213"/>
        <v>Aug 2015</v>
      </c>
      <c r="C542" s="110" t="str">
        <f t="shared" si="214"/>
        <v xml:space="preserve">LS </v>
      </c>
      <c r="D542" s="110" t="str">
        <f t="shared" si="215"/>
        <v>LGUM_400</v>
      </c>
      <c r="E542" s="581">
        <f t="shared" si="216"/>
        <v>35</v>
      </c>
      <c r="F542" s="581">
        <f t="shared" si="217"/>
        <v>0</v>
      </c>
      <c r="G542" s="116">
        <f t="shared" si="218"/>
        <v>23.89</v>
      </c>
      <c r="H542" s="116">
        <f t="shared" si="219"/>
        <v>1.0199999999999996</v>
      </c>
      <c r="I542" s="118">
        <f t="shared" si="230"/>
        <v>836.15</v>
      </c>
      <c r="J542" s="118">
        <f t="shared" si="220"/>
        <v>836.15</v>
      </c>
      <c r="K542" s="570">
        <f t="shared" si="231"/>
        <v>0</v>
      </c>
      <c r="L542" s="121">
        <f t="shared" si="221"/>
        <v>0</v>
      </c>
      <c r="M542" s="122">
        <f t="shared" si="222"/>
        <v>0</v>
      </c>
      <c r="N542" s="122">
        <f t="shared" si="223"/>
        <v>0</v>
      </c>
      <c r="O542" s="122">
        <f t="shared" si="224"/>
        <v>0</v>
      </c>
      <c r="P542" s="122">
        <f t="shared" si="225"/>
        <v>0</v>
      </c>
      <c r="Q542" s="123">
        <f t="shared" si="226"/>
        <v>836.15</v>
      </c>
      <c r="R542" s="123">
        <f t="shared" si="232"/>
        <v>-836.15</v>
      </c>
      <c r="S542" s="582">
        <v>0</v>
      </c>
      <c r="T542" s="123">
        <f t="shared" si="233"/>
        <v>-836.15</v>
      </c>
      <c r="U542" s="25">
        <f t="shared" si="227"/>
        <v>35.700000000000003</v>
      </c>
      <c r="V542" s="123">
        <f t="shared" si="228"/>
        <v>-35.700000000000003</v>
      </c>
      <c r="W542" s="334">
        <f t="shared" si="229"/>
        <v>12.95</v>
      </c>
      <c r="Y542" s="109">
        <f>IF(AE542=1,IF(Y541=MiscData!$F$1,EOMONTH(Y541,-11),EOMONTH(Y541,1)),Y541)</f>
        <v>42247</v>
      </c>
      <c r="Z542" s="108" t="str">
        <f t="shared" si="236"/>
        <v>20140101LGUM_400</v>
      </c>
      <c r="AA542" s="126" t="str">
        <f t="shared" si="237"/>
        <v xml:space="preserve">20140101LS </v>
      </c>
      <c r="AB542" s="583" t="str">
        <f t="shared" si="234"/>
        <v>400</v>
      </c>
      <c r="AD542" s="98">
        <f>MiscData!$X$5</f>
        <v>20140101</v>
      </c>
      <c r="AE542" s="98">
        <f>IF(AE541+1&gt;MiscData!$AC$77,1,AE541+1)</f>
        <v>28</v>
      </c>
      <c r="AF542" s="98" t="str">
        <f>VLOOKUP(AE542,MiscData!$AC$5:$AD$77,2,FALSE)</f>
        <v>LGUM_400</v>
      </c>
      <c r="AG542" s="98" t="str">
        <f>VLOOKUP(AF542,MiscData!$AD$5:$AE$77,2,FALSE)</f>
        <v xml:space="preserve">LS </v>
      </c>
      <c r="AP542" s="98" t="s">
        <v>153</v>
      </c>
      <c r="AR542" s="98">
        <v>0</v>
      </c>
    </row>
    <row r="543" spans="1:44">
      <c r="A543" s="108">
        <f t="shared" si="235"/>
        <v>540</v>
      </c>
      <c r="B543" s="109" t="str">
        <f t="shared" si="213"/>
        <v>Aug 2015</v>
      </c>
      <c r="C543" s="110" t="str">
        <f t="shared" si="214"/>
        <v xml:space="preserve">LS </v>
      </c>
      <c r="D543" s="110" t="str">
        <f t="shared" si="215"/>
        <v>LGUM_401</v>
      </c>
      <c r="E543" s="581">
        <f t="shared" si="216"/>
        <v>4</v>
      </c>
      <c r="F543" s="581">
        <f t="shared" si="217"/>
        <v>0</v>
      </c>
      <c r="G543" s="116">
        <f t="shared" si="218"/>
        <v>24.9</v>
      </c>
      <c r="H543" s="116">
        <f t="shared" si="219"/>
        <v>1.0599999999999987</v>
      </c>
      <c r="I543" s="118">
        <f t="shared" si="230"/>
        <v>99.6</v>
      </c>
      <c r="J543" s="118">
        <f t="shared" si="220"/>
        <v>99.6</v>
      </c>
      <c r="K543" s="570">
        <f t="shared" si="231"/>
        <v>0</v>
      </c>
      <c r="L543" s="121">
        <f t="shared" si="221"/>
        <v>0</v>
      </c>
      <c r="M543" s="122">
        <f t="shared" si="222"/>
        <v>0</v>
      </c>
      <c r="N543" s="122">
        <f t="shared" si="223"/>
        <v>0</v>
      </c>
      <c r="O543" s="122">
        <f t="shared" si="224"/>
        <v>0</v>
      </c>
      <c r="P543" s="122">
        <f t="shared" si="225"/>
        <v>0</v>
      </c>
      <c r="Q543" s="123">
        <f t="shared" si="226"/>
        <v>99.6</v>
      </c>
      <c r="R543" s="123">
        <f t="shared" si="232"/>
        <v>-99.6</v>
      </c>
      <c r="S543" s="582">
        <v>0</v>
      </c>
      <c r="T543" s="123">
        <f t="shared" si="233"/>
        <v>-99.6</v>
      </c>
      <c r="U543" s="25">
        <f t="shared" si="227"/>
        <v>4.24</v>
      </c>
      <c r="V543" s="123">
        <f t="shared" si="228"/>
        <v>-4.24</v>
      </c>
      <c r="W543" s="334">
        <f t="shared" si="229"/>
        <v>1.08</v>
      </c>
      <c r="Y543" s="109">
        <f>IF(AE543=1,IF(Y542=MiscData!$F$1,EOMONTH(Y542,-11),EOMONTH(Y542,1)),Y542)</f>
        <v>42247</v>
      </c>
      <c r="Z543" s="108" t="str">
        <f t="shared" si="236"/>
        <v>20140101LGUM_401</v>
      </c>
      <c r="AA543" s="126" t="str">
        <f t="shared" si="237"/>
        <v xml:space="preserve">20140101LS </v>
      </c>
      <c r="AB543" s="583" t="str">
        <f t="shared" si="234"/>
        <v>401</v>
      </c>
      <c r="AD543" s="98">
        <f>MiscData!$X$5</f>
        <v>20140101</v>
      </c>
      <c r="AE543" s="98">
        <f>IF(AE542+1&gt;MiscData!$AC$77,1,AE542+1)</f>
        <v>29</v>
      </c>
      <c r="AF543" s="98" t="str">
        <f>VLOOKUP(AE543,MiscData!$AC$5:$AD$77,2,FALSE)</f>
        <v>LGUM_401</v>
      </c>
      <c r="AG543" s="98" t="str">
        <f>VLOOKUP(AF543,MiscData!$AD$5:$AE$77,2,FALSE)</f>
        <v xml:space="preserve">LS </v>
      </c>
      <c r="AP543" s="98" t="s">
        <v>154</v>
      </c>
      <c r="AR543" s="98">
        <v>-27.22</v>
      </c>
    </row>
    <row r="544" spans="1:44">
      <c r="A544" s="108">
        <f t="shared" si="235"/>
        <v>541</v>
      </c>
      <c r="B544" s="109" t="str">
        <f t="shared" si="213"/>
        <v>Aug 2015</v>
      </c>
      <c r="C544" s="110" t="str">
        <f t="shared" si="214"/>
        <v xml:space="preserve">LS </v>
      </c>
      <c r="D544" s="110" t="str">
        <f t="shared" si="215"/>
        <v>LGUM_412</v>
      </c>
      <c r="E544" s="581">
        <f t="shared" si="216"/>
        <v>238</v>
      </c>
      <c r="F544" s="581">
        <f t="shared" si="217"/>
        <v>0</v>
      </c>
      <c r="G544" s="116">
        <f t="shared" si="218"/>
        <v>19.79</v>
      </c>
      <c r="H544" s="116">
        <f t="shared" si="219"/>
        <v>0.74999999999999645</v>
      </c>
      <c r="I544" s="118">
        <f t="shared" si="230"/>
        <v>4710.0200000000004</v>
      </c>
      <c r="J544" s="118">
        <f t="shared" si="220"/>
        <v>4710.0200000000004</v>
      </c>
      <c r="K544" s="570">
        <f t="shared" si="231"/>
        <v>0</v>
      </c>
      <c r="L544" s="121">
        <f t="shared" si="221"/>
        <v>0</v>
      </c>
      <c r="M544" s="122">
        <f t="shared" si="222"/>
        <v>0</v>
      </c>
      <c r="N544" s="122">
        <f t="shared" si="223"/>
        <v>0</v>
      </c>
      <c r="O544" s="122">
        <f t="shared" si="224"/>
        <v>0</v>
      </c>
      <c r="P544" s="122">
        <f t="shared" si="225"/>
        <v>0</v>
      </c>
      <c r="Q544" s="123">
        <f t="shared" si="226"/>
        <v>4710.0200000000004</v>
      </c>
      <c r="R544" s="123">
        <f t="shared" si="232"/>
        <v>-4710.0200000000004</v>
      </c>
      <c r="S544" s="582">
        <v>0</v>
      </c>
      <c r="T544" s="123">
        <f t="shared" si="233"/>
        <v>-4710.0200000000004</v>
      </c>
      <c r="U544" s="25">
        <f t="shared" si="227"/>
        <v>178.5</v>
      </c>
      <c r="V544" s="123">
        <f t="shared" si="228"/>
        <v>-178.5</v>
      </c>
      <c r="W544" s="334">
        <f t="shared" si="229"/>
        <v>61.88</v>
      </c>
      <c r="Y544" s="109">
        <f>IF(AE544=1,IF(Y543=MiscData!$F$1,EOMONTH(Y543,-11),EOMONTH(Y543,1)),Y543)</f>
        <v>42247</v>
      </c>
      <c r="Z544" s="108" t="str">
        <f t="shared" si="236"/>
        <v>20140101LGUM_412</v>
      </c>
      <c r="AA544" s="126" t="str">
        <f t="shared" si="237"/>
        <v xml:space="preserve">20140101LS </v>
      </c>
      <c r="AB544" s="583" t="str">
        <f t="shared" si="234"/>
        <v>412</v>
      </c>
      <c r="AD544" s="98">
        <f>MiscData!$X$5</f>
        <v>20140101</v>
      </c>
      <c r="AE544" s="98">
        <f>IF(AE543+1&gt;MiscData!$AC$77,1,AE543+1)</f>
        <v>30</v>
      </c>
      <c r="AF544" s="98" t="str">
        <f>VLOOKUP(AE544,MiscData!$AC$5:$AD$77,2,FALSE)</f>
        <v>LGUM_412</v>
      </c>
      <c r="AG544" s="98" t="str">
        <f>VLOOKUP(AF544,MiscData!$AD$5:$AE$77,2,FALSE)</f>
        <v xml:space="preserve">LS </v>
      </c>
      <c r="AP544" s="98" t="s">
        <v>495</v>
      </c>
      <c r="AR544" s="98">
        <v>0</v>
      </c>
    </row>
    <row r="545" spans="1:44">
      <c r="A545" s="108">
        <f t="shared" si="235"/>
        <v>542</v>
      </c>
      <c r="B545" s="109" t="str">
        <f t="shared" si="213"/>
        <v>Aug 2015</v>
      </c>
      <c r="C545" s="110" t="str">
        <f t="shared" si="214"/>
        <v xml:space="preserve">LS </v>
      </c>
      <c r="D545" s="110" t="str">
        <f t="shared" si="215"/>
        <v>LGUM_413</v>
      </c>
      <c r="E545" s="581">
        <f t="shared" si="216"/>
        <v>2146</v>
      </c>
      <c r="F545" s="581">
        <f t="shared" si="217"/>
        <v>0</v>
      </c>
      <c r="G545" s="116">
        <f t="shared" si="218"/>
        <v>20.49</v>
      </c>
      <c r="H545" s="116">
        <f t="shared" si="219"/>
        <v>1.0599999999999987</v>
      </c>
      <c r="I545" s="118">
        <f t="shared" si="230"/>
        <v>43971.54</v>
      </c>
      <c r="J545" s="118">
        <f t="shared" si="220"/>
        <v>43971.54</v>
      </c>
      <c r="K545" s="570">
        <f t="shared" si="231"/>
        <v>0</v>
      </c>
      <c r="L545" s="121">
        <f t="shared" si="221"/>
        <v>0</v>
      </c>
      <c r="M545" s="122">
        <f t="shared" si="222"/>
        <v>0</v>
      </c>
      <c r="N545" s="122">
        <f t="shared" si="223"/>
        <v>0</v>
      </c>
      <c r="O545" s="122">
        <f t="shared" si="224"/>
        <v>0</v>
      </c>
      <c r="P545" s="122">
        <f t="shared" si="225"/>
        <v>0</v>
      </c>
      <c r="Q545" s="123">
        <f t="shared" si="226"/>
        <v>43971.54</v>
      </c>
      <c r="R545" s="123">
        <f t="shared" si="232"/>
        <v>-43971.54</v>
      </c>
      <c r="S545" s="582">
        <v>0</v>
      </c>
      <c r="T545" s="123">
        <f t="shared" si="233"/>
        <v>-43971.54</v>
      </c>
      <c r="U545" s="25">
        <f t="shared" si="227"/>
        <v>2274.7600000000002</v>
      </c>
      <c r="V545" s="123">
        <f t="shared" si="228"/>
        <v>-2274.7600000000002</v>
      </c>
      <c r="W545" s="334">
        <f t="shared" si="229"/>
        <v>579.42000000000007</v>
      </c>
      <c r="Y545" s="109">
        <f>IF(AE545=1,IF(Y544=MiscData!$F$1,EOMONTH(Y544,-11),EOMONTH(Y544,1)),Y544)</f>
        <v>42247</v>
      </c>
      <c r="Z545" s="108" t="str">
        <f t="shared" si="236"/>
        <v>20140101LGUM_413</v>
      </c>
      <c r="AA545" s="126" t="str">
        <f t="shared" si="237"/>
        <v xml:space="preserve">20140101LS </v>
      </c>
      <c r="AB545" s="583" t="str">
        <f t="shared" si="234"/>
        <v>413</v>
      </c>
      <c r="AD545" s="98">
        <f>MiscData!$X$5</f>
        <v>20140101</v>
      </c>
      <c r="AE545" s="98">
        <f>IF(AE544+1&gt;MiscData!$AC$77,1,AE544+1)</f>
        <v>31</v>
      </c>
      <c r="AF545" s="98" t="str">
        <f>VLOOKUP(AE545,MiscData!$AC$5:$AD$77,2,FALSE)</f>
        <v>LGUM_413</v>
      </c>
      <c r="AG545" s="98" t="str">
        <f>VLOOKUP(AF545,MiscData!$AD$5:$AE$77,2,FALSE)</f>
        <v xml:space="preserve">LS </v>
      </c>
      <c r="AP545" s="98" t="s">
        <v>155</v>
      </c>
      <c r="AR545" s="98">
        <v>0</v>
      </c>
    </row>
    <row r="546" spans="1:44">
      <c r="A546" s="108">
        <f t="shared" si="235"/>
        <v>543</v>
      </c>
      <c r="B546" s="109" t="str">
        <f t="shared" si="213"/>
        <v>Aug 2015</v>
      </c>
      <c r="C546" s="110" t="str">
        <f t="shared" si="214"/>
        <v xml:space="preserve">LS </v>
      </c>
      <c r="D546" s="110" t="str">
        <f t="shared" si="215"/>
        <v>LGUM_415</v>
      </c>
      <c r="E546" s="581">
        <f t="shared" si="216"/>
        <v>37</v>
      </c>
      <c r="F546" s="581">
        <f t="shared" si="217"/>
        <v>0</v>
      </c>
      <c r="G546" s="116">
        <f t="shared" si="218"/>
        <v>20.18</v>
      </c>
      <c r="H546" s="116">
        <f t="shared" si="219"/>
        <v>0.75</v>
      </c>
      <c r="I546" s="118">
        <f t="shared" si="230"/>
        <v>746.66</v>
      </c>
      <c r="J546" s="118">
        <f t="shared" si="220"/>
        <v>746.66</v>
      </c>
      <c r="K546" s="570">
        <f t="shared" si="231"/>
        <v>0</v>
      </c>
      <c r="L546" s="121">
        <f t="shared" si="221"/>
        <v>0</v>
      </c>
      <c r="M546" s="122">
        <f t="shared" si="222"/>
        <v>0</v>
      </c>
      <c r="N546" s="122">
        <f t="shared" si="223"/>
        <v>0</v>
      </c>
      <c r="O546" s="122">
        <f t="shared" si="224"/>
        <v>0</v>
      </c>
      <c r="P546" s="122">
        <f t="shared" si="225"/>
        <v>0</v>
      </c>
      <c r="Q546" s="123">
        <f t="shared" si="226"/>
        <v>746.66</v>
      </c>
      <c r="R546" s="123">
        <f t="shared" si="232"/>
        <v>-746.66</v>
      </c>
      <c r="S546" s="582">
        <v>0</v>
      </c>
      <c r="T546" s="123">
        <f t="shared" si="233"/>
        <v>-746.66</v>
      </c>
      <c r="U546" s="25">
        <f t="shared" si="227"/>
        <v>27.75</v>
      </c>
      <c r="V546" s="123">
        <f t="shared" si="228"/>
        <v>-27.75</v>
      </c>
      <c r="W546" s="334">
        <f t="shared" si="229"/>
        <v>9.620000000000001</v>
      </c>
      <c r="Y546" s="109">
        <f>IF(AE546=1,IF(Y545=MiscData!$F$1,EOMONTH(Y545,-11),EOMONTH(Y545,1)),Y545)</f>
        <v>42247</v>
      </c>
      <c r="Z546" s="108" t="str">
        <f t="shared" si="236"/>
        <v>20140101LGUM_415</v>
      </c>
      <c r="AA546" s="126" t="str">
        <f t="shared" si="237"/>
        <v xml:space="preserve">20140101LS </v>
      </c>
      <c r="AB546" s="583" t="str">
        <f t="shared" si="234"/>
        <v>415</v>
      </c>
      <c r="AD546" s="98">
        <f>MiscData!$X$5</f>
        <v>20140101</v>
      </c>
      <c r="AE546" s="98">
        <f>IF(AE545+1&gt;MiscData!$AC$77,1,AE545+1)</f>
        <v>32</v>
      </c>
      <c r="AF546" s="98" t="str">
        <f>VLOOKUP(AE546,MiscData!$AC$5:$AD$77,2,FALSE)</f>
        <v>LGUM_415</v>
      </c>
      <c r="AG546" s="98" t="str">
        <f>VLOOKUP(AF546,MiscData!$AD$5:$AE$77,2,FALSE)</f>
        <v xml:space="preserve">LS </v>
      </c>
      <c r="AP546" s="98" t="s">
        <v>156</v>
      </c>
      <c r="AR546" s="98">
        <v>0</v>
      </c>
    </row>
    <row r="547" spans="1:44">
      <c r="A547" s="108">
        <f t="shared" si="235"/>
        <v>544</v>
      </c>
      <c r="B547" s="109" t="str">
        <f t="shared" si="213"/>
        <v>Aug 2015</v>
      </c>
      <c r="C547" s="110" t="str">
        <f t="shared" si="214"/>
        <v xml:space="preserve">LS </v>
      </c>
      <c r="D547" s="110" t="str">
        <f t="shared" si="215"/>
        <v>LGUM_416</v>
      </c>
      <c r="E547" s="581">
        <f t="shared" si="216"/>
        <v>1843</v>
      </c>
      <c r="F547" s="581">
        <f t="shared" si="217"/>
        <v>0</v>
      </c>
      <c r="G547" s="116">
        <f t="shared" si="218"/>
        <v>22.56</v>
      </c>
      <c r="H547" s="116">
        <f t="shared" si="219"/>
        <v>1.0599999999999987</v>
      </c>
      <c r="I547" s="118">
        <f t="shared" si="230"/>
        <v>41578.080000000002</v>
      </c>
      <c r="J547" s="118">
        <f t="shared" si="220"/>
        <v>41578.080000000002</v>
      </c>
      <c r="K547" s="570">
        <f t="shared" si="231"/>
        <v>0</v>
      </c>
      <c r="L547" s="121">
        <f t="shared" si="221"/>
        <v>0</v>
      </c>
      <c r="M547" s="122">
        <f t="shared" si="222"/>
        <v>0</v>
      </c>
      <c r="N547" s="122">
        <f t="shared" si="223"/>
        <v>0</v>
      </c>
      <c r="O547" s="122">
        <f t="shared" si="224"/>
        <v>0</v>
      </c>
      <c r="P547" s="122">
        <f t="shared" si="225"/>
        <v>0</v>
      </c>
      <c r="Q547" s="123">
        <f t="shared" si="226"/>
        <v>41578.080000000002</v>
      </c>
      <c r="R547" s="123">
        <f t="shared" si="232"/>
        <v>-41578.080000000002</v>
      </c>
      <c r="S547" s="582">
        <v>0</v>
      </c>
      <c r="T547" s="123">
        <f t="shared" si="233"/>
        <v>-41578.080000000002</v>
      </c>
      <c r="U547" s="25">
        <f t="shared" si="227"/>
        <v>1953.58</v>
      </c>
      <c r="V547" s="123">
        <f t="shared" si="228"/>
        <v>-1953.58</v>
      </c>
      <c r="W547" s="334">
        <f t="shared" si="229"/>
        <v>497.61</v>
      </c>
      <c r="Y547" s="109">
        <f>IF(AE547=1,IF(Y546=MiscData!$F$1,EOMONTH(Y546,-11),EOMONTH(Y546,1)),Y546)</f>
        <v>42247</v>
      </c>
      <c r="Z547" s="108" t="str">
        <f t="shared" si="236"/>
        <v>20140101LGUM_416</v>
      </c>
      <c r="AA547" s="126" t="str">
        <f t="shared" si="237"/>
        <v xml:space="preserve">20140101LS </v>
      </c>
      <c r="AB547" s="583" t="str">
        <f t="shared" si="234"/>
        <v>416</v>
      </c>
      <c r="AD547" s="98">
        <f>MiscData!$X$5</f>
        <v>20140101</v>
      </c>
      <c r="AE547" s="98">
        <f>IF(AE546+1&gt;MiscData!$AC$77,1,AE546+1)</f>
        <v>33</v>
      </c>
      <c r="AF547" s="98" t="str">
        <f>VLOOKUP(AE547,MiscData!$AC$5:$AD$77,2,FALSE)</f>
        <v>LGUM_416</v>
      </c>
      <c r="AG547" s="98" t="str">
        <f>VLOOKUP(AF547,MiscData!$AD$5:$AE$77,2,FALSE)</f>
        <v xml:space="preserve">LS </v>
      </c>
      <c r="AP547" s="98" t="s">
        <v>361</v>
      </c>
      <c r="AR547" s="98">
        <v>0</v>
      </c>
    </row>
    <row r="548" spans="1:44">
      <c r="A548" s="108">
        <f t="shared" si="235"/>
        <v>545</v>
      </c>
      <c r="B548" s="109" t="str">
        <f t="shared" ref="B548:B553" si="238">TEXT(Y548,"mmm yyyy")</f>
        <v>Aug 2015</v>
      </c>
      <c r="C548" s="110" t="str">
        <f t="shared" ref="C548:C553" si="239">AG548</f>
        <v>RLS</v>
      </c>
      <c r="D548" s="110" t="str">
        <f t="shared" ref="D548:D553" si="240">AF548</f>
        <v>LGUM_417</v>
      </c>
      <c r="E548" s="581">
        <f t="shared" si="216"/>
        <v>39</v>
      </c>
      <c r="F548" s="581">
        <f t="shared" si="217"/>
        <v>0</v>
      </c>
      <c r="G548" s="116">
        <f t="shared" si="218"/>
        <v>23.68</v>
      </c>
      <c r="H548" s="116">
        <f t="shared" si="219"/>
        <v>1.0300000000000011</v>
      </c>
      <c r="I548" s="118">
        <f t="shared" si="230"/>
        <v>923.52</v>
      </c>
      <c r="J548" s="118">
        <f t="shared" si="220"/>
        <v>923.52</v>
      </c>
      <c r="K548" s="570">
        <f t="shared" si="231"/>
        <v>0</v>
      </c>
      <c r="L548" s="121">
        <f t="shared" si="221"/>
        <v>0</v>
      </c>
      <c r="M548" s="122">
        <f t="shared" si="222"/>
        <v>0</v>
      </c>
      <c r="N548" s="122">
        <f t="shared" si="223"/>
        <v>0</v>
      </c>
      <c r="O548" s="122">
        <f t="shared" si="224"/>
        <v>0</v>
      </c>
      <c r="P548" s="122">
        <f t="shared" si="225"/>
        <v>0</v>
      </c>
      <c r="Q548" s="123">
        <f t="shared" si="226"/>
        <v>923.52</v>
      </c>
      <c r="R548" s="123">
        <f t="shared" si="232"/>
        <v>-923.52</v>
      </c>
      <c r="S548" s="582">
        <v>0</v>
      </c>
      <c r="T548" s="123">
        <f t="shared" si="233"/>
        <v>-923.52</v>
      </c>
      <c r="U548" s="25">
        <f t="shared" si="227"/>
        <v>40.17</v>
      </c>
      <c r="V548" s="123">
        <f t="shared" si="228"/>
        <v>-40.17</v>
      </c>
      <c r="W548" s="334">
        <f t="shared" si="229"/>
        <v>10.530000000000001</v>
      </c>
      <c r="Y548" s="109">
        <f>IF(AE548=1,IF(Y547=MiscData!$F$1,EOMONTH(Y547,-11),EOMONTH(Y547,1)),Y547)</f>
        <v>42247</v>
      </c>
      <c r="Z548" s="108" t="str">
        <f t="shared" si="236"/>
        <v>20140101LGUM_417</v>
      </c>
      <c r="AA548" s="126" t="str">
        <f t="shared" si="237"/>
        <v>20140101RLS</v>
      </c>
      <c r="AB548" s="583" t="str">
        <f t="shared" si="234"/>
        <v>417</v>
      </c>
      <c r="AD548" s="98">
        <f>MiscData!$X$5</f>
        <v>20140101</v>
      </c>
      <c r="AE548" s="98">
        <f>IF(AE547+1&gt;MiscData!$AC$77,1,AE547+1)</f>
        <v>34</v>
      </c>
      <c r="AF548" s="98" t="str">
        <f>VLOOKUP(AE548,MiscData!$AC$5:$AD$77,2,FALSE)</f>
        <v>LGUM_417</v>
      </c>
      <c r="AG548" s="98" t="str">
        <f>VLOOKUP(AF548,MiscData!$AD$5:$AE$77,2,FALSE)</f>
        <v>RLS</v>
      </c>
      <c r="AP548" s="98" t="s">
        <v>502</v>
      </c>
      <c r="AR548" s="98">
        <v>0</v>
      </c>
    </row>
    <row r="549" spans="1:44">
      <c r="A549" s="108">
        <f t="shared" si="235"/>
        <v>546</v>
      </c>
      <c r="B549" s="109" t="str">
        <f t="shared" si="238"/>
        <v>Aug 2015</v>
      </c>
      <c r="C549" s="110" t="str">
        <f t="shared" si="239"/>
        <v>RLS</v>
      </c>
      <c r="D549" s="110" t="str">
        <f t="shared" si="240"/>
        <v>LGUM_419</v>
      </c>
      <c r="E549" s="581">
        <f t="shared" si="216"/>
        <v>108</v>
      </c>
      <c r="F549" s="581">
        <f t="shared" si="217"/>
        <v>0</v>
      </c>
      <c r="G549" s="116">
        <f t="shared" si="218"/>
        <v>24.77</v>
      </c>
      <c r="H549" s="116">
        <f t="shared" si="219"/>
        <v>1.6499999999999986</v>
      </c>
      <c r="I549" s="118">
        <f t="shared" si="230"/>
        <v>2675.16</v>
      </c>
      <c r="J549" s="118">
        <f t="shared" si="220"/>
        <v>2675.16</v>
      </c>
      <c r="K549" s="570">
        <f t="shared" si="231"/>
        <v>0</v>
      </c>
      <c r="L549" s="121">
        <f t="shared" si="221"/>
        <v>0</v>
      </c>
      <c r="M549" s="122">
        <f t="shared" si="222"/>
        <v>0</v>
      </c>
      <c r="N549" s="122">
        <f t="shared" si="223"/>
        <v>0</v>
      </c>
      <c r="O549" s="122">
        <f t="shared" si="224"/>
        <v>0</v>
      </c>
      <c r="P549" s="122">
        <f t="shared" si="225"/>
        <v>0</v>
      </c>
      <c r="Q549" s="123">
        <f t="shared" si="226"/>
        <v>2675.16</v>
      </c>
      <c r="R549" s="123">
        <f t="shared" si="232"/>
        <v>-2675.16</v>
      </c>
      <c r="S549" s="582">
        <v>0</v>
      </c>
      <c r="T549" s="123">
        <f t="shared" si="233"/>
        <v>-2675.16</v>
      </c>
      <c r="U549" s="25">
        <f t="shared" si="227"/>
        <v>178.2</v>
      </c>
      <c r="V549" s="123">
        <f t="shared" si="228"/>
        <v>-178.2</v>
      </c>
      <c r="W549" s="334">
        <f t="shared" si="229"/>
        <v>39.96</v>
      </c>
      <c r="Y549" s="109">
        <f>IF(AE549=1,IF(Y548=MiscData!$F$1,EOMONTH(Y548,-11),EOMONTH(Y548,1)),Y548)</f>
        <v>42247</v>
      </c>
      <c r="Z549" s="108" t="str">
        <f t="shared" si="236"/>
        <v>20140101LGUM_419</v>
      </c>
      <c r="AA549" s="126" t="str">
        <f t="shared" si="237"/>
        <v>20140101RLS</v>
      </c>
      <c r="AB549" s="583" t="str">
        <f t="shared" si="234"/>
        <v>419</v>
      </c>
      <c r="AD549" s="98">
        <f>MiscData!$X$5</f>
        <v>20140101</v>
      </c>
      <c r="AE549" s="98">
        <f>IF(AE548+1&gt;MiscData!$AC$77,1,AE548+1)</f>
        <v>35</v>
      </c>
      <c r="AF549" s="98" t="str">
        <f>VLOOKUP(AE549,MiscData!$AC$5:$AD$77,2,FALSE)</f>
        <v>LGUM_419</v>
      </c>
      <c r="AG549" s="98" t="str">
        <f>VLOOKUP(AF549,MiscData!$AD$5:$AE$77,2,FALSE)</f>
        <v>RLS</v>
      </c>
      <c r="AP549" s="98" t="s">
        <v>157</v>
      </c>
      <c r="AR549" s="98">
        <v>0</v>
      </c>
    </row>
    <row r="550" spans="1:44">
      <c r="A550" s="108">
        <f t="shared" si="235"/>
        <v>547</v>
      </c>
      <c r="B550" s="109" t="str">
        <f t="shared" si="238"/>
        <v>Aug 2015</v>
      </c>
      <c r="C550" s="110" t="str">
        <f t="shared" si="239"/>
        <v xml:space="preserve">LS </v>
      </c>
      <c r="D550" s="110" t="str">
        <f t="shared" si="240"/>
        <v>LGUM_420</v>
      </c>
      <c r="E550" s="581">
        <f t="shared" si="216"/>
        <v>53</v>
      </c>
      <c r="F550" s="581">
        <f t="shared" si="217"/>
        <v>0</v>
      </c>
      <c r="G550" s="116">
        <f t="shared" si="218"/>
        <v>29.889999999999997</v>
      </c>
      <c r="H550" s="116">
        <f t="shared" si="219"/>
        <v>1.6499999999999986</v>
      </c>
      <c r="I550" s="118">
        <f t="shared" si="230"/>
        <v>1584.17</v>
      </c>
      <c r="J550" s="118">
        <f t="shared" si="220"/>
        <v>1584.17</v>
      </c>
      <c r="K550" s="570">
        <f t="shared" si="231"/>
        <v>0</v>
      </c>
      <c r="L550" s="121">
        <f t="shared" si="221"/>
        <v>0</v>
      </c>
      <c r="M550" s="122">
        <f t="shared" si="222"/>
        <v>0</v>
      </c>
      <c r="N550" s="122">
        <f t="shared" si="223"/>
        <v>0</v>
      </c>
      <c r="O550" s="122">
        <f t="shared" si="224"/>
        <v>0</v>
      </c>
      <c r="P550" s="122">
        <f t="shared" si="225"/>
        <v>0</v>
      </c>
      <c r="Q550" s="123">
        <f t="shared" si="226"/>
        <v>1584.17</v>
      </c>
      <c r="R550" s="123">
        <f t="shared" si="232"/>
        <v>-1584.17</v>
      </c>
      <c r="S550" s="582">
        <v>0</v>
      </c>
      <c r="T550" s="123">
        <f t="shared" si="233"/>
        <v>-1584.17</v>
      </c>
      <c r="U550" s="25">
        <f t="shared" si="227"/>
        <v>87.45</v>
      </c>
      <c r="V550" s="123">
        <f t="shared" si="228"/>
        <v>-87.45</v>
      </c>
      <c r="W550" s="334">
        <f t="shared" si="229"/>
        <v>12.719999999999999</v>
      </c>
      <c r="Y550" s="109">
        <f>IF(AE550=1,IF(Y549=MiscData!$F$1,EOMONTH(Y549,-11),EOMONTH(Y549,1)),Y549)</f>
        <v>42247</v>
      </c>
      <c r="Z550" s="108" t="str">
        <f t="shared" si="236"/>
        <v>20140101LGUM_420</v>
      </c>
      <c r="AA550" s="126" t="str">
        <f t="shared" si="237"/>
        <v xml:space="preserve">20140101LS </v>
      </c>
      <c r="AB550" s="583" t="str">
        <f t="shared" si="234"/>
        <v>420</v>
      </c>
      <c r="AD550" s="98">
        <f>MiscData!$X$5</f>
        <v>20140101</v>
      </c>
      <c r="AE550" s="98">
        <f>IF(AE549+1&gt;MiscData!$AC$77,1,AE549+1)</f>
        <v>36</v>
      </c>
      <c r="AF550" s="98" t="str">
        <f>VLOOKUP(AE550,MiscData!$AC$5:$AD$77,2,FALSE)</f>
        <v>LGUM_420</v>
      </c>
      <c r="AG550" s="98" t="str">
        <f>VLOOKUP(AF550,MiscData!$AD$5:$AE$77,2,FALSE)</f>
        <v xml:space="preserve">LS </v>
      </c>
      <c r="AP550" s="98" t="s">
        <v>158</v>
      </c>
      <c r="AR550" s="98">
        <v>0</v>
      </c>
    </row>
    <row r="551" spans="1:44">
      <c r="A551" s="108">
        <f t="shared" si="235"/>
        <v>548</v>
      </c>
      <c r="B551" s="109" t="str">
        <f t="shared" si="238"/>
        <v>Aug 2015</v>
      </c>
      <c r="C551" s="110" t="str">
        <f t="shared" si="239"/>
        <v xml:space="preserve">LS </v>
      </c>
      <c r="D551" s="110" t="str">
        <f t="shared" si="240"/>
        <v>LGUM_421</v>
      </c>
      <c r="E551" s="581">
        <f t="shared" si="216"/>
        <v>177</v>
      </c>
      <c r="F551" s="581">
        <f t="shared" si="217"/>
        <v>0</v>
      </c>
      <c r="G551" s="116">
        <f t="shared" si="218"/>
        <v>32.860000000000007</v>
      </c>
      <c r="H551" s="116">
        <f t="shared" si="219"/>
        <v>2.6700000000000017</v>
      </c>
      <c r="I551" s="118">
        <f t="shared" si="230"/>
        <v>5816.22</v>
      </c>
      <c r="J551" s="118">
        <f t="shared" si="220"/>
        <v>5816.22</v>
      </c>
      <c r="K551" s="570">
        <f t="shared" si="231"/>
        <v>0</v>
      </c>
      <c r="L551" s="121">
        <f t="shared" si="221"/>
        <v>0</v>
      </c>
      <c r="M551" s="122">
        <f t="shared" si="222"/>
        <v>0</v>
      </c>
      <c r="N551" s="122">
        <f t="shared" si="223"/>
        <v>0</v>
      </c>
      <c r="O551" s="122">
        <f t="shared" si="224"/>
        <v>0</v>
      </c>
      <c r="P551" s="122">
        <f t="shared" si="225"/>
        <v>0</v>
      </c>
      <c r="Q551" s="123">
        <f t="shared" si="226"/>
        <v>5816.22</v>
      </c>
      <c r="R551" s="123">
        <f t="shared" si="232"/>
        <v>-5816.22</v>
      </c>
      <c r="S551" s="582">
        <v>0</v>
      </c>
      <c r="T551" s="123">
        <f t="shared" si="233"/>
        <v>-5816.22</v>
      </c>
      <c r="U551" s="25">
        <f t="shared" si="227"/>
        <v>472.59</v>
      </c>
      <c r="V551" s="123">
        <f t="shared" si="228"/>
        <v>-472.59</v>
      </c>
      <c r="W551" s="334">
        <f t="shared" si="229"/>
        <v>47.790000000000006</v>
      </c>
      <c r="Y551" s="109">
        <f>IF(AE551=1,IF(Y550=MiscData!$F$1,EOMONTH(Y550,-11),EOMONTH(Y550,1)),Y550)</f>
        <v>42247</v>
      </c>
      <c r="Z551" s="108" t="str">
        <f t="shared" si="236"/>
        <v>20140101LGUM_421</v>
      </c>
      <c r="AA551" s="126" t="str">
        <f t="shared" si="237"/>
        <v xml:space="preserve">20140101LS </v>
      </c>
      <c r="AB551" s="583" t="str">
        <f t="shared" si="234"/>
        <v>421</v>
      </c>
      <c r="AD551" s="98">
        <f>MiscData!$X$5</f>
        <v>20140101</v>
      </c>
      <c r="AE551" s="98">
        <f>IF(AE550+1&gt;MiscData!$AC$77,1,AE550+1)</f>
        <v>37</v>
      </c>
      <c r="AF551" s="98" t="str">
        <f>VLOOKUP(AE551,MiscData!$AC$5:$AD$77,2,FALSE)</f>
        <v>LGUM_421</v>
      </c>
      <c r="AG551" s="98" t="str">
        <f>VLOOKUP(AF551,MiscData!$AD$5:$AE$77,2,FALSE)</f>
        <v xml:space="preserve">LS </v>
      </c>
      <c r="AP551" s="98" t="s">
        <v>159</v>
      </c>
      <c r="AR551" s="98">
        <v>6.91</v>
      </c>
    </row>
    <row r="552" spans="1:44">
      <c r="A552" s="108">
        <f t="shared" si="235"/>
        <v>549</v>
      </c>
      <c r="B552" s="109" t="str">
        <f t="shared" si="238"/>
        <v>Aug 2015</v>
      </c>
      <c r="C552" s="110" t="str">
        <f t="shared" si="239"/>
        <v xml:space="preserve">LS </v>
      </c>
      <c r="D552" s="110" t="str">
        <f t="shared" si="240"/>
        <v>LGUM_422</v>
      </c>
      <c r="E552" s="581">
        <f t="shared" si="216"/>
        <v>378</v>
      </c>
      <c r="F552" s="581">
        <f t="shared" si="217"/>
        <v>0</v>
      </c>
      <c r="G552" s="116">
        <f t="shared" si="218"/>
        <v>38.389999999999993</v>
      </c>
      <c r="H552" s="116">
        <f t="shared" si="219"/>
        <v>4.279999999999994</v>
      </c>
      <c r="I552" s="118">
        <f t="shared" si="230"/>
        <v>14511.42</v>
      </c>
      <c r="J552" s="118">
        <f t="shared" si="220"/>
        <v>14511.42</v>
      </c>
      <c r="K552" s="570">
        <f t="shared" si="231"/>
        <v>0</v>
      </c>
      <c r="L552" s="121">
        <f t="shared" si="221"/>
        <v>0</v>
      </c>
      <c r="M552" s="122">
        <f t="shared" si="222"/>
        <v>0</v>
      </c>
      <c r="N552" s="122">
        <f t="shared" si="223"/>
        <v>0</v>
      </c>
      <c r="O552" s="122">
        <f t="shared" si="224"/>
        <v>0</v>
      </c>
      <c r="P552" s="122">
        <f t="shared" si="225"/>
        <v>0</v>
      </c>
      <c r="Q552" s="123">
        <f t="shared" si="226"/>
        <v>14511.42</v>
      </c>
      <c r="R552" s="123">
        <f t="shared" si="232"/>
        <v>-14511.42</v>
      </c>
      <c r="S552" s="582">
        <v>0</v>
      </c>
      <c r="T552" s="123">
        <f t="shared" si="233"/>
        <v>-14511.42</v>
      </c>
      <c r="U552" s="25">
        <f t="shared" si="227"/>
        <v>1617.84</v>
      </c>
      <c r="V552" s="123">
        <f t="shared" si="228"/>
        <v>-1617.84</v>
      </c>
      <c r="W552" s="334">
        <f t="shared" si="229"/>
        <v>109.61999999999999</v>
      </c>
      <c r="Y552" s="109">
        <f>IF(AE552=1,IF(Y551=MiscData!$F$1,EOMONTH(Y551,-11),EOMONTH(Y551,1)),Y551)</f>
        <v>42247</v>
      </c>
      <c r="Z552" s="108" t="str">
        <f t="shared" si="236"/>
        <v>20140101LGUM_422</v>
      </c>
      <c r="AA552" s="126" t="str">
        <f t="shared" si="237"/>
        <v xml:space="preserve">20140101LS </v>
      </c>
      <c r="AB552" s="583" t="str">
        <f t="shared" si="234"/>
        <v>422</v>
      </c>
      <c r="AD552" s="98">
        <f>MiscData!$X$5</f>
        <v>20140101</v>
      </c>
      <c r="AE552" s="98">
        <f>IF(AE551+1&gt;MiscData!$AC$77,1,AE551+1)</f>
        <v>38</v>
      </c>
      <c r="AF552" s="98" t="str">
        <f>VLOOKUP(AE552,MiscData!$AC$5:$AD$77,2,FALSE)</f>
        <v>LGUM_422</v>
      </c>
      <c r="AG552" s="98" t="str">
        <f>VLOOKUP(AF552,MiscData!$AD$5:$AE$77,2,FALSE)</f>
        <v xml:space="preserve">LS </v>
      </c>
      <c r="AP552" s="98" t="s">
        <v>160</v>
      </c>
      <c r="AR552" s="98">
        <v>0</v>
      </c>
    </row>
    <row r="553" spans="1:44">
      <c r="A553" s="108">
        <f t="shared" si="235"/>
        <v>550</v>
      </c>
      <c r="B553" s="109" t="str">
        <f t="shared" si="238"/>
        <v>Aug 2015</v>
      </c>
      <c r="C553" s="110" t="str">
        <f t="shared" si="239"/>
        <v xml:space="preserve">LS </v>
      </c>
      <c r="D553" s="110" t="str">
        <f t="shared" si="240"/>
        <v>LGUM_423</v>
      </c>
      <c r="E553" s="581">
        <f t="shared" si="216"/>
        <v>22</v>
      </c>
      <c r="F553" s="581">
        <f t="shared" si="217"/>
        <v>0</v>
      </c>
      <c r="G553" s="116">
        <f t="shared" si="218"/>
        <v>26.349999999999998</v>
      </c>
      <c r="H553" s="116">
        <f t="shared" si="219"/>
        <v>1.6500000000000021</v>
      </c>
      <c r="I553" s="118">
        <f t="shared" si="230"/>
        <v>579.70000000000005</v>
      </c>
      <c r="J553" s="118">
        <f t="shared" si="220"/>
        <v>579.70000000000005</v>
      </c>
      <c r="K553" s="570">
        <f t="shared" si="231"/>
        <v>0</v>
      </c>
      <c r="L553" s="121">
        <f t="shared" si="221"/>
        <v>0</v>
      </c>
      <c r="M553" s="122">
        <f t="shared" si="222"/>
        <v>0</v>
      </c>
      <c r="N553" s="122">
        <f t="shared" si="223"/>
        <v>0</v>
      </c>
      <c r="O553" s="122">
        <f t="shared" si="224"/>
        <v>0</v>
      </c>
      <c r="P553" s="122">
        <f t="shared" si="225"/>
        <v>0</v>
      </c>
      <c r="Q553" s="123">
        <f t="shared" si="226"/>
        <v>579.70000000000005</v>
      </c>
      <c r="R553" s="123">
        <f t="shared" si="232"/>
        <v>-579.70000000000005</v>
      </c>
      <c r="S553" s="582">
        <v>0</v>
      </c>
      <c r="T553" s="123">
        <f t="shared" si="233"/>
        <v>-579.70000000000005</v>
      </c>
      <c r="U553" s="25">
        <f t="shared" si="227"/>
        <v>36.299999999999997</v>
      </c>
      <c r="V553" s="123">
        <f t="shared" si="228"/>
        <v>-36.299999999999997</v>
      </c>
      <c r="W553" s="334">
        <f t="shared" si="229"/>
        <v>5.2799999999999994</v>
      </c>
      <c r="Y553" s="109">
        <f>IF(AE553=1,IF(Y552=MiscData!$F$1,EOMONTH(Y552,-11),EOMONTH(Y552,1)),Y552)</f>
        <v>42247</v>
      </c>
      <c r="Z553" s="108" t="str">
        <f t="shared" si="236"/>
        <v>20140101LGUM_423</v>
      </c>
      <c r="AA553" s="126" t="str">
        <f t="shared" si="237"/>
        <v xml:space="preserve">20140101LS </v>
      </c>
      <c r="AB553" s="583" t="str">
        <f t="shared" si="234"/>
        <v>423</v>
      </c>
      <c r="AD553" s="98">
        <f>MiscData!$X$5</f>
        <v>20140101</v>
      </c>
      <c r="AE553" s="98">
        <f>IF(AE552+1&gt;MiscData!$AC$77,1,AE552+1)</f>
        <v>39</v>
      </c>
      <c r="AF553" s="98" t="str">
        <f>VLOOKUP(AE553,MiscData!$AC$5:$AD$77,2,FALSE)</f>
        <v>LGUM_423</v>
      </c>
      <c r="AG553" s="98" t="str">
        <f>VLOOKUP(AF553,MiscData!$AD$5:$AE$77,2,FALSE)</f>
        <v xml:space="preserve">LS </v>
      </c>
      <c r="AP553" s="98" t="s">
        <v>161</v>
      </c>
      <c r="AR553" s="98">
        <v>0</v>
      </c>
    </row>
    <row r="554" spans="1:44">
      <c r="A554" s="108">
        <f t="shared" si="235"/>
        <v>551</v>
      </c>
      <c r="B554" s="109" t="str">
        <f t="shared" ref="B554:B617" si="241">TEXT(Y554,"mmm yyyy")</f>
        <v>Aug 2015</v>
      </c>
      <c r="C554" s="110" t="str">
        <f t="shared" ref="C554:C617" si="242">AG554</f>
        <v xml:space="preserve">LS </v>
      </c>
      <c r="D554" s="110" t="str">
        <f t="shared" ref="D554:D617" si="243">AF554</f>
        <v>LGUM_424</v>
      </c>
      <c r="E554" s="581">
        <f t="shared" si="216"/>
        <v>455</v>
      </c>
      <c r="F554" s="581">
        <f t="shared" si="217"/>
        <v>0</v>
      </c>
      <c r="G554" s="116">
        <f t="shared" si="218"/>
        <v>28.45</v>
      </c>
      <c r="H554" s="116">
        <f t="shared" si="219"/>
        <v>3.9800000000000004</v>
      </c>
      <c r="I554" s="118">
        <f t="shared" si="230"/>
        <v>12944.75</v>
      </c>
      <c r="J554" s="118">
        <f t="shared" si="220"/>
        <v>12944.75</v>
      </c>
      <c r="K554" s="570">
        <f t="shared" si="231"/>
        <v>0</v>
      </c>
      <c r="L554" s="121">
        <f t="shared" si="221"/>
        <v>0</v>
      </c>
      <c r="M554" s="122">
        <f t="shared" si="222"/>
        <v>0</v>
      </c>
      <c r="N554" s="122">
        <f t="shared" si="223"/>
        <v>0</v>
      </c>
      <c r="O554" s="122">
        <f t="shared" si="224"/>
        <v>0</v>
      </c>
      <c r="P554" s="122">
        <f t="shared" si="225"/>
        <v>0</v>
      </c>
      <c r="Q554" s="123">
        <f t="shared" si="226"/>
        <v>12944.75</v>
      </c>
      <c r="R554" s="123">
        <f t="shared" si="232"/>
        <v>-12944.75</v>
      </c>
      <c r="S554" s="582">
        <v>0</v>
      </c>
      <c r="T554" s="123">
        <f t="shared" si="233"/>
        <v>-12944.75</v>
      </c>
      <c r="U554" s="25">
        <f t="shared" si="227"/>
        <v>1810.9</v>
      </c>
      <c r="V554" s="123">
        <f t="shared" si="228"/>
        <v>-1810.9</v>
      </c>
      <c r="W554" s="334">
        <f t="shared" si="229"/>
        <v>122.85000000000001</v>
      </c>
      <c r="Y554" s="109">
        <f>IF(AE554=1,IF(Y553=MiscData!$F$1,EOMONTH(Y553,-11),EOMONTH(Y553,1)),Y553)</f>
        <v>42247</v>
      </c>
      <c r="Z554" s="108" t="str">
        <f t="shared" ref="Z554:Z617" si="244">CONCATENATE(AD554&amp;AF554)</f>
        <v>20140101LGUM_424</v>
      </c>
      <c r="AA554" s="126" t="str">
        <f t="shared" ref="AA554:AA617" si="245">CONCATENATE(AD554&amp;AG554)</f>
        <v xml:space="preserve">20140101LS </v>
      </c>
      <c r="AB554" s="583" t="str">
        <f t="shared" si="234"/>
        <v>424</v>
      </c>
      <c r="AD554" s="98">
        <f>MiscData!$X$5</f>
        <v>20140101</v>
      </c>
      <c r="AE554" s="98">
        <f>IF(AE553+1&gt;MiscData!$AC$77,1,AE553+1)</f>
        <v>40</v>
      </c>
      <c r="AF554" s="98" t="str">
        <f>VLOOKUP(AE554,MiscData!$AC$5:$AD$77,2,FALSE)</f>
        <v>LGUM_424</v>
      </c>
      <c r="AG554" s="98" t="str">
        <f>VLOOKUP(AF554,MiscData!$AD$5:$AE$77,2,FALSE)</f>
        <v xml:space="preserve">LS </v>
      </c>
      <c r="AP554" s="98" t="s">
        <v>162</v>
      </c>
      <c r="AR554" s="98">
        <v>-42.24</v>
      </c>
    </row>
    <row r="555" spans="1:44">
      <c r="A555" s="108">
        <f t="shared" si="235"/>
        <v>552</v>
      </c>
      <c r="B555" s="109" t="str">
        <f t="shared" si="241"/>
        <v>Aug 2015</v>
      </c>
      <c r="C555" s="110" t="str">
        <f t="shared" si="242"/>
        <v xml:space="preserve">LS </v>
      </c>
      <c r="D555" s="110" t="str">
        <f t="shared" si="243"/>
        <v>LGUM_425</v>
      </c>
      <c r="E555" s="581">
        <f t="shared" si="216"/>
        <v>34</v>
      </c>
      <c r="F555" s="581">
        <f t="shared" si="217"/>
        <v>0</v>
      </c>
      <c r="G555" s="116">
        <f t="shared" si="218"/>
        <v>34.029999999999994</v>
      </c>
      <c r="H555" s="116">
        <f t="shared" si="219"/>
        <v>4.2799999999999976</v>
      </c>
      <c r="I555" s="118">
        <f t="shared" si="230"/>
        <v>1157.02</v>
      </c>
      <c r="J555" s="118">
        <f t="shared" si="220"/>
        <v>1157.02</v>
      </c>
      <c r="K555" s="570">
        <f t="shared" si="231"/>
        <v>0</v>
      </c>
      <c r="L555" s="121">
        <f t="shared" si="221"/>
        <v>0</v>
      </c>
      <c r="M555" s="122">
        <f t="shared" si="222"/>
        <v>0</v>
      </c>
      <c r="N555" s="122">
        <f t="shared" si="223"/>
        <v>0</v>
      </c>
      <c r="O555" s="122">
        <f t="shared" si="224"/>
        <v>0</v>
      </c>
      <c r="P555" s="122">
        <f t="shared" si="225"/>
        <v>0</v>
      </c>
      <c r="Q555" s="123">
        <f t="shared" si="226"/>
        <v>1157.02</v>
      </c>
      <c r="R555" s="123">
        <f t="shared" si="232"/>
        <v>-1157.02</v>
      </c>
      <c r="S555" s="582">
        <v>0</v>
      </c>
      <c r="T555" s="123">
        <f t="shared" si="233"/>
        <v>-1157.02</v>
      </c>
      <c r="U555" s="25">
        <f t="shared" si="227"/>
        <v>145.52000000000001</v>
      </c>
      <c r="V555" s="123">
        <f t="shared" si="228"/>
        <v>-145.52000000000001</v>
      </c>
      <c r="W555" s="334">
        <f t="shared" si="229"/>
        <v>9.86</v>
      </c>
      <c r="Y555" s="109">
        <f>IF(AE555=1,IF(Y554=MiscData!$F$1,EOMONTH(Y554,-11),EOMONTH(Y554,1)),Y554)</f>
        <v>42247</v>
      </c>
      <c r="Z555" s="108" t="str">
        <f t="shared" si="244"/>
        <v>20140101LGUM_425</v>
      </c>
      <c r="AA555" s="126" t="str">
        <f t="shared" si="245"/>
        <v xml:space="preserve">20140101LS </v>
      </c>
      <c r="AB555" s="583" t="str">
        <f t="shared" si="234"/>
        <v>425</v>
      </c>
      <c r="AD555" s="98">
        <f>MiscData!$X$5</f>
        <v>20140101</v>
      </c>
      <c r="AE555" s="98">
        <f>IF(AE554+1&gt;MiscData!$AC$77,1,AE554+1)</f>
        <v>41</v>
      </c>
      <c r="AF555" s="98" t="str">
        <f>VLOOKUP(AE555,MiscData!$AC$5:$AD$77,2,FALSE)</f>
        <v>LGUM_425</v>
      </c>
      <c r="AG555" s="98" t="str">
        <f>VLOOKUP(AF555,MiscData!$AD$5:$AE$77,2,FALSE)</f>
        <v xml:space="preserve">LS </v>
      </c>
      <c r="AP555" s="98" t="s">
        <v>163</v>
      </c>
      <c r="AR555" s="98">
        <v>-31.59</v>
      </c>
    </row>
    <row r="556" spans="1:44">
      <c r="A556" s="108">
        <f t="shared" si="235"/>
        <v>553</v>
      </c>
      <c r="B556" s="109" t="str">
        <f t="shared" si="241"/>
        <v>Aug 2015</v>
      </c>
      <c r="C556" s="110" t="str">
        <f t="shared" si="242"/>
        <v>RLS</v>
      </c>
      <c r="D556" s="110" t="str">
        <f t="shared" si="243"/>
        <v>LGUM_426</v>
      </c>
      <c r="E556" s="581">
        <f t="shared" si="216"/>
        <v>40</v>
      </c>
      <c r="F556" s="581">
        <f t="shared" si="217"/>
        <v>0</v>
      </c>
      <c r="G556" s="116">
        <f t="shared" si="218"/>
        <v>33.22</v>
      </c>
      <c r="H556" s="116">
        <f t="shared" si="219"/>
        <v>0.75</v>
      </c>
      <c r="I556" s="118">
        <f t="shared" si="230"/>
        <v>1328.8</v>
      </c>
      <c r="J556" s="118">
        <f t="shared" si="220"/>
        <v>1328.8</v>
      </c>
      <c r="K556" s="570">
        <f t="shared" si="231"/>
        <v>0</v>
      </c>
      <c r="L556" s="121">
        <f t="shared" si="221"/>
        <v>0</v>
      </c>
      <c r="M556" s="122">
        <f t="shared" si="222"/>
        <v>0</v>
      </c>
      <c r="N556" s="122">
        <f t="shared" si="223"/>
        <v>0</v>
      </c>
      <c r="O556" s="122">
        <f t="shared" si="224"/>
        <v>0</v>
      </c>
      <c r="P556" s="122">
        <f t="shared" si="225"/>
        <v>0</v>
      </c>
      <c r="Q556" s="123">
        <f t="shared" si="226"/>
        <v>1328.8</v>
      </c>
      <c r="R556" s="123">
        <f t="shared" si="232"/>
        <v>-1328.8</v>
      </c>
      <c r="S556" s="582">
        <v>0</v>
      </c>
      <c r="T556" s="123">
        <f t="shared" si="233"/>
        <v>-1328.8</v>
      </c>
      <c r="U556" s="25">
        <f t="shared" si="227"/>
        <v>30</v>
      </c>
      <c r="V556" s="123">
        <f t="shared" si="228"/>
        <v>-30</v>
      </c>
      <c r="W556" s="334">
        <f t="shared" si="229"/>
        <v>10.4</v>
      </c>
      <c r="Y556" s="109">
        <f>IF(AE556=1,IF(Y555=MiscData!$F$1,EOMONTH(Y555,-11),EOMONTH(Y555,1)),Y555)</f>
        <v>42247</v>
      </c>
      <c r="Z556" s="108" t="str">
        <f t="shared" si="244"/>
        <v>20140101LGUM_426</v>
      </c>
      <c r="AA556" s="126" t="str">
        <f t="shared" si="245"/>
        <v>20140101RLS</v>
      </c>
      <c r="AB556" s="583" t="str">
        <f t="shared" si="234"/>
        <v>426</v>
      </c>
      <c r="AD556" s="98">
        <f>MiscData!$X$5</f>
        <v>20140101</v>
      </c>
      <c r="AE556" s="98">
        <f>IF(AE555+1&gt;MiscData!$AC$77,1,AE555+1)</f>
        <v>42</v>
      </c>
      <c r="AF556" s="98" t="str">
        <f>VLOOKUP(AE556,MiscData!$AC$5:$AD$77,2,FALSE)</f>
        <v>LGUM_426</v>
      </c>
      <c r="AG556" s="98" t="str">
        <f>VLOOKUP(AF556,MiscData!$AD$5:$AE$77,2,FALSE)</f>
        <v>RLS</v>
      </c>
      <c r="AP556" s="98" t="s">
        <v>164</v>
      </c>
      <c r="AR556" s="98">
        <v>0</v>
      </c>
    </row>
    <row r="557" spans="1:44">
      <c r="A557" s="108">
        <f t="shared" si="235"/>
        <v>554</v>
      </c>
      <c r="B557" s="109" t="str">
        <f t="shared" si="241"/>
        <v>Aug 2015</v>
      </c>
      <c r="C557" s="110" t="str">
        <f t="shared" si="242"/>
        <v xml:space="preserve">LS </v>
      </c>
      <c r="D557" s="110" t="str">
        <f t="shared" si="243"/>
        <v>LGUM_427</v>
      </c>
      <c r="E557" s="581">
        <f t="shared" si="216"/>
        <v>52</v>
      </c>
      <c r="F557" s="581">
        <f t="shared" si="217"/>
        <v>0</v>
      </c>
      <c r="G557" s="116">
        <f t="shared" si="218"/>
        <v>35.199999999999996</v>
      </c>
      <c r="H557" s="116">
        <f t="shared" si="219"/>
        <v>0.75</v>
      </c>
      <c r="I557" s="118">
        <f t="shared" si="230"/>
        <v>1830.4</v>
      </c>
      <c r="J557" s="118">
        <f t="shared" si="220"/>
        <v>1830.4</v>
      </c>
      <c r="K557" s="570">
        <f t="shared" si="231"/>
        <v>0</v>
      </c>
      <c r="L557" s="121">
        <f t="shared" si="221"/>
        <v>0</v>
      </c>
      <c r="M557" s="122">
        <f t="shared" si="222"/>
        <v>0</v>
      </c>
      <c r="N557" s="122">
        <f t="shared" si="223"/>
        <v>0</v>
      </c>
      <c r="O557" s="122">
        <f t="shared" si="224"/>
        <v>0</v>
      </c>
      <c r="P557" s="122">
        <f t="shared" si="225"/>
        <v>0</v>
      </c>
      <c r="Q557" s="123">
        <f t="shared" si="226"/>
        <v>1830.4</v>
      </c>
      <c r="R557" s="123">
        <f t="shared" si="232"/>
        <v>-1830.4</v>
      </c>
      <c r="S557" s="582">
        <v>0</v>
      </c>
      <c r="T557" s="123">
        <f t="shared" si="233"/>
        <v>-1830.4</v>
      </c>
      <c r="U557" s="25">
        <f t="shared" si="227"/>
        <v>39</v>
      </c>
      <c r="V557" s="123">
        <f t="shared" si="228"/>
        <v>-39</v>
      </c>
      <c r="W557" s="334">
        <f t="shared" si="229"/>
        <v>13.52</v>
      </c>
      <c r="Y557" s="109">
        <f>IF(AE557=1,IF(Y556=MiscData!$F$1,EOMONTH(Y556,-11),EOMONTH(Y556,1)),Y556)</f>
        <v>42247</v>
      </c>
      <c r="Z557" s="108" t="str">
        <f t="shared" si="244"/>
        <v>20140101LGUM_427</v>
      </c>
      <c r="AA557" s="126" t="str">
        <f t="shared" si="245"/>
        <v xml:space="preserve">20140101LS </v>
      </c>
      <c r="AB557" s="583" t="str">
        <f t="shared" si="234"/>
        <v>427</v>
      </c>
      <c r="AD557" s="98">
        <f>MiscData!$X$5</f>
        <v>20140101</v>
      </c>
      <c r="AE557" s="98">
        <f>IF(AE556+1&gt;MiscData!$AC$77,1,AE556+1)</f>
        <v>43</v>
      </c>
      <c r="AF557" s="98" t="str">
        <f>VLOOKUP(AE557,MiscData!$AC$5:$AD$77,2,FALSE)</f>
        <v>LGUM_427</v>
      </c>
      <c r="AG557" s="98" t="str">
        <f>VLOOKUP(AF557,MiscData!$AD$5:$AE$77,2,FALSE)</f>
        <v xml:space="preserve">LS </v>
      </c>
      <c r="AP557" s="98" t="s">
        <v>165</v>
      </c>
      <c r="AR557" s="98">
        <v>0</v>
      </c>
    </row>
    <row r="558" spans="1:44">
      <c r="A558" s="108">
        <f t="shared" si="235"/>
        <v>555</v>
      </c>
      <c r="B558" s="109" t="str">
        <f t="shared" si="241"/>
        <v>Aug 2015</v>
      </c>
      <c r="C558" s="110" t="str">
        <f t="shared" si="242"/>
        <v>RLS</v>
      </c>
      <c r="D558" s="110" t="str">
        <f t="shared" si="243"/>
        <v>LGUM_428</v>
      </c>
      <c r="E558" s="581">
        <f t="shared" si="216"/>
        <v>216</v>
      </c>
      <c r="F558" s="581">
        <f t="shared" si="217"/>
        <v>0</v>
      </c>
      <c r="G558" s="116">
        <f t="shared" si="218"/>
        <v>34.090000000000003</v>
      </c>
      <c r="H558" s="116">
        <f t="shared" si="219"/>
        <v>1.0600000000000023</v>
      </c>
      <c r="I558" s="118">
        <f t="shared" si="230"/>
        <v>7363.44</v>
      </c>
      <c r="J558" s="118">
        <f t="shared" si="220"/>
        <v>7363.44</v>
      </c>
      <c r="K558" s="570">
        <f t="shared" si="231"/>
        <v>0</v>
      </c>
      <c r="L558" s="121">
        <f t="shared" si="221"/>
        <v>0</v>
      </c>
      <c r="M558" s="122">
        <f t="shared" si="222"/>
        <v>0</v>
      </c>
      <c r="N558" s="122">
        <f t="shared" si="223"/>
        <v>0</v>
      </c>
      <c r="O558" s="122">
        <f t="shared" si="224"/>
        <v>0</v>
      </c>
      <c r="P558" s="122">
        <f t="shared" si="225"/>
        <v>0</v>
      </c>
      <c r="Q558" s="123">
        <f t="shared" si="226"/>
        <v>7363.44</v>
      </c>
      <c r="R558" s="123">
        <f t="shared" si="232"/>
        <v>-7363.44</v>
      </c>
      <c r="S558" s="582">
        <v>0</v>
      </c>
      <c r="T558" s="123">
        <f t="shared" si="233"/>
        <v>-7363.44</v>
      </c>
      <c r="U558" s="25">
        <f t="shared" si="227"/>
        <v>228.96</v>
      </c>
      <c r="V558" s="123">
        <f t="shared" si="228"/>
        <v>-228.96</v>
      </c>
      <c r="W558" s="334">
        <f t="shared" si="229"/>
        <v>58.320000000000007</v>
      </c>
      <c r="Y558" s="109">
        <f>IF(AE558=1,IF(Y557=MiscData!$F$1,EOMONTH(Y557,-11),EOMONTH(Y557,1)),Y557)</f>
        <v>42247</v>
      </c>
      <c r="Z558" s="108" t="str">
        <f t="shared" si="244"/>
        <v>20140101LGUM_428</v>
      </c>
      <c r="AA558" s="126" t="str">
        <f t="shared" si="245"/>
        <v>20140101RLS</v>
      </c>
      <c r="AB558" s="583" t="str">
        <f t="shared" si="234"/>
        <v>428</v>
      </c>
      <c r="AD558" s="98">
        <f>MiscData!$X$5</f>
        <v>20140101</v>
      </c>
      <c r="AE558" s="98">
        <f>IF(AE557+1&gt;MiscData!$AC$77,1,AE557+1)</f>
        <v>44</v>
      </c>
      <c r="AF558" s="98" t="str">
        <f>VLOOKUP(AE558,MiscData!$AC$5:$AD$77,2,FALSE)</f>
        <v>LGUM_428</v>
      </c>
      <c r="AG558" s="98" t="str">
        <f>VLOOKUP(AF558,MiscData!$AD$5:$AE$77,2,FALSE)</f>
        <v>RLS</v>
      </c>
      <c r="AP558" s="98" t="s">
        <v>166</v>
      </c>
      <c r="AR558" s="98">
        <v>11.71</v>
      </c>
    </row>
    <row r="559" spans="1:44">
      <c r="A559" s="108">
        <f t="shared" si="235"/>
        <v>556</v>
      </c>
      <c r="B559" s="109" t="str">
        <f t="shared" si="241"/>
        <v>Aug 2015</v>
      </c>
      <c r="C559" s="110" t="str">
        <f t="shared" si="242"/>
        <v xml:space="preserve">LS </v>
      </c>
      <c r="D559" s="110" t="str">
        <f t="shared" si="243"/>
        <v>LGUM_429</v>
      </c>
      <c r="E559" s="581">
        <f t="shared" si="216"/>
        <v>218</v>
      </c>
      <c r="F559" s="581">
        <f t="shared" si="217"/>
        <v>0</v>
      </c>
      <c r="G559" s="116">
        <f t="shared" si="218"/>
        <v>36.07</v>
      </c>
      <c r="H559" s="116">
        <f t="shared" si="219"/>
        <v>1.0599999999999952</v>
      </c>
      <c r="I559" s="118">
        <f t="shared" si="230"/>
        <v>7863.26</v>
      </c>
      <c r="J559" s="118">
        <f t="shared" si="220"/>
        <v>7863.26</v>
      </c>
      <c r="K559" s="570">
        <f t="shared" si="231"/>
        <v>0</v>
      </c>
      <c r="L559" s="121">
        <f t="shared" si="221"/>
        <v>0</v>
      </c>
      <c r="M559" s="122">
        <f t="shared" si="222"/>
        <v>0</v>
      </c>
      <c r="N559" s="122">
        <f t="shared" si="223"/>
        <v>0</v>
      </c>
      <c r="O559" s="122">
        <f t="shared" si="224"/>
        <v>0</v>
      </c>
      <c r="P559" s="122">
        <f t="shared" si="225"/>
        <v>0</v>
      </c>
      <c r="Q559" s="123">
        <f t="shared" si="226"/>
        <v>7863.26</v>
      </c>
      <c r="R559" s="123">
        <f t="shared" si="232"/>
        <v>-7863.26</v>
      </c>
      <c r="S559" s="582">
        <v>0</v>
      </c>
      <c r="T559" s="123">
        <f t="shared" si="233"/>
        <v>-7863.26</v>
      </c>
      <c r="U559" s="25">
        <f t="shared" si="227"/>
        <v>231.08</v>
      </c>
      <c r="V559" s="123">
        <f t="shared" si="228"/>
        <v>-231.08</v>
      </c>
      <c r="W559" s="334">
        <f t="shared" si="229"/>
        <v>58.860000000000007</v>
      </c>
      <c r="Y559" s="109">
        <f>IF(AE559=1,IF(Y558=MiscData!$F$1,EOMONTH(Y558,-11),EOMONTH(Y558,1)),Y558)</f>
        <v>42247</v>
      </c>
      <c r="Z559" s="108" t="str">
        <f t="shared" si="244"/>
        <v>20140101LGUM_429</v>
      </c>
      <c r="AA559" s="126" t="str">
        <f t="shared" si="245"/>
        <v xml:space="preserve">20140101LS </v>
      </c>
      <c r="AB559" s="583" t="str">
        <f t="shared" si="234"/>
        <v>429</v>
      </c>
      <c r="AD559" s="98">
        <f>MiscData!$X$5</f>
        <v>20140101</v>
      </c>
      <c r="AE559" s="98">
        <f>IF(AE558+1&gt;MiscData!$AC$77,1,AE558+1)</f>
        <v>45</v>
      </c>
      <c r="AF559" s="98" t="str">
        <f>VLOOKUP(AE559,MiscData!$AC$5:$AD$77,2,FALSE)</f>
        <v>LGUM_429</v>
      </c>
      <c r="AG559" s="98" t="str">
        <f>VLOOKUP(AF559,MiscData!$AD$5:$AE$77,2,FALSE)</f>
        <v xml:space="preserve">LS </v>
      </c>
      <c r="AP559" s="98" t="s">
        <v>167</v>
      </c>
      <c r="AR559" s="98">
        <v>0</v>
      </c>
    </row>
    <row r="560" spans="1:44">
      <c r="A560" s="108">
        <f t="shared" si="235"/>
        <v>557</v>
      </c>
      <c r="B560" s="109" t="str">
        <f t="shared" si="241"/>
        <v>Aug 2015</v>
      </c>
      <c r="C560" s="110" t="str">
        <f t="shared" si="242"/>
        <v>RLS</v>
      </c>
      <c r="D560" s="110" t="str">
        <f t="shared" si="243"/>
        <v>LGUM_430</v>
      </c>
      <c r="E560" s="581">
        <f t="shared" si="216"/>
        <v>13</v>
      </c>
      <c r="F560" s="581">
        <f t="shared" si="217"/>
        <v>0</v>
      </c>
      <c r="G560" s="116">
        <f t="shared" si="218"/>
        <v>32.26</v>
      </c>
      <c r="H560" s="116">
        <f t="shared" si="219"/>
        <v>0.75</v>
      </c>
      <c r="I560" s="118">
        <f t="shared" si="230"/>
        <v>419.38</v>
      </c>
      <c r="J560" s="118">
        <f t="shared" si="220"/>
        <v>419.38</v>
      </c>
      <c r="K560" s="570">
        <f t="shared" si="231"/>
        <v>0</v>
      </c>
      <c r="L560" s="121">
        <f t="shared" si="221"/>
        <v>0</v>
      </c>
      <c r="M560" s="122">
        <f t="shared" si="222"/>
        <v>0</v>
      </c>
      <c r="N560" s="122">
        <f t="shared" si="223"/>
        <v>0</v>
      </c>
      <c r="O560" s="122">
        <f t="shared" si="224"/>
        <v>0</v>
      </c>
      <c r="P560" s="122">
        <f t="shared" si="225"/>
        <v>0</v>
      </c>
      <c r="Q560" s="123">
        <f t="shared" si="226"/>
        <v>419.38</v>
      </c>
      <c r="R560" s="123">
        <f t="shared" si="232"/>
        <v>-419.38</v>
      </c>
      <c r="S560" s="582">
        <v>0</v>
      </c>
      <c r="T560" s="123">
        <f t="shared" si="233"/>
        <v>-419.38</v>
      </c>
      <c r="U560" s="25">
        <f t="shared" si="227"/>
        <v>9.75</v>
      </c>
      <c r="V560" s="123">
        <f t="shared" si="228"/>
        <v>-9.75</v>
      </c>
      <c r="W560" s="334">
        <f t="shared" si="229"/>
        <v>3.38</v>
      </c>
      <c r="Y560" s="109">
        <f>IF(AE560=1,IF(Y559=MiscData!$F$1,EOMONTH(Y559,-11),EOMONTH(Y559,1)),Y559)</f>
        <v>42247</v>
      </c>
      <c r="Z560" s="108" t="str">
        <f t="shared" si="244"/>
        <v>20140101LGUM_430</v>
      </c>
      <c r="AA560" s="126" t="str">
        <f t="shared" si="245"/>
        <v>20140101RLS</v>
      </c>
      <c r="AB560" s="583" t="str">
        <f t="shared" si="234"/>
        <v>430</v>
      </c>
      <c r="AD560" s="98">
        <f>MiscData!$X$5</f>
        <v>20140101</v>
      </c>
      <c r="AE560" s="98">
        <f>IF(AE559+1&gt;MiscData!$AC$77,1,AE559+1)</f>
        <v>46</v>
      </c>
      <c r="AF560" s="98" t="str">
        <f>VLOOKUP(AE560,MiscData!$AC$5:$AD$77,2,FALSE)</f>
        <v>LGUM_430</v>
      </c>
      <c r="AG560" s="98" t="str">
        <f>VLOOKUP(AF560,MiscData!$AD$5:$AE$77,2,FALSE)</f>
        <v>RLS</v>
      </c>
      <c r="AP560" s="98" t="s">
        <v>514</v>
      </c>
      <c r="AR560" s="98">
        <v>0</v>
      </c>
    </row>
    <row r="561" spans="1:44">
      <c r="A561" s="108">
        <f t="shared" si="235"/>
        <v>558</v>
      </c>
      <c r="B561" s="109" t="str">
        <f t="shared" si="241"/>
        <v>Aug 2015</v>
      </c>
      <c r="C561" s="110" t="str">
        <f t="shared" si="242"/>
        <v xml:space="preserve">LS </v>
      </c>
      <c r="D561" s="110" t="str">
        <f t="shared" si="243"/>
        <v>LGUM_431</v>
      </c>
      <c r="E561" s="581">
        <f t="shared" si="216"/>
        <v>44</v>
      </c>
      <c r="F561" s="581">
        <f t="shared" si="217"/>
        <v>0</v>
      </c>
      <c r="G561" s="116">
        <f t="shared" si="218"/>
        <v>32.93</v>
      </c>
      <c r="H561" s="116">
        <f t="shared" si="219"/>
        <v>0.75</v>
      </c>
      <c r="I561" s="118">
        <f t="shared" si="230"/>
        <v>1448.92</v>
      </c>
      <c r="J561" s="118">
        <f t="shared" si="220"/>
        <v>1448.92</v>
      </c>
      <c r="K561" s="570">
        <f t="shared" si="231"/>
        <v>0</v>
      </c>
      <c r="L561" s="121">
        <f t="shared" si="221"/>
        <v>0</v>
      </c>
      <c r="M561" s="122">
        <f t="shared" si="222"/>
        <v>0</v>
      </c>
      <c r="N561" s="122">
        <f t="shared" si="223"/>
        <v>0</v>
      </c>
      <c r="O561" s="122">
        <f t="shared" si="224"/>
        <v>0</v>
      </c>
      <c r="P561" s="122">
        <f t="shared" si="225"/>
        <v>0</v>
      </c>
      <c r="Q561" s="123">
        <f t="shared" si="226"/>
        <v>1448.92</v>
      </c>
      <c r="R561" s="123">
        <f t="shared" si="232"/>
        <v>-1448.92</v>
      </c>
      <c r="S561" s="582">
        <v>0</v>
      </c>
      <c r="T561" s="123">
        <f t="shared" si="233"/>
        <v>-1448.92</v>
      </c>
      <c r="U561" s="25">
        <f t="shared" si="227"/>
        <v>33</v>
      </c>
      <c r="V561" s="123">
        <f t="shared" si="228"/>
        <v>-33</v>
      </c>
      <c r="W561" s="334">
        <f t="shared" si="229"/>
        <v>11.440000000000001</v>
      </c>
      <c r="Y561" s="109">
        <f>IF(AE561=1,IF(Y560=MiscData!$F$1,EOMONTH(Y560,-11),EOMONTH(Y560,1)),Y560)</f>
        <v>42247</v>
      </c>
      <c r="Z561" s="108" t="str">
        <f t="shared" si="244"/>
        <v>20140101LGUM_431</v>
      </c>
      <c r="AA561" s="126" t="str">
        <f t="shared" si="245"/>
        <v xml:space="preserve">20140101LS </v>
      </c>
      <c r="AB561" s="583" t="str">
        <f t="shared" si="234"/>
        <v>431</v>
      </c>
      <c r="AD561" s="98">
        <f>MiscData!$X$5</f>
        <v>20140101</v>
      </c>
      <c r="AE561" s="98">
        <f>IF(AE560+1&gt;MiscData!$AC$77,1,AE560+1)</f>
        <v>47</v>
      </c>
      <c r="AF561" s="98" t="str">
        <f>VLOOKUP(AE561,MiscData!$AC$5:$AD$77,2,FALSE)</f>
        <v>LGUM_431</v>
      </c>
      <c r="AG561" s="98" t="str">
        <f>VLOOKUP(AF561,MiscData!$AD$5:$AE$77,2,FALSE)</f>
        <v xml:space="preserve">LS </v>
      </c>
      <c r="AP561" s="98" t="s">
        <v>516</v>
      </c>
      <c r="AR561" s="98">
        <v>0</v>
      </c>
    </row>
    <row r="562" spans="1:44">
      <c r="A562" s="108">
        <f t="shared" si="235"/>
        <v>559</v>
      </c>
      <c r="B562" s="109" t="str">
        <f t="shared" si="241"/>
        <v>Aug 2015</v>
      </c>
      <c r="C562" s="110" t="str">
        <f t="shared" si="242"/>
        <v>RLS</v>
      </c>
      <c r="D562" s="110" t="str">
        <f t="shared" si="243"/>
        <v>LGUM_432</v>
      </c>
      <c r="E562" s="581">
        <f t="shared" si="216"/>
        <v>10</v>
      </c>
      <c r="F562" s="581">
        <f t="shared" si="217"/>
        <v>0</v>
      </c>
      <c r="G562" s="116">
        <f t="shared" si="218"/>
        <v>34.330000000000005</v>
      </c>
      <c r="H562" s="116">
        <f t="shared" si="219"/>
        <v>1.0600000000000023</v>
      </c>
      <c r="I562" s="118">
        <f t="shared" si="230"/>
        <v>343.3</v>
      </c>
      <c r="J562" s="118">
        <f t="shared" si="220"/>
        <v>343.3</v>
      </c>
      <c r="K562" s="570">
        <f t="shared" si="231"/>
        <v>0</v>
      </c>
      <c r="L562" s="121">
        <f t="shared" si="221"/>
        <v>0</v>
      </c>
      <c r="M562" s="122">
        <f t="shared" si="222"/>
        <v>0</v>
      </c>
      <c r="N562" s="122">
        <f t="shared" si="223"/>
        <v>0</v>
      </c>
      <c r="O562" s="122">
        <f t="shared" si="224"/>
        <v>0</v>
      </c>
      <c r="P562" s="122">
        <f t="shared" si="225"/>
        <v>0</v>
      </c>
      <c r="Q562" s="123">
        <f t="shared" si="226"/>
        <v>343.3</v>
      </c>
      <c r="R562" s="123">
        <f t="shared" si="232"/>
        <v>-343.3</v>
      </c>
      <c r="S562" s="582">
        <v>0</v>
      </c>
      <c r="T562" s="123">
        <f t="shared" si="233"/>
        <v>-343.3</v>
      </c>
      <c r="U562" s="25">
        <f t="shared" si="227"/>
        <v>10.6</v>
      </c>
      <c r="V562" s="123">
        <f t="shared" si="228"/>
        <v>-10.6</v>
      </c>
      <c r="W562" s="334">
        <f t="shared" si="229"/>
        <v>2.7</v>
      </c>
      <c r="Y562" s="109">
        <f>IF(AE562=1,IF(Y561=MiscData!$F$1,EOMONTH(Y561,-11),EOMONTH(Y561,1)),Y561)</f>
        <v>42247</v>
      </c>
      <c r="Z562" s="108" t="str">
        <f t="shared" si="244"/>
        <v>20140101LGUM_432</v>
      </c>
      <c r="AA562" s="126" t="str">
        <f t="shared" si="245"/>
        <v>20140101RLS</v>
      </c>
      <c r="AB562" s="583" t="str">
        <f t="shared" si="234"/>
        <v>432</v>
      </c>
      <c r="AD562" s="98">
        <f>MiscData!$X$5</f>
        <v>20140101</v>
      </c>
      <c r="AE562" s="98">
        <f>IF(AE561+1&gt;MiscData!$AC$77,1,AE561+1)</f>
        <v>48</v>
      </c>
      <c r="AF562" s="98" t="str">
        <f>VLOOKUP(AE562,MiscData!$AC$5:$AD$77,2,FALSE)</f>
        <v>LGUM_432</v>
      </c>
      <c r="AG562" s="98" t="str">
        <f>VLOOKUP(AF562,MiscData!$AD$5:$AE$77,2,FALSE)</f>
        <v>RLS</v>
      </c>
      <c r="AP562" s="98" t="s">
        <v>518</v>
      </c>
      <c r="AR562" s="98">
        <v>0</v>
      </c>
    </row>
    <row r="563" spans="1:44">
      <c r="A563" s="108">
        <f t="shared" si="235"/>
        <v>560</v>
      </c>
      <c r="B563" s="109" t="str">
        <f t="shared" si="241"/>
        <v>Aug 2015</v>
      </c>
      <c r="C563" s="110" t="str">
        <f t="shared" si="242"/>
        <v xml:space="preserve">LS </v>
      </c>
      <c r="D563" s="110" t="str">
        <f t="shared" si="243"/>
        <v>LGUM_433</v>
      </c>
      <c r="E563" s="581">
        <f t="shared" si="216"/>
        <v>191</v>
      </c>
      <c r="F563" s="581">
        <f t="shared" si="217"/>
        <v>0</v>
      </c>
      <c r="G563" s="116">
        <f t="shared" si="218"/>
        <v>34.99</v>
      </c>
      <c r="H563" s="116">
        <f t="shared" si="219"/>
        <v>1.0600000000000023</v>
      </c>
      <c r="I563" s="118">
        <f t="shared" si="230"/>
        <v>6683.09</v>
      </c>
      <c r="J563" s="118">
        <f t="shared" si="220"/>
        <v>6683.09</v>
      </c>
      <c r="K563" s="570">
        <f t="shared" si="231"/>
        <v>0</v>
      </c>
      <c r="L563" s="121">
        <f t="shared" si="221"/>
        <v>0</v>
      </c>
      <c r="M563" s="122">
        <f t="shared" si="222"/>
        <v>0</v>
      </c>
      <c r="N563" s="122">
        <f t="shared" si="223"/>
        <v>0</v>
      </c>
      <c r="O563" s="122">
        <f t="shared" si="224"/>
        <v>0</v>
      </c>
      <c r="P563" s="122">
        <f t="shared" si="225"/>
        <v>0</v>
      </c>
      <c r="Q563" s="123">
        <f t="shared" si="226"/>
        <v>6683.09</v>
      </c>
      <c r="R563" s="123">
        <f t="shared" si="232"/>
        <v>-6683.09</v>
      </c>
      <c r="S563" s="582">
        <v>0</v>
      </c>
      <c r="T563" s="123">
        <f t="shared" si="233"/>
        <v>-6683.09</v>
      </c>
      <c r="U563" s="25">
        <f t="shared" si="227"/>
        <v>202.46</v>
      </c>
      <c r="V563" s="123">
        <f t="shared" si="228"/>
        <v>-202.46</v>
      </c>
      <c r="W563" s="334">
        <f t="shared" si="229"/>
        <v>51.57</v>
      </c>
      <c r="Y563" s="109">
        <f>IF(AE563=1,IF(Y562=MiscData!$F$1,EOMONTH(Y562,-11),EOMONTH(Y562,1)),Y562)</f>
        <v>42247</v>
      </c>
      <c r="Z563" s="108" t="str">
        <f t="shared" si="244"/>
        <v>20140101LGUM_433</v>
      </c>
      <c r="AA563" s="126" t="str">
        <f t="shared" si="245"/>
        <v xml:space="preserve">20140101LS </v>
      </c>
      <c r="AB563" s="583" t="str">
        <f t="shared" si="234"/>
        <v>433</v>
      </c>
      <c r="AD563" s="98">
        <f>MiscData!$X$5</f>
        <v>20140101</v>
      </c>
      <c r="AE563" s="98">
        <f>IF(AE562+1&gt;MiscData!$AC$77,1,AE562+1)</f>
        <v>49</v>
      </c>
      <c r="AF563" s="98" t="str">
        <f>VLOOKUP(AE563,MiscData!$AC$5:$AD$77,2,FALSE)</f>
        <v>LGUM_433</v>
      </c>
      <c r="AG563" s="98" t="str">
        <f>VLOOKUP(AF563,MiscData!$AD$5:$AE$77,2,FALSE)</f>
        <v xml:space="preserve">LS </v>
      </c>
      <c r="AP563" s="98" t="s">
        <v>338</v>
      </c>
      <c r="AR563" s="98">
        <v>0</v>
      </c>
    </row>
    <row r="564" spans="1:44">
      <c r="A564" s="108">
        <f t="shared" si="235"/>
        <v>561</v>
      </c>
      <c r="B564" s="109" t="str">
        <f t="shared" si="241"/>
        <v>Aug 2015</v>
      </c>
      <c r="C564" s="110" t="str">
        <f t="shared" si="242"/>
        <v xml:space="preserve">LS </v>
      </c>
      <c r="D564" s="110" t="str">
        <f t="shared" si="243"/>
        <v>LGUM_439</v>
      </c>
      <c r="E564" s="581">
        <f t="shared" si="216"/>
        <v>0</v>
      </c>
      <c r="F564" s="581">
        <f t="shared" si="217"/>
        <v>0</v>
      </c>
      <c r="G564" s="116">
        <f t="shared" si="218"/>
        <v>16.459999999999997</v>
      </c>
      <c r="H564" s="116">
        <f t="shared" si="219"/>
        <v>1.6499999999999986</v>
      </c>
      <c r="I564" s="118">
        <f t="shared" si="230"/>
        <v>0</v>
      </c>
      <c r="J564" s="118">
        <f t="shared" si="220"/>
        <v>0</v>
      </c>
      <c r="K564" s="570">
        <f t="shared" si="231"/>
        <v>0</v>
      </c>
      <c r="L564" s="121">
        <f t="shared" si="221"/>
        <v>1</v>
      </c>
      <c r="M564" s="122">
        <f t="shared" si="222"/>
        <v>0</v>
      </c>
      <c r="N564" s="122">
        <f t="shared" si="223"/>
        <v>0</v>
      </c>
      <c r="O564" s="122">
        <f t="shared" si="224"/>
        <v>0</v>
      </c>
      <c r="P564" s="122">
        <f t="shared" si="225"/>
        <v>0</v>
      </c>
      <c r="Q564" s="123">
        <f t="shared" si="226"/>
        <v>0</v>
      </c>
      <c r="R564" s="123">
        <f t="shared" si="232"/>
        <v>0</v>
      </c>
      <c r="S564" s="582">
        <v>0</v>
      </c>
      <c r="T564" s="123">
        <f t="shared" si="233"/>
        <v>0</v>
      </c>
      <c r="U564" s="25">
        <f t="shared" si="227"/>
        <v>0</v>
      </c>
      <c r="V564" s="123">
        <f t="shared" si="228"/>
        <v>0</v>
      </c>
      <c r="W564" s="334">
        <f t="shared" si="229"/>
        <v>0</v>
      </c>
      <c r="Y564" s="109">
        <f>IF(AE564=1,IF(Y563=MiscData!$F$1,EOMONTH(Y563,-11),EOMONTH(Y563,1)),Y563)</f>
        <v>42247</v>
      </c>
      <c r="Z564" s="108" t="str">
        <f t="shared" si="244"/>
        <v>20140101LGUM_439</v>
      </c>
      <c r="AA564" s="126" t="str">
        <f t="shared" si="245"/>
        <v xml:space="preserve">20140101LS </v>
      </c>
      <c r="AB564" s="583" t="str">
        <f t="shared" si="234"/>
        <v>439</v>
      </c>
      <c r="AD564" s="98">
        <f>MiscData!$X$5</f>
        <v>20140101</v>
      </c>
      <c r="AE564" s="98">
        <f>IF(AE563+1&gt;MiscData!$AC$77,1,AE563+1)</f>
        <v>50</v>
      </c>
      <c r="AF564" s="98" t="str">
        <f>VLOOKUP(AE564,MiscData!$AC$5:$AD$77,2,FALSE)</f>
        <v>LGUM_439</v>
      </c>
      <c r="AG564" s="98" t="str">
        <f>VLOOKUP(AF564,MiscData!$AD$5:$AE$77,2,FALSE)</f>
        <v xml:space="preserve">LS </v>
      </c>
      <c r="AP564" s="98" t="s">
        <v>168</v>
      </c>
      <c r="AR564" s="98">
        <v>0</v>
      </c>
    </row>
    <row r="565" spans="1:44">
      <c r="A565" s="108">
        <f t="shared" si="235"/>
        <v>562</v>
      </c>
      <c r="B565" s="109" t="str">
        <f t="shared" si="241"/>
        <v>Aug 2015</v>
      </c>
      <c r="C565" s="110" t="str">
        <f t="shared" si="242"/>
        <v xml:space="preserve">LS </v>
      </c>
      <c r="D565" s="110" t="str">
        <f t="shared" si="243"/>
        <v>LGUM_440</v>
      </c>
      <c r="E565" s="581">
        <f t="shared" si="216"/>
        <v>2</v>
      </c>
      <c r="F565" s="581">
        <f t="shared" si="217"/>
        <v>0</v>
      </c>
      <c r="G565" s="116">
        <f t="shared" si="218"/>
        <v>18.279999999999998</v>
      </c>
      <c r="H565" s="116">
        <f t="shared" si="219"/>
        <v>2.67</v>
      </c>
      <c r="I565" s="118">
        <f t="shared" si="230"/>
        <v>36.56</v>
      </c>
      <c r="J565" s="118">
        <f t="shared" si="220"/>
        <v>36.56</v>
      </c>
      <c r="K565" s="570">
        <f t="shared" si="231"/>
        <v>0</v>
      </c>
      <c r="L565" s="121">
        <f t="shared" si="221"/>
        <v>0</v>
      </c>
      <c r="M565" s="122">
        <f t="shared" si="222"/>
        <v>0</v>
      </c>
      <c r="N565" s="122">
        <f t="shared" si="223"/>
        <v>0</v>
      </c>
      <c r="O565" s="122">
        <f t="shared" si="224"/>
        <v>0</v>
      </c>
      <c r="P565" s="122">
        <f t="shared" si="225"/>
        <v>0</v>
      </c>
      <c r="Q565" s="123">
        <f t="shared" si="226"/>
        <v>36.56</v>
      </c>
      <c r="R565" s="123">
        <f t="shared" si="232"/>
        <v>-36.56</v>
      </c>
      <c r="S565" s="582">
        <v>0</v>
      </c>
      <c r="T565" s="123">
        <f t="shared" si="233"/>
        <v>-36.56</v>
      </c>
      <c r="U565" s="25">
        <f t="shared" si="227"/>
        <v>5.34</v>
      </c>
      <c r="V565" s="123">
        <f t="shared" si="228"/>
        <v>-5.34</v>
      </c>
      <c r="W565" s="334">
        <f t="shared" si="229"/>
        <v>0.54</v>
      </c>
      <c r="Y565" s="109">
        <f>IF(AE565=1,IF(Y564=MiscData!$F$1,EOMONTH(Y564,-11),EOMONTH(Y564,1)),Y564)</f>
        <v>42247</v>
      </c>
      <c r="Z565" s="108" t="str">
        <f t="shared" si="244"/>
        <v>20140101LGUM_440</v>
      </c>
      <c r="AA565" s="126" t="str">
        <f t="shared" si="245"/>
        <v xml:space="preserve">20140101LS </v>
      </c>
      <c r="AB565" s="583" t="str">
        <f t="shared" si="234"/>
        <v>440</v>
      </c>
      <c r="AD565" s="98">
        <f>MiscData!$X$5</f>
        <v>20140101</v>
      </c>
      <c r="AE565" s="98">
        <f>IF(AE564+1&gt;MiscData!$AC$77,1,AE564+1)</f>
        <v>51</v>
      </c>
      <c r="AF565" s="98" t="str">
        <f>VLOOKUP(AE565,MiscData!$AC$5:$AD$77,2,FALSE)</f>
        <v>LGUM_440</v>
      </c>
      <c r="AG565" s="98" t="str">
        <f>VLOOKUP(AF565,MiscData!$AD$5:$AE$77,2,FALSE)</f>
        <v xml:space="preserve">LS </v>
      </c>
      <c r="AP565" s="98" t="s">
        <v>522</v>
      </c>
      <c r="AR565" s="98">
        <v>0</v>
      </c>
    </row>
    <row r="566" spans="1:44">
      <c r="A566" s="108">
        <f t="shared" si="235"/>
        <v>563</v>
      </c>
      <c r="B566" s="109" t="str">
        <f t="shared" si="241"/>
        <v>Aug 2015</v>
      </c>
      <c r="C566" s="110" t="str">
        <f t="shared" si="242"/>
        <v xml:space="preserve">LS </v>
      </c>
      <c r="D566" s="110" t="str">
        <f t="shared" si="243"/>
        <v>LGUM_441</v>
      </c>
      <c r="E566" s="581">
        <f t="shared" si="216"/>
        <v>19</v>
      </c>
      <c r="F566" s="581">
        <f t="shared" si="217"/>
        <v>0</v>
      </c>
      <c r="G566" s="116">
        <f t="shared" si="218"/>
        <v>22.32</v>
      </c>
      <c r="H566" s="116">
        <f t="shared" si="219"/>
        <v>4.2800000000000011</v>
      </c>
      <c r="I566" s="118">
        <f t="shared" si="230"/>
        <v>424.08</v>
      </c>
      <c r="J566" s="118">
        <f t="shared" si="220"/>
        <v>424.08</v>
      </c>
      <c r="K566" s="570">
        <f t="shared" si="231"/>
        <v>0</v>
      </c>
      <c r="L566" s="121">
        <f t="shared" si="221"/>
        <v>0</v>
      </c>
      <c r="M566" s="122">
        <f t="shared" si="222"/>
        <v>0</v>
      </c>
      <c r="N566" s="122">
        <f t="shared" si="223"/>
        <v>0</v>
      </c>
      <c r="O566" s="122">
        <f t="shared" si="224"/>
        <v>0</v>
      </c>
      <c r="P566" s="122">
        <f t="shared" si="225"/>
        <v>0</v>
      </c>
      <c r="Q566" s="123">
        <f t="shared" si="226"/>
        <v>424.08</v>
      </c>
      <c r="R566" s="123">
        <f t="shared" si="232"/>
        <v>-424.08</v>
      </c>
      <c r="S566" s="582">
        <v>0</v>
      </c>
      <c r="T566" s="123">
        <f t="shared" si="233"/>
        <v>-424.08</v>
      </c>
      <c r="U566" s="25">
        <f t="shared" si="227"/>
        <v>81.319999999999993</v>
      </c>
      <c r="V566" s="123">
        <f t="shared" si="228"/>
        <v>-81.319999999999993</v>
      </c>
      <c r="W566" s="334">
        <f t="shared" si="229"/>
        <v>5.51</v>
      </c>
      <c r="Y566" s="109">
        <f>IF(AE566=1,IF(Y565=MiscData!$F$1,EOMONTH(Y565,-11),EOMONTH(Y565,1)),Y565)</f>
        <v>42247</v>
      </c>
      <c r="Z566" s="108" t="str">
        <f t="shared" si="244"/>
        <v>20140101LGUM_441</v>
      </c>
      <c r="AA566" s="126" t="str">
        <f t="shared" si="245"/>
        <v xml:space="preserve">20140101LS </v>
      </c>
      <c r="AB566" s="583" t="str">
        <f t="shared" si="234"/>
        <v>441</v>
      </c>
      <c r="AD566" s="98">
        <f>MiscData!$X$5</f>
        <v>20140101</v>
      </c>
      <c r="AE566" s="98">
        <f>IF(AE565+1&gt;MiscData!$AC$77,1,AE565+1)</f>
        <v>52</v>
      </c>
      <c r="AF566" s="98" t="str">
        <f>VLOOKUP(AE566,MiscData!$AC$5:$AD$77,2,FALSE)</f>
        <v>LGUM_441</v>
      </c>
      <c r="AG566" s="98" t="str">
        <f>VLOOKUP(AF566,MiscData!$AD$5:$AE$77,2,FALSE)</f>
        <v xml:space="preserve">LS </v>
      </c>
      <c r="AP566" s="98" t="s">
        <v>169</v>
      </c>
      <c r="AR566" s="98">
        <v>0</v>
      </c>
    </row>
    <row r="567" spans="1:44">
      <c r="A567" s="108">
        <f t="shared" si="235"/>
        <v>564</v>
      </c>
      <c r="B567" s="109" t="str">
        <f t="shared" si="241"/>
        <v>Aug 2015</v>
      </c>
      <c r="C567" s="110" t="str">
        <f t="shared" si="242"/>
        <v xml:space="preserve">LS </v>
      </c>
      <c r="D567" s="110" t="str">
        <f t="shared" si="243"/>
        <v>LGUM_452</v>
      </c>
      <c r="E567" s="581">
        <f t="shared" si="216"/>
        <v>6445</v>
      </c>
      <c r="F567" s="581">
        <f t="shared" si="217"/>
        <v>0</v>
      </c>
      <c r="G567" s="116">
        <f t="shared" si="218"/>
        <v>12.82</v>
      </c>
      <c r="H567" s="116">
        <f t="shared" si="219"/>
        <v>1.6500000000000004</v>
      </c>
      <c r="I567" s="118">
        <f t="shared" si="230"/>
        <v>82624.899999999994</v>
      </c>
      <c r="J567" s="118">
        <f t="shared" si="220"/>
        <v>82624.899999999994</v>
      </c>
      <c r="K567" s="570">
        <f t="shared" si="231"/>
        <v>0</v>
      </c>
      <c r="L567" s="121">
        <f t="shared" si="221"/>
        <v>0</v>
      </c>
      <c r="M567" s="122">
        <f t="shared" si="222"/>
        <v>0</v>
      </c>
      <c r="N567" s="122">
        <f t="shared" si="223"/>
        <v>0</v>
      </c>
      <c r="O567" s="122">
        <f t="shared" si="224"/>
        <v>0</v>
      </c>
      <c r="P567" s="122">
        <f t="shared" si="225"/>
        <v>0</v>
      </c>
      <c r="Q567" s="123">
        <f t="shared" si="226"/>
        <v>82624.899999999994</v>
      </c>
      <c r="R567" s="123">
        <f t="shared" si="232"/>
        <v>-82624.899999999994</v>
      </c>
      <c r="S567" s="582">
        <v>0</v>
      </c>
      <c r="T567" s="123">
        <f t="shared" si="233"/>
        <v>-82624.899999999994</v>
      </c>
      <c r="U567" s="25">
        <f t="shared" si="227"/>
        <v>10634.25</v>
      </c>
      <c r="V567" s="123">
        <f t="shared" si="228"/>
        <v>-10634.25</v>
      </c>
      <c r="W567" s="334">
        <f t="shared" si="229"/>
        <v>1546.8</v>
      </c>
      <c r="Y567" s="109">
        <f>IF(AE567=1,IF(Y566=MiscData!$F$1,EOMONTH(Y566,-11),EOMONTH(Y566,1)),Y566)</f>
        <v>42247</v>
      </c>
      <c r="Z567" s="108" t="str">
        <f t="shared" si="244"/>
        <v>20140101LGUM_452</v>
      </c>
      <c r="AA567" s="126" t="str">
        <f t="shared" si="245"/>
        <v xml:space="preserve">20140101LS </v>
      </c>
      <c r="AB567" s="583" t="str">
        <f t="shared" si="234"/>
        <v>452</v>
      </c>
      <c r="AD567" s="98">
        <f>MiscData!$X$5</f>
        <v>20140101</v>
      </c>
      <c r="AE567" s="98">
        <f>IF(AE566+1&gt;MiscData!$AC$77,1,AE566+1)</f>
        <v>53</v>
      </c>
      <c r="AF567" s="98" t="str">
        <f>VLOOKUP(AE567,MiscData!$AC$5:$AD$77,2,FALSE)</f>
        <v>LGUM_452</v>
      </c>
      <c r="AG567" s="98" t="str">
        <f>VLOOKUP(AF567,MiscData!$AD$5:$AE$77,2,FALSE)</f>
        <v xml:space="preserve">LS </v>
      </c>
      <c r="AP567" s="98" t="s">
        <v>170</v>
      </c>
      <c r="AR567" s="98">
        <v>79.03</v>
      </c>
    </row>
    <row r="568" spans="1:44">
      <c r="A568" s="108">
        <f t="shared" si="235"/>
        <v>565</v>
      </c>
      <c r="B568" s="109" t="str">
        <f t="shared" si="241"/>
        <v>Aug 2015</v>
      </c>
      <c r="C568" s="110" t="str">
        <f t="shared" si="242"/>
        <v xml:space="preserve">LS </v>
      </c>
      <c r="D568" s="110" t="str">
        <f t="shared" si="243"/>
        <v>LGUM_453</v>
      </c>
      <c r="E568" s="581">
        <f t="shared" si="216"/>
        <v>9227</v>
      </c>
      <c r="F568" s="581">
        <f t="shared" si="217"/>
        <v>0</v>
      </c>
      <c r="G568" s="116">
        <f t="shared" si="218"/>
        <v>15.08</v>
      </c>
      <c r="H568" s="116">
        <f t="shared" si="219"/>
        <v>3.9800000000000004</v>
      </c>
      <c r="I568" s="118">
        <f t="shared" si="230"/>
        <v>139143.16</v>
      </c>
      <c r="J568" s="118">
        <f t="shared" si="220"/>
        <v>139143.16</v>
      </c>
      <c r="K568" s="570">
        <f t="shared" si="231"/>
        <v>0</v>
      </c>
      <c r="L568" s="121">
        <f t="shared" si="221"/>
        <v>0</v>
      </c>
      <c r="M568" s="122">
        <f t="shared" si="222"/>
        <v>0</v>
      </c>
      <c r="N568" s="122">
        <f t="shared" si="223"/>
        <v>0</v>
      </c>
      <c r="O568" s="122">
        <f t="shared" si="224"/>
        <v>0</v>
      </c>
      <c r="P568" s="122">
        <f t="shared" si="225"/>
        <v>0</v>
      </c>
      <c r="Q568" s="123">
        <f t="shared" si="226"/>
        <v>139143.16</v>
      </c>
      <c r="R568" s="123">
        <f t="shared" si="232"/>
        <v>-139143.16</v>
      </c>
      <c r="S568" s="582">
        <v>0</v>
      </c>
      <c r="T568" s="123">
        <f t="shared" si="233"/>
        <v>-139143.16</v>
      </c>
      <c r="U568" s="25">
        <f t="shared" si="227"/>
        <v>36723.46</v>
      </c>
      <c r="V568" s="123">
        <f t="shared" si="228"/>
        <v>-36723.46</v>
      </c>
      <c r="W568" s="334">
        <f t="shared" si="229"/>
        <v>2491.29</v>
      </c>
      <c r="Y568" s="109">
        <f>IF(AE568=1,IF(Y567=MiscData!$F$1,EOMONTH(Y567,-11),EOMONTH(Y567,1)),Y567)</f>
        <v>42247</v>
      </c>
      <c r="Z568" s="108" t="str">
        <f t="shared" si="244"/>
        <v>20140101LGUM_453</v>
      </c>
      <c r="AA568" s="126" t="str">
        <f t="shared" si="245"/>
        <v xml:space="preserve">20140101LS </v>
      </c>
      <c r="AB568" s="583" t="str">
        <f t="shared" si="234"/>
        <v>453</v>
      </c>
      <c r="AD568" s="98">
        <f>MiscData!$X$5</f>
        <v>20140101</v>
      </c>
      <c r="AE568" s="98">
        <f>IF(AE567+1&gt;MiscData!$AC$77,1,AE567+1)</f>
        <v>54</v>
      </c>
      <c r="AF568" s="98" t="str">
        <f>VLOOKUP(AE568,MiscData!$AC$5:$AD$77,2,FALSE)</f>
        <v>LGUM_453</v>
      </c>
      <c r="AG568" s="98" t="str">
        <f>VLOOKUP(AF568,MiscData!$AD$5:$AE$77,2,FALSE)</f>
        <v xml:space="preserve">LS </v>
      </c>
      <c r="AP568" s="98" t="s">
        <v>171</v>
      </c>
      <c r="AR568" s="98">
        <v>-4.75</v>
      </c>
    </row>
    <row r="569" spans="1:44">
      <c r="A569" s="108">
        <f t="shared" si="235"/>
        <v>566</v>
      </c>
      <c r="B569" s="109" t="str">
        <f t="shared" si="241"/>
        <v>Aug 2015</v>
      </c>
      <c r="C569" s="110" t="str">
        <f t="shared" si="242"/>
        <v xml:space="preserve">LS </v>
      </c>
      <c r="D569" s="110" t="str">
        <f t="shared" si="243"/>
        <v>LGUM_454</v>
      </c>
      <c r="E569" s="581">
        <f t="shared" si="216"/>
        <v>5457</v>
      </c>
      <c r="F569" s="581">
        <f t="shared" si="217"/>
        <v>0</v>
      </c>
      <c r="G569" s="116">
        <f t="shared" si="218"/>
        <v>17.38</v>
      </c>
      <c r="H569" s="116">
        <f t="shared" si="219"/>
        <v>4.2800000000000011</v>
      </c>
      <c r="I569" s="118">
        <f t="shared" si="230"/>
        <v>94842.66</v>
      </c>
      <c r="J569" s="118">
        <f t="shared" si="220"/>
        <v>94842.66</v>
      </c>
      <c r="K569" s="570">
        <f t="shared" si="231"/>
        <v>0</v>
      </c>
      <c r="L569" s="121">
        <f t="shared" si="221"/>
        <v>0</v>
      </c>
      <c r="M569" s="122">
        <f t="shared" si="222"/>
        <v>0</v>
      </c>
      <c r="N569" s="122">
        <f t="shared" si="223"/>
        <v>0</v>
      </c>
      <c r="O569" s="122">
        <f t="shared" si="224"/>
        <v>0</v>
      </c>
      <c r="P569" s="122">
        <f t="shared" si="225"/>
        <v>0</v>
      </c>
      <c r="Q569" s="123">
        <f t="shared" si="226"/>
        <v>94842.66</v>
      </c>
      <c r="R569" s="123">
        <f t="shared" si="232"/>
        <v>-94842.66</v>
      </c>
      <c r="S569" s="582">
        <v>0</v>
      </c>
      <c r="T569" s="123">
        <f t="shared" si="233"/>
        <v>-94842.66</v>
      </c>
      <c r="U569" s="25">
        <f t="shared" si="227"/>
        <v>23355.96</v>
      </c>
      <c r="V569" s="123">
        <f t="shared" si="228"/>
        <v>-23355.96</v>
      </c>
      <c r="W569" s="334">
        <f t="shared" si="229"/>
        <v>1582.53</v>
      </c>
      <c r="Y569" s="109">
        <f>IF(AE569=1,IF(Y568=MiscData!$F$1,EOMONTH(Y568,-11),EOMONTH(Y568,1)),Y568)</f>
        <v>42247</v>
      </c>
      <c r="Z569" s="108" t="str">
        <f t="shared" si="244"/>
        <v>20140101LGUM_454</v>
      </c>
      <c r="AA569" s="126" t="str">
        <f t="shared" si="245"/>
        <v xml:space="preserve">20140101LS </v>
      </c>
      <c r="AB569" s="583" t="str">
        <f t="shared" si="234"/>
        <v>454</v>
      </c>
      <c r="AD569" s="98">
        <f>MiscData!$X$5</f>
        <v>20140101</v>
      </c>
      <c r="AE569" s="98">
        <f>IF(AE568+1&gt;MiscData!$AC$77,1,AE568+1)</f>
        <v>55</v>
      </c>
      <c r="AF569" s="98" t="str">
        <f>VLOOKUP(AE569,MiscData!$AC$5:$AD$77,2,FALSE)</f>
        <v>LGUM_454</v>
      </c>
      <c r="AG569" s="98" t="str">
        <f>VLOOKUP(AF569,MiscData!$AD$5:$AE$77,2,FALSE)</f>
        <v xml:space="preserve">LS </v>
      </c>
      <c r="AP569" s="98" t="s">
        <v>172</v>
      </c>
      <c r="AR569" s="98">
        <v>-63.9</v>
      </c>
    </row>
    <row r="570" spans="1:44">
      <c r="A570" s="108">
        <f t="shared" si="235"/>
        <v>567</v>
      </c>
      <c r="B570" s="109" t="str">
        <f t="shared" si="241"/>
        <v>Aug 2015</v>
      </c>
      <c r="C570" s="110" t="str">
        <f t="shared" si="242"/>
        <v xml:space="preserve">LS </v>
      </c>
      <c r="D570" s="110" t="str">
        <f t="shared" si="243"/>
        <v>LGUM_455</v>
      </c>
      <c r="E570" s="581">
        <f t="shared" si="216"/>
        <v>397</v>
      </c>
      <c r="F570" s="581">
        <f t="shared" si="217"/>
        <v>0</v>
      </c>
      <c r="G570" s="116">
        <f t="shared" si="218"/>
        <v>13.77</v>
      </c>
      <c r="H570" s="116">
        <f t="shared" si="219"/>
        <v>1.6499999999999986</v>
      </c>
      <c r="I570" s="118">
        <f t="shared" si="230"/>
        <v>5466.69</v>
      </c>
      <c r="J570" s="118">
        <f t="shared" si="220"/>
        <v>5466.69</v>
      </c>
      <c r="K570" s="570">
        <f t="shared" si="231"/>
        <v>0</v>
      </c>
      <c r="L570" s="121">
        <f t="shared" si="221"/>
        <v>0</v>
      </c>
      <c r="M570" s="122">
        <f t="shared" si="222"/>
        <v>0</v>
      </c>
      <c r="N570" s="122">
        <f t="shared" si="223"/>
        <v>0</v>
      </c>
      <c r="O570" s="122">
        <f t="shared" si="224"/>
        <v>0</v>
      </c>
      <c r="P570" s="122">
        <f t="shared" si="225"/>
        <v>0</v>
      </c>
      <c r="Q570" s="123">
        <f t="shared" si="226"/>
        <v>5466.69</v>
      </c>
      <c r="R570" s="123">
        <f t="shared" si="232"/>
        <v>-5466.69</v>
      </c>
      <c r="S570" s="582">
        <v>0</v>
      </c>
      <c r="T570" s="123">
        <f t="shared" si="233"/>
        <v>-5466.69</v>
      </c>
      <c r="U570" s="25">
        <f t="shared" si="227"/>
        <v>655.04999999999995</v>
      </c>
      <c r="V570" s="123">
        <f t="shared" si="228"/>
        <v>-655.04999999999995</v>
      </c>
      <c r="W570" s="334">
        <f t="shared" si="229"/>
        <v>95.28</v>
      </c>
      <c r="Y570" s="109">
        <f>IF(AE570=1,IF(Y569=MiscData!$F$1,EOMONTH(Y569,-11),EOMONTH(Y569,1)),Y569)</f>
        <v>42247</v>
      </c>
      <c r="Z570" s="108" t="str">
        <f t="shared" si="244"/>
        <v>20140101LGUM_455</v>
      </c>
      <c r="AA570" s="126" t="str">
        <f t="shared" si="245"/>
        <v xml:space="preserve">20140101LS </v>
      </c>
      <c r="AB570" s="583" t="str">
        <f t="shared" si="234"/>
        <v>455</v>
      </c>
      <c r="AD570" s="98">
        <f>MiscData!$X$5</f>
        <v>20140101</v>
      </c>
      <c r="AE570" s="98">
        <f>IF(AE569+1&gt;MiscData!$AC$77,1,AE569+1)</f>
        <v>56</v>
      </c>
      <c r="AF570" s="98" t="str">
        <f>VLOOKUP(AE570,MiscData!$AC$5:$AD$77,2,FALSE)</f>
        <v>LGUM_455</v>
      </c>
      <c r="AG570" s="98" t="str">
        <f>VLOOKUP(AF570,MiscData!$AD$5:$AE$77,2,FALSE)</f>
        <v xml:space="preserve">LS </v>
      </c>
      <c r="AP570" s="98" t="s">
        <v>173</v>
      </c>
      <c r="AR570" s="98">
        <v>0</v>
      </c>
    </row>
    <row r="571" spans="1:44">
      <c r="A571" s="108">
        <f t="shared" si="235"/>
        <v>568</v>
      </c>
      <c r="B571" s="109" t="str">
        <f t="shared" si="241"/>
        <v>Aug 2015</v>
      </c>
      <c r="C571" s="110" t="str">
        <f t="shared" si="242"/>
        <v xml:space="preserve">LS </v>
      </c>
      <c r="D571" s="110" t="str">
        <f t="shared" si="243"/>
        <v>LGUM_456</v>
      </c>
      <c r="E571" s="581">
        <f t="shared" si="216"/>
        <v>12772</v>
      </c>
      <c r="F571" s="581">
        <f t="shared" si="217"/>
        <v>0</v>
      </c>
      <c r="G571" s="116">
        <f t="shared" si="218"/>
        <v>18.21</v>
      </c>
      <c r="H571" s="116">
        <f t="shared" si="219"/>
        <v>4.2800000000000011</v>
      </c>
      <c r="I571" s="118">
        <f t="shared" si="230"/>
        <v>232578.12</v>
      </c>
      <c r="J571" s="118">
        <f t="shared" si="220"/>
        <v>232578.12</v>
      </c>
      <c r="K571" s="570">
        <f t="shared" si="231"/>
        <v>0</v>
      </c>
      <c r="L571" s="121">
        <f t="shared" si="221"/>
        <v>0</v>
      </c>
      <c r="M571" s="122">
        <f t="shared" si="222"/>
        <v>0</v>
      </c>
      <c r="N571" s="122">
        <f t="shared" si="223"/>
        <v>0</v>
      </c>
      <c r="O571" s="122">
        <f t="shared" si="224"/>
        <v>0</v>
      </c>
      <c r="P571" s="122">
        <f t="shared" si="225"/>
        <v>0</v>
      </c>
      <c r="Q571" s="123">
        <f t="shared" si="226"/>
        <v>232578.12</v>
      </c>
      <c r="R571" s="123">
        <f t="shared" si="232"/>
        <v>-232578.12</v>
      </c>
      <c r="S571" s="582">
        <v>0</v>
      </c>
      <c r="T571" s="123">
        <f t="shared" si="233"/>
        <v>-232578.12</v>
      </c>
      <c r="U571" s="25">
        <f t="shared" si="227"/>
        <v>54664.160000000003</v>
      </c>
      <c r="V571" s="123">
        <f t="shared" si="228"/>
        <v>-54664.160000000003</v>
      </c>
      <c r="W571" s="334">
        <f t="shared" si="229"/>
        <v>3703.8799999999997</v>
      </c>
      <c r="Y571" s="109">
        <f>IF(AE571=1,IF(Y570=MiscData!$F$1,EOMONTH(Y570,-11),EOMONTH(Y570,1)),Y570)</f>
        <v>42247</v>
      </c>
      <c r="Z571" s="108" t="str">
        <f t="shared" si="244"/>
        <v>20140101LGUM_456</v>
      </c>
      <c r="AA571" s="126" t="str">
        <f t="shared" si="245"/>
        <v xml:space="preserve">20140101LS </v>
      </c>
      <c r="AB571" s="583" t="str">
        <f t="shared" si="234"/>
        <v>456</v>
      </c>
      <c r="AD571" s="98">
        <f>MiscData!$X$5</f>
        <v>20140101</v>
      </c>
      <c r="AE571" s="98">
        <f>IF(AE570+1&gt;MiscData!$AC$77,1,AE570+1)</f>
        <v>57</v>
      </c>
      <c r="AF571" s="98" t="str">
        <f>VLOOKUP(AE571,MiscData!$AC$5:$AD$77,2,FALSE)</f>
        <v>LGUM_456</v>
      </c>
      <c r="AG571" s="98" t="str">
        <f>VLOOKUP(AF571,MiscData!$AD$5:$AE$77,2,FALSE)</f>
        <v xml:space="preserve">LS </v>
      </c>
      <c r="AP571" s="98" t="s">
        <v>174</v>
      </c>
      <c r="AR571" s="98">
        <v>0</v>
      </c>
    </row>
    <row r="572" spans="1:44">
      <c r="A572" s="108">
        <f t="shared" si="235"/>
        <v>569</v>
      </c>
      <c r="B572" s="109" t="str">
        <f t="shared" si="241"/>
        <v>Aug 2015</v>
      </c>
      <c r="C572" s="110" t="str">
        <f t="shared" si="242"/>
        <v xml:space="preserve">LS </v>
      </c>
      <c r="D572" s="110" t="str">
        <f t="shared" si="243"/>
        <v>LGUM_457</v>
      </c>
      <c r="E572" s="581">
        <f t="shared" si="216"/>
        <v>3327</v>
      </c>
      <c r="F572" s="581">
        <f t="shared" si="217"/>
        <v>0</v>
      </c>
      <c r="G572" s="116">
        <f t="shared" si="218"/>
        <v>10.86</v>
      </c>
      <c r="H572" s="116">
        <f t="shared" si="219"/>
        <v>1.0599999999999987</v>
      </c>
      <c r="I572" s="118">
        <f t="shared" si="230"/>
        <v>36131.22</v>
      </c>
      <c r="J572" s="118">
        <f t="shared" si="220"/>
        <v>36131.22</v>
      </c>
      <c r="K572" s="570">
        <f t="shared" si="231"/>
        <v>0</v>
      </c>
      <c r="L572" s="121">
        <f t="shared" si="221"/>
        <v>0</v>
      </c>
      <c r="M572" s="122">
        <f t="shared" si="222"/>
        <v>0</v>
      </c>
      <c r="N572" s="122">
        <f t="shared" si="223"/>
        <v>0</v>
      </c>
      <c r="O572" s="122">
        <f t="shared" si="224"/>
        <v>0</v>
      </c>
      <c r="P572" s="122">
        <f t="shared" si="225"/>
        <v>0</v>
      </c>
      <c r="Q572" s="123">
        <f t="shared" si="226"/>
        <v>36131.22</v>
      </c>
      <c r="R572" s="123">
        <f t="shared" si="232"/>
        <v>-36131.22</v>
      </c>
      <c r="S572" s="582">
        <v>0</v>
      </c>
      <c r="T572" s="123">
        <f t="shared" si="233"/>
        <v>-36131.22</v>
      </c>
      <c r="U572" s="25">
        <f t="shared" si="227"/>
        <v>3526.62</v>
      </c>
      <c r="V572" s="123">
        <f t="shared" si="228"/>
        <v>-3526.62</v>
      </c>
      <c r="W572" s="334">
        <f t="shared" si="229"/>
        <v>898.29000000000008</v>
      </c>
      <c r="Y572" s="109">
        <f>IF(AE572=1,IF(Y571=MiscData!$F$1,EOMONTH(Y571,-11),EOMONTH(Y571,1)),Y571)</f>
        <v>42247</v>
      </c>
      <c r="Z572" s="108" t="str">
        <f t="shared" si="244"/>
        <v>20140101LGUM_457</v>
      </c>
      <c r="AA572" s="126" t="str">
        <f t="shared" si="245"/>
        <v xml:space="preserve">20140101LS </v>
      </c>
      <c r="AB572" s="583" t="str">
        <f t="shared" si="234"/>
        <v>457</v>
      </c>
      <c r="AD572" s="98">
        <f>MiscData!$X$5</f>
        <v>20140101</v>
      </c>
      <c r="AE572" s="98">
        <f>IF(AE571+1&gt;MiscData!$AC$77,1,AE571+1)</f>
        <v>58</v>
      </c>
      <c r="AF572" s="98" t="str">
        <f>VLOOKUP(AE572,MiscData!$AC$5:$AD$77,2,FALSE)</f>
        <v>LGUM_457</v>
      </c>
      <c r="AG572" s="98" t="str">
        <f>VLOOKUP(AF572,MiscData!$AD$5:$AE$77,2,FALSE)</f>
        <v xml:space="preserve">LS </v>
      </c>
      <c r="AP572" s="98" t="s">
        <v>175</v>
      </c>
      <c r="AR572" s="98">
        <v>-56.46</v>
      </c>
    </row>
    <row r="573" spans="1:44">
      <c r="A573" s="108">
        <f t="shared" si="235"/>
        <v>570</v>
      </c>
      <c r="B573" s="109" t="str">
        <f t="shared" si="241"/>
        <v>Aug 2015</v>
      </c>
      <c r="C573" s="110" t="str">
        <f t="shared" si="242"/>
        <v>RLS</v>
      </c>
      <c r="D573" s="110" t="str">
        <f t="shared" si="243"/>
        <v>LGUM_458</v>
      </c>
      <c r="E573" s="581">
        <f t="shared" si="216"/>
        <v>5</v>
      </c>
      <c r="F573" s="581">
        <f t="shared" si="217"/>
        <v>0</v>
      </c>
      <c r="G573" s="116">
        <f t="shared" si="218"/>
        <v>11.13</v>
      </c>
      <c r="H573" s="116">
        <f t="shared" si="219"/>
        <v>3.7700000000000014</v>
      </c>
      <c r="I573" s="118">
        <f t="shared" si="230"/>
        <v>55.65</v>
      </c>
      <c r="J573" s="118">
        <f t="shared" si="220"/>
        <v>55.65</v>
      </c>
      <c r="K573" s="570">
        <f t="shared" si="231"/>
        <v>0</v>
      </c>
      <c r="L573" s="121">
        <f t="shared" si="221"/>
        <v>0</v>
      </c>
      <c r="M573" s="122">
        <f t="shared" si="222"/>
        <v>0</v>
      </c>
      <c r="N573" s="122">
        <f t="shared" si="223"/>
        <v>0</v>
      </c>
      <c r="O573" s="122">
        <f t="shared" si="224"/>
        <v>0</v>
      </c>
      <c r="P573" s="122">
        <f t="shared" si="225"/>
        <v>0</v>
      </c>
      <c r="Q573" s="123">
        <f t="shared" si="226"/>
        <v>55.65</v>
      </c>
      <c r="R573" s="123">
        <f t="shared" si="232"/>
        <v>-55.65</v>
      </c>
      <c r="S573" s="582">
        <v>0</v>
      </c>
      <c r="T573" s="123">
        <f t="shared" si="233"/>
        <v>-55.65</v>
      </c>
      <c r="U573" s="25">
        <f t="shared" si="227"/>
        <v>18.850000000000001</v>
      </c>
      <c r="V573" s="123">
        <f t="shared" si="228"/>
        <v>-18.850000000000001</v>
      </c>
      <c r="W573" s="334">
        <f t="shared" si="229"/>
        <v>0.8</v>
      </c>
      <c r="Y573" s="109">
        <f>IF(AE573=1,IF(Y572=MiscData!$F$1,EOMONTH(Y572,-11),EOMONTH(Y572,1)),Y572)</f>
        <v>42247</v>
      </c>
      <c r="Z573" s="108" t="str">
        <f t="shared" si="244"/>
        <v>20140101LGUM_458</v>
      </c>
      <c r="AA573" s="126" t="str">
        <f t="shared" si="245"/>
        <v>20140101RLS</v>
      </c>
      <c r="AB573" s="583" t="str">
        <f t="shared" si="234"/>
        <v>458</v>
      </c>
      <c r="AD573" s="98">
        <f>MiscData!$X$5</f>
        <v>20140101</v>
      </c>
      <c r="AE573" s="98">
        <f>IF(AE572+1&gt;MiscData!$AC$77,1,AE572+1)</f>
        <v>59</v>
      </c>
      <c r="AF573" s="98" t="str">
        <f>VLOOKUP(AE573,MiscData!$AC$5:$AD$77,2,FALSE)</f>
        <v>LGUM_458</v>
      </c>
      <c r="AG573" s="98" t="str">
        <f>VLOOKUP(AF573,MiscData!$AD$5:$AE$77,2,FALSE)</f>
        <v>RLS</v>
      </c>
      <c r="AP573" s="98" t="s">
        <v>176</v>
      </c>
      <c r="AR573" s="98">
        <v>-10.07</v>
      </c>
    </row>
    <row r="574" spans="1:44">
      <c r="A574" s="108">
        <f t="shared" si="235"/>
        <v>571</v>
      </c>
      <c r="B574" s="109" t="str">
        <f t="shared" si="241"/>
        <v>Aug 2015</v>
      </c>
      <c r="C574" s="110" t="str">
        <f t="shared" si="242"/>
        <v xml:space="preserve">LS </v>
      </c>
      <c r="D574" s="110" t="str">
        <f t="shared" si="243"/>
        <v>LGUM_470</v>
      </c>
      <c r="E574" s="581">
        <f t="shared" si="216"/>
        <v>23</v>
      </c>
      <c r="F574" s="581">
        <f t="shared" si="217"/>
        <v>0</v>
      </c>
      <c r="G574" s="116">
        <f t="shared" si="218"/>
        <v>12.79</v>
      </c>
      <c r="H574" s="116">
        <f t="shared" si="219"/>
        <v>1.3699999999999992</v>
      </c>
      <c r="I574" s="118">
        <f t="shared" si="230"/>
        <v>294.17</v>
      </c>
      <c r="J574" s="118">
        <f t="shared" si="220"/>
        <v>294.17</v>
      </c>
      <c r="K574" s="570">
        <f t="shared" si="231"/>
        <v>0</v>
      </c>
      <c r="L574" s="121">
        <f t="shared" si="221"/>
        <v>0</v>
      </c>
      <c r="M574" s="122">
        <f t="shared" si="222"/>
        <v>0</v>
      </c>
      <c r="N574" s="122">
        <f t="shared" si="223"/>
        <v>0</v>
      </c>
      <c r="O574" s="122">
        <f t="shared" si="224"/>
        <v>0</v>
      </c>
      <c r="P574" s="122">
        <f t="shared" si="225"/>
        <v>0</v>
      </c>
      <c r="Q574" s="123">
        <f t="shared" si="226"/>
        <v>294.17</v>
      </c>
      <c r="R574" s="123">
        <f t="shared" si="232"/>
        <v>-294.17</v>
      </c>
      <c r="S574" s="582">
        <v>0</v>
      </c>
      <c r="T574" s="123">
        <f t="shared" si="233"/>
        <v>-294.17</v>
      </c>
      <c r="U574" s="25">
        <f t="shared" si="227"/>
        <v>31.51</v>
      </c>
      <c r="V574" s="123">
        <f t="shared" si="228"/>
        <v>-31.51</v>
      </c>
      <c r="W574" s="334">
        <f t="shared" si="229"/>
        <v>6.2100000000000009</v>
      </c>
      <c r="Y574" s="109">
        <f>IF(AE574=1,IF(Y573=MiscData!$F$1,EOMONTH(Y573,-11),EOMONTH(Y573,1)),Y573)</f>
        <v>42247</v>
      </c>
      <c r="Z574" s="108" t="str">
        <f t="shared" si="244"/>
        <v>20140101LGUM_470</v>
      </c>
      <c r="AA574" s="126" t="str">
        <f t="shared" si="245"/>
        <v xml:space="preserve">20140101LS </v>
      </c>
      <c r="AB574" s="583" t="str">
        <f t="shared" si="234"/>
        <v>470</v>
      </c>
      <c r="AD574" s="98">
        <f>MiscData!$X$5</f>
        <v>20140101</v>
      </c>
      <c r="AE574" s="98">
        <f>IF(AE573+1&gt;MiscData!$AC$77,1,AE573+1)</f>
        <v>60</v>
      </c>
      <c r="AF574" s="98" t="str">
        <f>VLOOKUP(AE574,MiscData!$AC$5:$AD$77,2,FALSE)</f>
        <v>LGUM_470</v>
      </c>
      <c r="AG574" s="98" t="str">
        <f>VLOOKUP(AF574,MiscData!$AD$5:$AE$77,2,FALSE)</f>
        <v xml:space="preserve">LS </v>
      </c>
      <c r="AP574" s="98" t="s">
        <v>177</v>
      </c>
      <c r="AR574" s="98">
        <v>0</v>
      </c>
    </row>
    <row r="575" spans="1:44">
      <c r="A575" s="108">
        <f t="shared" si="235"/>
        <v>572</v>
      </c>
      <c r="B575" s="109" t="str">
        <f t="shared" si="241"/>
        <v>Aug 2015</v>
      </c>
      <c r="C575" s="110" t="str">
        <f t="shared" si="242"/>
        <v>RLS</v>
      </c>
      <c r="D575" s="110" t="str">
        <f t="shared" si="243"/>
        <v>LGUM_471</v>
      </c>
      <c r="E575" s="581">
        <f t="shared" si="216"/>
        <v>2</v>
      </c>
      <c r="F575" s="581">
        <f t="shared" si="217"/>
        <v>0</v>
      </c>
      <c r="G575" s="116">
        <f t="shared" si="218"/>
        <v>15.07</v>
      </c>
      <c r="H575" s="116">
        <f t="shared" si="219"/>
        <v>1.3699999999999992</v>
      </c>
      <c r="I575" s="118">
        <f t="shared" si="230"/>
        <v>30.14</v>
      </c>
      <c r="J575" s="118">
        <f t="shared" si="220"/>
        <v>30.14</v>
      </c>
      <c r="K575" s="570">
        <f t="shared" si="231"/>
        <v>0</v>
      </c>
      <c r="L575" s="121">
        <f t="shared" si="221"/>
        <v>0</v>
      </c>
      <c r="M575" s="122">
        <f t="shared" si="222"/>
        <v>0</v>
      </c>
      <c r="N575" s="122">
        <f t="shared" si="223"/>
        <v>0</v>
      </c>
      <c r="O575" s="122">
        <f t="shared" si="224"/>
        <v>0</v>
      </c>
      <c r="P575" s="122">
        <f t="shared" si="225"/>
        <v>0</v>
      </c>
      <c r="Q575" s="123">
        <f t="shared" si="226"/>
        <v>30.14</v>
      </c>
      <c r="R575" s="123">
        <f t="shared" si="232"/>
        <v>-30.14</v>
      </c>
      <c r="S575" s="582">
        <v>0</v>
      </c>
      <c r="T575" s="123">
        <f t="shared" si="233"/>
        <v>-30.14</v>
      </c>
      <c r="U575" s="25">
        <f t="shared" si="227"/>
        <v>2.74</v>
      </c>
      <c r="V575" s="123">
        <f t="shared" si="228"/>
        <v>-2.74</v>
      </c>
      <c r="W575" s="334">
        <f t="shared" si="229"/>
        <v>0.54</v>
      </c>
      <c r="Y575" s="109">
        <f>IF(AE575=1,IF(Y574=MiscData!$F$1,EOMONTH(Y574,-11),EOMONTH(Y574,1)),Y574)</f>
        <v>42247</v>
      </c>
      <c r="Z575" s="108" t="str">
        <f t="shared" si="244"/>
        <v>20140101LGUM_471</v>
      </c>
      <c r="AA575" s="126" t="str">
        <f t="shared" si="245"/>
        <v>20140101RLS</v>
      </c>
      <c r="AB575" s="583" t="str">
        <f t="shared" si="234"/>
        <v>471</v>
      </c>
      <c r="AD575" s="98">
        <f>MiscData!$X$5</f>
        <v>20140101</v>
      </c>
      <c r="AE575" s="98">
        <f>IF(AE574+1&gt;MiscData!$AC$77,1,AE574+1)</f>
        <v>61</v>
      </c>
      <c r="AF575" s="98" t="str">
        <f>VLOOKUP(AE575,MiscData!$AC$5:$AD$77,2,FALSE)</f>
        <v>LGUM_471</v>
      </c>
      <c r="AG575" s="98" t="str">
        <f>VLOOKUP(AF575,MiscData!$AD$5:$AE$77,2,FALSE)</f>
        <v>RLS</v>
      </c>
      <c r="AP575" s="98" t="s">
        <v>178</v>
      </c>
      <c r="AR575" s="98">
        <v>-11.4</v>
      </c>
    </row>
    <row r="576" spans="1:44">
      <c r="A576" s="108">
        <f t="shared" si="235"/>
        <v>573</v>
      </c>
      <c r="B576" s="109" t="str">
        <f t="shared" si="241"/>
        <v>Aug 2015</v>
      </c>
      <c r="C576" s="110" t="str">
        <f t="shared" si="242"/>
        <v xml:space="preserve">LS </v>
      </c>
      <c r="D576" s="110" t="str">
        <f t="shared" si="243"/>
        <v>LGUM_473</v>
      </c>
      <c r="E576" s="581">
        <f t="shared" si="216"/>
        <v>430</v>
      </c>
      <c r="F576" s="581">
        <f t="shared" si="217"/>
        <v>0</v>
      </c>
      <c r="G576" s="116">
        <f t="shared" si="218"/>
        <v>18.68</v>
      </c>
      <c r="H576" s="116">
        <f t="shared" si="219"/>
        <v>3.1799999999999979</v>
      </c>
      <c r="I576" s="118">
        <f t="shared" si="230"/>
        <v>8032.4</v>
      </c>
      <c r="J576" s="118">
        <f t="shared" si="220"/>
        <v>8032.4</v>
      </c>
      <c r="K576" s="570">
        <f t="shared" si="231"/>
        <v>0</v>
      </c>
      <c r="L576" s="121">
        <f t="shared" si="221"/>
        <v>0</v>
      </c>
      <c r="M576" s="122">
        <f t="shared" si="222"/>
        <v>0</v>
      </c>
      <c r="N576" s="122">
        <f t="shared" si="223"/>
        <v>0</v>
      </c>
      <c r="O576" s="122">
        <f t="shared" si="224"/>
        <v>0</v>
      </c>
      <c r="P576" s="122">
        <f t="shared" si="225"/>
        <v>0</v>
      </c>
      <c r="Q576" s="123">
        <f t="shared" si="226"/>
        <v>8032.4</v>
      </c>
      <c r="R576" s="123">
        <f t="shared" si="232"/>
        <v>-8032.4</v>
      </c>
      <c r="S576" s="582">
        <v>0</v>
      </c>
      <c r="T576" s="123">
        <f t="shared" si="233"/>
        <v>-8032.4</v>
      </c>
      <c r="U576" s="25">
        <f t="shared" si="227"/>
        <v>1367.4</v>
      </c>
      <c r="V576" s="123">
        <f t="shared" si="228"/>
        <v>-1367.4</v>
      </c>
      <c r="W576" s="334">
        <f t="shared" si="229"/>
        <v>129</v>
      </c>
      <c r="Y576" s="109">
        <f>IF(AE576=1,IF(Y575=MiscData!$F$1,EOMONTH(Y575,-11),EOMONTH(Y575,1)),Y575)</f>
        <v>42247</v>
      </c>
      <c r="Z576" s="108" t="str">
        <f t="shared" si="244"/>
        <v>20140101LGUM_473</v>
      </c>
      <c r="AA576" s="126" t="str">
        <f t="shared" si="245"/>
        <v xml:space="preserve">20140101LS </v>
      </c>
      <c r="AB576" s="583" t="str">
        <f t="shared" si="234"/>
        <v>473</v>
      </c>
      <c r="AD576" s="98">
        <f>MiscData!$X$5</f>
        <v>20140101</v>
      </c>
      <c r="AE576" s="98">
        <f>IF(AE575+1&gt;MiscData!$AC$77,1,AE575+1)</f>
        <v>62</v>
      </c>
      <c r="AF576" s="98" t="str">
        <f>VLOOKUP(AE576,MiscData!$AC$5:$AD$77,2,FALSE)</f>
        <v>LGUM_473</v>
      </c>
      <c r="AG576" s="98" t="str">
        <f>VLOOKUP(AF576,MiscData!$AD$5:$AE$77,2,FALSE)</f>
        <v xml:space="preserve">LS </v>
      </c>
      <c r="AP576" s="98" t="s">
        <v>179</v>
      </c>
      <c r="AR576" s="98">
        <v>0</v>
      </c>
    </row>
    <row r="577" spans="1:44">
      <c r="A577" s="108">
        <f t="shared" si="235"/>
        <v>574</v>
      </c>
      <c r="B577" s="109" t="str">
        <f t="shared" si="241"/>
        <v>Aug 2015</v>
      </c>
      <c r="C577" s="110" t="str">
        <f t="shared" si="242"/>
        <v>RLS</v>
      </c>
      <c r="D577" s="110" t="str">
        <f t="shared" si="243"/>
        <v>LGUM_474</v>
      </c>
      <c r="E577" s="581">
        <f t="shared" si="216"/>
        <v>53</v>
      </c>
      <c r="F577" s="581">
        <f t="shared" si="217"/>
        <v>0</v>
      </c>
      <c r="G577" s="116">
        <f t="shared" si="218"/>
        <v>20.970000000000002</v>
      </c>
      <c r="H577" s="116">
        <f t="shared" si="219"/>
        <v>3.1799999999999997</v>
      </c>
      <c r="I577" s="118">
        <f t="shared" si="230"/>
        <v>1111.4100000000001</v>
      </c>
      <c r="J577" s="118">
        <f t="shared" si="220"/>
        <v>1111.4100000000001</v>
      </c>
      <c r="K577" s="570">
        <f t="shared" si="231"/>
        <v>0</v>
      </c>
      <c r="L577" s="121">
        <f t="shared" si="221"/>
        <v>0</v>
      </c>
      <c r="M577" s="122">
        <f t="shared" si="222"/>
        <v>0</v>
      </c>
      <c r="N577" s="122">
        <f t="shared" si="223"/>
        <v>0</v>
      </c>
      <c r="O577" s="122">
        <f t="shared" si="224"/>
        <v>0</v>
      </c>
      <c r="P577" s="122">
        <f t="shared" si="225"/>
        <v>0</v>
      </c>
      <c r="Q577" s="123">
        <f t="shared" si="226"/>
        <v>1111.4100000000001</v>
      </c>
      <c r="R577" s="123">
        <f t="shared" si="232"/>
        <v>-1111.4100000000001</v>
      </c>
      <c r="S577" s="582">
        <v>0</v>
      </c>
      <c r="T577" s="123">
        <f t="shared" si="233"/>
        <v>-1111.4100000000001</v>
      </c>
      <c r="U577" s="25">
        <f t="shared" si="227"/>
        <v>168.54</v>
      </c>
      <c r="V577" s="123">
        <f t="shared" si="228"/>
        <v>-168.54</v>
      </c>
      <c r="W577" s="334">
        <f t="shared" si="229"/>
        <v>15.899999999999999</v>
      </c>
      <c r="Y577" s="109">
        <f>IF(AE577=1,IF(Y576=MiscData!$F$1,EOMONTH(Y576,-11),EOMONTH(Y576,1)),Y576)</f>
        <v>42247</v>
      </c>
      <c r="Z577" s="108" t="str">
        <f t="shared" si="244"/>
        <v>20140101LGUM_474</v>
      </c>
      <c r="AA577" s="126" t="str">
        <f t="shared" si="245"/>
        <v>20140101RLS</v>
      </c>
      <c r="AB577" s="583" t="str">
        <f t="shared" si="234"/>
        <v>474</v>
      </c>
      <c r="AD577" s="98">
        <f>MiscData!$X$5</f>
        <v>20140101</v>
      </c>
      <c r="AE577" s="98">
        <f>IF(AE576+1&gt;MiscData!$AC$77,1,AE576+1)</f>
        <v>63</v>
      </c>
      <c r="AF577" s="98" t="str">
        <f>VLOOKUP(AE577,MiscData!$AC$5:$AD$77,2,FALSE)</f>
        <v>LGUM_474</v>
      </c>
      <c r="AG577" s="98" t="str">
        <f>VLOOKUP(AF577,MiscData!$AD$5:$AE$77,2,FALSE)</f>
        <v>RLS</v>
      </c>
      <c r="AP577" s="98" t="s">
        <v>180</v>
      </c>
      <c r="AR577" s="98">
        <v>79.55</v>
      </c>
    </row>
    <row r="578" spans="1:44">
      <c r="A578" s="108">
        <f t="shared" si="235"/>
        <v>575</v>
      </c>
      <c r="B578" s="109" t="str">
        <f t="shared" si="241"/>
        <v>Aug 2015</v>
      </c>
      <c r="C578" s="110" t="str">
        <f t="shared" si="242"/>
        <v>RLS</v>
      </c>
      <c r="D578" s="110" t="str">
        <f t="shared" si="243"/>
        <v>LGUM_475</v>
      </c>
      <c r="E578" s="581">
        <f t="shared" si="216"/>
        <v>2</v>
      </c>
      <c r="F578" s="581">
        <f t="shared" si="217"/>
        <v>0</v>
      </c>
      <c r="G578" s="116">
        <f t="shared" si="218"/>
        <v>28.42</v>
      </c>
      <c r="H578" s="116">
        <f t="shared" si="219"/>
        <v>3.1800000000000033</v>
      </c>
      <c r="I578" s="118">
        <f t="shared" si="230"/>
        <v>56.84</v>
      </c>
      <c r="J578" s="118">
        <f t="shared" si="220"/>
        <v>56.84</v>
      </c>
      <c r="K578" s="570">
        <f t="shared" si="231"/>
        <v>0</v>
      </c>
      <c r="L578" s="121">
        <f t="shared" si="221"/>
        <v>0</v>
      </c>
      <c r="M578" s="122">
        <f t="shared" si="222"/>
        <v>0</v>
      </c>
      <c r="N578" s="122">
        <f t="shared" si="223"/>
        <v>0</v>
      </c>
      <c r="O578" s="122">
        <f t="shared" si="224"/>
        <v>0</v>
      </c>
      <c r="P578" s="122">
        <f t="shared" si="225"/>
        <v>0</v>
      </c>
      <c r="Q578" s="123">
        <f t="shared" si="226"/>
        <v>56.84</v>
      </c>
      <c r="R578" s="123">
        <f t="shared" si="232"/>
        <v>-56.84</v>
      </c>
      <c r="S578" s="582">
        <v>0</v>
      </c>
      <c r="T578" s="123">
        <f t="shared" si="233"/>
        <v>-56.84</v>
      </c>
      <c r="U578" s="25">
        <f t="shared" si="227"/>
        <v>6.36</v>
      </c>
      <c r="V578" s="123">
        <f t="shared" si="228"/>
        <v>-6.36</v>
      </c>
      <c r="W578" s="334">
        <f t="shared" si="229"/>
        <v>0.6</v>
      </c>
      <c r="Y578" s="109">
        <f>IF(AE578=1,IF(Y577=MiscData!$F$1,EOMONTH(Y577,-11),EOMONTH(Y577,1)),Y577)</f>
        <v>42247</v>
      </c>
      <c r="Z578" s="108" t="str">
        <f t="shared" si="244"/>
        <v>20140101LGUM_475</v>
      </c>
      <c r="AA578" s="126" t="str">
        <f t="shared" si="245"/>
        <v>20140101RLS</v>
      </c>
      <c r="AB578" s="583" t="str">
        <f t="shared" si="234"/>
        <v>475</v>
      </c>
      <c r="AD578" s="98">
        <f>MiscData!$X$5</f>
        <v>20140101</v>
      </c>
      <c r="AE578" s="98">
        <f>IF(AE577+1&gt;MiscData!$AC$77,1,AE577+1)</f>
        <v>64</v>
      </c>
      <c r="AF578" s="98" t="str">
        <f>VLOOKUP(AE578,MiscData!$AC$5:$AD$77,2,FALSE)</f>
        <v>LGUM_475</v>
      </c>
      <c r="AG578" s="98" t="str">
        <f>VLOOKUP(AF578,MiscData!$AD$5:$AE$77,2,FALSE)</f>
        <v>RLS</v>
      </c>
      <c r="AP578" s="98" t="s">
        <v>181</v>
      </c>
      <c r="AR578" s="98">
        <v>-342.11</v>
      </c>
    </row>
    <row r="579" spans="1:44">
      <c r="A579" s="108">
        <f t="shared" si="235"/>
        <v>576</v>
      </c>
      <c r="B579" s="109" t="str">
        <f t="shared" si="241"/>
        <v>Aug 2015</v>
      </c>
      <c r="C579" s="110" t="str">
        <f t="shared" si="242"/>
        <v xml:space="preserve">LS </v>
      </c>
      <c r="D579" s="110" t="str">
        <f t="shared" si="243"/>
        <v>LGUM_476</v>
      </c>
      <c r="E579" s="581">
        <f t="shared" si="216"/>
        <v>402</v>
      </c>
      <c r="F579" s="581">
        <f t="shared" si="217"/>
        <v>0</v>
      </c>
      <c r="G579" s="116">
        <f t="shared" si="218"/>
        <v>39.6</v>
      </c>
      <c r="H579" s="116">
        <f t="shared" si="219"/>
        <v>9.8100000000000023</v>
      </c>
      <c r="I579" s="118">
        <f t="shared" si="230"/>
        <v>15919.2</v>
      </c>
      <c r="J579" s="118">
        <f t="shared" si="220"/>
        <v>15919.2</v>
      </c>
      <c r="K579" s="570">
        <f t="shared" si="231"/>
        <v>0</v>
      </c>
      <c r="L579" s="121">
        <f t="shared" si="221"/>
        <v>0</v>
      </c>
      <c r="M579" s="122">
        <f t="shared" si="222"/>
        <v>0</v>
      </c>
      <c r="N579" s="122">
        <f t="shared" si="223"/>
        <v>0</v>
      </c>
      <c r="O579" s="122">
        <f t="shared" si="224"/>
        <v>0</v>
      </c>
      <c r="P579" s="122">
        <f t="shared" si="225"/>
        <v>0</v>
      </c>
      <c r="Q579" s="123">
        <f t="shared" si="226"/>
        <v>15919.2</v>
      </c>
      <c r="R579" s="123">
        <f t="shared" si="232"/>
        <v>-15919.2</v>
      </c>
      <c r="S579" s="582">
        <v>0</v>
      </c>
      <c r="T579" s="123">
        <f t="shared" si="233"/>
        <v>-15919.2</v>
      </c>
      <c r="U579" s="25">
        <f t="shared" si="227"/>
        <v>3943.62</v>
      </c>
      <c r="V579" s="123">
        <f t="shared" si="228"/>
        <v>-3943.62</v>
      </c>
      <c r="W579" s="334">
        <f t="shared" si="229"/>
        <v>245.22</v>
      </c>
      <c r="Y579" s="109">
        <f>IF(AE579=1,IF(Y578=MiscData!$F$1,EOMONTH(Y578,-11),EOMONTH(Y578,1)),Y578)</f>
        <v>42247</v>
      </c>
      <c r="Z579" s="108" t="str">
        <f t="shared" si="244"/>
        <v>20140101LGUM_476</v>
      </c>
      <c r="AA579" s="126" t="str">
        <f t="shared" si="245"/>
        <v xml:space="preserve">20140101LS </v>
      </c>
      <c r="AB579" s="583" t="str">
        <f t="shared" si="234"/>
        <v>476</v>
      </c>
      <c r="AD579" s="98">
        <f>MiscData!$X$5</f>
        <v>20140101</v>
      </c>
      <c r="AE579" s="98">
        <f>IF(AE578+1&gt;MiscData!$AC$77,1,AE578+1)</f>
        <v>65</v>
      </c>
      <c r="AF579" s="98" t="str">
        <f>VLOOKUP(AE579,MiscData!$AC$5:$AD$77,2,FALSE)</f>
        <v>LGUM_476</v>
      </c>
      <c r="AG579" s="98" t="str">
        <f>VLOOKUP(AF579,MiscData!$AD$5:$AE$77,2,FALSE)</f>
        <v xml:space="preserve">LS </v>
      </c>
      <c r="AP579" s="98" t="s">
        <v>182</v>
      </c>
      <c r="AR579" s="98">
        <v>0</v>
      </c>
    </row>
    <row r="580" spans="1:44">
      <c r="A580" s="108">
        <f t="shared" si="235"/>
        <v>577</v>
      </c>
      <c r="B580" s="109" t="str">
        <f t="shared" si="241"/>
        <v>Aug 2015</v>
      </c>
      <c r="C580" s="110" t="str">
        <f t="shared" si="242"/>
        <v>RLS</v>
      </c>
      <c r="D580" s="110" t="str">
        <f t="shared" si="243"/>
        <v>LGUM_477</v>
      </c>
      <c r="E580" s="581">
        <f t="shared" ref="E580:E643" si="246">SUMIFS(L_1055_Count_Total,L_1055_Revenue_Month,$B580,L_1055_RateCategory,$D580)</f>
        <v>62</v>
      </c>
      <c r="F580" s="581">
        <f t="shared" ref="F580:F643" si="247">SUMIFS(L_SBR_KWH,L_SBR_Rate_Category,$D580,L_SBR_Revenue_Month,$B580)</f>
        <v>0</v>
      </c>
      <c r="G580" s="116">
        <f t="shared" ref="G580:G643" si="248">SUMIF(L_LightingRates_Tariff_Rate_Category,$Z580,L_LightingRates_UnitCharge)</f>
        <v>42.78</v>
      </c>
      <c r="H580" s="116">
        <f t="shared" ref="H580:H643" si="249">SUMIF(L_LightingRates_Tariff_Rate_Category,$Z580,L_LightingRates_FAC_Rate)</f>
        <v>9.8100000000000023</v>
      </c>
      <c r="I580" s="118">
        <f t="shared" si="230"/>
        <v>2652.36</v>
      </c>
      <c r="J580" s="118">
        <f t="shared" ref="J580:J643" si="250">SUM(I580:I580)</f>
        <v>2652.36</v>
      </c>
      <c r="K580" s="570">
        <f t="shared" si="231"/>
        <v>0</v>
      </c>
      <c r="L580" s="121">
        <f t="shared" ref="L580:L643" si="251">IF(AND(J580=0,K580=0),1,IF(J580=0,0,K580/J580))</f>
        <v>0</v>
      </c>
      <c r="M580" s="122">
        <f t="shared" ref="M580:M643" si="252">SUMIFS(L_SBR_FAC,L_SBR_Revenue_Month,$B580,L_SBR_Rate_Category,$D580)</f>
        <v>0</v>
      </c>
      <c r="N580" s="122">
        <f t="shared" ref="N580:N643" si="253">SUMIFS(L_SBR_ECR,L_SBR_Revenue_Month,$B580,L_SBR_Rate_Category,$D580)</f>
        <v>0</v>
      </c>
      <c r="O580" s="122">
        <f t="shared" ref="O580:O643" si="254">SUMIFS(L_SBR_MSR,L_SBR_Revenue_Month,$B580,L_SBR_Rate_Category,$D580)</f>
        <v>0</v>
      </c>
      <c r="P580" s="122">
        <f t="shared" ref="P580:P643" si="255">SUMIFS(L_SBR_Revenue_Total,L_SBR_Revenue_Month,$B580,L_SBR_Rate_Category,$D580)</f>
        <v>0</v>
      </c>
      <c r="Q580" s="123">
        <f t="shared" ref="Q580:Q643" si="256">SUM(J580,M580:O580)</f>
        <v>2652.36</v>
      </c>
      <c r="R580" s="123">
        <f t="shared" si="232"/>
        <v>-2652.36</v>
      </c>
      <c r="S580" s="582">
        <v>0</v>
      </c>
      <c r="T580" s="123">
        <f t="shared" si="233"/>
        <v>-2652.36</v>
      </c>
      <c r="U580" s="25">
        <f t="shared" ref="U580:U643" si="257">ROUND(E580*H580,2)</f>
        <v>608.22</v>
      </c>
      <c r="V580" s="123">
        <f t="shared" ref="V580:V643" si="258">K580-U580</f>
        <v>-608.22</v>
      </c>
      <c r="W580" s="334">
        <f t="shared" ref="W580:W643" si="259">SUMIF(L_LightingRates_Tariff_Rate_Category,$Z580,L_LightingRates_ECR_Rate)*E580</f>
        <v>37.82</v>
      </c>
      <c r="Y580" s="109">
        <f>IF(AE580=1,IF(Y579=MiscData!$F$1,EOMONTH(Y579,-11),EOMONTH(Y579,1)),Y579)</f>
        <v>42247</v>
      </c>
      <c r="Z580" s="108" t="str">
        <f t="shared" si="244"/>
        <v>20140101LGUM_477</v>
      </c>
      <c r="AA580" s="126" t="str">
        <f t="shared" si="245"/>
        <v>20140101RLS</v>
      </c>
      <c r="AB580" s="583" t="str">
        <f t="shared" si="234"/>
        <v>477</v>
      </c>
      <c r="AD580" s="98">
        <f>MiscData!$X$5</f>
        <v>20140101</v>
      </c>
      <c r="AE580" s="98">
        <f>IF(AE579+1&gt;MiscData!$AC$77,1,AE579+1)</f>
        <v>66</v>
      </c>
      <c r="AF580" s="98" t="str">
        <f>VLOOKUP(AE580,MiscData!$AC$5:$AD$77,2,FALSE)</f>
        <v>LGUM_477</v>
      </c>
      <c r="AG580" s="98" t="str">
        <f>VLOOKUP(AF580,MiscData!$AD$5:$AE$77,2,FALSE)</f>
        <v>RLS</v>
      </c>
      <c r="AP580" s="98" t="s">
        <v>183</v>
      </c>
      <c r="AR580" s="98">
        <v>0</v>
      </c>
    </row>
    <row r="581" spans="1:44">
      <c r="A581" s="108">
        <f t="shared" si="235"/>
        <v>578</v>
      </c>
      <c r="B581" s="109" t="str">
        <f t="shared" si="241"/>
        <v>Aug 2015</v>
      </c>
      <c r="C581" s="110" t="str">
        <f t="shared" si="242"/>
        <v xml:space="preserve">LS </v>
      </c>
      <c r="D581" s="110" t="str">
        <f t="shared" si="243"/>
        <v>LGUM_479</v>
      </c>
      <c r="E581" s="581">
        <f t="shared" si="246"/>
        <v>0</v>
      </c>
      <c r="F581" s="581">
        <f t="shared" si="247"/>
        <v>0</v>
      </c>
      <c r="G581" s="116">
        <f t="shared" si="248"/>
        <v>14.06</v>
      </c>
      <c r="H581" s="116">
        <f t="shared" si="249"/>
        <v>1.370000000000001</v>
      </c>
      <c r="I581" s="118">
        <f t="shared" ref="I581:I644" si="260">ROUND($E581*$G581,2)</f>
        <v>0</v>
      </c>
      <c r="J581" s="118">
        <f t="shared" si="250"/>
        <v>0</v>
      </c>
      <c r="K581" s="570">
        <f t="shared" ref="K581:K644" si="261">P581-SUM(M581:O581)</f>
        <v>0</v>
      </c>
      <c r="L581" s="121">
        <f t="shared" si="251"/>
        <v>1</v>
      </c>
      <c r="M581" s="122">
        <f t="shared" si="252"/>
        <v>0</v>
      </c>
      <c r="N581" s="122">
        <f t="shared" si="253"/>
        <v>0</v>
      </c>
      <c r="O581" s="122">
        <f t="shared" si="254"/>
        <v>0</v>
      </c>
      <c r="P581" s="122">
        <f t="shared" si="255"/>
        <v>0</v>
      </c>
      <c r="Q581" s="123">
        <f t="shared" si="256"/>
        <v>0</v>
      </c>
      <c r="R581" s="123">
        <f t="shared" ref="R581:R644" si="262">ROUND(P581-Q581,2)</f>
        <v>0</v>
      </c>
      <c r="S581" s="582">
        <v>0</v>
      </c>
      <c r="T581" s="123">
        <f t="shared" ref="T581:T644" si="263">R581-S581</f>
        <v>0</v>
      </c>
      <c r="U581" s="25">
        <f t="shared" si="257"/>
        <v>0</v>
      </c>
      <c r="V581" s="123">
        <f t="shared" si="258"/>
        <v>0</v>
      </c>
      <c r="W581" s="334">
        <f t="shared" si="259"/>
        <v>0</v>
      </c>
      <c r="Y581" s="109">
        <f>IF(AE581=1,IF(Y580=MiscData!$F$1,EOMONTH(Y580,-11),EOMONTH(Y580,1)),Y580)</f>
        <v>42247</v>
      </c>
      <c r="Z581" s="108" t="str">
        <f t="shared" si="244"/>
        <v>20140101LGUM_479</v>
      </c>
      <c r="AA581" s="126" t="str">
        <f t="shared" si="245"/>
        <v xml:space="preserve">20140101LS </v>
      </c>
      <c r="AB581" s="583" t="str">
        <f t="shared" ref="AB581:AB644" si="264">RIGHT(AF581,3)</f>
        <v>479</v>
      </c>
      <c r="AD581" s="98">
        <f>MiscData!$X$5</f>
        <v>20140101</v>
      </c>
      <c r="AE581" s="98">
        <f>IF(AE580+1&gt;MiscData!$AC$77,1,AE580+1)</f>
        <v>67</v>
      </c>
      <c r="AF581" s="98" t="str">
        <f>VLOOKUP(AE581,MiscData!$AC$5:$AD$77,2,FALSE)</f>
        <v>LGUM_479</v>
      </c>
      <c r="AG581" s="98" t="str">
        <f>VLOOKUP(AF581,MiscData!$AD$5:$AE$77,2,FALSE)</f>
        <v xml:space="preserve">LS </v>
      </c>
      <c r="AP581" s="98" t="s">
        <v>184</v>
      </c>
      <c r="AR581" s="98">
        <v>0</v>
      </c>
    </row>
    <row r="582" spans="1:44">
      <c r="A582" s="108">
        <f t="shared" si="235"/>
        <v>579</v>
      </c>
      <c r="B582" s="109" t="str">
        <f t="shared" si="241"/>
        <v>Aug 2015</v>
      </c>
      <c r="C582" s="110" t="str">
        <f t="shared" si="242"/>
        <v xml:space="preserve">LS </v>
      </c>
      <c r="D582" s="110" t="str">
        <f t="shared" si="243"/>
        <v>LGUM_480</v>
      </c>
      <c r="E582" s="581">
        <f t="shared" si="246"/>
        <v>18</v>
      </c>
      <c r="F582" s="581">
        <f t="shared" si="247"/>
        <v>0</v>
      </c>
      <c r="G582" s="116">
        <f t="shared" si="248"/>
        <v>23.83</v>
      </c>
      <c r="H582" s="116">
        <f t="shared" si="249"/>
        <v>1.370000000000001</v>
      </c>
      <c r="I582" s="118">
        <f t="shared" si="260"/>
        <v>428.94</v>
      </c>
      <c r="J582" s="118">
        <f t="shared" si="250"/>
        <v>428.94</v>
      </c>
      <c r="K582" s="570">
        <f t="shared" si="261"/>
        <v>0</v>
      </c>
      <c r="L582" s="121">
        <f t="shared" si="251"/>
        <v>0</v>
      </c>
      <c r="M582" s="122">
        <f t="shared" si="252"/>
        <v>0</v>
      </c>
      <c r="N582" s="122">
        <f t="shared" si="253"/>
        <v>0</v>
      </c>
      <c r="O582" s="122">
        <f t="shared" si="254"/>
        <v>0</v>
      </c>
      <c r="P582" s="122">
        <f t="shared" si="255"/>
        <v>0</v>
      </c>
      <c r="Q582" s="123">
        <f t="shared" si="256"/>
        <v>428.94</v>
      </c>
      <c r="R582" s="123">
        <f t="shared" si="262"/>
        <v>-428.94</v>
      </c>
      <c r="S582" s="582">
        <v>0</v>
      </c>
      <c r="T582" s="123">
        <f t="shared" si="263"/>
        <v>-428.94</v>
      </c>
      <c r="U582" s="25">
        <f t="shared" si="257"/>
        <v>24.66</v>
      </c>
      <c r="V582" s="123">
        <f t="shared" si="258"/>
        <v>-24.66</v>
      </c>
      <c r="W582" s="334">
        <f t="shared" si="259"/>
        <v>4.8600000000000003</v>
      </c>
      <c r="Y582" s="109">
        <f>IF(AE582=1,IF(Y581=MiscData!$F$1,EOMONTH(Y581,-11),EOMONTH(Y581,1)),Y581)</f>
        <v>42247</v>
      </c>
      <c r="Z582" s="108" t="str">
        <f t="shared" si="244"/>
        <v>20140101LGUM_480</v>
      </c>
      <c r="AA582" s="126" t="str">
        <f t="shared" si="245"/>
        <v xml:space="preserve">20140101LS </v>
      </c>
      <c r="AB582" s="583" t="str">
        <f t="shared" si="264"/>
        <v>480</v>
      </c>
      <c r="AD582" s="98">
        <f>MiscData!$X$5</f>
        <v>20140101</v>
      </c>
      <c r="AE582" s="98">
        <f>IF(AE581+1&gt;MiscData!$AC$77,1,AE581+1)</f>
        <v>68</v>
      </c>
      <c r="AF582" s="98" t="str">
        <f>VLOOKUP(AE582,MiscData!$AC$5:$AD$77,2,FALSE)</f>
        <v>LGUM_480</v>
      </c>
      <c r="AG582" s="98" t="str">
        <f>VLOOKUP(AF582,MiscData!$AD$5:$AE$77,2,FALSE)</f>
        <v xml:space="preserve">LS </v>
      </c>
      <c r="AP582" s="98" t="s">
        <v>185</v>
      </c>
      <c r="AR582" s="98">
        <v>0</v>
      </c>
    </row>
    <row r="583" spans="1:44">
      <c r="A583" s="108">
        <f t="shared" ref="A583:A646" si="265">A582+1</f>
        <v>580</v>
      </c>
      <c r="B583" s="109" t="str">
        <f t="shared" si="241"/>
        <v>Aug 2015</v>
      </c>
      <c r="C583" s="110" t="str">
        <f t="shared" si="242"/>
        <v xml:space="preserve">LS </v>
      </c>
      <c r="D583" s="110" t="str">
        <f t="shared" si="243"/>
        <v>LGUM_481</v>
      </c>
      <c r="E583" s="581">
        <f t="shared" si="246"/>
        <v>4</v>
      </c>
      <c r="F583" s="581">
        <f t="shared" si="247"/>
        <v>0</v>
      </c>
      <c r="G583" s="116">
        <f t="shared" si="248"/>
        <v>20.46</v>
      </c>
      <c r="H583" s="116">
        <f t="shared" si="249"/>
        <v>3.1800000000000033</v>
      </c>
      <c r="I583" s="118">
        <f t="shared" si="260"/>
        <v>81.84</v>
      </c>
      <c r="J583" s="118">
        <f t="shared" si="250"/>
        <v>81.84</v>
      </c>
      <c r="K583" s="570">
        <f t="shared" si="261"/>
        <v>0</v>
      </c>
      <c r="L583" s="121">
        <f t="shared" si="251"/>
        <v>0</v>
      </c>
      <c r="M583" s="122">
        <f t="shared" si="252"/>
        <v>0</v>
      </c>
      <c r="N583" s="122">
        <f t="shared" si="253"/>
        <v>0</v>
      </c>
      <c r="O583" s="122">
        <f t="shared" si="254"/>
        <v>0</v>
      </c>
      <c r="P583" s="122">
        <f t="shared" si="255"/>
        <v>0</v>
      </c>
      <c r="Q583" s="123">
        <f t="shared" si="256"/>
        <v>81.84</v>
      </c>
      <c r="R583" s="123">
        <f t="shared" si="262"/>
        <v>-81.84</v>
      </c>
      <c r="S583" s="582">
        <v>0</v>
      </c>
      <c r="T583" s="123">
        <f t="shared" si="263"/>
        <v>-81.84</v>
      </c>
      <c r="U583" s="25">
        <f t="shared" si="257"/>
        <v>12.72</v>
      </c>
      <c r="V583" s="123">
        <f t="shared" si="258"/>
        <v>-12.72</v>
      </c>
      <c r="W583" s="334">
        <f t="shared" si="259"/>
        <v>1.2</v>
      </c>
      <c r="Y583" s="109">
        <f>IF(AE583=1,IF(Y582=MiscData!$F$1,EOMONTH(Y582,-11),EOMONTH(Y582,1)),Y582)</f>
        <v>42247</v>
      </c>
      <c r="Z583" s="108" t="str">
        <f t="shared" si="244"/>
        <v>20140101LGUM_481</v>
      </c>
      <c r="AA583" s="126" t="str">
        <f t="shared" si="245"/>
        <v xml:space="preserve">20140101LS </v>
      </c>
      <c r="AB583" s="583" t="str">
        <f t="shared" si="264"/>
        <v>481</v>
      </c>
      <c r="AD583" s="98">
        <f>MiscData!$X$5</f>
        <v>20140101</v>
      </c>
      <c r="AE583" s="98">
        <f>IF(AE582+1&gt;MiscData!$AC$77,1,AE582+1)</f>
        <v>69</v>
      </c>
      <c r="AF583" s="98" t="str">
        <f>VLOOKUP(AE583,MiscData!$AC$5:$AD$77,2,FALSE)</f>
        <v>LGUM_481</v>
      </c>
      <c r="AG583" s="98" t="str">
        <f>VLOOKUP(AF583,MiscData!$AD$5:$AE$77,2,FALSE)</f>
        <v xml:space="preserve">LS </v>
      </c>
      <c r="AP583" s="98" t="s">
        <v>186</v>
      </c>
      <c r="AR583" s="98">
        <v>0</v>
      </c>
    </row>
    <row r="584" spans="1:44">
      <c r="A584" s="108">
        <f t="shared" si="265"/>
        <v>581</v>
      </c>
      <c r="B584" s="109" t="str">
        <f t="shared" si="241"/>
        <v>Aug 2015</v>
      </c>
      <c r="C584" s="110" t="str">
        <f t="shared" si="242"/>
        <v xml:space="preserve">LS </v>
      </c>
      <c r="D584" s="110" t="str">
        <f t="shared" si="243"/>
        <v>LGUM_482</v>
      </c>
      <c r="E584" s="581">
        <f t="shared" si="246"/>
        <v>43</v>
      </c>
      <c r="F584" s="581">
        <f t="shared" si="247"/>
        <v>0</v>
      </c>
      <c r="G584" s="116">
        <f t="shared" si="248"/>
        <v>30.21</v>
      </c>
      <c r="H584" s="116">
        <f t="shared" si="249"/>
        <v>3.1800000000000033</v>
      </c>
      <c r="I584" s="118">
        <f t="shared" si="260"/>
        <v>1299.03</v>
      </c>
      <c r="J584" s="118">
        <f t="shared" si="250"/>
        <v>1299.03</v>
      </c>
      <c r="K584" s="570">
        <f t="shared" si="261"/>
        <v>0</v>
      </c>
      <c r="L584" s="121">
        <f t="shared" si="251"/>
        <v>0</v>
      </c>
      <c r="M584" s="122">
        <f t="shared" si="252"/>
        <v>0</v>
      </c>
      <c r="N584" s="122">
        <f t="shared" si="253"/>
        <v>0</v>
      </c>
      <c r="O584" s="122">
        <f t="shared" si="254"/>
        <v>0</v>
      </c>
      <c r="P584" s="122">
        <f t="shared" si="255"/>
        <v>0</v>
      </c>
      <c r="Q584" s="123">
        <f t="shared" si="256"/>
        <v>1299.03</v>
      </c>
      <c r="R584" s="123">
        <f t="shared" si="262"/>
        <v>-1299.03</v>
      </c>
      <c r="S584" s="582">
        <v>0</v>
      </c>
      <c r="T584" s="123">
        <f t="shared" si="263"/>
        <v>-1299.03</v>
      </c>
      <c r="U584" s="25">
        <f t="shared" si="257"/>
        <v>136.74</v>
      </c>
      <c r="V584" s="123">
        <f t="shared" si="258"/>
        <v>-136.74</v>
      </c>
      <c r="W584" s="334">
        <f t="shared" si="259"/>
        <v>12.9</v>
      </c>
      <c r="Y584" s="109">
        <f>IF(AE584=1,IF(Y583=MiscData!$F$1,EOMONTH(Y583,-11),EOMONTH(Y583,1)),Y583)</f>
        <v>42247</v>
      </c>
      <c r="Z584" s="108" t="str">
        <f t="shared" si="244"/>
        <v>20140101LGUM_482</v>
      </c>
      <c r="AA584" s="126" t="str">
        <f t="shared" si="245"/>
        <v xml:space="preserve">20140101LS </v>
      </c>
      <c r="AB584" s="583" t="str">
        <f t="shared" si="264"/>
        <v>482</v>
      </c>
      <c r="AD584" s="98">
        <f>MiscData!$X$5</f>
        <v>20140101</v>
      </c>
      <c r="AE584" s="98">
        <f>IF(AE583+1&gt;MiscData!$AC$77,1,AE583+1)</f>
        <v>70</v>
      </c>
      <c r="AF584" s="98" t="str">
        <f>VLOOKUP(AE584,MiscData!$AC$5:$AD$77,2,FALSE)</f>
        <v>LGUM_482</v>
      </c>
      <c r="AG584" s="98" t="str">
        <f>VLOOKUP(AF584,MiscData!$AD$5:$AE$77,2,FALSE)</f>
        <v xml:space="preserve">LS </v>
      </c>
      <c r="AP584" s="98" t="s">
        <v>483</v>
      </c>
      <c r="AR584" s="98">
        <v>0</v>
      </c>
    </row>
    <row r="585" spans="1:44">
      <c r="A585" s="108">
        <f t="shared" si="265"/>
        <v>582</v>
      </c>
      <c r="B585" s="109" t="str">
        <f t="shared" si="241"/>
        <v>Aug 2015</v>
      </c>
      <c r="C585" s="110" t="str">
        <f t="shared" si="242"/>
        <v xml:space="preserve">LS </v>
      </c>
      <c r="D585" s="110" t="str">
        <f t="shared" si="243"/>
        <v>LGUM_483</v>
      </c>
      <c r="E585" s="581">
        <f t="shared" si="246"/>
        <v>2</v>
      </c>
      <c r="F585" s="581">
        <f t="shared" si="247"/>
        <v>0</v>
      </c>
      <c r="G585" s="116">
        <f t="shared" si="248"/>
        <v>42.56</v>
      </c>
      <c r="H585" s="116">
        <f t="shared" si="249"/>
        <v>9.8100000000000023</v>
      </c>
      <c r="I585" s="118">
        <f t="shared" si="260"/>
        <v>85.12</v>
      </c>
      <c r="J585" s="118">
        <f t="shared" si="250"/>
        <v>85.12</v>
      </c>
      <c r="K585" s="570">
        <f t="shared" si="261"/>
        <v>0</v>
      </c>
      <c r="L585" s="121">
        <f t="shared" si="251"/>
        <v>0</v>
      </c>
      <c r="M585" s="122">
        <f t="shared" si="252"/>
        <v>0</v>
      </c>
      <c r="N585" s="122">
        <f t="shared" si="253"/>
        <v>0</v>
      </c>
      <c r="O585" s="122">
        <f t="shared" si="254"/>
        <v>0</v>
      </c>
      <c r="P585" s="122">
        <f t="shared" si="255"/>
        <v>0</v>
      </c>
      <c r="Q585" s="123">
        <f t="shared" si="256"/>
        <v>85.12</v>
      </c>
      <c r="R585" s="123">
        <f t="shared" si="262"/>
        <v>-85.12</v>
      </c>
      <c r="S585" s="582">
        <v>0</v>
      </c>
      <c r="T585" s="123">
        <f t="shared" si="263"/>
        <v>-85.12</v>
      </c>
      <c r="U585" s="25">
        <f t="shared" si="257"/>
        <v>19.62</v>
      </c>
      <c r="V585" s="123">
        <f t="shared" si="258"/>
        <v>-19.62</v>
      </c>
      <c r="W585" s="334">
        <f t="shared" si="259"/>
        <v>1.22</v>
      </c>
      <c r="Y585" s="109">
        <f>IF(AE585=1,IF(Y584=MiscData!$F$1,EOMONTH(Y584,-11),EOMONTH(Y584,1)),Y584)</f>
        <v>42247</v>
      </c>
      <c r="Z585" s="108" t="str">
        <f t="shared" si="244"/>
        <v>20140101LGUM_483</v>
      </c>
      <c r="AA585" s="126" t="str">
        <f t="shared" si="245"/>
        <v xml:space="preserve">20140101LS </v>
      </c>
      <c r="AB585" s="583" t="str">
        <f t="shared" si="264"/>
        <v>483</v>
      </c>
      <c r="AD585" s="98">
        <f>MiscData!$X$5</f>
        <v>20140101</v>
      </c>
      <c r="AE585" s="98">
        <f>IF(AE584+1&gt;MiscData!$AC$77,1,AE584+1)</f>
        <v>71</v>
      </c>
      <c r="AF585" s="98" t="str">
        <f>VLOOKUP(AE585,MiscData!$AC$5:$AD$77,2,FALSE)</f>
        <v>LGUM_483</v>
      </c>
      <c r="AG585" s="98" t="str">
        <f>VLOOKUP(AF585,MiscData!$AD$5:$AE$77,2,FALSE)</f>
        <v xml:space="preserve">LS </v>
      </c>
      <c r="AP585" s="98" t="s">
        <v>487</v>
      </c>
      <c r="AR585" s="98">
        <v>0</v>
      </c>
    </row>
    <row r="586" spans="1:44">
      <c r="A586" s="108">
        <f t="shared" si="265"/>
        <v>583</v>
      </c>
      <c r="B586" s="109" t="str">
        <f t="shared" si="241"/>
        <v>Aug 2015</v>
      </c>
      <c r="C586" s="110" t="str">
        <f t="shared" si="242"/>
        <v xml:space="preserve">LS </v>
      </c>
      <c r="D586" s="110" t="str">
        <f t="shared" si="243"/>
        <v>LGUM_484</v>
      </c>
      <c r="E586" s="581">
        <f t="shared" si="246"/>
        <v>13</v>
      </c>
      <c r="F586" s="581">
        <f t="shared" si="247"/>
        <v>0</v>
      </c>
      <c r="G586" s="116">
        <f t="shared" si="248"/>
        <v>52.31</v>
      </c>
      <c r="H586" s="116">
        <f t="shared" si="249"/>
        <v>9.8100000000000023</v>
      </c>
      <c r="I586" s="118">
        <f t="shared" si="260"/>
        <v>680.03</v>
      </c>
      <c r="J586" s="118">
        <f t="shared" si="250"/>
        <v>680.03</v>
      </c>
      <c r="K586" s="570">
        <f t="shared" si="261"/>
        <v>0</v>
      </c>
      <c r="L586" s="121">
        <f t="shared" si="251"/>
        <v>0</v>
      </c>
      <c r="M586" s="122">
        <f t="shared" si="252"/>
        <v>0</v>
      </c>
      <c r="N586" s="122">
        <f t="shared" si="253"/>
        <v>0</v>
      </c>
      <c r="O586" s="122">
        <f t="shared" si="254"/>
        <v>0</v>
      </c>
      <c r="P586" s="122">
        <f t="shared" si="255"/>
        <v>0</v>
      </c>
      <c r="Q586" s="123">
        <f t="shared" si="256"/>
        <v>680.03</v>
      </c>
      <c r="R586" s="123">
        <f t="shared" si="262"/>
        <v>-680.03</v>
      </c>
      <c r="S586" s="582">
        <v>0</v>
      </c>
      <c r="T586" s="123">
        <f t="shared" si="263"/>
        <v>-680.03</v>
      </c>
      <c r="U586" s="25">
        <f t="shared" si="257"/>
        <v>127.53</v>
      </c>
      <c r="V586" s="123">
        <f t="shared" si="258"/>
        <v>-127.53</v>
      </c>
      <c r="W586" s="334">
        <f t="shared" si="259"/>
        <v>7.93</v>
      </c>
      <c r="Y586" s="109">
        <f>IF(AE586=1,IF(Y585=MiscData!$F$1,EOMONTH(Y585,-11),EOMONTH(Y585,1)),Y585)</f>
        <v>42247</v>
      </c>
      <c r="Z586" s="108" t="str">
        <f t="shared" si="244"/>
        <v>20140101LGUM_484</v>
      </c>
      <c r="AA586" s="126" t="str">
        <f t="shared" si="245"/>
        <v xml:space="preserve">20140101LS </v>
      </c>
      <c r="AB586" s="583" t="str">
        <f t="shared" si="264"/>
        <v>484</v>
      </c>
      <c r="AD586" s="98">
        <f>MiscData!$X$5</f>
        <v>20140101</v>
      </c>
      <c r="AE586" s="98">
        <f>IF(AE585+1&gt;MiscData!$AC$77,1,AE585+1)</f>
        <v>72</v>
      </c>
      <c r="AF586" s="98" t="str">
        <f>VLOOKUP(AE586,MiscData!$AC$5:$AD$77,2,FALSE)</f>
        <v>LGUM_484</v>
      </c>
      <c r="AG586" s="98" t="str">
        <f>VLOOKUP(AF586,MiscData!$AD$5:$AE$77,2,FALSE)</f>
        <v xml:space="preserve">LS </v>
      </c>
      <c r="AP586" s="98" t="s">
        <v>187</v>
      </c>
      <c r="AR586" s="98">
        <v>0</v>
      </c>
    </row>
    <row r="587" spans="1:44">
      <c r="A587" s="108">
        <f t="shared" si="265"/>
        <v>584</v>
      </c>
      <c r="B587" s="109" t="str">
        <f t="shared" si="241"/>
        <v>Aug 2015</v>
      </c>
      <c r="C587" s="110" t="str">
        <f t="shared" si="242"/>
        <v>ODL</v>
      </c>
      <c r="D587" s="110" t="str">
        <f t="shared" si="243"/>
        <v>ODL</v>
      </c>
      <c r="E587" s="581">
        <f t="shared" si="246"/>
        <v>0</v>
      </c>
      <c r="F587" s="581">
        <f t="shared" si="247"/>
        <v>7966910</v>
      </c>
      <c r="G587" s="116">
        <f t="shared" si="248"/>
        <v>0</v>
      </c>
      <c r="H587" s="116">
        <f t="shared" si="249"/>
        <v>0</v>
      </c>
      <c r="I587" s="118">
        <f t="shared" si="260"/>
        <v>0</v>
      </c>
      <c r="J587" s="118">
        <f t="shared" si="250"/>
        <v>0</v>
      </c>
      <c r="K587" s="570">
        <f t="shared" si="261"/>
        <v>1547380</v>
      </c>
      <c r="L587" s="121">
        <f t="shared" si="251"/>
        <v>0</v>
      </c>
      <c r="M587" s="122">
        <f t="shared" si="252"/>
        <v>17133</v>
      </c>
      <c r="N587" s="122">
        <f t="shared" si="253"/>
        <v>51055</v>
      </c>
      <c r="O587" s="122">
        <f t="shared" si="254"/>
        <v>0</v>
      </c>
      <c r="P587" s="122">
        <f t="shared" si="255"/>
        <v>1615568</v>
      </c>
      <c r="Q587" s="123">
        <f t="shared" si="256"/>
        <v>68188</v>
      </c>
      <c r="R587" s="123">
        <f t="shared" si="262"/>
        <v>1547380</v>
      </c>
      <c r="S587" s="582">
        <v>0</v>
      </c>
      <c r="T587" s="123">
        <f t="shared" si="263"/>
        <v>1547380</v>
      </c>
      <c r="U587" s="25">
        <f t="shared" si="257"/>
        <v>0</v>
      </c>
      <c r="V587" s="123">
        <f t="shared" si="258"/>
        <v>1547380</v>
      </c>
      <c r="W587" s="334">
        <f t="shared" si="259"/>
        <v>0</v>
      </c>
      <c r="Y587" s="109">
        <f>IF(AE587=1,IF(Y586=MiscData!$F$1,EOMONTH(Y586,-11),EOMONTH(Y586,1)),Y586)</f>
        <v>42247</v>
      </c>
      <c r="Z587" s="108" t="str">
        <f t="shared" si="244"/>
        <v>20140101ODL</v>
      </c>
      <c r="AA587" s="126" t="str">
        <f t="shared" si="245"/>
        <v>20140101ODL</v>
      </c>
      <c r="AB587" s="583" t="str">
        <f t="shared" si="264"/>
        <v>ODL</v>
      </c>
      <c r="AD587" s="98">
        <f>MiscData!$X$5</f>
        <v>20140101</v>
      </c>
      <c r="AE587" s="98">
        <f>IF(AE586+1&gt;MiscData!$AC$77,1,AE586+1)</f>
        <v>73</v>
      </c>
      <c r="AF587" s="98" t="str">
        <f>VLOOKUP(AE587,MiscData!$AC$5:$AD$77,2,FALSE)</f>
        <v>ODL</v>
      </c>
      <c r="AG587" s="98" t="str">
        <f>VLOOKUP(AF587,MiscData!$AD$5:$AE$77,2,FALSE)</f>
        <v>ODL</v>
      </c>
      <c r="AP587" s="98" t="s">
        <v>188</v>
      </c>
      <c r="AR587" s="98">
        <v>0</v>
      </c>
    </row>
    <row r="588" spans="1:44">
      <c r="A588" s="108">
        <f t="shared" si="265"/>
        <v>585</v>
      </c>
      <c r="B588" s="109" t="str">
        <f t="shared" si="241"/>
        <v>Sep 2015</v>
      </c>
      <c r="C588" s="110" t="str">
        <f t="shared" si="242"/>
        <v>RLS</v>
      </c>
      <c r="D588" s="110" t="str">
        <f t="shared" si="243"/>
        <v>LGUM_201</v>
      </c>
      <c r="E588" s="581">
        <f t="shared" si="246"/>
        <v>77</v>
      </c>
      <c r="F588" s="581">
        <f t="shared" si="247"/>
        <v>0</v>
      </c>
      <c r="G588" s="116">
        <f t="shared" si="248"/>
        <v>8.14</v>
      </c>
      <c r="H588" s="116">
        <f t="shared" si="249"/>
        <v>1.0899999999999999</v>
      </c>
      <c r="I588" s="118">
        <f t="shared" si="260"/>
        <v>626.78</v>
      </c>
      <c r="J588" s="118">
        <f t="shared" si="250"/>
        <v>626.78</v>
      </c>
      <c r="K588" s="570">
        <f t="shared" si="261"/>
        <v>0</v>
      </c>
      <c r="L588" s="121">
        <f t="shared" si="251"/>
        <v>0</v>
      </c>
      <c r="M588" s="122">
        <f t="shared" si="252"/>
        <v>0</v>
      </c>
      <c r="N588" s="122">
        <f t="shared" si="253"/>
        <v>0</v>
      </c>
      <c r="O588" s="122">
        <f t="shared" si="254"/>
        <v>0</v>
      </c>
      <c r="P588" s="122">
        <f t="shared" si="255"/>
        <v>0</v>
      </c>
      <c r="Q588" s="123">
        <f t="shared" si="256"/>
        <v>626.78</v>
      </c>
      <c r="R588" s="123">
        <f t="shared" si="262"/>
        <v>-626.78</v>
      </c>
      <c r="S588" s="582">
        <v>0</v>
      </c>
      <c r="T588" s="123">
        <f t="shared" si="263"/>
        <v>-626.78</v>
      </c>
      <c r="U588" s="25">
        <f t="shared" si="257"/>
        <v>83.93</v>
      </c>
      <c r="V588" s="123">
        <f t="shared" si="258"/>
        <v>-83.93</v>
      </c>
      <c r="W588" s="334">
        <f t="shared" si="259"/>
        <v>12.32</v>
      </c>
      <c r="Y588" s="109">
        <f>IF(AE588=1,IF(Y587=MiscData!$F$1,EOMONTH(Y587,-11),EOMONTH(Y587,1)),Y587)</f>
        <v>42277</v>
      </c>
      <c r="Z588" s="108" t="str">
        <f t="shared" si="244"/>
        <v>20140101LGUM_201</v>
      </c>
      <c r="AA588" s="126" t="str">
        <f t="shared" si="245"/>
        <v>20140101RLS</v>
      </c>
      <c r="AB588" s="583" t="str">
        <f t="shared" si="264"/>
        <v>201</v>
      </c>
      <c r="AD588" s="98">
        <f>MiscData!$X$5</f>
        <v>20140101</v>
      </c>
      <c r="AE588" s="98">
        <f>IF(AE587+1&gt;MiscData!$AC$77,1,AE587+1)</f>
        <v>1</v>
      </c>
      <c r="AF588" s="98" t="str">
        <f>VLOOKUP(AE588,MiscData!$AC$5:$AD$77,2,FALSE)</f>
        <v>LGUM_201</v>
      </c>
      <c r="AG588" s="98" t="str">
        <f>VLOOKUP(AF588,MiscData!$AD$5:$AE$77,2,FALSE)</f>
        <v>RLS</v>
      </c>
      <c r="AP588" s="98" t="s">
        <v>189</v>
      </c>
      <c r="AR588" s="98">
        <v>0</v>
      </c>
    </row>
    <row r="589" spans="1:44">
      <c r="A589" s="108">
        <f t="shared" si="265"/>
        <v>586</v>
      </c>
      <c r="B589" s="109" t="str">
        <f t="shared" si="241"/>
        <v>Sep 2015</v>
      </c>
      <c r="C589" s="110" t="str">
        <f t="shared" si="242"/>
        <v>RLS</v>
      </c>
      <c r="D589" s="110" t="str">
        <f t="shared" si="243"/>
        <v>LGUM_203</v>
      </c>
      <c r="E589" s="581">
        <f t="shared" si="246"/>
        <v>3839</v>
      </c>
      <c r="F589" s="581">
        <f t="shared" si="247"/>
        <v>0</v>
      </c>
      <c r="G589" s="116">
        <f t="shared" si="248"/>
        <v>10.959999999999999</v>
      </c>
      <c r="H589" s="116">
        <f t="shared" si="249"/>
        <v>2.7099999999999991</v>
      </c>
      <c r="I589" s="118">
        <f t="shared" si="260"/>
        <v>42075.44</v>
      </c>
      <c r="J589" s="118">
        <f t="shared" si="250"/>
        <v>42075.44</v>
      </c>
      <c r="K589" s="570">
        <f t="shared" si="261"/>
        <v>0</v>
      </c>
      <c r="L589" s="121">
        <f t="shared" si="251"/>
        <v>0</v>
      </c>
      <c r="M589" s="122">
        <f t="shared" si="252"/>
        <v>0</v>
      </c>
      <c r="N589" s="122">
        <f t="shared" si="253"/>
        <v>0</v>
      </c>
      <c r="O589" s="122">
        <f t="shared" si="254"/>
        <v>0</v>
      </c>
      <c r="P589" s="122">
        <f t="shared" si="255"/>
        <v>0</v>
      </c>
      <c r="Q589" s="123">
        <f t="shared" si="256"/>
        <v>42075.44</v>
      </c>
      <c r="R589" s="123">
        <f t="shared" si="262"/>
        <v>-42075.44</v>
      </c>
      <c r="S589" s="582">
        <v>0</v>
      </c>
      <c r="T589" s="123">
        <f t="shared" si="263"/>
        <v>-42075.44</v>
      </c>
      <c r="U589" s="25">
        <f t="shared" si="257"/>
        <v>10403.69</v>
      </c>
      <c r="V589" s="123">
        <f t="shared" si="258"/>
        <v>-10403.69</v>
      </c>
      <c r="W589" s="334">
        <f t="shared" si="259"/>
        <v>691.02</v>
      </c>
      <c r="Y589" s="109">
        <f>IF(AE589=1,IF(Y588=MiscData!$F$1,EOMONTH(Y588,-11),EOMONTH(Y588,1)),Y588)</f>
        <v>42277</v>
      </c>
      <c r="Z589" s="108" t="str">
        <f t="shared" si="244"/>
        <v>20140101LGUM_203</v>
      </c>
      <c r="AA589" s="126" t="str">
        <f t="shared" si="245"/>
        <v>20140101RLS</v>
      </c>
      <c r="AB589" s="583" t="str">
        <f t="shared" si="264"/>
        <v>203</v>
      </c>
      <c r="AD589" s="98">
        <f>MiscData!$X$5</f>
        <v>20140101</v>
      </c>
      <c r="AE589" s="98">
        <f>IF(AE588+1&gt;MiscData!$AC$77,1,AE588+1)</f>
        <v>2</v>
      </c>
      <c r="AF589" s="98" t="str">
        <f>VLOOKUP(AE589,MiscData!$AC$5:$AD$77,2,FALSE)</f>
        <v>LGUM_203</v>
      </c>
      <c r="AG589" s="98" t="str">
        <f>VLOOKUP(AF589,MiscData!$AD$5:$AE$77,2,FALSE)</f>
        <v>RLS</v>
      </c>
      <c r="AP589" s="98" t="s">
        <v>190</v>
      </c>
      <c r="AR589" s="98">
        <v>46.62</v>
      </c>
    </row>
    <row r="590" spans="1:44">
      <c r="A590" s="108">
        <f t="shared" si="265"/>
        <v>587</v>
      </c>
      <c r="B590" s="109" t="str">
        <f t="shared" si="241"/>
        <v>Sep 2015</v>
      </c>
      <c r="C590" s="110" t="str">
        <f t="shared" si="242"/>
        <v>RLS</v>
      </c>
      <c r="D590" s="110" t="str">
        <f t="shared" si="243"/>
        <v>LGUM_204</v>
      </c>
      <c r="E590" s="581">
        <f t="shared" si="246"/>
        <v>3859</v>
      </c>
      <c r="F590" s="581">
        <f t="shared" si="247"/>
        <v>0</v>
      </c>
      <c r="G590" s="116">
        <f t="shared" si="248"/>
        <v>13.510000000000002</v>
      </c>
      <c r="H590" s="116">
        <f t="shared" si="249"/>
        <v>4.2000000000000011</v>
      </c>
      <c r="I590" s="118">
        <f t="shared" si="260"/>
        <v>52135.09</v>
      </c>
      <c r="J590" s="118">
        <f t="shared" si="250"/>
        <v>52135.09</v>
      </c>
      <c r="K590" s="570">
        <f t="shared" si="261"/>
        <v>0</v>
      </c>
      <c r="L590" s="121">
        <f t="shared" si="251"/>
        <v>0</v>
      </c>
      <c r="M590" s="122">
        <f t="shared" si="252"/>
        <v>0</v>
      </c>
      <c r="N590" s="122">
        <f t="shared" si="253"/>
        <v>0</v>
      </c>
      <c r="O590" s="122">
        <f t="shared" si="254"/>
        <v>0</v>
      </c>
      <c r="P590" s="122">
        <f t="shared" si="255"/>
        <v>0</v>
      </c>
      <c r="Q590" s="123">
        <f t="shared" si="256"/>
        <v>52135.09</v>
      </c>
      <c r="R590" s="123">
        <f t="shared" si="262"/>
        <v>-52135.09</v>
      </c>
      <c r="S590" s="582">
        <v>0</v>
      </c>
      <c r="T590" s="123">
        <f t="shared" si="263"/>
        <v>-52135.09</v>
      </c>
      <c r="U590" s="25">
        <f t="shared" si="257"/>
        <v>16207.8</v>
      </c>
      <c r="V590" s="123">
        <f t="shared" si="258"/>
        <v>-16207.8</v>
      </c>
      <c r="W590" s="334">
        <f t="shared" si="259"/>
        <v>848.98</v>
      </c>
      <c r="Y590" s="109">
        <f>IF(AE590=1,IF(Y589=MiscData!$F$1,EOMONTH(Y589,-11),EOMONTH(Y589,1)),Y589)</f>
        <v>42277</v>
      </c>
      <c r="Z590" s="108" t="str">
        <f t="shared" si="244"/>
        <v>20140101LGUM_204</v>
      </c>
      <c r="AA590" s="126" t="str">
        <f t="shared" si="245"/>
        <v>20140101RLS</v>
      </c>
      <c r="AB590" s="583" t="str">
        <f t="shared" si="264"/>
        <v>204</v>
      </c>
      <c r="AD590" s="98">
        <f>MiscData!$X$5</f>
        <v>20140101</v>
      </c>
      <c r="AE590" s="98">
        <f>IF(AE589+1&gt;MiscData!$AC$77,1,AE589+1)</f>
        <v>3</v>
      </c>
      <c r="AF590" s="98" t="str">
        <f>VLOOKUP(AE590,MiscData!$AC$5:$AD$77,2,FALSE)</f>
        <v>LGUM_204</v>
      </c>
      <c r="AG590" s="98" t="str">
        <f>VLOOKUP(AF590,MiscData!$AD$5:$AE$77,2,FALSE)</f>
        <v>RLS</v>
      </c>
      <c r="AP590" s="98" t="s">
        <v>497</v>
      </c>
      <c r="AR590" s="98">
        <v>0</v>
      </c>
    </row>
    <row r="591" spans="1:44">
      <c r="A591" s="108">
        <f t="shared" si="265"/>
        <v>588</v>
      </c>
      <c r="B591" s="109" t="str">
        <f t="shared" si="241"/>
        <v>Sep 2015</v>
      </c>
      <c r="C591" s="110" t="str">
        <f t="shared" si="242"/>
        <v>RLS</v>
      </c>
      <c r="D591" s="110" t="str">
        <f t="shared" si="243"/>
        <v>LGUM_206</v>
      </c>
      <c r="E591" s="581">
        <f t="shared" si="246"/>
        <v>96</v>
      </c>
      <c r="F591" s="581">
        <f t="shared" si="247"/>
        <v>0</v>
      </c>
      <c r="G591" s="116">
        <f t="shared" si="248"/>
        <v>12.450000000000001</v>
      </c>
      <c r="H591" s="116">
        <f t="shared" si="249"/>
        <v>1.0899999999999999</v>
      </c>
      <c r="I591" s="118">
        <f t="shared" si="260"/>
        <v>1195.2</v>
      </c>
      <c r="J591" s="118">
        <f t="shared" si="250"/>
        <v>1195.2</v>
      </c>
      <c r="K591" s="570">
        <f t="shared" si="261"/>
        <v>0</v>
      </c>
      <c r="L591" s="121">
        <f t="shared" si="251"/>
        <v>0</v>
      </c>
      <c r="M591" s="122">
        <f t="shared" si="252"/>
        <v>0</v>
      </c>
      <c r="N591" s="122">
        <f t="shared" si="253"/>
        <v>0</v>
      </c>
      <c r="O591" s="122">
        <f t="shared" si="254"/>
        <v>0</v>
      </c>
      <c r="P591" s="122">
        <f t="shared" si="255"/>
        <v>0</v>
      </c>
      <c r="Q591" s="123">
        <f t="shared" si="256"/>
        <v>1195.2</v>
      </c>
      <c r="R591" s="123">
        <f t="shared" si="262"/>
        <v>-1195.2</v>
      </c>
      <c r="S591" s="582">
        <v>0</v>
      </c>
      <c r="T591" s="123">
        <f t="shared" si="263"/>
        <v>-1195.2</v>
      </c>
      <c r="U591" s="25">
        <f t="shared" si="257"/>
        <v>104.64</v>
      </c>
      <c r="V591" s="123">
        <f t="shared" si="258"/>
        <v>-104.64</v>
      </c>
      <c r="W591" s="334">
        <f t="shared" si="259"/>
        <v>15.36</v>
      </c>
      <c r="Y591" s="109">
        <f>IF(AE591=1,IF(Y590=MiscData!$F$1,EOMONTH(Y590,-11),EOMONTH(Y590,1)),Y590)</f>
        <v>42277</v>
      </c>
      <c r="Z591" s="108" t="str">
        <f t="shared" si="244"/>
        <v>20140101LGUM_206</v>
      </c>
      <c r="AA591" s="126" t="str">
        <f t="shared" si="245"/>
        <v>20140101RLS</v>
      </c>
      <c r="AB591" s="583" t="str">
        <f t="shared" si="264"/>
        <v>206</v>
      </c>
      <c r="AD591" s="98">
        <f>MiscData!$X$5</f>
        <v>20140101</v>
      </c>
      <c r="AE591" s="98">
        <f>IF(AE590+1&gt;MiscData!$AC$77,1,AE590+1)</f>
        <v>4</v>
      </c>
      <c r="AF591" s="98" t="str">
        <f>VLOOKUP(AE591,MiscData!$AC$5:$AD$77,2,FALSE)</f>
        <v>LGUM_206</v>
      </c>
      <c r="AG591" s="98" t="str">
        <f>VLOOKUP(AF591,MiscData!$AD$5:$AE$77,2,FALSE)</f>
        <v>RLS</v>
      </c>
      <c r="AP591" s="98" t="s">
        <v>191</v>
      </c>
      <c r="AR591" s="98">
        <v>-5.19</v>
      </c>
    </row>
    <row r="592" spans="1:44">
      <c r="A592" s="108">
        <f t="shared" si="265"/>
        <v>589</v>
      </c>
      <c r="B592" s="109" t="str">
        <f t="shared" si="241"/>
        <v>Sep 2015</v>
      </c>
      <c r="C592" s="110" t="str">
        <f t="shared" si="242"/>
        <v>RLS</v>
      </c>
      <c r="D592" s="110" t="str">
        <f t="shared" si="243"/>
        <v>LGUM_207</v>
      </c>
      <c r="E592" s="581">
        <f t="shared" si="246"/>
        <v>751</v>
      </c>
      <c r="F592" s="581">
        <f t="shared" si="247"/>
        <v>0</v>
      </c>
      <c r="G592" s="116">
        <f t="shared" si="248"/>
        <v>15.54</v>
      </c>
      <c r="H592" s="116">
        <f t="shared" si="249"/>
        <v>4.2000000000000011</v>
      </c>
      <c r="I592" s="118">
        <f t="shared" si="260"/>
        <v>11670.54</v>
      </c>
      <c r="J592" s="118">
        <f t="shared" si="250"/>
        <v>11670.54</v>
      </c>
      <c r="K592" s="570">
        <f t="shared" si="261"/>
        <v>0</v>
      </c>
      <c r="L592" s="121">
        <f t="shared" si="251"/>
        <v>0</v>
      </c>
      <c r="M592" s="122">
        <f t="shared" si="252"/>
        <v>0</v>
      </c>
      <c r="N592" s="122">
        <f t="shared" si="253"/>
        <v>0</v>
      </c>
      <c r="O592" s="122">
        <f t="shared" si="254"/>
        <v>0</v>
      </c>
      <c r="P592" s="122">
        <f t="shared" si="255"/>
        <v>0</v>
      </c>
      <c r="Q592" s="123">
        <f t="shared" si="256"/>
        <v>11670.54</v>
      </c>
      <c r="R592" s="123">
        <f t="shared" si="262"/>
        <v>-11670.54</v>
      </c>
      <c r="S592" s="582">
        <v>0</v>
      </c>
      <c r="T592" s="123">
        <f t="shared" si="263"/>
        <v>-11670.54</v>
      </c>
      <c r="U592" s="25">
        <f t="shared" si="257"/>
        <v>3154.2</v>
      </c>
      <c r="V592" s="123">
        <f t="shared" si="258"/>
        <v>-3154.2</v>
      </c>
      <c r="W592" s="334">
        <f t="shared" si="259"/>
        <v>165.22</v>
      </c>
      <c r="Y592" s="109">
        <f>IF(AE592=1,IF(Y591=MiscData!$F$1,EOMONTH(Y591,-11),EOMONTH(Y591,1)),Y591)</f>
        <v>42277</v>
      </c>
      <c r="Z592" s="108" t="str">
        <f t="shared" si="244"/>
        <v>20140101LGUM_207</v>
      </c>
      <c r="AA592" s="126" t="str">
        <f t="shared" si="245"/>
        <v>20140101RLS</v>
      </c>
      <c r="AB592" s="583" t="str">
        <f t="shared" si="264"/>
        <v>207</v>
      </c>
      <c r="AD592" s="98">
        <f>MiscData!$X$5</f>
        <v>20140101</v>
      </c>
      <c r="AE592" s="98">
        <f>IF(AE591+1&gt;MiscData!$AC$77,1,AE591+1)</f>
        <v>5</v>
      </c>
      <c r="AF592" s="98" t="str">
        <f>VLOOKUP(AE592,MiscData!$AC$5:$AD$77,2,FALSE)</f>
        <v>LGUM_207</v>
      </c>
      <c r="AG592" s="98" t="str">
        <f>VLOOKUP(AF592,MiscData!$AD$5:$AE$77,2,FALSE)</f>
        <v>RLS</v>
      </c>
      <c r="AP592" s="98" t="s">
        <v>192</v>
      </c>
      <c r="AR592" s="98">
        <v>0</v>
      </c>
    </row>
    <row r="593" spans="1:44">
      <c r="A593" s="108">
        <f t="shared" si="265"/>
        <v>590</v>
      </c>
      <c r="B593" s="109" t="str">
        <f t="shared" si="241"/>
        <v>Sep 2015</v>
      </c>
      <c r="C593" s="110" t="str">
        <f t="shared" si="242"/>
        <v>RLS</v>
      </c>
      <c r="D593" s="110" t="str">
        <f t="shared" si="243"/>
        <v>LGUM_208</v>
      </c>
      <c r="E593" s="581">
        <f t="shared" si="246"/>
        <v>1351</v>
      </c>
      <c r="F593" s="581">
        <f t="shared" si="247"/>
        <v>0</v>
      </c>
      <c r="G593" s="116">
        <f t="shared" si="248"/>
        <v>14.24</v>
      </c>
      <c r="H593" s="116">
        <f t="shared" si="249"/>
        <v>1.9100000000000001</v>
      </c>
      <c r="I593" s="118">
        <f t="shared" si="260"/>
        <v>19238.240000000002</v>
      </c>
      <c r="J593" s="118">
        <f t="shared" si="250"/>
        <v>19238.240000000002</v>
      </c>
      <c r="K593" s="570">
        <f t="shared" si="261"/>
        <v>0</v>
      </c>
      <c r="L593" s="121">
        <f t="shared" si="251"/>
        <v>0</v>
      </c>
      <c r="M593" s="122">
        <f t="shared" si="252"/>
        <v>0</v>
      </c>
      <c r="N593" s="122">
        <f t="shared" si="253"/>
        <v>0</v>
      </c>
      <c r="O593" s="122">
        <f t="shared" si="254"/>
        <v>0</v>
      </c>
      <c r="P593" s="122">
        <f t="shared" si="255"/>
        <v>0</v>
      </c>
      <c r="Q593" s="123">
        <f t="shared" si="256"/>
        <v>19238.240000000002</v>
      </c>
      <c r="R593" s="123">
        <f t="shared" si="262"/>
        <v>-19238.240000000002</v>
      </c>
      <c r="S593" s="582">
        <v>0</v>
      </c>
      <c r="T593" s="123">
        <f t="shared" si="263"/>
        <v>-19238.240000000002</v>
      </c>
      <c r="U593" s="25">
        <f t="shared" si="257"/>
        <v>2580.41</v>
      </c>
      <c r="V593" s="123">
        <f t="shared" si="258"/>
        <v>-2580.41</v>
      </c>
      <c r="W593" s="334">
        <f t="shared" si="259"/>
        <v>216.16</v>
      </c>
      <c r="Y593" s="109">
        <f>IF(AE593=1,IF(Y592=MiscData!$F$1,EOMONTH(Y592,-11),EOMONTH(Y592,1)),Y592)</f>
        <v>42277</v>
      </c>
      <c r="Z593" s="108" t="str">
        <f t="shared" si="244"/>
        <v>20140101LGUM_208</v>
      </c>
      <c r="AA593" s="126" t="str">
        <f t="shared" si="245"/>
        <v>20140101RLS</v>
      </c>
      <c r="AB593" s="583" t="str">
        <f t="shared" si="264"/>
        <v>208</v>
      </c>
      <c r="AD593" s="98">
        <f>MiscData!$X$5</f>
        <v>20140101</v>
      </c>
      <c r="AE593" s="98">
        <f>IF(AE592+1&gt;MiscData!$AC$77,1,AE592+1)</f>
        <v>6</v>
      </c>
      <c r="AF593" s="98" t="str">
        <f>VLOOKUP(AE593,MiscData!$AC$5:$AD$77,2,FALSE)</f>
        <v>LGUM_208</v>
      </c>
      <c r="AG593" s="98" t="str">
        <f>VLOOKUP(AF593,MiscData!$AD$5:$AE$77,2,FALSE)</f>
        <v>RLS</v>
      </c>
      <c r="AP593" s="98" t="s">
        <v>193</v>
      </c>
      <c r="AR593" s="98">
        <v>0</v>
      </c>
    </row>
    <row r="594" spans="1:44">
      <c r="A594" s="108">
        <f t="shared" si="265"/>
        <v>591</v>
      </c>
      <c r="B594" s="109" t="str">
        <f t="shared" si="241"/>
        <v>Sep 2015</v>
      </c>
      <c r="C594" s="110" t="str">
        <f t="shared" si="242"/>
        <v>RLS</v>
      </c>
      <c r="D594" s="110" t="str">
        <f t="shared" si="243"/>
        <v>LGUM_209</v>
      </c>
      <c r="E594" s="581">
        <f t="shared" si="246"/>
        <v>45</v>
      </c>
      <c r="F594" s="581">
        <f t="shared" si="247"/>
        <v>0</v>
      </c>
      <c r="G594" s="116">
        <f t="shared" si="248"/>
        <v>27.69</v>
      </c>
      <c r="H594" s="116">
        <f t="shared" si="249"/>
        <v>10.170000000000002</v>
      </c>
      <c r="I594" s="118">
        <f t="shared" si="260"/>
        <v>1246.05</v>
      </c>
      <c r="J594" s="118">
        <f t="shared" si="250"/>
        <v>1246.05</v>
      </c>
      <c r="K594" s="570">
        <f t="shared" si="261"/>
        <v>0</v>
      </c>
      <c r="L594" s="121">
        <f t="shared" si="251"/>
        <v>0</v>
      </c>
      <c r="M594" s="122">
        <f t="shared" si="252"/>
        <v>0</v>
      </c>
      <c r="N594" s="122">
        <f t="shared" si="253"/>
        <v>0</v>
      </c>
      <c r="O594" s="122">
        <f t="shared" si="254"/>
        <v>0</v>
      </c>
      <c r="P594" s="122">
        <f t="shared" si="255"/>
        <v>0</v>
      </c>
      <c r="Q594" s="123">
        <f t="shared" si="256"/>
        <v>1246.05</v>
      </c>
      <c r="R594" s="123">
        <f t="shared" si="262"/>
        <v>-1246.05</v>
      </c>
      <c r="S594" s="582">
        <v>0</v>
      </c>
      <c r="T594" s="123">
        <f t="shared" si="263"/>
        <v>-1246.05</v>
      </c>
      <c r="U594" s="25">
        <f t="shared" si="257"/>
        <v>457.65</v>
      </c>
      <c r="V594" s="123">
        <f t="shared" si="258"/>
        <v>-457.65</v>
      </c>
      <c r="W594" s="334">
        <f t="shared" si="259"/>
        <v>18.45</v>
      </c>
      <c r="Y594" s="109">
        <f>IF(AE594=1,IF(Y593=MiscData!$F$1,EOMONTH(Y593,-11),EOMONTH(Y593,1)),Y593)</f>
        <v>42277</v>
      </c>
      <c r="Z594" s="108" t="str">
        <f t="shared" si="244"/>
        <v>20140101LGUM_209</v>
      </c>
      <c r="AA594" s="126" t="str">
        <f t="shared" si="245"/>
        <v>20140101RLS</v>
      </c>
      <c r="AB594" s="583" t="str">
        <f t="shared" si="264"/>
        <v>209</v>
      </c>
      <c r="AD594" s="98">
        <f>MiscData!$X$5</f>
        <v>20140101</v>
      </c>
      <c r="AE594" s="98">
        <f>IF(AE593+1&gt;MiscData!$AC$77,1,AE593+1)</f>
        <v>7</v>
      </c>
      <c r="AF594" s="98" t="str">
        <f>VLOOKUP(AE594,MiscData!$AC$5:$AD$77,2,FALSE)</f>
        <v>LGUM_209</v>
      </c>
      <c r="AG594" s="98" t="str">
        <f>VLOOKUP(AF594,MiscData!$AD$5:$AE$77,2,FALSE)</f>
        <v>RLS</v>
      </c>
      <c r="AP594" s="98" t="s">
        <v>194</v>
      </c>
      <c r="AR594" s="98">
        <v>-15.73</v>
      </c>
    </row>
    <row r="595" spans="1:44">
      <c r="A595" s="108">
        <f t="shared" si="265"/>
        <v>592</v>
      </c>
      <c r="B595" s="109" t="str">
        <f t="shared" si="241"/>
        <v>Sep 2015</v>
      </c>
      <c r="C595" s="110" t="str">
        <f t="shared" si="242"/>
        <v>RLS</v>
      </c>
      <c r="D595" s="110" t="str">
        <f t="shared" si="243"/>
        <v>LGUM_210</v>
      </c>
      <c r="E595" s="581">
        <f t="shared" si="246"/>
        <v>382</v>
      </c>
      <c r="F595" s="581">
        <f t="shared" si="247"/>
        <v>0</v>
      </c>
      <c r="G595" s="116">
        <f t="shared" si="248"/>
        <v>28.89</v>
      </c>
      <c r="H595" s="116">
        <f t="shared" si="249"/>
        <v>10.170000000000002</v>
      </c>
      <c r="I595" s="118">
        <f t="shared" si="260"/>
        <v>11035.98</v>
      </c>
      <c r="J595" s="118">
        <f t="shared" si="250"/>
        <v>11035.98</v>
      </c>
      <c r="K595" s="570">
        <f t="shared" si="261"/>
        <v>0</v>
      </c>
      <c r="L595" s="121">
        <f t="shared" si="251"/>
        <v>0</v>
      </c>
      <c r="M595" s="122">
        <f t="shared" si="252"/>
        <v>0</v>
      </c>
      <c r="N595" s="122">
        <f t="shared" si="253"/>
        <v>0</v>
      </c>
      <c r="O595" s="122">
        <f t="shared" si="254"/>
        <v>0</v>
      </c>
      <c r="P595" s="122">
        <f t="shared" si="255"/>
        <v>0</v>
      </c>
      <c r="Q595" s="123">
        <f t="shared" si="256"/>
        <v>11035.98</v>
      </c>
      <c r="R595" s="123">
        <f t="shared" si="262"/>
        <v>-11035.98</v>
      </c>
      <c r="S595" s="582">
        <v>0</v>
      </c>
      <c r="T595" s="123">
        <f t="shared" si="263"/>
        <v>-11035.98</v>
      </c>
      <c r="U595" s="25">
        <f t="shared" si="257"/>
        <v>3884.94</v>
      </c>
      <c r="V595" s="123">
        <f t="shared" si="258"/>
        <v>-3884.94</v>
      </c>
      <c r="W595" s="334">
        <f t="shared" si="259"/>
        <v>156.62</v>
      </c>
      <c r="Y595" s="109">
        <f>IF(AE595=1,IF(Y594=MiscData!$F$1,EOMONTH(Y594,-11),EOMONTH(Y594,1)),Y594)</f>
        <v>42277</v>
      </c>
      <c r="Z595" s="108" t="str">
        <f t="shared" si="244"/>
        <v>20140101LGUM_210</v>
      </c>
      <c r="AA595" s="126" t="str">
        <f t="shared" si="245"/>
        <v>20140101RLS</v>
      </c>
      <c r="AB595" s="583" t="str">
        <f t="shared" si="264"/>
        <v>210</v>
      </c>
      <c r="AD595" s="98">
        <f>MiscData!$X$5</f>
        <v>20140101</v>
      </c>
      <c r="AE595" s="98">
        <f>IF(AE594+1&gt;MiscData!$AC$77,1,AE594+1)</f>
        <v>8</v>
      </c>
      <c r="AF595" s="98" t="str">
        <f>VLOOKUP(AE595,MiscData!$AC$5:$AD$77,2,FALSE)</f>
        <v>LGUM_210</v>
      </c>
      <c r="AG595" s="98" t="str">
        <f>VLOOKUP(AF595,MiscData!$AD$5:$AE$77,2,FALSE)</f>
        <v>RLS</v>
      </c>
      <c r="AP595" s="98" t="s">
        <v>195</v>
      </c>
      <c r="AR595" s="98">
        <v>-55.06</v>
      </c>
    </row>
    <row r="596" spans="1:44">
      <c r="A596" s="108">
        <f t="shared" si="265"/>
        <v>593</v>
      </c>
      <c r="B596" s="109" t="str">
        <f t="shared" si="241"/>
        <v>Sep 2015</v>
      </c>
      <c r="C596" s="110" t="str">
        <f t="shared" si="242"/>
        <v>RLS</v>
      </c>
      <c r="D596" s="110" t="str">
        <f t="shared" si="243"/>
        <v>LGUM_252</v>
      </c>
      <c r="E596" s="581">
        <f t="shared" si="246"/>
        <v>4067</v>
      </c>
      <c r="F596" s="581">
        <f t="shared" si="247"/>
        <v>0</v>
      </c>
      <c r="G596" s="116">
        <f t="shared" si="248"/>
        <v>9.57</v>
      </c>
      <c r="H596" s="116">
        <f t="shared" si="249"/>
        <v>1.9099999999999993</v>
      </c>
      <c r="I596" s="118">
        <f t="shared" si="260"/>
        <v>38921.19</v>
      </c>
      <c r="J596" s="118">
        <f t="shared" si="250"/>
        <v>38921.19</v>
      </c>
      <c r="K596" s="570">
        <f t="shared" si="261"/>
        <v>0</v>
      </c>
      <c r="L596" s="121">
        <f t="shared" si="251"/>
        <v>0</v>
      </c>
      <c r="M596" s="122">
        <f t="shared" si="252"/>
        <v>0</v>
      </c>
      <c r="N596" s="122">
        <f t="shared" si="253"/>
        <v>0</v>
      </c>
      <c r="O596" s="122">
        <f t="shared" si="254"/>
        <v>0</v>
      </c>
      <c r="P596" s="122">
        <f t="shared" si="255"/>
        <v>0</v>
      </c>
      <c r="Q596" s="123">
        <f t="shared" si="256"/>
        <v>38921.19</v>
      </c>
      <c r="R596" s="123">
        <f t="shared" si="262"/>
        <v>-38921.19</v>
      </c>
      <c r="S596" s="582">
        <v>0</v>
      </c>
      <c r="T596" s="123">
        <f t="shared" si="263"/>
        <v>-38921.19</v>
      </c>
      <c r="U596" s="25">
        <f t="shared" si="257"/>
        <v>7767.97</v>
      </c>
      <c r="V596" s="123">
        <f t="shared" si="258"/>
        <v>-7767.97</v>
      </c>
      <c r="W596" s="334">
        <f t="shared" si="259"/>
        <v>650.72</v>
      </c>
      <c r="Y596" s="109">
        <f>IF(AE596=1,IF(Y595=MiscData!$F$1,EOMONTH(Y595,-11),EOMONTH(Y595,1)),Y595)</f>
        <v>42277</v>
      </c>
      <c r="Z596" s="108" t="str">
        <f t="shared" si="244"/>
        <v>20140101LGUM_252</v>
      </c>
      <c r="AA596" s="126" t="str">
        <f t="shared" si="245"/>
        <v>20140101RLS</v>
      </c>
      <c r="AB596" s="583" t="str">
        <f t="shared" si="264"/>
        <v>252</v>
      </c>
      <c r="AD596" s="98">
        <f>MiscData!$X$5</f>
        <v>20140101</v>
      </c>
      <c r="AE596" s="98">
        <f>IF(AE595+1&gt;MiscData!$AC$77,1,AE595+1)</f>
        <v>9</v>
      </c>
      <c r="AF596" s="98" t="str">
        <f>VLOOKUP(AE596,MiscData!$AC$5:$AD$77,2,FALSE)</f>
        <v>LGUM_252</v>
      </c>
      <c r="AG596" s="98" t="str">
        <f>VLOOKUP(AF596,MiscData!$AD$5:$AE$77,2,FALSE)</f>
        <v>RLS</v>
      </c>
      <c r="AP596" s="98" t="s">
        <v>196</v>
      </c>
      <c r="AR596" s="98">
        <v>-147.5</v>
      </c>
    </row>
    <row r="597" spans="1:44">
      <c r="A597" s="108">
        <f t="shared" si="265"/>
        <v>594</v>
      </c>
      <c r="B597" s="109" t="str">
        <f t="shared" si="241"/>
        <v>Sep 2015</v>
      </c>
      <c r="C597" s="110" t="str">
        <f t="shared" si="242"/>
        <v>RLS</v>
      </c>
      <c r="D597" s="110" t="str">
        <f t="shared" si="243"/>
        <v>LGUM_266</v>
      </c>
      <c r="E597" s="581">
        <f t="shared" si="246"/>
        <v>2018</v>
      </c>
      <c r="F597" s="581">
        <f t="shared" si="247"/>
        <v>0</v>
      </c>
      <c r="G597" s="116">
        <f t="shared" si="248"/>
        <v>27.34</v>
      </c>
      <c r="H597" s="116">
        <f t="shared" si="249"/>
        <v>2.8000000000000007</v>
      </c>
      <c r="I597" s="118">
        <f t="shared" si="260"/>
        <v>55172.12</v>
      </c>
      <c r="J597" s="118">
        <f t="shared" si="250"/>
        <v>55172.12</v>
      </c>
      <c r="K597" s="570">
        <f t="shared" si="261"/>
        <v>0</v>
      </c>
      <c r="L597" s="121">
        <f t="shared" si="251"/>
        <v>0</v>
      </c>
      <c r="M597" s="122">
        <f t="shared" si="252"/>
        <v>0</v>
      </c>
      <c r="N597" s="122">
        <f t="shared" si="253"/>
        <v>0</v>
      </c>
      <c r="O597" s="122">
        <f t="shared" si="254"/>
        <v>0</v>
      </c>
      <c r="P597" s="122">
        <f t="shared" si="255"/>
        <v>0</v>
      </c>
      <c r="Q597" s="123">
        <f t="shared" si="256"/>
        <v>55172.12</v>
      </c>
      <c r="R597" s="123">
        <f t="shared" si="262"/>
        <v>-55172.12</v>
      </c>
      <c r="S597" s="582">
        <v>0</v>
      </c>
      <c r="T597" s="123">
        <f t="shared" si="263"/>
        <v>-55172.12</v>
      </c>
      <c r="U597" s="25">
        <f t="shared" si="257"/>
        <v>5650.4</v>
      </c>
      <c r="V597" s="123">
        <f t="shared" si="258"/>
        <v>-5650.4</v>
      </c>
      <c r="W597" s="334">
        <f t="shared" si="259"/>
        <v>544.86</v>
      </c>
      <c r="Y597" s="109">
        <f>IF(AE597=1,IF(Y596=MiscData!$F$1,EOMONTH(Y596,-11),EOMONTH(Y596,1)),Y596)</f>
        <v>42277</v>
      </c>
      <c r="Z597" s="108" t="str">
        <f t="shared" si="244"/>
        <v>20140101LGUM_266</v>
      </c>
      <c r="AA597" s="126" t="str">
        <f t="shared" si="245"/>
        <v>20140101RLS</v>
      </c>
      <c r="AB597" s="583" t="str">
        <f t="shared" si="264"/>
        <v>266</v>
      </c>
      <c r="AD597" s="98">
        <f>MiscData!$X$5</f>
        <v>20140101</v>
      </c>
      <c r="AE597" s="98">
        <f>IF(AE596+1&gt;MiscData!$AC$77,1,AE596+1)</f>
        <v>10</v>
      </c>
      <c r="AF597" s="98" t="str">
        <f>VLOOKUP(AE597,MiscData!$AC$5:$AD$77,2,FALSE)</f>
        <v>LGUM_266</v>
      </c>
      <c r="AG597" s="98" t="str">
        <f>VLOOKUP(AF597,MiscData!$AD$5:$AE$77,2,FALSE)</f>
        <v>RLS</v>
      </c>
      <c r="AP597" s="98" t="s">
        <v>197</v>
      </c>
      <c r="AR597" s="98">
        <v>-972.67</v>
      </c>
    </row>
    <row r="598" spans="1:44">
      <c r="A598" s="108">
        <f t="shared" si="265"/>
        <v>595</v>
      </c>
      <c r="B598" s="109" t="str">
        <f t="shared" si="241"/>
        <v>Sep 2015</v>
      </c>
      <c r="C598" s="110" t="str">
        <f t="shared" si="242"/>
        <v>RLS</v>
      </c>
      <c r="D598" s="110" t="str">
        <f t="shared" si="243"/>
        <v>LGUM_267</v>
      </c>
      <c r="E598" s="581">
        <f t="shared" si="246"/>
        <v>2221</v>
      </c>
      <c r="F598" s="581">
        <f t="shared" si="247"/>
        <v>0</v>
      </c>
      <c r="G598" s="116">
        <f t="shared" si="248"/>
        <v>31.4</v>
      </c>
      <c r="H598" s="116">
        <f t="shared" si="249"/>
        <v>4.4499999999999993</v>
      </c>
      <c r="I598" s="118">
        <f t="shared" si="260"/>
        <v>69739.399999999994</v>
      </c>
      <c r="J598" s="118">
        <f t="shared" si="250"/>
        <v>69739.399999999994</v>
      </c>
      <c r="K598" s="570">
        <f t="shared" si="261"/>
        <v>0</v>
      </c>
      <c r="L598" s="121">
        <f t="shared" si="251"/>
        <v>0</v>
      </c>
      <c r="M598" s="122">
        <f t="shared" si="252"/>
        <v>0</v>
      </c>
      <c r="N598" s="122">
        <f t="shared" si="253"/>
        <v>0</v>
      </c>
      <c r="O598" s="122">
        <f t="shared" si="254"/>
        <v>0</v>
      </c>
      <c r="P598" s="122">
        <f t="shared" si="255"/>
        <v>0</v>
      </c>
      <c r="Q598" s="123">
        <f t="shared" si="256"/>
        <v>69739.399999999994</v>
      </c>
      <c r="R598" s="123">
        <f t="shared" si="262"/>
        <v>-69739.399999999994</v>
      </c>
      <c r="S598" s="582">
        <v>0</v>
      </c>
      <c r="T598" s="123">
        <f t="shared" si="263"/>
        <v>-69739.399999999994</v>
      </c>
      <c r="U598" s="25">
        <f t="shared" si="257"/>
        <v>9883.4500000000007</v>
      </c>
      <c r="V598" s="123">
        <f t="shared" si="258"/>
        <v>-9883.4500000000007</v>
      </c>
      <c r="W598" s="334">
        <f t="shared" si="259"/>
        <v>644.08999999999992</v>
      </c>
      <c r="Y598" s="109">
        <f>IF(AE598=1,IF(Y597=MiscData!$F$1,EOMONTH(Y597,-11),EOMONTH(Y597,1)),Y597)</f>
        <v>42277</v>
      </c>
      <c r="Z598" s="108" t="str">
        <f t="shared" si="244"/>
        <v>20140101LGUM_267</v>
      </c>
      <c r="AA598" s="126" t="str">
        <f t="shared" si="245"/>
        <v>20140101RLS</v>
      </c>
      <c r="AB598" s="583" t="str">
        <f t="shared" si="264"/>
        <v>267</v>
      </c>
      <c r="AD598" s="98">
        <f>MiscData!$X$5</f>
        <v>20140101</v>
      </c>
      <c r="AE598" s="98">
        <f>IF(AE597+1&gt;MiscData!$AC$77,1,AE597+1)</f>
        <v>11</v>
      </c>
      <c r="AF598" s="98" t="str">
        <f>VLOOKUP(AE598,MiscData!$AC$5:$AD$77,2,FALSE)</f>
        <v>LGUM_267</v>
      </c>
      <c r="AG598" s="98" t="str">
        <f>VLOOKUP(AF598,MiscData!$AD$5:$AE$77,2,FALSE)</f>
        <v>RLS</v>
      </c>
      <c r="AP598" s="98" t="s">
        <v>198</v>
      </c>
      <c r="AR598" s="98">
        <v>-175.87</v>
      </c>
    </row>
    <row r="599" spans="1:44">
      <c r="A599" s="108">
        <f t="shared" si="265"/>
        <v>596</v>
      </c>
      <c r="B599" s="109" t="str">
        <f t="shared" si="241"/>
        <v>Sep 2015</v>
      </c>
      <c r="C599" s="110" t="str">
        <f t="shared" si="242"/>
        <v>RLS</v>
      </c>
      <c r="D599" s="110" t="str">
        <f t="shared" si="243"/>
        <v>LGUM_274</v>
      </c>
      <c r="E599" s="581">
        <f t="shared" si="246"/>
        <v>16635</v>
      </c>
      <c r="F599" s="581">
        <f t="shared" si="247"/>
        <v>0</v>
      </c>
      <c r="G599" s="116">
        <f t="shared" si="248"/>
        <v>17.189999999999998</v>
      </c>
      <c r="H599" s="116">
        <f t="shared" si="249"/>
        <v>1.2699999999999996</v>
      </c>
      <c r="I599" s="118">
        <f t="shared" si="260"/>
        <v>285955.65000000002</v>
      </c>
      <c r="J599" s="118">
        <f t="shared" si="250"/>
        <v>285955.65000000002</v>
      </c>
      <c r="K599" s="570">
        <f t="shared" si="261"/>
        <v>0</v>
      </c>
      <c r="L599" s="121">
        <f t="shared" si="251"/>
        <v>0</v>
      </c>
      <c r="M599" s="122">
        <f t="shared" si="252"/>
        <v>0</v>
      </c>
      <c r="N599" s="122">
        <f t="shared" si="253"/>
        <v>0</v>
      </c>
      <c r="O599" s="122">
        <f t="shared" si="254"/>
        <v>0</v>
      </c>
      <c r="P599" s="122">
        <f t="shared" si="255"/>
        <v>0</v>
      </c>
      <c r="Q599" s="123">
        <f t="shared" si="256"/>
        <v>285955.65000000002</v>
      </c>
      <c r="R599" s="123">
        <f t="shared" si="262"/>
        <v>-285955.65000000002</v>
      </c>
      <c r="S599" s="582">
        <v>0</v>
      </c>
      <c r="T599" s="123">
        <f t="shared" si="263"/>
        <v>-285955.65000000002</v>
      </c>
      <c r="U599" s="25">
        <f t="shared" si="257"/>
        <v>21126.45</v>
      </c>
      <c r="V599" s="123">
        <f t="shared" si="258"/>
        <v>-21126.45</v>
      </c>
      <c r="W599" s="334">
        <f t="shared" si="259"/>
        <v>4491.4500000000007</v>
      </c>
      <c r="Y599" s="109">
        <f>IF(AE599=1,IF(Y598=MiscData!$F$1,EOMONTH(Y598,-11),EOMONTH(Y598,1)),Y598)</f>
        <v>42277</v>
      </c>
      <c r="Z599" s="108" t="str">
        <f t="shared" si="244"/>
        <v>20140101LGUM_274</v>
      </c>
      <c r="AA599" s="126" t="str">
        <f t="shared" si="245"/>
        <v>20140101RLS</v>
      </c>
      <c r="AB599" s="583" t="str">
        <f t="shared" si="264"/>
        <v>274</v>
      </c>
      <c r="AD599" s="98">
        <f>MiscData!$X$5</f>
        <v>20140101</v>
      </c>
      <c r="AE599" s="98">
        <f>IF(AE598+1&gt;MiscData!$AC$77,1,AE598+1)</f>
        <v>12</v>
      </c>
      <c r="AF599" s="98" t="str">
        <f>VLOOKUP(AE599,MiscData!$AC$5:$AD$77,2,FALSE)</f>
        <v>LGUM_274</v>
      </c>
      <c r="AG599" s="98" t="str">
        <f>VLOOKUP(AF599,MiscData!$AD$5:$AE$77,2,FALSE)</f>
        <v>RLS</v>
      </c>
      <c r="AP599" s="98" t="s">
        <v>199</v>
      </c>
      <c r="AR599" s="98">
        <v>-51</v>
      </c>
    </row>
    <row r="600" spans="1:44">
      <c r="A600" s="108">
        <f t="shared" si="265"/>
        <v>597</v>
      </c>
      <c r="B600" s="109" t="str">
        <f t="shared" si="241"/>
        <v>Sep 2015</v>
      </c>
      <c r="C600" s="110" t="str">
        <f t="shared" si="242"/>
        <v>RLS</v>
      </c>
      <c r="D600" s="110" t="str">
        <f t="shared" si="243"/>
        <v>LGUM_275</v>
      </c>
      <c r="E600" s="581">
        <f t="shared" si="246"/>
        <v>510</v>
      </c>
      <c r="F600" s="581">
        <f t="shared" si="247"/>
        <v>0</v>
      </c>
      <c r="G600" s="116">
        <f t="shared" si="248"/>
        <v>24.89</v>
      </c>
      <c r="H600" s="116">
        <f t="shared" si="249"/>
        <v>1.7899999999999991</v>
      </c>
      <c r="I600" s="118">
        <f t="shared" si="260"/>
        <v>12693.9</v>
      </c>
      <c r="J600" s="118">
        <f t="shared" si="250"/>
        <v>12693.9</v>
      </c>
      <c r="K600" s="570">
        <f t="shared" si="261"/>
        <v>0</v>
      </c>
      <c r="L600" s="121">
        <f t="shared" si="251"/>
        <v>0</v>
      </c>
      <c r="M600" s="122">
        <f t="shared" si="252"/>
        <v>0</v>
      </c>
      <c r="N600" s="122">
        <f t="shared" si="253"/>
        <v>0</v>
      </c>
      <c r="O600" s="122">
        <f t="shared" si="254"/>
        <v>0</v>
      </c>
      <c r="P600" s="122">
        <f t="shared" si="255"/>
        <v>0</v>
      </c>
      <c r="Q600" s="123">
        <f t="shared" si="256"/>
        <v>12693.9</v>
      </c>
      <c r="R600" s="123">
        <f t="shared" si="262"/>
        <v>-12693.9</v>
      </c>
      <c r="S600" s="582">
        <v>0</v>
      </c>
      <c r="T600" s="123">
        <f t="shared" si="263"/>
        <v>-12693.9</v>
      </c>
      <c r="U600" s="25">
        <f t="shared" si="257"/>
        <v>912.9</v>
      </c>
      <c r="V600" s="123">
        <f t="shared" si="258"/>
        <v>-912.9</v>
      </c>
      <c r="W600" s="334">
        <f t="shared" si="259"/>
        <v>122.39999999999999</v>
      </c>
      <c r="Y600" s="109">
        <f>IF(AE600=1,IF(Y599=MiscData!$F$1,EOMONTH(Y599,-11),EOMONTH(Y599,1)),Y599)</f>
        <v>42277</v>
      </c>
      <c r="Z600" s="108" t="str">
        <f t="shared" si="244"/>
        <v>20140101LGUM_275</v>
      </c>
      <c r="AA600" s="126" t="str">
        <f t="shared" si="245"/>
        <v>20140101RLS</v>
      </c>
      <c r="AB600" s="583" t="str">
        <f t="shared" si="264"/>
        <v>275</v>
      </c>
      <c r="AD600" s="98">
        <f>MiscData!$X$5</f>
        <v>20140101</v>
      </c>
      <c r="AE600" s="98">
        <f>IF(AE599+1&gt;MiscData!$AC$77,1,AE599+1)</f>
        <v>13</v>
      </c>
      <c r="AF600" s="98" t="str">
        <f>VLOOKUP(AE600,MiscData!$AC$5:$AD$77,2,FALSE)</f>
        <v>LGUM_275</v>
      </c>
      <c r="AG600" s="98" t="str">
        <f>VLOOKUP(AF600,MiscData!$AD$5:$AE$77,2,FALSE)</f>
        <v>RLS</v>
      </c>
      <c r="AP600" s="98" t="s">
        <v>200</v>
      </c>
      <c r="AR600" s="98">
        <v>0</v>
      </c>
    </row>
    <row r="601" spans="1:44">
      <c r="A601" s="108">
        <f t="shared" si="265"/>
        <v>598</v>
      </c>
      <c r="B601" s="109" t="str">
        <f t="shared" si="241"/>
        <v>Sep 2015</v>
      </c>
      <c r="C601" s="110" t="str">
        <f t="shared" si="242"/>
        <v>RLS</v>
      </c>
      <c r="D601" s="110" t="str">
        <f t="shared" si="243"/>
        <v>LGUM_276</v>
      </c>
      <c r="E601" s="581">
        <f t="shared" si="246"/>
        <v>1307</v>
      </c>
      <c r="F601" s="581">
        <f t="shared" si="247"/>
        <v>0</v>
      </c>
      <c r="G601" s="116">
        <f t="shared" si="248"/>
        <v>14.17</v>
      </c>
      <c r="H601" s="116">
        <f t="shared" si="249"/>
        <v>0.88000000000000078</v>
      </c>
      <c r="I601" s="118">
        <f t="shared" si="260"/>
        <v>18520.189999999999</v>
      </c>
      <c r="J601" s="118">
        <f t="shared" si="250"/>
        <v>18520.189999999999</v>
      </c>
      <c r="K601" s="570">
        <f t="shared" si="261"/>
        <v>0</v>
      </c>
      <c r="L601" s="121">
        <f t="shared" si="251"/>
        <v>0</v>
      </c>
      <c r="M601" s="122">
        <f t="shared" si="252"/>
        <v>0</v>
      </c>
      <c r="N601" s="122">
        <f t="shared" si="253"/>
        <v>0</v>
      </c>
      <c r="O601" s="122">
        <f t="shared" si="254"/>
        <v>0</v>
      </c>
      <c r="P601" s="122">
        <f t="shared" si="255"/>
        <v>0</v>
      </c>
      <c r="Q601" s="123">
        <f t="shared" si="256"/>
        <v>18520.189999999999</v>
      </c>
      <c r="R601" s="123">
        <f t="shared" si="262"/>
        <v>-18520.189999999999</v>
      </c>
      <c r="S601" s="582">
        <v>0</v>
      </c>
      <c r="T601" s="123">
        <f t="shared" si="263"/>
        <v>-18520.189999999999</v>
      </c>
      <c r="U601" s="25">
        <f t="shared" si="257"/>
        <v>1150.1600000000001</v>
      </c>
      <c r="V601" s="123">
        <f t="shared" si="258"/>
        <v>-1150.1600000000001</v>
      </c>
      <c r="W601" s="334">
        <f t="shared" si="259"/>
        <v>339.82</v>
      </c>
      <c r="Y601" s="109">
        <f>IF(AE601=1,IF(Y600=MiscData!$F$1,EOMONTH(Y600,-11),EOMONTH(Y600,1)),Y600)</f>
        <v>42277</v>
      </c>
      <c r="Z601" s="108" t="str">
        <f t="shared" si="244"/>
        <v>20140101LGUM_276</v>
      </c>
      <c r="AA601" s="126" t="str">
        <f t="shared" si="245"/>
        <v>20140101RLS</v>
      </c>
      <c r="AB601" s="583" t="str">
        <f t="shared" si="264"/>
        <v>276</v>
      </c>
      <c r="AD601" s="98">
        <f>MiscData!$X$5</f>
        <v>20140101</v>
      </c>
      <c r="AE601" s="98">
        <f>IF(AE600+1&gt;MiscData!$AC$77,1,AE600+1)</f>
        <v>14</v>
      </c>
      <c r="AF601" s="98" t="str">
        <f>VLOOKUP(AE601,MiscData!$AC$5:$AD$77,2,FALSE)</f>
        <v>LGUM_276</v>
      </c>
      <c r="AG601" s="98" t="str">
        <f>VLOOKUP(AF601,MiscData!$AD$5:$AE$77,2,FALSE)</f>
        <v>RLS</v>
      </c>
      <c r="AP601" s="98" t="s">
        <v>201</v>
      </c>
      <c r="AR601" s="98">
        <v>0</v>
      </c>
    </row>
    <row r="602" spans="1:44">
      <c r="A602" s="108">
        <f t="shared" si="265"/>
        <v>599</v>
      </c>
      <c r="B602" s="109" t="str">
        <f t="shared" si="241"/>
        <v>Sep 2015</v>
      </c>
      <c r="C602" s="110" t="str">
        <f t="shared" si="242"/>
        <v>RLS</v>
      </c>
      <c r="D602" s="110" t="str">
        <f t="shared" si="243"/>
        <v>LGUM_277</v>
      </c>
      <c r="E602" s="581">
        <f t="shared" si="246"/>
        <v>2234</v>
      </c>
      <c r="F602" s="581">
        <f t="shared" si="247"/>
        <v>0</v>
      </c>
      <c r="G602" s="116">
        <f t="shared" si="248"/>
        <v>22.15</v>
      </c>
      <c r="H602" s="116">
        <f t="shared" si="249"/>
        <v>1.7900000000000027</v>
      </c>
      <c r="I602" s="118">
        <f t="shared" si="260"/>
        <v>49483.1</v>
      </c>
      <c r="J602" s="118">
        <f t="shared" si="250"/>
        <v>49483.1</v>
      </c>
      <c r="K602" s="570">
        <f t="shared" si="261"/>
        <v>0</v>
      </c>
      <c r="L602" s="121">
        <f t="shared" si="251"/>
        <v>0</v>
      </c>
      <c r="M602" s="122">
        <f t="shared" si="252"/>
        <v>0</v>
      </c>
      <c r="N602" s="122">
        <f t="shared" si="253"/>
        <v>0</v>
      </c>
      <c r="O602" s="122">
        <f t="shared" si="254"/>
        <v>0</v>
      </c>
      <c r="P602" s="122">
        <f t="shared" si="255"/>
        <v>0</v>
      </c>
      <c r="Q602" s="123">
        <f t="shared" si="256"/>
        <v>49483.1</v>
      </c>
      <c r="R602" s="123">
        <f t="shared" si="262"/>
        <v>-49483.1</v>
      </c>
      <c r="S602" s="582">
        <v>0</v>
      </c>
      <c r="T602" s="123">
        <f t="shared" si="263"/>
        <v>-49483.1</v>
      </c>
      <c r="U602" s="25">
        <f t="shared" si="257"/>
        <v>3998.86</v>
      </c>
      <c r="V602" s="123">
        <f t="shared" si="258"/>
        <v>-3998.86</v>
      </c>
      <c r="W602" s="334">
        <f t="shared" si="259"/>
        <v>536.16</v>
      </c>
      <c r="Y602" s="109">
        <f>IF(AE602=1,IF(Y601=MiscData!$F$1,EOMONTH(Y601,-11),EOMONTH(Y601,1)),Y601)</f>
        <v>42277</v>
      </c>
      <c r="Z602" s="108" t="str">
        <f t="shared" si="244"/>
        <v>20140101LGUM_277</v>
      </c>
      <c r="AA602" s="126" t="str">
        <f t="shared" si="245"/>
        <v>20140101RLS</v>
      </c>
      <c r="AB602" s="583" t="str">
        <f t="shared" si="264"/>
        <v>277</v>
      </c>
      <c r="AD602" s="98">
        <f>MiscData!$X$5</f>
        <v>20140101</v>
      </c>
      <c r="AE602" s="98">
        <f>IF(AE601+1&gt;MiscData!$AC$77,1,AE601+1)</f>
        <v>15</v>
      </c>
      <c r="AF602" s="98" t="str">
        <f>VLOOKUP(AE602,MiscData!$AC$5:$AD$77,2,FALSE)</f>
        <v>LGUM_277</v>
      </c>
      <c r="AG602" s="98" t="str">
        <f>VLOOKUP(AF602,MiscData!$AD$5:$AE$77,2,FALSE)</f>
        <v>RLS</v>
      </c>
      <c r="AP602" s="98" t="s">
        <v>202</v>
      </c>
      <c r="AR602" s="98">
        <v>-246.42</v>
      </c>
    </row>
    <row r="603" spans="1:44">
      <c r="A603" s="108">
        <f t="shared" si="265"/>
        <v>600</v>
      </c>
      <c r="B603" s="109" t="str">
        <f t="shared" si="241"/>
        <v>Sep 2015</v>
      </c>
      <c r="C603" s="110" t="str">
        <f t="shared" si="242"/>
        <v>RLS</v>
      </c>
      <c r="D603" s="110" t="str">
        <f t="shared" si="243"/>
        <v>LGUM_278</v>
      </c>
      <c r="E603" s="581">
        <f t="shared" si="246"/>
        <v>17</v>
      </c>
      <c r="F603" s="581">
        <f t="shared" si="247"/>
        <v>0</v>
      </c>
      <c r="G603" s="116">
        <f t="shared" si="248"/>
        <v>72.550000000000011</v>
      </c>
      <c r="H603" s="116">
        <f t="shared" si="249"/>
        <v>9.8400000000000034</v>
      </c>
      <c r="I603" s="118">
        <f t="shared" si="260"/>
        <v>1233.3499999999999</v>
      </c>
      <c r="J603" s="118">
        <f t="shared" si="250"/>
        <v>1233.3499999999999</v>
      </c>
      <c r="K603" s="570">
        <f t="shared" si="261"/>
        <v>0</v>
      </c>
      <c r="L603" s="121">
        <f t="shared" si="251"/>
        <v>0</v>
      </c>
      <c r="M603" s="122">
        <f t="shared" si="252"/>
        <v>0</v>
      </c>
      <c r="N603" s="122">
        <f t="shared" si="253"/>
        <v>0</v>
      </c>
      <c r="O603" s="122">
        <f t="shared" si="254"/>
        <v>0</v>
      </c>
      <c r="P603" s="122">
        <f t="shared" si="255"/>
        <v>0</v>
      </c>
      <c r="Q603" s="123">
        <f t="shared" si="256"/>
        <v>1233.3499999999999</v>
      </c>
      <c r="R603" s="123">
        <f t="shared" si="262"/>
        <v>-1233.3499999999999</v>
      </c>
      <c r="S603" s="582">
        <v>0</v>
      </c>
      <c r="T603" s="123">
        <f t="shared" si="263"/>
        <v>-1233.3499999999999</v>
      </c>
      <c r="U603" s="25">
        <f t="shared" si="257"/>
        <v>167.28</v>
      </c>
      <c r="V603" s="123">
        <f t="shared" si="258"/>
        <v>-167.28</v>
      </c>
      <c r="W603" s="334">
        <f t="shared" si="259"/>
        <v>15.3</v>
      </c>
      <c r="Y603" s="109">
        <f>IF(AE603=1,IF(Y602=MiscData!$F$1,EOMONTH(Y602,-11),EOMONTH(Y602,1)),Y602)</f>
        <v>42277</v>
      </c>
      <c r="Z603" s="108" t="str">
        <f t="shared" si="244"/>
        <v>20140101LGUM_278</v>
      </c>
      <c r="AA603" s="126" t="str">
        <f t="shared" si="245"/>
        <v>20140101RLS</v>
      </c>
      <c r="AB603" s="583" t="str">
        <f t="shared" si="264"/>
        <v>278</v>
      </c>
      <c r="AD603" s="98">
        <f>MiscData!$X$5</f>
        <v>20140101</v>
      </c>
      <c r="AE603" s="98">
        <f>IF(AE602+1&gt;MiscData!$AC$77,1,AE602+1)</f>
        <v>16</v>
      </c>
      <c r="AF603" s="98" t="str">
        <f>VLOOKUP(AE603,MiscData!$AC$5:$AD$77,2,FALSE)</f>
        <v>LGUM_278</v>
      </c>
      <c r="AG603" s="98" t="str">
        <f>VLOOKUP(AF603,MiscData!$AD$5:$AE$77,2,FALSE)</f>
        <v>RLS</v>
      </c>
      <c r="AP603" s="98" t="s">
        <v>203</v>
      </c>
      <c r="AR603" s="98">
        <v>0</v>
      </c>
    </row>
    <row r="604" spans="1:44">
      <c r="A604" s="108">
        <f t="shared" si="265"/>
        <v>601</v>
      </c>
      <c r="B604" s="109" t="str">
        <f t="shared" si="241"/>
        <v>Sep 2015</v>
      </c>
      <c r="C604" s="110" t="str">
        <f t="shared" si="242"/>
        <v>RLS</v>
      </c>
      <c r="D604" s="110" t="str">
        <f t="shared" si="243"/>
        <v>LGUM_279</v>
      </c>
      <c r="E604" s="581">
        <f t="shared" si="246"/>
        <v>11</v>
      </c>
      <c r="F604" s="581">
        <f t="shared" si="247"/>
        <v>0</v>
      </c>
      <c r="G604" s="116">
        <f t="shared" si="248"/>
        <v>41.43</v>
      </c>
      <c r="H604" s="116">
        <f t="shared" si="249"/>
        <v>9.8399999999999963</v>
      </c>
      <c r="I604" s="118">
        <f t="shared" si="260"/>
        <v>455.73</v>
      </c>
      <c r="J604" s="118">
        <f t="shared" si="250"/>
        <v>455.73</v>
      </c>
      <c r="K604" s="570">
        <f t="shared" si="261"/>
        <v>0</v>
      </c>
      <c r="L604" s="121">
        <f t="shared" si="251"/>
        <v>0</v>
      </c>
      <c r="M604" s="122">
        <f t="shared" si="252"/>
        <v>0</v>
      </c>
      <c r="N604" s="122">
        <f t="shared" si="253"/>
        <v>0</v>
      </c>
      <c r="O604" s="122">
        <f t="shared" si="254"/>
        <v>0</v>
      </c>
      <c r="P604" s="122">
        <f t="shared" si="255"/>
        <v>0</v>
      </c>
      <c r="Q604" s="123">
        <f t="shared" si="256"/>
        <v>455.73</v>
      </c>
      <c r="R604" s="123">
        <f t="shared" si="262"/>
        <v>-455.73</v>
      </c>
      <c r="S604" s="582">
        <v>0</v>
      </c>
      <c r="T604" s="123">
        <f t="shared" si="263"/>
        <v>-455.73</v>
      </c>
      <c r="U604" s="25">
        <f t="shared" si="257"/>
        <v>108.24</v>
      </c>
      <c r="V604" s="123">
        <f t="shared" si="258"/>
        <v>-108.24</v>
      </c>
      <c r="W604" s="334">
        <f t="shared" si="259"/>
        <v>9.9</v>
      </c>
      <c r="Y604" s="109">
        <f>IF(AE604=1,IF(Y603=MiscData!$F$1,EOMONTH(Y603,-11),EOMONTH(Y603,1)),Y603)</f>
        <v>42277</v>
      </c>
      <c r="Z604" s="108" t="str">
        <f t="shared" si="244"/>
        <v>20140101LGUM_279</v>
      </c>
      <c r="AA604" s="126" t="str">
        <f t="shared" si="245"/>
        <v>20140101RLS</v>
      </c>
      <c r="AB604" s="583" t="str">
        <f t="shared" si="264"/>
        <v>279</v>
      </c>
      <c r="AD604" s="98">
        <f>MiscData!$X$5</f>
        <v>20140101</v>
      </c>
      <c r="AE604" s="98">
        <f>IF(AE603+1&gt;MiscData!$AC$77,1,AE603+1)</f>
        <v>17</v>
      </c>
      <c r="AF604" s="98" t="str">
        <f>VLOOKUP(AE604,MiscData!$AC$5:$AD$77,2,FALSE)</f>
        <v>LGUM_279</v>
      </c>
      <c r="AG604" s="98" t="str">
        <f>VLOOKUP(AF604,MiscData!$AD$5:$AE$77,2,FALSE)</f>
        <v>RLS</v>
      </c>
      <c r="AP604" s="98" t="s">
        <v>204</v>
      </c>
      <c r="AR604" s="98">
        <v>55.16</v>
      </c>
    </row>
    <row r="605" spans="1:44">
      <c r="A605" s="108">
        <f t="shared" si="265"/>
        <v>602</v>
      </c>
      <c r="B605" s="109" t="str">
        <f t="shared" si="241"/>
        <v>Sep 2015</v>
      </c>
      <c r="C605" s="110" t="str">
        <f t="shared" si="242"/>
        <v>RLS</v>
      </c>
      <c r="D605" s="110" t="str">
        <f t="shared" si="243"/>
        <v>LGUM_280</v>
      </c>
      <c r="E605" s="581">
        <f t="shared" si="246"/>
        <v>45</v>
      </c>
      <c r="F605" s="581">
        <f t="shared" si="247"/>
        <v>0</v>
      </c>
      <c r="G605" s="116">
        <f t="shared" si="248"/>
        <v>19.38</v>
      </c>
      <c r="H605" s="116">
        <f t="shared" si="249"/>
        <v>0.87999999999999901</v>
      </c>
      <c r="I605" s="118">
        <f t="shared" si="260"/>
        <v>872.1</v>
      </c>
      <c r="J605" s="118">
        <f t="shared" si="250"/>
        <v>872.1</v>
      </c>
      <c r="K605" s="570">
        <f t="shared" si="261"/>
        <v>0</v>
      </c>
      <c r="L605" s="121">
        <f t="shared" si="251"/>
        <v>0</v>
      </c>
      <c r="M605" s="122">
        <f t="shared" si="252"/>
        <v>0</v>
      </c>
      <c r="N605" s="122">
        <f t="shared" si="253"/>
        <v>0</v>
      </c>
      <c r="O605" s="122">
        <f t="shared" si="254"/>
        <v>0</v>
      </c>
      <c r="P605" s="122">
        <f t="shared" si="255"/>
        <v>0</v>
      </c>
      <c r="Q605" s="123">
        <f t="shared" si="256"/>
        <v>872.1</v>
      </c>
      <c r="R605" s="123">
        <f t="shared" si="262"/>
        <v>-872.1</v>
      </c>
      <c r="S605" s="582">
        <v>0</v>
      </c>
      <c r="T605" s="123">
        <f t="shared" si="263"/>
        <v>-872.1</v>
      </c>
      <c r="U605" s="25">
        <f t="shared" si="257"/>
        <v>39.6</v>
      </c>
      <c r="V605" s="123">
        <f t="shared" si="258"/>
        <v>-39.6</v>
      </c>
      <c r="W605" s="334">
        <f t="shared" si="259"/>
        <v>11.700000000000001</v>
      </c>
      <c r="Y605" s="109">
        <f>IF(AE605=1,IF(Y604=MiscData!$F$1,EOMONTH(Y604,-11),EOMONTH(Y604,1)),Y604)</f>
        <v>42277</v>
      </c>
      <c r="Z605" s="108" t="str">
        <f t="shared" si="244"/>
        <v>20140101LGUM_280</v>
      </c>
      <c r="AA605" s="126" t="str">
        <f t="shared" si="245"/>
        <v>20140101RLS</v>
      </c>
      <c r="AB605" s="583" t="str">
        <f t="shared" si="264"/>
        <v>280</v>
      </c>
      <c r="AD605" s="98">
        <f>MiscData!$X$5</f>
        <v>20140101</v>
      </c>
      <c r="AE605" s="98">
        <f>IF(AE604+1&gt;MiscData!$AC$77,1,AE604+1)</f>
        <v>18</v>
      </c>
      <c r="AF605" s="98" t="str">
        <f>VLOOKUP(AE605,MiscData!$AC$5:$AD$77,2,FALSE)</f>
        <v>LGUM_280</v>
      </c>
      <c r="AG605" s="98" t="str">
        <f>VLOOKUP(AF605,MiscData!$AD$5:$AE$77,2,FALSE)</f>
        <v>RLS</v>
      </c>
      <c r="AP605" s="98" t="s">
        <v>205</v>
      </c>
      <c r="AR605" s="98">
        <v>0</v>
      </c>
    </row>
    <row r="606" spans="1:44">
      <c r="A606" s="108">
        <f t="shared" si="265"/>
        <v>603</v>
      </c>
      <c r="B606" s="109" t="str">
        <f t="shared" si="241"/>
        <v>Sep 2015</v>
      </c>
      <c r="C606" s="110" t="str">
        <f t="shared" si="242"/>
        <v>RLS</v>
      </c>
      <c r="D606" s="110" t="str">
        <f t="shared" si="243"/>
        <v>LGUM_281</v>
      </c>
      <c r="E606" s="581">
        <f t="shared" si="246"/>
        <v>240</v>
      </c>
      <c r="F606" s="581">
        <f t="shared" si="247"/>
        <v>0</v>
      </c>
      <c r="G606" s="116">
        <f t="shared" si="248"/>
        <v>20.349999999999998</v>
      </c>
      <c r="H606" s="116">
        <f t="shared" si="249"/>
        <v>1.2699999999999996</v>
      </c>
      <c r="I606" s="118">
        <f t="shared" si="260"/>
        <v>4884</v>
      </c>
      <c r="J606" s="118">
        <f t="shared" si="250"/>
        <v>4884</v>
      </c>
      <c r="K606" s="570">
        <f t="shared" si="261"/>
        <v>0</v>
      </c>
      <c r="L606" s="121">
        <f t="shared" si="251"/>
        <v>0</v>
      </c>
      <c r="M606" s="122">
        <f t="shared" si="252"/>
        <v>0</v>
      </c>
      <c r="N606" s="122">
        <f t="shared" si="253"/>
        <v>0</v>
      </c>
      <c r="O606" s="122">
        <f t="shared" si="254"/>
        <v>0</v>
      </c>
      <c r="P606" s="122">
        <f t="shared" si="255"/>
        <v>0</v>
      </c>
      <c r="Q606" s="123">
        <f t="shared" si="256"/>
        <v>4884</v>
      </c>
      <c r="R606" s="123">
        <f t="shared" si="262"/>
        <v>-4884</v>
      </c>
      <c r="S606" s="582">
        <v>0</v>
      </c>
      <c r="T606" s="123">
        <f t="shared" si="263"/>
        <v>-4884</v>
      </c>
      <c r="U606" s="25">
        <f t="shared" si="257"/>
        <v>304.8</v>
      </c>
      <c r="V606" s="123">
        <f t="shared" si="258"/>
        <v>-304.8</v>
      </c>
      <c r="W606" s="334">
        <f t="shared" si="259"/>
        <v>64.800000000000011</v>
      </c>
      <c r="Y606" s="109">
        <f>IF(AE606=1,IF(Y605=MiscData!$F$1,EOMONTH(Y605,-11),EOMONTH(Y605,1)),Y605)</f>
        <v>42277</v>
      </c>
      <c r="Z606" s="108" t="str">
        <f t="shared" si="244"/>
        <v>20140101LGUM_281</v>
      </c>
      <c r="AA606" s="126" t="str">
        <f t="shared" si="245"/>
        <v>20140101RLS</v>
      </c>
      <c r="AB606" s="583" t="str">
        <f t="shared" si="264"/>
        <v>281</v>
      </c>
      <c r="AD606" s="98">
        <f>MiscData!$X$5</f>
        <v>20140101</v>
      </c>
      <c r="AE606" s="98">
        <f>IF(AE605+1&gt;MiscData!$AC$77,1,AE605+1)</f>
        <v>19</v>
      </c>
      <c r="AF606" s="98" t="str">
        <f>VLOOKUP(AE606,MiscData!$AC$5:$AD$77,2,FALSE)</f>
        <v>LGUM_281</v>
      </c>
      <c r="AG606" s="98" t="str">
        <f>VLOOKUP(AF606,MiscData!$AD$5:$AE$77,2,FALSE)</f>
        <v>RLS</v>
      </c>
      <c r="AP606" s="98" t="s">
        <v>206</v>
      </c>
      <c r="AR606" s="98">
        <v>0</v>
      </c>
    </row>
    <row r="607" spans="1:44">
      <c r="A607" s="108">
        <f t="shared" si="265"/>
        <v>604</v>
      </c>
      <c r="B607" s="109" t="str">
        <f t="shared" si="241"/>
        <v>Sep 2015</v>
      </c>
      <c r="C607" s="110" t="str">
        <f t="shared" si="242"/>
        <v>RLS</v>
      </c>
      <c r="D607" s="110" t="str">
        <f t="shared" si="243"/>
        <v>LGUM_282</v>
      </c>
      <c r="E607" s="581">
        <f t="shared" si="246"/>
        <v>103</v>
      </c>
      <c r="F607" s="581">
        <f t="shared" si="247"/>
        <v>0</v>
      </c>
      <c r="G607" s="116">
        <f t="shared" si="248"/>
        <v>19.53</v>
      </c>
      <c r="H607" s="116">
        <f t="shared" si="249"/>
        <v>0.87999999999999901</v>
      </c>
      <c r="I607" s="118">
        <f t="shared" si="260"/>
        <v>2011.59</v>
      </c>
      <c r="J607" s="118">
        <f t="shared" si="250"/>
        <v>2011.59</v>
      </c>
      <c r="K607" s="570">
        <f t="shared" si="261"/>
        <v>0</v>
      </c>
      <c r="L607" s="121">
        <f t="shared" si="251"/>
        <v>0</v>
      </c>
      <c r="M607" s="122">
        <f t="shared" si="252"/>
        <v>0</v>
      </c>
      <c r="N607" s="122">
        <f t="shared" si="253"/>
        <v>0</v>
      </c>
      <c r="O607" s="122">
        <f t="shared" si="254"/>
        <v>0</v>
      </c>
      <c r="P607" s="122">
        <f t="shared" si="255"/>
        <v>0</v>
      </c>
      <c r="Q607" s="123">
        <f t="shared" si="256"/>
        <v>2011.59</v>
      </c>
      <c r="R607" s="123">
        <f t="shared" si="262"/>
        <v>-2011.59</v>
      </c>
      <c r="S607" s="582">
        <v>0</v>
      </c>
      <c r="T607" s="123">
        <f t="shared" si="263"/>
        <v>-2011.59</v>
      </c>
      <c r="U607" s="25">
        <f t="shared" si="257"/>
        <v>90.64</v>
      </c>
      <c r="V607" s="123">
        <f t="shared" si="258"/>
        <v>-90.64</v>
      </c>
      <c r="W607" s="334">
        <f t="shared" si="259"/>
        <v>26.78</v>
      </c>
      <c r="Y607" s="109">
        <f>IF(AE607=1,IF(Y606=MiscData!$F$1,EOMONTH(Y606,-11),EOMONTH(Y606,1)),Y606)</f>
        <v>42277</v>
      </c>
      <c r="Z607" s="108" t="str">
        <f t="shared" si="244"/>
        <v>20140101LGUM_282</v>
      </c>
      <c r="AA607" s="126" t="str">
        <f t="shared" si="245"/>
        <v>20140101RLS</v>
      </c>
      <c r="AB607" s="583" t="str">
        <f t="shared" si="264"/>
        <v>282</v>
      </c>
      <c r="AD607" s="98">
        <f>MiscData!$X$5</f>
        <v>20140101</v>
      </c>
      <c r="AE607" s="98">
        <f>IF(AE606+1&gt;MiscData!$AC$77,1,AE606+1)</f>
        <v>20</v>
      </c>
      <c r="AF607" s="98" t="str">
        <f>VLOOKUP(AE607,MiscData!$AC$5:$AD$77,2,FALSE)</f>
        <v>LGUM_282</v>
      </c>
      <c r="AG607" s="98" t="str">
        <f>VLOOKUP(AF607,MiscData!$AD$5:$AE$77,2,FALSE)</f>
        <v>RLS</v>
      </c>
      <c r="AP607" s="98" t="s">
        <v>207</v>
      </c>
      <c r="AR607" s="98">
        <v>0</v>
      </c>
    </row>
    <row r="608" spans="1:44">
      <c r="A608" s="108">
        <f t="shared" si="265"/>
        <v>605</v>
      </c>
      <c r="B608" s="109" t="str">
        <f t="shared" si="241"/>
        <v>Sep 2015</v>
      </c>
      <c r="C608" s="110" t="str">
        <f t="shared" si="242"/>
        <v>RLS</v>
      </c>
      <c r="D608" s="110" t="str">
        <f t="shared" si="243"/>
        <v>LGUM_283</v>
      </c>
      <c r="E608" s="581">
        <f t="shared" si="246"/>
        <v>80</v>
      </c>
      <c r="F608" s="581">
        <f t="shared" si="247"/>
        <v>0</v>
      </c>
      <c r="G608" s="116">
        <f t="shared" si="248"/>
        <v>20.819999999999997</v>
      </c>
      <c r="H608" s="116">
        <f t="shared" si="249"/>
        <v>1.2699999999999996</v>
      </c>
      <c r="I608" s="118">
        <f t="shared" si="260"/>
        <v>1665.6</v>
      </c>
      <c r="J608" s="118">
        <f t="shared" si="250"/>
        <v>1665.6</v>
      </c>
      <c r="K608" s="570">
        <f t="shared" si="261"/>
        <v>0</v>
      </c>
      <c r="L608" s="121">
        <f t="shared" si="251"/>
        <v>0</v>
      </c>
      <c r="M608" s="122">
        <f t="shared" si="252"/>
        <v>0</v>
      </c>
      <c r="N608" s="122">
        <f t="shared" si="253"/>
        <v>0</v>
      </c>
      <c r="O608" s="122">
        <f t="shared" si="254"/>
        <v>0</v>
      </c>
      <c r="P608" s="122">
        <f t="shared" si="255"/>
        <v>0</v>
      </c>
      <c r="Q608" s="123">
        <f t="shared" si="256"/>
        <v>1665.6</v>
      </c>
      <c r="R608" s="123">
        <f t="shared" si="262"/>
        <v>-1665.6</v>
      </c>
      <c r="S608" s="582">
        <v>0</v>
      </c>
      <c r="T608" s="123">
        <f t="shared" si="263"/>
        <v>-1665.6</v>
      </c>
      <c r="U608" s="25">
        <f t="shared" si="257"/>
        <v>101.6</v>
      </c>
      <c r="V608" s="123">
        <f t="shared" si="258"/>
        <v>-101.6</v>
      </c>
      <c r="W608" s="334">
        <f t="shared" si="259"/>
        <v>21.6</v>
      </c>
      <c r="Y608" s="109">
        <f>IF(AE608=1,IF(Y607=MiscData!$F$1,EOMONTH(Y607,-11),EOMONTH(Y607,1)),Y607)</f>
        <v>42277</v>
      </c>
      <c r="Z608" s="108" t="str">
        <f t="shared" si="244"/>
        <v>20140101LGUM_283</v>
      </c>
      <c r="AA608" s="126" t="str">
        <f t="shared" si="245"/>
        <v>20140101RLS</v>
      </c>
      <c r="AB608" s="583" t="str">
        <f t="shared" si="264"/>
        <v>283</v>
      </c>
      <c r="AD608" s="98">
        <f>MiscData!$X$5</f>
        <v>20140101</v>
      </c>
      <c r="AE608" s="98">
        <f>IF(AE607+1&gt;MiscData!$AC$77,1,AE607+1)</f>
        <v>21</v>
      </c>
      <c r="AF608" s="98" t="str">
        <f>VLOOKUP(AE608,MiscData!$AC$5:$AD$77,2,FALSE)</f>
        <v>LGUM_283</v>
      </c>
      <c r="AG608" s="98" t="str">
        <f>VLOOKUP(AF608,MiscData!$AD$5:$AE$77,2,FALSE)</f>
        <v>RLS</v>
      </c>
      <c r="AP608" s="98" t="s">
        <v>208</v>
      </c>
      <c r="AR608" s="98">
        <v>0</v>
      </c>
    </row>
    <row r="609" spans="1:44">
      <c r="A609" s="108">
        <f t="shared" si="265"/>
        <v>606</v>
      </c>
      <c r="B609" s="109" t="str">
        <f t="shared" si="241"/>
        <v>Sep 2015</v>
      </c>
      <c r="C609" s="110" t="str">
        <f t="shared" si="242"/>
        <v>RLS</v>
      </c>
      <c r="D609" s="110" t="str">
        <f t="shared" si="243"/>
        <v>LGUM_314</v>
      </c>
      <c r="E609" s="581">
        <f t="shared" si="246"/>
        <v>558</v>
      </c>
      <c r="F609" s="581">
        <f t="shared" si="247"/>
        <v>0</v>
      </c>
      <c r="G609" s="116">
        <f t="shared" si="248"/>
        <v>19.2</v>
      </c>
      <c r="H609" s="116">
        <f t="shared" si="249"/>
        <v>2.7100000000000009</v>
      </c>
      <c r="I609" s="118">
        <f t="shared" si="260"/>
        <v>10713.6</v>
      </c>
      <c r="J609" s="118">
        <f t="shared" si="250"/>
        <v>10713.6</v>
      </c>
      <c r="K609" s="570">
        <f t="shared" si="261"/>
        <v>0</v>
      </c>
      <c r="L609" s="121">
        <f t="shared" si="251"/>
        <v>0</v>
      </c>
      <c r="M609" s="122">
        <f t="shared" si="252"/>
        <v>0</v>
      </c>
      <c r="N609" s="122">
        <f t="shared" si="253"/>
        <v>0</v>
      </c>
      <c r="O609" s="122">
        <f t="shared" si="254"/>
        <v>0</v>
      </c>
      <c r="P609" s="122">
        <f t="shared" si="255"/>
        <v>0</v>
      </c>
      <c r="Q609" s="123">
        <f t="shared" si="256"/>
        <v>10713.6</v>
      </c>
      <c r="R609" s="123">
        <f t="shared" si="262"/>
        <v>-10713.6</v>
      </c>
      <c r="S609" s="582">
        <v>0</v>
      </c>
      <c r="T609" s="123">
        <f t="shared" si="263"/>
        <v>-10713.6</v>
      </c>
      <c r="U609" s="25">
        <f t="shared" si="257"/>
        <v>1512.18</v>
      </c>
      <c r="V609" s="123">
        <f t="shared" si="258"/>
        <v>-1512.18</v>
      </c>
      <c r="W609" s="334">
        <f t="shared" si="259"/>
        <v>100.44</v>
      </c>
      <c r="Y609" s="109">
        <f>IF(AE609=1,IF(Y608=MiscData!$F$1,EOMONTH(Y608,-11),EOMONTH(Y608,1)),Y608)</f>
        <v>42277</v>
      </c>
      <c r="Z609" s="108" t="str">
        <f t="shared" si="244"/>
        <v>20140101LGUM_314</v>
      </c>
      <c r="AA609" s="126" t="str">
        <f t="shared" si="245"/>
        <v>20140101RLS</v>
      </c>
      <c r="AB609" s="583" t="str">
        <f t="shared" si="264"/>
        <v>314</v>
      </c>
      <c r="AD609" s="98">
        <f>MiscData!$X$5</f>
        <v>20140101</v>
      </c>
      <c r="AE609" s="98">
        <f>IF(AE608+1&gt;MiscData!$AC$77,1,AE608+1)</f>
        <v>22</v>
      </c>
      <c r="AF609" s="98" t="str">
        <f>VLOOKUP(AE609,MiscData!$AC$5:$AD$77,2,FALSE)</f>
        <v>LGUM_314</v>
      </c>
      <c r="AG609" s="98" t="str">
        <f>VLOOKUP(AF609,MiscData!$AD$5:$AE$77,2,FALSE)</f>
        <v>RLS</v>
      </c>
      <c r="AP609" s="98" t="s">
        <v>209</v>
      </c>
      <c r="AR609" s="98">
        <v>0</v>
      </c>
    </row>
    <row r="610" spans="1:44">
      <c r="A610" s="108">
        <f t="shared" si="265"/>
        <v>607</v>
      </c>
      <c r="B610" s="109" t="str">
        <f t="shared" si="241"/>
        <v>Sep 2015</v>
      </c>
      <c r="C610" s="110" t="str">
        <f t="shared" si="242"/>
        <v>RLS</v>
      </c>
      <c r="D610" s="110" t="str">
        <f t="shared" si="243"/>
        <v>LGUM_315</v>
      </c>
      <c r="E610" s="581">
        <f t="shared" si="246"/>
        <v>534</v>
      </c>
      <c r="F610" s="581">
        <f t="shared" si="247"/>
        <v>0</v>
      </c>
      <c r="G610" s="116">
        <f t="shared" si="248"/>
        <v>22.949999999999996</v>
      </c>
      <c r="H610" s="116">
        <f t="shared" si="249"/>
        <v>4.1999999999999993</v>
      </c>
      <c r="I610" s="118">
        <f t="shared" si="260"/>
        <v>12255.3</v>
      </c>
      <c r="J610" s="118">
        <f t="shared" si="250"/>
        <v>12255.3</v>
      </c>
      <c r="K610" s="570">
        <f t="shared" si="261"/>
        <v>0</v>
      </c>
      <c r="L610" s="121">
        <f t="shared" si="251"/>
        <v>0</v>
      </c>
      <c r="M610" s="122">
        <f t="shared" si="252"/>
        <v>0</v>
      </c>
      <c r="N610" s="122">
        <f t="shared" si="253"/>
        <v>0</v>
      </c>
      <c r="O610" s="122">
        <f t="shared" si="254"/>
        <v>0</v>
      </c>
      <c r="P610" s="122">
        <f t="shared" si="255"/>
        <v>0</v>
      </c>
      <c r="Q610" s="123">
        <f t="shared" si="256"/>
        <v>12255.3</v>
      </c>
      <c r="R610" s="123">
        <f t="shared" si="262"/>
        <v>-12255.3</v>
      </c>
      <c r="S610" s="582">
        <v>0</v>
      </c>
      <c r="T610" s="123">
        <f t="shared" si="263"/>
        <v>-12255.3</v>
      </c>
      <c r="U610" s="25">
        <f t="shared" si="257"/>
        <v>2242.8000000000002</v>
      </c>
      <c r="V610" s="123">
        <f t="shared" si="258"/>
        <v>-2242.8000000000002</v>
      </c>
      <c r="W610" s="334">
        <f t="shared" si="259"/>
        <v>117.48</v>
      </c>
      <c r="Y610" s="109">
        <f>IF(AE610=1,IF(Y609=MiscData!$F$1,EOMONTH(Y609,-11),EOMONTH(Y609,1)),Y609)</f>
        <v>42277</v>
      </c>
      <c r="Z610" s="108" t="str">
        <f t="shared" si="244"/>
        <v>20140101LGUM_315</v>
      </c>
      <c r="AA610" s="126" t="str">
        <f t="shared" si="245"/>
        <v>20140101RLS</v>
      </c>
      <c r="AB610" s="583" t="str">
        <f t="shared" si="264"/>
        <v>315</v>
      </c>
      <c r="AD610" s="98">
        <f>MiscData!$X$5</f>
        <v>20140101</v>
      </c>
      <c r="AE610" s="98">
        <f>IF(AE609+1&gt;MiscData!$AC$77,1,AE609+1)</f>
        <v>23</v>
      </c>
      <c r="AF610" s="98" t="str">
        <f>VLOOKUP(AE610,MiscData!$AC$5:$AD$77,2,FALSE)</f>
        <v>LGUM_315</v>
      </c>
      <c r="AG610" s="98" t="str">
        <f>VLOOKUP(AF610,MiscData!$AD$5:$AE$77,2,FALSE)</f>
        <v>RLS</v>
      </c>
      <c r="AP610" s="98" t="s">
        <v>210</v>
      </c>
      <c r="AR610" s="98">
        <v>-0.24</v>
      </c>
    </row>
    <row r="611" spans="1:44">
      <c r="A611" s="108">
        <f t="shared" si="265"/>
        <v>608</v>
      </c>
      <c r="B611" s="109" t="str">
        <f t="shared" si="241"/>
        <v>Sep 2015</v>
      </c>
      <c r="C611" s="110" t="str">
        <f t="shared" si="242"/>
        <v>RLS</v>
      </c>
      <c r="D611" s="110" t="str">
        <f t="shared" si="243"/>
        <v>LGUM_318</v>
      </c>
      <c r="E611" s="581">
        <f t="shared" si="246"/>
        <v>55</v>
      </c>
      <c r="F611" s="581">
        <f t="shared" si="247"/>
        <v>0</v>
      </c>
      <c r="G611" s="116">
        <f t="shared" si="248"/>
        <v>17.419999999999998</v>
      </c>
      <c r="H611" s="116">
        <f t="shared" si="249"/>
        <v>1.9100000000000001</v>
      </c>
      <c r="I611" s="118">
        <f t="shared" si="260"/>
        <v>958.1</v>
      </c>
      <c r="J611" s="118">
        <f t="shared" si="250"/>
        <v>958.1</v>
      </c>
      <c r="K611" s="570">
        <f t="shared" si="261"/>
        <v>0</v>
      </c>
      <c r="L611" s="121">
        <f t="shared" si="251"/>
        <v>0</v>
      </c>
      <c r="M611" s="122">
        <f t="shared" si="252"/>
        <v>0</v>
      </c>
      <c r="N611" s="122">
        <f t="shared" si="253"/>
        <v>0</v>
      </c>
      <c r="O611" s="122">
        <f t="shared" si="254"/>
        <v>0</v>
      </c>
      <c r="P611" s="122">
        <f t="shared" si="255"/>
        <v>0</v>
      </c>
      <c r="Q611" s="123">
        <f t="shared" si="256"/>
        <v>958.1</v>
      </c>
      <c r="R611" s="123">
        <f t="shared" si="262"/>
        <v>-958.1</v>
      </c>
      <c r="S611" s="582">
        <v>0</v>
      </c>
      <c r="T611" s="123">
        <f t="shared" si="263"/>
        <v>-958.1</v>
      </c>
      <c r="U611" s="25">
        <f t="shared" si="257"/>
        <v>105.05</v>
      </c>
      <c r="V611" s="123">
        <f t="shared" si="258"/>
        <v>-105.05</v>
      </c>
      <c r="W611" s="334">
        <f t="shared" si="259"/>
        <v>8.8000000000000007</v>
      </c>
      <c r="Y611" s="109">
        <f>IF(AE611=1,IF(Y610=MiscData!$F$1,EOMONTH(Y610,-11),EOMONTH(Y610,1)),Y610)</f>
        <v>42277</v>
      </c>
      <c r="Z611" s="108" t="str">
        <f t="shared" si="244"/>
        <v>20140101LGUM_318</v>
      </c>
      <c r="AA611" s="126" t="str">
        <f t="shared" si="245"/>
        <v>20140101RLS</v>
      </c>
      <c r="AB611" s="583" t="str">
        <f t="shared" si="264"/>
        <v>318</v>
      </c>
      <c r="AD611" s="98">
        <f>MiscData!$X$5</f>
        <v>20140101</v>
      </c>
      <c r="AE611" s="98">
        <f>IF(AE610+1&gt;MiscData!$AC$77,1,AE610+1)</f>
        <v>24</v>
      </c>
      <c r="AF611" s="98" t="str">
        <f>VLOOKUP(AE611,MiscData!$AC$5:$AD$77,2,FALSE)</f>
        <v>LGUM_318</v>
      </c>
      <c r="AG611" s="98" t="str">
        <f>VLOOKUP(AF611,MiscData!$AD$5:$AE$77,2,FALSE)</f>
        <v>RLS</v>
      </c>
      <c r="AP611" s="98" t="s">
        <v>211</v>
      </c>
      <c r="AR611" s="98">
        <v>0</v>
      </c>
    </row>
    <row r="612" spans="1:44">
      <c r="A612" s="108">
        <f t="shared" si="265"/>
        <v>609</v>
      </c>
      <c r="B612" s="109" t="str">
        <f t="shared" si="241"/>
        <v>Sep 2015</v>
      </c>
      <c r="C612" s="110" t="str">
        <f t="shared" si="242"/>
        <v>RLS</v>
      </c>
      <c r="D612" s="110" t="str">
        <f t="shared" si="243"/>
        <v>LGUM_347</v>
      </c>
      <c r="E612" s="581">
        <f t="shared" si="246"/>
        <v>0</v>
      </c>
      <c r="F612" s="581">
        <f t="shared" si="247"/>
        <v>0</v>
      </c>
      <c r="G612" s="116">
        <f t="shared" si="248"/>
        <v>22.939999999999998</v>
      </c>
      <c r="H612" s="116">
        <f t="shared" si="249"/>
        <v>26.14</v>
      </c>
      <c r="I612" s="118">
        <f t="shared" si="260"/>
        <v>0</v>
      </c>
      <c r="J612" s="118">
        <f t="shared" si="250"/>
        <v>0</v>
      </c>
      <c r="K612" s="570">
        <f t="shared" si="261"/>
        <v>0</v>
      </c>
      <c r="L612" s="121">
        <f t="shared" si="251"/>
        <v>1</v>
      </c>
      <c r="M612" s="122">
        <f t="shared" si="252"/>
        <v>0</v>
      </c>
      <c r="N612" s="122">
        <f t="shared" si="253"/>
        <v>0</v>
      </c>
      <c r="O612" s="122">
        <f t="shared" si="254"/>
        <v>0</v>
      </c>
      <c r="P612" s="122">
        <f t="shared" si="255"/>
        <v>0</v>
      </c>
      <c r="Q612" s="123">
        <f t="shared" si="256"/>
        <v>0</v>
      </c>
      <c r="R612" s="123">
        <f t="shared" si="262"/>
        <v>0</v>
      </c>
      <c r="S612" s="582">
        <v>0</v>
      </c>
      <c r="T612" s="123">
        <f t="shared" si="263"/>
        <v>0</v>
      </c>
      <c r="U612" s="25">
        <f t="shared" si="257"/>
        <v>0</v>
      </c>
      <c r="V612" s="123">
        <f t="shared" si="258"/>
        <v>0</v>
      </c>
      <c r="W612" s="334">
        <f t="shared" si="259"/>
        <v>0</v>
      </c>
      <c r="Y612" s="109">
        <f>IF(AE612=1,IF(Y611=MiscData!$F$1,EOMONTH(Y611,-11),EOMONTH(Y611,1)),Y611)</f>
        <v>42277</v>
      </c>
      <c r="Z612" s="108" t="str">
        <f t="shared" si="244"/>
        <v>20140101LGUM_347</v>
      </c>
      <c r="AA612" s="126" t="str">
        <f t="shared" si="245"/>
        <v>20140101RLS</v>
      </c>
      <c r="AB612" s="583" t="str">
        <f t="shared" si="264"/>
        <v>347</v>
      </c>
      <c r="AD612" s="98">
        <f>MiscData!$X$5</f>
        <v>20140101</v>
      </c>
      <c r="AE612" s="98">
        <f>IF(AE611+1&gt;MiscData!$AC$77,1,AE611+1)</f>
        <v>25</v>
      </c>
      <c r="AF612" s="98" t="str">
        <f>VLOOKUP(AE612,MiscData!$AC$5:$AD$77,2,FALSE)</f>
        <v>LGUM_347</v>
      </c>
      <c r="AG612" s="98" t="str">
        <f>VLOOKUP(AF612,MiscData!$AD$5:$AE$77,2,FALSE)</f>
        <v>RLS</v>
      </c>
      <c r="AP612" s="98" t="s">
        <v>342</v>
      </c>
      <c r="AR612" s="98">
        <v>0</v>
      </c>
    </row>
    <row r="613" spans="1:44">
      <c r="A613" s="108">
        <f t="shared" si="265"/>
        <v>610</v>
      </c>
      <c r="B613" s="109" t="str">
        <f t="shared" si="241"/>
        <v>Sep 2015</v>
      </c>
      <c r="C613" s="110" t="str">
        <f t="shared" si="242"/>
        <v>RLS</v>
      </c>
      <c r="D613" s="110" t="str">
        <f t="shared" si="243"/>
        <v>LGUM_348</v>
      </c>
      <c r="E613" s="581">
        <f t="shared" si="246"/>
        <v>39</v>
      </c>
      <c r="F613" s="581">
        <f t="shared" si="247"/>
        <v>0</v>
      </c>
      <c r="G613" s="116">
        <f t="shared" si="248"/>
        <v>13.12</v>
      </c>
      <c r="H613" s="116">
        <f t="shared" si="249"/>
        <v>2.9800000000000004</v>
      </c>
      <c r="I613" s="118">
        <f t="shared" si="260"/>
        <v>511.68</v>
      </c>
      <c r="J613" s="118">
        <f t="shared" si="250"/>
        <v>511.68</v>
      </c>
      <c r="K613" s="570">
        <f t="shared" si="261"/>
        <v>0</v>
      </c>
      <c r="L613" s="121">
        <f t="shared" si="251"/>
        <v>0</v>
      </c>
      <c r="M613" s="122">
        <f t="shared" si="252"/>
        <v>0</v>
      </c>
      <c r="N613" s="122">
        <f t="shared" si="253"/>
        <v>0</v>
      </c>
      <c r="O613" s="122">
        <f t="shared" si="254"/>
        <v>0</v>
      </c>
      <c r="P613" s="122">
        <f t="shared" si="255"/>
        <v>0</v>
      </c>
      <c r="Q613" s="123">
        <f t="shared" si="256"/>
        <v>511.68</v>
      </c>
      <c r="R613" s="123">
        <f t="shared" si="262"/>
        <v>-511.68</v>
      </c>
      <c r="S613" s="582">
        <v>0</v>
      </c>
      <c r="T613" s="123">
        <f t="shared" si="263"/>
        <v>-511.68</v>
      </c>
      <c r="U613" s="25">
        <f t="shared" si="257"/>
        <v>116.22</v>
      </c>
      <c r="V613" s="123">
        <f t="shared" si="258"/>
        <v>-116.22</v>
      </c>
      <c r="W613" s="334">
        <f t="shared" si="259"/>
        <v>7.41</v>
      </c>
      <c r="Y613" s="109">
        <f>IF(AE613=1,IF(Y612=MiscData!$F$1,EOMONTH(Y612,-11),EOMONTH(Y612,1)),Y612)</f>
        <v>42277</v>
      </c>
      <c r="Z613" s="108" t="str">
        <f t="shared" si="244"/>
        <v>20140101LGUM_348</v>
      </c>
      <c r="AA613" s="126" t="str">
        <f t="shared" si="245"/>
        <v>20140101RLS</v>
      </c>
      <c r="AB613" s="583" t="str">
        <f t="shared" si="264"/>
        <v>348</v>
      </c>
      <c r="AD613" s="98">
        <f>MiscData!$X$5</f>
        <v>20140101</v>
      </c>
      <c r="AE613" s="98">
        <f>IF(AE612+1&gt;MiscData!$AC$77,1,AE612+1)</f>
        <v>26</v>
      </c>
      <c r="AF613" s="98" t="str">
        <f>VLOOKUP(AE613,MiscData!$AC$5:$AD$77,2,FALSE)</f>
        <v>LGUM_348</v>
      </c>
      <c r="AG613" s="98" t="str">
        <f>VLOOKUP(AF613,MiscData!$AD$5:$AE$77,2,FALSE)</f>
        <v>RLS</v>
      </c>
      <c r="AP613" s="98" t="s">
        <v>212</v>
      </c>
      <c r="AR613" s="98">
        <v>8.82</v>
      </c>
    </row>
    <row r="614" spans="1:44">
      <c r="A614" s="108">
        <f t="shared" si="265"/>
        <v>611</v>
      </c>
      <c r="B614" s="109" t="str">
        <f t="shared" si="241"/>
        <v>Sep 2015</v>
      </c>
      <c r="C614" s="110" t="str">
        <f t="shared" si="242"/>
        <v>RLS</v>
      </c>
      <c r="D614" s="110" t="str">
        <f t="shared" si="243"/>
        <v>LGUM_349</v>
      </c>
      <c r="E614" s="581">
        <f t="shared" si="246"/>
        <v>16</v>
      </c>
      <c r="F614" s="581">
        <f t="shared" si="247"/>
        <v>0</v>
      </c>
      <c r="G614" s="116">
        <f t="shared" si="248"/>
        <v>9.0200000000000014</v>
      </c>
      <c r="H614" s="116">
        <f t="shared" si="249"/>
        <v>0.91000000000000014</v>
      </c>
      <c r="I614" s="118">
        <f t="shared" si="260"/>
        <v>144.32</v>
      </c>
      <c r="J614" s="118">
        <f t="shared" si="250"/>
        <v>144.32</v>
      </c>
      <c r="K614" s="570">
        <f t="shared" si="261"/>
        <v>0</v>
      </c>
      <c r="L614" s="121">
        <f t="shared" si="251"/>
        <v>0</v>
      </c>
      <c r="M614" s="122">
        <f t="shared" si="252"/>
        <v>0</v>
      </c>
      <c r="N614" s="122">
        <f t="shared" si="253"/>
        <v>0</v>
      </c>
      <c r="O614" s="122">
        <f t="shared" si="254"/>
        <v>0</v>
      </c>
      <c r="P614" s="122">
        <f t="shared" si="255"/>
        <v>0</v>
      </c>
      <c r="Q614" s="123">
        <f t="shared" si="256"/>
        <v>144.32</v>
      </c>
      <c r="R614" s="123">
        <f t="shared" si="262"/>
        <v>-144.32</v>
      </c>
      <c r="S614" s="582">
        <v>0</v>
      </c>
      <c r="T614" s="123">
        <f t="shared" si="263"/>
        <v>-144.32</v>
      </c>
      <c r="U614" s="25">
        <f t="shared" si="257"/>
        <v>14.56</v>
      </c>
      <c r="V614" s="123">
        <f t="shared" si="258"/>
        <v>-14.56</v>
      </c>
      <c r="W614" s="334">
        <f t="shared" si="259"/>
        <v>2.2400000000000002</v>
      </c>
      <c r="Y614" s="109">
        <f>IF(AE614=1,IF(Y613=MiscData!$F$1,EOMONTH(Y613,-11),EOMONTH(Y613,1)),Y613)</f>
        <v>42277</v>
      </c>
      <c r="Z614" s="108" t="str">
        <f t="shared" si="244"/>
        <v>20140101LGUM_349</v>
      </c>
      <c r="AA614" s="126" t="str">
        <f t="shared" si="245"/>
        <v>20140101RLS</v>
      </c>
      <c r="AB614" s="583" t="str">
        <f t="shared" si="264"/>
        <v>349</v>
      </c>
      <c r="AD614" s="98">
        <f>MiscData!$X$5</f>
        <v>20140101</v>
      </c>
      <c r="AE614" s="98">
        <f>IF(AE613+1&gt;MiscData!$AC$77,1,AE613+1)</f>
        <v>27</v>
      </c>
      <c r="AF614" s="98" t="str">
        <f>VLOOKUP(AE614,MiscData!$AC$5:$AD$77,2,FALSE)</f>
        <v>LGUM_349</v>
      </c>
      <c r="AG614" s="98" t="str">
        <f>VLOOKUP(AF614,MiscData!$AD$5:$AE$77,2,FALSE)</f>
        <v>RLS</v>
      </c>
      <c r="AP614" s="98" t="s">
        <v>213</v>
      </c>
      <c r="AR614" s="98">
        <v>-9.5</v>
      </c>
    </row>
    <row r="615" spans="1:44">
      <c r="A615" s="108">
        <f t="shared" si="265"/>
        <v>612</v>
      </c>
      <c r="B615" s="109" t="str">
        <f t="shared" si="241"/>
        <v>Sep 2015</v>
      </c>
      <c r="C615" s="110" t="str">
        <f t="shared" si="242"/>
        <v xml:space="preserve">LS </v>
      </c>
      <c r="D615" s="110" t="str">
        <f t="shared" si="243"/>
        <v>LGUM_400</v>
      </c>
      <c r="E615" s="581">
        <f t="shared" si="246"/>
        <v>32</v>
      </c>
      <c r="F615" s="581">
        <f t="shared" si="247"/>
        <v>0</v>
      </c>
      <c r="G615" s="116">
        <f t="shared" si="248"/>
        <v>23.89</v>
      </c>
      <c r="H615" s="116">
        <f t="shared" si="249"/>
        <v>1.0199999999999996</v>
      </c>
      <c r="I615" s="118">
        <f t="shared" si="260"/>
        <v>764.48</v>
      </c>
      <c r="J615" s="118">
        <f t="shared" si="250"/>
        <v>764.48</v>
      </c>
      <c r="K615" s="570">
        <f t="shared" si="261"/>
        <v>0</v>
      </c>
      <c r="L615" s="121">
        <f t="shared" si="251"/>
        <v>0</v>
      </c>
      <c r="M615" s="122">
        <f t="shared" si="252"/>
        <v>0</v>
      </c>
      <c r="N615" s="122">
        <f t="shared" si="253"/>
        <v>0</v>
      </c>
      <c r="O615" s="122">
        <f t="shared" si="254"/>
        <v>0</v>
      </c>
      <c r="P615" s="122">
        <f t="shared" si="255"/>
        <v>0</v>
      </c>
      <c r="Q615" s="123">
        <f t="shared" si="256"/>
        <v>764.48</v>
      </c>
      <c r="R615" s="123">
        <f t="shared" si="262"/>
        <v>-764.48</v>
      </c>
      <c r="S615" s="582">
        <v>0</v>
      </c>
      <c r="T615" s="123">
        <f t="shared" si="263"/>
        <v>-764.48</v>
      </c>
      <c r="U615" s="25">
        <f t="shared" si="257"/>
        <v>32.64</v>
      </c>
      <c r="V615" s="123">
        <f t="shared" si="258"/>
        <v>-32.64</v>
      </c>
      <c r="W615" s="334">
        <f t="shared" si="259"/>
        <v>11.84</v>
      </c>
      <c r="Y615" s="109">
        <f>IF(AE615=1,IF(Y614=MiscData!$F$1,EOMONTH(Y614,-11),EOMONTH(Y614,1)),Y614)</f>
        <v>42277</v>
      </c>
      <c r="Z615" s="108" t="str">
        <f t="shared" si="244"/>
        <v>20140101LGUM_400</v>
      </c>
      <c r="AA615" s="126" t="str">
        <f t="shared" si="245"/>
        <v xml:space="preserve">20140101LS </v>
      </c>
      <c r="AB615" s="583" t="str">
        <f t="shared" si="264"/>
        <v>400</v>
      </c>
      <c r="AD615" s="98">
        <f>MiscData!$X$5</f>
        <v>20140101</v>
      </c>
      <c r="AE615" s="98">
        <f>IF(AE614+1&gt;MiscData!$AC$77,1,AE614+1)</f>
        <v>28</v>
      </c>
      <c r="AF615" s="98" t="str">
        <f>VLOOKUP(AE615,MiscData!$AC$5:$AD$77,2,FALSE)</f>
        <v>LGUM_400</v>
      </c>
      <c r="AG615" s="98" t="str">
        <f>VLOOKUP(AF615,MiscData!$AD$5:$AE$77,2,FALSE)</f>
        <v xml:space="preserve">LS </v>
      </c>
      <c r="AP615" s="98" t="s">
        <v>214</v>
      </c>
      <c r="AR615" s="98">
        <v>0</v>
      </c>
    </row>
    <row r="616" spans="1:44">
      <c r="A616" s="108">
        <f t="shared" si="265"/>
        <v>613</v>
      </c>
      <c r="B616" s="109" t="str">
        <f t="shared" si="241"/>
        <v>Sep 2015</v>
      </c>
      <c r="C616" s="110" t="str">
        <f t="shared" si="242"/>
        <v xml:space="preserve">LS </v>
      </c>
      <c r="D616" s="110" t="str">
        <f t="shared" si="243"/>
        <v>LGUM_401</v>
      </c>
      <c r="E616" s="581">
        <f t="shared" si="246"/>
        <v>4</v>
      </c>
      <c r="F616" s="581">
        <f t="shared" si="247"/>
        <v>0</v>
      </c>
      <c r="G616" s="116">
        <f t="shared" si="248"/>
        <v>24.9</v>
      </c>
      <c r="H616" s="116">
        <f t="shared" si="249"/>
        <v>1.0599999999999987</v>
      </c>
      <c r="I616" s="118">
        <f t="shared" si="260"/>
        <v>99.6</v>
      </c>
      <c r="J616" s="118">
        <f t="shared" si="250"/>
        <v>99.6</v>
      </c>
      <c r="K616" s="570">
        <f t="shared" si="261"/>
        <v>0</v>
      </c>
      <c r="L616" s="121">
        <f t="shared" si="251"/>
        <v>0</v>
      </c>
      <c r="M616" s="122">
        <f t="shared" si="252"/>
        <v>0</v>
      </c>
      <c r="N616" s="122">
        <f t="shared" si="253"/>
        <v>0</v>
      </c>
      <c r="O616" s="122">
        <f t="shared" si="254"/>
        <v>0</v>
      </c>
      <c r="P616" s="122">
        <f t="shared" si="255"/>
        <v>0</v>
      </c>
      <c r="Q616" s="123">
        <f t="shared" si="256"/>
        <v>99.6</v>
      </c>
      <c r="R616" s="123">
        <f t="shared" si="262"/>
        <v>-99.6</v>
      </c>
      <c r="S616" s="582">
        <v>0</v>
      </c>
      <c r="T616" s="123">
        <f t="shared" si="263"/>
        <v>-99.6</v>
      </c>
      <c r="U616" s="25">
        <f t="shared" si="257"/>
        <v>4.24</v>
      </c>
      <c r="V616" s="123">
        <f t="shared" si="258"/>
        <v>-4.24</v>
      </c>
      <c r="W616" s="334">
        <f t="shared" si="259"/>
        <v>1.08</v>
      </c>
      <c r="Y616" s="109">
        <f>IF(AE616=1,IF(Y615=MiscData!$F$1,EOMONTH(Y615,-11),EOMONTH(Y615,1)),Y615)</f>
        <v>42277</v>
      </c>
      <c r="Z616" s="108" t="str">
        <f t="shared" si="244"/>
        <v>20140101LGUM_401</v>
      </c>
      <c r="AA616" s="126" t="str">
        <f t="shared" si="245"/>
        <v xml:space="preserve">20140101LS </v>
      </c>
      <c r="AB616" s="583" t="str">
        <f t="shared" si="264"/>
        <v>401</v>
      </c>
      <c r="AD616" s="98">
        <f>MiscData!$X$5</f>
        <v>20140101</v>
      </c>
      <c r="AE616" s="98">
        <f>IF(AE615+1&gt;MiscData!$AC$77,1,AE615+1)</f>
        <v>29</v>
      </c>
      <c r="AF616" s="98" t="str">
        <f>VLOOKUP(AE616,MiscData!$AC$5:$AD$77,2,FALSE)</f>
        <v>LGUM_401</v>
      </c>
      <c r="AG616" s="98" t="str">
        <f>VLOOKUP(AF616,MiscData!$AD$5:$AE$77,2,FALSE)</f>
        <v xml:space="preserve">LS </v>
      </c>
      <c r="AP616" s="98" t="s">
        <v>343</v>
      </c>
      <c r="AR616" s="98">
        <v>0</v>
      </c>
    </row>
    <row r="617" spans="1:44">
      <c r="A617" s="108">
        <f t="shared" si="265"/>
        <v>614</v>
      </c>
      <c r="B617" s="109" t="str">
        <f t="shared" si="241"/>
        <v>Sep 2015</v>
      </c>
      <c r="C617" s="110" t="str">
        <f t="shared" si="242"/>
        <v xml:space="preserve">LS </v>
      </c>
      <c r="D617" s="110" t="str">
        <f t="shared" si="243"/>
        <v>LGUM_412</v>
      </c>
      <c r="E617" s="581">
        <f t="shared" si="246"/>
        <v>212</v>
      </c>
      <c r="F617" s="581">
        <f t="shared" si="247"/>
        <v>0</v>
      </c>
      <c r="G617" s="116">
        <f t="shared" si="248"/>
        <v>19.79</v>
      </c>
      <c r="H617" s="116">
        <f t="shared" si="249"/>
        <v>0.74999999999999645</v>
      </c>
      <c r="I617" s="118">
        <f t="shared" si="260"/>
        <v>4195.4799999999996</v>
      </c>
      <c r="J617" s="118">
        <f t="shared" si="250"/>
        <v>4195.4799999999996</v>
      </c>
      <c r="K617" s="570">
        <f t="shared" si="261"/>
        <v>0</v>
      </c>
      <c r="L617" s="121">
        <f t="shared" si="251"/>
        <v>0</v>
      </c>
      <c r="M617" s="122">
        <f t="shared" si="252"/>
        <v>0</v>
      </c>
      <c r="N617" s="122">
        <f t="shared" si="253"/>
        <v>0</v>
      </c>
      <c r="O617" s="122">
        <f t="shared" si="254"/>
        <v>0</v>
      </c>
      <c r="P617" s="122">
        <f t="shared" si="255"/>
        <v>0</v>
      </c>
      <c r="Q617" s="123">
        <f t="shared" si="256"/>
        <v>4195.4799999999996</v>
      </c>
      <c r="R617" s="123">
        <f t="shared" si="262"/>
        <v>-4195.4799999999996</v>
      </c>
      <c r="S617" s="582">
        <v>0</v>
      </c>
      <c r="T617" s="123">
        <f t="shared" si="263"/>
        <v>-4195.4799999999996</v>
      </c>
      <c r="U617" s="25">
        <f t="shared" si="257"/>
        <v>159</v>
      </c>
      <c r="V617" s="123">
        <f t="shared" si="258"/>
        <v>-159</v>
      </c>
      <c r="W617" s="334">
        <f t="shared" si="259"/>
        <v>55.120000000000005</v>
      </c>
      <c r="Y617" s="109">
        <f>IF(AE617=1,IF(Y616=MiscData!$F$1,EOMONTH(Y616,-11),EOMONTH(Y616,1)),Y616)</f>
        <v>42277</v>
      </c>
      <c r="Z617" s="108" t="str">
        <f t="shared" si="244"/>
        <v>20140101LGUM_412</v>
      </c>
      <c r="AA617" s="126" t="str">
        <f t="shared" si="245"/>
        <v xml:space="preserve">20140101LS </v>
      </c>
      <c r="AB617" s="583" t="str">
        <f t="shared" si="264"/>
        <v>412</v>
      </c>
      <c r="AD617" s="98">
        <f>MiscData!$X$5</f>
        <v>20140101</v>
      </c>
      <c r="AE617" s="98">
        <f>IF(AE616+1&gt;MiscData!$AC$77,1,AE616+1)</f>
        <v>30</v>
      </c>
      <c r="AF617" s="98" t="str">
        <f>VLOOKUP(AE617,MiscData!$AC$5:$AD$77,2,FALSE)</f>
        <v>LGUM_412</v>
      </c>
      <c r="AG617" s="98" t="str">
        <f>VLOOKUP(AF617,MiscData!$AD$5:$AE$77,2,FALSE)</f>
        <v xml:space="preserve">LS </v>
      </c>
      <c r="AP617" s="98" t="s">
        <v>215</v>
      </c>
      <c r="AR617" s="98">
        <v>0</v>
      </c>
    </row>
    <row r="618" spans="1:44">
      <c r="A618" s="108">
        <f t="shared" si="265"/>
        <v>615</v>
      </c>
      <c r="B618" s="109" t="str">
        <f t="shared" ref="B618:B681" si="266">TEXT(Y618,"mmm yyyy")</f>
        <v>Sep 2015</v>
      </c>
      <c r="C618" s="110" t="str">
        <f t="shared" ref="C618:C681" si="267">AG618</f>
        <v xml:space="preserve">LS </v>
      </c>
      <c r="D618" s="110" t="str">
        <f t="shared" ref="D618:D681" si="268">AF618</f>
        <v>LGUM_413</v>
      </c>
      <c r="E618" s="581">
        <f t="shared" si="246"/>
        <v>1995</v>
      </c>
      <c r="F618" s="581">
        <f t="shared" si="247"/>
        <v>0</v>
      </c>
      <c r="G618" s="116">
        <f t="shared" si="248"/>
        <v>20.49</v>
      </c>
      <c r="H618" s="116">
        <f t="shared" si="249"/>
        <v>1.0599999999999987</v>
      </c>
      <c r="I618" s="118">
        <f t="shared" si="260"/>
        <v>40877.550000000003</v>
      </c>
      <c r="J618" s="118">
        <f t="shared" si="250"/>
        <v>40877.550000000003</v>
      </c>
      <c r="K618" s="570">
        <f t="shared" si="261"/>
        <v>0</v>
      </c>
      <c r="L618" s="121">
        <f t="shared" si="251"/>
        <v>0</v>
      </c>
      <c r="M618" s="122">
        <f t="shared" si="252"/>
        <v>0</v>
      </c>
      <c r="N618" s="122">
        <f t="shared" si="253"/>
        <v>0</v>
      </c>
      <c r="O618" s="122">
        <f t="shared" si="254"/>
        <v>0</v>
      </c>
      <c r="P618" s="122">
        <f t="shared" si="255"/>
        <v>0</v>
      </c>
      <c r="Q618" s="123">
        <f t="shared" si="256"/>
        <v>40877.550000000003</v>
      </c>
      <c r="R618" s="123">
        <f t="shared" si="262"/>
        <v>-40877.550000000003</v>
      </c>
      <c r="S618" s="582">
        <v>0</v>
      </c>
      <c r="T618" s="123">
        <f t="shared" si="263"/>
        <v>-40877.550000000003</v>
      </c>
      <c r="U618" s="25">
        <f t="shared" si="257"/>
        <v>2114.6999999999998</v>
      </c>
      <c r="V618" s="123">
        <f t="shared" si="258"/>
        <v>-2114.6999999999998</v>
      </c>
      <c r="W618" s="334">
        <f t="shared" si="259"/>
        <v>538.65000000000009</v>
      </c>
      <c r="Y618" s="109">
        <f>IF(AE618=1,IF(Y617=MiscData!$F$1,EOMONTH(Y617,-11),EOMONTH(Y617,1)),Y617)</f>
        <v>42277</v>
      </c>
      <c r="Z618" s="108" t="str">
        <f t="shared" ref="Z618:Z681" si="269">CONCATENATE(AD618&amp;AF618)</f>
        <v>20140101LGUM_413</v>
      </c>
      <c r="AA618" s="126" t="str">
        <f t="shared" ref="AA618:AA681" si="270">CONCATENATE(AD618&amp;AG618)</f>
        <v xml:space="preserve">20140101LS </v>
      </c>
      <c r="AB618" s="583" t="str">
        <f t="shared" si="264"/>
        <v>413</v>
      </c>
      <c r="AD618" s="98">
        <f>MiscData!$X$5</f>
        <v>20140101</v>
      </c>
      <c r="AE618" s="98">
        <f>IF(AE617+1&gt;MiscData!$AC$77,1,AE617+1)</f>
        <v>31</v>
      </c>
      <c r="AF618" s="98" t="str">
        <f>VLOOKUP(AE618,MiscData!$AC$5:$AD$77,2,FALSE)</f>
        <v>LGUM_413</v>
      </c>
      <c r="AG618" s="98" t="str">
        <f>VLOOKUP(AF618,MiscData!$AD$5:$AE$77,2,FALSE)</f>
        <v xml:space="preserve">LS </v>
      </c>
      <c r="AP618" s="98" t="s">
        <v>216</v>
      </c>
      <c r="AR618" s="98">
        <v>0</v>
      </c>
    </row>
    <row r="619" spans="1:44">
      <c r="A619" s="108">
        <f t="shared" si="265"/>
        <v>616</v>
      </c>
      <c r="B619" s="109" t="str">
        <f t="shared" si="266"/>
        <v>Sep 2015</v>
      </c>
      <c r="C619" s="110" t="str">
        <f t="shared" si="267"/>
        <v xml:space="preserve">LS </v>
      </c>
      <c r="D619" s="110" t="str">
        <f t="shared" si="268"/>
        <v>LGUM_415</v>
      </c>
      <c r="E619" s="581">
        <f t="shared" si="246"/>
        <v>19</v>
      </c>
      <c r="F619" s="581">
        <f t="shared" si="247"/>
        <v>0</v>
      </c>
      <c r="G619" s="116">
        <f t="shared" si="248"/>
        <v>20.18</v>
      </c>
      <c r="H619" s="116">
        <f t="shared" si="249"/>
        <v>0.75</v>
      </c>
      <c r="I619" s="118">
        <f t="shared" si="260"/>
        <v>383.42</v>
      </c>
      <c r="J619" s="118">
        <f t="shared" si="250"/>
        <v>383.42</v>
      </c>
      <c r="K619" s="570">
        <f t="shared" si="261"/>
        <v>0</v>
      </c>
      <c r="L619" s="121">
        <f t="shared" si="251"/>
        <v>0</v>
      </c>
      <c r="M619" s="122">
        <f t="shared" si="252"/>
        <v>0</v>
      </c>
      <c r="N619" s="122">
        <f t="shared" si="253"/>
        <v>0</v>
      </c>
      <c r="O619" s="122">
        <f t="shared" si="254"/>
        <v>0</v>
      </c>
      <c r="P619" s="122">
        <f t="shared" si="255"/>
        <v>0</v>
      </c>
      <c r="Q619" s="123">
        <f t="shared" si="256"/>
        <v>383.42</v>
      </c>
      <c r="R619" s="123">
        <f t="shared" si="262"/>
        <v>-383.42</v>
      </c>
      <c r="S619" s="582">
        <v>0</v>
      </c>
      <c r="T619" s="123">
        <f t="shared" si="263"/>
        <v>-383.42</v>
      </c>
      <c r="U619" s="25">
        <f t="shared" si="257"/>
        <v>14.25</v>
      </c>
      <c r="V619" s="123">
        <f t="shared" si="258"/>
        <v>-14.25</v>
      </c>
      <c r="W619" s="334">
        <f t="shared" si="259"/>
        <v>4.9400000000000004</v>
      </c>
      <c r="Y619" s="109">
        <f>IF(AE619=1,IF(Y618=MiscData!$F$1,EOMONTH(Y618,-11),EOMONTH(Y618,1)),Y618)</f>
        <v>42277</v>
      </c>
      <c r="Z619" s="108" t="str">
        <f t="shared" si="269"/>
        <v>20140101LGUM_415</v>
      </c>
      <c r="AA619" s="126" t="str">
        <f t="shared" si="270"/>
        <v xml:space="preserve">20140101LS </v>
      </c>
      <c r="AB619" s="583" t="str">
        <f t="shared" si="264"/>
        <v>415</v>
      </c>
      <c r="AD619" s="98">
        <f>MiscData!$X$5</f>
        <v>20140101</v>
      </c>
      <c r="AE619" s="98">
        <f>IF(AE618+1&gt;MiscData!$AC$77,1,AE618+1)</f>
        <v>32</v>
      </c>
      <c r="AF619" s="98" t="str">
        <f>VLOOKUP(AE619,MiscData!$AC$5:$AD$77,2,FALSE)</f>
        <v>LGUM_415</v>
      </c>
      <c r="AG619" s="98" t="str">
        <f>VLOOKUP(AF619,MiscData!$AD$5:$AE$77,2,FALSE)</f>
        <v xml:space="preserve">LS </v>
      </c>
      <c r="AP619" s="98" t="s">
        <v>217</v>
      </c>
      <c r="AR619" s="98">
        <v>0</v>
      </c>
    </row>
    <row r="620" spans="1:44">
      <c r="A620" s="108">
        <f t="shared" si="265"/>
        <v>617</v>
      </c>
      <c r="B620" s="109" t="str">
        <f t="shared" si="266"/>
        <v>Sep 2015</v>
      </c>
      <c r="C620" s="110" t="str">
        <f t="shared" si="267"/>
        <v xml:space="preserve">LS </v>
      </c>
      <c r="D620" s="110" t="str">
        <f t="shared" si="268"/>
        <v>LGUM_416</v>
      </c>
      <c r="E620" s="581">
        <f t="shared" si="246"/>
        <v>1782</v>
      </c>
      <c r="F620" s="581">
        <f t="shared" si="247"/>
        <v>0</v>
      </c>
      <c r="G620" s="116">
        <f t="shared" si="248"/>
        <v>22.56</v>
      </c>
      <c r="H620" s="116">
        <f t="shared" si="249"/>
        <v>1.0599999999999987</v>
      </c>
      <c r="I620" s="118">
        <f t="shared" si="260"/>
        <v>40201.919999999998</v>
      </c>
      <c r="J620" s="118">
        <f t="shared" si="250"/>
        <v>40201.919999999998</v>
      </c>
      <c r="K620" s="570">
        <f t="shared" si="261"/>
        <v>0</v>
      </c>
      <c r="L620" s="121">
        <f t="shared" si="251"/>
        <v>0</v>
      </c>
      <c r="M620" s="122">
        <f t="shared" si="252"/>
        <v>0</v>
      </c>
      <c r="N620" s="122">
        <f t="shared" si="253"/>
        <v>0</v>
      </c>
      <c r="O620" s="122">
        <f t="shared" si="254"/>
        <v>0</v>
      </c>
      <c r="P620" s="122">
        <f t="shared" si="255"/>
        <v>0</v>
      </c>
      <c r="Q620" s="123">
        <f t="shared" si="256"/>
        <v>40201.919999999998</v>
      </c>
      <c r="R620" s="123">
        <f t="shared" si="262"/>
        <v>-40201.919999999998</v>
      </c>
      <c r="S620" s="582">
        <v>0</v>
      </c>
      <c r="T620" s="123">
        <f t="shared" si="263"/>
        <v>-40201.919999999998</v>
      </c>
      <c r="U620" s="25">
        <f t="shared" si="257"/>
        <v>1888.92</v>
      </c>
      <c r="V620" s="123">
        <f t="shared" si="258"/>
        <v>-1888.92</v>
      </c>
      <c r="W620" s="334">
        <f t="shared" si="259"/>
        <v>481.14000000000004</v>
      </c>
      <c r="Y620" s="109">
        <f>IF(AE620=1,IF(Y619=MiscData!$F$1,EOMONTH(Y619,-11),EOMONTH(Y619,1)),Y619)</f>
        <v>42277</v>
      </c>
      <c r="Z620" s="108" t="str">
        <f t="shared" si="269"/>
        <v>20140101LGUM_416</v>
      </c>
      <c r="AA620" s="126" t="str">
        <f t="shared" si="270"/>
        <v xml:space="preserve">20140101LS </v>
      </c>
      <c r="AB620" s="583" t="str">
        <f t="shared" si="264"/>
        <v>416</v>
      </c>
      <c r="AD620" s="98">
        <f>MiscData!$X$5</f>
        <v>20140101</v>
      </c>
      <c r="AE620" s="98">
        <f>IF(AE619+1&gt;MiscData!$AC$77,1,AE619+1)</f>
        <v>33</v>
      </c>
      <c r="AF620" s="98" t="str">
        <f>VLOOKUP(AE620,MiscData!$AC$5:$AD$77,2,FALSE)</f>
        <v>LGUM_416</v>
      </c>
      <c r="AG620" s="98" t="str">
        <f>VLOOKUP(AF620,MiscData!$AD$5:$AE$77,2,FALSE)</f>
        <v xml:space="preserve">LS </v>
      </c>
      <c r="AP620" s="98" t="s">
        <v>344</v>
      </c>
      <c r="AR620" s="98">
        <v>0</v>
      </c>
    </row>
    <row r="621" spans="1:44">
      <c r="A621" s="108">
        <f t="shared" si="265"/>
        <v>618</v>
      </c>
      <c r="B621" s="109" t="str">
        <f t="shared" si="266"/>
        <v>Sep 2015</v>
      </c>
      <c r="C621" s="110" t="str">
        <f t="shared" si="267"/>
        <v>RLS</v>
      </c>
      <c r="D621" s="110" t="str">
        <f t="shared" si="268"/>
        <v>LGUM_417</v>
      </c>
      <c r="E621" s="581">
        <f t="shared" si="246"/>
        <v>35</v>
      </c>
      <c r="F621" s="581">
        <f t="shared" si="247"/>
        <v>0</v>
      </c>
      <c r="G621" s="116">
        <f t="shared" si="248"/>
        <v>23.68</v>
      </c>
      <c r="H621" s="116">
        <f t="shared" si="249"/>
        <v>1.0300000000000011</v>
      </c>
      <c r="I621" s="118">
        <f t="shared" si="260"/>
        <v>828.8</v>
      </c>
      <c r="J621" s="118">
        <f t="shared" si="250"/>
        <v>828.8</v>
      </c>
      <c r="K621" s="570">
        <f t="shared" si="261"/>
        <v>0</v>
      </c>
      <c r="L621" s="121">
        <f t="shared" si="251"/>
        <v>0</v>
      </c>
      <c r="M621" s="122">
        <f t="shared" si="252"/>
        <v>0</v>
      </c>
      <c r="N621" s="122">
        <f t="shared" si="253"/>
        <v>0</v>
      </c>
      <c r="O621" s="122">
        <f t="shared" si="254"/>
        <v>0</v>
      </c>
      <c r="P621" s="122">
        <f t="shared" si="255"/>
        <v>0</v>
      </c>
      <c r="Q621" s="123">
        <f t="shared" si="256"/>
        <v>828.8</v>
      </c>
      <c r="R621" s="123">
        <f t="shared" si="262"/>
        <v>-828.8</v>
      </c>
      <c r="S621" s="582">
        <v>0</v>
      </c>
      <c r="T621" s="123">
        <f t="shared" si="263"/>
        <v>-828.8</v>
      </c>
      <c r="U621" s="25">
        <f t="shared" si="257"/>
        <v>36.049999999999997</v>
      </c>
      <c r="V621" s="123">
        <f t="shared" si="258"/>
        <v>-36.049999999999997</v>
      </c>
      <c r="W621" s="334">
        <f t="shared" si="259"/>
        <v>9.4500000000000011</v>
      </c>
      <c r="Y621" s="109">
        <f>IF(AE621=1,IF(Y620=MiscData!$F$1,EOMONTH(Y620,-11),EOMONTH(Y620,1)),Y620)</f>
        <v>42277</v>
      </c>
      <c r="Z621" s="108" t="str">
        <f t="shared" si="269"/>
        <v>20140101LGUM_417</v>
      </c>
      <c r="AA621" s="126" t="str">
        <f t="shared" si="270"/>
        <v>20140101RLS</v>
      </c>
      <c r="AB621" s="583" t="str">
        <f t="shared" si="264"/>
        <v>417</v>
      </c>
      <c r="AD621" s="98">
        <f>MiscData!$X$5</f>
        <v>20140101</v>
      </c>
      <c r="AE621" s="98">
        <f>IF(AE620+1&gt;MiscData!$AC$77,1,AE620+1)</f>
        <v>34</v>
      </c>
      <c r="AF621" s="98" t="str">
        <f>VLOOKUP(AE621,MiscData!$AC$5:$AD$77,2,FALSE)</f>
        <v>LGUM_417</v>
      </c>
      <c r="AG621" s="98" t="str">
        <f>VLOOKUP(AF621,MiscData!$AD$5:$AE$77,2,FALSE)</f>
        <v>RLS</v>
      </c>
      <c r="AP621" s="98" t="s">
        <v>218</v>
      </c>
      <c r="AR621" s="98">
        <v>0</v>
      </c>
    </row>
    <row r="622" spans="1:44">
      <c r="A622" s="108">
        <f t="shared" si="265"/>
        <v>619</v>
      </c>
      <c r="B622" s="109" t="str">
        <f t="shared" si="266"/>
        <v>Sep 2015</v>
      </c>
      <c r="C622" s="110" t="str">
        <f t="shared" si="267"/>
        <v>RLS</v>
      </c>
      <c r="D622" s="110" t="str">
        <f t="shared" si="268"/>
        <v>LGUM_419</v>
      </c>
      <c r="E622" s="581">
        <f t="shared" si="246"/>
        <v>112</v>
      </c>
      <c r="F622" s="581">
        <f t="shared" si="247"/>
        <v>0</v>
      </c>
      <c r="G622" s="116">
        <f t="shared" si="248"/>
        <v>24.77</v>
      </c>
      <c r="H622" s="116">
        <f t="shared" si="249"/>
        <v>1.6499999999999986</v>
      </c>
      <c r="I622" s="118">
        <f t="shared" si="260"/>
        <v>2774.24</v>
      </c>
      <c r="J622" s="118">
        <f t="shared" si="250"/>
        <v>2774.24</v>
      </c>
      <c r="K622" s="570">
        <f t="shared" si="261"/>
        <v>0</v>
      </c>
      <c r="L622" s="121">
        <f t="shared" si="251"/>
        <v>0</v>
      </c>
      <c r="M622" s="122">
        <f t="shared" si="252"/>
        <v>0</v>
      </c>
      <c r="N622" s="122">
        <f t="shared" si="253"/>
        <v>0</v>
      </c>
      <c r="O622" s="122">
        <f t="shared" si="254"/>
        <v>0</v>
      </c>
      <c r="P622" s="122">
        <f t="shared" si="255"/>
        <v>0</v>
      </c>
      <c r="Q622" s="123">
        <f t="shared" si="256"/>
        <v>2774.24</v>
      </c>
      <c r="R622" s="123">
        <f t="shared" si="262"/>
        <v>-2774.24</v>
      </c>
      <c r="S622" s="582">
        <v>0</v>
      </c>
      <c r="T622" s="123">
        <f t="shared" si="263"/>
        <v>-2774.24</v>
      </c>
      <c r="U622" s="25">
        <f t="shared" si="257"/>
        <v>184.8</v>
      </c>
      <c r="V622" s="123">
        <f t="shared" si="258"/>
        <v>-184.8</v>
      </c>
      <c r="W622" s="334">
        <f t="shared" si="259"/>
        <v>41.44</v>
      </c>
      <c r="Y622" s="109">
        <f>IF(AE622=1,IF(Y621=MiscData!$F$1,EOMONTH(Y621,-11),EOMONTH(Y621,1)),Y621)</f>
        <v>42277</v>
      </c>
      <c r="Z622" s="108" t="str">
        <f t="shared" si="269"/>
        <v>20140101LGUM_419</v>
      </c>
      <c r="AA622" s="126" t="str">
        <f t="shared" si="270"/>
        <v>20140101RLS</v>
      </c>
      <c r="AB622" s="583" t="str">
        <f t="shared" si="264"/>
        <v>419</v>
      </c>
      <c r="AD622" s="98">
        <f>MiscData!$X$5</f>
        <v>20140101</v>
      </c>
      <c r="AE622" s="98">
        <f>IF(AE621+1&gt;MiscData!$AC$77,1,AE621+1)</f>
        <v>35</v>
      </c>
      <c r="AF622" s="98" t="str">
        <f>VLOOKUP(AE622,MiscData!$AC$5:$AD$77,2,FALSE)</f>
        <v>LGUM_419</v>
      </c>
      <c r="AG622" s="98" t="str">
        <f>VLOOKUP(AF622,MiscData!$AD$5:$AE$77,2,FALSE)</f>
        <v>RLS</v>
      </c>
      <c r="AP622" s="98" t="s">
        <v>219</v>
      </c>
      <c r="AR622" s="98">
        <v>0</v>
      </c>
    </row>
    <row r="623" spans="1:44">
      <c r="A623" s="108">
        <f t="shared" si="265"/>
        <v>620</v>
      </c>
      <c r="B623" s="109" t="str">
        <f t="shared" si="266"/>
        <v>Sep 2015</v>
      </c>
      <c r="C623" s="110" t="str">
        <f t="shared" si="267"/>
        <v xml:space="preserve">LS </v>
      </c>
      <c r="D623" s="110" t="str">
        <f t="shared" si="268"/>
        <v>LGUM_420</v>
      </c>
      <c r="E623" s="581">
        <f t="shared" si="246"/>
        <v>53</v>
      </c>
      <c r="F623" s="581">
        <f t="shared" si="247"/>
        <v>0</v>
      </c>
      <c r="G623" s="116">
        <f t="shared" si="248"/>
        <v>29.889999999999997</v>
      </c>
      <c r="H623" s="116">
        <f t="shared" si="249"/>
        <v>1.6499999999999986</v>
      </c>
      <c r="I623" s="118">
        <f t="shared" si="260"/>
        <v>1584.17</v>
      </c>
      <c r="J623" s="118">
        <f t="shared" si="250"/>
        <v>1584.17</v>
      </c>
      <c r="K623" s="570">
        <f t="shared" si="261"/>
        <v>0</v>
      </c>
      <c r="L623" s="121">
        <f t="shared" si="251"/>
        <v>0</v>
      </c>
      <c r="M623" s="122">
        <f t="shared" si="252"/>
        <v>0</v>
      </c>
      <c r="N623" s="122">
        <f t="shared" si="253"/>
        <v>0</v>
      </c>
      <c r="O623" s="122">
        <f t="shared" si="254"/>
        <v>0</v>
      </c>
      <c r="P623" s="122">
        <f t="shared" si="255"/>
        <v>0</v>
      </c>
      <c r="Q623" s="123">
        <f t="shared" si="256"/>
        <v>1584.17</v>
      </c>
      <c r="R623" s="123">
        <f t="shared" si="262"/>
        <v>-1584.17</v>
      </c>
      <c r="S623" s="582">
        <v>0</v>
      </c>
      <c r="T623" s="123">
        <f t="shared" si="263"/>
        <v>-1584.17</v>
      </c>
      <c r="U623" s="25">
        <f t="shared" si="257"/>
        <v>87.45</v>
      </c>
      <c r="V623" s="123">
        <f t="shared" si="258"/>
        <v>-87.45</v>
      </c>
      <c r="W623" s="334">
        <f t="shared" si="259"/>
        <v>12.719999999999999</v>
      </c>
      <c r="Y623" s="109">
        <f>IF(AE623=1,IF(Y622=MiscData!$F$1,EOMONTH(Y622,-11),EOMONTH(Y622,1)),Y622)</f>
        <v>42277</v>
      </c>
      <c r="Z623" s="108" t="str">
        <f t="shared" si="269"/>
        <v>20140101LGUM_420</v>
      </c>
      <c r="AA623" s="126" t="str">
        <f t="shared" si="270"/>
        <v xml:space="preserve">20140101LS </v>
      </c>
      <c r="AB623" s="583" t="str">
        <f t="shared" si="264"/>
        <v>420</v>
      </c>
      <c r="AD623" s="98">
        <f>MiscData!$X$5</f>
        <v>20140101</v>
      </c>
      <c r="AE623" s="98">
        <f>IF(AE622+1&gt;MiscData!$AC$77,1,AE622+1)</f>
        <v>36</v>
      </c>
      <c r="AF623" s="98" t="str">
        <f>VLOOKUP(AE623,MiscData!$AC$5:$AD$77,2,FALSE)</f>
        <v>LGUM_420</v>
      </c>
      <c r="AG623" s="98" t="str">
        <f>VLOOKUP(AF623,MiscData!$AD$5:$AE$77,2,FALSE)</f>
        <v xml:space="preserve">LS </v>
      </c>
      <c r="AP623" s="98" t="s">
        <v>220</v>
      </c>
      <c r="AR623" s="98">
        <v>0</v>
      </c>
    </row>
    <row r="624" spans="1:44">
      <c r="A624" s="108">
        <f t="shared" si="265"/>
        <v>621</v>
      </c>
      <c r="B624" s="109" t="str">
        <f t="shared" si="266"/>
        <v>Sep 2015</v>
      </c>
      <c r="C624" s="110" t="str">
        <f t="shared" si="267"/>
        <v xml:space="preserve">LS </v>
      </c>
      <c r="D624" s="110" t="str">
        <f t="shared" si="268"/>
        <v>LGUM_421</v>
      </c>
      <c r="E624" s="581">
        <f t="shared" si="246"/>
        <v>175</v>
      </c>
      <c r="F624" s="581">
        <f t="shared" si="247"/>
        <v>0</v>
      </c>
      <c r="G624" s="116">
        <f t="shared" si="248"/>
        <v>32.860000000000007</v>
      </c>
      <c r="H624" s="116">
        <f t="shared" si="249"/>
        <v>2.6700000000000017</v>
      </c>
      <c r="I624" s="118">
        <f t="shared" si="260"/>
        <v>5750.5</v>
      </c>
      <c r="J624" s="118">
        <f t="shared" si="250"/>
        <v>5750.5</v>
      </c>
      <c r="K624" s="570">
        <f t="shared" si="261"/>
        <v>0</v>
      </c>
      <c r="L624" s="121">
        <f t="shared" si="251"/>
        <v>0</v>
      </c>
      <c r="M624" s="122">
        <f t="shared" si="252"/>
        <v>0</v>
      </c>
      <c r="N624" s="122">
        <f t="shared" si="253"/>
        <v>0</v>
      </c>
      <c r="O624" s="122">
        <f t="shared" si="254"/>
        <v>0</v>
      </c>
      <c r="P624" s="122">
        <f t="shared" si="255"/>
        <v>0</v>
      </c>
      <c r="Q624" s="123">
        <f t="shared" si="256"/>
        <v>5750.5</v>
      </c>
      <c r="R624" s="123">
        <f t="shared" si="262"/>
        <v>-5750.5</v>
      </c>
      <c r="S624" s="582">
        <v>0</v>
      </c>
      <c r="T624" s="123">
        <f t="shared" si="263"/>
        <v>-5750.5</v>
      </c>
      <c r="U624" s="25">
        <f t="shared" si="257"/>
        <v>467.25</v>
      </c>
      <c r="V624" s="123">
        <f t="shared" si="258"/>
        <v>-467.25</v>
      </c>
      <c r="W624" s="334">
        <f t="shared" si="259"/>
        <v>47.25</v>
      </c>
      <c r="Y624" s="109">
        <f>IF(AE624=1,IF(Y623=MiscData!$F$1,EOMONTH(Y623,-11),EOMONTH(Y623,1)),Y623)</f>
        <v>42277</v>
      </c>
      <c r="Z624" s="108" t="str">
        <f t="shared" si="269"/>
        <v>20140101LGUM_421</v>
      </c>
      <c r="AA624" s="126" t="str">
        <f t="shared" si="270"/>
        <v xml:space="preserve">20140101LS </v>
      </c>
      <c r="AB624" s="583" t="str">
        <f t="shared" si="264"/>
        <v>421</v>
      </c>
      <c r="AD624" s="98">
        <f>MiscData!$X$5</f>
        <v>20140101</v>
      </c>
      <c r="AE624" s="98">
        <f>IF(AE623+1&gt;MiscData!$AC$77,1,AE623+1)</f>
        <v>37</v>
      </c>
      <c r="AF624" s="98" t="str">
        <f>VLOOKUP(AE624,MiscData!$AC$5:$AD$77,2,FALSE)</f>
        <v>LGUM_421</v>
      </c>
      <c r="AG624" s="98" t="str">
        <f>VLOOKUP(AF624,MiscData!$AD$5:$AE$77,2,FALSE)</f>
        <v xml:space="preserve">LS </v>
      </c>
      <c r="AP624" s="98" t="s">
        <v>345</v>
      </c>
      <c r="AR624" s="98">
        <v>0</v>
      </c>
    </row>
    <row r="625" spans="1:44">
      <c r="A625" s="108">
        <f t="shared" si="265"/>
        <v>622</v>
      </c>
      <c r="B625" s="109" t="str">
        <f t="shared" si="266"/>
        <v>Sep 2015</v>
      </c>
      <c r="C625" s="110" t="str">
        <f t="shared" si="267"/>
        <v xml:space="preserve">LS </v>
      </c>
      <c r="D625" s="110" t="str">
        <f t="shared" si="268"/>
        <v>LGUM_422</v>
      </c>
      <c r="E625" s="581">
        <f t="shared" si="246"/>
        <v>351</v>
      </c>
      <c r="F625" s="581">
        <f t="shared" si="247"/>
        <v>0</v>
      </c>
      <c r="G625" s="116">
        <f t="shared" si="248"/>
        <v>38.389999999999993</v>
      </c>
      <c r="H625" s="116">
        <f t="shared" si="249"/>
        <v>4.279999999999994</v>
      </c>
      <c r="I625" s="118">
        <f t="shared" si="260"/>
        <v>13474.89</v>
      </c>
      <c r="J625" s="118">
        <f t="shared" si="250"/>
        <v>13474.89</v>
      </c>
      <c r="K625" s="570">
        <f t="shared" si="261"/>
        <v>0</v>
      </c>
      <c r="L625" s="121">
        <f t="shared" si="251"/>
        <v>0</v>
      </c>
      <c r="M625" s="122">
        <f t="shared" si="252"/>
        <v>0</v>
      </c>
      <c r="N625" s="122">
        <f t="shared" si="253"/>
        <v>0</v>
      </c>
      <c r="O625" s="122">
        <f t="shared" si="254"/>
        <v>0</v>
      </c>
      <c r="P625" s="122">
        <f t="shared" si="255"/>
        <v>0</v>
      </c>
      <c r="Q625" s="123">
        <f t="shared" si="256"/>
        <v>13474.89</v>
      </c>
      <c r="R625" s="123">
        <f t="shared" si="262"/>
        <v>-13474.89</v>
      </c>
      <c r="S625" s="582">
        <v>0</v>
      </c>
      <c r="T625" s="123">
        <f t="shared" si="263"/>
        <v>-13474.89</v>
      </c>
      <c r="U625" s="25">
        <f t="shared" si="257"/>
        <v>1502.28</v>
      </c>
      <c r="V625" s="123">
        <f t="shared" si="258"/>
        <v>-1502.28</v>
      </c>
      <c r="W625" s="334">
        <f t="shared" si="259"/>
        <v>101.78999999999999</v>
      </c>
      <c r="Y625" s="109">
        <f>IF(AE625=1,IF(Y624=MiscData!$F$1,EOMONTH(Y624,-11),EOMONTH(Y624,1)),Y624)</f>
        <v>42277</v>
      </c>
      <c r="Z625" s="108" t="str">
        <f t="shared" si="269"/>
        <v>20140101LGUM_422</v>
      </c>
      <c r="AA625" s="126" t="str">
        <f t="shared" si="270"/>
        <v xml:space="preserve">20140101LS </v>
      </c>
      <c r="AB625" s="583" t="str">
        <f t="shared" si="264"/>
        <v>422</v>
      </c>
      <c r="AD625" s="98">
        <f>MiscData!$X$5</f>
        <v>20140101</v>
      </c>
      <c r="AE625" s="98">
        <f>IF(AE624+1&gt;MiscData!$AC$77,1,AE624+1)</f>
        <v>38</v>
      </c>
      <c r="AF625" s="98" t="str">
        <f>VLOOKUP(AE625,MiscData!$AC$5:$AD$77,2,FALSE)</f>
        <v>LGUM_422</v>
      </c>
      <c r="AG625" s="98" t="str">
        <f>VLOOKUP(AF625,MiscData!$AD$5:$AE$77,2,FALSE)</f>
        <v xml:space="preserve">LS </v>
      </c>
      <c r="AP625" s="98" t="s">
        <v>346</v>
      </c>
      <c r="AR625" s="98">
        <v>0</v>
      </c>
    </row>
    <row r="626" spans="1:44">
      <c r="A626" s="108">
        <f t="shared" si="265"/>
        <v>623</v>
      </c>
      <c r="B626" s="109" t="str">
        <f t="shared" si="266"/>
        <v>Sep 2015</v>
      </c>
      <c r="C626" s="110" t="str">
        <f t="shared" si="267"/>
        <v xml:space="preserve">LS </v>
      </c>
      <c r="D626" s="110" t="str">
        <f t="shared" si="268"/>
        <v>LGUM_423</v>
      </c>
      <c r="E626" s="581">
        <f t="shared" si="246"/>
        <v>17</v>
      </c>
      <c r="F626" s="581">
        <f t="shared" si="247"/>
        <v>0</v>
      </c>
      <c r="G626" s="116">
        <f t="shared" si="248"/>
        <v>26.349999999999998</v>
      </c>
      <c r="H626" s="116">
        <f t="shared" si="249"/>
        <v>1.6500000000000021</v>
      </c>
      <c r="I626" s="118">
        <f t="shared" si="260"/>
        <v>447.95</v>
      </c>
      <c r="J626" s="118">
        <f t="shared" si="250"/>
        <v>447.95</v>
      </c>
      <c r="K626" s="570">
        <f t="shared" si="261"/>
        <v>0</v>
      </c>
      <c r="L626" s="121">
        <f t="shared" si="251"/>
        <v>0</v>
      </c>
      <c r="M626" s="122">
        <f t="shared" si="252"/>
        <v>0</v>
      </c>
      <c r="N626" s="122">
        <f t="shared" si="253"/>
        <v>0</v>
      </c>
      <c r="O626" s="122">
        <f t="shared" si="254"/>
        <v>0</v>
      </c>
      <c r="P626" s="122">
        <f t="shared" si="255"/>
        <v>0</v>
      </c>
      <c r="Q626" s="123">
        <f t="shared" si="256"/>
        <v>447.95</v>
      </c>
      <c r="R626" s="123">
        <f t="shared" si="262"/>
        <v>-447.95</v>
      </c>
      <c r="S626" s="582">
        <v>0</v>
      </c>
      <c r="T626" s="123">
        <f t="shared" si="263"/>
        <v>-447.95</v>
      </c>
      <c r="U626" s="25">
        <f t="shared" si="257"/>
        <v>28.05</v>
      </c>
      <c r="V626" s="123">
        <f t="shared" si="258"/>
        <v>-28.05</v>
      </c>
      <c r="W626" s="334">
        <f t="shared" si="259"/>
        <v>4.08</v>
      </c>
      <c r="Y626" s="109">
        <f>IF(AE626=1,IF(Y625=MiscData!$F$1,EOMONTH(Y625,-11),EOMONTH(Y625,1)),Y625)</f>
        <v>42277</v>
      </c>
      <c r="Z626" s="108" t="str">
        <f t="shared" si="269"/>
        <v>20140101LGUM_423</v>
      </c>
      <c r="AA626" s="126" t="str">
        <f t="shared" si="270"/>
        <v xml:space="preserve">20140101LS </v>
      </c>
      <c r="AB626" s="583" t="str">
        <f t="shared" si="264"/>
        <v>423</v>
      </c>
      <c r="AD626" s="98">
        <f>MiscData!$X$5</f>
        <v>20140101</v>
      </c>
      <c r="AE626" s="98">
        <f>IF(AE625+1&gt;MiscData!$AC$77,1,AE625+1)</f>
        <v>39</v>
      </c>
      <c r="AF626" s="98" t="str">
        <f>VLOOKUP(AE626,MiscData!$AC$5:$AD$77,2,FALSE)</f>
        <v>LGUM_423</v>
      </c>
      <c r="AG626" s="98" t="str">
        <f>VLOOKUP(AF626,MiscData!$AD$5:$AE$77,2,FALSE)</f>
        <v xml:space="preserve">LS </v>
      </c>
      <c r="AP626" s="98" t="s">
        <v>347</v>
      </c>
      <c r="AR626" s="98">
        <v>0</v>
      </c>
    </row>
    <row r="627" spans="1:44">
      <c r="A627" s="108">
        <f t="shared" si="265"/>
        <v>624</v>
      </c>
      <c r="B627" s="109" t="str">
        <f t="shared" si="266"/>
        <v>Sep 2015</v>
      </c>
      <c r="C627" s="110" t="str">
        <f t="shared" si="267"/>
        <v xml:space="preserve">LS </v>
      </c>
      <c r="D627" s="110" t="str">
        <f t="shared" si="268"/>
        <v>LGUM_424</v>
      </c>
      <c r="E627" s="581">
        <f t="shared" si="246"/>
        <v>350</v>
      </c>
      <c r="F627" s="581">
        <f t="shared" si="247"/>
        <v>0</v>
      </c>
      <c r="G627" s="116">
        <f t="shared" si="248"/>
        <v>28.45</v>
      </c>
      <c r="H627" s="116">
        <f t="shared" si="249"/>
        <v>3.9800000000000004</v>
      </c>
      <c r="I627" s="118">
        <f t="shared" si="260"/>
        <v>9957.5</v>
      </c>
      <c r="J627" s="118">
        <f t="shared" si="250"/>
        <v>9957.5</v>
      </c>
      <c r="K627" s="570">
        <f t="shared" si="261"/>
        <v>0</v>
      </c>
      <c r="L627" s="121">
        <f t="shared" si="251"/>
        <v>0</v>
      </c>
      <c r="M627" s="122">
        <f t="shared" si="252"/>
        <v>0</v>
      </c>
      <c r="N627" s="122">
        <f t="shared" si="253"/>
        <v>0</v>
      </c>
      <c r="O627" s="122">
        <f t="shared" si="254"/>
        <v>0</v>
      </c>
      <c r="P627" s="122">
        <f t="shared" si="255"/>
        <v>0</v>
      </c>
      <c r="Q627" s="123">
        <f t="shared" si="256"/>
        <v>9957.5</v>
      </c>
      <c r="R627" s="123">
        <f t="shared" si="262"/>
        <v>-9957.5</v>
      </c>
      <c r="S627" s="582">
        <v>0</v>
      </c>
      <c r="T627" s="123">
        <f t="shared" si="263"/>
        <v>-9957.5</v>
      </c>
      <c r="U627" s="25">
        <f t="shared" si="257"/>
        <v>1393</v>
      </c>
      <c r="V627" s="123">
        <f t="shared" si="258"/>
        <v>-1393</v>
      </c>
      <c r="W627" s="334">
        <f t="shared" si="259"/>
        <v>94.5</v>
      </c>
      <c r="Y627" s="109">
        <f>IF(AE627=1,IF(Y626=MiscData!$F$1,EOMONTH(Y626,-11),EOMONTH(Y626,1)),Y626)</f>
        <v>42277</v>
      </c>
      <c r="Z627" s="108" t="str">
        <f t="shared" si="269"/>
        <v>20140101LGUM_424</v>
      </c>
      <c r="AA627" s="126" t="str">
        <f t="shared" si="270"/>
        <v xml:space="preserve">20140101LS </v>
      </c>
      <c r="AB627" s="583" t="str">
        <f t="shared" si="264"/>
        <v>424</v>
      </c>
      <c r="AD627" s="98">
        <f>MiscData!$X$5</f>
        <v>20140101</v>
      </c>
      <c r="AE627" s="98">
        <f>IF(AE626+1&gt;MiscData!$AC$77,1,AE626+1)</f>
        <v>40</v>
      </c>
      <c r="AF627" s="98" t="str">
        <f>VLOOKUP(AE627,MiscData!$AC$5:$AD$77,2,FALSE)</f>
        <v>LGUM_424</v>
      </c>
      <c r="AG627" s="98" t="str">
        <f>VLOOKUP(AF627,MiscData!$AD$5:$AE$77,2,FALSE)</f>
        <v xml:space="preserve">LS </v>
      </c>
      <c r="AP627" s="98" t="s">
        <v>221</v>
      </c>
      <c r="AR627" s="98">
        <v>0</v>
      </c>
    </row>
    <row r="628" spans="1:44">
      <c r="A628" s="108">
        <f t="shared" si="265"/>
        <v>625</v>
      </c>
      <c r="B628" s="109" t="str">
        <f t="shared" si="266"/>
        <v>Sep 2015</v>
      </c>
      <c r="C628" s="110" t="str">
        <f t="shared" si="267"/>
        <v xml:space="preserve">LS </v>
      </c>
      <c r="D628" s="110" t="str">
        <f t="shared" si="268"/>
        <v>LGUM_425</v>
      </c>
      <c r="E628" s="581">
        <f t="shared" si="246"/>
        <v>31</v>
      </c>
      <c r="F628" s="581">
        <f t="shared" si="247"/>
        <v>0</v>
      </c>
      <c r="G628" s="116">
        <f t="shared" si="248"/>
        <v>34.029999999999994</v>
      </c>
      <c r="H628" s="116">
        <f t="shared" si="249"/>
        <v>4.2799999999999976</v>
      </c>
      <c r="I628" s="118">
        <f t="shared" si="260"/>
        <v>1054.93</v>
      </c>
      <c r="J628" s="118">
        <f t="shared" si="250"/>
        <v>1054.93</v>
      </c>
      <c r="K628" s="570">
        <f t="shared" si="261"/>
        <v>0</v>
      </c>
      <c r="L628" s="121">
        <f t="shared" si="251"/>
        <v>0</v>
      </c>
      <c r="M628" s="122">
        <f t="shared" si="252"/>
        <v>0</v>
      </c>
      <c r="N628" s="122">
        <f t="shared" si="253"/>
        <v>0</v>
      </c>
      <c r="O628" s="122">
        <f t="shared" si="254"/>
        <v>0</v>
      </c>
      <c r="P628" s="122">
        <f t="shared" si="255"/>
        <v>0</v>
      </c>
      <c r="Q628" s="123">
        <f t="shared" si="256"/>
        <v>1054.93</v>
      </c>
      <c r="R628" s="123">
        <f t="shared" si="262"/>
        <v>-1054.93</v>
      </c>
      <c r="S628" s="582">
        <v>0</v>
      </c>
      <c r="T628" s="123">
        <f t="shared" si="263"/>
        <v>-1054.93</v>
      </c>
      <c r="U628" s="25">
        <f t="shared" si="257"/>
        <v>132.68</v>
      </c>
      <c r="V628" s="123">
        <f t="shared" si="258"/>
        <v>-132.68</v>
      </c>
      <c r="W628" s="334">
        <f t="shared" si="259"/>
        <v>8.99</v>
      </c>
      <c r="Y628" s="109">
        <f>IF(AE628=1,IF(Y627=MiscData!$F$1,EOMONTH(Y627,-11),EOMONTH(Y627,1)),Y627)</f>
        <v>42277</v>
      </c>
      <c r="Z628" s="108" t="str">
        <f t="shared" si="269"/>
        <v>20140101LGUM_425</v>
      </c>
      <c r="AA628" s="126" t="str">
        <f t="shared" si="270"/>
        <v xml:space="preserve">20140101LS </v>
      </c>
      <c r="AB628" s="583" t="str">
        <f t="shared" si="264"/>
        <v>425</v>
      </c>
      <c r="AD628" s="98">
        <f>MiscData!$X$5</f>
        <v>20140101</v>
      </c>
      <c r="AE628" s="98">
        <f>IF(AE627+1&gt;MiscData!$AC$77,1,AE627+1)</f>
        <v>41</v>
      </c>
      <c r="AF628" s="98" t="str">
        <f>VLOOKUP(AE628,MiscData!$AC$5:$AD$77,2,FALSE)</f>
        <v>LGUM_425</v>
      </c>
      <c r="AG628" s="98" t="str">
        <f>VLOOKUP(AF628,MiscData!$AD$5:$AE$77,2,FALSE)</f>
        <v xml:space="preserve">LS </v>
      </c>
      <c r="AP628" s="98" t="s">
        <v>348</v>
      </c>
      <c r="AR628" s="98">
        <v>0</v>
      </c>
    </row>
    <row r="629" spans="1:44">
      <c r="A629" s="108">
        <f t="shared" si="265"/>
        <v>626</v>
      </c>
      <c r="B629" s="109" t="str">
        <f t="shared" si="266"/>
        <v>Sep 2015</v>
      </c>
      <c r="C629" s="110" t="str">
        <f t="shared" si="267"/>
        <v>RLS</v>
      </c>
      <c r="D629" s="110" t="str">
        <f t="shared" si="268"/>
        <v>LGUM_426</v>
      </c>
      <c r="E629" s="581">
        <f t="shared" si="246"/>
        <v>40</v>
      </c>
      <c r="F629" s="581">
        <f t="shared" si="247"/>
        <v>0</v>
      </c>
      <c r="G629" s="116">
        <f t="shared" si="248"/>
        <v>33.22</v>
      </c>
      <c r="H629" s="116">
        <f t="shared" si="249"/>
        <v>0.75</v>
      </c>
      <c r="I629" s="118">
        <f t="shared" si="260"/>
        <v>1328.8</v>
      </c>
      <c r="J629" s="118">
        <f t="shared" si="250"/>
        <v>1328.8</v>
      </c>
      <c r="K629" s="570">
        <f t="shared" si="261"/>
        <v>0</v>
      </c>
      <c r="L629" s="121">
        <f t="shared" si="251"/>
        <v>0</v>
      </c>
      <c r="M629" s="122">
        <f t="shared" si="252"/>
        <v>0</v>
      </c>
      <c r="N629" s="122">
        <f t="shared" si="253"/>
        <v>0</v>
      </c>
      <c r="O629" s="122">
        <f t="shared" si="254"/>
        <v>0</v>
      </c>
      <c r="P629" s="122">
        <f t="shared" si="255"/>
        <v>0</v>
      </c>
      <c r="Q629" s="123">
        <f t="shared" si="256"/>
        <v>1328.8</v>
      </c>
      <c r="R629" s="123">
        <f t="shared" si="262"/>
        <v>-1328.8</v>
      </c>
      <c r="S629" s="582">
        <v>0</v>
      </c>
      <c r="T629" s="123">
        <f t="shared" si="263"/>
        <v>-1328.8</v>
      </c>
      <c r="U629" s="25">
        <f t="shared" si="257"/>
        <v>30</v>
      </c>
      <c r="V629" s="123">
        <f t="shared" si="258"/>
        <v>-30</v>
      </c>
      <c r="W629" s="334">
        <f t="shared" si="259"/>
        <v>10.4</v>
      </c>
      <c r="Y629" s="109">
        <f>IF(AE629=1,IF(Y628=MiscData!$F$1,EOMONTH(Y628,-11),EOMONTH(Y628,1)),Y628)</f>
        <v>42277</v>
      </c>
      <c r="Z629" s="108" t="str">
        <f t="shared" si="269"/>
        <v>20140101LGUM_426</v>
      </c>
      <c r="AA629" s="126" t="str">
        <f t="shared" si="270"/>
        <v>20140101RLS</v>
      </c>
      <c r="AB629" s="583" t="str">
        <f t="shared" si="264"/>
        <v>426</v>
      </c>
      <c r="AD629" s="98">
        <f>MiscData!$X$5</f>
        <v>20140101</v>
      </c>
      <c r="AE629" s="98">
        <f>IF(AE628+1&gt;MiscData!$AC$77,1,AE628+1)</f>
        <v>42</v>
      </c>
      <c r="AF629" s="98" t="str">
        <f>VLOOKUP(AE629,MiscData!$AC$5:$AD$77,2,FALSE)</f>
        <v>LGUM_426</v>
      </c>
      <c r="AG629" s="98" t="str">
        <f>VLOOKUP(AF629,MiscData!$AD$5:$AE$77,2,FALSE)</f>
        <v>RLS</v>
      </c>
      <c r="AP629" s="98" t="s">
        <v>222</v>
      </c>
      <c r="AR629" s="98">
        <v>0</v>
      </c>
    </row>
    <row r="630" spans="1:44">
      <c r="A630" s="108">
        <f t="shared" si="265"/>
        <v>627</v>
      </c>
      <c r="B630" s="109" t="str">
        <f t="shared" si="266"/>
        <v>Sep 2015</v>
      </c>
      <c r="C630" s="110" t="str">
        <f t="shared" si="267"/>
        <v xml:space="preserve">LS </v>
      </c>
      <c r="D630" s="110" t="str">
        <f t="shared" si="268"/>
        <v>LGUM_427</v>
      </c>
      <c r="E630" s="581">
        <f t="shared" si="246"/>
        <v>52</v>
      </c>
      <c r="F630" s="581">
        <f t="shared" si="247"/>
        <v>0</v>
      </c>
      <c r="G630" s="116">
        <f t="shared" si="248"/>
        <v>35.199999999999996</v>
      </c>
      <c r="H630" s="116">
        <f t="shared" si="249"/>
        <v>0.75</v>
      </c>
      <c r="I630" s="118">
        <f t="shared" si="260"/>
        <v>1830.4</v>
      </c>
      <c r="J630" s="118">
        <f t="shared" si="250"/>
        <v>1830.4</v>
      </c>
      <c r="K630" s="570">
        <f t="shared" si="261"/>
        <v>0</v>
      </c>
      <c r="L630" s="121">
        <f t="shared" si="251"/>
        <v>0</v>
      </c>
      <c r="M630" s="122">
        <f t="shared" si="252"/>
        <v>0</v>
      </c>
      <c r="N630" s="122">
        <f t="shared" si="253"/>
        <v>0</v>
      </c>
      <c r="O630" s="122">
        <f t="shared" si="254"/>
        <v>0</v>
      </c>
      <c r="P630" s="122">
        <f t="shared" si="255"/>
        <v>0</v>
      </c>
      <c r="Q630" s="123">
        <f t="shared" si="256"/>
        <v>1830.4</v>
      </c>
      <c r="R630" s="123">
        <f t="shared" si="262"/>
        <v>-1830.4</v>
      </c>
      <c r="S630" s="582">
        <v>0</v>
      </c>
      <c r="T630" s="123">
        <f t="shared" si="263"/>
        <v>-1830.4</v>
      </c>
      <c r="U630" s="25">
        <f t="shared" si="257"/>
        <v>39</v>
      </c>
      <c r="V630" s="123">
        <f t="shared" si="258"/>
        <v>-39</v>
      </c>
      <c r="W630" s="334">
        <f t="shared" si="259"/>
        <v>13.52</v>
      </c>
      <c r="Y630" s="109">
        <f>IF(AE630=1,IF(Y629=MiscData!$F$1,EOMONTH(Y629,-11),EOMONTH(Y629,1)),Y629)</f>
        <v>42277</v>
      </c>
      <c r="Z630" s="108" t="str">
        <f t="shared" si="269"/>
        <v>20140101LGUM_427</v>
      </c>
      <c r="AA630" s="126" t="str">
        <f t="shared" si="270"/>
        <v xml:space="preserve">20140101LS </v>
      </c>
      <c r="AB630" s="583" t="str">
        <f t="shared" si="264"/>
        <v>427</v>
      </c>
      <c r="AD630" s="98">
        <f>MiscData!$X$5</f>
        <v>20140101</v>
      </c>
      <c r="AE630" s="98">
        <f>IF(AE629+1&gt;MiscData!$AC$77,1,AE629+1)</f>
        <v>43</v>
      </c>
      <c r="AF630" s="98" t="str">
        <f>VLOOKUP(AE630,MiscData!$AC$5:$AD$77,2,FALSE)</f>
        <v>LGUM_427</v>
      </c>
      <c r="AG630" s="98" t="str">
        <f>VLOOKUP(AF630,MiscData!$AD$5:$AE$77,2,FALSE)</f>
        <v xml:space="preserve">LS </v>
      </c>
      <c r="AP630" s="98" t="s">
        <v>484</v>
      </c>
      <c r="AR630" s="98">
        <v>0</v>
      </c>
    </row>
    <row r="631" spans="1:44">
      <c r="A631" s="108">
        <f t="shared" si="265"/>
        <v>628</v>
      </c>
      <c r="B631" s="109" t="str">
        <f t="shared" si="266"/>
        <v>Sep 2015</v>
      </c>
      <c r="C631" s="110" t="str">
        <f t="shared" si="267"/>
        <v>RLS</v>
      </c>
      <c r="D631" s="110" t="str">
        <f t="shared" si="268"/>
        <v>LGUM_428</v>
      </c>
      <c r="E631" s="581">
        <f t="shared" si="246"/>
        <v>194</v>
      </c>
      <c r="F631" s="581">
        <f t="shared" si="247"/>
        <v>0</v>
      </c>
      <c r="G631" s="116">
        <f t="shared" si="248"/>
        <v>34.090000000000003</v>
      </c>
      <c r="H631" s="116">
        <f t="shared" si="249"/>
        <v>1.0600000000000023</v>
      </c>
      <c r="I631" s="118">
        <f t="shared" si="260"/>
        <v>6613.46</v>
      </c>
      <c r="J631" s="118">
        <f t="shared" si="250"/>
        <v>6613.46</v>
      </c>
      <c r="K631" s="570">
        <f t="shared" si="261"/>
        <v>0</v>
      </c>
      <c r="L631" s="121">
        <f t="shared" si="251"/>
        <v>0</v>
      </c>
      <c r="M631" s="122">
        <f t="shared" si="252"/>
        <v>0</v>
      </c>
      <c r="N631" s="122">
        <f t="shared" si="253"/>
        <v>0</v>
      </c>
      <c r="O631" s="122">
        <f t="shared" si="254"/>
        <v>0</v>
      </c>
      <c r="P631" s="122">
        <f t="shared" si="255"/>
        <v>0</v>
      </c>
      <c r="Q631" s="123">
        <f t="shared" si="256"/>
        <v>6613.46</v>
      </c>
      <c r="R631" s="123">
        <f t="shared" si="262"/>
        <v>-6613.46</v>
      </c>
      <c r="S631" s="582">
        <v>0</v>
      </c>
      <c r="T631" s="123">
        <f t="shared" si="263"/>
        <v>-6613.46</v>
      </c>
      <c r="U631" s="25">
        <f t="shared" si="257"/>
        <v>205.64</v>
      </c>
      <c r="V631" s="123">
        <f t="shared" si="258"/>
        <v>-205.64</v>
      </c>
      <c r="W631" s="334">
        <f t="shared" si="259"/>
        <v>52.38</v>
      </c>
      <c r="Y631" s="109">
        <f>IF(AE631=1,IF(Y630=MiscData!$F$1,EOMONTH(Y630,-11),EOMONTH(Y630,1)),Y630)</f>
        <v>42277</v>
      </c>
      <c r="Z631" s="108" t="str">
        <f t="shared" si="269"/>
        <v>20140101LGUM_428</v>
      </c>
      <c r="AA631" s="126" t="str">
        <f t="shared" si="270"/>
        <v>20140101RLS</v>
      </c>
      <c r="AB631" s="583" t="str">
        <f t="shared" si="264"/>
        <v>428</v>
      </c>
      <c r="AD631" s="98">
        <f>MiscData!$X$5</f>
        <v>20140101</v>
      </c>
      <c r="AE631" s="98">
        <f>IF(AE630+1&gt;MiscData!$AC$77,1,AE630+1)</f>
        <v>44</v>
      </c>
      <c r="AF631" s="98" t="str">
        <f>VLOOKUP(AE631,MiscData!$AC$5:$AD$77,2,FALSE)</f>
        <v>LGUM_428</v>
      </c>
      <c r="AG631" s="98" t="str">
        <f>VLOOKUP(AF631,MiscData!$AD$5:$AE$77,2,FALSE)</f>
        <v>RLS</v>
      </c>
      <c r="AP631" s="98" t="s">
        <v>488</v>
      </c>
      <c r="AR631" s="98">
        <v>0</v>
      </c>
    </row>
    <row r="632" spans="1:44">
      <c r="A632" s="108">
        <f t="shared" si="265"/>
        <v>629</v>
      </c>
      <c r="B632" s="109" t="str">
        <f t="shared" si="266"/>
        <v>Sep 2015</v>
      </c>
      <c r="C632" s="110" t="str">
        <f t="shared" si="267"/>
        <v xml:space="preserve">LS </v>
      </c>
      <c r="D632" s="110" t="str">
        <f t="shared" si="268"/>
        <v>LGUM_429</v>
      </c>
      <c r="E632" s="581">
        <f t="shared" si="246"/>
        <v>189</v>
      </c>
      <c r="F632" s="581">
        <f t="shared" si="247"/>
        <v>0</v>
      </c>
      <c r="G632" s="116">
        <f t="shared" si="248"/>
        <v>36.07</v>
      </c>
      <c r="H632" s="116">
        <f t="shared" si="249"/>
        <v>1.0599999999999952</v>
      </c>
      <c r="I632" s="118">
        <f t="shared" si="260"/>
        <v>6817.23</v>
      </c>
      <c r="J632" s="118">
        <f t="shared" si="250"/>
        <v>6817.23</v>
      </c>
      <c r="K632" s="570">
        <f t="shared" si="261"/>
        <v>0</v>
      </c>
      <c r="L632" s="121">
        <f t="shared" si="251"/>
        <v>0</v>
      </c>
      <c r="M632" s="122">
        <f t="shared" si="252"/>
        <v>0</v>
      </c>
      <c r="N632" s="122">
        <f t="shared" si="253"/>
        <v>0</v>
      </c>
      <c r="O632" s="122">
        <f t="shared" si="254"/>
        <v>0</v>
      </c>
      <c r="P632" s="122">
        <f t="shared" si="255"/>
        <v>0</v>
      </c>
      <c r="Q632" s="123">
        <f t="shared" si="256"/>
        <v>6817.23</v>
      </c>
      <c r="R632" s="123">
        <f t="shared" si="262"/>
        <v>-6817.23</v>
      </c>
      <c r="S632" s="582">
        <v>0</v>
      </c>
      <c r="T632" s="123">
        <f t="shared" si="263"/>
        <v>-6817.23</v>
      </c>
      <c r="U632" s="25">
        <f t="shared" si="257"/>
        <v>200.34</v>
      </c>
      <c r="V632" s="123">
        <f t="shared" si="258"/>
        <v>-200.34</v>
      </c>
      <c r="W632" s="334">
        <f t="shared" si="259"/>
        <v>51.03</v>
      </c>
      <c r="Y632" s="109">
        <f>IF(AE632=1,IF(Y631=MiscData!$F$1,EOMONTH(Y631,-11),EOMONTH(Y631,1)),Y631)</f>
        <v>42277</v>
      </c>
      <c r="Z632" s="108" t="str">
        <f t="shared" si="269"/>
        <v>20140101LGUM_429</v>
      </c>
      <c r="AA632" s="126" t="str">
        <f t="shared" si="270"/>
        <v xml:space="preserve">20140101LS </v>
      </c>
      <c r="AB632" s="583" t="str">
        <f t="shared" si="264"/>
        <v>429</v>
      </c>
      <c r="AD632" s="98">
        <f>MiscData!$X$5</f>
        <v>20140101</v>
      </c>
      <c r="AE632" s="98">
        <f>IF(AE631+1&gt;MiscData!$AC$77,1,AE631+1)</f>
        <v>45</v>
      </c>
      <c r="AF632" s="98" t="str">
        <f>VLOOKUP(AE632,MiscData!$AC$5:$AD$77,2,FALSE)</f>
        <v>LGUM_429</v>
      </c>
      <c r="AG632" s="98" t="str">
        <f>VLOOKUP(AF632,MiscData!$AD$5:$AE$77,2,FALSE)</f>
        <v xml:space="preserve">LS </v>
      </c>
      <c r="AP632" s="98" t="s">
        <v>489</v>
      </c>
      <c r="AR632" s="98">
        <v>0</v>
      </c>
    </row>
    <row r="633" spans="1:44">
      <c r="A633" s="108">
        <f t="shared" si="265"/>
        <v>630</v>
      </c>
      <c r="B633" s="109" t="str">
        <f t="shared" si="266"/>
        <v>Sep 2015</v>
      </c>
      <c r="C633" s="110" t="str">
        <f t="shared" si="267"/>
        <v>RLS</v>
      </c>
      <c r="D633" s="110" t="str">
        <f t="shared" si="268"/>
        <v>LGUM_430</v>
      </c>
      <c r="E633" s="581">
        <f t="shared" si="246"/>
        <v>13</v>
      </c>
      <c r="F633" s="581">
        <f t="shared" si="247"/>
        <v>0</v>
      </c>
      <c r="G633" s="116">
        <f t="shared" si="248"/>
        <v>32.26</v>
      </c>
      <c r="H633" s="116">
        <f t="shared" si="249"/>
        <v>0.75</v>
      </c>
      <c r="I633" s="118">
        <f t="shared" si="260"/>
        <v>419.38</v>
      </c>
      <c r="J633" s="118">
        <f t="shared" si="250"/>
        <v>419.38</v>
      </c>
      <c r="K633" s="570">
        <f t="shared" si="261"/>
        <v>0</v>
      </c>
      <c r="L633" s="121">
        <f t="shared" si="251"/>
        <v>0</v>
      </c>
      <c r="M633" s="122">
        <f t="shared" si="252"/>
        <v>0</v>
      </c>
      <c r="N633" s="122">
        <f t="shared" si="253"/>
        <v>0</v>
      </c>
      <c r="O633" s="122">
        <f t="shared" si="254"/>
        <v>0</v>
      </c>
      <c r="P633" s="122">
        <f t="shared" si="255"/>
        <v>0</v>
      </c>
      <c r="Q633" s="123">
        <f t="shared" si="256"/>
        <v>419.38</v>
      </c>
      <c r="R633" s="123">
        <f t="shared" si="262"/>
        <v>-419.38</v>
      </c>
      <c r="S633" s="582">
        <v>0</v>
      </c>
      <c r="T633" s="123">
        <f t="shared" si="263"/>
        <v>-419.38</v>
      </c>
      <c r="U633" s="25">
        <f t="shared" si="257"/>
        <v>9.75</v>
      </c>
      <c r="V633" s="123">
        <f t="shared" si="258"/>
        <v>-9.75</v>
      </c>
      <c r="W633" s="334">
        <f t="shared" si="259"/>
        <v>3.38</v>
      </c>
      <c r="Y633" s="109">
        <f>IF(AE633=1,IF(Y632=MiscData!$F$1,EOMONTH(Y632,-11),EOMONTH(Y632,1)),Y632)</f>
        <v>42277</v>
      </c>
      <c r="Z633" s="108" t="str">
        <f t="shared" si="269"/>
        <v>20140101LGUM_430</v>
      </c>
      <c r="AA633" s="126" t="str">
        <f t="shared" si="270"/>
        <v>20140101RLS</v>
      </c>
      <c r="AB633" s="583" t="str">
        <f t="shared" si="264"/>
        <v>430</v>
      </c>
      <c r="AD633" s="98">
        <f>MiscData!$X$5</f>
        <v>20140101</v>
      </c>
      <c r="AE633" s="98">
        <f>IF(AE632+1&gt;MiscData!$AC$77,1,AE632+1)</f>
        <v>46</v>
      </c>
      <c r="AF633" s="98" t="str">
        <f>VLOOKUP(AE633,MiscData!$AC$5:$AD$77,2,FALSE)</f>
        <v>LGUM_430</v>
      </c>
      <c r="AG633" s="98" t="str">
        <f>VLOOKUP(AF633,MiscData!$AD$5:$AE$77,2,FALSE)</f>
        <v>RLS</v>
      </c>
      <c r="AP633" s="98" t="s">
        <v>223</v>
      </c>
      <c r="AR633" s="98">
        <v>0</v>
      </c>
    </row>
    <row r="634" spans="1:44">
      <c r="A634" s="108">
        <f t="shared" si="265"/>
        <v>631</v>
      </c>
      <c r="B634" s="109" t="str">
        <f t="shared" si="266"/>
        <v>Sep 2015</v>
      </c>
      <c r="C634" s="110" t="str">
        <f t="shared" si="267"/>
        <v xml:space="preserve">LS </v>
      </c>
      <c r="D634" s="110" t="str">
        <f t="shared" si="268"/>
        <v>LGUM_431</v>
      </c>
      <c r="E634" s="581">
        <f t="shared" si="246"/>
        <v>44</v>
      </c>
      <c r="F634" s="581">
        <f t="shared" si="247"/>
        <v>0</v>
      </c>
      <c r="G634" s="116">
        <f t="shared" si="248"/>
        <v>32.93</v>
      </c>
      <c r="H634" s="116">
        <f t="shared" si="249"/>
        <v>0.75</v>
      </c>
      <c r="I634" s="118">
        <f t="shared" si="260"/>
        <v>1448.92</v>
      </c>
      <c r="J634" s="118">
        <f t="shared" si="250"/>
        <v>1448.92</v>
      </c>
      <c r="K634" s="570">
        <f t="shared" si="261"/>
        <v>0</v>
      </c>
      <c r="L634" s="121">
        <f t="shared" si="251"/>
        <v>0</v>
      </c>
      <c r="M634" s="122">
        <f t="shared" si="252"/>
        <v>0</v>
      </c>
      <c r="N634" s="122">
        <f t="shared" si="253"/>
        <v>0</v>
      </c>
      <c r="O634" s="122">
        <f t="shared" si="254"/>
        <v>0</v>
      </c>
      <c r="P634" s="122">
        <f t="shared" si="255"/>
        <v>0</v>
      </c>
      <c r="Q634" s="123">
        <f t="shared" si="256"/>
        <v>1448.92</v>
      </c>
      <c r="R634" s="123">
        <f t="shared" si="262"/>
        <v>-1448.92</v>
      </c>
      <c r="S634" s="582">
        <v>0</v>
      </c>
      <c r="T634" s="123">
        <f t="shared" si="263"/>
        <v>-1448.92</v>
      </c>
      <c r="U634" s="25">
        <f t="shared" si="257"/>
        <v>33</v>
      </c>
      <c r="V634" s="123">
        <f t="shared" si="258"/>
        <v>-33</v>
      </c>
      <c r="W634" s="334">
        <f t="shared" si="259"/>
        <v>11.440000000000001</v>
      </c>
      <c r="Y634" s="109">
        <f>IF(AE634=1,IF(Y633=MiscData!$F$1,EOMONTH(Y633,-11),EOMONTH(Y633,1)),Y633)</f>
        <v>42277</v>
      </c>
      <c r="Z634" s="108" t="str">
        <f t="shared" si="269"/>
        <v>20140101LGUM_431</v>
      </c>
      <c r="AA634" s="126" t="str">
        <f t="shared" si="270"/>
        <v xml:space="preserve">20140101LS </v>
      </c>
      <c r="AB634" s="583" t="str">
        <f t="shared" si="264"/>
        <v>431</v>
      </c>
      <c r="AD634" s="98">
        <f>MiscData!$X$5</f>
        <v>20140101</v>
      </c>
      <c r="AE634" s="98">
        <f>IF(AE633+1&gt;MiscData!$AC$77,1,AE633+1)</f>
        <v>47</v>
      </c>
      <c r="AF634" s="98" t="str">
        <f>VLOOKUP(AE634,MiscData!$AC$5:$AD$77,2,FALSE)</f>
        <v>LGUM_431</v>
      </c>
      <c r="AG634" s="98" t="str">
        <f>VLOOKUP(AF634,MiscData!$AD$5:$AE$77,2,FALSE)</f>
        <v xml:space="preserve">LS </v>
      </c>
      <c r="AP634" s="98" t="s">
        <v>224</v>
      </c>
      <c r="AR634" s="98">
        <v>0</v>
      </c>
    </row>
    <row r="635" spans="1:44">
      <c r="A635" s="108">
        <f t="shared" si="265"/>
        <v>632</v>
      </c>
      <c r="B635" s="109" t="str">
        <f t="shared" si="266"/>
        <v>Sep 2015</v>
      </c>
      <c r="C635" s="110" t="str">
        <f t="shared" si="267"/>
        <v>RLS</v>
      </c>
      <c r="D635" s="110" t="str">
        <f t="shared" si="268"/>
        <v>LGUM_432</v>
      </c>
      <c r="E635" s="581">
        <f t="shared" si="246"/>
        <v>10</v>
      </c>
      <c r="F635" s="581">
        <f t="shared" si="247"/>
        <v>0</v>
      </c>
      <c r="G635" s="116">
        <f t="shared" si="248"/>
        <v>34.330000000000005</v>
      </c>
      <c r="H635" s="116">
        <f t="shared" si="249"/>
        <v>1.0600000000000023</v>
      </c>
      <c r="I635" s="118">
        <f t="shared" si="260"/>
        <v>343.3</v>
      </c>
      <c r="J635" s="118">
        <f t="shared" si="250"/>
        <v>343.3</v>
      </c>
      <c r="K635" s="570">
        <f t="shared" si="261"/>
        <v>0</v>
      </c>
      <c r="L635" s="121">
        <f t="shared" si="251"/>
        <v>0</v>
      </c>
      <c r="M635" s="122">
        <f t="shared" si="252"/>
        <v>0</v>
      </c>
      <c r="N635" s="122">
        <f t="shared" si="253"/>
        <v>0</v>
      </c>
      <c r="O635" s="122">
        <f t="shared" si="254"/>
        <v>0</v>
      </c>
      <c r="P635" s="122">
        <f t="shared" si="255"/>
        <v>0</v>
      </c>
      <c r="Q635" s="123">
        <f t="shared" si="256"/>
        <v>343.3</v>
      </c>
      <c r="R635" s="123">
        <f t="shared" si="262"/>
        <v>-343.3</v>
      </c>
      <c r="S635" s="582">
        <v>0</v>
      </c>
      <c r="T635" s="123">
        <f t="shared" si="263"/>
        <v>-343.3</v>
      </c>
      <c r="U635" s="25">
        <f t="shared" si="257"/>
        <v>10.6</v>
      </c>
      <c r="V635" s="123">
        <f t="shared" si="258"/>
        <v>-10.6</v>
      </c>
      <c r="W635" s="334">
        <f t="shared" si="259"/>
        <v>2.7</v>
      </c>
      <c r="Y635" s="109">
        <f>IF(AE635=1,IF(Y634=MiscData!$F$1,EOMONTH(Y634,-11),EOMONTH(Y634,1)),Y634)</f>
        <v>42277</v>
      </c>
      <c r="Z635" s="108" t="str">
        <f t="shared" si="269"/>
        <v>20140101LGUM_432</v>
      </c>
      <c r="AA635" s="126" t="str">
        <f t="shared" si="270"/>
        <v>20140101RLS</v>
      </c>
      <c r="AB635" s="583" t="str">
        <f t="shared" si="264"/>
        <v>432</v>
      </c>
      <c r="AD635" s="98">
        <f>MiscData!$X$5</f>
        <v>20140101</v>
      </c>
      <c r="AE635" s="98">
        <f>IF(AE634+1&gt;MiscData!$AC$77,1,AE634+1)</f>
        <v>48</v>
      </c>
      <c r="AF635" s="98" t="str">
        <f>VLOOKUP(AE635,MiscData!$AC$5:$AD$77,2,FALSE)</f>
        <v>LGUM_432</v>
      </c>
      <c r="AG635" s="98" t="str">
        <f>VLOOKUP(AF635,MiscData!$AD$5:$AE$77,2,FALSE)</f>
        <v>RLS</v>
      </c>
      <c r="AP635" s="98" t="s">
        <v>349</v>
      </c>
      <c r="AR635" s="98">
        <v>0</v>
      </c>
    </row>
    <row r="636" spans="1:44">
      <c r="A636" s="108">
        <f t="shared" si="265"/>
        <v>633</v>
      </c>
      <c r="B636" s="109" t="str">
        <f t="shared" si="266"/>
        <v>Sep 2015</v>
      </c>
      <c r="C636" s="110" t="str">
        <f t="shared" si="267"/>
        <v xml:space="preserve">LS </v>
      </c>
      <c r="D636" s="110" t="str">
        <f t="shared" si="268"/>
        <v>LGUM_433</v>
      </c>
      <c r="E636" s="581">
        <f t="shared" si="246"/>
        <v>191</v>
      </c>
      <c r="F636" s="581">
        <f t="shared" si="247"/>
        <v>0</v>
      </c>
      <c r="G636" s="116">
        <f t="shared" si="248"/>
        <v>34.99</v>
      </c>
      <c r="H636" s="116">
        <f t="shared" si="249"/>
        <v>1.0600000000000023</v>
      </c>
      <c r="I636" s="118">
        <f t="shared" si="260"/>
        <v>6683.09</v>
      </c>
      <c r="J636" s="118">
        <f t="shared" si="250"/>
        <v>6683.09</v>
      </c>
      <c r="K636" s="570">
        <f t="shared" si="261"/>
        <v>0</v>
      </c>
      <c r="L636" s="121">
        <f t="shared" si="251"/>
        <v>0</v>
      </c>
      <c r="M636" s="122">
        <f t="shared" si="252"/>
        <v>0</v>
      </c>
      <c r="N636" s="122">
        <f t="shared" si="253"/>
        <v>0</v>
      </c>
      <c r="O636" s="122">
        <f t="shared" si="254"/>
        <v>0</v>
      </c>
      <c r="P636" s="122">
        <f t="shared" si="255"/>
        <v>0</v>
      </c>
      <c r="Q636" s="123">
        <f t="shared" si="256"/>
        <v>6683.09</v>
      </c>
      <c r="R636" s="123">
        <f t="shared" si="262"/>
        <v>-6683.09</v>
      </c>
      <c r="S636" s="582">
        <v>0</v>
      </c>
      <c r="T636" s="123">
        <f t="shared" si="263"/>
        <v>-6683.09</v>
      </c>
      <c r="U636" s="25">
        <f t="shared" si="257"/>
        <v>202.46</v>
      </c>
      <c r="V636" s="123">
        <f t="shared" si="258"/>
        <v>-202.46</v>
      </c>
      <c r="W636" s="334">
        <f t="shared" si="259"/>
        <v>51.57</v>
      </c>
      <c r="Y636" s="109">
        <f>IF(AE636=1,IF(Y635=MiscData!$F$1,EOMONTH(Y635,-11),EOMONTH(Y635,1)),Y635)</f>
        <v>42277</v>
      </c>
      <c r="Z636" s="108" t="str">
        <f t="shared" si="269"/>
        <v>20140101LGUM_433</v>
      </c>
      <c r="AA636" s="126" t="str">
        <f t="shared" si="270"/>
        <v xml:space="preserve">20140101LS </v>
      </c>
      <c r="AB636" s="583" t="str">
        <f t="shared" si="264"/>
        <v>433</v>
      </c>
      <c r="AD636" s="98">
        <f>MiscData!$X$5</f>
        <v>20140101</v>
      </c>
      <c r="AE636" s="98">
        <f>IF(AE635+1&gt;MiscData!$AC$77,1,AE635+1)</f>
        <v>49</v>
      </c>
      <c r="AF636" s="98" t="str">
        <f>VLOOKUP(AE636,MiscData!$AC$5:$AD$77,2,FALSE)</f>
        <v>LGUM_433</v>
      </c>
      <c r="AG636" s="98" t="str">
        <f>VLOOKUP(AF636,MiscData!$AD$5:$AE$77,2,FALSE)</f>
        <v xml:space="preserve">LS </v>
      </c>
      <c r="AP636" s="98" t="s">
        <v>225</v>
      </c>
      <c r="AR636" s="98">
        <v>0</v>
      </c>
    </row>
    <row r="637" spans="1:44">
      <c r="A637" s="108">
        <f t="shared" si="265"/>
        <v>634</v>
      </c>
      <c r="B637" s="109" t="str">
        <f t="shared" si="266"/>
        <v>Sep 2015</v>
      </c>
      <c r="C637" s="110" t="str">
        <f t="shared" si="267"/>
        <v xml:space="preserve">LS </v>
      </c>
      <c r="D637" s="110" t="str">
        <f t="shared" si="268"/>
        <v>LGUM_439</v>
      </c>
      <c r="E637" s="581">
        <f t="shared" si="246"/>
        <v>0</v>
      </c>
      <c r="F637" s="581">
        <f t="shared" si="247"/>
        <v>0</v>
      </c>
      <c r="G637" s="116">
        <f t="shared" si="248"/>
        <v>16.459999999999997</v>
      </c>
      <c r="H637" s="116">
        <f t="shared" si="249"/>
        <v>1.6499999999999986</v>
      </c>
      <c r="I637" s="118">
        <f t="shared" si="260"/>
        <v>0</v>
      </c>
      <c r="J637" s="118">
        <f t="shared" si="250"/>
        <v>0</v>
      </c>
      <c r="K637" s="570">
        <f t="shared" si="261"/>
        <v>0</v>
      </c>
      <c r="L637" s="121">
        <f t="shared" si="251"/>
        <v>1</v>
      </c>
      <c r="M637" s="122">
        <f t="shared" si="252"/>
        <v>0</v>
      </c>
      <c r="N637" s="122">
        <f t="shared" si="253"/>
        <v>0</v>
      </c>
      <c r="O637" s="122">
        <f t="shared" si="254"/>
        <v>0</v>
      </c>
      <c r="P637" s="122">
        <f t="shared" si="255"/>
        <v>0</v>
      </c>
      <c r="Q637" s="123">
        <f t="shared" si="256"/>
        <v>0</v>
      </c>
      <c r="R637" s="123">
        <f t="shared" si="262"/>
        <v>0</v>
      </c>
      <c r="S637" s="582">
        <v>0</v>
      </c>
      <c r="T637" s="123">
        <f t="shared" si="263"/>
        <v>0</v>
      </c>
      <c r="U637" s="25">
        <f t="shared" si="257"/>
        <v>0</v>
      </c>
      <c r="V637" s="123">
        <f t="shared" si="258"/>
        <v>0</v>
      </c>
      <c r="W637" s="334">
        <f t="shared" si="259"/>
        <v>0</v>
      </c>
      <c r="Y637" s="109">
        <f>IF(AE637=1,IF(Y636=MiscData!$F$1,EOMONTH(Y636,-11),EOMONTH(Y636,1)),Y636)</f>
        <v>42277</v>
      </c>
      <c r="Z637" s="108" t="str">
        <f t="shared" si="269"/>
        <v>20140101LGUM_439</v>
      </c>
      <c r="AA637" s="126" t="str">
        <f t="shared" si="270"/>
        <v xml:space="preserve">20140101LS </v>
      </c>
      <c r="AB637" s="583" t="str">
        <f t="shared" si="264"/>
        <v>439</v>
      </c>
      <c r="AD637" s="98">
        <f>MiscData!$X$5</f>
        <v>20140101</v>
      </c>
      <c r="AE637" s="98">
        <f>IF(AE636+1&gt;MiscData!$AC$77,1,AE636+1)</f>
        <v>50</v>
      </c>
      <c r="AF637" s="98" t="str">
        <f>VLOOKUP(AE637,MiscData!$AC$5:$AD$77,2,FALSE)</f>
        <v>LGUM_439</v>
      </c>
      <c r="AG637" s="98" t="str">
        <f>VLOOKUP(AF637,MiscData!$AD$5:$AE$77,2,FALSE)</f>
        <v xml:space="preserve">LS </v>
      </c>
      <c r="AP637" s="98" t="s">
        <v>498</v>
      </c>
      <c r="AR637" s="98">
        <v>0</v>
      </c>
    </row>
    <row r="638" spans="1:44">
      <c r="A638" s="108">
        <f t="shared" si="265"/>
        <v>635</v>
      </c>
      <c r="B638" s="109" t="str">
        <f t="shared" si="266"/>
        <v>Sep 2015</v>
      </c>
      <c r="C638" s="110" t="str">
        <f t="shared" si="267"/>
        <v xml:space="preserve">LS </v>
      </c>
      <c r="D638" s="110" t="str">
        <f t="shared" si="268"/>
        <v>LGUM_440</v>
      </c>
      <c r="E638" s="581">
        <f t="shared" si="246"/>
        <v>2</v>
      </c>
      <c r="F638" s="581">
        <f t="shared" si="247"/>
        <v>0</v>
      </c>
      <c r="G638" s="116">
        <f t="shared" si="248"/>
        <v>18.279999999999998</v>
      </c>
      <c r="H638" s="116">
        <f t="shared" si="249"/>
        <v>2.67</v>
      </c>
      <c r="I638" s="118">
        <f t="shared" si="260"/>
        <v>36.56</v>
      </c>
      <c r="J638" s="118">
        <f t="shared" si="250"/>
        <v>36.56</v>
      </c>
      <c r="K638" s="570">
        <f t="shared" si="261"/>
        <v>0</v>
      </c>
      <c r="L638" s="121">
        <f t="shared" si="251"/>
        <v>0</v>
      </c>
      <c r="M638" s="122">
        <f t="shared" si="252"/>
        <v>0</v>
      </c>
      <c r="N638" s="122">
        <f t="shared" si="253"/>
        <v>0</v>
      </c>
      <c r="O638" s="122">
        <f t="shared" si="254"/>
        <v>0</v>
      </c>
      <c r="P638" s="122">
        <f t="shared" si="255"/>
        <v>0</v>
      </c>
      <c r="Q638" s="123">
        <f t="shared" si="256"/>
        <v>36.56</v>
      </c>
      <c r="R638" s="123">
        <f t="shared" si="262"/>
        <v>-36.56</v>
      </c>
      <c r="S638" s="582">
        <v>0</v>
      </c>
      <c r="T638" s="123">
        <f t="shared" si="263"/>
        <v>-36.56</v>
      </c>
      <c r="U638" s="25">
        <f t="shared" si="257"/>
        <v>5.34</v>
      </c>
      <c r="V638" s="123">
        <f t="shared" si="258"/>
        <v>-5.34</v>
      </c>
      <c r="W638" s="334">
        <f t="shared" si="259"/>
        <v>0.54</v>
      </c>
      <c r="Y638" s="109">
        <f>IF(AE638=1,IF(Y637=MiscData!$F$1,EOMONTH(Y637,-11),EOMONTH(Y637,1)),Y637)</f>
        <v>42277</v>
      </c>
      <c r="Z638" s="108" t="str">
        <f t="shared" si="269"/>
        <v>20140101LGUM_440</v>
      </c>
      <c r="AA638" s="126" t="str">
        <f t="shared" si="270"/>
        <v xml:space="preserve">20140101LS </v>
      </c>
      <c r="AB638" s="583" t="str">
        <f t="shared" si="264"/>
        <v>440</v>
      </c>
      <c r="AD638" s="98">
        <f>MiscData!$X$5</f>
        <v>20140101</v>
      </c>
      <c r="AE638" s="98">
        <f>IF(AE637+1&gt;MiscData!$AC$77,1,AE637+1)</f>
        <v>51</v>
      </c>
      <c r="AF638" s="98" t="str">
        <f>VLOOKUP(AE638,MiscData!$AC$5:$AD$77,2,FALSE)</f>
        <v>LGUM_440</v>
      </c>
      <c r="AG638" s="98" t="str">
        <f>VLOOKUP(AF638,MiscData!$AD$5:$AE$77,2,FALSE)</f>
        <v xml:space="preserve">LS </v>
      </c>
      <c r="AP638" s="98" t="s">
        <v>350</v>
      </c>
      <c r="AR638" s="98">
        <v>0</v>
      </c>
    </row>
    <row r="639" spans="1:44">
      <c r="A639" s="108">
        <f t="shared" si="265"/>
        <v>636</v>
      </c>
      <c r="B639" s="109" t="str">
        <f t="shared" si="266"/>
        <v>Sep 2015</v>
      </c>
      <c r="C639" s="110" t="str">
        <f t="shared" si="267"/>
        <v xml:space="preserve">LS </v>
      </c>
      <c r="D639" s="110" t="str">
        <f t="shared" si="268"/>
        <v>LGUM_441</v>
      </c>
      <c r="E639" s="581">
        <f t="shared" si="246"/>
        <v>12</v>
      </c>
      <c r="F639" s="581">
        <f t="shared" si="247"/>
        <v>0</v>
      </c>
      <c r="G639" s="116">
        <f t="shared" si="248"/>
        <v>22.32</v>
      </c>
      <c r="H639" s="116">
        <f t="shared" si="249"/>
        <v>4.2800000000000011</v>
      </c>
      <c r="I639" s="118">
        <f t="shared" si="260"/>
        <v>267.83999999999997</v>
      </c>
      <c r="J639" s="118">
        <f t="shared" si="250"/>
        <v>267.83999999999997</v>
      </c>
      <c r="K639" s="570">
        <f t="shared" si="261"/>
        <v>0</v>
      </c>
      <c r="L639" s="121">
        <f t="shared" si="251"/>
        <v>0</v>
      </c>
      <c r="M639" s="122">
        <f t="shared" si="252"/>
        <v>0</v>
      </c>
      <c r="N639" s="122">
        <f t="shared" si="253"/>
        <v>0</v>
      </c>
      <c r="O639" s="122">
        <f t="shared" si="254"/>
        <v>0</v>
      </c>
      <c r="P639" s="122">
        <f t="shared" si="255"/>
        <v>0</v>
      </c>
      <c r="Q639" s="123">
        <f t="shared" si="256"/>
        <v>267.83999999999997</v>
      </c>
      <c r="R639" s="123">
        <f t="shared" si="262"/>
        <v>-267.83999999999997</v>
      </c>
      <c r="S639" s="582">
        <v>0</v>
      </c>
      <c r="T639" s="123">
        <f t="shared" si="263"/>
        <v>-267.83999999999997</v>
      </c>
      <c r="U639" s="25">
        <f t="shared" si="257"/>
        <v>51.36</v>
      </c>
      <c r="V639" s="123">
        <f t="shared" si="258"/>
        <v>-51.36</v>
      </c>
      <c r="W639" s="334">
        <f t="shared" si="259"/>
        <v>3.4799999999999995</v>
      </c>
      <c r="Y639" s="109">
        <f>IF(AE639=1,IF(Y638=MiscData!$F$1,EOMONTH(Y638,-11),EOMONTH(Y638,1)),Y638)</f>
        <v>42277</v>
      </c>
      <c r="Z639" s="108" t="str">
        <f t="shared" si="269"/>
        <v>20140101LGUM_441</v>
      </c>
      <c r="AA639" s="126" t="str">
        <f t="shared" si="270"/>
        <v xml:space="preserve">20140101LS </v>
      </c>
      <c r="AB639" s="583" t="str">
        <f t="shared" si="264"/>
        <v>441</v>
      </c>
      <c r="AD639" s="98">
        <f>MiscData!$X$5</f>
        <v>20140101</v>
      </c>
      <c r="AE639" s="98">
        <f>IF(AE638+1&gt;MiscData!$AC$77,1,AE638+1)</f>
        <v>52</v>
      </c>
      <c r="AF639" s="98" t="str">
        <f>VLOOKUP(AE639,MiscData!$AC$5:$AD$77,2,FALSE)</f>
        <v>LGUM_441</v>
      </c>
      <c r="AG639" s="98" t="str">
        <f>VLOOKUP(AF639,MiscData!$AD$5:$AE$77,2,FALSE)</f>
        <v xml:space="preserve">LS </v>
      </c>
      <c r="AP639" s="98" t="s">
        <v>226</v>
      </c>
      <c r="AR639" s="98">
        <v>0</v>
      </c>
    </row>
    <row r="640" spans="1:44">
      <c r="A640" s="108">
        <f t="shared" si="265"/>
        <v>637</v>
      </c>
      <c r="B640" s="109" t="str">
        <f t="shared" si="266"/>
        <v>Sep 2015</v>
      </c>
      <c r="C640" s="110" t="str">
        <f t="shared" si="267"/>
        <v xml:space="preserve">LS </v>
      </c>
      <c r="D640" s="110" t="str">
        <f t="shared" si="268"/>
        <v>LGUM_452</v>
      </c>
      <c r="E640" s="581">
        <f t="shared" si="246"/>
        <v>6194</v>
      </c>
      <c r="F640" s="581">
        <f t="shared" si="247"/>
        <v>0</v>
      </c>
      <c r="G640" s="116">
        <f t="shared" si="248"/>
        <v>12.82</v>
      </c>
      <c r="H640" s="116">
        <f t="shared" si="249"/>
        <v>1.6500000000000004</v>
      </c>
      <c r="I640" s="118">
        <f t="shared" si="260"/>
        <v>79407.08</v>
      </c>
      <c r="J640" s="118">
        <f t="shared" si="250"/>
        <v>79407.08</v>
      </c>
      <c r="K640" s="570">
        <f t="shared" si="261"/>
        <v>0</v>
      </c>
      <c r="L640" s="121">
        <f t="shared" si="251"/>
        <v>0</v>
      </c>
      <c r="M640" s="122">
        <f t="shared" si="252"/>
        <v>0</v>
      </c>
      <c r="N640" s="122">
        <f t="shared" si="253"/>
        <v>0</v>
      </c>
      <c r="O640" s="122">
        <f t="shared" si="254"/>
        <v>0</v>
      </c>
      <c r="P640" s="122">
        <f t="shared" si="255"/>
        <v>0</v>
      </c>
      <c r="Q640" s="123">
        <f t="shared" si="256"/>
        <v>79407.08</v>
      </c>
      <c r="R640" s="123">
        <f t="shared" si="262"/>
        <v>-79407.08</v>
      </c>
      <c r="S640" s="582">
        <v>0</v>
      </c>
      <c r="T640" s="123">
        <f t="shared" si="263"/>
        <v>-79407.08</v>
      </c>
      <c r="U640" s="25">
        <f t="shared" si="257"/>
        <v>10220.1</v>
      </c>
      <c r="V640" s="123">
        <f t="shared" si="258"/>
        <v>-10220.1</v>
      </c>
      <c r="W640" s="334">
        <f t="shared" si="259"/>
        <v>1486.56</v>
      </c>
      <c r="Y640" s="109">
        <f>IF(AE640=1,IF(Y639=MiscData!$F$1,EOMONTH(Y639,-11),EOMONTH(Y639,1)),Y639)</f>
        <v>42277</v>
      </c>
      <c r="Z640" s="108" t="str">
        <f t="shared" si="269"/>
        <v>20140101LGUM_452</v>
      </c>
      <c r="AA640" s="126" t="str">
        <f t="shared" si="270"/>
        <v xml:space="preserve">20140101LS </v>
      </c>
      <c r="AB640" s="583" t="str">
        <f t="shared" si="264"/>
        <v>452</v>
      </c>
      <c r="AD640" s="98">
        <f>MiscData!$X$5</f>
        <v>20140101</v>
      </c>
      <c r="AE640" s="98">
        <f>IF(AE639+1&gt;MiscData!$AC$77,1,AE639+1)</f>
        <v>53</v>
      </c>
      <c r="AF640" s="98" t="str">
        <f>VLOOKUP(AE640,MiscData!$AC$5:$AD$77,2,FALSE)</f>
        <v>LGUM_452</v>
      </c>
      <c r="AG640" s="98" t="str">
        <f>VLOOKUP(AF640,MiscData!$AD$5:$AE$77,2,FALSE)</f>
        <v xml:space="preserve">LS </v>
      </c>
      <c r="AP640" s="98" t="s">
        <v>227</v>
      </c>
      <c r="AR640" s="98">
        <v>0</v>
      </c>
    </row>
    <row r="641" spans="1:44">
      <c r="A641" s="108">
        <f t="shared" si="265"/>
        <v>638</v>
      </c>
      <c r="B641" s="109" t="str">
        <f t="shared" si="266"/>
        <v>Sep 2015</v>
      </c>
      <c r="C641" s="110" t="str">
        <f t="shared" si="267"/>
        <v xml:space="preserve">LS </v>
      </c>
      <c r="D641" s="110" t="str">
        <f t="shared" si="268"/>
        <v>LGUM_453</v>
      </c>
      <c r="E641" s="581">
        <f t="shared" si="246"/>
        <v>8760</v>
      </c>
      <c r="F641" s="581">
        <f t="shared" si="247"/>
        <v>0</v>
      </c>
      <c r="G641" s="116">
        <f t="shared" si="248"/>
        <v>15.08</v>
      </c>
      <c r="H641" s="116">
        <f t="shared" si="249"/>
        <v>3.9800000000000004</v>
      </c>
      <c r="I641" s="118">
        <f t="shared" si="260"/>
        <v>132100.79999999999</v>
      </c>
      <c r="J641" s="118">
        <f t="shared" si="250"/>
        <v>132100.79999999999</v>
      </c>
      <c r="K641" s="570">
        <f t="shared" si="261"/>
        <v>0</v>
      </c>
      <c r="L641" s="121">
        <f t="shared" si="251"/>
        <v>0</v>
      </c>
      <c r="M641" s="122">
        <f t="shared" si="252"/>
        <v>0</v>
      </c>
      <c r="N641" s="122">
        <f t="shared" si="253"/>
        <v>0</v>
      </c>
      <c r="O641" s="122">
        <f t="shared" si="254"/>
        <v>0</v>
      </c>
      <c r="P641" s="122">
        <f t="shared" si="255"/>
        <v>0</v>
      </c>
      <c r="Q641" s="123">
        <f t="shared" si="256"/>
        <v>132100.79999999999</v>
      </c>
      <c r="R641" s="123">
        <f t="shared" si="262"/>
        <v>-132100.79999999999</v>
      </c>
      <c r="S641" s="582">
        <v>0</v>
      </c>
      <c r="T641" s="123">
        <f t="shared" si="263"/>
        <v>-132100.79999999999</v>
      </c>
      <c r="U641" s="25">
        <f t="shared" si="257"/>
        <v>34864.800000000003</v>
      </c>
      <c r="V641" s="123">
        <f t="shared" si="258"/>
        <v>-34864.800000000003</v>
      </c>
      <c r="W641" s="334">
        <f t="shared" si="259"/>
        <v>2365.2000000000003</v>
      </c>
      <c r="Y641" s="109">
        <f>IF(AE641=1,IF(Y640=MiscData!$F$1,EOMONTH(Y640,-11),EOMONTH(Y640,1)),Y640)</f>
        <v>42277</v>
      </c>
      <c r="Z641" s="108" t="str">
        <f t="shared" si="269"/>
        <v>20140101LGUM_453</v>
      </c>
      <c r="AA641" s="126" t="str">
        <f t="shared" si="270"/>
        <v xml:space="preserve">20140101LS </v>
      </c>
      <c r="AB641" s="583" t="str">
        <f t="shared" si="264"/>
        <v>453</v>
      </c>
      <c r="AD641" s="98">
        <f>MiscData!$X$5</f>
        <v>20140101</v>
      </c>
      <c r="AE641" s="98">
        <f>IF(AE640+1&gt;MiscData!$AC$77,1,AE640+1)</f>
        <v>54</v>
      </c>
      <c r="AF641" s="98" t="str">
        <f>VLOOKUP(AE641,MiscData!$AC$5:$AD$77,2,FALSE)</f>
        <v>LGUM_453</v>
      </c>
      <c r="AG641" s="98" t="str">
        <f>VLOOKUP(AF641,MiscData!$AD$5:$AE$77,2,FALSE)</f>
        <v xml:space="preserve">LS </v>
      </c>
      <c r="AP641" s="98" t="s">
        <v>351</v>
      </c>
      <c r="AR641" s="98">
        <v>0</v>
      </c>
    </row>
    <row r="642" spans="1:44">
      <c r="A642" s="108">
        <f t="shared" si="265"/>
        <v>639</v>
      </c>
      <c r="B642" s="109" t="str">
        <f t="shared" si="266"/>
        <v>Sep 2015</v>
      </c>
      <c r="C642" s="110" t="str">
        <f t="shared" si="267"/>
        <v xml:space="preserve">LS </v>
      </c>
      <c r="D642" s="110" t="str">
        <f t="shared" si="268"/>
        <v>LGUM_454</v>
      </c>
      <c r="E642" s="581">
        <f t="shared" si="246"/>
        <v>5521</v>
      </c>
      <c r="F642" s="581">
        <f t="shared" si="247"/>
        <v>0</v>
      </c>
      <c r="G642" s="116">
        <f t="shared" si="248"/>
        <v>17.38</v>
      </c>
      <c r="H642" s="116">
        <f t="shared" si="249"/>
        <v>4.2800000000000011</v>
      </c>
      <c r="I642" s="118">
        <f t="shared" si="260"/>
        <v>95954.98</v>
      </c>
      <c r="J642" s="118">
        <f t="shared" si="250"/>
        <v>95954.98</v>
      </c>
      <c r="K642" s="570">
        <f t="shared" si="261"/>
        <v>0</v>
      </c>
      <c r="L642" s="121">
        <f t="shared" si="251"/>
        <v>0</v>
      </c>
      <c r="M642" s="122">
        <f t="shared" si="252"/>
        <v>0</v>
      </c>
      <c r="N642" s="122">
        <f t="shared" si="253"/>
        <v>0</v>
      </c>
      <c r="O642" s="122">
        <f t="shared" si="254"/>
        <v>0</v>
      </c>
      <c r="P642" s="122">
        <f t="shared" si="255"/>
        <v>0</v>
      </c>
      <c r="Q642" s="123">
        <f t="shared" si="256"/>
        <v>95954.98</v>
      </c>
      <c r="R642" s="123">
        <f t="shared" si="262"/>
        <v>-95954.98</v>
      </c>
      <c r="S642" s="582">
        <v>0</v>
      </c>
      <c r="T642" s="123">
        <f t="shared" si="263"/>
        <v>-95954.98</v>
      </c>
      <c r="U642" s="25">
        <f t="shared" si="257"/>
        <v>23629.88</v>
      </c>
      <c r="V642" s="123">
        <f t="shared" si="258"/>
        <v>-23629.88</v>
      </c>
      <c r="W642" s="334">
        <f t="shared" si="259"/>
        <v>1601.09</v>
      </c>
      <c r="Y642" s="109">
        <f>IF(AE642=1,IF(Y641=MiscData!$F$1,EOMONTH(Y641,-11),EOMONTH(Y641,1)),Y641)</f>
        <v>42277</v>
      </c>
      <c r="Z642" s="108" t="str">
        <f t="shared" si="269"/>
        <v>20140101LGUM_454</v>
      </c>
      <c r="AA642" s="126" t="str">
        <f t="shared" si="270"/>
        <v xml:space="preserve">20140101LS </v>
      </c>
      <c r="AB642" s="583" t="str">
        <f t="shared" si="264"/>
        <v>454</v>
      </c>
      <c r="AD642" s="98">
        <f>MiscData!$X$5</f>
        <v>20140101</v>
      </c>
      <c r="AE642" s="98">
        <f>IF(AE641+1&gt;MiscData!$AC$77,1,AE641+1)</f>
        <v>55</v>
      </c>
      <c r="AF642" s="98" t="str">
        <f>VLOOKUP(AE642,MiscData!$AC$5:$AD$77,2,FALSE)</f>
        <v>LGUM_454</v>
      </c>
      <c r="AG642" s="98" t="str">
        <f>VLOOKUP(AF642,MiscData!$AD$5:$AE$77,2,FALSE)</f>
        <v xml:space="preserve">LS </v>
      </c>
      <c r="AP642" s="98" t="s">
        <v>228</v>
      </c>
      <c r="AR642" s="98">
        <v>0</v>
      </c>
    </row>
    <row r="643" spans="1:44">
      <c r="A643" s="108">
        <f t="shared" si="265"/>
        <v>640</v>
      </c>
      <c r="B643" s="109" t="str">
        <f t="shared" si="266"/>
        <v>Sep 2015</v>
      </c>
      <c r="C643" s="110" t="str">
        <f t="shared" si="267"/>
        <v xml:space="preserve">LS </v>
      </c>
      <c r="D643" s="110" t="str">
        <f t="shared" si="268"/>
        <v>LGUM_455</v>
      </c>
      <c r="E643" s="581">
        <f t="shared" si="246"/>
        <v>390</v>
      </c>
      <c r="F643" s="581">
        <f t="shared" si="247"/>
        <v>0</v>
      </c>
      <c r="G643" s="116">
        <f t="shared" si="248"/>
        <v>13.77</v>
      </c>
      <c r="H643" s="116">
        <f t="shared" si="249"/>
        <v>1.6499999999999986</v>
      </c>
      <c r="I643" s="118">
        <f t="shared" si="260"/>
        <v>5370.3</v>
      </c>
      <c r="J643" s="118">
        <f t="shared" si="250"/>
        <v>5370.3</v>
      </c>
      <c r="K643" s="570">
        <f t="shared" si="261"/>
        <v>0</v>
      </c>
      <c r="L643" s="121">
        <f t="shared" si="251"/>
        <v>0</v>
      </c>
      <c r="M643" s="122">
        <f t="shared" si="252"/>
        <v>0</v>
      </c>
      <c r="N643" s="122">
        <f t="shared" si="253"/>
        <v>0</v>
      </c>
      <c r="O643" s="122">
        <f t="shared" si="254"/>
        <v>0</v>
      </c>
      <c r="P643" s="122">
        <f t="shared" si="255"/>
        <v>0</v>
      </c>
      <c r="Q643" s="123">
        <f t="shared" si="256"/>
        <v>5370.3</v>
      </c>
      <c r="R643" s="123">
        <f t="shared" si="262"/>
        <v>-5370.3</v>
      </c>
      <c r="S643" s="582">
        <v>0</v>
      </c>
      <c r="T643" s="123">
        <f t="shared" si="263"/>
        <v>-5370.3</v>
      </c>
      <c r="U643" s="25">
        <f t="shared" si="257"/>
        <v>643.5</v>
      </c>
      <c r="V643" s="123">
        <f t="shared" si="258"/>
        <v>-643.5</v>
      </c>
      <c r="W643" s="334">
        <f t="shared" si="259"/>
        <v>93.6</v>
      </c>
      <c r="Y643" s="109">
        <f>IF(AE643=1,IF(Y642=MiscData!$F$1,EOMONTH(Y642,-11),EOMONTH(Y642,1)),Y642)</f>
        <v>42277</v>
      </c>
      <c r="Z643" s="108" t="str">
        <f t="shared" si="269"/>
        <v>20140101LGUM_455</v>
      </c>
      <c r="AA643" s="126" t="str">
        <f t="shared" si="270"/>
        <v xml:space="preserve">20140101LS </v>
      </c>
      <c r="AB643" s="583" t="str">
        <f t="shared" si="264"/>
        <v>455</v>
      </c>
      <c r="AD643" s="98">
        <f>MiscData!$X$5</f>
        <v>20140101</v>
      </c>
      <c r="AE643" s="98">
        <f>IF(AE642+1&gt;MiscData!$AC$77,1,AE642+1)</f>
        <v>56</v>
      </c>
      <c r="AF643" s="98" t="str">
        <f>VLOOKUP(AE643,MiscData!$AC$5:$AD$77,2,FALSE)</f>
        <v>LGUM_455</v>
      </c>
      <c r="AG643" s="98" t="str">
        <f>VLOOKUP(AF643,MiscData!$AD$5:$AE$77,2,FALSE)</f>
        <v xml:space="preserve">LS </v>
      </c>
      <c r="AP643" s="98" t="s">
        <v>229</v>
      </c>
      <c r="AR643" s="98">
        <v>0</v>
      </c>
    </row>
    <row r="644" spans="1:44">
      <c r="A644" s="108">
        <f t="shared" si="265"/>
        <v>641</v>
      </c>
      <c r="B644" s="109" t="str">
        <f t="shared" si="266"/>
        <v>Sep 2015</v>
      </c>
      <c r="C644" s="110" t="str">
        <f t="shared" si="267"/>
        <v xml:space="preserve">LS </v>
      </c>
      <c r="D644" s="110" t="str">
        <f t="shared" si="268"/>
        <v>LGUM_456</v>
      </c>
      <c r="E644" s="581">
        <f t="shared" ref="E644:E707" si="271">SUMIFS(L_1055_Count_Total,L_1055_Revenue_Month,$B644,L_1055_RateCategory,$D644)</f>
        <v>12780</v>
      </c>
      <c r="F644" s="581">
        <f t="shared" ref="F644:F707" si="272">SUMIFS(L_SBR_KWH,L_SBR_Rate_Category,$D644,L_SBR_Revenue_Month,$B644)</f>
        <v>0</v>
      </c>
      <c r="G644" s="116">
        <f t="shared" ref="G644:G707" si="273">SUMIF(L_LightingRates_Tariff_Rate_Category,$Z644,L_LightingRates_UnitCharge)</f>
        <v>18.21</v>
      </c>
      <c r="H644" s="116">
        <f t="shared" ref="H644:H707" si="274">SUMIF(L_LightingRates_Tariff_Rate_Category,$Z644,L_LightingRates_FAC_Rate)</f>
        <v>4.2800000000000011</v>
      </c>
      <c r="I644" s="118">
        <f t="shared" si="260"/>
        <v>232723.8</v>
      </c>
      <c r="J644" s="118">
        <f t="shared" ref="J644:J707" si="275">SUM(I644:I644)</f>
        <v>232723.8</v>
      </c>
      <c r="K644" s="570">
        <f t="shared" si="261"/>
        <v>0</v>
      </c>
      <c r="L644" s="121">
        <f t="shared" ref="L644:L707" si="276">IF(AND(J644=0,K644=0),1,IF(J644=0,0,K644/J644))</f>
        <v>0</v>
      </c>
      <c r="M644" s="122">
        <f t="shared" ref="M644:M707" si="277">SUMIFS(L_SBR_FAC,L_SBR_Revenue_Month,$B644,L_SBR_Rate_Category,$D644)</f>
        <v>0</v>
      </c>
      <c r="N644" s="122">
        <f t="shared" ref="N644:N707" si="278">SUMIFS(L_SBR_ECR,L_SBR_Revenue_Month,$B644,L_SBR_Rate_Category,$D644)</f>
        <v>0</v>
      </c>
      <c r="O644" s="122">
        <f t="shared" ref="O644:O707" si="279">SUMIFS(L_SBR_MSR,L_SBR_Revenue_Month,$B644,L_SBR_Rate_Category,$D644)</f>
        <v>0</v>
      </c>
      <c r="P644" s="122">
        <f t="shared" ref="P644:P707" si="280">SUMIFS(L_SBR_Revenue_Total,L_SBR_Revenue_Month,$B644,L_SBR_Rate_Category,$D644)</f>
        <v>0</v>
      </c>
      <c r="Q644" s="123">
        <f t="shared" ref="Q644:Q707" si="281">SUM(J644,M644:O644)</f>
        <v>232723.8</v>
      </c>
      <c r="R644" s="123">
        <f t="shared" si="262"/>
        <v>-232723.8</v>
      </c>
      <c r="S644" s="582">
        <v>0</v>
      </c>
      <c r="T644" s="123">
        <f t="shared" si="263"/>
        <v>-232723.8</v>
      </c>
      <c r="U644" s="25">
        <f t="shared" ref="U644:U707" si="282">ROUND(E644*H644,2)</f>
        <v>54698.400000000001</v>
      </c>
      <c r="V644" s="123">
        <f t="shared" ref="V644:V707" si="283">K644-U644</f>
        <v>-54698.400000000001</v>
      </c>
      <c r="W644" s="334">
        <f t="shared" ref="W644:W707" si="284">SUMIF(L_LightingRates_Tariff_Rate_Category,$Z644,L_LightingRates_ECR_Rate)*E644</f>
        <v>3706.2</v>
      </c>
      <c r="Y644" s="109">
        <f>IF(AE644=1,IF(Y643=MiscData!$F$1,EOMONTH(Y643,-11),EOMONTH(Y643,1)),Y643)</f>
        <v>42277</v>
      </c>
      <c r="Z644" s="108" t="str">
        <f t="shared" si="269"/>
        <v>20140101LGUM_456</v>
      </c>
      <c r="AA644" s="126" t="str">
        <f t="shared" si="270"/>
        <v xml:space="preserve">20140101LS </v>
      </c>
      <c r="AB644" s="583" t="str">
        <f t="shared" si="264"/>
        <v>456</v>
      </c>
      <c r="AD644" s="98">
        <f>MiscData!$X$5</f>
        <v>20140101</v>
      </c>
      <c r="AE644" s="98">
        <f>IF(AE643+1&gt;MiscData!$AC$77,1,AE643+1)</f>
        <v>57</v>
      </c>
      <c r="AF644" s="98" t="str">
        <f>VLOOKUP(AE644,MiscData!$AC$5:$AD$77,2,FALSE)</f>
        <v>LGUM_456</v>
      </c>
      <c r="AG644" s="98" t="str">
        <f>VLOOKUP(AF644,MiscData!$AD$5:$AE$77,2,FALSE)</f>
        <v xml:space="preserve">LS </v>
      </c>
      <c r="AP644" s="98" t="s">
        <v>230</v>
      </c>
      <c r="AR644" s="98">
        <v>-12.76</v>
      </c>
    </row>
    <row r="645" spans="1:44">
      <c r="A645" s="108">
        <f t="shared" si="265"/>
        <v>642</v>
      </c>
      <c r="B645" s="109" t="str">
        <f t="shared" si="266"/>
        <v>Sep 2015</v>
      </c>
      <c r="C645" s="110" t="str">
        <f t="shared" si="267"/>
        <v xml:space="preserve">LS </v>
      </c>
      <c r="D645" s="110" t="str">
        <f t="shared" si="268"/>
        <v>LGUM_457</v>
      </c>
      <c r="E645" s="581">
        <f t="shared" si="271"/>
        <v>3149</v>
      </c>
      <c r="F645" s="581">
        <f t="shared" si="272"/>
        <v>0</v>
      </c>
      <c r="G645" s="116">
        <f t="shared" si="273"/>
        <v>10.86</v>
      </c>
      <c r="H645" s="116">
        <f t="shared" si="274"/>
        <v>1.0599999999999987</v>
      </c>
      <c r="I645" s="118">
        <f t="shared" ref="I645:I708" si="285">ROUND($E645*$G645,2)</f>
        <v>34198.14</v>
      </c>
      <c r="J645" s="118">
        <f t="shared" si="275"/>
        <v>34198.14</v>
      </c>
      <c r="K645" s="570">
        <f t="shared" ref="K645:K708" si="286">P645-SUM(M645:O645)</f>
        <v>0</v>
      </c>
      <c r="L645" s="121">
        <f t="shared" si="276"/>
        <v>0</v>
      </c>
      <c r="M645" s="122">
        <f t="shared" si="277"/>
        <v>0</v>
      </c>
      <c r="N645" s="122">
        <f t="shared" si="278"/>
        <v>0</v>
      </c>
      <c r="O645" s="122">
        <f t="shared" si="279"/>
        <v>0</v>
      </c>
      <c r="P645" s="122">
        <f t="shared" si="280"/>
        <v>0</v>
      </c>
      <c r="Q645" s="123">
        <f t="shared" si="281"/>
        <v>34198.14</v>
      </c>
      <c r="R645" s="123">
        <f t="shared" ref="R645:R708" si="287">ROUND(P645-Q645,2)</f>
        <v>-34198.14</v>
      </c>
      <c r="S645" s="582">
        <v>0</v>
      </c>
      <c r="T645" s="123">
        <f t="shared" ref="T645:T708" si="288">R645-S645</f>
        <v>-34198.14</v>
      </c>
      <c r="U645" s="25">
        <f t="shared" si="282"/>
        <v>3337.94</v>
      </c>
      <c r="V645" s="123">
        <f t="shared" si="283"/>
        <v>-3337.94</v>
      </c>
      <c r="W645" s="334">
        <f t="shared" si="284"/>
        <v>850.23</v>
      </c>
      <c r="Y645" s="109">
        <f>IF(AE645=1,IF(Y644=MiscData!$F$1,EOMONTH(Y644,-11),EOMONTH(Y644,1)),Y644)</f>
        <v>42277</v>
      </c>
      <c r="Z645" s="108" t="str">
        <f t="shared" si="269"/>
        <v>20140101LGUM_457</v>
      </c>
      <c r="AA645" s="126" t="str">
        <f t="shared" si="270"/>
        <v xml:space="preserve">20140101LS </v>
      </c>
      <c r="AB645" s="583" t="str">
        <f t="shared" ref="AB645:AB708" si="289">RIGHT(AF645,3)</f>
        <v>457</v>
      </c>
      <c r="AD645" s="98">
        <f>MiscData!$X$5</f>
        <v>20140101</v>
      </c>
      <c r="AE645" s="98">
        <f>IF(AE644+1&gt;MiscData!$AC$77,1,AE644+1)</f>
        <v>58</v>
      </c>
      <c r="AF645" s="98" t="str">
        <f>VLOOKUP(AE645,MiscData!$AC$5:$AD$77,2,FALSE)</f>
        <v>LGUM_457</v>
      </c>
      <c r="AG645" s="98" t="str">
        <f>VLOOKUP(AF645,MiscData!$AD$5:$AE$77,2,FALSE)</f>
        <v xml:space="preserve">LS </v>
      </c>
      <c r="AP645" s="98" t="s">
        <v>231</v>
      </c>
      <c r="AR645" s="98">
        <v>0</v>
      </c>
    </row>
    <row r="646" spans="1:44">
      <c r="A646" s="108">
        <f t="shared" si="265"/>
        <v>643</v>
      </c>
      <c r="B646" s="109" t="str">
        <f t="shared" si="266"/>
        <v>Sep 2015</v>
      </c>
      <c r="C646" s="110" t="str">
        <f t="shared" si="267"/>
        <v>RLS</v>
      </c>
      <c r="D646" s="110" t="str">
        <f t="shared" si="268"/>
        <v>LGUM_458</v>
      </c>
      <c r="E646" s="581">
        <f t="shared" si="271"/>
        <v>4</v>
      </c>
      <c r="F646" s="581">
        <f t="shared" si="272"/>
        <v>0</v>
      </c>
      <c r="G646" s="116">
        <f t="shared" si="273"/>
        <v>11.13</v>
      </c>
      <c r="H646" s="116">
        <f t="shared" si="274"/>
        <v>3.7700000000000014</v>
      </c>
      <c r="I646" s="118">
        <f t="shared" si="285"/>
        <v>44.52</v>
      </c>
      <c r="J646" s="118">
        <f t="shared" si="275"/>
        <v>44.52</v>
      </c>
      <c r="K646" s="570">
        <f t="shared" si="286"/>
        <v>0</v>
      </c>
      <c r="L646" s="121">
        <f t="shared" si="276"/>
        <v>0</v>
      </c>
      <c r="M646" s="122">
        <f t="shared" si="277"/>
        <v>0</v>
      </c>
      <c r="N646" s="122">
        <f t="shared" si="278"/>
        <v>0</v>
      </c>
      <c r="O646" s="122">
        <f t="shared" si="279"/>
        <v>0</v>
      </c>
      <c r="P646" s="122">
        <f t="shared" si="280"/>
        <v>0</v>
      </c>
      <c r="Q646" s="123">
        <f t="shared" si="281"/>
        <v>44.52</v>
      </c>
      <c r="R646" s="123">
        <f t="shared" si="287"/>
        <v>-44.52</v>
      </c>
      <c r="S646" s="582">
        <v>0</v>
      </c>
      <c r="T646" s="123">
        <f t="shared" si="288"/>
        <v>-44.52</v>
      </c>
      <c r="U646" s="25">
        <f t="shared" si="282"/>
        <v>15.08</v>
      </c>
      <c r="V646" s="123">
        <f t="shared" si="283"/>
        <v>-15.08</v>
      </c>
      <c r="W646" s="334">
        <f t="shared" si="284"/>
        <v>0.64</v>
      </c>
      <c r="Y646" s="109">
        <f>IF(AE646=1,IF(Y645=MiscData!$F$1,EOMONTH(Y645,-11),EOMONTH(Y645,1)),Y645)</f>
        <v>42277</v>
      </c>
      <c r="Z646" s="108" t="str">
        <f t="shared" si="269"/>
        <v>20140101LGUM_458</v>
      </c>
      <c r="AA646" s="126" t="str">
        <f t="shared" si="270"/>
        <v>20140101RLS</v>
      </c>
      <c r="AB646" s="583" t="str">
        <f t="shared" si="289"/>
        <v>458</v>
      </c>
      <c r="AD646" s="98">
        <f>MiscData!$X$5</f>
        <v>20140101</v>
      </c>
      <c r="AE646" s="98">
        <f>IF(AE645+1&gt;MiscData!$AC$77,1,AE645+1)</f>
        <v>59</v>
      </c>
      <c r="AF646" s="98" t="str">
        <f>VLOOKUP(AE646,MiscData!$AC$5:$AD$77,2,FALSE)</f>
        <v>LGUM_458</v>
      </c>
      <c r="AG646" s="98" t="str">
        <f>VLOOKUP(AF646,MiscData!$AD$5:$AE$77,2,FALSE)</f>
        <v>RLS</v>
      </c>
      <c r="AP646" s="98" t="s">
        <v>232</v>
      </c>
      <c r="AR646" s="98">
        <v>0</v>
      </c>
    </row>
    <row r="647" spans="1:44">
      <c r="A647" s="108">
        <f t="shared" ref="A647:A710" si="290">A646+1</f>
        <v>644</v>
      </c>
      <c r="B647" s="109" t="str">
        <f t="shared" si="266"/>
        <v>Sep 2015</v>
      </c>
      <c r="C647" s="110" t="str">
        <f t="shared" si="267"/>
        <v xml:space="preserve">LS </v>
      </c>
      <c r="D647" s="110" t="str">
        <f t="shared" si="268"/>
        <v>LGUM_470</v>
      </c>
      <c r="E647" s="581">
        <f t="shared" si="271"/>
        <v>19</v>
      </c>
      <c r="F647" s="581">
        <f t="shared" si="272"/>
        <v>0</v>
      </c>
      <c r="G647" s="116">
        <f t="shared" si="273"/>
        <v>12.79</v>
      </c>
      <c r="H647" s="116">
        <f t="shared" si="274"/>
        <v>1.3699999999999992</v>
      </c>
      <c r="I647" s="118">
        <f t="shared" si="285"/>
        <v>243.01</v>
      </c>
      <c r="J647" s="118">
        <f t="shared" si="275"/>
        <v>243.01</v>
      </c>
      <c r="K647" s="570">
        <f t="shared" si="286"/>
        <v>0</v>
      </c>
      <c r="L647" s="121">
        <f t="shared" si="276"/>
        <v>0</v>
      </c>
      <c r="M647" s="122">
        <f t="shared" si="277"/>
        <v>0</v>
      </c>
      <c r="N647" s="122">
        <f t="shared" si="278"/>
        <v>0</v>
      </c>
      <c r="O647" s="122">
        <f t="shared" si="279"/>
        <v>0</v>
      </c>
      <c r="P647" s="122">
        <f t="shared" si="280"/>
        <v>0</v>
      </c>
      <c r="Q647" s="123">
        <f t="shared" si="281"/>
        <v>243.01</v>
      </c>
      <c r="R647" s="123">
        <f t="shared" si="287"/>
        <v>-243.01</v>
      </c>
      <c r="S647" s="582">
        <v>0</v>
      </c>
      <c r="T647" s="123">
        <f t="shared" si="288"/>
        <v>-243.01</v>
      </c>
      <c r="U647" s="25">
        <f t="shared" si="282"/>
        <v>26.03</v>
      </c>
      <c r="V647" s="123">
        <f t="shared" si="283"/>
        <v>-26.03</v>
      </c>
      <c r="W647" s="334">
        <f t="shared" si="284"/>
        <v>5.1300000000000008</v>
      </c>
      <c r="Y647" s="109">
        <f>IF(AE647=1,IF(Y646=MiscData!$F$1,EOMONTH(Y646,-11),EOMONTH(Y646,1)),Y646)</f>
        <v>42277</v>
      </c>
      <c r="Z647" s="108" t="str">
        <f t="shared" si="269"/>
        <v>20140101LGUM_470</v>
      </c>
      <c r="AA647" s="126" t="str">
        <f t="shared" si="270"/>
        <v xml:space="preserve">20140101LS </v>
      </c>
      <c r="AB647" s="583" t="str">
        <f t="shared" si="289"/>
        <v>470</v>
      </c>
      <c r="AD647" s="98">
        <f>MiscData!$X$5</f>
        <v>20140101</v>
      </c>
      <c r="AE647" s="98">
        <f>IF(AE646+1&gt;MiscData!$AC$77,1,AE646+1)</f>
        <v>60</v>
      </c>
      <c r="AF647" s="98" t="str">
        <f>VLOOKUP(AE647,MiscData!$AC$5:$AD$77,2,FALSE)</f>
        <v>LGUM_470</v>
      </c>
      <c r="AG647" s="98" t="str">
        <f>VLOOKUP(AF647,MiscData!$AD$5:$AE$77,2,FALSE)</f>
        <v xml:space="preserve">LS </v>
      </c>
      <c r="AP647" s="98" t="s">
        <v>233</v>
      </c>
      <c r="AR647" s="98">
        <v>0</v>
      </c>
    </row>
    <row r="648" spans="1:44">
      <c r="A648" s="108">
        <f t="shared" si="290"/>
        <v>645</v>
      </c>
      <c r="B648" s="109" t="str">
        <f t="shared" si="266"/>
        <v>Sep 2015</v>
      </c>
      <c r="C648" s="110" t="str">
        <f t="shared" si="267"/>
        <v>RLS</v>
      </c>
      <c r="D648" s="110" t="str">
        <f t="shared" si="268"/>
        <v>LGUM_471</v>
      </c>
      <c r="E648" s="581">
        <f t="shared" si="271"/>
        <v>2</v>
      </c>
      <c r="F648" s="581">
        <f t="shared" si="272"/>
        <v>0</v>
      </c>
      <c r="G648" s="116">
        <f t="shared" si="273"/>
        <v>15.07</v>
      </c>
      <c r="H648" s="116">
        <f t="shared" si="274"/>
        <v>1.3699999999999992</v>
      </c>
      <c r="I648" s="118">
        <f t="shared" si="285"/>
        <v>30.14</v>
      </c>
      <c r="J648" s="118">
        <f t="shared" si="275"/>
        <v>30.14</v>
      </c>
      <c r="K648" s="570">
        <f t="shared" si="286"/>
        <v>0</v>
      </c>
      <c r="L648" s="121">
        <f t="shared" si="276"/>
        <v>0</v>
      </c>
      <c r="M648" s="122">
        <f t="shared" si="277"/>
        <v>0</v>
      </c>
      <c r="N648" s="122">
        <f t="shared" si="278"/>
        <v>0</v>
      </c>
      <c r="O648" s="122">
        <f t="shared" si="279"/>
        <v>0</v>
      </c>
      <c r="P648" s="122">
        <f t="shared" si="280"/>
        <v>0</v>
      </c>
      <c r="Q648" s="123">
        <f t="shared" si="281"/>
        <v>30.14</v>
      </c>
      <c r="R648" s="123">
        <f t="shared" si="287"/>
        <v>-30.14</v>
      </c>
      <c r="S648" s="582">
        <v>0</v>
      </c>
      <c r="T648" s="123">
        <f t="shared" si="288"/>
        <v>-30.14</v>
      </c>
      <c r="U648" s="25">
        <f t="shared" si="282"/>
        <v>2.74</v>
      </c>
      <c r="V648" s="123">
        <f t="shared" si="283"/>
        <v>-2.74</v>
      </c>
      <c r="W648" s="334">
        <f t="shared" si="284"/>
        <v>0.54</v>
      </c>
      <c r="Y648" s="109">
        <f>IF(AE648=1,IF(Y647=MiscData!$F$1,EOMONTH(Y647,-11),EOMONTH(Y647,1)),Y647)</f>
        <v>42277</v>
      </c>
      <c r="Z648" s="108" t="str">
        <f t="shared" si="269"/>
        <v>20140101LGUM_471</v>
      </c>
      <c r="AA648" s="126" t="str">
        <f t="shared" si="270"/>
        <v>20140101RLS</v>
      </c>
      <c r="AB648" s="583" t="str">
        <f t="shared" si="289"/>
        <v>471</v>
      </c>
      <c r="AD648" s="98">
        <f>MiscData!$X$5</f>
        <v>20140101</v>
      </c>
      <c r="AE648" s="98">
        <f>IF(AE647+1&gt;MiscData!$AC$77,1,AE647+1)</f>
        <v>61</v>
      </c>
      <c r="AF648" s="98" t="str">
        <f>VLOOKUP(AE648,MiscData!$AC$5:$AD$77,2,FALSE)</f>
        <v>LGUM_471</v>
      </c>
      <c r="AG648" s="98" t="str">
        <f>VLOOKUP(AF648,MiscData!$AD$5:$AE$77,2,FALSE)</f>
        <v>RLS</v>
      </c>
      <c r="AP648" s="98" t="s">
        <v>352</v>
      </c>
      <c r="AR648" s="98">
        <v>0</v>
      </c>
    </row>
    <row r="649" spans="1:44">
      <c r="A649" s="108">
        <f t="shared" si="290"/>
        <v>646</v>
      </c>
      <c r="B649" s="109" t="str">
        <f t="shared" si="266"/>
        <v>Sep 2015</v>
      </c>
      <c r="C649" s="110" t="str">
        <f t="shared" si="267"/>
        <v xml:space="preserve">LS </v>
      </c>
      <c r="D649" s="110" t="str">
        <f t="shared" si="268"/>
        <v>LGUM_473</v>
      </c>
      <c r="E649" s="581">
        <f t="shared" si="271"/>
        <v>260</v>
      </c>
      <c r="F649" s="581">
        <f t="shared" si="272"/>
        <v>0</v>
      </c>
      <c r="G649" s="116">
        <f t="shared" si="273"/>
        <v>18.68</v>
      </c>
      <c r="H649" s="116">
        <f t="shared" si="274"/>
        <v>3.1799999999999979</v>
      </c>
      <c r="I649" s="118">
        <f t="shared" si="285"/>
        <v>4856.8</v>
      </c>
      <c r="J649" s="118">
        <f t="shared" si="275"/>
        <v>4856.8</v>
      </c>
      <c r="K649" s="570">
        <f t="shared" si="286"/>
        <v>0</v>
      </c>
      <c r="L649" s="121">
        <f t="shared" si="276"/>
        <v>0</v>
      </c>
      <c r="M649" s="122">
        <f t="shared" si="277"/>
        <v>0</v>
      </c>
      <c r="N649" s="122">
        <f t="shared" si="278"/>
        <v>0</v>
      </c>
      <c r="O649" s="122">
        <f t="shared" si="279"/>
        <v>0</v>
      </c>
      <c r="P649" s="122">
        <f t="shared" si="280"/>
        <v>0</v>
      </c>
      <c r="Q649" s="123">
        <f t="shared" si="281"/>
        <v>4856.8</v>
      </c>
      <c r="R649" s="123">
        <f t="shared" si="287"/>
        <v>-4856.8</v>
      </c>
      <c r="S649" s="582">
        <v>0</v>
      </c>
      <c r="T649" s="123">
        <f t="shared" si="288"/>
        <v>-4856.8</v>
      </c>
      <c r="U649" s="25">
        <f t="shared" si="282"/>
        <v>826.8</v>
      </c>
      <c r="V649" s="123">
        <f t="shared" si="283"/>
        <v>-826.8</v>
      </c>
      <c r="W649" s="334">
        <f t="shared" si="284"/>
        <v>78</v>
      </c>
      <c r="Y649" s="109">
        <f>IF(AE649=1,IF(Y648=MiscData!$F$1,EOMONTH(Y648,-11),EOMONTH(Y648,1)),Y648)</f>
        <v>42277</v>
      </c>
      <c r="Z649" s="108" t="str">
        <f t="shared" si="269"/>
        <v>20140101LGUM_473</v>
      </c>
      <c r="AA649" s="126" t="str">
        <f t="shared" si="270"/>
        <v xml:space="preserve">20140101LS </v>
      </c>
      <c r="AB649" s="583" t="str">
        <f t="shared" si="289"/>
        <v>473</v>
      </c>
      <c r="AD649" s="98">
        <f>MiscData!$X$5</f>
        <v>20140101</v>
      </c>
      <c r="AE649" s="98">
        <f>IF(AE648+1&gt;MiscData!$AC$77,1,AE648+1)</f>
        <v>62</v>
      </c>
      <c r="AF649" s="98" t="str">
        <f>VLOOKUP(AE649,MiscData!$AC$5:$AD$77,2,FALSE)</f>
        <v>LGUM_473</v>
      </c>
      <c r="AG649" s="98" t="str">
        <f>VLOOKUP(AF649,MiscData!$AD$5:$AE$77,2,FALSE)</f>
        <v xml:space="preserve">LS </v>
      </c>
      <c r="AP649" s="98" t="s">
        <v>234</v>
      </c>
      <c r="AR649" s="98">
        <v>0</v>
      </c>
    </row>
    <row r="650" spans="1:44">
      <c r="A650" s="108">
        <f t="shared" si="290"/>
        <v>647</v>
      </c>
      <c r="B650" s="109" t="str">
        <f t="shared" si="266"/>
        <v>Sep 2015</v>
      </c>
      <c r="C650" s="110" t="str">
        <f t="shared" si="267"/>
        <v>RLS</v>
      </c>
      <c r="D650" s="110" t="str">
        <f t="shared" si="268"/>
        <v>LGUM_474</v>
      </c>
      <c r="E650" s="581">
        <f t="shared" si="271"/>
        <v>52</v>
      </c>
      <c r="F650" s="581">
        <f t="shared" si="272"/>
        <v>0</v>
      </c>
      <c r="G650" s="116">
        <f t="shared" si="273"/>
        <v>20.970000000000002</v>
      </c>
      <c r="H650" s="116">
        <f t="shared" si="274"/>
        <v>3.1799999999999997</v>
      </c>
      <c r="I650" s="118">
        <f t="shared" si="285"/>
        <v>1090.44</v>
      </c>
      <c r="J650" s="118">
        <f t="shared" si="275"/>
        <v>1090.44</v>
      </c>
      <c r="K650" s="570">
        <f t="shared" si="286"/>
        <v>0</v>
      </c>
      <c r="L650" s="121">
        <f t="shared" si="276"/>
        <v>0</v>
      </c>
      <c r="M650" s="122">
        <f t="shared" si="277"/>
        <v>0</v>
      </c>
      <c r="N650" s="122">
        <f t="shared" si="278"/>
        <v>0</v>
      </c>
      <c r="O650" s="122">
        <f t="shared" si="279"/>
        <v>0</v>
      </c>
      <c r="P650" s="122">
        <f t="shared" si="280"/>
        <v>0</v>
      </c>
      <c r="Q650" s="123">
        <f t="shared" si="281"/>
        <v>1090.44</v>
      </c>
      <c r="R650" s="123">
        <f t="shared" si="287"/>
        <v>-1090.44</v>
      </c>
      <c r="S650" s="582">
        <v>0</v>
      </c>
      <c r="T650" s="123">
        <f t="shared" si="288"/>
        <v>-1090.44</v>
      </c>
      <c r="U650" s="25">
        <f t="shared" si="282"/>
        <v>165.36</v>
      </c>
      <c r="V650" s="123">
        <f t="shared" si="283"/>
        <v>-165.36</v>
      </c>
      <c r="W650" s="334">
        <f t="shared" si="284"/>
        <v>15.6</v>
      </c>
      <c r="Y650" s="109">
        <f>IF(AE650=1,IF(Y649=MiscData!$F$1,EOMONTH(Y649,-11),EOMONTH(Y649,1)),Y649)</f>
        <v>42277</v>
      </c>
      <c r="Z650" s="108" t="str">
        <f t="shared" si="269"/>
        <v>20140101LGUM_474</v>
      </c>
      <c r="AA650" s="126" t="str">
        <f t="shared" si="270"/>
        <v>20140101RLS</v>
      </c>
      <c r="AB650" s="583" t="str">
        <f t="shared" si="289"/>
        <v>474</v>
      </c>
      <c r="AD650" s="98">
        <f>MiscData!$X$5</f>
        <v>20140101</v>
      </c>
      <c r="AE650" s="98">
        <f>IF(AE649+1&gt;MiscData!$AC$77,1,AE649+1)</f>
        <v>63</v>
      </c>
      <c r="AF650" s="98" t="str">
        <f>VLOOKUP(AE650,MiscData!$AC$5:$AD$77,2,FALSE)</f>
        <v>LGUM_474</v>
      </c>
      <c r="AG650" s="98" t="str">
        <f>VLOOKUP(AF650,MiscData!$AD$5:$AE$77,2,FALSE)</f>
        <v>RLS</v>
      </c>
      <c r="AP650" s="98" t="s">
        <v>353</v>
      </c>
      <c r="AR650" s="98">
        <v>0</v>
      </c>
    </row>
    <row r="651" spans="1:44">
      <c r="A651" s="108">
        <f t="shared" si="290"/>
        <v>648</v>
      </c>
      <c r="B651" s="109" t="str">
        <f t="shared" si="266"/>
        <v>Sep 2015</v>
      </c>
      <c r="C651" s="110" t="str">
        <f t="shared" si="267"/>
        <v>RLS</v>
      </c>
      <c r="D651" s="110" t="str">
        <f t="shared" si="268"/>
        <v>LGUM_475</v>
      </c>
      <c r="E651" s="581">
        <f t="shared" si="271"/>
        <v>2</v>
      </c>
      <c r="F651" s="581">
        <f t="shared" si="272"/>
        <v>0</v>
      </c>
      <c r="G651" s="116">
        <f t="shared" si="273"/>
        <v>28.42</v>
      </c>
      <c r="H651" s="116">
        <f t="shared" si="274"/>
        <v>3.1800000000000033</v>
      </c>
      <c r="I651" s="118">
        <f t="shared" si="285"/>
        <v>56.84</v>
      </c>
      <c r="J651" s="118">
        <f t="shared" si="275"/>
        <v>56.84</v>
      </c>
      <c r="K651" s="570">
        <f t="shared" si="286"/>
        <v>0</v>
      </c>
      <c r="L651" s="121">
        <f t="shared" si="276"/>
        <v>0</v>
      </c>
      <c r="M651" s="122">
        <f t="shared" si="277"/>
        <v>0</v>
      </c>
      <c r="N651" s="122">
        <f t="shared" si="278"/>
        <v>0</v>
      </c>
      <c r="O651" s="122">
        <f t="shared" si="279"/>
        <v>0</v>
      </c>
      <c r="P651" s="122">
        <f t="shared" si="280"/>
        <v>0</v>
      </c>
      <c r="Q651" s="123">
        <f t="shared" si="281"/>
        <v>56.84</v>
      </c>
      <c r="R651" s="123">
        <f t="shared" si="287"/>
        <v>-56.84</v>
      </c>
      <c r="S651" s="582">
        <v>0</v>
      </c>
      <c r="T651" s="123">
        <f t="shared" si="288"/>
        <v>-56.84</v>
      </c>
      <c r="U651" s="25">
        <f t="shared" si="282"/>
        <v>6.36</v>
      </c>
      <c r="V651" s="123">
        <f t="shared" si="283"/>
        <v>-6.36</v>
      </c>
      <c r="W651" s="334">
        <f t="shared" si="284"/>
        <v>0.6</v>
      </c>
      <c r="Y651" s="109">
        <f>IF(AE651=1,IF(Y650=MiscData!$F$1,EOMONTH(Y650,-11),EOMONTH(Y650,1)),Y650)</f>
        <v>42277</v>
      </c>
      <c r="Z651" s="108" t="str">
        <f t="shared" si="269"/>
        <v>20140101LGUM_475</v>
      </c>
      <c r="AA651" s="126" t="str">
        <f t="shared" si="270"/>
        <v>20140101RLS</v>
      </c>
      <c r="AB651" s="583" t="str">
        <f t="shared" si="289"/>
        <v>475</v>
      </c>
      <c r="AD651" s="98">
        <f>MiscData!$X$5</f>
        <v>20140101</v>
      </c>
      <c r="AE651" s="98">
        <f>IF(AE650+1&gt;MiscData!$AC$77,1,AE650+1)</f>
        <v>64</v>
      </c>
      <c r="AF651" s="98" t="str">
        <f>VLOOKUP(AE651,MiscData!$AC$5:$AD$77,2,FALSE)</f>
        <v>LGUM_475</v>
      </c>
      <c r="AG651" s="98" t="str">
        <f>VLOOKUP(AF651,MiscData!$AD$5:$AE$77,2,FALSE)</f>
        <v>RLS</v>
      </c>
      <c r="AP651" s="98" t="s">
        <v>235</v>
      </c>
      <c r="AR651" s="98">
        <v>0</v>
      </c>
    </row>
    <row r="652" spans="1:44">
      <c r="A652" s="108">
        <f t="shared" si="290"/>
        <v>649</v>
      </c>
      <c r="B652" s="109" t="str">
        <f t="shared" si="266"/>
        <v>Sep 2015</v>
      </c>
      <c r="C652" s="110" t="str">
        <f t="shared" si="267"/>
        <v xml:space="preserve">LS </v>
      </c>
      <c r="D652" s="110" t="str">
        <f t="shared" si="268"/>
        <v>LGUM_476</v>
      </c>
      <c r="E652" s="581">
        <f t="shared" si="271"/>
        <v>318</v>
      </c>
      <c r="F652" s="581">
        <f t="shared" si="272"/>
        <v>0</v>
      </c>
      <c r="G652" s="116">
        <f t="shared" si="273"/>
        <v>39.6</v>
      </c>
      <c r="H652" s="116">
        <f t="shared" si="274"/>
        <v>9.8100000000000023</v>
      </c>
      <c r="I652" s="118">
        <f t="shared" si="285"/>
        <v>12592.8</v>
      </c>
      <c r="J652" s="118">
        <f t="shared" si="275"/>
        <v>12592.8</v>
      </c>
      <c r="K652" s="570">
        <f t="shared" si="286"/>
        <v>0</v>
      </c>
      <c r="L652" s="121">
        <f t="shared" si="276"/>
        <v>0</v>
      </c>
      <c r="M652" s="122">
        <f t="shared" si="277"/>
        <v>0</v>
      </c>
      <c r="N652" s="122">
        <f t="shared" si="278"/>
        <v>0</v>
      </c>
      <c r="O652" s="122">
        <f t="shared" si="279"/>
        <v>0</v>
      </c>
      <c r="P652" s="122">
        <f t="shared" si="280"/>
        <v>0</v>
      </c>
      <c r="Q652" s="123">
        <f t="shared" si="281"/>
        <v>12592.8</v>
      </c>
      <c r="R652" s="123">
        <f t="shared" si="287"/>
        <v>-12592.8</v>
      </c>
      <c r="S652" s="582">
        <v>0</v>
      </c>
      <c r="T652" s="123">
        <f t="shared" si="288"/>
        <v>-12592.8</v>
      </c>
      <c r="U652" s="25">
        <f t="shared" si="282"/>
        <v>3119.58</v>
      </c>
      <c r="V652" s="123">
        <f t="shared" si="283"/>
        <v>-3119.58</v>
      </c>
      <c r="W652" s="334">
        <f t="shared" si="284"/>
        <v>193.98</v>
      </c>
      <c r="Y652" s="109">
        <f>IF(AE652=1,IF(Y651=MiscData!$F$1,EOMONTH(Y651,-11),EOMONTH(Y651,1)),Y651)</f>
        <v>42277</v>
      </c>
      <c r="Z652" s="108" t="str">
        <f t="shared" si="269"/>
        <v>20140101LGUM_476</v>
      </c>
      <c r="AA652" s="126" t="str">
        <f t="shared" si="270"/>
        <v xml:space="preserve">20140101LS </v>
      </c>
      <c r="AB652" s="583" t="str">
        <f t="shared" si="289"/>
        <v>476</v>
      </c>
      <c r="AD652" s="98">
        <f>MiscData!$X$5</f>
        <v>20140101</v>
      </c>
      <c r="AE652" s="98">
        <f>IF(AE651+1&gt;MiscData!$AC$77,1,AE651+1)</f>
        <v>65</v>
      </c>
      <c r="AF652" s="98" t="str">
        <f>VLOOKUP(AE652,MiscData!$AC$5:$AD$77,2,FALSE)</f>
        <v>LGUM_476</v>
      </c>
      <c r="AG652" s="98" t="str">
        <f>VLOOKUP(AF652,MiscData!$AD$5:$AE$77,2,FALSE)</f>
        <v xml:space="preserve">LS </v>
      </c>
      <c r="AP652" s="98" t="s">
        <v>236</v>
      </c>
      <c r="AR652" s="98">
        <v>0</v>
      </c>
    </row>
    <row r="653" spans="1:44">
      <c r="A653" s="108">
        <f t="shared" si="290"/>
        <v>650</v>
      </c>
      <c r="B653" s="109" t="str">
        <f t="shared" si="266"/>
        <v>Sep 2015</v>
      </c>
      <c r="C653" s="110" t="str">
        <f t="shared" si="267"/>
        <v>RLS</v>
      </c>
      <c r="D653" s="110" t="str">
        <f t="shared" si="268"/>
        <v>LGUM_477</v>
      </c>
      <c r="E653" s="581">
        <f t="shared" si="271"/>
        <v>59</v>
      </c>
      <c r="F653" s="581">
        <f t="shared" si="272"/>
        <v>0</v>
      </c>
      <c r="G653" s="116">
        <f t="shared" si="273"/>
        <v>42.78</v>
      </c>
      <c r="H653" s="116">
        <f t="shared" si="274"/>
        <v>9.8100000000000023</v>
      </c>
      <c r="I653" s="118">
        <f t="shared" si="285"/>
        <v>2524.02</v>
      </c>
      <c r="J653" s="118">
        <f t="shared" si="275"/>
        <v>2524.02</v>
      </c>
      <c r="K653" s="570">
        <f t="shared" si="286"/>
        <v>0</v>
      </c>
      <c r="L653" s="121">
        <f t="shared" si="276"/>
        <v>0</v>
      </c>
      <c r="M653" s="122">
        <f t="shared" si="277"/>
        <v>0</v>
      </c>
      <c r="N653" s="122">
        <f t="shared" si="278"/>
        <v>0</v>
      </c>
      <c r="O653" s="122">
        <f t="shared" si="279"/>
        <v>0</v>
      </c>
      <c r="P653" s="122">
        <f t="shared" si="280"/>
        <v>0</v>
      </c>
      <c r="Q653" s="123">
        <f t="shared" si="281"/>
        <v>2524.02</v>
      </c>
      <c r="R653" s="123">
        <f t="shared" si="287"/>
        <v>-2524.02</v>
      </c>
      <c r="S653" s="582">
        <v>0</v>
      </c>
      <c r="T653" s="123">
        <f t="shared" si="288"/>
        <v>-2524.02</v>
      </c>
      <c r="U653" s="25">
        <f t="shared" si="282"/>
        <v>578.79</v>
      </c>
      <c r="V653" s="123">
        <f t="shared" si="283"/>
        <v>-578.79</v>
      </c>
      <c r="W653" s="334">
        <f t="shared" si="284"/>
        <v>35.99</v>
      </c>
      <c r="Y653" s="109">
        <f>IF(AE653=1,IF(Y652=MiscData!$F$1,EOMONTH(Y652,-11),EOMONTH(Y652,1)),Y652)</f>
        <v>42277</v>
      </c>
      <c r="Z653" s="108" t="str">
        <f t="shared" si="269"/>
        <v>20140101LGUM_477</v>
      </c>
      <c r="AA653" s="126" t="str">
        <f t="shared" si="270"/>
        <v>20140101RLS</v>
      </c>
      <c r="AB653" s="583" t="str">
        <f t="shared" si="289"/>
        <v>477</v>
      </c>
      <c r="AD653" s="98">
        <f>MiscData!$X$5</f>
        <v>20140101</v>
      </c>
      <c r="AE653" s="98">
        <f>IF(AE652+1&gt;MiscData!$AC$77,1,AE652+1)</f>
        <v>66</v>
      </c>
      <c r="AF653" s="98" t="str">
        <f>VLOOKUP(AE653,MiscData!$AC$5:$AD$77,2,FALSE)</f>
        <v>LGUM_477</v>
      </c>
      <c r="AG653" s="98" t="str">
        <f>VLOOKUP(AF653,MiscData!$AD$5:$AE$77,2,FALSE)</f>
        <v>RLS</v>
      </c>
      <c r="AP653" s="98" t="s">
        <v>354</v>
      </c>
      <c r="AR653" s="98">
        <v>0</v>
      </c>
    </row>
    <row r="654" spans="1:44">
      <c r="A654" s="108">
        <f t="shared" si="290"/>
        <v>651</v>
      </c>
      <c r="B654" s="109" t="str">
        <f t="shared" si="266"/>
        <v>Sep 2015</v>
      </c>
      <c r="C654" s="110" t="str">
        <f t="shared" si="267"/>
        <v xml:space="preserve">LS </v>
      </c>
      <c r="D654" s="110" t="str">
        <f t="shared" si="268"/>
        <v>LGUM_479</v>
      </c>
      <c r="E654" s="581">
        <f t="shared" si="271"/>
        <v>0</v>
      </c>
      <c r="F654" s="581">
        <f t="shared" si="272"/>
        <v>0</v>
      </c>
      <c r="G654" s="116">
        <f t="shared" si="273"/>
        <v>14.06</v>
      </c>
      <c r="H654" s="116">
        <f t="shared" si="274"/>
        <v>1.370000000000001</v>
      </c>
      <c r="I654" s="118">
        <f t="shared" si="285"/>
        <v>0</v>
      </c>
      <c r="J654" s="118">
        <f t="shared" si="275"/>
        <v>0</v>
      </c>
      <c r="K654" s="570">
        <f t="shared" si="286"/>
        <v>0</v>
      </c>
      <c r="L654" s="121">
        <f t="shared" si="276"/>
        <v>1</v>
      </c>
      <c r="M654" s="122">
        <f t="shared" si="277"/>
        <v>0</v>
      </c>
      <c r="N654" s="122">
        <f t="shared" si="278"/>
        <v>0</v>
      </c>
      <c r="O654" s="122">
        <f t="shared" si="279"/>
        <v>0</v>
      </c>
      <c r="P654" s="122">
        <f t="shared" si="280"/>
        <v>0</v>
      </c>
      <c r="Q654" s="123">
        <f t="shared" si="281"/>
        <v>0</v>
      </c>
      <c r="R654" s="123">
        <f t="shared" si="287"/>
        <v>0</v>
      </c>
      <c r="S654" s="582">
        <v>0</v>
      </c>
      <c r="T654" s="123">
        <f t="shared" si="288"/>
        <v>0</v>
      </c>
      <c r="U654" s="25">
        <f t="shared" si="282"/>
        <v>0</v>
      </c>
      <c r="V654" s="123">
        <f t="shared" si="283"/>
        <v>0</v>
      </c>
      <c r="W654" s="334">
        <f t="shared" si="284"/>
        <v>0</v>
      </c>
      <c r="Y654" s="109">
        <f>IF(AE654=1,IF(Y653=MiscData!$F$1,EOMONTH(Y653,-11),EOMONTH(Y653,1)),Y653)</f>
        <v>42277</v>
      </c>
      <c r="Z654" s="108" t="str">
        <f t="shared" si="269"/>
        <v>20140101LGUM_479</v>
      </c>
      <c r="AA654" s="126" t="str">
        <f t="shared" si="270"/>
        <v xml:space="preserve">20140101LS </v>
      </c>
      <c r="AB654" s="583" t="str">
        <f t="shared" si="289"/>
        <v>479</v>
      </c>
      <c r="AD654" s="98">
        <f>MiscData!$X$5</f>
        <v>20140101</v>
      </c>
      <c r="AE654" s="98">
        <f>IF(AE653+1&gt;MiscData!$AC$77,1,AE653+1)</f>
        <v>67</v>
      </c>
      <c r="AF654" s="98" t="str">
        <f>VLOOKUP(AE654,MiscData!$AC$5:$AD$77,2,FALSE)</f>
        <v>LGUM_479</v>
      </c>
      <c r="AG654" s="98" t="str">
        <f>VLOOKUP(AF654,MiscData!$AD$5:$AE$77,2,FALSE)</f>
        <v xml:space="preserve">LS </v>
      </c>
      <c r="AP654" s="98" t="s">
        <v>355</v>
      </c>
      <c r="AR654" s="98">
        <v>0</v>
      </c>
    </row>
    <row r="655" spans="1:44">
      <c r="A655" s="108">
        <f t="shared" si="290"/>
        <v>652</v>
      </c>
      <c r="B655" s="109" t="str">
        <f t="shared" si="266"/>
        <v>Sep 2015</v>
      </c>
      <c r="C655" s="110" t="str">
        <f t="shared" si="267"/>
        <v xml:space="preserve">LS </v>
      </c>
      <c r="D655" s="110" t="str">
        <f t="shared" si="268"/>
        <v>LGUM_480</v>
      </c>
      <c r="E655" s="581">
        <f t="shared" si="271"/>
        <v>18</v>
      </c>
      <c r="F655" s="581">
        <f t="shared" si="272"/>
        <v>0</v>
      </c>
      <c r="G655" s="116">
        <f t="shared" si="273"/>
        <v>23.83</v>
      </c>
      <c r="H655" s="116">
        <f t="shared" si="274"/>
        <v>1.370000000000001</v>
      </c>
      <c r="I655" s="118">
        <f t="shared" si="285"/>
        <v>428.94</v>
      </c>
      <c r="J655" s="118">
        <f t="shared" si="275"/>
        <v>428.94</v>
      </c>
      <c r="K655" s="570">
        <f t="shared" si="286"/>
        <v>0</v>
      </c>
      <c r="L655" s="121">
        <f t="shared" si="276"/>
        <v>0</v>
      </c>
      <c r="M655" s="122">
        <f t="shared" si="277"/>
        <v>0</v>
      </c>
      <c r="N655" s="122">
        <f t="shared" si="278"/>
        <v>0</v>
      </c>
      <c r="O655" s="122">
        <f t="shared" si="279"/>
        <v>0</v>
      </c>
      <c r="P655" s="122">
        <f t="shared" si="280"/>
        <v>0</v>
      </c>
      <c r="Q655" s="123">
        <f t="shared" si="281"/>
        <v>428.94</v>
      </c>
      <c r="R655" s="123">
        <f t="shared" si="287"/>
        <v>-428.94</v>
      </c>
      <c r="S655" s="582">
        <v>0</v>
      </c>
      <c r="T655" s="123">
        <f t="shared" si="288"/>
        <v>-428.94</v>
      </c>
      <c r="U655" s="25">
        <f t="shared" si="282"/>
        <v>24.66</v>
      </c>
      <c r="V655" s="123">
        <f t="shared" si="283"/>
        <v>-24.66</v>
      </c>
      <c r="W655" s="334">
        <f t="shared" si="284"/>
        <v>4.8600000000000003</v>
      </c>
      <c r="Y655" s="109">
        <f>IF(AE655=1,IF(Y654=MiscData!$F$1,EOMONTH(Y654,-11),EOMONTH(Y654,1)),Y654)</f>
        <v>42277</v>
      </c>
      <c r="Z655" s="108" t="str">
        <f t="shared" si="269"/>
        <v>20140101LGUM_480</v>
      </c>
      <c r="AA655" s="126" t="str">
        <f t="shared" si="270"/>
        <v xml:space="preserve">20140101LS </v>
      </c>
      <c r="AB655" s="583" t="str">
        <f t="shared" si="289"/>
        <v>480</v>
      </c>
      <c r="AD655" s="98">
        <f>MiscData!$X$5</f>
        <v>20140101</v>
      </c>
      <c r="AE655" s="98">
        <f>IF(AE654+1&gt;MiscData!$AC$77,1,AE654+1)</f>
        <v>68</v>
      </c>
      <c r="AF655" s="98" t="str">
        <f>VLOOKUP(AE655,MiscData!$AC$5:$AD$77,2,FALSE)</f>
        <v>LGUM_480</v>
      </c>
      <c r="AG655" s="98" t="str">
        <f>VLOOKUP(AF655,MiscData!$AD$5:$AE$77,2,FALSE)</f>
        <v xml:space="preserve">LS </v>
      </c>
      <c r="AP655" s="98" t="s">
        <v>359</v>
      </c>
      <c r="AR655" s="98">
        <v>0</v>
      </c>
    </row>
    <row r="656" spans="1:44">
      <c r="A656" s="108">
        <f t="shared" si="290"/>
        <v>653</v>
      </c>
      <c r="B656" s="109" t="str">
        <f t="shared" si="266"/>
        <v>Sep 2015</v>
      </c>
      <c r="C656" s="110" t="str">
        <f t="shared" si="267"/>
        <v xml:space="preserve">LS </v>
      </c>
      <c r="D656" s="110" t="str">
        <f t="shared" si="268"/>
        <v>LGUM_481</v>
      </c>
      <c r="E656" s="581">
        <f t="shared" si="271"/>
        <v>4</v>
      </c>
      <c r="F656" s="581">
        <f t="shared" si="272"/>
        <v>0</v>
      </c>
      <c r="G656" s="116">
        <f t="shared" si="273"/>
        <v>20.46</v>
      </c>
      <c r="H656" s="116">
        <f t="shared" si="274"/>
        <v>3.1800000000000033</v>
      </c>
      <c r="I656" s="118">
        <f t="shared" si="285"/>
        <v>81.84</v>
      </c>
      <c r="J656" s="118">
        <f t="shared" si="275"/>
        <v>81.84</v>
      </c>
      <c r="K656" s="570">
        <f t="shared" si="286"/>
        <v>0</v>
      </c>
      <c r="L656" s="121">
        <f t="shared" si="276"/>
        <v>0</v>
      </c>
      <c r="M656" s="122">
        <f t="shared" si="277"/>
        <v>0</v>
      </c>
      <c r="N656" s="122">
        <f t="shared" si="278"/>
        <v>0</v>
      </c>
      <c r="O656" s="122">
        <f t="shared" si="279"/>
        <v>0</v>
      </c>
      <c r="P656" s="122">
        <f t="shared" si="280"/>
        <v>0</v>
      </c>
      <c r="Q656" s="123">
        <f t="shared" si="281"/>
        <v>81.84</v>
      </c>
      <c r="R656" s="123">
        <f t="shared" si="287"/>
        <v>-81.84</v>
      </c>
      <c r="S656" s="582">
        <v>0</v>
      </c>
      <c r="T656" s="123">
        <f t="shared" si="288"/>
        <v>-81.84</v>
      </c>
      <c r="U656" s="25">
        <f t="shared" si="282"/>
        <v>12.72</v>
      </c>
      <c r="V656" s="123">
        <f t="shared" si="283"/>
        <v>-12.72</v>
      </c>
      <c r="W656" s="334">
        <f t="shared" si="284"/>
        <v>1.2</v>
      </c>
      <c r="Y656" s="109">
        <f>IF(AE656=1,IF(Y655=MiscData!$F$1,EOMONTH(Y655,-11),EOMONTH(Y655,1)),Y655)</f>
        <v>42277</v>
      </c>
      <c r="Z656" s="108" t="str">
        <f t="shared" si="269"/>
        <v>20140101LGUM_481</v>
      </c>
      <c r="AA656" s="126" t="str">
        <f t="shared" si="270"/>
        <v xml:space="preserve">20140101LS </v>
      </c>
      <c r="AB656" s="583" t="str">
        <f t="shared" si="289"/>
        <v>481</v>
      </c>
      <c r="AD656" s="98">
        <f>MiscData!$X$5</f>
        <v>20140101</v>
      </c>
      <c r="AE656" s="98">
        <f>IF(AE655+1&gt;MiscData!$AC$77,1,AE655+1)</f>
        <v>69</v>
      </c>
      <c r="AF656" s="98" t="str">
        <f>VLOOKUP(AE656,MiscData!$AC$5:$AD$77,2,FALSE)</f>
        <v>LGUM_481</v>
      </c>
      <c r="AG656" s="98" t="str">
        <f>VLOOKUP(AF656,MiscData!$AD$5:$AE$77,2,FALSE)</f>
        <v xml:space="preserve">LS </v>
      </c>
      <c r="AP656" s="98" t="s">
        <v>356</v>
      </c>
      <c r="AR656" s="98">
        <v>0</v>
      </c>
    </row>
    <row r="657" spans="1:44">
      <c r="A657" s="108">
        <f t="shared" si="290"/>
        <v>654</v>
      </c>
      <c r="B657" s="109" t="str">
        <f t="shared" si="266"/>
        <v>Sep 2015</v>
      </c>
      <c r="C657" s="110" t="str">
        <f t="shared" si="267"/>
        <v xml:space="preserve">LS </v>
      </c>
      <c r="D657" s="110" t="str">
        <f t="shared" si="268"/>
        <v>LGUM_482</v>
      </c>
      <c r="E657" s="581">
        <f t="shared" si="271"/>
        <v>39</v>
      </c>
      <c r="F657" s="581">
        <f t="shared" si="272"/>
        <v>0</v>
      </c>
      <c r="G657" s="116">
        <f t="shared" si="273"/>
        <v>30.21</v>
      </c>
      <c r="H657" s="116">
        <f t="shared" si="274"/>
        <v>3.1800000000000033</v>
      </c>
      <c r="I657" s="118">
        <f t="shared" si="285"/>
        <v>1178.19</v>
      </c>
      <c r="J657" s="118">
        <f t="shared" si="275"/>
        <v>1178.19</v>
      </c>
      <c r="K657" s="570">
        <f t="shared" si="286"/>
        <v>0</v>
      </c>
      <c r="L657" s="121">
        <f t="shared" si="276"/>
        <v>0</v>
      </c>
      <c r="M657" s="122">
        <f t="shared" si="277"/>
        <v>0</v>
      </c>
      <c r="N657" s="122">
        <f t="shared" si="278"/>
        <v>0</v>
      </c>
      <c r="O657" s="122">
        <f t="shared" si="279"/>
        <v>0</v>
      </c>
      <c r="P657" s="122">
        <f t="shared" si="280"/>
        <v>0</v>
      </c>
      <c r="Q657" s="123">
        <f t="shared" si="281"/>
        <v>1178.19</v>
      </c>
      <c r="R657" s="123">
        <f t="shared" si="287"/>
        <v>-1178.19</v>
      </c>
      <c r="S657" s="582">
        <v>0</v>
      </c>
      <c r="T657" s="123">
        <f t="shared" si="288"/>
        <v>-1178.19</v>
      </c>
      <c r="U657" s="25">
        <f t="shared" si="282"/>
        <v>124.02</v>
      </c>
      <c r="V657" s="123">
        <f t="shared" si="283"/>
        <v>-124.02</v>
      </c>
      <c r="W657" s="334">
        <f t="shared" si="284"/>
        <v>11.7</v>
      </c>
      <c r="Y657" s="109">
        <f>IF(AE657=1,IF(Y656=MiscData!$F$1,EOMONTH(Y656,-11),EOMONTH(Y656,1)),Y656)</f>
        <v>42277</v>
      </c>
      <c r="Z657" s="108" t="str">
        <f t="shared" si="269"/>
        <v>20140101LGUM_482</v>
      </c>
      <c r="AA657" s="126" t="str">
        <f t="shared" si="270"/>
        <v xml:space="preserve">20140101LS </v>
      </c>
      <c r="AB657" s="583" t="str">
        <f t="shared" si="289"/>
        <v>482</v>
      </c>
      <c r="AD657" s="98">
        <f>MiscData!$X$5</f>
        <v>20140101</v>
      </c>
      <c r="AE657" s="98">
        <f>IF(AE656+1&gt;MiscData!$AC$77,1,AE656+1)</f>
        <v>70</v>
      </c>
      <c r="AF657" s="98" t="str">
        <f>VLOOKUP(AE657,MiscData!$AC$5:$AD$77,2,FALSE)</f>
        <v>LGUM_482</v>
      </c>
      <c r="AG657" s="98" t="str">
        <f>VLOOKUP(AF657,MiscData!$AD$5:$AE$77,2,FALSE)</f>
        <v xml:space="preserve">LS </v>
      </c>
      <c r="AP657" s="98" t="s">
        <v>357</v>
      </c>
      <c r="AR657" s="98">
        <v>0</v>
      </c>
    </row>
    <row r="658" spans="1:44">
      <c r="A658" s="108">
        <f t="shared" si="290"/>
        <v>655</v>
      </c>
      <c r="B658" s="109" t="str">
        <f t="shared" si="266"/>
        <v>Sep 2015</v>
      </c>
      <c r="C658" s="110" t="str">
        <f t="shared" si="267"/>
        <v xml:space="preserve">LS </v>
      </c>
      <c r="D658" s="110" t="str">
        <f t="shared" si="268"/>
        <v>LGUM_483</v>
      </c>
      <c r="E658" s="581">
        <f t="shared" si="271"/>
        <v>2</v>
      </c>
      <c r="F658" s="581">
        <f t="shared" si="272"/>
        <v>0</v>
      </c>
      <c r="G658" s="116">
        <f t="shared" si="273"/>
        <v>42.56</v>
      </c>
      <c r="H658" s="116">
        <f t="shared" si="274"/>
        <v>9.8100000000000023</v>
      </c>
      <c r="I658" s="118">
        <f t="shared" si="285"/>
        <v>85.12</v>
      </c>
      <c r="J658" s="118">
        <f t="shared" si="275"/>
        <v>85.12</v>
      </c>
      <c r="K658" s="570">
        <f t="shared" si="286"/>
        <v>0</v>
      </c>
      <c r="L658" s="121">
        <f t="shared" si="276"/>
        <v>0</v>
      </c>
      <c r="M658" s="122">
        <f t="shared" si="277"/>
        <v>0</v>
      </c>
      <c r="N658" s="122">
        <f t="shared" si="278"/>
        <v>0</v>
      </c>
      <c r="O658" s="122">
        <f t="shared" si="279"/>
        <v>0</v>
      </c>
      <c r="P658" s="122">
        <f t="shared" si="280"/>
        <v>0</v>
      </c>
      <c r="Q658" s="123">
        <f t="shared" si="281"/>
        <v>85.12</v>
      </c>
      <c r="R658" s="123">
        <f t="shared" si="287"/>
        <v>-85.12</v>
      </c>
      <c r="S658" s="582">
        <v>0</v>
      </c>
      <c r="T658" s="123">
        <f t="shared" si="288"/>
        <v>-85.12</v>
      </c>
      <c r="U658" s="25">
        <f t="shared" si="282"/>
        <v>19.62</v>
      </c>
      <c r="V658" s="123">
        <f t="shared" si="283"/>
        <v>-19.62</v>
      </c>
      <c r="W658" s="334">
        <f t="shared" si="284"/>
        <v>1.22</v>
      </c>
      <c r="Y658" s="109">
        <f>IF(AE658=1,IF(Y657=MiscData!$F$1,EOMONTH(Y657,-11),EOMONTH(Y657,1)),Y657)</f>
        <v>42277</v>
      </c>
      <c r="Z658" s="108" t="str">
        <f t="shared" si="269"/>
        <v>20140101LGUM_483</v>
      </c>
      <c r="AA658" s="126" t="str">
        <f t="shared" si="270"/>
        <v xml:space="preserve">20140101LS </v>
      </c>
      <c r="AB658" s="583" t="str">
        <f t="shared" si="289"/>
        <v>483</v>
      </c>
      <c r="AD658" s="98">
        <f>MiscData!$X$5</f>
        <v>20140101</v>
      </c>
      <c r="AE658" s="98">
        <f>IF(AE657+1&gt;MiscData!$AC$77,1,AE657+1)</f>
        <v>71</v>
      </c>
      <c r="AF658" s="98" t="str">
        <f>VLOOKUP(AE658,MiscData!$AC$5:$AD$77,2,FALSE)</f>
        <v>LGUM_483</v>
      </c>
      <c r="AG658" s="98" t="str">
        <f>VLOOKUP(AF658,MiscData!$AD$5:$AE$77,2,FALSE)</f>
        <v xml:space="preserve">LS </v>
      </c>
      <c r="AP658" s="98" t="s">
        <v>358</v>
      </c>
      <c r="AR658" s="98">
        <v>0</v>
      </c>
    </row>
    <row r="659" spans="1:44">
      <c r="A659" s="108">
        <f t="shared" si="290"/>
        <v>656</v>
      </c>
      <c r="B659" s="109" t="str">
        <f t="shared" si="266"/>
        <v>Sep 2015</v>
      </c>
      <c r="C659" s="110" t="str">
        <f t="shared" si="267"/>
        <v xml:space="preserve">LS </v>
      </c>
      <c r="D659" s="110" t="str">
        <f t="shared" si="268"/>
        <v>LGUM_484</v>
      </c>
      <c r="E659" s="581">
        <f t="shared" si="271"/>
        <v>13</v>
      </c>
      <c r="F659" s="581">
        <f t="shared" si="272"/>
        <v>0</v>
      </c>
      <c r="G659" s="116">
        <f t="shared" si="273"/>
        <v>52.31</v>
      </c>
      <c r="H659" s="116">
        <f t="shared" si="274"/>
        <v>9.8100000000000023</v>
      </c>
      <c r="I659" s="118">
        <f t="shared" si="285"/>
        <v>680.03</v>
      </c>
      <c r="J659" s="118">
        <f t="shared" si="275"/>
        <v>680.03</v>
      </c>
      <c r="K659" s="570">
        <f t="shared" si="286"/>
        <v>0</v>
      </c>
      <c r="L659" s="121">
        <f t="shared" si="276"/>
        <v>0</v>
      </c>
      <c r="M659" s="122">
        <f t="shared" si="277"/>
        <v>0</v>
      </c>
      <c r="N659" s="122">
        <f t="shared" si="278"/>
        <v>0</v>
      </c>
      <c r="O659" s="122">
        <f t="shared" si="279"/>
        <v>0</v>
      </c>
      <c r="P659" s="122">
        <f t="shared" si="280"/>
        <v>0</v>
      </c>
      <c r="Q659" s="123">
        <f t="shared" si="281"/>
        <v>680.03</v>
      </c>
      <c r="R659" s="123">
        <f t="shared" si="287"/>
        <v>-680.03</v>
      </c>
      <c r="S659" s="582">
        <v>0</v>
      </c>
      <c r="T659" s="123">
        <f t="shared" si="288"/>
        <v>-680.03</v>
      </c>
      <c r="U659" s="25">
        <f t="shared" si="282"/>
        <v>127.53</v>
      </c>
      <c r="V659" s="123">
        <f t="shared" si="283"/>
        <v>-127.53</v>
      </c>
      <c r="W659" s="334">
        <f t="shared" si="284"/>
        <v>7.93</v>
      </c>
      <c r="Y659" s="109">
        <f>IF(AE659=1,IF(Y658=MiscData!$F$1,EOMONTH(Y658,-11),EOMONTH(Y658,1)),Y658)</f>
        <v>42277</v>
      </c>
      <c r="Z659" s="108" t="str">
        <f t="shared" si="269"/>
        <v>20140101LGUM_484</v>
      </c>
      <c r="AA659" s="126" t="str">
        <f t="shared" si="270"/>
        <v xml:space="preserve">20140101LS </v>
      </c>
      <c r="AB659" s="583" t="str">
        <f t="shared" si="289"/>
        <v>484</v>
      </c>
      <c r="AD659" s="98">
        <f>MiscData!$X$5</f>
        <v>20140101</v>
      </c>
      <c r="AE659" s="98">
        <f>IF(AE658+1&gt;MiscData!$AC$77,1,AE658+1)</f>
        <v>72</v>
      </c>
      <c r="AF659" s="98" t="str">
        <f>VLOOKUP(AE659,MiscData!$AC$5:$AD$77,2,FALSE)</f>
        <v>LGUM_484</v>
      </c>
      <c r="AG659" s="98" t="str">
        <f>VLOOKUP(AF659,MiscData!$AD$5:$AE$77,2,FALSE)</f>
        <v xml:space="preserve">LS </v>
      </c>
      <c r="AP659" s="98" t="s">
        <v>237</v>
      </c>
      <c r="AR659" s="98">
        <v>0</v>
      </c>
    </row>
    <row r="660" spans="1:44">
      <c r="A660" s="108">
        <f t="shared" si="290"/>
        <v>657</v>
      </c>
      <c r="B660" s="109" t="str">
        <f t="shared" si="266"/>
        <v>Sep 2015</v>
      </c>
      <c r="C660" s="110" t="str">
        <f t="shared" si="267"/>
        <v>ODL</v>
      </c>
      <c r="D660" s="110" t="str">
        <f t="shared" si="268"/>
        <v>ODL</v>
      </c>
      <c r="E660" s="581">
        <f t="shared" si="271"/>
        <v>0</v>
      </c>
      <c r="F660" s="581">
        <f t="shared" si="272"/>
        <v>7528109</v>
      </c>
      <c r="G660" s="116">
        <f t="shared" si="273"/>
        <v>0</v>
      </c>
      <c r="H660" s="116">
        <f t="shared" si="274"/>
        <v>0</v>
      </c>
      <c r="I660" s="118">
        <f t="shared" si="285"/>
        <v>0</v>
      </c>
      <c r="J660" s="118">
        <f t="shared" si="275"/>
        <v>0</v>
      </c>
      <c r="K660" s="570">
        <f t="shared" si="286"/>
        <v>1520867</v>
      </c>
      <c r="L660" s="121">
        <f t="shared" si="276"/>
        <v>0</v>
      </c>
      <c r="M660" s="122">
        <f t="shared" si="277"/>
        <v>1990</v>
      </c>
      <c r="N660" s="122">
        <f t="shared" si="278"/>
        <v>63496</v>
      </c>
      <c r="O660" s="122">
        <f t="shared" si="279"/>
        <v>0</v>
      </c>
      <c r="P660" s="122">
        <f t="shared" si="280"/>
        <v>1586353</v>
      </c>
      <c r="Q660" s="123">
        <f t="shared" si="281"/>
        <v>65486</v>
      </c>
      <c r="R660" s="123">
        <f t="shared" si="287"/>
        <v>1520867</v>
      </c>
      <c r="S660" s="582">
        <v>0</v>
      </c>
      <c r="T660" s="123">
        <f t="shared" si="288"/>
        <v>1520867</v>
      </c>
      <c r="U660" s="25">
        <f t="shared" si="282"/>
        <v>0</v>
      </c>
      <c r="V660" s="123">
        <f t="shared" si="283"/>
        <v>1520867</v>
      </c>
      <c r="W660" s="334">
        <f t="shared" si="284"/>
        <v>0</v>
      </c>
      <c r="Y660" s="109">
        <f>IF(AE660=1,IF(Y659=MiscData!$F$1,EOMONTH(Y659,-11),EOMONTH(Y659,1)),Y659)</f>
        <v>42277</v>
      </c>
      <c r="Z660" s="108" t="str">
        <f t="shared" si="269"/>
        <v>20140101ODL</v>
      </c>
      <c r="AA660" s="126" t="str">
        <f t="shared" si="270"/>
        <v>20140101ODL</v>
      </c>
      <c r="AB660" s="583" t="str">
        <f t="shared" si="289"/>
        <v>ODL</v>
      </c>
      <c r="AD660" s="98">
        <f>MiscData!$X$5</f>
        <v>20140101</v>
      </c>
      <c r="AE660" s="98">
        <f>IF(AE659+1&gt;MiscData!$AC$77,1,AE659+1)</f>
        <v>73</v>
      </c>
      <c r="AF660" s="98" t="str">
        <f>VLOOKUP(AE660,MiscData!$AC$5:$AD$77,2,FALSE)</f>
        <v>ODL</v>
      </c>
      <c r="AG660" s="98" t="str">
        <f>VLOOKUP(AF660,MiscData!$AD$5:$AE$77,2,FALSE)</f>
        <v>ODL</v>
      </c>
      <c r="AP660" s="98" t="s">
        <v>238</v>
      </c>
      <c r="AR660" s="98">
        <v>-5.89</v>
      </c>
    </row>
    <row r="661" spans="1:44">
      <c r="A661" s="108">
        <f t="shared" si="290"/>
        <v>658</v>
      </c>
      <c r="B661" s="109" t="str">
        <f t="shared" si="266"/>
        <v>Oct 2015</v>
      </c>
      <c r="C661" s="110" t="str">
        <f t="shared" si="267"/>
        <v>RLS</v>
      </c>
      <c r="D661" s="110" t="str">
        <f t="shared" si="268"/>
        <v>LGUM_201</v>
      </c>
      <c r="E661" s="581">
        <f t="shared" si="271"/>
        <v>75</v>
      </c>
      <c r="F661" s="581">
        <f t="shared" si="272"/>
        <v>0</v>
      </c>
      <c r="G661" s="116">
        <f t="shared" si="273"/>
        <v>8.14</v>
      </c>
      <c r="H661" s="116">
        <f t="shared" si="274"/>
        <v>1.0899999999999999</v>
      </c>
      <c r="I661" s="118">
        <f t="shared" si="285"/>
        <v>610.5</v>
      </c>
      <c r="J661" s="118">
        <f t="shared" si="275"/>
        <v>610.5</v>
      </c>
      <c r="K661" s="570">
        <f t="shared" si="286"/>
        <v>0</v>
      </c>
      <c r="L661" s="121">
        <f t="shared" si="276"/>
        <v>0</v>
      </c>
      <c r="M661" s="122">
        <f t="shared" si="277"/>
        <v>0</v>
      </c>
      <c r="N661" s="122">
        <f t="shared" si="278"/>
        <v>0</v>
      </c>
      <c r="O661" s="122">
        <f t="shared" si="279"/>
        <v>0</v>
      </c>
      <c r="P661" s="122">
        <f t="shared" si="280"/>
        <v>0</v>
      </c>
      <c r="Q661" s="123">
        <f t="shared" si="281"/>
        <v>610.5</v>
      </c>
      <c r="R661" s="123">
        <f t="shared" si="287"/>
        <v>-610.5</v>
      </c>
      <c r="S661" s="582">
        <v>0</v>
      </c>
      <c r="T661" s="123">
        <f t="shared" si="288"/>
        <v>-610.5</v>
      </c>
      <c r="U661" s="25">
        <f t="shared" si="282"/>
        <v>81.75</v>
      </c>
      <c r="V661" s="123">
        <f t="shared" si="283"/>
        <v>-81.75</v>
      </c>
      <c r="W661" s="334">
        <f t="shared" si="284"/>
        <v>12</v>
      </c>
      <c r="Y661" s="109">
        <f>IF(AE661=1,IF(Y660=MiscData!$F$1,EOMONTH(Y660,-11),EOMONTH(Y660,1)),Y660)</f>
        <v>42308</v>
      </c>
      <c r="Z661" s="108" t="str">
        <f t="shared" si="269"/>
        <v>20140101LGUM_201</v>
      </c>
      <c r="AA661" s="126" t="str">
        <f t="shared" si="270"/>
        <v>20140101RLS</v>
      </c>
      <c r="AB661" s="583" t="str">
        <f t="shared" si="289"/>
        <v>201</v>
      </c>
      <c r="AD661" s="98">
        <f>MiscData!$X$5</f>
        <v>20140101</v>
      </c>
      <c r="AE661" s="98">
        <f>IF(AE660+1&gt;MiscData!$AC$77,1,AE660+1)</f>
        <v>1</v>
      </c>
      <c r="AF661" s="98" t="str">
        <f>VLOOKUP(AE661,MiscData!$AC$5:$AD$77,2,FALSE)</f>
        <v>LGUM_201</v>
      </c>
      <c r="AG661" s="98" t="str">
        <f>VLOOKUP(AF661,MiscData!$AD$5:$AE$77,2,FALSE)</f>
        <v>RLS</v>
      </c>
      <c r="AP661" s="98" t="s">
        <v>239</v>
      </c>
      <c r="AR661" s="98">
        <v>0</v>
      </c>
    </row>
    <row r="662" spans="1:44">
      <c r="A662" s="108">
        <f t="shared" si="290"/>
        <v>659</v>
      </c>
      <c r="B662" s="109" t="str">
        <f t="shared" si="266"/>
        <v>Oct 2015</v>
      </c>
      <c r="C662" s="110" t="str">
        <f t="shared" si="267"/>
        <v>RLS</v>
      </c>
      <c r="D662" s="110" t="str">
        <f t="shared" si="268"/>
        <v>LGUM_203</v>
      </c>
      <c r="E662" s="581">
        <f t="shared" si="271"/>
        <v>3845</v>
      </c>
      <c r="F662" s="581">
        <f t="shared" si="272"/>
        <v>0</v>
      </c>
      <c r="G662" s="116">
        <f t="shared" si="273"/>
        <v>10.959999999999999</v>
      </c>
      <c r="H662" s="116">
        <f t="shared" si="274"/>
        <v>2.7099999999999991</v>
      </c>
      <c r="I662" s="118">
        <f t="shared" si="285"/>
        <v>42141.2</v>
      </c>
      <c r="J662" s="118">
        <f t="shared" si="275"/>
        <v>42141.2</v>
      </c>
      <c r="K662" s="570">
        <f t="shared" si="286"/>
        <v>0</v>
      </c>
      <c r="L662" s="121">
        <f t="shared" si="276"/>
        <v>0</v>
      </c>
      <c r="M662" s="122">
        <f t="shared" si="277"/>
        <v>0</v>
      </c>
      <c r="N662" s="122">
        <f t="shared" si="278"/>
        <v>0</v>
      </c>
      <c r="O662" s="122">
        <f t="shared" si="279"/>
        <v>0</v>
      </c>
      <c r="P662" s="122">
        <f t="shared" si="280"/>
        <v>0</v>
      </c>
      <c r="Q662" s="123">
        <f t="shared" si="281"/>
        <v>42141.2</v>
      </c>
      <c r="R662" s="123">
        <f t="shared" si="287"/>
        <v>-42141.2</v>
      </c>
      <c r="S662" s="582">
        <v>0</v>
      </c>
      <c r="T662" s="123">
        <f t="shared" si="288"/>
        <v>-42141.2</v>
      </c>
      <c r="U662" s="25">
        <f t="shared" si="282"/>
        <v>10419.950000000001</v>
      </c>
      <c r="V662" s="123">
        <f t="shared" si="283"/>
        <v>-10419.950000000001</v>
      </c>
      <c r="W662" s="334">
        <f t="shared" si="284"/>
        <v>692.1</v>
      </c>
      <c r="Y662" s="109">
        <f>IF(AE662=1,IF(Y661=MiscData!$F$1,EOMONTH(Y661,-11),EOMONTH(Y661,1)),Y661)</f>
        <v>42308</v>
      </c>
      <c r="Z662" s="108" t="str">
        <f t="shared" si="269"/>
        <v>20140101LGUM_203</v>
      </c>
      <c r="AA662" s="126" t="str">
        <f t="shared" si="270"/>
        <v>20140101RLS</v>
      </c>
      <c r="AB662" s="583" t="str">
        <f t="shared" si="289"/>
        <v>203</v>
      </c>
      <c r="AD662" s="98">
        <f>MiscData!$X$5</f>
        <v>20140101</v>
      </c>
      <c r="AE662" s="98">
        <f>IF(AE661+1&gt;MiscData!$AC$77,1,AE661+1)</f>
        <v>2</v>
      </c>
      <c r="AF662" s="98" t="str">
        <f>VLOOKUP(AE662,MiscData!$AC$5:$AD$77,2,FALSE)</f>
        <v>LGUM_203</v>
      </c>
      <c r="AG662" s="98" t="str">
        <f>VLOOKUP(AF662,MiscData!$AD$5:$AE$77,2,FALSE)</f>
        <v>RLS</v>
      </c>
      <c r="AP662" s="98" t="s">
        <v>240</v>
      </c>
      <c r="AR662" s="98">
        <v>-6.02</v>
      </c>
    </row>
    <row r="663" spans="1:44">
      <c r="A663" s="108">
        <f t="shared" si="290"/>
        <v>660</v>
      </c>
      <c r="B663" s="109" t="str">
        <f t="shared" si="266"/>
        <v>Oct 2015</v>
      </c>
      <c r="C663" s="110" t="str">
        <f t="shared" si="267"/>
        <v>RLS</v>
      </c>
      <c r="D663" s="110" t="str">
        <f t="shared" si="268"/>
        <v>LGUM_204</v>
      </c>
      <c r="E663" s="581">
        <f t="shared" si="271"/>
        <v>3835</v>
      </c>
      <c r="F663" s="581">
        <f t="shared" si="272"/>
        <v>0</v>
      </c>
      <c r="G663" s="116">
        <f t="shared" si="273"/>
        <v>13.510000000000002</v>
      </c>
      <c r="H663" s="116">
        <f t="shared" si="274"/>
        <v>4.2000000000000011</v>
      </c>
      <c r="I663" s="118">
        <f t="shared" si="285"/>
        <v>51810.85</v>
      </c>
      <c r="J663" s="118">
        <f t="shared" si="275"/>
        <v>51810.85</v>
      </c>
      <c r="K663" s="570">
        <f t="shared" si="286"/>
        <v>0</v>
      </c>
      <c r="L663" s="121">
        <f t="shared" si="276"/>
        <v>0</v>
      </c>
      <c r="M663" s="122">
        <f t="shared" si="277"/>
        <v>0</v>
      </c>
      <c r="N663" s="122">
        <f t="shared" si="278"/>
        <v>0</v>
      </c>
      <c r="O663" s="122">
        <f t="shared" si="279"/>
        <v>0</v>
      </c>
      <c r="P663" s="122">
        <f t="shared" si="280"/>
        <v>0</v>
      </c>
      <c r="Q663" s="123">
        <f t="shared" si="281"/>
        <v>51810.85</v>
      </c>
      <c r="R663" s="123">
        <f t="shared" si="287"/>
        <v>-51810.85</v>
      </c>
      <c r="S663" s="582">
        <v>0</v>
      </c>
      <c r="T663" s="123">
        <f t="shared" si="288"/>
        <v>-51810.85</v>
      </c>
      <c r="U663" s="25">
        <f t="shared" si="282"/>
        <v>16107</v>
      </c>
      <c r="V663" s="123">
        <f t="shared" si="283"/>
        <v>-16107</v>
      </c>
      <c r="W663" s="334">
        <f t="shared" si="284"/>
        <v>843.7</v>
      </c>
      <c r="Y663" s="109">
        <f>IF(AE663=1,IF(Y662=MiscData!$F$1,EOMONTH(Y662,-11),EOMONTH(Y662,1)),Y662)</f>
        <v>42308</v>
      </c>
      <c r="Z663" s="108" t="str">
        <f t="shared" si="269"/>
        <v>20140101LGUM_204</v>
      </c>
      <c r="AA663" s="126" t="str">
        <f t="shared" si="270"/>
        <v>20140101RLS</v>
      </c>
      <c r="AB663" s="583" t="str">
        <f t="shared" si="289"/>
        <v>204</v>
      </c>
      <c r="AD663" s="98">
        <f>MiscData!$X$5</f>
        <v>20140101</v>
      </c>
      <c r="AE663" s="98">
        <f>IF(AE662+1&gt;MiscData!$AC$77,1,AE662+1)</f>
        <v>3</v>
      </c>
      <c r="AF663" s="98" t="str">
        <f>VLOOKUP(AE663,MiscData!$AC$5:$AD$77,2,FALSE)</f>
        <v>LGUM_204</v>
      </c>
      <c r="AG663" s="98" t="str">
        <f>VLOOKUP(AF663,MiscData!$AD$5:$AE$77,2,FALSE)</f>
        <v>RLS</v>
      </c>
      <c r="AP663" s="98" t="s">
        <v>241</v>
      </c>
      <c r="AR663" s="98">
        <v>0</v>
      </c>
    </row>
    <row r="664" spans="1:44">
      <c r="A664" s="108">
        <f t="shared" si="290"/>
        <v>661</v>
      </c>
      <c r="B664" s="109" t="str">
        <f t="shared" si="266"/>
        <v>Oct 2015</v>
      </c>
      <c r="C664" s="110" t="str">
        <f t="shared" si="267"/>
        <v>RLS</v>
      </c>
      <c r="D664" s="110" t="str">
        <f t="shared" si="268"/>
        <v>LGUM_206</v>
      </c>
      <c r="E664" s="581">
        <f t="shared" si="271"/>
        <v>96</v>
      </c>
      <c r="F664" s="581">
        <f t="shared" si="272"/>
        <v>0</v>
      </c>
      <c r="G664" s="116">
        <f t="shared" si="273"/>
        <v>12.450000000000001</v>
      </c>
      <c r="H664" s="116">
        <f t="shared" si="274"/>
        <v>1.0899999999999999</v>
      </c>
      <c r="I664" s="118">
        <f t="shared" si="285"/>
        <v>1195.2</v>
      </c>
      <c r="J664" s="118">
        <f t="shared" si="275"/>
        <v>1195.2</v>
      </c>
      <c r="K664" s="570">
        <f t="shared" si="286"/>
        <v>0</v>
      </c>
      <c r="L664" s="121">
        <f t="shared" si="276"/>
        <v>0</v>
      </c>
      <c r="M664" s="122">
        <f t="shared" si="277"/>
        <v>0</v>
      </c>
      <c r="N664" s="122">
        <f t="shared" si="278"/>
        <v>0</v>
      </c>
      <c r="O664" s="122">
        <f t="shared" si="279"/>
        <v>0</v>
      </c>
      <c r="P664" s="122">
        <f t="shared" si="280"/>
        <v>0</v>
      </c>
      <c r="Q664" s="123">
        <f t="shared" si="281"/>
        <v>1195.2</v>
      </c>
      <c r="R664" s="123">
        <f t="shared" si="287"/>
        <v>-1195.2</v>
      </c>
      <c r="S664" s="582">
        <v>0</v>
      </c>
      <c r="T664" s="123">
        <f t="shared" si="288"/>
        <v>-1195.2</v>
      </c>
      <c r="U664" s="25">
        <f t="shared" si="282"/>
        <v>104.64</v>
      </c>
      <c r="V664" s="123">
        <f t="shared" si="283"/>
        <v>-104.64</v>
      </c>
      <c r="W664" s="334">
        <f t="shared" si="284"/>
        <v>15.36</v>
      </c>
      <c r="Y664" s="109">
        <f>IF(AE664=1,IF(Y663=MiscData!$F$1,EOMONTH(Y663,-11),EOMONTH(Y663,1)),Y663)</f>
        <v>42308</v>
      </c>
      <c r="Z664" s="108" t="str">
        <f t="shared" si="269"/>
        <v>20140101LGUM_206</v>
      </c>
      <c r="AA664" s="126" t="str">
        <f t="shared" si="270"/>
        <v>20140101RLS</v>
      </c>
      <c r="AB664" s="583" t="str">
        <f t="shared" si="289"/>
        <v>206</v>
      </c>
      <c r="AD664" s="98">
        <f>MiscData!$X$5</f>
        <v>20140101</v>
      </c>
      <c r="AE664" s="98">
        <f>IF(AE663+1&gt;MiscData!$AC$77,1,AE663+1)</f>
        <v>4</v>
      </c>
      <c r="AF664" s="98" t="str">
        <f>VLOOKUP(AE664,MiscData!$AC$5:$AD$77,2,FALSE)</f>
        <v>LGUM_206</v>
      </c>
      <c r="AG664" s="98" t="str">
        <f>VLOOKUP(AF664,MiscData!$AD$5:$AE$77,2,FALSE)</f>
        <v>RLS</v>
      </c>
      <c r="AP664" s="98" t="s">
        <v>242</v>
      </c>
      <c r="AR664" s="98">
        <v>0</v>
      </c>
    </row>
    <row r="665" spans="1:44">
      <c r="A665" s="108">
        <f t="shared" si="290"/>
        <v>662</v>
      </c>
      <c r="B665" s="109" t="str">
        <f t="shared" si="266"/>
        <v>Oct 2015</v>
      </c>
      <c r="C665" s="110" t="str">
        <f t="shared" si="267"/>
        <v>RLS</v>
      </c>
      <c r="D665" s="110" t="str">
        <f t="shared" si="268"/>
        <v>LGUM_207</v>
      </c>
      <c r="E665" s="581">
        <f t="shared" si="271"/>
        <v>790</v>
      </c>
      <c r="F665" s="581">
        <f t="shared" si="272"/>
        <v>0</v>
      </c>
      <c r="G665" s="116">
        <f t="shared" si="273"/>
        <v>15.54</v>
      </c>
      <c r="H665" s="116">
        <f t="shared" si="274"/>
        <v>4.2000000000000011</v>
      </c>
      <c r="I665" s="118">
        <f t="shared" si="285"/>
        <v>12276.6</v>
      </c>
      <c r="J665" s="118">
        <f t="shared" si="275"/>
        <v>12276.6</v>
      </c>
      <c r="K665" s="570">
        <f t="shared" si="286"/>
        <v>0</v>
      </c>
      <c r="L665" s="121">
        <f t="shared" si="276"/>
        <v>0</v>
      </c>
      <c r="M665" s="122">
        <f t="shared" si="277"/>
        <v>0</v>
      </c>
      <c r="N665" s="122">
        <f t="shared" si="278"/>
        <v>0</v>
      </c>
      <c r="O665" s="122">
        <f t="shared" si="279"/>
        <v>0</v>
      </c>
      <c r="P665" s="122">
        <f t="shared" si="280"/>
        <v>0</v>
      </c>
      <c r="Q665" s="123">
        <f t="shared" si="281"/>
        <v>12276.6</v>
      </c>
      <c r="R665" s="123">
        <f t="shared" si="287"/>
        <v>-12276.6</v>
      </c>
      <c r="S665" s="582">
        <v>0</v>
      </c>
      <c r="T665" s="123">
        <f t="shared" si="288"/>
        <v>-12276.6</v>
      </c>
      <c r="U665" s="25">
        <f t="shared" si="282"/>
        <v>3318</v>
      </c>
      <c r="V665" s="123">
        <f t="shared" si="283"/>
        <v>-3318</v>
      </c>
      <c r="W665" s="334">
        <f t="shared" si="284"/>
        <v>173.8</v>
      </c>
      <c r="Y665" s="109">
        <f>IF(AE665=1,IF(Y664=MiscData!$F$1,EOMONTH(Y664,-11),EOMONTH(Y664,1)),Y664)</f>
        <v>42308</v>
      </c>
      <c r="Z665" s="108" t="str">
        <f t="shared" si="269"/>
        <v>20140101LGUM_207</v>
      </c>
      <c r="AA665" s="126" t="str">
        <f t="shared" si="270"/>
        <v>20140101RLS</v>
      </c>
      <c r="AB665" s="583" t="str">
        <f t="shared" si="289"/>
        <v>207</v>
      </c>
      <c r="AD665" s="98">
        <f>MiscData!$X$5</f>
        <v>20140101</v>
      </c>
      <c r="AE665" s="98">
        <f>IF(AE664+1&gt;MiscData!$AC$77,1,AE664+1)</f>
        <v>5</v>
      </c>
      <c r="AF665" s="98" t="str">
        <f>VLOOKUP(AE665,MiscData!$AC$5:$AD$77,2,FALSE)</f>
        <v>LGUM_207</v>
      </c>
      <c r="AG665" s="98" t="str">
        <f>VLOOKUP(AF665,MiscData!$AD$5:$AE$77,2,FALSE)</f>
        <v>RLS</v>
      </c>
      <c r="AP665" s="98" t="s">
        <v>243</v>
      </c>
      <c r="AR665" s="98">
        <v>0</v>
      </c>
    </row>
    <row r="666" spans="1:44">
      <c r="A666" s="108">
        <f t="shared" si="290"/>
        <v>663</v>
      </c>
      <c r="B666" s="109" t="str">
        <f t="shared" si="266"/>
        <v>Oct 2015</v>
      </c>
      <c r="C666" s="110" t="str">
        <f t="shared" si="267"/>
        <v>RLS</v>
      </c>
      <c r="D666" s="110" t="str">
        <f t="shared" si="268"/>
        <v>LGUM_208</v>
      </c>
      <c r="E666" s="581">
        <f t="shared" si="271"/>
        <v>1454</v>
      </c>
      <c r="F666" s="581">
        <f t="shared" si="272"/>
        <v>0</v>
      </c>
      <c r="G666" s="116">
        <f t="shared" si="273"/>
        <v>14.24</v>
      </c>
      <c r="H666" s="116">
        <f t="shared" si="274"/>
        <v>1.9100000000000001</v>
      </c>
      <c r="I666" s="118">
        <f t="shared" si="285"/>
        <v>20704.96</v>
      </c>
      <c r="J666" s="118">
        <f t="shared" si="275"/>
        <v>20704.96</v>
      </c>
      <c r="K666" s="570">
        <f t="shared" si="286"/>
        <v>0</v>
      </c>
      <c r="L666" s="121">
        <f t="shared" si="276"/>
        <v>0</v>
      </c>
      <c r="M666" s="122">
        <f t="shared" si="277"/>
        <v>0</v>
      </c>
      <c r="N666" s="122">
        <f t="shared" si="278"/>
        <v>0</v>
      </c>
      <c r="O666" s="122">
        <f t="shared" si="279"/>
        <v>0</v>
      </c>
      <c r="P666" s="122">
        <f t="shared" si="280"/>
        <v>0</v>
      </c>
      <c r="Q666" s="123">
        <f t="shared" si="281"/>
        <v>20704.96</v>
      </c>
      <c r="R666" s="123">
        <f t="shared" si="287"/>
        <v>-20704.96</v>
      </c>
      <c r="S666" s="582">
        <v>0</v>
      </c>
      <c r="T666" s="123">
        <f t="shared" si="288"/>
        <v>-20704.96</v>
      </c>
      <c r="U666" s="25">
        <f t="shared" si="282"/>
        <v>2777.14</v>
      </c>
      <c r="V666" s="123">
        <f t="shared" si="283"/>
        <v>-2777.14</v>
      </c>
      <c r="W666" s="334">
        <f t="shared" si="284"/>
        <v>232.64000000000001</v>
      </c>
      <c r="Y666" s="109">
        <f>IF(AE666=1,IF(Y665=MiscData!$F$1,EOMONTH(Y665,-11),EOMONTH(Y665,1)),Y665)</f>
        <v>42308</v>
      </c>
      <c r="Z666" s="108" t="str">
        <f t="shared" si="269"/>
        <v>20140101LGUM_208</v>
      </c>
      <c r="AA666" s="126" t="str">
        <f t="shared" si="270"/>
        <v>20140101RLS</v>
      </c>
      <c r="AB666" s="583" t="str">
        <f t="shared" si="289"/>
        <v>208</v>
      </c>
      <c r="AD666" s="98">
        <f>MiscData!$X$5</f>
        <v>20140101</v>
      </c>
      <c r="AE666" s="98">
        <f>IF(AE665+1&gt;MiscData!$AC$77,1,AE665+1)</f>
        <v>6</v>
      </c>
      <c r="AF666" s="98" t="str">
        <f>VLOOKUP(AE666,MiscData!$AC$5:$AD$77,2,FALSE)</f>
        <v>LGUM_208</v>
      </c>
      <c r="AG666" s="98" t="str">
        <f>VLOOKUP(AF666,MiscData!$AD$5:$AE$77,2,FALSE)</f>
        <v>RLS</v>
      </c>
      <c r="AP666" s="98" t="s">
        <v>244</v>
      </c>
      <c r="AR666" s="98">
        <v>-9.8699999999999992</v>
      </c>
    </row>
    <row r="667" spans="1:44">
      <c r="A667" s="108">
        <f t="shared" si="290"/>
        <v>664</v>
      </c>
      <c r="B667" s="109" t="str">
        <f t="shared" si="266"/>
        <v>Oct 2015</v>
      </c>
      <c r="C667" s="110" t="str">
        <f t="shared" si="267"/>
        <v>RLS</v>
      </c>
      <c r="D667" s="110" t="str">
        <f t="shared" si="268"/>
        <v>LGUM_209</v>
      </c>
      <c r="E667" s="581">
        <f t="shared" si="271"/>
        <v>45</v>
      </c>
      <c r="F667" s="581">
        <f t="shared" si="272"/>
        <v>0</v>
      </c>
      <c r="G667" s="116">
        <f t="shared" si="273"/>
        <v>27.69</v>
      </c>
      <c r="H667" s="116">
        <f t="shared" si="274"/>
        <v>10.170000000000002</v>
      </c>
      <c r="I667" s="118">
        <f t="shared" si="285"/>
        <v>1246.05</v>
      </c>
      <c r="J667" s="118">
        <f t="shared" si="275"/>
        <v>1246.05</v>
      </c>
      <c r="K667" s="570">
        <f t="shared" si="286"/>
        <v>0</v>
      </c>
      <c r="L667" s="121">
        <f t="shared" si="276"/>
        <v>0</v>
      </c>
      <c r="M667" s="122">
        <f t="shared" si="277"/>
        <v>0</v>
      </c>
      <c r="N667" s="122">
        <f t="shared" si="278"/>
        <v>0</v>
      </c>
      <c r="O667" s="122">
        <f t="shared" si="279"/>
        <v>0</v>
      </c>
      <c r="P667" s="122">
        <f t="shared" si="280"/>
        <v>0</v>
      </c>
      <c r="Q667" s="123">
        <f t="shared" si="281"/>
        <v>1246.05</v>
      </c>
      <c r="R667" s="123">
        <f t="shared" si="287"/>
        <v>-1246.05</v>
      </c>
      <c r="S667" s="582">
        <v>0</v>
      </c>
      <c r="T667" s="123">
        <f t="shared" si="288"/>
        <v>-1246.05</v>
      </c>
      <c r="U667" s="25">
        <f t="shared" si="282"/>
        <v>457.65</v>
      </c>
      <c r="V667" s="123">
        <f t="shared" si="283"/>
        <v>-457.65</v>
      </c>
      <c r="W667" s="334">
        <f t="shared" si="284"/>
        <v>18.45</v>
      </c>
      <c r="Y667" s="109">
        <f>IF(AE667=1,IF(Y666=MiscData!$F$1,EOMONTH(Y666,-11),EOMONTH(Y666,1)),Y666)</f>
        <v>42308</v>
      </c>
      <c r="Z667" s="108" t="str">
        <f t="shared" si="269"/>
        <v>20140101LGUM_209</v>
      </c>
      <c r="AA667" s="126" t="str">
        <f t="shared" si="270"/>
        <v>20140101RLS</v>
      </c>
      <c r="AB667" s="583" t="str">
        <f t="shared" si="289"/>
        <v>209</v>
      </c>
      <c r="AD667" s="98">
        <f>MiscData!$X$5</f>
        <v>20140101</v>
      </c>
      <c r="AE667" s="98">
        <f>IF(AE666+1&gt;MiscData!$AC$77,1,AE666+1)</f>
        <v>7</v>
      </c>
      <c r="AF667" s="98" t="str">
        <f>VLOOKUP(AE667,MiscData!$AC$5:$AD$77,2,FALSE)</f>
        <v>LGUM_209</v>
      </c>
      <c r="AG667" s="98" t="str">
        <f>VLOOKUP(AF667,MiscData!$AD$5:$AE$77,2,FALSE)</f>
        <v>RLS</v>
      </c>
      <c r="AP667" s="98" t="s">
        <v>245</v>
      </c>
      <c r="AR667" s="98">
        <v>0</v>
      </c>
    </row>
    <row r="668" spans="1:44">
      <c r="A668" s="108">
        <f t="shared" si="290"/>
        <v>665</v>
      </c>
      <c r="B668" s="109" t="str">
        <f t="shared" si="266"/>
        <v>Oct 2015</v>
      </c>
      <c r="C668" s="110" t="str">
        <f t="shared" si="267"/>
        <v>RLS</v>
      </c>
      <c r="D668" s="110" t="str">
        <f t="shared" si="268"/>
        <v>LGUM_210</v>
      </c>
      <c r="E668" s="581">
        <f t="shared" si="271"/>
        <v>362</v>
      </c>
      <c r="F668" s="581">
        <f t="shared" si="272"/>
        <v>0</v>
      </c>
      <c r="G668" s="116">
        <f t="shared" si="273"/>
        <v>28.89</v>
      </c>
      <c r="H668" s="116">
        <f t="shared" si="274"/>
        <v>10.170000000000002</v>
      </c>
      <c r="I668" s="118">
        <f t="shared" si="285"/>
        <v>10458.18</v>
      </c>
      <c r="J668" s="118">
        <f t="shared" si="275"/>
        <v>10458.18</v>
      </c>
      <c r="K668" s="570">
        <f t="shared" si="286"/>
        <v>0</v>
      </c>
      <c r="L668" s="121">
        <f t="shared" si="276"/>
        <v>0</v>
      </c>
      <c r="M668" s="122">
        <f t="shared" si="277"/>
        <v>0</v>
      </c>
      <c r="N668" s="122">
        <f t="shared" si="278"/>
        <v>0</v>
      </c>
      <c r="O668" s="122">
        <f t="shared" si="279"/>
        <v>0</v>
      </c>
      <c r="P668" s="122">
        <f t="shared" si="280"/>
        <v>0</v>
      </c>
      <c r="Q668" s="123">
        <f t="shared" si="281"/>
        <v>10458.18</v>
      </c>
      <c r="R668" s="123">
        <f t="shared" si="287"/>
        <v>-10458.18</v>
      </c>
      <c r="S668" s="582">
        <v>0</v>
      </c>
      <c r="T668" s="123">
        <f t="shared" si="288"/>
        <v>-10458.18</v>
      </c>
      <c r="U668" s="25">
        <f t="shared" si="282"/>
        <v>3681.54</v>
      </c>
      <c r="V668" s="123">
        <f t="shared" si="283"/>
        <v>-3681.54</v>
      </c>
      <c r="W668" s="334">
        <f t="shared" si="284"/>
        <v>148.41999999999999</v>
      </c>
      <c r="Y668" s="109">
        <f>IF(AE668=1,IF(Y667=MiscData!$F$1,EOMONTH(Y667,-11),EOMONTH(Y667,1)),Y667)</f>
        <v>42308</v>
      </c>
      <c r="Z668" s="108" t="str">
        <f t="shared" si="269"/>
        <v>20140101LGUM_210</v>
      </c>
      <c r="AA668" s="126" t="str">
        <f t="shared" si="270"/>
        <v>20140101RLS</v>
      </c>
      <c r="AB668" s="583" t="str">
        <f t="shared" si="289"/>
        <v>210</v>
      </c>
      <c r="AD668" s="98">
        <f>MiscData!$X$5</f>
        <v>20140101</v>
      </c>
      <c r="AE668" s="98">
        <f>IF(AE667+1&gt;MiscData!$AC$77,1,AE667+1)</f>
        <v>8</v>
      </c>
      <c r="AF668" s="98" t="str">
        <f>VLOOKUP(AE668,MiscData!$AC$5:$AD$77,2,FALSE)</f>
        <v>LGUM_210</v>
      </c>
      <c r="AG668" s="98" t="str">
        <f>VLOOKUP(AF668,MiscData!$AD$5:$AE$77,2,FALSE)</f>
        <v>RLS</v>
      </c>
      <c r="AP668" s="98" t="s">
        <v>246</v>
      </c>
      <c r="AR668" s="98">
        <v>0</v>
      </c>
    </row>
    <row r="669" spans="1:44">
      <c r="A669" s="108">
        <f t="shared" si="290"/>
        <v>666</v>
      </c>
      <c r="B669" s="109" t="str">
        <f t="shared" si="266"/>
        <v>Oct 2015</v>
      </c>
      <c r="C669" s="110" t="str">
        <f t="shared" si="267"/>
        <v>RLS</v>
      </c>
      <c r="D669" s="110" t="str">
        <f t="shared" si="268"/>
        <v>LGUM_252</v>
      </c>
      <c r="E669" s="581">
        <f t="shared" si="271"/>
        <v>4003</v>
      </c>
      <c r="F669" s="581">
        <f t="shared" si="272"/>
        <v>0</v>
      </c>
      <c r="G669" s="116">
        <f t="shared" si="273"/>
        <v>9.57</v>
      </c>
      <c r="H669" s="116">
        <f t="shared" si="274"/>
        <v>1.9099999999999993</v>
      </c>
      <c r="I669" s="118">
        <f t="shared" si="285"/>
        <v>38308.71</v>
      </c>
      <c r="J669" s="118">
        <f t="shared" si="275"/>
        <v>38308.71</v>
      </c>
      <c r="K669" s="570">
        <f t="shared" si="286"/>
        <v>0</v>
      </c>
      <c r="L669" s="121">
        <f t="shared" si="276"/>
        <v>0</v>
      </c>
      <c r="M669" s="122">
        <f t="shared" si="277"/>
        <v>0</v>
      </c>
      <c r="N669" s="122">
        <f t="shared" si="278"/>
        <v>0</v>
      </c>
      <c r="O669" s="122">
        <f t="shared" si="279"/>
        <v>0</v>
      </c>
      <c r="P669" s="122">
        <f t="shared" si="280"/>
        <v>0</v>
      </c>
      <c r="Q669" s="123">
        <f t="shared" si="281"/>
        <v>38308.71</v>
      </c>
      <c r="R669" s="123">
        <f t="shared" si="287"/>
        <v>-38308.71</v>
      </c>
      <c r="S669" s="582">
        <v>0</v>
      </c>
      <c r="T669" s="123">
        <f t="shared" si="288"/>
        <v>-38308.71</v>
      </c>
      <c r="U669" s="25">
        <f t="shared" si="282"/>
        <v>7645.73</v>
      </c>
      <c r="V669" s="123">
        <f t="shared" si="283"/>
        <v>-7645.73</v>
      </c>
      <c r="W669" s="334">
        <f t="shared" si="284"/>
        <v>640.48</v>
      </c>
      <c r="Y669" s="109">
        <f>IF(AE669=1,IF(Y668=MiscData!$F$1,EOMONTH(Y668,-11),EOMONTH(Y668,1)),Y668)</f>
        <v>42308</v>
      </c>
      <c r="Z669" s="108" t="str">
        <f t="shared" si="269"/>
        <v>20140101LGUM_252</v>
      </c>
      <c r="AA669" s="126" t="str">
        <f t="shared" si="270"/>
        <v>20140101RLS</v>
      </c>
      <c r="AB669" s="583" t="str">
        <f t="shared" si="289"/>
        <v>252</v>
      </c>
      <c r="AD669" s="98">
        <f>MiscData!$X$5</f>
        <v>20140101</v>
      </c>
      <c r="AE669" s="98">
        <f>IF(AE668+1&gt;MiscData!$AC$77,1,AE668+1)</f>
        <v>9</v>
      </c>
      <c r="AF669" s="98" t="str">
        <f>VLOOKUP(AE669,MiscData!$AC$5:$AD$77,2,FALSE)</f>
        <v>LGUM_252</v>
      </c>
      <c r="AG669" s="98" t="str">
        <f>VLOOKUP(AF669,MiscData!$AD$5:$AE$77,2,FALSE)</f>
        <v>RLS</v>
      </c>
      <c r="AP669" s="98" t="s">
        <v>247</v>
      </c>
      <c r="AR669" s="98">
        <v>0</v>
      </c>
    </row>
    <row r="670" spans="1:44">
      <c r="A670" s="108">
        <f t="shared" si="290"/>
        <v>667</v>
      </c>
      <c r="B670" s="109" t="str">
        <f t="shared" si="266"/>
        <v>Oct 2015</v>
      </c>
      <c r="C670" s="110" t="str">
        <f t="shared" si="267"/>
        <v>RLS</v>
      </c>
      <c r="D670" s="110" t="str">
        <f t="shared" si="268"/>
        <v>LGUM_266</v>
      </c>
      <c r="E670" s="581">
        <f t="shared" si="271"/>
        <v>2011</v>
      </c>
      <c r="F670" s="581">
        <f t="shared" si="272"/>
        <v>0</v>
      </c>
      <c r="G670" s="116">
        <f t="shared" si="273"/>
        <v>27.34</v>
      </c>
      <c r="H670" s="116">
        <f t="shared" si="274"/>
        <v>2.8000000000000007</v>
      </c>
      <c r="I670" s="118">
        <f t="shared" si="285"/>
        <v>54980.74</v>
      </c>
      <c r="J670" s="118">
        <f t="shared" si="275"/>
        <v>54980.74</v>
      </c>
      <c r="K670" s="570">
        <f t="shared" si="286"/>
        <v>0</v>
      </c>
      <c r="L670" s="121">
        <f t="shared" si="276"/>
        <v>0</v>
      </c>
      <c r="M670" s="122">
        <f t="shared" si="277"/>
        <v>0</v>
      </c>
      <c r="N670" s="122">
        <f t="shared" si="278"/>
        <v>0</v>
      </c>
      <c r="O670" s="122">
        <f t="shared" si="279"/>
        <v>0</v>
      </c>
      <c r="P670" s="122">
        <f t="shared" si="280"/>
        <v>0</v>
      </c>
      <c r="Q670" s="123">
        <f t="shared" si="281"/>
        <v>54980.74</v>
      </c>
      <c r="R670" s="123">
        <f t="shared" si="287"/>
        <v>-54980.74</v>
      </c>
      <c r="S670" s="582">
        <v>0</v>
      </c>
      <c r="T670" s="123">
        <f t="shared" si="288"/>
        <v>-54980.74</v>
      </c>
      <c r="U670" s="25">
        <f t="shared" si="282"/>
        <v>5630.8</v>
      </c>
      <c r="V670" s="123">
        <f t="shared" si="283"/>
        <v>-5630.8</v>
      </c>
      <c r="W670" s="334">
        <f t="shared" si="284"/>
        <v>542.97</v>
      </c>
      <c r="Y670" s="109">
        <f>IF(AE670=1,IF(Y669=MiscData!$F$1,EOMONTH(Y669,-11),EOMONTH(Y669,1)),Y669)</f>
        <v>42308</v>
      </c>
      <c r="Z670" s="108" t="str">
        <f t="shared" si="269"/>
        <v>20140101LGUM_266</v>
      </c>
      <c r="AA670" s="126" t="str">
        <f t="shared" si="270"/>
        <v>20140101RLS</v>
      </c>
      <c r="AB670" s="583" t="str">
        <f t="shared" si="289"/>
        <v>266</v>
      </c>
      <c r="AD670" s="98">
        <f>MiscData!$X$5</f>
        <v>20140101</v>
      </c>
      <c r="AE670" s="98">
        <f>IF(AE669+1&gt;MiscData!$AC$77,1,AE669+1)</f>
        <v>10</v>
      </c>
      <c r="AF670" s="98" t="str">
        <f>VLOOKUP(AE670,MiscData!$AC$5:$AD$77,2,FALSE)</f>
        <v>LGUM_266</v>
      </c>
      <c r="AG670" s="98" t="str">
        <f>VLOOKUP(AF670,MiscData!$AD$5:$AE$77,2,FALSE)</f>
        <v>RLS</v>
      </c>
      <c r="AP670" s="98" t="s">
        <v>248</v>
      </c>
      <c r="AR670" s="98">
        <v>-10.75</v>
      </c>
    </row>
    <row r="671" spans="1:44">
      <c r="A671" s="108">
        <f t="shared" si="290"/>
        <v>668</v>
      </c>
      <c r="B671" s="109" t="str">
        <f t="shared" si="266"/>
        <v>Oct 2015</v>
      </c>
      <c r="C671" s="110" t="str">
        <f t="shared" si="267"/>
        <v>RLS</v>
      </c>
      <c r="D671" s="110" t="str">
        <f t="shared" si="268"/>
        <v>LGUM_267</v>
      </c>
      <c r="E671" s="581">
        <f t="shared" si="271"/>
        <v>2261</v>
      </c>
      <c r="F671" s="581">
        <f t="shared" si="272"/>
        <v>0</v>
      </c>
      <c r="G671" s="116">
        <f t="shared" si="273"/>
        <v>31.4</v>
      </c>
      <c r="H671" s="116">
        <f t="shared" si="274"/>
        <v>4.4499999999999993</v>
      </c>
      <c r="I671" s="118">
        <f t="shared" si="285"/>
        <v>70995.399999999994</v>
      </c>
      <c r="J671" s="118">
        <f t="shared" si="275"/>
        <v>70995.399999999994</v>
      </c>
      <c r="K671" s="570">
        <f t="shared" si="286"/>
        <v>0</v>
      </c>
      <c r="L671" s="121">
        <f t="shared" si="276"/>
        <v>0</v>
      </c>
      <c r="M671" s="122">
        <f t="shared" si="277"/>
        <v>0</v>
      </c>
      <c r="N671" s="122">
        <f t="shared" si="278"/>
        <v>0</v>
      </c>
      <c r="O671" s="122">
        <f t="shared" si="279"/>
        <v>0</v>
      </c>
      <c r="P671" s="122">
        <f t="shared" si="280"/>
        <v>0</v>
      </c>
      <c r="Q671" s="123">
        <f t="shared" si="281"/>
        <v>70995.399999999994</v>
      </c>
      <c r="R671" s="123">
        <f t="shared" si="287"/>
        <v>-70995.399999999994</v>
      </c>
      <c r="S671" s="582">
        <v>0</v>
      </c>
      <c r="T671" s="123">
        <f t="shared" si="288"/>
        <v>-70995.399999999994</v>
      </c>
      <c r="U671" s="25">
        <f t="shared" si="282"/>
        <v>10061.450000000001</v>
      </c>
      <c r="V671" s="123">
        <f t="shared" si="283"/>
        <v>-10061.450000000001</v>
      </c>
      <c r="W671" s="334">
        <f t="shared" si="284"/>
        <v>655.68999999999994</v>
      </c>
      <c r="Y671" s="109">
        <f>IF(AE671=1,IF(Y670=MiscData!$F$1,EOMONTH(Y670,-11),EOMONTH(Y670,1)),Y670)</f>
        <v>42308</v>
      </c>
      <c r="Z671" s="108" t="str">
        <f t="shared" si="269"/>
        <v>20140101LGUM_267</v>
      </c>
      <c r="AA671" s="126" t="str">
        <f t="shared" si="270"/>
        <v>20140101RLS</v>
      </c>
      <c r="AB671" s="583" t="str">
        <f t="shared" si="289"/>
        <v>267</v>
      </c>
      <c r="AD671" s="98">
        <f>MiscData!$X$5</f>
        <v>20140101</v>
      </c>
      <c r="AE671" s="98">
        <f>IF(AE670+1&gt;MiscData!$AC$77,1,AE670+1)</f>
        <v>11</v>
      </c>
      <c r="AF671" s="98" t="str">
        <f>VLOOKUP(AE671,MiscData!$AC$5:$AD$77,2,FALSE)</f>
        <v>LGUM_267</v>
      </c>
      <c r="AG671" s="98" t="str">
        <f>VLOOKUP(AF671,MiscData!$AD$5:$AE$77,2,FALSE)</f>
        <v>RLS</v>
      </c>
      <c r="AP671" s="98" t="s">
        <v>249</v>
      </c>
      <c r="AR671" s="98">
        <v>0</v>
      </c>
    </row>
    <row r="672" spans="1:44">
      <c r="A672" s="108">
        <f t="shared" si="290"/>
        <v>669</v>
      </c>
      <c r="B672" s="109" t="str">
        <f t="shared" si="266"/>
        <v>Oct 2015</v>
      </c>
      <c r="C672" s="110" t="str">
        <f t="shared" si="267"/>
        <v>RLS</v>
      </c>
      <c r="D672" s="110" t="str">
        <f t="shared" si="268"/>
        <v>LGUM_274</v>
      </c>
      <c r="E672" s="581">
        <f t="shared" si="271"/>
        <v>16614</v>
      </c>
      <c r="F672" s="581">
        <f t="shared" si="272"/>
        <v>0</v>
      </c>
      <c r="G672" s="116">
        <f t="shared" si="273"/>
        <v>17.189999999999998</v>
      </c>
      <c r="H672" s="116">
        <f t="shared" si="274"/>
        <v>1.2699999999999996</v>
      </c>
      <c r="I672" s="118">
        <f t="shared" si="285"/>
        <v>285594.65999999997</v>
      </c>
      <c r="J672" s="118">
        <f t="shared" si="275"/>
        <v>285594.65999999997</v>
      </c>
      <c r="K672" s="570">
        <f t="shared" si="286"/>
        <v>0</v>
      </c>
      <c r="L672" s="121">
        <f t="shared" si="276"/>
        <v>0</v>
      </c>
      <c r="M672" s="122">
        <f t="shared" si="277"/>
        <v>0</v>
      </c>
      <c r="N672" s="122">
        <f t="shared" si="278"/>
        <v>0</v>
      </c>
      <c r="O672" s="122">
        <f t="shared" si="279"/>
        <v>0</v>
      </c>
      <c r="P672" s="122">
        <f t="shared" si="280"/>
        <v>0</v>
      </c>
      <c r="Q672" s="123">
        <f t="shared" si="281"/>
        <v>285594.65999999997</v>
      </c>
      <c r="R672" s="123">
        <f t="shared" si="287"/>
        <v>-285594.65999999997</v>
      </c>
      <c r="S672" s="582">
        <v>0</v>
      </c>
      <c r="T672" s="123">
        <f t="shared" si="288"/>
        <v>-285594.65999999997</v>
      </c>
      <c r="U672" s="25">
        <f t="shared" si="282"/>
        <v>21099.78</v>
      </c>
      <c r="V672" s="123">
        <f t="shared" si="283"/>
        <v>-21099.78</v>
      </c>
      <c r="W672" s="334">
        <f t="shared" si="284"/>
        <v>4485.7800000000007</v>
      </c>
      <c r="Y672" s="109">
        <f>IF(AE672=1,IF(Y671=MiscData!$F$1,EOMONTH(Y671,-11),EOMONTH(Y671,1)),Y671)</f>
        <v>42308</v>
      </c>
      <c r="Z672" s="108" t="str">
        <f t="shared" si="269"/>
        <v>20140101LGUM_274</v>
      </c>
      <c r="AA672" s="126" t="str">
        <f t="shared" si="270"/>
        <v>20140101RLS</v>
      </c>
      <c r="AB672" s="583" t="str">
        <f t="shared" si="289"/>
        <v>274</v>
      </c>
      <c r="AD672" s="98">
        <f>MiscData!$X$5</f>
        <v>20140101</v>
      </c>
      <c r="AE672" s="98">
        <f>IF(AE671+1&gt;MiscData!$AC$77,1,AE671+1)</f>
        <v>12</v>
      </c>
      <c r="AF672" s="98" t="str">
        <f>VLOOKUP(AE672,MiscData!$AC$5:$AD$77,2,FALSE)</f>
        <v>LGUM_274</v>
      </c>
      <c r="AG672" s="98" t="str">
        <f>VLOOKUP(AF672,MiscData!$AD$5:$AE$77,2,FALSE)</f>
        <v>RLS</v>
      </c>
      <c r="AP672" s="98" t="s">
        <v>250</v>
      </c>
      <c r="AR672" s="98">
        <v>0</v>
      </c>
    </row>
    <row r="673" spans="1:44">
      <c r="A673" s="108">
        <f t="shared" si="290"/>
        <v>670</v>
      </c>
      <c r="B673" s="109" t="str">
        <f t="shared" si="266"/>
        <v>Oct 2015</v>
      </c>
      <c r="C673" s="110" t="str">
        <f t="shared" si="267"/>
        <v>RLS</v>
      </c>
      <c r="D673" s="110" t="str">
        <f t="shared" si="268"/>
        <v>LGUM_275</v>
      </c>
      <c r="E673" s="581">
        <f t="shared" si="271"/>
        <v>529</v>
      </c>
      <c r="F673" s="581">
        <f t="shared" si="272"/>
        <v>0</v>
      </c>
      <c r="G673" s="116">
        <f t="shared" si="273"/>
        <v>24.89</v>
      </c>
      <c r="H673" s="116">
        <f t="shared" si="274"/>
        <v>1.7899999999999991</v>
      </c>
      <c r="I673" s="118">
        <f t="shared" si="285"/>
        <v>13166.81</v>
      </c>
      <c r="J673" s="118">
        <f t="shared" si="275"/>
        <v>13166.81</v>
      </c>
      <c r="K673" s="570">
        <f t="shared" si="286"/>
        <v>0</v>
      </c>
      <c r="L673" s="121">
        <f t="shared" si="276"/>
        <v>0</v>
      </c>
      <c r="M673" s="122">
        <f t="shared" si="277"/>
        <v>0</v>
      </c>
      <c r="N673" s="122">
        <f t="shared" si="278"/>
        <v>0</v>
      </c>
      <c r="O673" s="122">
        <f t="shared" si="279"/>
        <v>0</v>
      </c>
      <c r="P673" s="122">
        <f t="shared" si="280"/>
        <v>0</v>
      </c>
      <c r="Q673" s="123">
        <f t="shared" si="281"/>
        <v>13166.81</v>
      </c>
      <c r="R673" s="123">
        <f t="shared" si="287"/>
        <v>-13166.81</v>
      </c>
      <c r="S673" s="582">
        <v>0</v>
      </c>
      <c r="T673" s="123">
        <f t="shared" si="288"/>
        <v>-13166.81</v>
      </c>
      <c r="U673" s="25">
        <f t="shared" si="282"/>
        <v>946.91</v>
      </c>
      <c r="V673" s="123">
        <f t="shared" si="283"/>
        <v>-946.91</v>
      </c>
      <c r="W673" s="334">
        <f t="shared" si="284"/>
        <v>126.96</v>
      </c>
      <c r="Y673" s="109">
        <f>IF(AE673=1,IF(Y672=MiscData!$F$1,EOMONTH(Y672,-11),EOMONTH(Y672,1)),Y672)</f>
        <v>42308</v>
      </c>
      <c r="Z673" s="108" t="str">
        <f t="shared" si="269"/>
        <v>20140101LGUM_275</v>
      </c>
      <c r="AA673" s="126" t="str">
        <f t="shared" si="270"/>
        <v>20140101RLS</v>
      </c>
      <c r="AB673" s="583" t="str">
        <f t="shared" si="289"/>
        <v>275</v>
      </c>
      <c r="AD673" s="98">
        <f>MiscData!$X$5</f>
        <v>20140101</v>
      </c>
      <c r="AE673" s="98">
        <f>IF(AE672+1&gt;MiscData!$AC$77,1,AE672+1)</f>
        <v>13</v>
      </c>
      <c r="AF673" s="98" t="str">
        <f>VLOOKUP(AE673,MiscData!$AC$5:$AD$77,2,FALSE)</f>
        <v>LGUM_275</v>
      </c>
      <c r="AG673" s="98" t="str">
        <f>VLOOKUP(AF673,MiscData!$AD$5:$AE$77,2,FALSE)</f>
        <v>RLS</v>
      </c>
      <c r="AP673" s="98" t="s">
        <v>251</v>
      </c>
      <c r="AR673" s="98">
        <v>0</v>
      </c>
    </row>
    <row r="674" spans="1:44">
      <c r="A674" s="108">
        <f t="shared" si="290"/>
        <v>671</v>
      </c>
      <c r="B674" s="109" t="str">
        <f t="shared" si="266"/>
        <v>Oct 2015</v>
      </c>
      <c r="C674" s="110" t="str">
        <f t="shared" si="267"/>
        <v>RLS</v>
      </c>
      <c r="D674" s="110" t="str">
        <f t="shared" si="268"/>
        <v>LGUM_276</v>
      </c>
      <c r="E674" s="581">
        <f t="shared" si="271"/>
        <v>1283</v>
      </c>
      <c r="F674" s="581">
        <f t="shared" si="272"/>
        <v>0</v>
      </c>
      <c r="G674" s="116">
        <f t="shared" si="273"/>
        <v>14.17</v>
      </c>
      <c r="H674" s="116">
        <f t="shared" si="274"/>
        <v>0.88000000000000078</v>
      </c>
      <c r="I674" s="118">
        <f t="shared" si="285"/>
        <v>18180.11</v>
      </c>
      <c r="J674" s="118">
        <f t="shared" si="275"/>
        <v>18180.11</v>
      </c>
      <c r="K674" s="570">
        <f t="shared" si="286"/>
        <v>0</v>
      </c>
      <c r="L674" s="121">
        <f t="shared" si="276"/>
        <v>0</v>
      </c>
      <c r="M674" s="122">
        <f t="shared" si="277"/>
        <v>0</v>
      </c>
      <c r="N674" s="122">
        <f t="shared" si="278"/>
        <v>0</v>
      </c>
      <c r="O674" s="122">
        <f t="shared" si="279"/>
        <v>0</v>
      </c>
      <c r="P674" s="122">
        <f t="shared" si="280"/>
        <v>0</v>
      </c>
      <c r="Q674" s="123">
        <f t="shared" si="281"/>
        <v>18180.11</v>
      </c>
      <c r="R674" s="123">
        <f t="shared" si="287"/>
        <v>-18180.11</v>
      </c>
      <c r="S674" s="582">
        <v>0</v>
      </c>
      <c r="T674" s="123">
        <f t="shared" si="288"/>
        <v>-18180.11</v>
      </c>
      <c r="U674" s="25">
        <f t="shared" si="282"/>
        <v>1129.04</v>
      </c>
      <c r="V674" s="123">
        <f t="shared" si="283"/>
        <v>-1129.04</v>
      </c>
      <c r="W674" s="334">
        <f t="shared" si="284"/>
        <v>333.58</v>
      </c>
      <c r="Y674" s="109">
        <f>IF(AE674=1,IF(Y673=MiscData!$F$1,EOMONTH(Y673,-11),EOMONTH(Y673,1)),Y673)</f>
        <v>42308</v>
      </c>
      <c r="Z674" s="108" t="str">
        <f t="shared" si="269"/>
        <v>20140101LGUM_276</v>
      </c>
      <c r="AA674" s="126" t="str">
        <f t="shared" si="270"/>
        <v>20140101RLS</v>
      </c>
      <c r="AB674" s="583" t="str">
        <f t="shared" si="289"/>
        <v>276</v>
      </c>
      <c r="AD674" s="98">
        <f>MiscData!$X$5</f>
        <v>20140101</v>
      </c>
      <c r="AE674" s="98">
        <f>IF(AE673+1&gt;MiscData!$AC$77,1,AE673+1)</f>
        <v>14</v>
      </c>
      <c r="AF674" s="98" t="str">
        <f>VLOOKUP(AE674,MiscData!$AC$5:$AD$77,2,FALSE)</f>
        <v>LGUM_276</v>
      </c>
      <c r="AG674" s="98" t="str">
        <f>VLOOKUP(AF674,MiscData!$AD$5:$AE$77,2,FALSE)</f>
        <v>RLS</v>
      </c>
      <c r="AP674" s="98" t="s">
        <v>252</v>
      </c>
      <c r="AR674" s="98">
        <v>0</v>
      </c>
    </row>
    <row r="675" spans="1:44">
      <c r="A675" s="108">
        <f t="shared" si="290"/>
        <v>672</v>
      </c>
      <c r="B675" s="109" t="str">
        <f t="shared" si="266"/>
        <v>Oct 2015</v>
      </c>
      <c r="C675" s="110" t="str">
        <f t="shared" si="267"/>
        <v>RLS</v>
      </c>
      <c r="D675" s="110" t="str">
        <f t="shared" si="268"/>
        <v>LGUM_277</v>
      </c>
      <c r="E675" s="581">
        <f t="shared" si="271"/>
        <v>2259</v>
      </c>
      <c r="F675" s="581">
        <f t="shared" si="272"/>
        <v>0</v>
      </c>
      <c r="G675" s="116">
        <f t="shared" si="273"/>
        <v>22.15</v>
      </c>
      <c r="H675" s="116">
        <f t="shared" si="274"/>
        <v>1.7900000000000027</v>
      </c>
      <c r="I675" s="118">
        <f t="shared" si="285"/>
        <v>50036.85</v>
      </c>
      <c r="J675" s="118">
        <f t="shared" si="275"/>
        <v>50036.85</v>
      </c>
      <c r="K675" s="570">
        <f t="shared" si="286"/>
        <v>0</v>
      </c>
      <c r="L675" s="121">
        <f t="shared" si="276"/>
        <v>0</v>
      </c>
      <c r="M675" s="122">
        <f t="shared" si="277"/>
        <v>0</v>
      </c>
      <c r="N675" s="122">
        <f t="shared" si="278"/>
        <v>0</v>
      </c>
      <c r="O675" s="122">
        <f t="shared" si="279"/>
        <v>0</v>
      </c>
      <c r="P675" s="122">
        <f t="shared" si="280"/>
        <v>0</v>
      </c>
      <c r="Q675" s="123">
        <f t="shared" si="281"/>
        <v>50036.85</v>
      </c>
      <c r="R675" s="123">
        <f t="shared" si="287"/>
        <v>-50036.85</v>
      </c>
      <c r="S675" s="582">
        <v>0</v>
      </c>
      <c r="T675" s="123">
        <f t="shared" si="288"/>
        <v>-50036.85</v>
      </c>
      <c r="U675" s="25">
        <f t="shared" si="282"/>
        <v>4043.61</v>
      </c>
      <c r="V675" s="123">
        <f t="shared" si="283"/>
        <v>-4043.61</v>
      </c>
      <c r="W675" s="334">
        <f t="shared" si="284"/>
        <v>542.16</v>
      </c>
      <c r="Y675" s="109">
        <f>IF(AE675=1,IF(Y674=MiscData!$F$1,EOMONTH(Y674,-11),EOMONTH(Y674,1)),Y674)</f>
        <v>42308</v>
      </c>
      <c r="Z675" s="108" t="str">
        <f t="shared" si="269"/>
        <v>20140101LGUM_277</v>
      </c>
      <c r="AA675" s="126" t="str">
        <f t="shared" si="270"/>
        <v>20140101RLS</v>
      </c>
      <c r="AB675" s="583" t="str">
        <f t="shared" si="289"/>
        <v>277</v>
      </c>
      <c r="AD675" s="98">
        <f>MiscData!$X$5</f>
        <v>20140101</v>
      </c>
      <c r="AE675" s="98">
        <f>IF(AE674+1&gt;MiscData!$AC$77,1,AE674+1)</f>
        <v>15</v>
      </c>
      <c r="AF675" s="98" t="str">
        <f>VLOOKUP(AE675,MiscData!$AC$5:$AD$77,2,FALSE)</f>
        <v>LGUM_277</v>
      </c>
      <c r="AG675" s="98" t="str">
        <f>VLOOKUP(AF675,MiscData!$AD$5:$AE$77,2,FALSE)</f>
        <v>RLS</v>
      </c>
      <c r="AP675" s="98" t="s">
        <v>253</v>
      </c>
      <c r="AR675" s="98">
        <v>0</v>
      </c>
    </row>
    <row r="676" spans="1:44">
      <c r="A676" s="108">
        <f t="shared" si="290"/>
        <v>673</v>
      </c>
      <c r="B676" s="109" t="str">
        <f t="shared" si="266"/>
        <v>Oct 2015</v>
      </c>
      <c r="C676" s="110" t="str">
        <f t="shared" si="267"/>
        <v>RLS</v>
      </c>
      <c r="D676" s="110" t="str">
        <f t="shared" si="268"/>
        <v>LGUM_278</v>
      </c>
      <c r="E676" s="581">
        <f t="shared" si="271"/>
        <v>16</v>
      </c>
      <c r="F676" s="581">
        <f t="shared" si="272"/>
        <v>0</v>
      </c>
      <c r="G676" s="116">
        <f t="shared" si="273"/>
        <v>72.550000000000011</v>
      </c>
      <c r="H676" s="116">
        <f t="shared" si="274"/>
        <v>9.8400000000000034</v>
      </c>
      <c r="I676" s="118">
        <f t="shared" si="285"/>
        <v>1160.8</v>
      </c>
      <c r="J676" s="118">
        <f t="shared" si="275"/>
        <v>1160.8</v>
      </c>
      <c r="K676" s="570">
        <f t="shared" si="286"/>
        <v>0</v>
      </c>
      <c r="L676" s="121">
        <f t="shared" si="276"/>
        <v>0</v>
      </c>
      <c r="M676" s="122">
        <f t="shared" si="277"/>
        <v>0</v>
      </c>
      <c r="N676" s="122">
        <f t="shared" si="278"/>
        <v>0</v>
      </c>
      <c r="O676" s="122">
        <f t="shared" si="279"/>
        <v>0</v>
      </c>
      <c r="P676" s="122">
        <f t="shared" si="280"/>
        <v>0</v>
      </c>
      <c r="Q676" s="123">
        <f t="shared" si="281"/>
        <v>1160.8</v>
      </c>
      <c r="R676" s="123">
        <f t="shared" si="287"/>
        <v>-1160.8</v>
      </c>
      <c r="S676" s="582">
        <v>0</v>
      </c>
      <c r="T676" s="123">
        <f t="shared" si="288"/>
        <v>-1160.8</v>
      </c>
      <c r="U676" s="25">
        <f t="shared" si="282"/>
        <v>157.44</v>
      </c>
      <c r="V676" s="123">
        <f t="shared" si="283"/>
        <v>-157.44</v>
      </c>
      <c r="W676" s="334">
        <f t="shared" si="284"/>
        <v>14.4</v>
      </c>
      <c r="Y676" s="109">
        <f>IF(AE676=1,IF(Y675=MiscData!$F$1,EOMONTH(Y675,-11),EOMONTH(Y675,1)),Y675)</f>
        <v>42308</v>
      </c>
      <c r="Z676" s="108" t="str">
        <f t="shared" si="269"/>
        <v>20140101LGUM_278</v>
      </c>
      <c r="AA676" s="126" t="str">
        <f t="shared" si="270"/>
        <v>20140101RLS</v>
      </c>
      <c r="AB676" s="583" t="str">
        <f t="shared" si="289"/>
        <v>278</v>
      </c>
      <c r="AD676" s="98">
        <f>MiscData!$X$5</f>
        <v>20140101</v>
      </c>
      <c r="AE676" s="98">
        <f>IF(AE675+1&gt;MiscData!$AC$77,1,AE675+1)</f>
        <v>16</v>
      </c>
      <c r="AF676" s="98" t="str">
        <f>VLOOKUP(AE676,MiscData!$AC$5:$AD$77,2,FALSE)</f>
        <v>LGUM_278</v>
      </c>
      <c r="AG676" s="98" t="str">
        <f>VLOOKUP(AF676,MiscData!$AD$5:$AE$77,2,FALSE)</f>
        <v>RLS</v>
      </c>
      <c r="AP676" s="98" t="s">
        <v>254</v>
      </c>
      <c r="AR676" s="98">
        <v>0</v>
      </c>
    </row>
    <row r="677" spans="1:44">
      <c r="A677" s="108">
        <f t="shared" si="290"/>
        <v>674</v>
      </c>
      <c r="B677" s="109" t="str">
        <f t="shared" si="266"/>
        <v>Oct 2015</v>
      </c>
      <c r="C677" s="110" t="str">
        <f t="shared" si="267"/>
        <v>RLS</v>
      </c>
      <c r="D677" s="110" t="str">
        <f t="shared" si="268"/>
        <v>LGUM_279</v>
      </c>
      <c r="E677" s="581">
        <f t="shared" si="271"/>
        <v>11</v>
      </c>
      <c r="F677" s="581">
        <f t="shared" si="272"/>
        <v>0</v>
      </c>
      <c r="G677" s="116">
        <f t="shared" si="273"/>
        <v>41.43</v>
      </c>
      <c r="H677" s="116">
        <f t="shared" si="274"/>
        <v>9.8399999999999963</v>
      </c>
      <c r="I677" s="118">
        <f t="shared" si="285"/>
        <v>455.73</v>
      </c>
      <c r="J677" s="118">
        <f t="shared" si="275"/>
        <v>455.73</v>
      </c>
      <c r="K677" s="570">
        <f t="shared" si="286"/>
        <v>0</v>
      </c>
      <c r="L677" s="121">
        <f t="shared" si="276"/>
        <v>0</v>
      </c>
      <c r="M677" s="122">
        <f t="shared" si="277"/>
        <v>0</v>
      </c>
      <c r="N677" s="122">
        <f t="shared" si="278"/>
        <v>0</v>
      </c>
      <c r="O677" s="122">
        <f t="shared" si="279"/>
        <v>0</v>
      </c>
      <c r="P677" s="122">
        <f t="shared" si="280"/>
        <v>0</v>
      </c>
      <c r="Q677" s="123">
        <f t="shared" si="281"/>
        <v>455.73</v>
      </c>
      <c r="R677" s="123">
        <f t="shared" si="287"/>
        <v>-455.73</v>
      </c>
      <c r="S677" s="582">
        <v>0</v>
      </c>
      <c r="T677" s="123">
        <f t="shared" si="288"/>
        <v>-455.73</v>
      </c>
      <c r="U677" s="25">
        <f t="shared" si="282"/>
        <v>108.24</v>
      </c>
      <c r="V677" s="123">
        <f t="shared" si="283"/>
        <v>-108.24</v>
      </c>
      <c r="W677" s="334">
        <f t="shared" si="284"/>
        <v>9.9</v>
      </c>
      <c r="Y677" s="109">
        <f>IF(AE677=1,IF(Y676=MiscData!$F$1,EOMONTH(Y676,-11),EOMONTH(Y676,1)),Y676)</f>
        <v>42308</v>
      </c>
      <c r="Z677" s="108" t="str">
        <f t="shared" si="269"/>
        <v>20140101LGUM_279</v>
      </c>
      <c r="AA677" s="126" t="str">
        <f t="shared" si="270"/>
        <v>20140101RLS</v>
      </c>
      <c r="AB677" s="583" t="str">
        <f t="shared" si="289"/>
        <v>279</v>
      </c>
      <c r="AD677" s="98">
        <f>MiscData!$X$5</f>
        <v>20140101</v>
      </c>
      <c r="AE677" s="98">
        <f>IF(AE676+1&gt;MiscData!$AC$77,1,AE676+1)</f>
        <v>17</v>
      </c>
      <c r="AF677" s="98" t="str">
        <f>VLOOKUP(AE677,MiscData!$AC$5:$AD$77,2,FALSE)</f>
        <v>LGUM_279</v>
      </c>
      <c r="AG677" s="98" t="str">
        <f>VLOOKUP(AF677,MiscData!$AD$5:$AE$77,2,FALSE)</f>
        <v>RLS</v>
      </c>
      <c r="AP677" s="98" t="s">
        <v>532</v>
      </c>
      <c r="AR677" s="98">
        <v>0</v>
      </c>
    </row>
    <row r="678" spans="1:44">
      <c r="A678" s="108">
        <f t="shared" si="290"/>
        <v>675</v>
      </c>
      <c r="B678" s="109" t="str">
        <f t="shared" si="266"/>
        <v>Oct 2015</v>
      </c>
      <c r="C678" s="110" t="str">
        <f t="shared" si="267"/>
        <v>RLS</v>
      </c>
      <c r="D678" s="110" t="str">
        <f t="shared" si="268"/>
        <v>LGUM_280</v>
      </c>
      <c r="E678" s="581">
        <f t="shared" si="271"/>
        <v>45</v>
      </c>
      <c r="F678" s="581">
        <f t="shared" si="272"/>
        <v>0</v>
      </c>
      <c r="G678" s="116">
        <f t="shared" si="273"/>
        <v>19.38</v>
      </c>
      <c r="H678" s="116">
        <f t="shared" si="274"/>
        <v>0.87999999999999901</v>
      </c>
      <c r="I678" s="118">
        <f t="shared" si="285"/>
        <v>872.1</v>
      </c>
      <c r="J678" s="118">
        <f t="shared" si="275"/>
        <v>872.1</v>
      </c>
      <c r="K678" s="570">
        <f t="shared" si="286"/>
        <v>0</v>
      </c>
      <c r="L678" s="121">
        <f t="shared" si="276"/>
        <v>0</v>
      </c>
      <c r="M678" s="122">
        <f t="shared" si="277"/>
        <v>0</v>
      </c>
      <c r="N678" s="122">
        <f t="shared" si="278"/>
        <v>0</v>
      </c>
      <c r="O678" s="122">
        <f t="shared" si="279"/>
        <v>0</v>
      </c>
      <c r="P678" s="122">
        <f t="shared" si="280"/>
        <v>0</v>
      </c>
      <c r="Q678" s="123">
        <f t="shared" si="281"/>
        <v>872.1</v>
      </c>
      <c r="R678" s="123">
        <f t="shared" si="287"/>
        <v>-872.1</v>
      </c>
      <c r="S678" s="582">
        <v>0</v>
      </c>
      <c r="T678" s="123">
        <f t="shared" si="288"/>
        <v>-872.1</v>
      </c>
      <c r="U678" s="25">
        <f t="shared" si="282"/>
        <v>39.6</v>
      </c>
      <c r="V678" s="123">
        <f t="shared" si="283"/>
        <v>-39.6</v>
      </c>
      <c r="W678" s="334">
        <f t="shared" si="284"/>
        <v>11.700000000000001</v>
      </c>
      <c r="Y678" s="109">
        <f>IF(AE678=1,IF(Y677=MiscData!$F$1,EOMONTH(Y677,-11),EOMONTH(Y677,1)),Y677)</f>
        <v>42308</v>
      </c>
      <c r="Z678" s="108" t="str">
        <f t="shared" si="269"/>
        <v>20140101LGUM_280</v>
      </c>
      <c r="AA678" s="126" t="str">
        <f t="shared" si="270"/>
        <v>20140101RLS</v>
      </c>
      <c r="AB678" s="583" t="str">
        <f t="shared" si="289"/>
        <v>280</v>
      </c>
      <c r="AD678" s="98">
        <f>MiscData!$X$5</f>
        <v>20140101</v>
      </c>
      <c r="AE678" s="98">
        <f>IF(AE677+1&gt;MiscData!$AC$77,1,AE677+1)</f>
        <v>18</v>
      </c>
      <c r="AF678" s="98" t="str">
        <f>VLOOKUP(AE678,MiscData!$AC$5:$AD$77,2,FALSE)</f>
        <v>LGUM_280</v>
      </c>
      <c r="AG678" s="98" t="str">
        <f>VLOOKUP(AF678,MiscData!$AD$5:$AE$77,2,FALSE)</f>
        <v>RLS</v>
      </c>
      <c r="AP678" s="98" t="s">
        <v>534</v>
      </c>
      <c r="AR678" s="98">
        <v>0</v>
      </c>
    </row>
    <row r="679" spans="1:44">
      <c r="A679" s="108">
        <f t="shared" si="290"/>
        <v>676</v>
      </c>
      <c r="B679" s="109" t="str">
        <f t="shared" si="266"/>
        <v>Oct 2015</v>
      </c>
      <c r="C679" s="110" t="str">
        <f t="shared" si="267"/>
        <v>RLS</v>
      </c>
      <c r="D679" s="110" t="str">
        <f t="shared" si="268"/>
        <v>LGUM_281</v>
      </c>
      <c r="E679" s="581">
        <f t="shared" si="271"/>
        <v>239</v>
      </c>
      <c r="F679" s="581">
        <f t="shared" si="272"/>
        <v>0</v>
      </c>
      <c r="G679" s="116">
        <f t="shared" si="273"/>
        <v>20.349999999999998</v>
      </c>
      <c r="H679" s="116">
        <f t="shared" si="274"/>
        <v>1.2699999999999996</v>
      </c>
      <c r="I679" s="118">
        <f t="shared" si="285"/>
        <v>4863.6499999999996</v>
      </c>
      <c r="J679" s="118">
        <f t="shared" si="275"/>
        <v>4863.6499999999996</v>
      </c>
      <c r="K679" s="570">
        <f t="shared" si="286"/>
        <v>0</v>
      </c>
      <c r="L679" s="121">
        <f t="shared" si="276"/>
        <v>0</v>
      </c>
      <c r="M679" s="122">
        <f t="shared" si="277"/>
        <v>0</v>
      </c>
      <c r="N679" s="122">
        <f t="shared" si="278"/>
        <v>0</v>
      </c>
      <c r="O679" s="122">
        <f t="shared" si="279"/>
        <v>0</v>
      </c>
      <c r="P679" s="122">
        <f t="shared" si="280"/>
        <v>0</v>
      </c>
      <c r="Q679" s="123">
        <f t="shared" si="281"/>
        <v>4863.6499999999996</v>
      </c>
      <c r="R679" s="123">
        <f t="shared" si="287"/>
        <v>-4863.6499999999996</v>
      </c>
      <c r="S679" s="582">
        <v>0</v>
      </c>
      <c r="T679" s="123">
        <f t="shared" si="288"/>
        <v>-4863.6499999999996</v>
      </c>
      <c r="U679" s="25">
        <f t="shared" si="282"/>
        <v>303.52999999999997</v>
      </c>
      <c r="V679" s="123">
        <f t="shared" si="283"/>
        <v>-303.52999999999997</v>
      </c>
      <c r="W679" s="334">
        <f t="shared" si="284"/>
        <v>64.53</v>
      </c>
      <c r="Y679" s="109">
        <f>IF(AE679=1,IF(Y678=MiscData!$F$1,EOMONTH(Y678,-11),EOMONTH(Y678,1)),Y678)</f>
        <v>42308</v>
      </c>
      <c r="Z679" s="108" t="str">
        <f t="shared" si="269"/>
        <v>20140101LGUM_281</v>
      </c>
      <c r="AA679" s="126" t="str">
        <f t="shared" si="270"/>
        <v>20140101RLS</v>
      </c>
      <c r="AB679" s="583" t="str">
        <f t="shared" si="289"/>
        <v>281</v>
      </c>
      <c r="AD679" s="98">
        <f>MiscData!$X$5</f>
        <v>20140101</v>
      </c>
      <c r="AE679" s="98">
        <f>IF(AE678+1&gt;MiscData!$AC$77,1,AE678+1)</f>
        <v>19</v>
      </c>
      <c r="AF679" s="98" t="str">
        <f>VLOOKUP(AE679,MiscData!$AC$5:$AD$77,2,FALSE)</f>
        <v>LGUM_281</v>
      </c>
      <c r="AG679" s="98" t="str">
        <f>VLOOKUP(AF679,MiscData!$AD$5:$AE$77,2,FALSE)</f>
        <v>RLS</v>
      </c>
      <c r="AP679" s="98" t="s">
        <v>255</v>
      </c>
      <c r="AR679" s="98">
        <v>0</v>
      </c>
    </row>
    <row r="680" spans="1:44">
      <c r="A680" s="108">
        <f t="shared" si="290"/>
        <v>677</v>
      </c>
      <c r="B680" s="109" t="str">
        <f t="shared" si="266"/>
        <v>Oct 2015</v>
      </c>
      <c r="C680" s="110" t="str">
        <f t="shared" si="267"/>
        <v>RLS</v>
      </c>
      <c r="D680" s="110" t="str">
        <f t="shared" si="268"/>
        <v>LGUM_282</v>
      </c>
      <c r="E680" s="581">
        <f t="shared" si="271"/>
        <v>103</v>
      </c>
      <c r="F680" s="581">
        <f t="shared" si="272"/>
        <v>0</v>
      </c>
      <c r="G680" s="116">
        <f t="shared" si="273"/>
        <v>19.53</v>
      </c>
      <c r="H680" s="116">
        <f t="shared" si="274"/>
        <v>0.87999999999999901</v>
      </c>
      <c r="I680" s="118">
        <f t="shared" si="285"/>
        <v>2011.59</v>
      </c>
      <c r="J680" s="118">
        <f t="shared" si="275"/>
        <v>2011.59</v>
      </c>
      <c r="K680" s="570">
        <f t="shared" si="286"/>
        <v>0</v>
      </c>
      <c r="L680" s="121">
        <f t="shared" si="276"/>
        <v>0</v>
      </c>
      <c r="M680" s="122">
        <f t="shared" si="277"/>
        <v>0</v>
      </c>
      <c r="N680" s="122">
        <f t="shared" si="278"/>
        <v>0</v>
      </c>
      <c r="O680" s="122">
        <f t="shared" si="279"/>
        <v>0</v>
      </c>
      <c r="P680" s="122">
        <f t="shared" si="280"/>
        <v>0</v>
      </c>
      <c r="Q680" s="123">
        <f t="shared" si="281"/>
        <v>2011.59</v>
      </c>
      <c r="R680" s="123">
        <f t="shared" si="287"/>
        <v>-2011.59</v>
      </c>
      <c r="S680" s="582">
        <v>0</v>
      </c>
      <c r="T680" s="123">
        <f t="shared" si="288"/>
        <v>-2011.59</v>
      </c>
      <c r="U680" s="25">
        <f t="shared" si="282"/>
        <v>90.64</v>
      </c>
      <c r="V680" s="123">
        <f t="shared" si="283"/>
        <v>-90.64</v>
      </c>
      <c r="W680" s="334">
        <f t="shared" si="284"/>
        <v>26.78</v>
      </c>
      <c r="Y680" s="109">
        <f>IF(AE680=1,IF(Y679=MiscData!$F$1,EOMONTH(Y679,-11),EOMONTH(Y679,1)),Y679)</f>
        <v>42308</v>
      </c>
      <c r="Z680" s="108" t="str">
        <f t="shared" si="269"/>
        <v>20140101LGUM_282</v>
      </c>
      <c r="AA680" s="126" t="str">
        <f t="shared" si="270"/>
        <v>20140101RLS</v>
      </c>
      <c r="AB680" s="583" t="str">
        <f t="shared" si="289"/>
        <v>282</v>
      </c>
      <c r="AD680" s="98">
        <f>MiscData!$X$5</f>
        <v>20140101</v>
      </c>
      <c r="AE680" s="98">
        <f>IF(AE679+1&gt;MiscData!$AC$77,1,AE679+1)</f>
        <v>20</v>
      </c>
      <c r="AF680" s="98" t="str">
        <f>VLOOKUP(AE680,MiscData!$AC$5:$AD$77,2,FALSE)</f>
        <v>LGUM_282</v>
      </c>
      <c r="AG680" s="98" t="str">
        <f>VLOOKUP(AF680,MiscData!$AD$5:$AE$77,2,FALSE)</f>
        <v>RLS</v>
      </c>
      <c r="AP680" s="98" t="s">
        <v>256</v>
      </c>
      <c r="AR680" s="98">
        <v>0</v>
      </c>
    </row>
    <row r="681" spans="1:44">
      <c r="A681" s="108">
        <f t="shared" si="290"/>
        <v>678</v>
      </c>
      <c r="B681" s="109" t="str">
        <f t="shared" si="266"/>
        <v>Oct 2015</v>
      </c>
      <c r="C681" s="110" t="str">
        <f t="shared" si="267"/>
        <v>RLS</v>
      </c>
      <c r="D681" s="110" t="str">
        <f t="shared" si="268"/>
        <v>LGUM_283</v>
      </c>
      <c r="E681" s="581">
        <f t="shared" si="271"/>
        <v>79</v>
      </c>
      <c r="F681" s="581">
        <f t="shared" si="272"/>
        <v>0</v>
      </c>
      <c r="G681" s="116">
        <f t="shared" si="273"/>
        <v>20.819999999999997</v>
      </c>
      <c r="H681" s="116">
        <f t="shared" si="274"/>
        <v>1.2699999999999996</v>
      </c>
      <c r="I681" s="118">
        <f t="shared" si="285"/>
        <v>1644.78</v>
      </c>
      <c r="J681" s="118">
        <f t="shared" si="275"/>
        <v>1644.78</v>
      </c>
      <c r="K681" s="570">
        <f t="shared" si="286"/>
        <v>0</v>
      </c>
      <c r="L681" s="121">
        <f t="shared" si="276"/>
        <v>0</v>
      </c>
      <c r="M681" s="122">
        <f t="shared" si="277"/>
        <v>0</v>
      </c>
      <c r="N681" s="122">
        <f t="shared" si="278"/>
        <v>0</v>
      </c>
      <c r="O681" s="122">
        <f t="shared" si="279"/>
        <v>0</v>
      </c>
      <c r="P681" s="122">
        <f t="shared" si="280"/>
        <v>0</v>
      </c>
      <c r="Q681" s="123">
        <f t="shared" si="281"/>
        <v>1644.78</v>
      </c>
      <c r="R681" s="123">
        <f t="shared" si="287"/>
        <v>-1644.78</v>
      </c>
      <c r="S681" s="582">
        <v>0</v>
      </c>
      <c r="T681" s="123">
        <f t="shared" si="288"/>
        <v>-1644.78</v>
      </c>
      <c r="U681" s="25">
        <f t="shared" si="282"/>
        <v>100.33</v>
      </c>
      <c r="V681" s="123">
        <f t="shared" si="283"/>
        <v>-100.33</v>
      </c>
      <c r="W681" s="334">
        <f t="shared" si="284"/>
        <v>21.330000000000002</v>
      </c>
      <c r="Y681" s="109">
        <f>IF(AE681=1,IF(Y680=MiscData!$F$1,EOMONTH(Y680,-11),EOMONTH(Y680,1)),Y680)</f>
        <v>42308</v>
      </c>
      <c r="Z681" s="108" t="str">
        <f t="shared" si="269"/>
        <v>20140101LGUM_283</v>
      </c>
      <c r="AA681" s="126" t="str">
        <f t="shared" si="270"/>
        <v>20140101RLS</v>
      </c>
      <c r="AB681" s="583" t="str">
        <f t="shared" si="289"/>
        <v>283</v>
      </c>
      <c r="AD681" s="98">
        <f>MiscData!$X$5</f>
        <v>20140101</v>
      </c>
      <c r="AE681" s="98">
        <f>IF(AE680+1&gt;MiscData!$AC$77,1,AE680+1)</f>
        <v>21</v>
      </c>
      <c r="AF681" s="98" t="str">
        <f>VLOOKUP(AE681,MiscData!$AC$5:$AD$77,2,FALSE)</f>
        <v>LGUM_283</v>
      </c>
      <c r="AG681" s="98" t="str">
        <f>VLOOKUP(AF681,MiscData!$AD$5:$AE$77,2,FALSE)</f>
        <v>RLS</v>
      </c>
      <c r="AP681" s="98" t="s">
        <v>257</v>
      </c>
      <c r="AR681" s="98">
        <v>0</v>
      </c>
    </row>
    <row r="682" spans="1:44">
      <c r="A682" s="108">
        <f t="shared" si="290"/>
        <v>679</v>
      </c>
      <c r="B682" s="109" t="str">
        <f t="shared" ref="B682:B745" si="291">TEXT(Y682,"mmm yyyy")</f>
        <v>Oct 2015</v>
      </c>
      <c r="C682" s="110" t="str">
        <f t="shared" ref="C682:C745" si="292">AG682</f>
        <v>RLS</v>
      </c>
      <c r="D682" s="110" t="str">
        <f t="shared" ref="D682:D745" si="293">AF682</f>
        <v>LGUM_314</v>
      </c>
      <c r="E682" s="581">
        <f t="shared" si="271"/>
        <v>555</v>
      </c>
      <c r="F682" s="581">
        <f t="shared" si="272"/>
        <v>0</v>
      </c>
      <c r="G682" s="116">
        <f t="shared" si="273"/>
        <v>19.2</v>
      </c>
      <c r="H682" s="116">
        <f t="shared" si="274"/>
        <v>2.7100000000000009</v>
      </c>
      <c r="I682" s="118">
        <f t="shared" si="285"/>
        <v>10656</v>
      </c>
      <c r="J682" s="118">
        <f t="shared" si="275"/>
        <v>10656</v>
      </c>
      <c r="K682" s="570">
        <f t="shared" si="286"/>
        <v>0</v>
      </c>
      <c r="L682" s="121">
        <f t="shared" si="276"/>
        <v>0</v>
      </c>
      <c r="M682" s="122">
        <f t="shared" si="277"/>
        <v>0</v>
      </c>
      <c r="N682" s="122">
        <f t="shared" si="278"/>
        <v>0</v>
      </c>
      <c r="O682" s="122">
        <f t="shared" si="279"/>
        <v>0</v>
      </c>
      <c r="P682" s="122">
        <f t="shared" si="280"/>
        <v>0</v>
      </c>
      <c r="Q682" s="123">
        <f t="shared" si="281"/>
        <v>10656</v>
      </c>
      <c r="R682" s="123">
        <f t="shared" si="287"/>
        <v>-10656</v>
      </c>
      <c r="S682" s="582">
        <v>0</v>
      </c>
      <c r="T682" s="123">
        <f t="shared" si="288"/>
        <v>-10656</v>
      </c>
      <c r="U682" s="25">
        <f t="shared" si="282"/>
        <v>1504.05</v>
      </c>
      <c r="V682" s="123">
        <f t="shared" si="283"/>
        <v>-1504.05</v>
      </c>
      <c r="W682" s="334">
        <f t="shared" si="284"/>
        <v>99.899999999999991</v>
      </c>
      <c r="Y682" s="109">
        <f>IF(AE682=1,IF(Y681=MiscData!$F$1,EOMONTH(Y681,-11),EOMONTH(Y681,1)),Y681)</f>
        <v>42308</v>
      </c>
      <c r="Z682" s="108" t="str">
        <f t="shared" ref="Z682:Z745" si="294">CONCATENATE(AD682&amp;AF682)</f>
        <v>20140101LGUM_314</v>
      </c>
      <c r="AA682" s="126" t="str">
        <f t="shared" ref="AA682:AA745" si="295">CONCATENATE(AD682&amp;AG682)</f>
        <v>20140101RLS</v>
      </c>
      <c r="AB682" s="583" t="str">
        <f t="shared" si="289"/>
        <v>314</v>
      </c>
      <c r="AD682" s="98">
        <f>MiscData!$X$5</f>
        <v>20140101</v>
      </c>
      <c r="AE682" s="98">
        <f>IF(AE681+1&gt;MiscData!$AC$77,1,AE681+1)</f>
        <v>22</v>
      </c>
      <c r="AF682" s="98" t="str">
        <f>VLOOKUP(AE682,MiscData!$AC$5:$AD$77,2,FALSE)</f>
        <v>LGUM_314</v>
      </c>
      <c r="AG682" s="98" t="str">
        <f>VLOOKUP(AF682,MiscData!$AD$5:$AE$77,2,FALSE)</f>
        <v>RLS</v>
      </c>
      <c r="AP682" s="98" t="s">
        <v>258</v>
      </c>
      <c r="AR682" s="98">
        <v>0</v>
      </c>
    </row>
    <row r="683" spans="1:44">
      <c r="A683" s="108">
        <f t="shared" si="290"/>
        <v>680</v>
      </c>
      <c r="B683" s="109" t="str">
        <f t="shared" si="291"/>
        <v>Oct 2015</v>
      </c>
      <c r="C683" s="110" t="str">
        <f t="shared" si="292"/>
        <v>RLS</v>
      </c>
      <c r="D683" s="110" t="str">
        <f t="shared" si="293"/>
        <v>LGUM_315</v>
      </c>
      <c r="E683" s="581">
        <f t="shared" si="271"/>
        <v>531</v>
      </c>
      <c r="F683" s="581">
        <f t="shared" si="272"/>
        <v>0</v>
      </c>
      <c r="G683" s="116">
        <f t="shared" si="273"/>
        <v>22.949999999999996</v>
      </c>
      <c r="H683" s="116">
        <f t="shared" si="274"/>
        <v>4.1999999999999993</v>
      </c>
      <c r="I683" s="118">
        <f t="shared" si="285"/>
        <v>12186.45</v>
      </c>
      <c r="J683" s="118">
        <f t="shared" si="275"/>
        <v>12186.45</v>
      </c>
      <c r="K683" s="570">
        <f t="shared" si="286"/>
        <v>0</v>
      </c>
      <c r="L683" s="121">
        <f t="shared" si="276"/>
        <v>0</v>
      </c>
      <c r="M683" s="122">
        <f t="shared" si="277"/>
        <v>0</v>
      </c>
      <c r="N683" s="122">
        <f t="shared" si="278"/>
        <v>0</v>
      </c>
      <c r="O683" s="122">
        <f t="shared" si="279"/>
        <v>0</v>
      </c>
      <c r="P683" s="122">
        <f t="shared" si="280"/>
        <v>0</v>
      </c>
      <c r="Q683" s="123">
        <f t="shared" si="281"/>
        <v>12186.45</v>
      </c>
      <c r="R683" s="123">
        <f t="shared" si="287"/>
        <v>-12186.45</v>
      </c>
      <c r="S683" s="582">
        <v>0</v>
      </c>
      <c r="T683" s="123">
        <f t="shared" si="288"/>
        <v>-12186.45</v>
      </c>
      <c r="U683" s="25">
        <f t="shared" si="282"/>
        <v>2230.1999999999998</v>
      </c>
      <c r="V683" s="123">
        <f t="shared" si="283"/>
        <v>-2230.1999999999998</v>
      </c>
      <c r="W683" s="334">
        <f t="shared" si="284"/>
        <v>116.82000000000001</v>
      </c>
      <c r="Y683" s="109">
        <f>IF(AE683=1,IF(Y682=MiscData!$F$1,EOMONTH(Y682,-11),EOMONTH(Y682,1)),Y682)</f>
        <v>42308</v>
      </c>
      <c r="Z683" s="108" t="str">
        <f t="shared" si="294"/>
        <v>20140101LGUM_315</v>
      </c>
      <c r="AA683" s="126" t="str">
        <f t="shared" si="295"/>
        <v>20140101RLS</v>
      </c>
      <c r="AB683" s="583" t="str">
        <f t="shared" si="289"/>
        <v>315</v>
      </c>
      <c r="AD683" s="98">
        <f>MiscData!$X$5</f>
        <v>20140101</v>
      </c>
      <c r="AE683" s="98">
        <f>IF(AE682+1&gt;MiscData!$AC$77,1,AE682+1)</f>
        <v>23</v>
      </c>
      <c r="AF683" s="98" t="str">
        <f>VLOOKUP(AE683,MiscData!$AC$5:$AD$77,2,FALSE)</f>
        <v>LGUM_315</v>
      </c>
      <c r="AG683" s="98" t="str">
        <f>VLOOKUP(AF683,MiscData!$AD$5:$AE$77,2,FALSE)</f>
        <v>RLS</v>
      </c>
      <c r="AP683" s="98" t="s">
        <v>259</v>
      </c>
      <c r="AR683" s="98">
        <v>0</v>
      </c>
    </row>
    <row r="684" spans="1:44">
      <c r="A684" s="108">
        <f t="shared" si="290"/>
        <v>681</v>
      </c>
      <c r="B684" s="109" t="str">
        <f t="shared" si="291"/>
        <v>Oct 2015</v>
      </c>
      <c r="C684" s="110" t="str">
        <f t="shared" si="292"/>
        <v>RLS</v>
      </c>
      <c r="D684" s="110" t="str">
        <f t="shared" si="293"/>
        <v>LGUM_318</v>
      </c>
      <c r="E684" s="581">
        <f t="shared" si="271"/>
        <v>54</v>
      </c>
      <c r="F684" s="581">
        <f t="shared" si="272"/>
        <v>0</v>
      </c>
      <c r="G684" s="116">
        <f t="shared" si="273"/>
        <v>17.419999999999998</v>
      </c>
      <c r="H684" s="116">
        <f t="shared" si="274"/>
        <v>1.9100000000000001</v>
      </c>
      <c r="I684" s="118">
        <f t="shared" si="285"/>
        <v>940.68</v>
      </c>
      <c r="J684" s="118">
        <f t="shared" si="275"/>
        <v>940.68</v>
      </c>
      <c r="K684" s="570">
        <f t="shared" si="286"/>
        <v>0</v>
      </c>
      <c r="L684" s="121">
        <f t="shared" si="276"/>
        <v>0</v>
      </c>
      <c r="M684" s="122">
        <f t="shared" si="277"/>
        <v>0</v>
      </c>
      <c r="N684" s="122">
        <f t="shared" si="278"/>
        <v>0</v>
      </c>
      <c r="O684" s="122">
        <f t="shared" si="279"/>
        <v>0</v>
      </c>
      <c r="P684" s="122">
        <f t="shared" si="280"/>
        <v>0</v>
      </c>
      <c r="Q684" s="123">
        <f t="shared" si="281"/>
        <v>940.68</v>
      </c>
      <c r="R684" s="123">
        <f t="shared" si="287"/>
        <v>-940.68</v>
      </c>
      <c r="S684" s="582">
        <v>0</v>
      </c>
      <c r="T684" s="123">
        <f t="shared" si="288"/>
        <v>-940.68</v>
      </c>
      <c r="U684" s="25">
        <f t="shared" si="282"/>
        <v>103.14</v>
      </c>
      <c r="V684" s="123">
        <f t="shared" si="283"/>
        <v>-103.14</v>
      </c>
      <c r="W684" s="334">
        <f t="shared" si="284"/>
        <v>8.64</v>
      </c>
      <c r="Y684" s="109">
        <f>IF(AE684=1,IF(Y683=MiscData!$F$1,EOMONTH(Y683,-11),EOMONTH(Y683,1)),Y683)</f>
        <v>42308</v>
      </c>
      <c r="Z684" s="108" t="str">
        <f t="shared" si="294"/>
        <v>20140101LGUM_318</v>
      </c>
      <c r="AA684" s="126" t="str">
        <f t="shared" si="295"/>
        <v>20140101RLS</v>
      </c>
      <c r="AB684" s="583" t="str">
        <f t="shared" si="289"/>
        <v>318</v>
      </c>
      <c r="AD684" s="98">
        <f>MiscData!$X$5</f>
        <v>20140101</v>
      </c>
      <c r="AE684" s="98">
        <f>IF(AE683+1&gt;MiscData!$AC$77,1,AE683+1)</f>
        <v>24</v>
      </c>
      <c r="AF684" s="98" t="str">
        <f>VLOOKUP(AE684,MiscData!$AC$5:$AD$77,2,FALSE)</f>
        <v>LGUM_318</v>
      </c>
      <c r="AG684" s="98" t="str">
        <f>VLOOKUP(AF684,MiscData!$AD$5:$AE$77,2,FALSE)</f>
        <v>RLS</v>
      </c>
      <c r="AP684" s="98" t="s">
        <v>538</v>
      </c>
      <c r="AR684" s="98">
        <v>0</v>
      </c>
    </row>
    <row r="685" spans="1:44">
      <c r="A685" s="108">
        <f t="shared" si="290"/>
        <v>682</v>
      </c>
      <c r="B685" s="109" t="str">
        <f t="shared" si="291"/>
        <v>Oct 2015</v>
      </c>
      <c r="C685" s="110" t="str">
        <f t="shared" si="292"/>
        <v>RLS</v>
      </c>
      <c r="D685" s="110" t="str">
        <f t="shared" si="293"/>
        <v>LGUM_347</v>
      </c>
      <c r="E685" s="581">
        <f t="shared" si="271"/>
        <v>0</v>
      </c>
      <c r="F685" s="581">
        <f t="shared" si="272"/>
        <v>0</v>
      </c>
      <c r="G685" s="116">
        <f t="shared" si="273"/>
        <v>22.939999999999998</v>
      </c>
      <c r="H685" s="116">
        <f t="shared" si="274"/>
        <v>26.14</v>
      </c>
      <c r="I685" s="118">
        <f t="shared" si="285"/>
        <v>0</v>
      </c>
      <c r="J685" s="118">
        <f t="shared" si="275"/>
        <v>0</v>
      </c>
      <c r="K685" s="570">
        <f t="shared" si="286"/>
        <v>0</v>
      </c>
      <c r="L685" s="121">
        <f t="shared" si="276"/>
        <v>1</v>
      </c>
      <c r="M685" s="122">
        <f t="shared" si="277"/>
        <v>0</v>
      </c>
      <c r="N685" s="122">
        <f t="shared" si="278"/>
        <v>0</v>
      </c>
      <c r="O685" s="122">
        <f t="shared" si="279"/>
        <v>0</v>
      </c>
      <c r="P685" s="122">
        <f t="shared" si="280"/>
        <v>0</v>
      </c>
      <c r="Q685" s="123">
        <f t="shared" si="281"/>
        <v>0</v>
      </c>
      <c r="R685" s="123">
        <f t="shared" si="287"/>
        <v>0</v>
      </c>
      <c r="S685" s="582">
        <v>0</v>
      </c>
      <c r="T685" s="123">
        <f t="shared" si="288"/>
        <v>0</v>
      </c>
      <c r="U685" s="25">
        <f t="shared" si="282"/>
        <v>0</v>
      </c>
      <c r="V685" s="123">
        <f t="shared" si="283"/>
        <v>0</v>
      </c>
      <c r="W685" s="334">
        <f t="shared" si="284"/>
        <v>0</v>
      </c>
      <c r="Y685" s="109">
        <f>IF(AE685=1,IF(Y684=MiscData!$F$1,EOMONTH(Y684,-11),EOMONTH(Y684,1)),Y684)</f>
        <v>42308</v>
      </c>
      <c r="Z685" s="108" t="str">
        <f t="shared" si="294"/>
        <v>20140101LGUM_347</v>
      </c>
      <c r="AA685" s="126" t="str">
        <f t="shared" si="295"/>
        <v>20140101RLS</v>
      </c>
      <c r="AB685" s="583" t="str">
        <f t="shared" si="289"/>
        <v>347</v>
      </c>
      <c r="AD685" s="98">
        <f>MiscData!$X$5</f>
        <v>20140101</v>
      </c>
      <c r="AE685" s="98">
        <f>IF(AE684+1&gt;MiscData!$AC$77,1,AE684+1)</f>
        <v>25</v>
      </c>
      <c r="AF685" s="98" t="str">
        <f>VLOOKUP(AE685,MiscData!$AC$5:$AD$77,2,FALSE)</f>
        <v>LGUM_347</v>
      </c>
      <c r="AG685" s="98" t="str">
        <f>VLOOKUP(AF685,MiscData!$AD$5:$AE$77,2,FALSE)</f>
        <v>RLS</v>
      </c>
      <c r="AP685" s="98" t="s">
        <v>540</v>
      </c>
      <c r="AR685" s="98">
        <v>0</v>
      </c>
    </row>
    <row r="686" spans="1:44">
      <c r="A686" s="108">
        <f t="shared" si="290"/>
        <v>683</v>
      </c>
      <c r="B686" s="109" t="str">
        <f t="shared" si="291"/>
        <v>Oct 2015</v>
      </c>
      <c r="C686" s="110" t="str">
        <f t="shared" si="292"/>
        <v>RLS</v>
      </c>
      <c r="D686" s="110" t="str">
        <f t="shared" si="293"/>
        <v>LGUM_348</v>
      </c>
      <c r="E686" s="581">
        <f t="shared" si="271"/>
        <v>39</v>
      </c>
      <c r="F686" s="581">
        <f t="shared" si="272"/>
        <v>0</v>
      </c>
      <c r="G686" s="116">
        <f t="shared" si="273"/>
        <v>13.12</v>
      </c>
      <c r="H686" s="116">
        <f t="shared" si="274"/>
        <v>2.9800000000000004</v>
      </c>
      <c r="I686" s="118">
        <f t="shared" si="285"/>
        <v>511.68</v>
      </c>
      <c r="J686" s="118">
        <f t="shared" si="275"/>
        <v>511.68</v>
      </c>
      <c r="K686" s="570">
        <f t="shared" si="286"/>
        <v>0</v>
      </c>
      <c r="L686" s="121">
        <f t="shared" si="276"/>
        <v>0</v>
      </c>
      <c r="M686" s="122">
        <f t="shared" si="277"/>
        <v>0</v>
      </c>
      <c r="N686" s="122">
        <f t="shared" si="278"/>
        <v>0</v>
      </c>
      <c r="O686" s="122">
        <f t="shared" si="279"/>
        <v>0</v>
      </c>
      <c r="P686" s="122">
        <f t="shared" si="280"/>
        <v>0</v>
      </c>
      <c r="Q686" s="123">
        <f t="shared" si="281"/>
        <v>511.68</v>
      </c>
      <c r="R686" s="123">
        <f t="shared" si="287"/>
        <v>-511.68</v>
      </c>
      <c r="S686" s="582">
        <v>0</v>
      </c>
      <c r="T686" s="123">
        <f t="shared" si="288"/>
        <v>-511.68</v>
      </c>
      <c r="U686" s="25">
        <f t="shared" si="282"/>
        <v>116.22</v>
      </c>
      <c r="V686" s="123">
        <f t="shared" si="283"/>
        <v>-116.22</v>
      </c>
      <c r="W686" s="334">
        <f t="shared" si="284"/>
        <v>7.41</v>
      </c>
      <c r="Y686" s="109">
        <f>IF(AE686=1,IF(Y685=MiscData!$F$1,EOMONTH(Y685,-11),EOMONTH(Y685,1)),Y685)</f>
        <v>42308</v>
      </c>
      <c r="Z686" s="108" t="str">
        <f t="shared" si="294"/>
        <v>20140101LGUM_348</v>
      </c>
      <c r="AA686" s="126" t="str">
        <f t="shared" si="295"/>
        <v>20140101RLS</v>
      </c>
      <c r="AB686" s="583" t="str">
        <f t="shared" si="289"/>
        <v>348</v>
      </c>
      <c r="AD686" s="98">
        <f>MiscData!$X$5</f>
        <v>20140101</v>
      </c>
      <c r="AE686" s="98">
        <f>IF(AE685+1&gt;MiscData!$AC$77,1,AE685+1)</f>
        <v>26</v>
      </c>
      <c r="AF686" s="98" t="str">
        <f>VLOOKUP(AE686,MiscData!$AC$5:$AD$77,2,FALSE)</f>
        <v>LGUM_348</v>
      </c>
      <c r="AG686" s="98" t="str">
        <f>VLOOKUP(AF686,MiscData!$AD$5:$AE$77,2,FALSE)</f>
        <v>RLS</v>
      </c>
      <c r="AP686" s="98" t="s">
        <v>542</v>
      </c>
      <c r="AR686" s="98">
        <v>0</v>
      </c>
    </row>
    <row r="687" spans="1:44">
      <c r="A687" s="108">
        <f t="shared" si="290"/>
        <v>684</v>
      </c>
      <c r="B687" s="109" t="str">
        <f t="shared" si="291"/>
        <v>Oct 2015</v>
      </c>
      <c r="C687" s="110" t="str">
        <f t="shared" si="292"/>
        <v>RLS</v>
      </c>
      <c r="D687" s="110" t="str">
        <f t="shared" si="293"/>
        <v>LGUM_349</v>
      </c>
      <c r="E687" s="581">
        <f t="shared" si="271"/>
        <v>16</v>
      </c>
      <c r="F687" s="581">
        <f t="shared" si="272"/>
        <v>0</v>
      </c>
      <c r="G687" s="116">
        <f t="shared" si="273"/>
        <v>9.0200000000000014</v>
      </c>
      <c r="H687" s="116">
        <f t="shared" si="274"/>
        <v>0.91000000000000014</v>
      </c>
      <c r="I687" s="118">
        <f t="shared" si="285"/>
        <v>144.32</v>
      </c>
      <c r="J687" s="118">
        <f t="shared" si="275"/>
        <v>144.32</v>
      </c>
      <c r="K687" s="570">
        <f t="shared" si="286"/>
        <v>0</v>
      </c>
      <c r="L687" s="121">
        <f t="shared" si="276"/>
        <v>0</v>
      </c>
      <c r="M687" s="122">
        <f t="shared" si="277"/>
        <v>0</v>
      </c>
      <c r="N687" s="122">
        <f t="shared" si="278"/>
        <v>0</v>
      </c>
      <c r="O687" s="122">
        <f t="shared" si="279"/>
        <v>0</v>
      </c>
      <c r="P687" s="122">
        <f t="shared" si="280"/>
        <v>0</v>
      </c>
      <c r="Q687" s="123">
        <f t="shared" si="281"/>
        <v>144.32</v>
      </c>
      <c r="R687" s="123">
        <f t="shared" si="287"/>
        <v>-144.32</v>
      </c>
      <c r="S687" s="582">
        <v>0</v>
      </c>
      <c r="T687" s="123">
        <f t="shared" si="288"/>
        <v>-144.32</v>
      </c>
      <c r="U687" s="25">
        <f t="shared" si="282"/>
        <v>14.56</v>
      </c>
      <c r="V687" s="123">
        <f t="shared" si="283"/>
        <v>-14.56</v>
      </c>
      <c r="W687" s="334">
        <f t="shared" si="284"/>
        <v>2.2400000000000002</v>
      </c>
      <c r="Y687" s="109">
        <f>IF(AE687=1,IF(Y686=MiscData!$F$1,EOMONTH(Y686,-11),EOMONTH(Y686,1)),Y686)</f>
        <v>42308</v>
      </c>
      <c r="Z687" s="108" t="str">
        <f t="shared" si="294"/>
        <v>20140101LGUM_349</v>
      </c>
      <c r="AA687" s="126" t="str">
        <f t="shared" si="295"/>
        <v>20140101RLS</v>
      </c>
      <c r="AB687" s="583" t="str">
        <f t="shared" si="289"/>
        <v>349</v>
      </c>
      <c r="AD687" s="98">
        <f>MiscData!$X$5</f>
        <v>20140101</v>
      </c>
      <c r="AE687" s="98">
        <f>IF(AE686+1&gt;MiscData!$AC$77,1,AE686+1)</f>
        <v>27</v>
      </c>
      <c r="AF687" s="98" t="str">
        <f>VLOOKUP(AE687,MiscData!$AC$5:$AD$77,2,FALSE)</f>
        <v>LGUM_349</v>
      </c>
      <c r="AG687" s="98" t="str">
        <f>VLOOKUP(AF687,MiscData!$AD$5:$AE$77,2,FALSE)</f>
        <v>RLS</v>
      </c>
      <c r="AP687" s="98" t="s">
        <v>260</v>
      </c>
      <c r="AR687" s="98">
        <v>0</v>
      </c>
    </row>
    <row r="688" spans="1:44">
      <c r="A688" s="108">
        <f t="shared" si="290"/>
        <v>685</v>
      </c>
      <c r="B688" s="109" t="str">
        <f t="shared" si="291"/>
        <v>Oct 2015</v>
      </c>
      <c r="C688" s="110" t="str">
        <f t="shared" si="292"/>
        <v xml:space="preserve">LS </v>
      </c>
      <c r="D688" s="110" t="str">
        <f t="shared" si="293"/>
        <v>LGUM_400</v>
      </c>
      <c r="E688" s="581">
        <f t="shared" si="271"/>
        <v>48</v>
      </c>
      <c r="F688" s="581">
        <f t="shared" si="272"/>
        <v>0</v>
      </c>
      <c r="G688" s="116">
        <f t="shared" si="273"/>
        <v>23.89</v>
      </c>
      <c r="H688" s="116">
        <f t="shared" si="274"/>
        <v>1.0199999999999996</v>
      </c>
      <c r="I688" s="118">
        <f t="shared" si="285"/>
        <v>1146.72</v>
      </c>
      <c r="J688" s="118">
        <f t="shared" si="275"/>
        <v>1146.72</v>
      </c>
      <c r="K688" s="570">
        <f t="shared" si="286"/>
        <v>0</v>
      </c>
      <c r="L688" s="121">
        <f t="shared" si="276"/>
        <v>0</v>
      </c>
      <c r="M688" s="122">
        <f t="shared" si="277"/>
        <v>0</v>
      </c>
      <c r="N688" s="122">
        <f t="shared" si="278"/>
        <v>0</v>
      </c>
      <c r="O688" s="122">
        <f t="shared" si="279"/>
        <v>0</v>
      </c>
      <c r="P688" s="122">
        <f t="shared" si="280"/>
        <v>0</v>
      </c>
      <c r="Q688" s="123">
        <f t="shared" si="281"/>
        <v>1146.72</v>
      </c>
      <c r="R688" s="123">
        <f t="shared" si="287"/>
        <v>-1146.72</v>
      </c>
      <c r="S688" s="582">
        <v>0</v>
      </c>
      <c r="T688" s="123">
        <f t="shared" si="288"/>
        <v>-1146.72</v>
      </c>
      <c r="U688" s="25">
        <f t="shared" si="282"/>
        <v>48.96</v>
      </c>
      <c r="V688" s="123">
        <f t="shared" si="283"/>
        <v>-48.96</v>
      </c>
      <c r="W688" s="334">
        <f t="shared" si="284"/>
        <v>17.759999999999998</v>
      </c>
      <c r="Y688" s="109">
        <f>IF(AE688=1,IF(Y687=MiscData!$F$1,EOMONTH(Y687,-11),EOMONTH(Y687,1)),Y687)</f>
        <v>42308</v>
      </c>
      <c r="Z688" s="108" t="str">
        <f t="shared" si="294"/>
        <v>20140101LGUM_400</v>
      </c>
      <c r="AA688" s="126" t="str">
        <f t="shared" si="295"/>
        <v xml:space="preserve">20140101LS </v>
      </c>
      <c r="AB688" s="583" t="str">
        <f t="shared" si="289"/>
        <v>400</v>
      </c>
      <c r="AD688" s="98">
        <f>MiscData!$X$5</f>
        <v>20140101</v>
      </c>
      <c r="AE688" s="98">
        <f>IF(AE687+1&gt;MiscData!$AC$77,1,AE687+1)</f>
        <v>28</v>
      </c>
      <c r="AF688" s="98" t="str">
        <f>VLOOKUP(AE688,MiscData!$AC$5:$AD$77,2,FALSE)</f>
        <v>LGUM_400</v>
      </c>
      <c r="AG688" s="98" t="str">
        <f>VLOOKUP(AF688,MiscData!$AD$5:$AE$77,2,FALSE)</f>
        <v xml:space="preserve">LS </v>
      </c>
      <c r="AP688" s="98" t="s">
        <v>262</v>
      </c>
      <c r="AR688" s="98">
        <v>0</v>
      </c>
    </row>
    <row r="689" spans="1:44">
      <c r="A689" s="108">
        <f t="shared" si="290"/>
        <v>686</v>
      </c>
      <c r="B689" s="109" t="str">
        <f t="shared" si="291"/>
        <v>Oct 2015</v>
      </c>
      <c r="C689" s="110" t="str">
        <f t="shared" si="292"/>
        <v xml:space="preserve">LS </v>
      </c>
      <c r="D689" s="110" t="str">
        <f t="shared" si="293"/>
        <v>LGUM_401</v>
      </c>
      <c r="E689" s="581">
        <f t="shared" si="271"/>
        <v>4</v>
      </c>
      <c r="F689" s="581">
        <f t="shared" si="272"/>
        <v>0</v>
      </c>
      <c r="G689" s="116">
        <f t="shared" si="273"/>
        <v>24.9</v>
      </c>
      <c r="H689" s="116">
        <f t="shared" si="274"/>
        <v>1.0599999999999987</v>
      </c>
      <c r="I689" s="118">
        <f t="shared" si="285"/>
        <v>99.6</v>
      </c>
      <c r="J689" s="118">
        <f t="shared" si="275"/>
        <v>99.6</v>
      </c>
      <c r="K689" s="570">
        <f t="shared" si="286"/>
        <v>0</v>
      </c>
      <c r="L689" s="121">
        <f t="shared" si="276"/>
        <v>0</v>
      </c>
      <c r="M689" s="122">
        <f t="shared" si="277"/>
        <v>0</v>
      </c>
      <c r="N689" s="122">
        <f t="shared" si="278"/>
        <v>0</v>
      </c>
      <c r="O689" s="122">
        <f t="shared" si="279"/>
        <v>0</v>
      </c>
      <c r="P689" s="122">
        <f t="shared" si="280"/>
        <v>0</v>
      </c>
      <c r="Q689" s="123">
        <f t="shared" si="281"/>
        <v>99.6</v>
      </c>
      <c r="R689" s="123">
        <f t="shared" si="287"/>
        <v>-99.6</v>
      </c>
      <c r="S689" s="582">
        <v>0</v>
      </c>
      <c r="T689" s="123">
        <f t="shared" si="288"/>
        <v>-99.6</v>
      </c>
      <c r="U689" s="25">
        <f t="shared" si="282"/>
        <v>4.24</v>
      </c>
      <c r="V689" s="123">
        <f t="shared" si="283"/>
        <v>-4.24</v>
      </c>
      <c r="W689" s="334">
        <f t="shared" si="284"/>
        <v>1.08</v>
      </c>
      <c r="Y689" s="109">
        <f>IF(AE689=1,IF(Y688=MiscData!$F$1,EOMONTH(Y688,-11),EOMONTH(Y688,1)),Y688)</f>
        <v>42308</v>
      </c>
      <c r="Z689" s="108" t="str">
        <f t="shared" si="294"/>
        <v>20140101LGUM_401</v>
      </c>
      <c r="AA689" s="126" t="str">
        <f t="shared" si="295"/>
        <v xml:space="preserve">20140101LS </v>
      </c>
      <c r="AB689" s="583" t="str">
        <f t="shared" si="289"/>
        <v>401</v>
      </c>
      <c r="AD689" s="98">
        <f>MiscData!$X$5</f>
        <v>20140101</v>
      </c>
      <c r="AE689" s="98">
        <f>IF(AE688+1&gt;MiscData!$AC$77,1,AE688+1)</f>
        <v>29</v>
      </c>
      <c r="AF689" s="98" t="str">
        <f>VLOOKUP(AE689,MiscData!$AC$5:$AD$77,2,FALSE)</f>
        <v>LGUM_401</v>
      </c>
      <c r="AG689" s="98" t="str">
        <f>VLOOKUP(AF689,MiscData!$AD$5:$AE$77,2,FALSE)</f>
        <v xml:space="preserve">LS </v>
      </c>
      <c r="AP689" s="98" t="s">
        <v>264</v>
      </c>
      <c r="AR689" s="98">
        <v>0</v>
      </c>
    </row>
    <row r="690" spans="1:44">
      <c r="A690" s="108">
        <f t="shared" si="290"/>
        <v>687</v>
      </c>
      <c r="B690" s="109" t="str">
        <f t="shared" si="291"/>
        <v>Oct 2015</v>
      </c>
      <c r="C690" s="110" t="str">
        <f t="shared" si="292"/>
        <v xml:space="preserve">LS </v>
      </c>
      <c r="D690" s="110" t="str">
        <f t="shared" si="293"/>
        <v>LGUM_412</v>
      </c>
      <c r="E690" s="581">
        <f t="shared" si="271"/>
        <v>221</v>
      </c>
      <c r="F690" s="581">
        <f t="shared" si="272"/>
        <v>0</v>
      </c>
      <c r="G690" s="116">
        <f t="shared" si="273"/>
        <v>19.79</v>
      </c>
      <c r="H690" s="116">
        <f t="shared" si="274"/>
        <v>0.74999999999999645</v>
      </c>
      <c r="I690" s="118">
        <f t="shared" si="285"/>
        <v>4373.59</v>
      </c>
      <c r="J690" s="118">
        <f t="shared" si="275"/>
        <v>4373.59</v>
      </c>
      <c r="K690" s="570">
        <f t="shared" si="286"/>
        <v>0</v>
      </c>
      <c r="L690" s="121">
        <f t="shared" si="276"/>
        <v>0</v>
      </c>
      <c r="M690" s="122">
        <f t="shared" si="277"/>
        <v>0</v>
      </c>
      <c r="N690" s="122">
        <f t="shared" si="278"/>
        <v>0</v>
      </c>
      <c r="O690" s="122">
        <f t="shared" si="279"/>
        <v>0</v>
      </c>
      <c r="P690" s="122">
        <f t="shared" si="280"/>
        <v>0</v>
      </c>
      <c r="Q690" s="123">
        <f t="shared" si="281"/>
        <v>4373.59</v>
      </c>
      <c r="R690" s="123">
        <f t="shared" si="287"/>
        <v>-4373.59</v>
      </c>
      <c r="S690" s="582">
        <v>0</v>
      </c>
      <c r="T690" s="123">
        <f t="shared" si="288"/>
        <v>-4373.59</v>
      </c>
      <c r="U690" s="25">
        <f t="shared" si="282"/>
        <v>165.75</v>
      </c>
      <c r="V690" s="123">
        <f t="shared" si="283"/>
        <v>-165.75</v>
      </c>
      <c r="W690" s="334">
        <f t="shared" si="284"/>
        <v>57.46</v>
      </c>
      <c r="Y690" s="109">
        <f>IF(AE690=1,IF(Y689=MiscData!$F$1,EOMONTH(Y689,-11),EOMONTH(Y689,1)),Y689)</f>
        <v>42308</v>
      </c>
      <c r="Z690" s="108" t="str">
        <f t="shared" si="294"/>
        <v>20140101LGUM_412</v>
      </c>
      <c r="AA690" s="126" t="str">
        <f t="shared" si="295"/>
        <v xml:space="preserve">20140101LS </v>
      </c>
      <c r="AB690" s="583" t="str">
        <f t="shared" si="289"/>
        <v>412</v>
      </c>
      <c r="AD690" s="98">
        <f>MiscData!$X$5</f>
        <v>20140101</v>
      </c>
      <c r="AE690" s="98">
        <f>IF(AE689+1&gt;MiscData!$AC$77,1,AE689+1)</f>
        <v>30</v>
      </c>
      <c r="AF690" s="98" t="str">
        <f>VLOOKUP(AE690,MiscData!$AC$5:$AD$77,2,FALSE)</f>
        <v>LGUM_412</v>
      </c>
      <c r="AG690" s="98" t="str">
        <f>VLOOKUP(AF690,MiscData!$AD$5:$AE$77,2,FALSE)</f>
        <v xml:space="preserve">LS </v>
      </c>
      <c r="AP690" s="98" t="s">
        <v>265</v>
      </c>
      <c r="AR690" s="98">
        <v>-8.4</v>
      </c>
    </row>
    <row r="691" spans="1:44">
      <c r="A691" s="108">
        <f t="shared" si="290"/>
        <v>688</v>
      </c>
      <c r="B691" s="109" t="str">
        <f t="shared" si="291"/>
        <v>Oct 2015</v>
      </c>
      <c r="C691" s="110" t="str">
        <f t="shared" si="292"/>
        <v xml:space="preserve">LS </v>
      </c>
      <c r="D691" s="110" t="str">
        <f t="shared" si="293"/>
        <v>LGUM_413</v>
      </c>
      <c r="E691" s="581">
        <f t="shared" si="271"/>
        <v>2074</v>
      </c>
      <c r="F691" s="581">
        <f t="shared" si="272"/>
        <v>0</v>
      </c>
      <c r="G691" s="116">
        <f t="shared" si="273"/>
        <v>20.49</v>
      </c>
      <c r="H691" s="116">
        <f t="shared" si="274"/>
        <v>1.0599999999999987</v>
      </c>
      <c r="I691" s="118">
        <f t="shared" si="285"/>
        <v>42496.26</v>
      </c>
      <c r="J691" s="118">
        <f t="shared" si="275"/>
        <v>42496.26</v>
      </c>
      <c r="K691" s="570">
        <f t="shared" si="286"/>
        <v>0</v>
      </c>
      <c r="L691" s="121">
        <f t="shared" si="276"/>
        <v>0</v>
      </c>
      <c r="M691" s="122">
        <f t="shared" si="277"/>
        <v>0</v>
      </c>
      <c r="N691" s="122">
        <f t="shared" si="278"/>
        <v>0</v>
      </c>
      <c r="O691" s="122">
        <f t="shared" si="279"/>
        <v>0</v>
      </c>
      <c r="P691" s="122">
        <f t="shared" si="280"/>
        <v>0</v>
      </c>
      <c r="Q691" s="123">
        <f t="shared" si="281"/>
        <v>42496.26</v>
      </c>
      <c r="R691" s="123">
        <f t="shared" si="287"/>
        <v>-42496.26</v>
      </c>
      <c r="S691" s="582">
        <v>0</v>
      </c>
      <c r="T691" s="123">
        <f t="shared" si="288"/>
        <v>-42496.26</v>
      </c>
      <c r="U691" s="25">
        <f t="shared" si="282"/>
        <v>2198.44</v>
      </c>
      <c r="V691" s="123">
        <f t="shared" si="283"/>
        <v>-2198.44</v>
      </c>
      <c r="W691" s="334">
        <f t="shared" si="284"/>
        <v>559.98</v>
      </c>
      <c r="Y691" s="109">
        <f>IF(AE691=1,IF(Y690=MiscData!$F$1,EOMONTH(Y690,-11),EOMONTH(Y690,1)),Y690)</f>
        <v>42308</v>
      </c>
      <c r="Z691" s="108" t="str">
        <f t="shared" si="294"/>
        <v>20140101LGUM_413</v>
      </c>
      <c r="AA691" s="126" t="str">
        <f t="shared" si="295"/>
        <v xml:space="preserve">20140101LS </v>
      </c>
      <c r="AB691" s="583" t="str">
        <f t="shared" si="289"/>
        <v>413</v>
      </c>
      <c r="AD691" s="98">
        <f>MiscData!$X$5</f>
        <v>20140101</v>
      </c>
      <c r="AE691" s="98">
        <f>IF(AE690+1&gt;MiscData!$AC$77,1,AE690+1)</f>
        <v>31</v>
      </c>
      <c r="AF691" s="98" t="str">
        <f>VLOOKUP(AE691,MiscData!$AC$5:$AD$77,2,FALSE)</f>
        <v>LGUM_413</v>
      </c>
      <c r="AG691" s="98" t="str">
        <f>VLOOKUP(AF691,MiscData!$AD$5:$AE$77,2,FALSE)</f>
        <v xml:space="preserve">LS </v>
      </c>
      <c r="AP691" s="98" t="s">
        <v>266</v>
      </c>
      <c r="AR691" s="98">
        <v>0</v>
      </c>
    </row>
    <row r="692" spans="1:44">
      <c r="A692" s="108">
        <f t="shared" si="290"/>
        <v>689</v>
      </c>
      <c r="B692" s="109" t="str">
        <f t="shared" si="291"/>
        <v>Oct 2015</v>
      </c>
      <c r="C692" s="110" t="str">
        <f t="shared" si="292"/>
        <v xml:space="preserve">LS </v>
      </c>
      <c r="D692" s="110" t="str">
        <f t="shared" si="293"/>
        <v>LGUM_415</v>
      </c>
      <c r="E692" s="581">
        <f t="shared" si="271"/>
        <v>27</v>
      </c>
      <c r="F692" s="581">
        <f t="shared" si="272"/>
        <v>0</v>
      </c>
      <c r="G692" s="116">
        <f t="shared" si="273"/>
        <v>20.18</v>
      </c>
      <c r="H692" s="116">
        <f t="shared" si="274"/>
        <v>0.75</v>
      </c>
      <c r="I692" s="118">
        <f t="shared" si="285"/>
        <v>544.86</v>
      </c>
      <c r="J692" s="118">
        <f t="shared" si="275"/>
        <v>544.86</v>
      </c>
      <c r="K692" s="570">
        <f t="shared" si="286"/>
        <v>0</v>
      </c>
      <c r="L692" s="121">
        <f t="shared" si="276"/>
        <v>0</v>
      </c>
      <c r="M692" s="122">
        <f t="shared" si="277"/>
        <v>0</v>
      </c>
      <c r="N692" s="122">
        <f t="shared" si="278"/>
        <v>0</v>
      </c>
      <c r="O692" s="122">
        <f t="shared" si="279"/>
        <v>0</v>
      </c>
      <c r="P692" s="122">
        <f t="shared" si="280"/>
        <v>0</v>
      </c>
      <c r="Q692" s="123">
        <f t="shared" si="281"/>
        <v>544.86</v>
      </c>
      <c r="R692" s="123">
        <f t="shared" si="287"/>
        <v>-544.86</v>
      </c>
      <c r="S692" s="582">
        <v>0</v>
      </c>
      <c r="T692" s="123">
        <f t="shared" si="288"/>
        <v>-544.86</v>
      </c>
      <c r="U692" s="25">
        <f t="shared" si="282"/>
        <v>20.25</v>
      </c>
      <c r="V692" s="123">
        <f t="shared" si="283"/>
        <v>-20.25</v>
      </c>
      <c r="W692" s="334">
        <f t="shared" si="284"/>
        <v>7.0200000000000005</v>
      </c>
      <c r="Y692" s="109">
        <f>IF(AE692=1,IF(Y691=MiscData!$F$1,EOMONTH(Y691,-11),EOMONTH(Y691,1)),Y691)</f>
        <v>42308</v>
      </c>
      <c r="Z692" s="108" t="str">
        <f t="shared" si="294"/>
        <v>20140101LGUM_415</v>
      </c>
      <c r="AA692" s="126" t="str">
        <f t="shared" si="295"/>
        <v xml:space="preserve">20140101LS </v>
      </c>
      <c r="AB692" s="583" t="str">
        <f t="shared" si="289"/>
        <v>415</v>
      </c>
      <c r="AD692" s="98">
        <f>MiscData!$X$5</f>
        <v>20140101</v>
      </c>
      <c r="AE692" s="98">
        <f>IF(AE691+1&gt;MiscData!$AC$77,1,AE691+1)</f>
        <v>32</v>
      </c>
      <c r="AF692" s="98" t="str">
        <f>VLOOKUP(AE692,MiscData!$AC$5:$AD$77,2,FALSE)</f>
        <v>LGUM_415</v>
      </c>
      <c r="AG692" s="98" t="str">
        <f>VLOOKUP(AF692,MiscData!$AD$5:$AE$77,2,FALSE)</f>
        <v xml:space="preserve">LS </v>
      </c>
      <c r="AP692" s="98" t="s">
        <v>267</v>
      </c>
      <c r="AR692" s="98">
        <v>0</v>
      </c>
    </row>
    <row r="693" spans="1:44">
      <c r="A693" s="108">
        <f t="shared" si="290"/>
        <v>690</v>
      </c>
      <c r="B693" s="109" t="str">
        <f t="shared" si="291"/>
        <v>Oct 2015</v>
      </c>
      <c r="C693" s="110" t="str">
        <f t="shared" si="292"/>
        <v xml:space="preserve">LS </v>
      </c>
      <c r="D693" s="110" t="str">
        <f t="shared" si="293"/>
        <v>LGUM_416</v>
      </c>
      <c r="E693" s="581">
        <f t="shared" si="271"/>
        <v>1776</v>
      </c>
      <c r="F693" s="581">
        <f t="shared" si="272"/>
        <v>0</v>
      </c>
      <c r="G693" s="116">
        <f t="shared" si="273"/>
        <v>22.56</v>
      </c>
      <c r="H693" s="116">
        <f t="shared" si="274"/>
        <v>1.0599999999999987</v>
      </c>
      <c r="I693" s="118">
        <f t="shared" si="285"/>
        <v>40066.559999999998</v>
      </c>
      <c r="J693" s="118">
        <f t="shared" si="275"/>
        <v>40066.559999999998</v>
      </c>
      <c r="K693" s="570">
        <f t="shared" si="286"/>
        <v>0</v>
      </c>
      <c r="L693" s="121">
        <f t="shared" si="276"/>
        <v>0</v>
      </c>
      <c r="M693" s="122">
        <f t="shared" si="277"/>
        <v>0</v>
      </c>
      <c r="N693" s="122">
        <f t="shared" si="278"/>
        <v>0</v>
      </c>
      <c r="O693" s="122">
        <f t="shared" si="279"/>
        <v>0</v>
      </c>
      <c r="P693" s="122">
        <f t="shared" si="280"/>
        <v>0</v>
      </c>
      <c r="Q693" s="123">
        <f t="shared" si="281"/>
        <v>40066.559999999998</v>
      </c>
      <c r="R693" s="123">
        <f t="shared" si="287"/>
        <v>-40066.559999999998</v>
      </c>
      <c r="S693" s="582">
        <v>0</v>
      </c>
      <c r="T693" s="123">
        <f t="shared" si="288"/>
        <v>-40066.559999999998</v>
      </c>
      <c r="U693" s="25">
        <f t="shared" si="282"/>
        <v>1882.56</v>
      </c>
      <c r="V693" s="123">
        <f t="shared" si="283"/>
        <v>-1882.56</v>
      </c>
      <c r="W693" s="334">
        <f t="shared" si="284"/>
        <v>479.52000000000004</v>
      </c>
      <c r="Y693" s="109">
        <f>IF(AE693=1,IF(Y692=MiscData!$F$1,EOMONTH(Y692,-11),EOMONTH(Y692,1)),Y692)</f>
        <v>42308</v>
      </c>
      <c r="Z693" s="108" t="str">
        <f t="shared" si="294"/>
        <v>20140101LGUM_416</v>
      </c>
      <c r="AA693" s="126" t="str">
        <f t="shared" si="295"/>
        <v xml:space="preserve">20140101LS </v>
      </c>
      <c r="AB693" s="583" t="str">
        <f t="shared" si="289"/>
        <v>416</v>
      </c>
      <c r="AD693" s="98">
        <f>MiscData!$X$5</f>
        <v>20140101</v>
      </c>
      <c r="AE693" s="98">
        <f>IF(AE692+1&gt;MiscData!$AC$77,1,AE692+1)</f>
        <v>33</v>
      </c>
      <c r="AF693" s="98" t="str">
        <f>VLOOKUP(AE693,MiscData!$AC$5:$AD$77,2,FALSE)</f>
        <v>LGUM_416</v>
      </c>
      <c r="AG693" s="98" t="str">
        <f>VLOOKUP(AF693,MiscData!$AD$5:$AE$77,2,FALSE)</f>
        <v xml:space="preserve">LS </v>
      </c>
      <c r="AP693" s="98" t="s">
        <v>546</v>
      </c>
      <c r="AR693" s="98">
        <v>0</v>
      </c>
    </row>
    <row r="694" spans="1:44">
      <c r="A694" s="108">
        <f t="shared" si="290"/>
        <v>691</v>
      </c>
      <c r="B694" s="109" t="str">
        <f t="shared" si="291"/>
        <v>Oct 2015</v>
      </c>
      <c r="C694" s="110" t="str">
        <f t="shared" si="292"/>
        <v>RLS</v>
      </c>
      <c r="D694" s="110" t="str">
        <f t="shared" si="293"/>
        <v>LGUM_417</v>
      </c>
      <c r="E694" s="581">
        <f t="shared" si="271"/>
        <v>35</v>
      </c>
      <c r="F694" s="581">
        <f t="shared" si="272"/>
        <v>0</v>
      </c>
      <c r="G694" s="116">
        <f t="shared" si="273"/>
        <v>23.68</v>
      </c>
      <c r="H694" s="116">
        <f t="shared" si="274"/>
        <v>1.0300000000000011</v>
      </c>
      <c r="I694" s="118">
        <f t="shared" si="285"/>
        <v>828.8</v>
      </c>
      <c r="J694" s="118">
        <f t="shared" si="275"/>
        <v>828.8</v>
      </c>
      <c r="K694" s="570">
        <f t="shared" si="286"/>
        <v>0</v>
      </c>
      <c r="L694" s="121">
        <f t="shared" si="276"/>
        <v>0</v>
      </c>
      <c r="M694" s="122">
        <f t="shared" si="277"/>
        <v>0</v>
      </c>
      <c r="N694" s="122">
        <f t="shared" si="278"/>
        <v>0</v>
      </c>
      <c r="O694" s="122">
        <f t="shared" si="279"/>
        <v>0</v>
      </c>
      <c r="P694" s="122">
        <f t="shared" si="280"/>
        <v>0</v>
      </c>
      <c r="Q694" s="123">
        <f t="shared" si="281"/>
        <v>828.8</v>
      </c>
      <c r="R694" s="123">
        <f t="shared" si="287"/>
        <v>-828.8</v>
      </c>
      <c r="S694" s="582">
        <v>0</v>
      </c>
      <c r="T694" s="123">
        <f t="shared" si="288"/>
        <v>-828.8</v>
      </c>
      <c r="U694" s="25">
        <f t="shared" si="282"/>
        <v>36.049999999999997</v>
      </c>
      <c r="V694" s="123">
        <f t="shared" si="283"/>
        <v>-36.049999999999997</v>
      </c>
      <c r="W694" s="334">
        <f t="shared" si="284"/>
        <v>9.4500000000000011</v>
      </c>
      <c r="Y694" s="109">
        <f>IF(AE694=1,IF(Y693=MiscData!$F$1,EOMONTH(Y693,-11),EOMONTH(Y693,1)),Y693)</f>
        <v>42308</v>
      </c>
      <c r="Z694" s="108" t="str">
        <f t="shared" si="294"/>
        <v>20140101LGUM_417</v>
      </c>
      <c r="AA694" s="126" t="str">
        <f t="shared" si="295"/>
        <v>20140101RLS</v>
      </c>
      <c r="AB694" s="583" t="str">
        <f t="shared" si="289"/>
        <v>417</v>
      </c>
      <c r="AD694" s="98">
        <f>MiscData!$X$5</f>
        <v>20140101</v>
      </c>
      <c r="AE694" s="98">
        <f>IF(AE693+1&gt;MiscData!$AC$77,1,AE693+1)</f>
        <v>34</v>
      </c>
      <c r="AF694" s="98" t="str">
        <f>VLOOKUP(AE694,MiscData!$AC$5:$AD$77,2,FALSE)</f>
        <v>LGUM_417</v>
      </c>
      <c r="AG694" s="98" t="str">
        <f>VLOOKUP(AF694,MiscData!$AD$5:$AE$77,2,FALSE)</f>
        <v>RLS</v>
      </c>
      <c r="AP694" s="98" t="s">
        <v>268</v>
      </c>
      <c r="AR694" s="98">
        <v>0</v>
      </c>
    </row>
    <row r="695" spans="1:44">
      <c r="A695" s="108">
        <f t="shared" si="290"/>
        <v>692</v>
      </c>
      <c r="B695" s="109" t="str">
        <f t="shared" si="291"/>
        <v>Oct 2015</v>
      </c>
      <c r="C695" s="110" t="str">
        <f t="shared" si="292"/>
        <v>RLS</v>
      </c>
      <c r="D695" s="110" t="str">
        <f t="shared" si="293"/>
        <v>LGUM_419</v>
      </c>
      <c r="E695" s="581">
        <f t="shared" si="271"/>
        <v>111</v>
      </c>
      <c r="F695" s="581">
        <f t="shared" si="272"/>
        <v>0</v>
      </c>
      <c r="G695" s="116">
        <f t="shared" si="273"/>
        <v>24.77</v>
      </c>
      <c r="H695" s="116">
        <f t="shared" si="274"/>
        <v>1.6499999999999986</v>
      </c>
      <c r="I695" s="118">
        <f t="shared" si="285"/>
        <v>2749.47</v>
      </c>
      <c r="J695" s="118">
        <f t="shared" si="275"/>
        <v>2749.47</v>
      </c>
      <c r="K695" s="570">
        <f t="shared" si="286"/>
        <v>0</v>
      </c>
      <c r="L695" s="121">
        <f t="shared" si="276"/>
        <v>0</v>
      </c>
      <c r="M695" s="122">
        <f t="shared" si="277"/>
        <v>0</v>
      </c>
      <c r="N695" s="122">
        <f t="shared" si="278"/>
        <v>0</v>
      </c>
      <c r="O695" s="122">
        <f t="shared" si="279"/>
        <v>0</v>
      </c>
      <c r="P695" s="122">
        <f t="shared" si="280"/>
        <v>0</v>
      </c>
      <c r="Q695" s="123">
        <f t="shared" si="281"/>
        <v>2749.47</v>
      </c>
      <c r="R695" s="123">
        <f t="shared" si="287"/>
        <v>-2749.47</v>
      </c>
      <c r="S695" s="582">
        <v>0</v>
      </c>
      <c r="T695" s="123">
        <f t="shared" si="288"/>
        <v>-2749.47</v>
      </c>
      <c r="U695" s="25">
        <f t="shared" si="282"/>
        <v>183.15</v>
      </c>
      <c r="V695" s="123">
        <f t="shared" si="283"/>
        <v>-183.15</v>
      </c>
      <c r="W695" s="334">
        <f t="shared" si="284"/>
        <v>41.07</v>
      </c>
      <c r="Y695" s="109">
        <f>IF(AE695=1,IF(Y694=MiscData!$F$1,EOMONTH(Y694,-11),EOMONTH(Y694,1)),Y694)</f>
        <v>42308</v>
      </c>
      <c r="Z695" s="108" t="str">
        <f t="shared" si="294"/>
        <v>20140101LGUM_419</v>
      </c>
      <c r="AA695" s="126" t="str">
        <f t="shared" si="295"/>
        <v>20140101RLS</v>
      </c>
      <c r="AB695" s="583" t="str">
        <f t="shared" si="289"/>
        <v>419</v>
      </c>
      <c r="AD695" s="98">
        <f>MiscData!$X$5</f>
        <v>20140101</v>
      </c>
      <c r="AE695" s="98">
        <f>IF(AE694+1&gt;MiscData!$AC$77,1,AE694+1)</f>
        <v>35</v>
      </c>
      <c r="AF695" s="98" t="str">
        <f>VLOOKUP(AE695,MiscData!$AC$5:$AD$77,2,FALSE)</f>
        <v>LGUM_419</v>
      </c>
      <c r="AG695" s="98" t="str">
        <f>VLOOKUP(AF695,MiscData!$AD$5:$AE$77,2,FALSE)</f>
        <v>RLS</v>
      </c>
      <c r="AP695" s="98" t="s">
        <v>269</v>
      </c>
      <c r="AR695" s="98">
        <v>0</v>
      </c>
    </row>
    <row r="696" spans="1:44">
      <c r="A696" s="108">
        <f t="shared" si="290"/>
        <v>693</v>
      </c>
      <c r="B696" s="109" t="str">
        <f t="shared" si="291"/>
        <v>Oct 2015</v>
      </c>
      <c r="C696" s="110" t="str">
        <f t="shared" si="292"/>
        <v xml:space="preserve">LS </v>
      </c>
      <c r="D696" s="110" t="str">
        <f t="shared" si="293"/>
        <v>LGUM_420</v>
      </c>
      <c r="E696" s="581">
        <f t="shared" si="271"/>
        <v>53</v>
      </c>
      <c r="F696" s="581">
        <f t="shared" si="272"/>
        <v>0</v>
      </c>
      <c r="G696" s="116">
        <f t="shared" si="273"/>
        <v>29.889999999999997</v>
      </c>
      <c r="H696" s="116">
        <f t="shared" si="274"/>
        <v>1.6499999999999986</v>
      </c>
      <c r="I696" s="118">
        <f t="shared" si="285"/>
        <v>1584.17</v>
      </c>
      <c r="J696" s="118">
        <f t="shared" si="275"/>
        <v>1584.17</v>
      </c>
      <c r="K696" s="570">
        <f t="shared" si="286"/>
        <v>0</v>
      </c>
      <c r="L696" s="121">
        <f t="shared" si="276"/>
        <v>0</v>
      </c>
      <c r="M696" s="122">
        <f t="shared" si="277"/>
        <v>0</v>
      </c>
      <c r="N696" s="122">
        <f t="shared" si="278"/>
        <v>0</v>
      </c>
      <c r="O696" s="122">
        <f t="shared" si="279"/>
        <v>0</v>
      </c>
      <c r="P696" s="122">
        <f t="shared" si="280"/>
        <v>0</v>
      </c>
      <c r="Q696" s="123">
        <f t="shared" si="281"/>
        <v>1584.17</v>
      </c>
      <c r="R696" s="123">
        <f t="shared" si="287"/>
        <v>-1584.17</v>
      </c>
      <c r="S696" s="582">
        <v>0</v>
      </c>
      <c r="T696" s="123">
        <f t="shared" si="288"/>
        <v>-1584.17</v>
      </c>
      <c r="U696" s="25">
        <f t="shared" si="282"/>
        <v>87.45</v>
      </c>
      <c r="V696" s="123">
        <f t="shared" si="283"/>
        <v>-87.45</v>
      </c>
      <c r="W696" s="334">
        <f t="shared" si="284"/>
        <v>12.719999999999999</v>
      </c>
      <c r="Y696" s="109">
        <f>IF(AE696=1,IF(Y695=MiscData!$F$1,EOMONTH(Y695,-11),EOMONTH(Y695,1)),Y695)</f>
        <v>42308</v>
      </c>
      <c r="Z696" s="108" t="str">
        <f t="shared" si="294"/>
        <v>20140101LGUM_420</v>
      </c>
      <c r="AA696" s="126" t="str">
        <f t="shared" si="295"/>
        <v xml:space="preserve">20140101LS </v>
      </c>
      <c r="AB696" s="583" t="str">
        <f t="shared" si="289"/>
        <v>420</v>
      </c>
      <c r="AD696" s="98">
        <f>MiscData!$X$5</f>
        <v>20140101</v>
      </c>
      <c r="AE696" s="98">
        <f>IF(AE695+1&gt;MiscData!$AC$77,1,AE695+1)</f>
        <v>36</v>
      </c>
      <c r="AF696" s="98" t="str">
        <f>VLOOKUP(AE696,MiscData!$AC$5:$AD$77,2,FALSE)</f>
        <v>LGUM_420</v>
      </c>
      <c r="AG696" s="98" t="str">
        <f>VLOOKUP(AF696,MiscData!$AD$5:$AE$77,2,FALSE)</f>
        <v xml:space="preserve">LS </v>
      </c>
      <c r="AP696" s="98" t="s">
        <v>270</v>
      </c>
      <c r="AR696" s="98">
        <v>0</v>
      </c>
    </row>
    <row r="697" spans="1:44">
      <c r="A697" s="108">
        <f t="shared" si="290"/>
        <v>694</v>
      </c>
      <c r="B697" s="109" t="str">
        <f t="shared" si="291"/>
        <v>Oct 2015</v>
      </c>
      <c r="C697" s="110" t="str">
        <f t="shared" si="292"/>
        <v xml:space="preserve">LS </v>
      </c>
      <c r="D697" s="110" t="str">
        <f t="shared" si="293"/>
        <v>LGUM_421</v>
      </c>
      <c r="E697" s="581">
        <f t="shared" si="271"/>
        <v>174</v>
      </c>
      <c r="F697" s="581">
        <f t="shared" si="272"/>
        <v>0</v>
      </c>
      <c r="G697" s="116">
        <f t="shared" si="273"/>
        <v>32.860000000000007</v>
      </c>
      <c r="H697" s="116">
        <f t="shared" si="274"/>
        <v>2.6700000000000017</v>
      </c>
      <c r="I697" s="118">
        <f t="shared" si="285"/>
        <v>5717.64</v>
      </c>
      <c r="J697" s="118">
        <f t="shared" si="275"/>
        <v>5717.64</v>
      </c>
      <c r="K697" s="570">
        <f t="shared" si="286"/>
        <v>0</v>
      </c>
      <c r="L697" s="121">
        <f t="shared" si="276"/>
        <v>0</v>
      </c>
      <c r="M697" s="122">
        <f t="shared" si="277"/>
        <v>0</v>
      </c>
      <c r="N697" s="122">
        <f t="shared" si="278"/>
        <v>0</v>
      </c>
      <c r="O697" s="122">
        <f t="shared" si="279"/>
        <v>0</v>
      </c>
      <c r="P697" s="122">
        <f t="shared" si="280"/>
        <v>0</v>
      </c>
      <c r="Q697" s="123">
        <f t="shared" si="281"/>
        <v>5717.64</v>
      </c>
      <c r="R697" s="123">
        <f t="shared" si="287"/>
        <v>-5717.64</v>
      </c>
      <c r="S697" s="582">
        <v>0</v>
      </c>
      <c r="T697" s="123">
        <f t="shared" si="288"/>
        <v>-5717.64</v>
      </c>
      <c r="U697" s="25">
        <f t="shared" si="282"/>
        <v>464.58</v>
      </c>
      <c r="V697" s="123">
        <f t="shared" si="283"/>
        <v>-464.58</v>
      </c>
      <c r="W697" s="334">
        <f t="shared" si="284"/>
        <v>46.980000000000004</v>
      </c>
      <c r="Y697" s="109">
        <f>IF(AE697=1,IF(Y696=MiscData!$F$1,EOMONTH(Y696,-11),EOMONTH(Y696,1)),Y696)</f>
        <v>42308</v>
      </c>
      <c r="Z697" s="108" t="str">
        <f t="shared" si="294"/>
        <v>20140101LGUM_421</v>
      </c>
      <c r="AA697" s="126" t="str">
        <f t="shared" si="295"/>
        <v xml:space="preserve">20140101LS </v>
      </c>
      <c r="AB697" s="583" t="str">
        <f t="shared" si="289"/>
        <v>421</v>
      </c>
      <c r="AD697" s="98">
        <f>MiscData!$X$5</f>
        <v>20140101</v>
      </c>
      <c r="AE697" s="98">
        <f>IF(AE696+1&gt;MiscData!$AC$77,1,AE696+1)</f>
        <v>37</v>
      </c>
      <c r="AF697" s="98" t="str">
        <f>VLOOKUP(AE697,MiscData!$AC$5:$AD$77,2,FALSE)</f>
        <v>LGUM_421</v>
      </c>
      <c r="AG697" s="98" t="str">
        <f>VLOOKUP(AF697,MiscData!$AD$5:$AE$77,2,FALSE)</f>
        <v xml:space="preserve">LS </v>
      </c>
      <c r="AP697" s="98" t="s">
        <v>271</v>
      </c>
      <c r="AR697" s="98">
        <v>0</v>
      </c>
    </row>
    <row r="698" spans="1:44">
      <c r="A698" s="108">
        <f t="shared" si="290"/>
        <v>695</v>
      </c>
      <c r="B698" s="109" t="str">
        <f t="shared" si="291"/>
        <v>Oct 2015</v>
      </c>
      <c r="C698" s="110" t="str">
        <f t="shared" si="292"/>
        <v xml:space="preserve">LS </v>
      </c>
      <c r="D698" s="110" t="str">
        <f t="shared" si="293"/>
        <v>LGUM_422</v>
      </c>
      <c r="E698" s="581">
        <f t="shared" si="271"/>
        <v>356</v>
      </c>
      <c r="F698" s="581">
        <f t="shared" si="272"/>
        <v>0</v>
      </c>
      <c r="G698" s="116">
        <f t="shared" si="273"/>
        <v>38.389999999999993</v>
      </c>
      <c r="H698" s="116">
        <f t="shared" si="274"/>
        <v>4.279999999999994</v>
      </c>
      <c r="I698" s="118">
        <f t="shared" si="285"/>
        <v>13666.84</v>
      </c>
      <c r="J698" s="118">
        <f t="shared" si="275"/>
        <v>13666.84</v>
      </c>
      <c r="K698" s="570">
        <f t="shared" si="286"/>
        <v>0</v>
      </c>
      <c r="L698" s="121">
        <f t="shared" si="276"/>
        <v>0</v>
      </c>
      <c r="M698" s="122">
        <f t="shared" si="277"/>
        <v>0</v>
      </c>
      <c r="N698" s="122">
        <f t="shared" si="278"/>
        <v>0</v>
      </c>
      <c r="O698" s="122">
        <f t="shared" si="279"/>
        <v>0</v>
      </c>
      <c r="P698" s="122">
        <f t="shared" si="280"/>
        <v>0</v>
      </c>
      <c r="Q698" s="123">
        <f t="shared" si="281"/>
        <v>13666.84</v>
      </c>
      <c r="R698" s="123">
        <f t="shared" si="287"/>
        <v>-13666.84</v>
      </c>
      <c r="S698" s="582">
        <v>0</v>
      </c>
      <c r="T698" s="123">
        <f t="shared" si="288"/>
        <v>-13666.84</v>
      </c>
      <c r="U698" s="25">
        <f t="shared" si="282"/>
        <v>1523.68</v>
      </c>
      <c r="V698" s="123">
        <f t="shared" si="283"/>
        <v>-1523.68</v>
      </c>
      <c r="W698" s="334">
        <f t="shared" si="284"/>
        <v>103.24</v>
      </c>
      <c r="Y698" s="109">
        <f>IF(AE698=1,IF(Y697=MiscData!$F$1,EOMONTH(Y697,-11),EOMONTH(Y697,1)),Y697)</f>
        <v>42308</v>
      </c>
      <c r="Z698" s="108" t="str">
        <f t="shared" si="294"/>
        <v>20140101LGUM_422</v>
      </c>
      <c r="AA698" s="126" t="str">
        <f t="shared" si="295"/>
        <v xml:space="preserve">20140101LS </v>
      </c>
      <c r="AB698" s="583" t="str">
        <f t="shared" si="289"/>
        <v>422</v>
      </c>
      <c r="AD698" s="98">
        <f>MiscData!$X$5</f>
        <v>20140101</v>
      </c>
      <c r="AE698" s="98">
        <f>IF(AE697+1&gt;MiscData!$AC$77,1,AE697+1)</f>
        <v>38</v>
      </c>
      <c r="AF698" s="98" t="str">
        <f>VLOOKUP(AE698,MiscData!$AC$5:$AD$77,2,FALSE)</f>
        <v>LGUM_422</v>
      </c>
      <c r="AG698" s="98" t="str">
        <f>VLOOKUP(AF698,MiscData!$AD$5:$AE$77,2,FALSE)</f>
        <v xml:space="preserve">LS </v>
      </c>
      <c r="AP698" s="98" t="s">
        <v>272</v>
      </c>
      <c r="AR698" s="98">
        <v>0</v>
      </c>
    </row>
    <row r="699" spans="1:44">
      <c r="A699" s="108">
        <f t="shared" si="290"/>
        <v>696</v>
      </c>
      <c r="B699" s="109" t="str">
        <f t="shared" si="291"/>
        <v>Oct 2015</v>
      </c>
      <c r="C699" s="110" t="str">
        <f t="shared" si="292"/>
        <v xml:space="preserve">LS </v>
      </c>
      <c r="D699" s="110" t="str">
        <f t="shared" si="293"/>
        <v>LGUM_423</v>
      </c>
      <c r="E699" s="581">
        <f t="shared" si="271"/>
        <v>17</v>
      </c>
      <c r="F699" s="581">
        <f t="shared" si="272"/>
        <v>0</v>
      </c>
      <c r="G699" s="116">
        <f t="shared" si="273"/>
        <v>26.349999999999998</v>
      </c>
      <c r="H699" s="116">
        <f t="shared" si="274"/>
        <v>1.6500000000000021</v>
      </c>
      <c r="I699" s="118">
        <f t="shared" si="285"/>
        <v>447.95</v>
      </c>
      <c r="J699" s="118">
        <f t="shared" si="275"/>
        <v>447.95</v>
      </c>
      <c r="K699" s="570">
        <f t="shared" si="286"/>
        <v>0</v>
      </c>
      <c r="L699" s="121">
        <f t="shared" si="276"/>
        <v>0</v>
      </c>
      <c r="M699" s="122">
        <f t="shared" si="277"/>
        <v>0</v>
      </c>
      <c r="N699" s="122">
        <f t="shared" si="278"/>
        <v>0</v>
      </c>
      <c r="O699" s="122">
        <f t="shared" si="279"/>
        <v>0</v>
      </c>
      <c r="P699" s="122">
        <f t="shared" si="280"/>
        <v>0</v>
      </c>
      <c r="Q699" s="123">
        <f t="shared" si="281"/>
        <v>447.95</v>
      </c>
      <c r="R699" s="123">
        <f t="shared" si="287"/>
        <v>-447.95</v>
      </c>
      <c r="S699" s="582">
        <v>0</v>
      </c>
      <c r="T699" s="123">
        <f t="shared" si="288"/>
        <v>-447.95</v>
      </c>
      <c r="U699" s="25">
        <f t="shared" si="282"/>
        <v>28.05</v>
      </c>
      <c r="V699" s="123">
        <f t="shared" si="283"/>
        <v>-28.05</v>
      </c>
      <c r="W699" s="334">
        <f t="shared" si="284"/>
        <v>4.08</v>
      </c>
      <c r="Y699" s="109">
        <f>IF(AE699=1,IF(Y698=MiscData!$F$1,EOMONTH(Y698,-11),EOMONTH(Y698,1)),Y698)</f>
        <v>42308</v>
      </c>
      <c r="Z699" s="108" t="str">
        <f t="shared" si="294"/>
        <v>20140101LGUM_423</v>
      </c>
      <c r="AA699" s="126" t="str">
        <f t="shared" si="295"/>
        <v xml:space="preserve">20140101LS </v>
      </c>
      <c r="AB699" s="583" t="str">
        <f t="shared" si="289"/>
        <v>423</v>
      </c>
      <c r="AD699" s="98">
        <f>MiscData!$X$5</f>
        <v>20140101</v>
      </c>
      <c r="AE699" s="98">
        <f>IF(AE698+1&gt;MiscData!$AC$77,1,AE698+1)</f>
        <v>39</v>
      </c>
      <c r="AF699" s="98" t="str">
        <f>VLOOKUP(AE699,MiscData!$AC$5:$AD$77,2,FALSE)</f>
        <v>LGUM_423</v>
      </c>
      <c r="AG699" s="98" t="str">
        <f>VLOOKUP(AF699,MiscData!$AD$5:$AE$77,2,FALSE)</f>
        <v xml:space="preserve">LS </v>
      </c>
      <c r="AP699" s="98" t="s">
        <v>273</v>
      </c>
      <c r="AR699" s="98">
        <v>0</v>
      </c>
    </row>
    <row r="700" spans="1:44">
      <c r="A700" s="108">
        <f t="shared" si="290"/>
        <v>697</v>
      </c>
      <c r="B700" s="109" t="str">
        <f t="shared" si="291"/>
        <v>Oct 2015</v>
      </c>
      <c r="C700" s="110" t="str">
        <f t="shared" si="292"/>
        <v xml:space="preserve">LS </v>
      </c>
      <c r="D700" s="110" t="str">
        <f t="shared" si="293"/>
        <v>LGUM_424</v>
      </c>
      <c r="E700" s="581">
        <f t="shared" si="271"/>
        <v>353</v>
      </c>
      <c r="F700" s="581">
        <f t="shared" si="272"/>
        <v>0</v>
      </c>
      <c r="G700" s="116">
        <f t="shared" si="273"/>
        <v>28.45</v>
      </c>
      <c r="H700" s="116">
        <f t="shared" si="274"/>
        <v>3.9800000000000004</v>
      </c>
      <c r="I700" s="118">
        <f t="shared" si="285"/>
        <v>10042.85</v>
      </c>
      <c r="J700" s="118">
        <f t="shared" si="275"/>
        <v>10042.85</v>
      </c>
      <c r="K700" s="570">
        <f t="shared" si="286"/>
        <v>0</v>
      </c>
      <c r="L700" s="121">
        <f t="shared" si="276"/>
        <v>0</v>
      </c>
      <c r="M700" s="122">
        <f t="shared" si="277"/>
        <v>0</v>
      </c>
      <c r="N700" s="122">
        <f t="shared" si="278"/>
        <v>0</v>
      </c>
      <c r="O700" s="122">
        <f t="shared" si="279"/>
        <v>0</v>
      </c>
      <c r="P700" s="122">
        <f t="shared" si="280"/>
        <v>0</v>
      </c>
      <c r="Q700" s="123">
        <f t="shared" si="281"/>
        <v>10042.85</v>
      </c>
      <c r="R700" s="123">
        <f t="shared" si="287"/>
        <v>-10042.85</v>
      </c>
      <c r="S700" s="582">
        <v>0</v>
      </c>
      <c r="T700" s="123">
        <f t="shared" si="288"/>
        <v>-10042.85</v>
      </c>
      <c r="U700" s="25">
        <f t="shared" si="282"/>
        <v>1404.94</v>
      </c>
      <c r="V700" s="123">
        <f t="shared" si="283"/>
        <v>-1404.94</v>
      </c>
      <c r="W700" s="334">
        <f t="shared" si="284"/>
        <v>95.31</v>
      </c>
      <c r="Y700" s="109">
        <f>IF(AE700=1,IF(Y699=MiscData!$F$1,EOMONTH(Y699,-11),EOMONTH(Y699,1)),Y699)</f>
        <v>42308</v>
      </c>
      <c r="Z700" s="108" t="str">
        <f t="shared" si="294"/>
        <v>20140101LGUM_424</v>
      </c>
      <c r="AA700" s="126" t="str">
        <f t="shared" si="295"/>
        <v xml:space="preserve">20140101LS </v>
      </c>
      <c r="AB700" s="583" t="str">
        <f t="shared" si="289"/>
        <v>424</v>
      </c>
      <c r="AD700" s="98">
        <f>MiscData!$X$5</f>
        <v>20140101</v>
      </c>
      <c r="AE700" s="98">
        <f>IF(AE699+1&gt;MiscData!$AC$77,1,AE699+1)</f>
        <v>40</v>
      </c>
      <c r="AF700" s="98" t="str">
        <f>VLOOKUP(AE700,MiscData!$AC$5:$AD$77,2,FALSE)</f>
        <v>LGUM_424</v>
      </c>
      <c r="AG700" s="98" t="str">
        <f>VLOOKUP(AF700,MiscData!$AD$5:$AE$77,2,FALSE)</f>
        <v xml:space="preserve">LS </v>
      </c>
      <c r="AP700" s="98" t="s">
        <v>274</v>
      </c>
      <c r="AR700" s="98">
        <v>0</v>
      </c>
    </row>
    <row r="701" spans="1:44">
      <c r="A701" s="108">
        <f t="shared" si="290"/>
        <v>698</v>
      </c>
      <c r="B701" s="109" t="str">
        <f t="shared" si="291"/>
        <v>Oct 2015</v>
      </c>
      <c r="C701" s="110" t="str">
        <f t="shared" si="292"/>
        <v xml:space="preserve">LS </v>
      </c>
      <c r="D701" s="110" t="str">
        <f t="shared" si="293"/>
        <v>LGUM_425</v>
      </c>
      <c r="E701" s="581">
        <f t="shared" si="271"/>
        <v>37</v>
      </c>
      <c r="F701" s="581">
        <f t="shared" si="272"/>
        <v>0</v>
      </c>
      <c r="G701" s="116">
        <f t="shared" si="273"/>
        <v>34.029999999999994</v>
      </c>
      <c r="H701" s="116">
        <f t="shared" si="274"/>
        <v>4.2799999999999976</v>
      </c>
      <c r="I701" s="118">
        <f t="shared" si="285"/>
        <v>1259.1099999999999</v>
      </c>
      <c r="J701" s="118">
        <f t="shared" si="275"/>
        <v>1259.1099999999999</v>
      </c>
      <c r="K701" s="570">
        <f t="shared" si="286"/>
        <v>0</v>
      </c>
      <c r="L701" s="121">
        <f t="shared" si="276"/>
        <v>0</v>
      </c>
      <c r="M701" s="122">
        <f t="shared" si="277"/>
        <v>0</v>
      </c>
      <c r="N701" s="122">
        <f t="shared" si="278"/>
        <v>0</v>
      </c>
      <c r="O701" s="122">
        <f t="shared" si="279"/>
        <v>0</v>
      </c>
      <c r="P701" s="122">
        <f t="shared" si="280"/>
        <v>0</v>
      </c>
      <c r="Q701" s="123">
        <f t="shared" si="281"/>
        <v>1259.1099999999999</v>
      </c>
      <c r="R701" s="123">
        <f t="shared" si="287"/>
        <v>-1259.1099999999999</v>
      </c>
      <c r="S701" s="582">
        <v>0</v>
      </c>
      <c r="T701" s="123">
        <f t="shared" si="288"/>
        <v>-1259.1099999999999</v>
      </c>
      <c r="U701" s="25">
        <f t="shared" si="282"/>
        <v>158.36000000000001</v>
      </c>
      <c r="V701" s="123">
        <f t="shared" si="283"/>
        <v>-158.36000000000001</v>
      </c>
      <c r="W701" s="334">
        <f t="shared" si="284"/>
        <v>10.729999999999999</v>
      </c>
      <c r="Y701" s="109">
        <f>IF(AE701=1,IF(Y700=MiscData!$F$1,EOMONTH(Y700,-11),EOMONTH(Y700,1)),Y700)</f>
        <v>42308</v>
      </c>
      <c r="Z701" s="108" t="str">
        <f t="shared" si="294"/>
        <v>20140101LGUM_425</v>
      </c>
      <c r="AA701" s="126" t="str">
        <f t="shared" si="295"/>
        <v xml:space="preserve">20140101LS </v>
      </c>
      <c r="AB701" s="583" t="str">
        <f t="shared" si="289"/>
        <v>425</v>
      </c>
      <c r="AD701" s="98">
        <f>MiscData!$X$5</f>
        <v>20140101</v>
      </c>
      <c r="AE701" s="98">
        <f>IF(AE700+1&gt;MiscData!$AC$77,1,AE700+1)</f>
        <v>41</v>
      </c>
      <c r="AF701" s="98" t="str">
        <f>VLOOKUP(AE701,MiscData!$AC$5:$AD$77,2,FALSE)</f>
        <v>LGUM_425</v>
      </c>
      <c r="AG701" s="98" t="str">
        <f>VLOOKUP(AF701,MiscData!$AD$5:$AE$77,2,FALSE)</f>
        <v xml:space="preserve">LS </v>
      </c>
      <c r="AP701" s="98" t="s">
        <v>275</v>
      </c>
      <c r="AR701" s="98">
        <v>0</v>
      </c>
    </row>
    <row r="702" spans="1:44">
      <c r="A702" s="108">
        <f t="shared" si="290"/>
        <v>699</v>
      </c>
      <c r="B702" s="109" t="str">
        <f t="shared" si="291"/>
        <v>Oct 2015</v>
      </c>
      <c r="C702" s="110" t="str">
        <f t="shared" si="292"/>
        <v>RLS</v>
      </c>
      <c r="D702" s="110" t="str">
        <f t="shared" si="293"/>
        <v>LGUM_426</v>
      </c>
      <c r="E702" s="581">
        <f t="shared" si="271"/>
        <v>40</v>
      </c>
      <c r="F702" s="581">
        <f t="shared" si="272"/>
        <v>0</v>
      </c>
      <c r="G702" s="116">
        <f t="shared" si="273"/>
        <v>33.22</v>
      </c>
      <c r="H702" s="116">
        <f t="shared" si="274"/>
        <v>0.75</v>
      </c>
      <c r="I702" s="118">
        <f t="shared" si="285"/>
        <v>1328.8</v>
      </c>
      <c r="J702" s="118">
        <f t="shared" si="275"/>
        <v>1328.8</v>
      </c>
      <c r="K702" s="570">
        <f t="shared" si="286"/>
        <v>0</v>
      </c>
      <c r="L702" s="121">
        <f t="shared" si="276"/>
        <v>0</v>
      </c>
      <c r="M702" s="122">
        <f t="shared" si="277"/>
        <v>0</v>
      </c>
      <c r="N702" s="122">
        <f t="shared" si="278"/>
        <v>0</v>
      </c>
      <c r="O702" s="122">
        <f t="shared" si="279"/>
        <v>0</v>
      </c>
      <c r="P702" s="122">
        <f t="shared" si="280"/>
        <v>0</v>
      </c>
      <c r="Q702" s="123">
        <f t="shared" si="281"/>
        <v>1328.8</v>
      </c>
      <c r="R702" s="123">
        <f t="shared" si="287"/>
        <v>-1328.8</v>
      </c>
      <c r="S702" s="582">
        <v>0</v>
      </c>
      <c r="T702" s="123">
        <f t="shared" si="288"/>
        <v>-1328.8</v>
      </c>
      <c r="U702" s="25">
        <f t="shared" si="282"/>
        <v>30</v>
      </c>
      <c r="V702" s="123">
        <f t="shared" si="283"/>
        <v>-30</v>
      </c>
      <c r="W702" s="334">
        <f t="shared" si="284"/>
        <v>10.4</v>
      </c>
      <c r="Y702" s="109">
        <f>IF(AE702=1,IF(Y701=MiscData!$F$1,EOMONTH(Y701,-11),EOMONTH(Y701,1)),Y701)</f>
        <v>42308</v>
      </c>
      <c r="Z702" s="108" t="str">
        <f t="shared" si="294"/>
        <v>20140101LGUM_426</v>
      </c>
      <c r="AA702" s="126" t="str">
        <f t="shared" si="295"/>
        <v>20140101RLS</v>
      </c>
      <c r="AB702" s="583" t="str">
        <f t="shared" si="289"/>
        <v>426</v>
      </c>
      <c r="AD702" s="98">
        <f>MiscData!$X$5</f>
        <v>20140101</v>
      </c>
      <c r="AE702" s="98">
        <f>IF(AE701+1&gt;MiscData!$AC$77,1,AE701+1)</f>
        <v>42</v>
      </c>
      <c r="AF702" s="98" t="str">
        <f>VLOOKUP(AE702,MiscData!$AC$5:$AD$77,2,FALSE)</f>
        <v>LGUM_426</v>
      </c>
      <c r="AG702" s="98" t="str">
        <f>VLOOKUP(AF702,MiscData!$AD$5:$AE$77,2,FALSE)</f>
        <v>RLS</v>
      </c>
      <c r="AP702" s="98" t="s">
        <v>276</v>
      </c>
      <c r="AR702" s="98">
        <v>0</v>
      </c>
    </row>
    <row r="703" spans="1:44">
      <c r="A703" s="108">
        <f t="shared" si="290"/>
        <v>700</v>
      </c>
      <c r="B703" s="109" t="str">
        <f t="shared" si="291"/>
        <v>Oct 2015</v>
      </c>
      <c r="C703" s="110" t="str">
        <f t="shared" si="292"/>
        <v xml:space="preserve">LS </v>
      </c>
      <c r="D703" s="110" t="str">
        <f t="shared" si="293"/>
        <v>LGUM_427</v>
      </c>
      <c r="E703" s="581">
        <f t="shared" si="271"/>
        <v>52</v>
      </c>
      <c r="F703" s="581">
        <f t="shared" si="272"/>
        <v>0</v>
      </c>
      <c r="G703" s="116">
        <f t="shared" si="273"/>
        <v>35.199999999999996</v>
      </c>
      <c r="H703" s="116">
        <f t="shared" si="274"/>
        <v>0.75</v>
      </c>
      <c r="I703" s="118">
        <f t="shared" si="285"/>
        <v>1830.4</v>
      </c>
      <c r="J703" s="118">
        <f t="shared" si="275"/>
        <v>1830.4</v>
      </c>
      <c r="K703" s="570">
        <f t="shared" si="286"/>
        <v>0</v>
      </c>
      <c r="L703" s="121">
        <f t="shared" si="276"/>
        <v>0</v>
      </c>
      <c r="M703" s="122">
        <f t="shared" si="277"/>
        <v>0</v>
      </c>
      <c r="N703" s="122">
        <f t="shared" si="278"/>
        <v>0</v>
      </c>
      <c r="O703" s="122">
        <f t="shared" si="279"/>
        <v>0</v>
      </c>
      <c r="P703" s="122">
        <f t="shared" si="280"/>
        <v>0</v>
      </c>
      <c r="Q703" s="123">
        <f t="shared" si="281"/>
        <v>1830.4</v>
      </c>
      <c r="R703" s="123">
        <f t="shared" si="287"/>
        <v>-1830.4</v>
      </c>
      <c r="S703" s="582">
        <v>0</v>
      </c>
      <c r="T703" s="123">
        <f t="shared" si="288"/>
        <v>-1830.4</v>
      </c>
      <c r="U703" s="25">
        <f t="shared" si="282"/>
        <v>39</v>
      </c>
      <c r="V703" s="123">
        <f t="shared" si="283"/>
        <v>-39</v>
      </c>
      <c r="W703" s="334">
        <f t="shared" si="284"/>
        <v>13.52</v>
      </c>
      <c r="Y703" s="109">
        <f>IF(AE703=1,IF(Y702=MiscData!$F$1,EOMONTH(Y702,-11),EOMONTH(Y702,1)),Y702)</f>
        <v>42308</v>
      </c>
      <c r="Z703" s="108" t="str">
        <f t="shared" si="294"/>
        <v>20140101LGUM_427</v>
      </c>
      <c r="AA703" s="126" t="str">
        <f t="shared" si="295"/>
        <v xml:space="preserve">20140101LS </v>
      </c>
      <c r="AB703" s="583" t="str">
        <f t="shared" si="289"/>
        <v>427</v>
      </c>
      <c r="AD703" s="98">
        <f>MiscData!$X$5</f>
        <v>20140101</v>
      </c>
      <c r="AE703" s="98">
        <f>IF(AE702+1&gt;MiscData!$AC$77,1,AE702+1)</f>
        <v>43</v>
      </c>
      <c r="AF703" s="98" t="str">
        <f>VLOOKUP(AE703,MiscData!$AC$5:$AD$77,2,FALSE)</f>
        <v>LGUM_427</v>
      </c>
      <c r="AG703" s="98" t="str">
        <f>VLOOKUP(AF703,MiscData!$AD$5:$AE$77,2,FALSE)</f>
        <v xml:space="preserve">LS </v>
      </c>
      <c r="AP703" s="98" t="s">
        <v>277</v>
      </c>
      <c r="AR703" s="98">
        <v>0</v>
      </c>
    </row>
    <row r="704" spans="1:44">
      <c r="A704" s="108">
        <f t="shared" si="290"/>
        <v>701</v>
      </c>
      <c r="B704" s="109" t="str">
        <f t="shared" si="291"/>
        <v>Oct 2015</v>
      </c>
      <c r="C704" s="110" t="str">
        <f t="shared" si="292"/>
        <v>RLS</v>
      </c>
      <c r="D704" s="110" t="str">
        <f t="shared" si="293"/>
        <v>LGUM_428</v>
      </c>
      <c r="E704" s="581">
        <f t="shared" si="271"/>
        <v>194</v>
      </c>
      <c r="F704" s="581">
        <f t="shared" si="272"/>
        <v>0</v>
      </c>
      <c r="G704" s="116">
        <f t="shared" si="273"/>
        <v>34.090000000000003</v>
      </c>
      <c r="H704" s="116">
        <f t="shared" si="274"/>
        <v>1.0600000000000023</v>
      </c>
      <c r="I704" s="118">
        <f t="shared" si="285"/>
        <v>6613.46</v>
      </c>
      <c r="J704" s="118">
        <f t="shared" si="275"/>
        <v>6613.46</v>
      </c>
      <c r="K704" s="570">
        <f t="shared" si="286"/>
        <v>0</v>
      </c>
      <c r="L704" s="121">
        <f t="shared" si="276"/>
        <v>0</v>
      </c>
      <c r="M704" s="122">
        <f t="shared" si="277"/>
        <v>0</v>
      </c>
      <c r="N704" s="122">
        <f t="shared" si="278"/>
        <v>0</v>
      </c>
      <c r="O704" s="122">
        <f t="shared" si="279"/>
        <v>0</v>
      </c>
      <c r="P704" s="122">
        <f t="shared" si="280"/>
        <v>0</v>
      </c>
      <c r="Q704" s="123">
        <f t="shared" si="281"/>
        <v>6613.46</v>
      </c>
      <c r="R704" s="123">
        <f t="shared" si="287"/>
        <v>-6613.46</v>
      </c>
      <c r="S704" s="582">
        <v>0</v>
      </c>
      <c r="T704" s="123">
        <f t="shared" si="288"/>
        <v>-6613.46</v>
      </c>
      <c r="U704" s="25">
        <f t="shared" si="282"/>
        <v>205.64</v>
      </c>
      <c r="V704" s="123">
        <f t="shared" si="283"/>
        <v>-205.64</v>
      </c>
      <c r="W704" s="334">
        <f t="shared" si="284"/>
        <v>52.38</v>
      </c>
      <c r="Y704" s="109">
        <f>IF(AE704=1,IF(Y703=MiscData!$F$1,EOMONTH(Y703,-11),EOMONTH(Y703,1)),Y703)</f>
        <v>42308</v>
      </c>
      <c r="Z704" s="108" t="str">
        <f t="shared" si="294"/>
        <v>20140101LGUM_428</v>
      </c>
      <c r="AA704" s="126" t="str">
        <f t="shared" si="295"/>
        <v>20140101RLS</v>
      </c>
      <c r="AB704" s="583" t="str">
        <f t="shared" si="289"/>
        <v>428</v>
      </c>
      <c r="AD704" s="98">
        <f>MiscData!$X$5</f>
        <v>20140101</v>
      </c>
      <c r="AE704" s="98">
        <f>IF(AE703+1&gt;MiscData!$AC$77,1,AE703+1)</f>
        <v>44</v>
      </c>
      <c r="AF704" s="98" t="str">
        <f>VLOOKUP(AE704,MiscData!$AC$5:$AD$77,2,FALSE)</f>
        <v>LGUM_428</v>
      </c>
      <c r="AG704" s="98" t="str">
        <f>VLOOKUP(AF704,MiscData!$AD$5:$AE$77,2,FALSE)</f>
        <v>RLS</v>
      </c>
      <c r="AP704" s="98" t="s">
        <v>553</v>
      </c>
      <c r="AR704" s="98">
        <v>0</v>
      </c>
    </row>
    <row r="705" spans="1:44">
      <c r="A705" s="108">
        <f t="shared" si="290"/>
        <v>702</v>
      </c>
      <c r="B705" s="109" t="str">
        <f t="shared" si="291"/>
        <v>Oct 2015</v>
      </c>
      <c r="C705" s="110" t="str">
        <f t="shared" si="292"/>
        <v xml:space="preserve">LS </v>
      </c>
      <c r="D705" s="110" t="str">
        <f t="shared" si="293"/>
        <v>LGUM_429</v>
      </c>
      <c r="E705" s="581">
        <f t="shared" si="271"/>
        <v>188</v>
      </c>
      <c r="F705" s="581">
        <f t="shared" si="272"/>
        <v>0</v>
      </c>
      <c r="G705" s="116">
        <f t="shared" si="273"/>
        <v>36.07</v>
      </c>
      <c r="H705" s="116">
        <f t="shared" si="274"/>
        <v>1.0599999999999952</v>
      </c>
      <c r="I705" s="118">
        <f t="shared" si="285"/>
        <v>6781.16</v>
      </c>
      <c r="J705" s="118">
        <f t="shared" si="275"/>
        <v>6781.16</v>
      </c>
      <c r="K705" s="570">
        <f t="shared" si="286"/>
        <v>0</v>
      </c>
      <c r="L705" s="121">
        <f t="shared" si="276"/>
        <v>0</v>
      </c>
      <c r="M705" s="122">
        <f t="shared" si="277"/>
        <v>0</v>
      </c>
      <c r="N705" s="122">
        <f t="shared" si="278"/>
        <v>0</v>
      </c>
      <c r="O705" s="122">
        <f t="shared" si="279"/>
        <v>0</v>
      </c>
      <c r="P705" s="122">
        <f t="shared" si="280"/>
        <v>0</v>
      </c>
      <c r="Q705" s="123">
        <f t="shared" si="281"/>
        <v>6781.16</v>
      </c>
      <c r="R705" s="123">
        <f t="shared" si="287"/>
        <v>-6781.16</v>
      </c>
      <c r="S705" s="582">
        <v>0</v>
      </c>
      <c r="T705" s="123">
        <f t="shared" si="288"/>
        <v>-6781.16</v>
      </c>
      <c r="U705" s="25">
        <f t="shared" si="282"/>
        <v>199.28</v>
      </c>
      <c r="V705" s="123">
        <f t="shared" si="283"/>
        <v>-199.28</v>
      </c>
      <c r="W705" s="334">
        <f t="shared" si="284"/>
        <v>50.760000000000005</v>
      </c>
      <c r="Y705" s="109">
        <f>IF(AE705=1,IF(Y704=MiscData!$F$1,EOMONTH(Y704,-11),EOMONTH(Y704,1)),Y704)</f>
        <v>42308</v>
      </c>
      <c r="Z705" s="108" t="str">
        <f t="shared" si="294"/>
        <v>20140101LGUM_429</v>
      </c>
      <c r="AA705" s="126" t="str">
        <f t="shared" si="295"/>
        <v xml:space="preserve">20140101LS </v>
      </c>
      <c r="AB705" s="583" t="str">
        <f t="shared" si="289"/>
        <v>429</v>
      </c>
      <c r="AD705" s="98">
        <f>MiscData!$X$5</f>
        <v>20140101</v>
      </c>
      <c r="AE705" s="98">
        <f>IF(AE704+1&gt;MiscData!$AC$77,1,AE704+1)</f>
        <v>45</v>
      </c>
      <c r="AF705" s="98" t="str">
        <f>VLOOKUP(AE705,MiscData!$AC$5:$AD$77,2,FALSE)</f>
        <v>LGUM_429</v>
      </c>
      <c r="AG705" s="98" t="str">
        <f>VLOOKUP(AF705,MiscData!$AD$5:$AE$77,2,FALSE)</f>
        <v xml:space="preserve">LS </v>
      </c>
      <c r="AP705" s="98" t="s">
        <v>554</v>
      </c>
      <c r="AR705" s="98">
        <v>0</v>
      </c>
    </row>
    <row r="706" spans="1:44">
      <c r="A706" s="108">
        <f t="shared" si="290"/>
        <v>703</v>
      </c>
      <c r="B706" s="109" t="str">
        <f t="shared" si="291"/>
        <v>Oct 2015</v>
      </c>
      <c r="C706" s="110" t="str">
        <f t="shared" si="292"/>
        <v>RLS</v>
      </c>
      <c r="D706" s="110" t="str">
        <f t="shared" si="293"/>
        <v>LGUM_430</v>
      </c>
      <c r="E706" s="581">
        <f t="shared" si="271"/>
        <v>13</v>
      </c>
      <c r="F706" s="581">
        <f t="shared" si="272"/>
        <v>0</v>
      </c>
      <c r="G706" s="116">
        <f t="shared" si="273"/>
        <v>32.26</v>
      </c>
      <c r="H706" s="116">
        <f t="shared" si="274"/>
        <v>0.75</v>
      </c>
      <c r="I706" s="118">
        <f t="shared" si="285"/>
        <v>419.38</v>
      </c>
      <c r="J706" s="118">
        <f t="shared" si="275"/>
        <v>419.38</v>
      </c>
      <c r="K706" s="570">
        <f t="shared" si="286"/>
        <v>0</v>
      </c>
      <c r="L706" s="121">
        <f t="shared" si="276"/>
        <v>0</v>
      </c>
      <c r="M706" s="122">
        <f t="shared" si="277"/>
        <v>0</v>
      </c>
      <c r="N706" s="122">
        <f t="shared" si="278"/>
        <v>0</v>
      </c>
      <c r="O706" s="122">
        <f t="shared" si="279"/>
        <v>0</v>
      </c>
      <c r="P706" s="122">
        <f t="shared" si="280"/>
        <v>0</v>
      </c>
      <c r="Q706" s="123">
        <f t="shared" si="281"/>
        <v>419.38</v>
      </c>
      <c r="R706" s="123">
        <f t="shared" si="287"/>
        <v>-419.38</v>
      </c>
      <c r="S706" s="582">
        <v>0</v>
      </c>
      <c r="T706" s="123">
        <f t="shared" si="288"/>
        <v>-419.38</v>
      </c>
      <c r="U706" s="25">
        <f t="shared" si="282"/>
        <v>9.75</v>
      </c>
      <c r="V706" s="123">
        <f t="shared" si="283"/>
        <v>-9.75</v>
      </c>
      <c r="W706" s="334">
        <f t="shared" si="284"/>
        <v>3.38</v>
      </c>
      <c r="Y706" s="109">
        <f>IF(AE706=1,IF(Y705=MiscData!$F$1,EOMONTH(Y705,-11),EOMONTH(Y705,1)),Y705)</f>
        <v>42308</v>
      </c>
      <c r="Z706" s="108" t="str">
        <f t="shared" si="294"/>
        <v>20140101LGUM_430</v>
      </c>
      <c r="AA706" s="126" t="str">
        <f t="shared" si="295"/>
        <v>20140101RLS</v>
      </c>
      <c r="AB706" s="583" t="str">
        <f t="shared" si="289"/>
        <v>430</v>
      </c>
      <c r="AD706" s="98">
        <f>MiscData!$X$5</f>
        <v>20140101</v>
      </c>
      <c r="AE706" s="98">
        <f>IF(AE705+1&gt;MiscData!$AC$77,1,AE705+1)</f>
        <v>46</v>
      </c>
      <c r="AF706" s="98" t="str">
        <f>VLOOKUP(AE706,MiscData!$AC$5:$AD$77,2,FALSE)</f>
        <v>LGUM_430</v>
      </c>
      <c r="AG706" s="98" t="str">
        <f>VLOOKUP(AF706,MiscData!$AD$5:$AE$77,2,FALSE)</f>
        <v>RLS</v>
      </c>
      <c r="AP706" s="98" t="s">
        <v>278</v>
      </c>
      <c r="AR706" s="98">
        <v>0</v>
      </c>
    </row>
    <row r="707" spans="1:44">
      <c r="A707" s="108">
        <f t="shared" si="290"/>
        <v>704</v>
      </c>
      <c r="B707" s="109" t="str">
        <f t="shared" si="291"/>
        <v>Oct 2015</v>
      </c>
      <c r="C707" s="110" t="str">
        <f t="shared" si="292"/>
        <v xml:space="preserve">LS </v>
      </c>
      <c r="D707" s="110" t="str">
        <f t="shared" si="293"/>
        <v>LGUM_431</v>
      </c>
      <c r="E707" s="581">
        <f t="shared" si="271"/>
        <v>44</v>
      </c>
      <c r="F707" s="581">
        <f t="shared" si="272"/>
        <v>0</v>
      </c>
      <c r="G707" s="116">
        <f t="shared" si="273"/>
        <v>32.93</v>
      </c>
      <c r="H707" s="116">
        <f t="shared" si="274"/>
        <v>0.75</v>
      </c>
      <c r="I707" s="118">
        <f t="shared" si="285"/>
        <v>1448.92</v>
      </c>
      <c r="J707" s="118">
        <f t="shared" si="275"/>
        <v>1448.92</v>
      </c>
      <c r="K707" s="570">
        <f t="shared" si="286"/>
        <v>0</v>
      </c>
      <c r="L707" s="121">
        <f t="shared" si="276"/>
        <v>0</v>
      </c>
      <c r="M707" s="122">
        <f t="shared" si="277"/>
        <v>0</v>
      </c>
      <c r="N707" s="122">
        <f t="shared" si="278"/>
        <v>0</v>
      </c>
      <c r="O707" s="122">
        <f t="shared" si="279"/>
        <v>0</v>
      </c>
      <c r="P707" s="122">
        <f t="shared" si="280"/>
        <v>0</v>
      </c>
      <c r="Q707" s="123">
        <f t="shared" si="281"/>
        <v>1448.92</v>
      </c>
      <c r="R707" s="123">
        <f t="shared" si="287"/>
        <v>-1448.92</v>
      </c>
      <c r="S707" s="582">
        <v>0</v>
      </c>
      <c r="T707" s="123">
        <f t="shared" si="288"/>
        <v>-1448.92</v>
      </c>
      <c r="U707" s="25">
        <f t="shared" si="282"/>
        <v>33</v>
      </c>
      <c r="V707" s="123">
        <f t="shared" si="283"/>
        <v>-33</v>
      </c>
      <c r="W707" s="334">
        <f t="shared" si="284"/>
        <v>11.440000000000001</v>
      </c>
      <c r="Y707" s="109">
        <f>IF(AE707=1,IF(Y706=MiscData!$F$1,EOMONTH(Y706,-11),EOMONTH(Y706,1)),Y706)</f>
        <v>42308</v>
      </c>
      <c r="Z707" s="108" t="str">
        <f t="shared" si="294"/>
        <v>20140101LGUM_431</v>
      </c>
      <c r="AA707" s="126" t="str">
        <f t="shared" si="295"/>
        <v xml:space="preserve">20140101LS </v>
      </c>
      <c r="AB707" s="583" t="str">
        <f t="shared" si="289"/>
        <v>431</v>
      </c>
      <c r="AD707" s="98">
        <f>MiscData!$X$5</f>
        <v>20140101</v>
      </c>
      <c r="AE707" s="98">
        <f>IF(AE706+1&gt;MiscData!$AC$77,1,AE706+1)</f>
        <v>47</v>
      </c>
      <c r="AF707" s="98" t="str">
        <f>VLOOKUP(AE707,MiscData!$AC$5:$AD$77,2,FALSE)</f>
        <v>LGUM_431</v>
      </c>
      <c r="AG707" s="98" t="str">
        <f>VLOOKUP(AF707,MiscData!$AD$5:$AE$77,2,FALSE)</f>
        <v xml:space="preserve">LS </v>
      </c>
      <c r="AP707" s="98" t="s">
        <v>279</v>
      </c>
      <c r="AR707" s="98">
        <v>0</v>
      </c>
    </row>
    <row r="708" spans="1:44">
      <c r="A708" s="108">
        <f t="shared" si="290"/>
        <v>705</v>
      </c>
      <c r="B708" s="109" t="str">
        <f t="shared" si="291"/>
        <v>Oct 2015</v>
      </c>
      <c r="C708" s="110" t="str">
        <f t="shared" si="292"/>
        <v>RLS</v>
      </c>
      <c r="D708" s="110" t="str">
        <f t="shared" si="293"/>
        <v>LGUM_432</v>
      </c>
      <c r="E708" s="581">
        <f t="shared" ref="E708:E771" si="296">SUMIFS(L_1055_Count_Total,L_1055_Revenue_Month,$B708,L_1055_RateCategory,$D708)</f>
        <v>10</v>
      </c>
      <c r="F708" s="581">
        <f t="shared" ref="F708:F771" si="297">SUMIFS(L_SBR_KWH,L_SBR_Rate_Category,$D708,L_SBR_Revenue_Month,$B708)</f>
        <v>0</v>
      </c>
      <c r="G708" s="116">
        <f t="shared" ref="G708:G771" si="298">SUMIF(L_LightingRates_Tariff_Rate_Category,$Z708,L_LightingRates_UnitCharge)</f>
        <v>34.330000000000005</v>
      </c>
      <c r="H708" s="116">
        <f t="shared" ref="H708:H771" si="299">SUMIF(L_LightingRates_Tariff_Rate_Category,$Z708,L_LightingRates_FAC_Rate)</f>
        <v>1.0600000000000023</v>
      </c>
      <c r="I708" s="118">
        <f t="shared" si="285"/>
        <v>343.3</v>
      </c>
      <c r="J708" s="118">
        <f t="shared" ref="J708:J771" si="300">SUM(I708:I708)</f>
        <v>343.3</v>
      </c>
      <c r="K708" s="570">
        <f t="shared" si="286"/>
        <v>0</v>
      </c>
      <c r="L708" s="121">
        <f t="shared" ref="L708:L723" si="301">IF(AND(J708=0,K708=0),1,IF(J708=0,0,K708/J708))</f>
        <v>0</v>
      </c>
      <c r="M708" s="122">
        <f t="shared" ref="M708:M771" si="302">SUMIFS(L_SBR_FAC,L_SBR_Revenue_Month,$B708,L_SBR_Rate_Category,$D708)</f>
        <v>0</v>
      </c>
      <c r="N708" s="122">
        <f t="shared" ref="N708:N771" si="303">SUMIFS(L_SBR_ECR,L_SBR_Revenue_Month,$B708,L_SBR_Rate_Category,$D708)</f>
        <v>0</v>
      </c>
      <c r="O708" s="122">
        <f t="shared" ref="O708:O771" si="304">SUMIFS(L_SBR_MSR,L_SBR_Revenue_Month,$B708,L_SBR_Rate_Category,$D708)</f>
        <v>0</v>
      </c>
      <c r="P708" s="122">
        <f t="shared" ref="P708:P771" si="305">SUMIFS(L_SBR_Revenue_Total,L_SBR_Revenue_Month,$B708,L_SBR_Rate_Category,$D708)</f>
        <v>0</v>
      </c>
      <c r="Q708" s="123">
        <f t="shared" ref="Q708:Q771" si="306">SUM(J708,M708:O708)</f>
        <v>343.3</v>
      </c>
      <c r="R708" s="123">
        <f t="shared" si="287"/>
        <v>-343.3</v>
      </c>
      <c r="S708" s="582">
        <v>0</v>
      </c>
      <c r="T708" s="123">
        <f t="shared" si="288"/>
        <v>-343.3</v>
      </c>
      <c r="U708" s="25">
        <f t="shared" ref="U708:U771" si="307">ROUND(E708*H708,2)</f>
        <v>10.6</v>
      </c>
      <c r="V708" s="123">
        <f t="shared" ref="V708:V771" si="308">K708-U708</f>
        <v>-10.6</v>
      </c>
      <c r="W708" s="334">
        <f t="shared" ref="W708:W771" si="309">SUMIF(L_LightingRates_Tariff_Rate_Category,$Z708,L_LightingRates_ECR_Rate)*E708</f>
        <v>2.7</v>
      </c>
      <c r="Y708" s="109">
        <f>IF(AE708=1,IF(Y707=MiscData!$F$1,EOMONTH(Y707,-11),EOMONTH(Y707,1)),Y707)</f>
        <v>42308</v>
      </c>
      <c r="Z708" s="108" t="str">
        <f t="shared" si="294"/>
        <v>20140101LGUM_432</v>
      </c>
      <c r="AA708" s="126" t="str">
        <f t="shared" si="295"/>
        <v>20140101RLS</v>
      </c>
      <c r="AB708" s="583" t="str">
        <f t="shared" si="289"/>
        <v>432</v>
      </c>
      <c r="AD708" s="98">
        <f>MiscData!$X$5</f>
        <v>20140101</v>
      </c>
      <c r="AE708" s="98">
        <f>IF(AE707+1&gt;MiscData!$AC$77,1,AE707+1)</f>
        <v>48</v>
      </c>
      <c r="AF708" s="98" t="str">
        <f>VLOOKUP(AE708,MiscData!$AC$5:$AD$77,2,FALSE)</f>
        <v>LGUM_432</v>
      </c>
      <c r="AG708" s="98" t="str">
        <f>VLOOKUP(AF708,MiscData!$AD$5:$AE$77,2,FALSE)</f>
        <v>RLS</v>
      </c>
      <c r="AP708" s="98" t="s">
        <v>280</v>
      </c>
      <c r="AR708" s="98">
        <v>0</v>
      </c>
    </row>
    <row r="709" spans="1:44">
      <c r="A709" s="108">
        <f t="shared" si="290"/>
        <v>706</v>
      </c>
      <c r="B709" s="109" t="str">
        <f t="shared" si="291"/>
        <v>Oct 2015</v>
      </c>
      <c r="C709" s="110" t="str">
        <f t="shared" si="292"/>
        <v xml:space="preserve">LS </v>
      </c>
      <c r="D709" s="110" t="str">
        <f t="shared" si="293"/>
        <v>LGUM_433</v>
      </c>
      <c r="E709" s="581">
        <f t="shared" si="296"/>
        <v>210</v>
      </c>
      <c r="F709" s="581">
        <f t="shared" si="297"/>
        <v>0</v>
      </c>
      <c r="G709" s="116">
        <f t="shared" si="298"/>
        <v>34.99</v>
      </c>
      <c r="H709" s="116">
        <f t="shared" si="299"/>
        <v>1.0600000000000023</v>
      </c>
      <c r="I709" s="118">
        <f t="shared" ref="I709:I772" si="310">ROUND($E709*$G709,2)</f>
        <v>7347.9</v>
      </c>
      <c r="J709" s="118">
        <f t="shared" si="300"/>
        <v>7347.9</v>
      </c>
      <c r="K709" s="570">
        <f t="shared" ref="K709:K772" si="311">P709-SUM(M709:O709)</f>
        <v>0</v>
      </c>
      <c r="L709" s="121">
        <f t="shared" si="301"/>
        <v>0</v>
      </c>
      <c r="M709" s="122">
        <f t="shared" si="302"/>
        <v>0</v>
      </c>
      <c r="N709" s="122">
        <f t="shared" si="303"/>
        <v>0</v>
      </c>
      <c r="O709" s="122">
        <f t="shared" si="304"/>
        <v>0</v>
      </c>
      <c r="P709" s="122">
        <f t="shared" si="305"/>
        <v>0</v>
      </c>
      <c r="Q709" s="123">
        <f t="shared" si="306"/>
        <v>7347.9</v>
      </c>
      <c r="R709" s="123">
        <f t="shared" ref="R709:R772" si="312">ROUND(P709-Q709,2)</f>
        <v>-7347.9</v>
      </c>
      <c r="S709" s="582">
        <v>0</v>
      </c>
      <c r="T709" s="123">
        <f t="shared" ref="T709:T772" si="313">R709-S709</f>
        <v>-7347.9</v>
      </c>
      <c r="U709" s="25">
        <f t="shared" si="307"/>
        <v>222.6</v>
      </c>
      <c r="V709" s="123">
        <f t="shared" si="308"/>
        <v>-222.6</v>
      </c>
      <c r="W709" s="334">
        <f t="shared" si="309"/>
        <v>56.7</v>
      </c>
      <c r="Y709" s="109">
        <f>IF(AE709=1,IF(Y708=MiscData!$F$1,EOMONTH(Y708,-11),EOMONTH(Y708,1)),Y708)</f>
        <v>42308</v>
      </c>
      <c r="Z709" s="108" t="str">
        <f t="shared" si="294"/>
        <v>20140101LGUM_433</v>
      </c>
      <c r="AA709" s="126" t="str">
        <f t="shared" si="295"/>
        <v xml:space="preserve">20140101LS </v>
      </c>
      <c r="AB709" s="583" t="str">
        <f t="shared" ref="AB709:AB772" si="314">RIGHT(AF709,3)</f>
        <v>433</v>
      </c>
      <c r="AD709" s="98">
        <f>MiscData!$X$5</f>
        <v>20140101</v>
      </c>
      <c r="AE709" s="98">
        <f>IF(AE708+1&gt;MiscData!$AC$77,1,AE708+1)</f>
        <v>49</v>
      </c>
      <c r="AF709" s="98" t="str">
        <f>VLOOKUP(AE709,MiscData!$AC$5:$AD$77,2,FALSE)</f>
        <v>LGUM_433</v>
      </c>
      <c r="AG709" s="98" t="str">
        <f>VLOOKUP(AF709,MiscData!$AD$5:$AE$77,2,FALSE)</f>
        <v xml:space="preserve">LS </v>
      </c>
      <c r="AP709" s="98" t="s">
        <v>281</v>
      </c>
      <c r="AR709" s="98">
        <v>0</v>
      </c>
    </row>
    <row r="710" spans="1:44">
      <c r="A710" s="108">
        <f t="shared" si="290"/>
        <v>707</v>
      </c>
      <c r="B710" s="109" t="str">
        <f t="shared" si="291"/>
        <v>Oct 2015</v>
      </c>
      <c r="C710" s="110" t="str">
        <f t="shared" si="292"/>
        <v xml:space="preserve">LS </v>
      </c>
      <c r="D710" s="110" t="str">
        <f t="shared" si="293"/>
        <v>LGUM_439</v>
      </c>
      <c r="E710" s="581">
        <f t="shared" si="296"/>
        <v>0</v>
      </c>
      <c r="F710" s="581">
        <f t="shared" si="297"/>
        <v>0</v>
      </c>
      <c r="G710" s="116">
        <f t="shared" si="298"/>
        <v>16.459999999999997</v>
      </c>
      <c r="H710" s="116">
        <f t="shared" si="299"/>
        <v>1.6499999999999986</v>
      </c>
      <c r="I710" s="118">
        <f t="shared" si="310"/>
        <v>0</v>
      </c>
      <c r="J710" s="118">
        <f t="shared" si="300"/>
        <v>0</v>
      </c>
      <c r="K710" s="570">
        <f t="shared" si="311"/>
        <v>0</v>
      </c>
      <c r="L710" s="121">
        <f t="shared" si="301"/>
        <v>1</v>
      </c>
      <c r="M710" s="122">
        <f t="shared" si="302"/>
        <v>0</v>
      </c>
      <c r="N710" s="122">
        <f t="shared" si="303"/>
        <v>0</v>
      </c>
      <c r="O710" s="122">
        <f t="shared" si="304"/>
        <v>0</v>
      </c>
      <c r="P710" s="122">
        <f t="shared" si="305"/>
        <v>0</v>
      </c>
      <c r="Q710" s="123">
        <f t="shared" si="306"/>
        <v>0</v>
      </c>
      <c r="R710" s="123">
        <f t="shared" si="312"/>
        <v>0</v>
      </c>
      <c r="S710" s="582">
        <v>0</v>
      </c>
      <c r="T710" s="123">
        <f t="shared" si="313"/>
        <v>0</v>
      </c>
      <c r="U710" s="25">
        <f t="shared" si="307"/>
        <v>0</v>
      </c>
      <c r="V710" s="123">
        <f t="shared" si="308"/>
        <v>0</v>
      </c>
      <c r="W710" s="334">
        <f t="shared" si="309"/>
        <v>0</v>
      </c>
      <c r="Y710" s="109">
        <f>IF(AE710=1,IF(Y709=MiscData!$F$1,EOMONTH(Y709,-11),EOMONTH(Y709,1)),Y709)</f>
        <v>42308</v>
      </c>
      <c r="Z710" s="108" t="str">
        <f t="shared" si="294"/>
        <v>20140101LGUM_439</v>
      </c>
      <c r="AA710" s="126" t="str">
        <f t="shared" si="295"/>
        <v xml:space="preserve">20140101LS </v>
      </c>
      <c r="AB710" s="583" t="str">
        <f t="shared" si="314"/>
        <v>439</v>
      </c>
      <c r="AD710" s="98">
        <f>MiscData!$X$5</f>
        <v>20140101</v>
      </c>
      <c r="AE710" s="98">
        <f>IF(AE709+1&gt;MiscData!$AC$77,1,AE709+1)</f>
        <v>50</v>
      </c>
      <c r="AF710" s="98" t="str">
        <f>VLOOKUP(AE710,MiscData!$AC$5:$AD$77,2,FALSE)</f>
        <v>LGUM_439</v>
      </c>
      <c r="AG710" s="98" t="str">
        <f>VLOOKUP(AF710,MiscData!$AD$5:$AE$77,2,FALSE)</f>
        <v xml:space="preserve">LS </v>
      </c>
      <c r="AP710" s="98" t="s">
        <v>282</v>
      </c>
      <c r="AR710" s="98">
        <v>0</v>
      </c>
    </row>
    <row r="711" spans="1:44">
      <c r="A711" s="108">
        <f t="shared" ref="A711:A774" si="315">A710+1</f>
        <v>708</v>
      </c>
      <c r="B711" s="109" t="str">
        <f t="shared" si="291"/>
        <v>Oct 2015</v>
      </c>
      <c r="C711" s="110" t="str">
        <f t="shared" si="292"/>
        <v xml:space="preserve">LS </v>
      </c>
      <c r="D711" s="110" t="str">
        <f t="shared" si="293"/>
        <v>LGUM_440</v>
      </c>
      <c r="E711" s="581">
        <f t="shared" si="296"/>
        <v>2</v>
      </c>
      <c r="F711" s="581">
        <f t="shared" si="297"/>
        <v>0</v>
      </c>
      <c r="G711" s="116">
        <f t="shared" si="298"/>
        <v>18.279999999999998</v>
      </c>
      <c r="H711" s="116">
        <f t="shared" si="299"/>
        <v>2.67</v>
      </c>
      <c r="I711" s="118">
        <f t="shared" si="310"/>
        <v>36.56</v>
      </c>
      <c r="J711" s="118">
        <f t="shared" si="300"/>
        <v>36.56</v>
      </c>
      <c r="K711" s="570">
        <f t="shared" si="311"/>
        <v>0</v>
      </c>
      <c r="L711" s="121">
        <f t="shared" si="301"/>
        <v>0</v>
      </c>
      <c r="M711" s="122">
        <f t="shared" si="302"/>
        <v>0</v>
      </c>
      <c r="N711" s="122">
        <f t="shared" si="303"/>
        <v>0</v>
      </c>
      <c r="O711" s="122">
        <f t="shared" si="304"/>
        <v>0</v>
      </c>
      <c r="P711" s="122">
        <f t="shared" si="305"/>
        <v>0</v>
      </c>
      <c r="Q711" s="123">
        <f t="shared" si="306"/>
        <v>36.56</v>
      </c>
      <c r="R711" s="123">
        <f t="shared" si="312"/>
        <v>-36.56</v>
      </c>
      <c r="S711" s="582">
        <v>0</v>
      </c>
      <c r="T711" s="123">
        <f t="shared" si="313"/>
        <v>-36.56</v>
      </c>
      <c r="U711" s="25">
        <f t="shared" si="307"/>
        <v>5.34</v>
      </c>
      <c r="V711" s="123">
        <f t="shared" si="308"/>
        <v>-5.34</v>
      </c>
      <c r="W711" s="334">
        <f t="shared" si="309"/>
        <v>0.54</v>
      </c>
      <c r="Y711" s="109">
        <f>IF(AE711=1,IF(Y710=MiscData!$F$1,EOMONTH(Y710,-11),EOMONTH(Y710,1)),Y710)</f>
        <v>42308</v>
      </c>
      <c r="Z711" s="108" t="str">
        <f t="shared" si="294"/>
        <v>20140101LGUM_440</v>
      </c>
      <c r="AA711" s="126" t="str">
        <f t="shared" si="295"/>
        <v xml:space="preserve">20140101LS </v>
      </c>
      <c r="AB711" s="583" t="str">
        <f t="shared" si="314"/>
        <v>440</v>
      </c>
      <c r="AD711" s="98">
        <f>MiscData!$X$5</f>
        <v>20140101</v>
      </c>
      <c r="AE711" s="98">
        <f>IF(AE710+1&gt;MiscData!$AC$77,1,AE710+1)</f>
        <v>51</v>
      </c>
      <c r="AF711" s="98" t="str">
        <f>VLOOKUP(AE711,MiscData!$AC$5:$AD$77,2,FALSE)</f>
        <v>LGUM_440</v>
      </c>
      <c r="AG711" s="98" t="str">
        <f>VLOOKUP(AF711,MiscData!$AD$5:$AE$77,2,FALSE)</f>
        <v xml:space="preserve">LS </v>
      </c>
      <c r="AP711" s="98" t="s">
        <v>283</v>
      </c>
      <c r="AR711" s="98">
        <v>0</v>
      </c>
    </row>
    <row r="712" spans="1:44">
      <c r="A712" s="108">
        <f t="shared" si="315"/>
        <v>709</v>
      </c>
      <c r="B712" s="109" t="str">
        <f t="shared" si="291"/>
        <v>Oct 2015</v>
      </c>
      <c r="C712" s="110" t="str">
        <f t="shared" si="292"/>
        <v xml:space="preserve">LS </v>
      </c>
      <c r="D712" s="110" t="str">
        <f t="shared" si="293"/>
        <v>LGUM_441</v>
      </c>
      <c r="E712" s="581">
        <f t="shared" si="296"/>
        <v>13</v>
      </c>
      <c r="F712" s="581">
        <f t="shared" si="297"/>
        <v>0</v>
      </c>
      <c r="G712" s="116">
        <f t="shared" si="298"/>
        <v>22.32</v>
      </c>
      <c r="H712" s="116">
        <f t="shared" si="299"/>
        <v>4.2800000000000011</v>
      </c>
      <c r="I712" s="118">
        <f t="shared" si="310"/>
        <v>290.16000000000003</v>
      </c>
      <c r="J712" s="118">
        <f t="shared" si="300"/>
        <v>290.16000000000003</v>
      </c>
      <c r="K712" s="570">
        <f t="shared" si="311"/>
        <v>0</v>
      </c>
      <c r="L712" s="121">
        <f t="shared" si="301"/>
        <v>0</v>
      </c>
      <c r="M712" s="122">
        <f t="shared" si="302"/>
        <v>0</v>
      </c>
      <c r="N712" s="122">
        <f t="shared" si="303"/>
        <v>0</v>
      </c>
      <c r="O712" s="122">
        <f t="shared" si="304"/>
        <v>0</v>
      </c>
      <c r="P712" s="122">
        <f t="shared" si="305"/>
        <v>0</v>
      </c>
      <c r="Q712" s="123">
        <f t="shared" si="306"/>
        <v>290.16000000000003</v>
      </c>
      <c r="R712" s="123">
        <f t="shared" si="312"/>
        <v>-290.16000000000003</v>
      </c>
      <c r="S712" s="582">
        <v>0</v>
      </c>
      <c r="T712" s="123">
        <f t="shared" si="313"/>
        <v>-290.16000000000003</v>
      </c>
      <c r="U712" s="25">
        <f t="shared" si="307"/>
        <v>55.64</v>
      </c>
      <c r="V712" s="123">
        <f t="shared" si="308"/>
        <v>-55.64</v>
      </c>
      <c r="W712" s="334">
        <f t="shared" si="309"/>
        <v>3.7699999999999996</v>
      </c>
      <c r="Y712" s="109">
        <f>IF(AE712=1,IF(Y711=MiscData!$F$1,EOMONTH(Y711,-11),EOMONTH(Y711,1)),Y711)</f>
        <v>42308</v>
      </c>
      <c r="Z712" s="108" t="str">
        <f t="shared" si="294"/>
        <v>20140101LGUM_441</v>
      </c>
      <c r="AA712" s="126" t="str">
        <f t="shared" si="295"/>
        <v xml:space="preserve">20140101LS </v>
      </c>
      <c r="AB712" s="583" t="str">
        <f t="shared" si="314"/>
        <v>441</v>
      </c>
      <c r="AD712" s="98">
        <f>MiscData!$X$5</f>
        <v>20140101</v>
      </c>
      <c r="AE712" s="98">
        <f>IF(AE711+1&gt;MiscData!$AC$77,1,AE711+1)</f>
        <v>52</v>
      </c>
      <c r="AF712" s="98" t="str">
        <f>VLOOKUP(AE712,MiscData!$AC$5:$AD$77,2,FALSE)</f>
        <v>LGUM_441</v>
      </c>
      <c r="AG712" s="98" t="str">
        <f>VLOOKUP(AF712,MiscData!$AD$5:$AE$77,2,FALSE)</f>
        <v xml:space="preserve">LS </v>
      </c>
      <c r="AP712" s="98" t="s">
        <v>284</v>
      </c>
      <c r="AR712" s="98">
        <v>0</v>
      </c>
    </row>
    <row r="713" spans="1:44">
      <c r="A713" s="108">
        <f t="shared" si="315"/>
        <v>710</v>
      </c>
      <c r="B713" s="109" t="str">
        <f t="shared" si="291"/>
        <v>Oct 2015</v>
      </c>
      <c r="C713" s="110" t="str">
        <f t="shared" si="292"/>
        <v xml:space="preserve">LS </v>
      </c>
      <c r="D713" s="110" t="str">
        <f t="shared" si="293"/>
        <v>LGUM_452</v>
      </c>
      <c r="E713" s="581">
        <f t="shared" si="296"/>
        <v>6194</v>
      </c>
      <c r="F713" s="581">
        <f t="shared" si="297"/>
        <v>0</v>
      </c>
      <c r="G713" s="116">
        <f t="shared" si="298"/>
        <v>12.82</v>
      </c>
      <c r="H713" s="116">
        <f t="shared" si="299"/>
        <v>1.6500000000000004</v>
      </c>
      <c r="I713" s="118">
        <f t="shared" si="310"/>
        <v>79407.08</v>
      </c>
      <c r="J713" s="118">
        <f t="shared" si="300"/>
        <v>79407.08</v>
      </c>
      <c r="K713" s="570">
        <f t="shared" si="311"/>
        <v>0</v>
      </c>
      <c r="L713" s="121">
        <f t="shared" si="301"/>
        <v>0</v>
      </c>
      <c r="M713" s="122">
        <f t="shared" si="302"/>
        <v>0</v>
      </c>
      <c r="N713" s="122">
        <f t="shared" si="303"/>
        <v>0</v>
      </c>
      <c r="O713" s="122">
        <f t="shared" si="304"/>
        <v>0</v>
      </c>
      <c r="P713" s="122">
        <f t="shared" si="305"/>
        <v>0</v>
      </c>
      <c r="Q713" s="123">
        <f t="shared" si="306"/>
        <v>79407.08</v>
      </c>
      <c r="R713" s="123">
        <f t="shared" si="312"/>
        <v>-79407.08</v>
      </c>
      <c r="S713" s="582">
        <v>0</v>
      </c>
      <c r="T713" s="123">
        <f t="shared" si="313"/>
        <v>-79407.08</v>
      </c>
      <c r="U713" s="25">
        <f t="shared" si="307"/>
        <v>10220.1</v>
      </c>
      <c r="V713" s="123">
        <f t="shared" si="308"/>
        <v>-10220.1</v>
      </c>
      <c r="W713" s="334">
        <f t="shared" si="309"/>
        <v>1486.56</v>
      </c>
      <c r="Y713" s="109">
        <f>IF(AE713=1,IF(Y712=MiscData!$F$1,EOMONTH(Y712,-11),EOMONTH(Y712,1)),Y712)</f>
        <v>42308</v>
      </c>
      <c r="Z713" s="108" t="str">
        <f t="shared" si="294"/>
        <v>20140101LGUM_452</v>
      </c>
      <c r="AA713" s="126" t="str">
        <f t="shared" si="295"/>
        <v xml:space="preserve">20140101LS </v>
      </c>
      <c r="AB713" s="583" t="str">
        <f t="shared" si="314"/>
        <v>452</v>
      </c>
      <c r="AD713" s="98">
        <f>MiscData!$X$5</f>
        <v>20140101</v>
      </c>
      <c r="AE713" s="98">
        <f>IF(AE712+1&gt;MiscData!$AC$77,1,AE712+1)</f>
        <v>53</v>
      </c>
      <c r="AF713" s="98" t="str">
        <f>VLOOKUP(AE713,MiscData!$AC$5:$AD$77,2,FALSE)</f>
        <v>LGUM_452</v>
      </c>
      <c r="AG713" s="98" t="str">
        <f>VLOOKUP(AF713,MiscData!$AD$5:$AE$77,2,FALSE)</f>
        <v xml:space="preserve">LS </v>
      </c>
      <c r="AP713" s="98" t="s">
        <v>285</v>
      </c>
      <c r="AR713" s="98">
        <v>0</v>
      </c>
    </row>
    <row r="714" spans="1:44">
      <c r="A714" s="108">
        <f t="shared" si="315"/>
        <v>711</v>
      </c>
      <c r="B714" s="109" t="str">
        <f t="shared" si="291"/>
        <v>Oct 2015</v>
      </c>
      <c r="C714" s="110" t="str">
        <f t="shared" si="292"/>
        <v xml:space="preserve">LS </v>
      </c>
      <c r="D714" s="110" t="str">
        <f t="shared" si="293"/>
        <v>LGUM_453</v>
      </c>
      <c r="E714" s="581">
        <f t="shared" si="296"/>
        <v>8765</v>
      </c>
      <c r="F714" s="581">
        <f t="shared" si="297"/>
        <v>0</v>
      </c>
      <c r="G714" s="116">
        <f t="shared" si="298"/>
        <v>15.08</v>
      </c>
      <c r="H714" s="116">
        <f t="shared" si="299"/>
        <v>3.9800000000000004</v>
      </c>
      <c r="I714" s="118">
        <f t="shared" si="310"/>
        <v>132176.20000000001</v>
      </c>
      <c r="J714" s="118">
        <f t="shared" si="300"/>
        <v>132176.20000000001</v>
      </c>
      <c r="K714" s="570">
        <f t="shared" si="311"/>
        <v>0</v>
      </c>
      <c r="L714" s="121">
        <f t="shared" si="301"/>
        <v>0</v>
      </c>
      <c r="M714" s="122">
        <f t="shared" si="302"/>
        <v>0</v>
      </c>
      <c r="N714" s="122">
        <f t="shared" si="303"/>
        <v>0</v>
      </c>
      <c r="O714" s="122">
        <f t="shared" si="304"/>
        <v>0</v>
      </c>
      <c r="P714" s="122">
        <f t="shared" si="305"/>
        <v>0</v>
      </c>
      <c r="Q714" s="123">
        <f t="shared" si="306"/>
        <v>132176.20000000001</v>
      </c>
      <c r="R714" s="123">
        <f t="shared" si="312"/>
        <v>-132176.20000000001</v>
      </c>
      <c r="S714" s="582">
        <v>0</v>
      </c>
      <c r="T714" s="123">
        <f t="shared" si="313"/>
        <v>-132176.20000000001</v>
      </c>
      <c r="U714" s="25">
        <f t="shared" si="307"/>
        <v>34884.699999999997</v>
      </c>
      <c r="V714" s="123">
        <f t="shared" si="308"/>
        <v>-34884.699999999997</v>
      </c>
      <c r="W714" s="334">
        <f t="shared" si="309"/>
        <v>2366.5500000000002</v>
      </c>
      <c r="Y714" s="109">
        <f>IF(AE714=1,IF(Y713=MiscData!$F$1,EOMONTH(Y713,-11),EOMONTH(Y713,1)),Y713)</f>
        <v>42308</v>
      </c>
      <c r="Z714" s="108" t="str">
        <f t="shared" si="294"/>
        <v>20140101LGUM_453</v>
      </c>
      <c r="AA714" s="126" t="str">
        <f t="shared" si="295"/>
        <v xml:space="preserve">20140101LS </v>
      </c>
      <c r="AB714" s="583" t="str">
        <f t="shared" si="314"/>
        <v>453</v>
      </c>
      <c r="AD714" s="98">
        <f>MiscData!$X$5</f>
        <v>20140101</v>
      </c>
      <c r="AE714" s="98">
        <f>IF(AE713+1&gt;MiscData!$AC$77,1,AE713+1)</f>
        <v>54</v>
      </c>
      <c r="AF714" s="98" t="str">
        <f>VLOOKUP(AE714,MiscData!$AC$5:$AD$77,2,FALSE)</f>
        <v>LGUM_453</v>
      </c>
      <c r="AG714" s="98" t="str">
        <f>VLOOKUP(AF714,MiscData!$AD$5:$AE$77,2,FALSE)</f>
        <v xml:space="preserve">LS </v>
      </c>
      <c r="AP714" s="98" t="s">
        <v>286</v>
      </c>
      <c r="AR714" s="98">
        <v>0</v>
      </c>
    </row>
    <row r="715" spans="1:44">
      <c r="A715" s="108">
        <f t="shared" si="315"/>
        <v>712</v>
      </c>
      <c r="B715" s="109" t="str">
        <f t="shared" si="291"/>
        <v>Oct 2015</v>
      </c>
      <c r="C715" s="110" t="str">
        <f t="shared" si="292"/>
        <v xml:space="preserve">LS </v>
      </c>
      <c r="D715" s="110" t="str">
        <f t="shared" si="293"/>
        <v>LGUM_454</v>
      </c>
      <c r="E715" s="581">
        <f t="shared" si="296"/>
        <v>5522</v>
      </c>
      <c r="F715" s="581">
        <f t="shared" si="297"/>
        <v>0</v>
      </c>
      <c r="G715" s="116">
        <f t="shared" si="298"/>
        <v>17.38</v>
      </c>
      <c r="H715" s="116">
        <f t="shared" si="299"/>
        <v>4.2800000000000011</v>
      </c>
      <c r="I715" s="118">
        <f t="shared" si="310"/>
        <v>95972.36</v>
      </c>
      <c r="J715" s="118">
        <f t="shared" si="300"/>
        <v>95972.36</v>
      </c>
      <c r="K715" s="570">
        <f t="shared" si="311"/>
        <v>0</v>
      </c>
      <c r="L715" s="121">
        <f t="shared" si="301"/>
        <v>0</v>
      </c>
      <c r="M715" s="122">
        <f t="shared" si="302"/>
        <v>0</v>
      </c>
      <c r="N715" s="122">
        <f t="shared" si="303"/>
        <v>0</v>
      </c>
      <c r="O715" s="122">
        <f t="shared" si="304"/>
        <v>0</v>
      </c>
      <c r="P715" s="122">
        <f t="shared" si="305"/>
        <v>0</v>
      </c>
      <c r="Q715" s="123">
        <f t="shared" si="306"/>
        <v>95972.36</v>
      </c>
      <c r="R715" s="123">
        <f t="shared" si="312"/>
        <v>-95972.36</v>
      </c>
      <c r="S715" s="582">
        <v>0</v>
      </c>
      <c r="T715" s="123">
        <f t="shared" si="313"/>
        <v>-95972.36</v>
      </c>
      <c r="U715" s="25">
        <f t="shared" si="307"/>
        <v>23634.16</v>
      </c>
      <c r="V715" s="123">
        <f t="shared" si="308"/>
        <v>-23634.16</v>
      </c>
      <c r="W715" s="334">
        <f t="shared" si="309"/>
        <v>1601.3799999999999</v>
      </c>
      <c r="Y715" s="109">
        <f>IF(AE715=1,IF(Y714=MiscData!$F$1,EOMONTH(Y714,-11),EOMONTH(Y714,1)),Y714)</f>
        <v>42308</v>
      </c>
      <c r="Z715" s="108" t="str">
        <f t="shared" si="294"/>
        <v>20140101LGUM_454</v>
      </c>
      <c r="AA715" s="126" t="str">
        <f t="shared" si="295"/>
        <v xml:space="preserve">20140101LS </v>
      </c>
      <c r="AB715" s="583" t="str">
        <f t="shared" si="314"/>
        <v>454</v>
      </c>
      <c r="AD715" s="98">
        <f>MiscData!$X$5</f>
        <v>20140101</v>
      </c>
      <c r="AE715" s="98">
        <f>IF(AE714+1&gt;MiscData!$AC$77,1,AE714+1)</f>
        <v>55</v>
      </c>
      <c r="AF715" s="98" t="str">
        <f>VLOOKUP(AE715,MiscData!$AC$5:$AD$77,2,FALSE)</f>
        <v>LGUM_454</v>
      </c>
      <c r="AG715" s="98" t="str">
        <f>VLOOKUP(AF715,MiscData!$AD$5:$AE$77,2,FALSE)</f>
        <v xml:space="preserve">LS </v>
      </c>
      <c r="AP715" s="98" t="s">
        <v>287</v>
      </c>
      <c r="AR715" s="98">
        <v>0</v>
      </c>
    </row>
    <row r="716" spans="1:44">
      <c r="A716" s="108">
        <f t="shared" si="315"/>
        <v>713</v>
      </c>
      <c r="B716" s="109" t="str">
        <f t="shared" si="291"/>
        <v>Oct 2015</v>
      </c>
      <c r="C716" s="110" t="str">
        <f t="shared" si="292"/>
        <v xml:space="preserve">LS </v>
      </c>
      <c r="D716" s="110" t="str">
        <f t="shared" si="293"/>
        <v>LGUM_455</v>
      </c>
      <c r="E716" s="581">
        <f t="shared" si="296"/>
        <v>399</v>
      </c>
      <c r="F716" s="581">
        <f t="shared" si="297"/>
        <v>0</v>
      </c>
      <c r="G716" s="116">
        <f t="shared" si="298"/>
        <v>13.77</v>
      </c>
      <c r="H716" s="116">
        <f t="shared" si="299"/>
        <v>1.6499999999999986</v>
      </c>
      <c r="I716" s="118">
        <f t="shared" si="310"/>
        <v>5494.23</v>
      </c>
      <c r="J716" s="118">
        <f t="shared" si="300"/>
        <v>5494.23</v>
      </c>
      <c r="K716" s="570">
        <f t="shared" si="311"/>
        <v>0</v>
      </c>
      <c r="L716" s="121">
        <f t="shared" si="301"/>
        <v>0</v>
      </c>
      <c r="M716" s="122">
        <f t="shared" si="302"/>
        <v>0</v>
      </c>
      <c r="N716" s="122">
        <f t="shared" si="303"/>
        <v>0</v>
      </c>
      <c r="O716" s="122">
        <f t="shared" si="304"/>
        <v>0</v>
      </c>
      <c r="P716" s="122">
        <f t="shared" si="305"/>
        <v>0</v>
      </c>
      <c r="Q716" s="123">
        <f t="shared" si="306"/>
        <v>5494.23</v>
      </c>
      <c r="R716" s="123">
        <f t="shared" si="312"/>
        <v>-5494.23</v>
      </c>
      <c r="S716" s="582">
        <v>0</v>
      </c>
      <c r="T716" s="123">
        <f t="shared" si="313"/>
        <v>-5494.23</v>
      </c>
      <c r="U716" s="25">
        <f t="shared" si="307"/>
        <v>658.35</v>
      </c>
      <c r="V716" s="123">
        <f t="shared" si="308"/>
        <v>-658.35</v>
      </c>
      <c r="W716" s="334">
        <f t="shared" si="309"/>
        <v>95.759999999999991</v>
      </c>
      <c r="Y716" s="109">
        <f>IF(AE716=1,IF(Y715=MiscData!$F$1,EOMONTH(Y715,-11),EOMONTH(Y715,1)),Y715)</f>
        <v>42308</v>
      </c>
      <c r="Z716" s="108" t="str">
        <f t="shared" si="294"/>
        <v>20140101LGUM_455</v>
      </c>
      <c r="AA716" s="126" t="str">
        <f t="shared" si="295"/>
        <v xml:space="preserve">20140101LS </v>
      </c>
      <c r="AB716" s="583" t="str">
        <f t="shared" si="314"/>
        <v>455</v>
      </c>
      <c r="AD716" s="98">
        <f>MiscData!$X$5</f>
        <v>20140101</v>
      </c>
      <c r="AE716" s="98">
        <f>IF(AE715+1&gt;MiscData!$AC$77,1,AE715+1)</f>
        <v>56</v>
      </c>
      <c r="AF716" s="98" t="str">
        <f>VLOOKUP(AE716,MiscData!$AC$5:$AD$77,2,FALSE)</f>
        <v>LGUM_455</v>
      </c>
      <c r="AG716" s="98" t="str">
        <f>VLOOKUP(AF716,MiscData!$AD$5:$AE$77,2,FALSE)</f>
        <v xml:space="preserve">LS </v>
      </c>
      <c r="AP716" s="98" t="s">
        <v>288</v>
      </c>
      <c r="AR716" s="98">
        <v>0</v>
      </c>
    </row>
    <row r="717" spans="1:44">
      <c r="A717" s="108">
        <f t="shared" si="315"/>
        <v>714</v>
      </c>
      <c r="B717" s="109" t="str">
        <f t="shared" si="291"/>
        <v>Oct 2015</v>
      </c>
      <c r="C717" s="110" t="str">
        <f t="shared" si="292"/>
        <v xml:space="preserve">LS </v>
      </c>
      <c r="D717" s="110" t="str">
        <f t="shared" si="293"/>
        <v>LGUM_456</v>
      </c>
      <c r="E717" s="581">
        <f t="shared" si="296"/>
        <v>12813</v>
      </c>
      <c r="F717" s="581">
        <f t="shared" si="297"/>
        <v>0</v>
      </c>
      <c r="G717" s="116">
        <f t="shared" si="298"/>
        <v>18.21</v>
      </c>
      <c r="H717" s="116">
        <f t="shared" si="299"/>
        <v>4.2800000000000011</v>
      </c>
      <c r="I717" s="118">
        <f t="shared" si="310"/>
        <v>233324.73</v>
      </c>
      <c r="J717" s="118">
        <f t="shared" si="300"/>
        <v>233324.73</v>
      </c>
      <c r="K717" s="570">
        <f t="shared" si="311"/>
        <v>0</v>
      </c>
      <c r="L717" s="121">
        <f t="shared" si="301"/>
        <v>0</v>
      </c>
      <c r="M717" s="122">
        <f t="shared" si="302"/>
        <v>0</v>
      </c>
      <c r="N717" s="122">
        <f t="shared" si="303"/>
        <v>0</v>
      </c>
      <c r="O717" s="122">
        <f t="shared" si="304"/>
        <v>0</v>
      </c>
      <c r="P717" s="122">
        <f t="shared" si="305"/>
        <v>0</v>
      </c>
      <c r="Q717" s="123">
        <f t="shared" si="306"/>
        <v>233324.73</v>
      </c>
      <c r="R717" s="123">
        <f t="shared" si="312"/>
        <v>-233324.73</v>
      </c>
      <c r="S717" s="582">
        <v>0</v>
      </c>
      <c r="T717" s="123">
        <f t="shared" si="313"/>
        <v>-233324.73</v>
      </c>
      <c r="U717" s="25">
        <f t="shared" si="307"/>
        <v>54839.64</v>
      </c>
      <c r="V717" s="123">
        <f t="shared" si="308"/>
        <v>-54839.64</v>
      </c>
      <c r="W717" s="334">
        <f t="shared" si="309"/>
        <v>3715.7699999999995</v>
      </c>
      <c r="Y717" s="109">
        <f>IF(AE717=1,IF(Y716=MiscData!$F$1,EOMONTH(Y716,-11),EOMONTH(Y716,1)),Y716)</f>
        <v>42308</v>
      </c>
      <c r="Z717" s="108" t="str">
        <f t="shared" si="294"/>
        <v>20140101LGUM_456</v>
      </c>
      <c r="AA717" s="126" t="str">
        <f t="shared" si="295"/>
        <v xml:space="preserve">20140101LS </v>
      </c>
      <c r="AB717" s="583" t="str">
        <f t="shared" si="314"/>
        <v>456</v>
      </c>
      <c r="AD717" s="98">
        <f>MiscData!$X$5</f>
        <v>20140101</v>
      </c>
      <c r="AE717" s="98">
        <f>IF(AE716+1&gt;MiscData!$AC$77,1,AE716+1)</f>
        <v>57</v>
      </c>
      <c r="AF717" s="98" t="str">
        <f>VLOOKUP(AE717,MiscData!$AC$5:$AD$77,2,FALSE)</f>
        <v>LGUM_456</v>
      </c>
      <c r="AG717" s="98" t="str">
        <f>VLOOKUP(AF717,MiscData!$AD$5:$AE$77,2,FALSE)</f>
        <v xml:space="preserve">LS </v>
      </c>
      <c r="AP717" s="98" t="s">
        <v>289</v>
      </c>
      <c r="AR717" s="98">
        <v>0</v>
      </c>
    </row>
    <row r="718" spans="1:44">
      <c r="A718" s="108">
        <f t="shared" si="315"/>
        <v>715</v>
      </c>
      <c r="B718" s="109" t="str">
        <f t="shared" si="291"/>
        <v>Oct 2015</v>
      </c>
      <c r="C718" s="110" t="str">
        <f t="shared" si="292"/>
        <v xml:space="preserve">LS </v>
      </c>
      <c r="D718" s="110" t="str">
        <f t="shared" si="293"/>
        <v>LGUM_457</v>
      </c>
      <c r="E718" s="581">
        <f t="shared" si="296"/>
        <v>3157</v>
      </c>
      <c r="F718" s="581">
        <f t="shared" si="297"/>
        <v>0</v>
      </c>
      <c r="G718" s="116">
        <f t="shared" si="298"/>
        <v>10.86</v>
      </c>
      <c r="H718" s="116">
        <f t="shared" si="299"/>
        <v>1.0599999999999987</v>
      </c>
      <c r="I718" s="118">
        <f t="shared" si="310"/>
        <v>34285.019999999997</v>
      </c>
      <c r="J718" s="118">
        <f t="shared" si="300"/>
        <v>34285.019999999997</v>
      </c>
      <c r="K718" s="570">
        <f t="shared" si="311"/>
        <v>0</v>
      </c>
      <c r="L718" s="121">
        <f t="shared" si="301"/>
        <v>0</v>
      </c>
      <c r="M718" s="122">
        <f t="shared" si="302"/>
        <v>0</v>
      </c>
      <c r="N718" s="122">
        <f t="shared" si="303"/>
        <v>0</v>
      </c>
      <c r="O718" s="122">
        <f t="shared" si="304"/>
        <v>0</v>
      </c>
      <c r="P718" s="122">
        <f t="shared" si="305"/>
        <v>0</v>
      </c>
      <c r="Q718" s="123">
        <f t="shared" si="306"/>
        <v>34285.019999999997</v>
      </c>
      <c r="R718" s="123">
        <f t="shared" si="312"/>
        <v>-34285.019999999997</v>
      </c>
      <c r="S718" s="582">
        <v>0</v>
      </c>
      <c r="T718" s="123">
        <f t="shared" si="313"/>
        <v>-34285.019999999997</v>
      </c>
      <c r="U718" s="25">
        <f t="shared" si="307"/>
        <v>3346.42</v>
      </c>
      <c r="V718" s="123">
        <f t="shared" si="308"/>
        <v>-3346.42</v>
      </c>
      <c r="W718" s="334">
        <f t="shared" si="309"/>
        <v>852.3900000000001</v>
      </c>
      <c r="Y718" s="109">
        <f>IF(AE718=1,IF(Y717=MiscData!$F$1,EOMONTH(Y717,-11),EOMONTH(Y717,1)),Y717)</f>
        <v>42308</v>
      </c>
      <c r="Z718" s="108" t="str">
        <f t="shared" si="294"/>
        <v>20140101LGUM_457</v>
      </c>
      <c r="AA718" s="126" t="str">
        <f t="shared" si="295"/>
        <v xml:space="preserve">20140101LS </v>
      </c>
      <c r="AB718" s="583" t="str">
        <f t="shared" si="314"/>
        <v>457</v>
      </c>
      <c r="AD718" s="98">
        <f>MiscData!$X$5</f>
        <v>20140101</v>
      </c>
      <c r="AE718" s="98">
        <f>IF(AE717+1&gt;MiscData!$AC$77,1,AE717+1)</f>
        <v>58</v>
      </c>
      <c r="AF718" s="98" t="str">
        <f>VLOOKUP(AE718,MiscData!$AC$5:$AD$77,2,FALSE)</f>
        <v>LGUM_457</v>
      </c>
      <c r="AG718" s="98" t="str">
        <f>VLOOKUP(AF718,MiscData!$AD$5:$AE$77,2,FALSE)</f>
        <v xml:space="preserve">LS </v>
      </c>
      <c r="AP718" s="98" t="s">
        <v>290</v>
      </c>
      <c r="AR718" s="98">
        <v>0</v>
      </c>
    </row>
    <row r="719" spans="1:44">
      <c r="A719" s="108">
        <f t="shared" si="315"/>
        <v>716</v>
      </c>
      <c r="B719" s="109" t="str">
        <f t="shared" si="291"/>
        <v>Oct 2015</v>
      </c>
      <c r="C719" s="110" t="str">
        <f t="shared" si="292"/>
        <v>RLS</v>
      </c>
      <c r="D719" s="110" t="str">
        <f t="shared" si="293"/>
        <v>LGUM_458</v>
      </c>
      <c r="E719" s="581">
        <f t="shared" si="296"/>
        <v>5</v>
      </c>
      <c r="F719" s="581">
        <f t="shared" si="297"/>
        <v>0</v>
      </c>
      <c r="G719" s="116">
        <f t="shared" si="298"/>
        <v>11.13</v>
      </c>
      <c r="H719" s="116">
        <f t="shared" si="299"/>
        <v>3.7700000000000014</v>
      </c>
      <c r="I719" s="118">
        <f t="shared" si="310"/>
        <v>55.65</v>
      </c>
      <c r="J719" s="118">
        <f t="shared" si="300"/>
        <v>55.65</v>
      </c>
      <c r="K719" s="570">
        <f t="shared" si="311"/>
        <v>0</v>
      </c>
      <c r="L719" s="121">
        <f t="shared" si="301"/>
        <v>0</v>
      </c>
      <c r="M719" s="122">
        <f t="shared" si="302"/>
        <v>0</v>
      </c>
      <c r="N719" s="122">
        <f t="shared" si="303"/>
        <v>0</v>
      </c>
      <c r="O719" s="122">
        <f t="shared" si="304"/>
        <v>0</v>
      </c>
      <c r="P719" s="122">
        <f t="shared" si="305"/>
        <v>0</v>
      </c>
      <c r="Q719" s="123">
        <f t="shared" si="306"/>
        <v>55.65</v>
      </c>
      <c r="R719" s="123">
        <f t="shared" si="312"/>
        <v>-55.65</v>
      </c>
      <c r="S719" s="582">
        <v>0</v>
      </c>
      <c r="T719" s="123">
        <f t="shared" si="313"/>
        <v>-55.65</v>
      </c>
      <c r="U719" s="25">
        <f t="shared" si="307"/>
        <v>18.850000000000001</v>
      </c>
      <c r="V719" s="123">
        <f t="shared" si="308"/>
        <v>-18.850000000000001</v>
      </c>
      <c r="W719" s="334">
        <f t="shared" si="309"/>
        <v>0.8</v>
      </c>
      <c r="Y719" s="109">
        <f>IF(AE719=1,IF(Y718=MiscData!$F$1,EOMONTH(Y718,-11),EOMONTH(Y718,1)),Y718)</f>
        <v>42308</v>
      </c>
      <c r="Z719" s="108" t="str">
        <f t="shared" si="294"/>
        <v>20140101LGUM_458</v>
      </c>
      <c r="AA719" s="126" t="str">
        <f t="shared" si="295"/>
        <v>20140101RLS</v>
      </c>
      <c r="AB719" s="583" t="str">
        <f t="shared" si="314"/>
        <v>458</v>
      </c>
      <c r="AD719" s="98">
        <f>MiscData!$X$5</f>
        <v>20140101</v>
      </c>
      <c r="AE719" s="98">
        <f>IF(AE718+1&gt;MiscData!$AC$77,1,AE718+1)</f>
        <v>59</v>
      </c>
      <c r="AF719" s="98" t="str">
        <f>VLOOKUP(AE719,MiscData!$AC$5:$AD$77,2,FALSE)</f>
        <v>LGUM_458</v>
      </c>
      <c r="AG719" s="98" t="str">
        <f>VLOOKUP(AF719,MiscData!$AD$5:$AE$77,2,FALSE)</f>
        <v>RLS</v>
      </c>
      <c r="AP719" s="98" t="s">
        <v>291</v>
      </c>
      <c r="AR719" s="98">
        <v>0</v>
      </c>
    </row>
    <row r="720" spans="1:44">
      <c r="A720" s="108">
        <f t="shared" si="315"/>
        <v>717</v>
      </c>
      <c r="B720" s="109" t="str">
        <f t="shared" si="291"/>
        <v>Oct 2015</v>
      </c>
      <c r="C720" s="110" t="str">
        <f t="shared" si="292"/>
        <v xml:space="preserve">LS </v>
      </c>
      <c r="D720" s="110" t="str">
        <f t="shared" si="293"/>
        <v>LGUM_470</v>
      </c>
      <c r="E720" s="581">
        <f t="shared" si="296"/>
        <v>13</v>
      </c>
      <c r="F720" s="581">
        <f t="shared" si="297"/>
        <v>0</v>
      </c>
      <c r="G720" s="116">
        <f t="shared" si="298"/>
        <v>12.79</v>
      </c>
      <c r="H720" s="116">
        <f t="shared" si="299"/>
        <v>1.3699999999999992</v>
      </c>
      <c r="I720" s="118">
        <f t="shared" si="310"/>
        <v>166.27</v>
      </c>
      <c r="J720" s="118">
        <f t="shared" si="300"/>
        <v>166.27</v>
      </c>
      <c r="K720" s="570">
        <f t="shared" si="311"/>
        <v>0</v>
      </c>
      <c r="L720" s="121">
        <f t="shared" si="301"/>
        <v>0</v>
      </c>
      <c r="M720" s="122">
        <f t="shared" si="302"/>
        <v>0</v>
      </c>
      <c r="N720" s="122">
        <f t="shared" si="303"/>
        <v>0</v>
      </c>
      <c r="O720" s="122">
        <f t="shared" si="304"/>
        <v>0</v>
      </c>
      <c r="P720" s="122">
        <f t="shared" si="305"/>
        <v>0</v>
      </c>
      <c r="Q720" s="123">
        <f t="shared" si="306"/>
        <v>166.27</v>
      </c>
      <c r="R720" s="123">
        <f t="shared" si="312"/>
        <v>-166.27</v>
      </c>
      <c r="S720" s="582">
        <v>0</v>
      </c>
      <c r="T720" s="123">
        <f t="shared" si="313"/>
        <v>-166.27</v>
      </c>
      <c r="U720" s="25">
        <f t="shared" si="307"/>
        <v>17.809999999999999</v>
      </c>
      <c r="V720" s="123">
        <f t="shared" si="308"/>
        <v>-17.809999999999999</v>
      </c>
      <c r="W720" s="334">
        <f t="shared" si="309"/>
        <v>3.5100000000000002</v>
      </c>
      <c r="Y720" s="109">
        <f>IF(AE720=1,IF(Y719=MiscData!$F$1,EOMONTH(Y719,-11),EOMONTH(Y719,1)),Y719)</f>
        <v>42308</v>
      </c>
      <c r="Z720" s="108" t="str">
        <f t="shared" si="294"/>
        <v>20140101LGUM_470</v>
      </c>
      <c r="AA720" s="126" t="str">
        <f t="shared" si="295"/>
        <v xml:space="preserve">20140101LS </v>
      </c>
      <c r="AB720" s="583" t="str">
        <f t="shared" si="314"/>
        <v>470</v>
      </c>
      <c r="AD720" s="98">
        <f>MiscData!$X$5</f>
        <v>20140101</v>
      </c>
      <c r="AE720" s="98">
        <f>IF(AE719+1&gt;MiscData!$AC$77,1,AE719+1)</f>
        <v>60</v>
      </c>
      <c r="AF720" s="98" t="str">
        <f>VLOOKUP(AE720,MiscData!$AC$5:$AD$77,2,FALSE)</f>
        <v>LGUM_470</v>
      </c>
      <c r="AG720" s="98" t="str">
        <f>VLOOKUP(AF720,MiscData!$AD$5:$AE$77,2,FALSE)</f>
        <v xml:space="preserve">LS </v>
      </c>
      <c r="AP720" s="98" t="s">
        <v>340</v>
      </c>
      <c r="AR720" s="98">
        <v>0</v>
      </c>
    </row>
    <row r="721" spans="1:44">
      <c r="A721" s="108">
        <f t="shared" si="315"/>
        <v>718</v>
      </c>
      <c r="B721" s="109" t="str">
        <f t="shared" si="291"/>
        <v>Oct 2015</v>
      </c>
      <c r="C721" s="110" t="str">
        <f t="shared" si="292"/>
        <v>RLS</v>
      </c>
      <c r="D721" s="110" t="str">
        <f t="shared" si="293"/>
        <v>LGUM_471</v>
      </c>
      <c r="E721" s="581">
        <f t="shared" si="296"/>
        <v>2</v>
      </c>
      <c r="F721" s="581">
        <f t="shared" si="297"/>
        <v>0</v>
      </c>
      <c r="G721" s="116">
        <f t="shared" si="298"/>
        <v>15.07</v>
      </c>
      <c r="H721" s="116">
        <f t="shared" si="299"/>
        <v>1.3699999999999992</v>
      </c>
      <c r="I721" s="118">
        <f t="shared" si="310"/>
        <v>30.14</v>
      </c>
      <c r="J721" s="118">
        <f t="shared" si="300"/>
        <v>30.14</v>
      </c>
      <c r="K721" s="570">
        <f t="shared" si="311"/>
        <v>0</v>
      </c>
      <c r="L721" s="121">
        <f t="shared" si="301"/>
        <v>0</v>
      </c>
      <c r="M721" s="122">
        <f t="shared" si="302"/>
        <v>0</v>
      </c>
      <c r="N721" s="122">
        <f t="shared" si="303"/>
        <v>0</v>
      </c>
      <c r="O721" s="122">
        <f t="shared" si="304"/>
        <v>0</v>
      </c>
      <c r="P721" s="122">
        <f t="shared" si="305"/>
        <v>0</v>
      </c>
      <c r="Q721" s="123">
        <f t="shared" si="306"/>
        <v>30.14</v>
      </c>
      <c r="R721" s="123">
        <f t="shared" si="312"/>
        <v>-30.14</v>
      </c>
      <c r="S721" s="582">
        <v>0</v>
      </c>
      <c r="T721" s="123">
        <f t="shared" si="313"/>
        <v>-30.14</v>
      </c>
      <c r="U721" s="25">
        <f t="shared" si="307"/>
        <v>2.74</v>
      </c>
      <c r="V721" s="123">
        <f t="shared" si="308"/>
        <v>-2.74</v>
      </c>
      <c r="W721" s="334">
        <f t="shared" si="309"/>
        <v>0.54</v>
      </c>
      <c r="Y721" s="109">
        <f>IF(AE721=1,IF(Y720=MiscData!$F$1,EOMONTH(Y720,-11),EOMONTH(Y720,1)),Y720)</f>
        <v>42308</v>
      </c>
      <c r="Z721" s="108" t="str">
        <f t="shared" si="294"/>
        <v>20140101LGUM_471</v>
      </c>
      <c r="AA721" s="126" t="str">
        <f t="shared" si="295"/>
        <v>20140101RLS</v>
      </c>
      <c r="AB721" s="583" t="str">
        <f t="shared" si="314"/>
        <v>471</v>
      </c>
      <c r="AD721" s="98">
        <f>MiscData!$X$5</f>
        <v>20140101</v>
      </c>
      <c r="AE721" s="98">
        <f>IF(AE720+1&gt;MiscData!$AC$77,1,AE720+1)</f>
        <v>61</v>
      </c>
      <c r="AF721" s="98" t="str">
        <f>VLOOKUP(AE721,MiscData!$AC$5:$AD$77,2,FALSE)</f>
        <v>LGUM_471</v>
      </c>
      <c r="AG721" s="98" t="str">
        <f>VLOOKUP(AF721,MiscData!$AD$5:$AE$77,2,FALSE)</f>
        <v>RLS</v>
      </c>
      <c r="AP721" s="98" t="s">
        <v>692</v>
      </c>
      <c r="AR721" s="98">
        <v>0</v>
      </c>
    </row>
    <row r="722" spans="1:44">
      <c r="A722" s="108">
        <f t="shared" si="315"/>
        <v>719</v>
      </c>
      <c r="B722" s="109" t="str">
        <f t="shared" si="291"/>
        <v>Oct 2015</v>
      </c>
      <c r="C722" s="110" t="str">
        <f t="shared" si="292"/>
        <v xml:space="preserve">LS </v>
      </c>
      <c r="D722" s="110" t="str">
        <f t="shared" si="293"/>
        <v>LGUM_473</v>
      </c>
      <c r="E722" s="581">
        <f t="shared" si="296"/>
        <v>274</v>
      </c>
      <c r="F722" s="581">
        <f t="shared" si="297"/>
        <v>0</v>
      </c>
      <c r="G722" s="116">
        <f t="shared" si="298"/>
        <v>18.68</v>
      </c>
      <c r="H722" s="116">
        <f t="shared" si="299"/>
        <v>3.1799999999999979</v>
      </c>
      <c r="I722" s="118">
        <f t="shared" si="310"/>
        <v>5118.32</v>
      </c>
      <c r="J722" s="118">
        <f t="shared" si="300"/>
        <v>5118.32</v>
      </c>
      <c r="K722" s="570">
        <f t="shared" si="311"/>
        <v>0</v>
      </c>
      <c r="L722" s="121">
        <f t="shared" si="301"/>
        <v>0</v>
      </c>
      <c r="M722" s="122">
        <f t="shared" si="302"/>
        <v>0</v>
      </c>
      <c r="N722" s="122">
        <f t="shared" si="303"/>
        <v>0</v>
      </c>
      <c r="O722" s="122">
        <f t="shared" si="304"/>
        <v>0</v>
      </c>
      <c r="P722" s="122">
        <f t="shared" si="305"/>
        <v>0</v>
      </c>
      <c r="Q722" s="123">
        <f t="shared" si="306"/>
        <v>5118.32</v>
      </c>
      <c r="R722" s="123">
        <f t="shared" si="312"/>
        <v>-5118.32</v>
      </c>
      <c r="S722" s="582">
        <v>0</v>
      </c>
      <c r="T722" s="123">
        <f t="shared" si="313"/>
        <v>-5118.32</v>
      </c>
      <c r="U722" s="25">
        <f t="shared" si="307"/>
        <v>871.32</v>
      </c>
      <c r="V722" s="123">
        <f t="shared" si="308"/>
        <v>-871.32</v>
      </c>
      <c r="W722" s="334">
        <f t="shared" si="309"/>
        <v>82.2</v>
      </c>
      <c r="Y722" s="109">
        <f>IF(AE722=1,IF(Y721=MiscData!$F$1,EOMONTH(Y721,-11),EOMONTH(Y721,1)),Y721)</f>
        <v>42308</v>
      </c>
      <c r="Z722" s="108" t="str">
        <f t="shared" si="294"/>
        <v>20140101LGUM_473</v>
      </c>
      <c r="AA722" s="126" t="str">
        <f t="shared" si="295"/>
        <v xml:space="preserve">20140101LS </v>
      </c>
      <c r="AB722" s="583" t="str">
        <f t="shared" si="314"/>
        <v>473</v>
      </c>
      <c r="AD722" s="98">
        <f>MiscData!$X$5</f>
        <v>20140101</v>
      </c>
      <c r="AE722" s="98">
        <f>IF(AE721+1&gt;MiscData!$AC$77,1,AE721+1)</f>
        <v>62</v>
      </c>
      <c r="AF722" s="98" t="str">
        <f>VLOOKUP(AE722,MiscData!$AC$5:$AD$77,2,FALSE)</f>
        <v>LGUM_473</v>
      </c>
      <c r="AG722" s="98" t="str">
        <f>VLOOKUP(AF722,MiscData!$AD$5:$AE$77,2,FALSE)</f>
        <v xml:space="preserve">LS </v>
      </c>
      <c r="AP722" s="98" t="s">
        <v>292</v>
      </c>
      <c r="AR722" s="98">
        <v>13134.16</v>
      </c>
    </row>
    <row r="723" spans="1:44">
      <c r="A723" s="108">
        <f t="shared" si="315"/>
        <v>720</v>
      </c>
      <c r="B723" s="109" t="str">
        <f t="shared" si="291"/>
        <v>Oct 2015</v>
      </c>
      <c r="C723" s="110" t="str">
        <f t="shared" si="292"/>
        <v>RLS</v>
      </c>
      <c r="D723" s="110" t="str">
        <f t="shared" si="293"/>
        <v>LGUM_474</v>
      </c>
      <c r="E723" s="581">
        <f t="shared" si="296"/>
        <v>53</v>
      </c>
      <c r="F723" s="581">
        <f t="shared" si="297"/>
        <v>0</v>
      </c>
      <c r="G723" s="116">
        <f t="shared" si="298"/>
        <v>20.970000000000002</v>
      </c>
      <c r="H723" s="116">
        <f t="shared" si="299"/>
        <v>3.1799999999999997</v>
      </c>
      <c r="I723" s="118">
        <f t="shared" si="310"/>
        <v>1111.4100000000001</v>
      </c>
      <c r="J723" s="118">
        <f t="shared" si="300"/>
        <v>1111.4100000000001</v>
      </c>
      <c r="K723" s="570">
        <f t="shared" si="311"/>
        <v>0</v>
      </c>
      <c r="L723" s="121">
        <f t="shared" si="301"/>
        <v>0</v>
      </c>
      <c r="M723" s="122">
        <f t="shared" si="302"/>
        <v>0</v>
      </c>
      <c r="N723" s="122">
        <f t="shared" si="303"/>
        <v>0</v>
      </c>
      <c r="O723" s="122">
        <f t="shared" si="304"/>
        <v>0</v>
      </c>
      <c r="P723" s="122">
        <f t="shared" si="305"/>
        <v>0</v>
      </c>
      <c r="Q723" s="123">
        <f t="shared" si="306"/>
        <v>1111.4100000000001</v>
      </c>
      <c r="R723" s="123">
        <f t="shared" si="312"/>
        <v>-1111.4100000000001</v>
      </c>
      <c r="S723" s="582">
        <v>0</v>
      </c>
      <c r="T723" s="123">
        <f t="shared" si="313"/>
        <v>-1111.4100000000001</v>
      </c>
      <c r="U723" s="25">
        <f t="shared" si="307"/>
        <v>168.54</v>
      </c>
      <c r="V723" s="123">
        <f t="shared" si="308"/>
        <v>-168.54</v>
      </c>
      <c r="W723" s="334">
        <f t="shared" si="309"/>
        <v>15.899999999999999</v>
      </c>
      <c r="Y723" s="109">
        <f>IF(AE723=1,IF(Y722=MiscData!$F$1,EOMONTH(Y722,-11),EOMONTH(Y722,1)),Y722)</f>
        <v>42308</v>
      </c>
      <c r="Z723" s="108" t="str">
        <f t="shared" si="294"/>
        <v>20140101LGUM_474</v>
      </c>
      <c r="AA723" s="126" t="str">
        <f t="shared" si="295"/>
        <v>20140101RLS</v>
      </c>
      <c r="AB723" s="583" t="str">
        <f t="shared" si="314"/>
        <v>474</v>
      </c>
      <c r="AD723" s="98">
        <f>MiscData!$X$5</f>
        <v>20140101</v>
      </c>
      <c r="AE723" s="98">
        <f>IF(AE722+1&gt;MiscData!$AC$77,1,AE722+1)</f>
        <v>63</v>
      </c>
      <c r="AF723" s="98" t="str">
        <f>VLOOKUP(AE723,MiscData!$AC$5:$AD$77,2,FALSE)</f>
        <v>LGUM_474</v>
      </c>
      <c r="AG723" s="98" t="str">
        <f>VLOOKUP(AF723,MiscData!$AD$5:$AE$77,2,FALSE)</f>
        <v>RLS</v>
      </c>
      <c r="AP723" s="98" t="s">
        <v>293</v>
      </c>
      <c r="AR723" s="98">
        <v>81229.47</v>
      </c>
    </row>
    <row r="724" spans="1:44">
      <c r="A724" s="108">
        <f t="shared" si="315"/>
        <v>721</v>
      </c>
      <c r="B724" s="109" t="str">
        <f t="shared" si="291"/>
        <v>Oct 2015</v>
      </c>
      <c r="C724" s="110" t="str">
        <f t="shared" si="292"/>
        <v>RLS</v>
      </c>
      <c r="D724" s="110" t="str">
        <f t="shared" si="293"/>
        <v>LGUM_475</v>
      </c>
      <c r="E724" s="581">
        <f>SUMIFS(L_1055_Count_Total,L_1055_Revenue_Month,$B724,L_1055_RateCategory,$D724)</f>
        <v>2</v>
      </c>
      <c r="F724" s="581">
        <f t="shared" si="297"/>
        <v>0</v>
      </c>
      <c r="G724" s="116">
        <f t="shared" si="298"/>
        <v>28.42</v>
      </c>
      <c r="H724" s="116">
        <f t="shared" si="299"/>
        <v>3.1800000000000033</v>
      </c>
      <c r="I724" s="118">
        <f t="shared" si="310"/>
        <v>56.84</v>
      </c>
      <c r="J724" s="118">
        <f t="shared" si="300"/>
        <v>56.84</v>
      </c>
      <c r="K724" s="570">
        <f t="shared" si="311"/>
        <v>0</v>
      </c>
      <c r="L724" s="121">
        <f>IF(AND(J724=0,K724=0),1,IF(J724=0,0,K724/J724))</f>
        <v>0</v>
      </c>
      <c r="M724" s="122">
        <f t="shared" si="302"/>
        <v>0</v>
      </c>
      <c r="N724" s="122">
        <f t="shared" si="303"/>
        <v>0</v>
      </c>
      <c r="O724" s="122">
        <f t="shared" si="304"/>
        <v>0</v>
      </c>
      <c r="P724" s="122">
        <f t="shared" si="305"/>
        <v>0</v>
      </c>
      <c r="Q724" s="123">
        <f t="shared" si="306"/>
        <v>56.84</v>
      </c>
      <c r="R724" s="123">
        <f t="shared" si="312"/>
        <v>-56.84</v>
      </c>
      <c r="S724" s="582">
        <v>0</v>
      </c>
      <c r="T724" s="123">
        <f t="shared" si="313"/>
        <v>-56.84</v>
      </c>
      <c r="U724" s="25">
        <f t="shared" si="307"/>
        <v>6.36</v>
      </c>
      <c r="V724" s="123">
        <f t="shared" si="308"/>
        <v>-6.36</v>
      </c>
      <c r="W724" s="334">
        <f t="shared" si="309"/>
        <v>0.6</v>
      </c>
      <c r="Y724" s="109">
        <f>IF(AE724=1,IF(Y723=MiscData!$F$1,EOMONTH(Y723,-11),EOMONTH(Y723,1)),Y723)</f>
        <v>42308</v>
      </c>
      <c r="Z724" s="108" t="str">
        <f t="shared" si="294"/>
        <v>20140101LGUM_475</v>
      </c>
      <c r="AA724" s="126" t="str">
        <f t="shared" si="295"/>
        <v>20140101RLS</v>
      </c>
      <c r="AB724" s="583" t="str">
        <f t="shared" si="314"/>
        <v>475</v>
      </c>
      <c r="AD724" s="98">
        <f>MiscData!$X$5</f>
        <v>20140101</v>
      </c>
      <c r="AE724" s="98">
        <f>IF(AE723+1&gt;MiscData!$AC$77,1,AE723+1)</f>
        <v>64</v>
      </c>
      <c r="AF724" s="98" t="str">
        <f>VLOOKUP(AE724,MiscData!$AC$5:$AD$77,2,FALSE)</f>
        <v>LGUM_475</v>
      </c>
      <c r="AG724" s="98" t="str">
        <f>VLOOKUP(AF724,MiscData!$AD$5:$AE$77,2,FALSE)</f>
        <v>RLS</v>
      </c>
      <c r="AP724" s="98" t="s">
        <v>294</v>
      </c>
      <c r="AR724" s="98">
        <v>-7.42</v>
      </c>
    </row>
    <row r="725" spans="1:44">
      <c r="A725" s="108">
        <f t="shared" si="315"/>
        <v>722</v>
      </c>
      <c r="B725" s="109" t="str">
        <f t="shared" si="291"/>
        <v>Oct 2015</v>
      </c>
      <c r="C725" s="110" t="str">
        <f t="shared" si="292"/>
        <v xml:space="preserve">LS </v>
      </c>
      <c r="D725" s="110" t="str">
        <f t="shared" si="293"/>
        <v>LGUM_476</v>
      </c>
      <c r="E725" s="581">
        <f t="shared" si="296"/>
        <v>348</v>
      </c>
      <c r="F725" s="581">
        <f t="shared" si="297"/>
        <v>0</v>
      </c>
      <c r="G725" s="116">
        <f t="shared" si="298"/>
        <v>39.6</v>
      </c>
      <c r="H725" s="116">
        <f t="shared" si="299"/>
        <v>9.8100000000000023</v>
      </c>
      <c r="I725" s="118">
        <f t="shared" si="310"/>
        <v>13780.8</v>
      </c>
      <c r="J725" s="118">
        <f t="shared" si="300"/>
        <v>13780.8</v>
      </c>
      <c r="K725" s="570">
        <f t="shared" si="311"/>
        <v>0</v>
      </c>
      <c r="L725" s="121">
        <f t="shared" ref="L725:L788" si="316">IF(AND(J725=0,K725=0),1,IF(J725=0,0,K725/J725))</f>
        <v>0</v>
      </c>
      <c r="M725" s="122">
        <f t="shared" si="302"/>
        <v>0</v>
      </c>
      <c r="N725" s="122">
        <f t="shared" si="303"/>
        <v>0</v>
      </c>
      <c r="O725" s="122">
        <f t="shared" si="304"/>
        <v>0</v>
      </c>
      <c r="P725" s="122">
        <f t="shared" si="305"/>
        <v>0</v>
      </c>
      <c r="Q725" s="123">
        <f t="shared" si="306"/>
        <v>13780.8</v>
      </c>
      <c r="R725" s="123">
        <f t="shared" si="312"/>
        <v>-13780.8</v>
      </c>
      <c r="S725" s="582">
        <v>0</v>
      </c>
      <c r="T725" s="123">
        <f t="shared" si="313"/>
        <v>-13780.8</v>
      </c>
      <c r="U725" s="25">
        <f t="shared" si="307"/>
        <v>3413.88</v>
      </c>
      <c r="V725" s="123">
        <f t="shared" si="308"/>
        <v>-3413.88</v>
      </c>
      <c r="W725" s="334">
        <f t="shared" si="309"/>
        <v>212.28</v>
      </c>
      <c r="Y725" s="109">
        <f>IF(AE725=1,IF(Y724=MiscData!$F$1,EOMONTH(Y724,-11),EOMONTH(Y724,1)),Y724)</f>
        <v>42308</v>
      </c>
      <c r="Z725" s="108" t="str">
        <f t="shared" si="294"/>
        <v>20140101LGUM_476</v>
      </c>
      <c r="AA725" s="126" t="str">
        <f t="shared" si="295"/>
        <v xml:space="preserve">20140101LS </v>
      </c>
      <c r="AB725" s="583" t="str">
        <f t="shared" si="314"/>
        <v>476</v>
      </c>
      <c r="AD725" s="98">
        <f>MiscData!$X$5</f>
        <v>20140101</v>
      </c>
      <c r="AE725" s="98">
        <f>IF(AE724+1&gt;MiscData!$AC$77,1,AE724+1)</f>
        <v>65</v>
      </c>
      <c r="AF725" s="98" t="str">
        <f>VLOOKUP(AE725,MiscData!$AC$5:$AD$77,2,FALSE)</f>
        <v>LGUM_476</v>
      </c>
      <c r="AG725" s="98" t="str">
        <f>VLOOKUP(AF725,MiscData!$AD$5:$AE$77,2,FALSE)</f>
        <v xml:space="preserve">LS </v>
      </c>
      <c r="AP725" s="98" t="s">
        <v>295</v>
      </c>
      <c r="AR725" s="98">
        <v>0</v>
      </c>
    </row>
    <row r="726" spans="1:44">
      <c r="A726" s="108">
        <f t="shared" si="315"/>
        <v>723</v>
      </c>
      <c r="B726" s="109" t="str">
        <f t="shared" si="291"/>
        <v>Oct 2015</v>
      </c>
      <c r="C726" s="110" t="str">
        <f t="shared" si="292"/>
        <v>RLS</v>
      </c>
      <c r="D726" s="110" t="str">
        <f t="shared" si="293"/>
        <v>LGUM_477</v>
      </c>
      <c r="E726" s="581">
        <f t="shared" si="296"/>
        <v>59</v>
      </c>
      <c r="F726" s="581">
        <f t="shared" si="297"/>
        <v>0</v>
      </c>
      <c r="G726" s="116">
        <f t="shared" si="298"/>
        <v>42.78</v>
      </c>
      <c r="H726" s="116">
        <f t="shared" si="299"/>
        <v>9.8100000000000023</v>
      </c>
      <c r="I726" s="118">
        <f t="shared" si="310"/>
        <v>2524.02</v>
      </c>
      <c r="J726" s="118">
        <f t="shared" si="300"/>
        <v>2524.02</v>
      </c>
      <c r="K726" s="570">
        <f t="shared" si="311"/>
        <v>0</v>
      </c>
      <c r="L726" s="121">
        <f t="shared" si="316"/>
        <v>0</v>
      </c>
      <c r="M726" s="122">
        <f t="shared" si="302"/>
        <v>0</v>
      </c>
      <c r="N726" s="122">
        <f t="shared" si="303"/>
        <v>0</v>
      </c>
      <c r="O726" s="122">
        <f t="shared" si="304"/>
        <v>0</v>
      </c>
      <c r="P726" s="122">
        <f t="shared" si="305"/>
        <v>0</v>
      </c>
      <c r="Q726" s="123">
        <f t="shared" si="306"/>
        <v>2524.02</v>
      </c>
      <c r="R726" s="123">
        <f t="shared" si="312"/>
        <v>-2524.02</v>
      </c>
      <c r="S726" s="582">
        <v>0</v>
      </c>
      <c r="T726" s="123">
        <f t="shared" si="313"/>
        <v>-2524.02</v>
      </c>
      <c r="U726" s="25">
        <f t="shared" si="307"/>
        <v>578.79</v>
      </c>
      <c r="V726" s="123">
        <f t="shared" si="308"/>
        <v>-578.79</v>
      </c>
      <c r="W726" s="334">
        <f t="shared" si="309"/>
        <v>35.99</v>
      </c>
      <c r="Y726" s="109">
        <f>IF(AE726=1,IF(Y725=MiscData!$F$1,EOMONTH(Y725,-11),EOMONTH(Y725,1)),Y725)</f>
        <v>42308</v>
      </c>
      <c r="Z726" s="108" t="str">
        <f t="shared" si="294"/>
        <v>20140101LGUM_477</v>
      </c>
      <c r="AA726" s="126" t="str">
        <f t="shared" si="295"/>
        <v>20140101RLS</v>
      </c>
      <c r="AB726" s="583" t="str">
        <f t="shared" si="314"/>
        <v>477</v>
      </c>
      <c r="AD726" s="98">
        <f>MiscData!$X$5</f>
        <v>20140101</v>
      </c>
      <c r="AE726" s="98">
        <f>IF(AE725+1&gt;MiscData!$AC$77,1,AE725+1)</f>
        <v>66</v>
      </c>
      <c r="AF726" s="98" t="str">
        <f>VLOOKUP(AE726,MiscData!$AC$5:$AD$77,2,FALSE)</f>
        <v>LGUM_477</v>
      </c>
      <c r="AG726" s="98" t="str">
        <f>VLOOKUP(AF726,MiscData!$AD$5:$AE$77,2,FALSE)</f>
        <v>RLS</v>
      </c>
      <c r="AP726" s="98" t="s">
        <v>296</v>
      </c>
      <c r="AR726" s="98">
        <v>47745.8</v>
      </c>
    </row>
    <row r="727" spans="1:44">
      <c r="A727" s="108">
        <f t="shared" si="315"/>
        <v>724</v>
      </c>
      <c r="B727" s="109" t="str">
        <f t="shared" si="291"/>
        <v>Oct 2015</v>
      </c>
      <c r="C727" s="110" t="str">
        <f t="shared" si="292"/>
        <v xml:space="preserve">LS </v>
      </c>
      <c r="D727" s="110" t="str">
        <f t="shared" si="293"/>
        <v>LGUM_479</v>
      </c>
      <c r="E727" s="581">
        <f t="shared" si="296"/>
        <v>0</v>
      </c>
      <c r="F727" s="581">
        <f t="shared" si="297"/>
        <v>0</v>
      </c>
      <c r="G727" s="116">
        <f t="shared" si="298"/>
        <v>14.06</v>
      </c>
      <c r="H727" s="116">
        <f t="shared" si="299"/>
        <v>1.370000000000001</v>
      </c>
      <c r="I727" s="118">
        <f t="shared" si="310"/>
        <v>0</v>
      </c>
      <c r="J727" s="118">
        <f t="shared" si="300"/>
        <v>0</v>
      </c>
      <c r="K727" s="570">
        <f t="shared" si="311"/>
        <v>0</v>
      </c>
      <c r="L727" s="121">
        <f t="shared" si="316"/>
        <v>1</v>
      </c>
      <c r="M727" s="122">
        <f t="shared" si="302"/>
        <v>0</v>
      </c>
      <c r="N727" s="122">
        <f t="shared" si="303"/>
        <v>0</v>
      </c>
      <c r="O727" s="122">
        <f t="shared" si="304"/>
        <v>0</v>
      </c>
      <c r="P727" s="122">
        <f t="shared" si="305"/>
        <v>0</v>
      </c>
      <c r="Q727" s="123">
        <f t="shared" si="306"/>
        <v>0</v>
      </c>
      <c r="R727" s="123">
        <f t="shared" si="312"/>
        <v>0</v>
      </c>
      <c r="S727" s="582">
        <v>0</v>
      </c>
      <c r="T727" s="123">
        <f t="shared" si="313"/>
        <v>0</v>
      </c>
      <c r="U727" s="25">
        <f t="shared" si="307"/>
        <v>0</v>
      </c>
      <c r="V727" s="123">
        <f t="shared" si="308"/>
        <v>0</v>
      </c>
      <c r="W727" s="334">
        <f t="shared" si="309"/>
        <v>0</v>
      </c>
      <c r="Y727" s="109">
        <f>IF(AE727=1,IF(Y726=MiscData!$F$1,EOMONTH(Y726,-11),EOMONTH(Y726,1)),Y726)</f>
        <v>42308</v>
      </c>
      <c r="Z727" s="108" t="str">
        <f t="shared" si="294"/>
        <v>20140101LGUM_479</v>
      </c>
      <c r="AA727" s="126" t="str">
        <f t="shared" si="295"/>
        <v xml:space="preserve">20140101LS </v>
      </c>
      <c r="AB727" s="583" t="str">
        <f t="shared" si="314"/>
        <v>479</v>
      </c>
      <c r="AD727" s="98">
        <f>MiscData!$X$5</f>
        <v>20140101</v>
      </c>
      <c r="AE727" s="98">
        <f>IF(AE726+1&gt;MiscData!$AC$77,1,AE726+1)</f>
        <v>67</v>
      </c>
      <c r="AF727" s="98" t="str">
        <f>VLOOKUP(AE727,MiscData!$AC$5:$AD$77,2,FALSE)</f>
        <v>LGUM_479</v>
      </c>
      <c r="AG727" s="98" t="str">
        <f>VLOOKUP(AF727,MiscData!$AD$5:$AE$77,2,FALSE)</f>
        <v xml:space="preserve">LS </v>
      </c>
      <c r="AP727" s="98" t="s">
        <v>297</v>
      </c>
      <c r="AR727" s="98">
        <v>0</v>
      </c>
    </row>
    <row r="728" spans="1:44">
      <c r="A728" s="108">
        <f t="shared" si="315"/>
        <v>725</v>
      </c>
      <c r="B728" s="109" t="str">
        <f t="shared" si="291"/>
        <v>Oct 2015</v>
      </c>
      <c r="C728" s="110" t="str">
        <f t="shared" si="292"/>
        <v xml:space="preserve">LS </v>
      </c>
      <c r="D728" s="110" t="str">
        <f t="shared" si="293"/>
        <v>LGUM_480</v>
      </c>
      <c r="E728" s="581">
        <f t="shared" si="296"/>
        <v>17</v>
      </c>
      <c r="F728" s="581">
        <f t="shared" si="297"/>
        <v>0</v>
      </c>
      <c r="G728" s="116">
        <f t="shared" si="298"/>
        <v>23.83</v>
      </c>
      <c r="H728" s="116">
        <f t="shared" si="299"/>
        <v>1.370000000000001</v>
      </c>
      <c r="I728" s="118">
        <f t="shared" si="310"/>
        <v>405.11</v>
      </c>
      <c r="J728" s="118">
        <f t="shared" si="300"/>
        <v>405.11</v>
      </c>
      <c r="K728" s="570">
        <f t="shared" si="311"/>
        <v>0</v>
      </c>
      <c r="L728" s="121">
        <f t="shared" si="316"/>
        <v>0</v>
      </c>
      <c r="M728" s="122">
        <f t="shared" si="302"/>
        <v>0</v>
      </c>
      <c r="N728" s="122">
        <f t="shared" si="303"/>
        <v>0</v>
      </c>
      <c r="O728" s="122">
        <f t="shared" si="304"/>
        <v>0</v>
      </c>
      <c r="P728" s="122">
        <f t="shared" si="305"/>
        <v>0</v>
      </c>
      <c r="Q728" s="123">
        <f t="shared" si="306"/>
        <v>405.11</v>
      </c>
      <c r="R728" s="123">
        <f t="shared" si="312"/>
        <v>-405.11</v>
      </c>
      <c r="S728" s="582">
        <v>0</v>
      </c>
      <c r="T728" s="123">
        <f t="shared" si="313"/>
        <v>-405.11</v>
      </c>
      <c r="U728" s="25">
        <f t="shared" si="307"/>
        <v>23.29</v>
      </c>
      <c r="V728" s="123">
        <f t="shared" si="308"/>
        <v>-23.29</v>
      </c>
      <c r="W728" s="334">
        <f t="shared" si="309"/>
        <v>4.59</v>
      </c>
      <c r="Y728" s="109">
        <f>IF(AE728=1,IF(Y727=MiscData!$F$1,EOMONTH(Y727,-11),EOMONTH(Y727,1)),Y727)</f>
        <v>42308</v>
      </c>
      <c r="Z728" s="108" t="str">
        <f t="shared" si="294"/>
        <v>20140101LGUM_480</v>
      </c>
      <c r="AA728" s="126" t="str">
        <f t="shared" si="295"/>
        <v xml:space="preserve">20140101LS </v>
      </c>
      <c r="AB728" s="583" t="str">
        <f t="shared" si="314"/>
        <v>480</v>
      </c>
      <c r="AD728" s="98">
        <f>MiscData!$X$5</f>
        <v>20140101</v>
      </c>
      <c r="AE728" s="98">
        <f>IF(AE727+1&gt;MiscData!$AC$77,1,AE727+1)</f>
        <v>68</v>
      </c>
      <c r="AF728" s="98" t="str">
        <f>VLOOKUP(AE728,MiscData!$AC$5:$AD$77,2,FALSE)</f>
        <v>LGUM_480</v>
      </c>
      <c r="AG728" s="98" t="str">
        <f>VLOOKUP(AF728,MiscData!$AD$5:$AE$77,2,FALSE)</f>
        <v xml:space="preserve">LS </v>
      </c>
      <c r="AP728" s="98" t="s">
        <v>298</v>
      </c>
      <c r="AR728" s="98">
        <v>0</v>
      </c>
    </row>
    <row r="729" spans="1:44">
      <c r="A729" s="108">
        <f t="shared" si="315"/>
        <v>726</v>
      </c>
      <c r="B729" s="109" t="str">
        <f t="shared" si="291"/>
        <v>Oct 2015</v>
      </c>
      <c r="C729" s="110" t="str">
        <f t="shared" si="292"/>
        <v xml:space="preserve">LS </v>
      </c>
      <c r="D729" s="110" t="str">
        <f t="shared" si="293"/>
        <v>LGUM_481</v>
      </c>
      <c r="E729" s="581">
        <f t="shared" si="296"/>
        <v>4</v>
      </c>
      <c r="F729" s="581">
        <f t="shared" si="297"/>
        <v>0</v>
      </c>
      <c r="G729" s="116">
        <f t="shared" si="298"/>
        <v>20.46</v>
      </c>
      <c r="H729" s="116">
        <f t="shared" si="299"/>
        <v>3.1800000000000033</v>
      </c>
      <c r="I729" s="118">
        <f t="shared" si="310"/>
        <v>81.84</v>
      </c>
      <c r="J729" s="118">
        <f t="shared" si="300"/>
        <v>81.84</v>
      </c>
      <c r="K729" s="570">
        <f t="shared" si="311"/>
        <v>0</v>
      </c>
      <c r="L729" s="121">
        <f t="shared" si="316"/>
        <v>0</v>
      </c>
      <c r="M729" s="122">
        <f t="shared" si="302"/>
        <v>0</v>
      </c>
      <c r="N729" s="122">
        <f t="shared" si="303"/>
        <v>0</v>
      </c>
      <c r="O729" s="122">
        <f t="shared" si="304"/>
        <v>0</v>
      </c>
      <c r="P729" s="122">
        <f t="shared" si="305"/>
        <v>0</v>
      </c>
      <c r="Q729" s="123">
        <f t="shared" si="306"/>
        <v>81.84</v>
      </c>
      <c r="R729" s="123">
        <f t="shared" si="312"/>
        <v>-81.84</v>
      </c>
      <c r="S729" s="582">
        <v>0</v>
      </c>
      <c r="T729" s="123">
        <f t="shared" si="313"/>
        <v>-81.84</v>
      </c>
      <c r="U729" s="25">
        <f t="shared" si="307"/>
        <v>12.72</v>
      </c>
      <c r="V729" s="123">
        <f t="shared" si="308"/>
        <v>-12.72</v>
      </c>
      <c r="W729" s="334">
        <f t="shared" si="309"/>
        <v>1.2</v>
      </c>
      <c r="Y729" s="109">
        <f>IF(AE729=1,IF(Y728=MiscData!$F$1,EOMONTH(Y728,-11),EOMONTH(Y728,1)),Y728)</f>
        <v>42308</v>
      </c>
      <c r="Z729" s="108" t="str">
        <f t="shared" si="294"/>
        <v>20140101LGUM_481</v>
      </c>
      <c r="AA729" s="126" t="str">
        <f t="shared" si="295"/>
        <v xml:space="preserve">20140101LS </v>
      </c>
      <c r="AB729" s="583" t="str">
        <f t="shared" si="314"/>
        <v>481</v>
      </c>
      <c r="AD729" s="98">
        <f>MiscData!$X$5</f>
        <v>20140101</v>
      </c>
      <c r="AE729" s="98">
        <f>IF(AE728+1&gt;MiscData!$AC$77,1,AE728+1)</f>
        <v>69</v>
      </c>
      <c r="AF729" s="98" t="str">
        <f>VLOOKUP(AE729,MiscData!$AC$5:$AD$77,2,FALSE)</f>
        <v>LGUM_481</v>
      </c>
      <c r="AG729" s="98" t="str">
        <f>VLOOKUP(AF729,MiscData!$AD$5:$AE$77,2,FALSE)</f>
        <v xml:space="preserve">LS </v>
      </c>
      <c r="AP729" s="98" t="s">
        <v>299</v>
      </c>
      <c r="AR729" s="98">
        <v>0</v>
      </c>
    </row>
    <row r="730" spans="1:44">
      <c r="A730" s="108">
        <f t="shared" si="315"/>
        <v>727</v>
      </c>
      <c r="B730" s="109" t="str">
        <f t="shared" si="291"/>
        <v>Oct 2015</v>
      </c>
      <c r="C730" s="110" t="str">
        <f t="shared" si="292"/>
        <v xml:space="preserve">LS </v>
      </c>
      <c r="D730" s="110" t="str">
        <f t="shared" si="293"/>
        <v>LGUM_482</v>
      </c>
      <c r="E730" s="581">
        <f t="shared" si="296"/>
        <v>39</v>
      </c>
      <c r="F730" s="581">
        <f t="shared" si="297"/>
        <v>0</v>
      </c>
      <c r="G730" s="116">
        <f t="shared" si="298"/>
        <v>30.21</v>
      </c>
      <c r="H730" s="116">
        <f t="shared" si="299"/>
        <v>3.1800000000000033</v>
      </c>
      <c r="I730" s="118">
        <f t="shared" si="310"/>
        <v>1178.19</v>
      </c>
      <c r="J730" s="118">
        <f t="shared" si="300"/>
        <v>1178.19</v>
      </c>
      <c r="K730" s="570">
        <f t="shared" si="311"/>
        <v>0</v>
      </c>
      <c r="L730" s="121">
        <f t="shared" si="316"/>
        <v>0</v>
      </c>
      <c r="M730" s="122">
        <f t="shared" si="302"/>
        <v>0</v>
      </c>
      <c r="N730" s="122">
        <f t="shared" si="303"/>
        <v>0</v>
      </c>
      <c r="O730" s="122">
        <f t="shared" si="304"/>
        <v>0</v>
      </c>
      <c r="P730" s="122">
        <f t="shared" si="305"/>
        <v>0</v>
      </c>
      <c r="Q730" s="123">
        <f t="shared" si="306"/>
        <v>1178.19</v>
      </c>
      <c r="R730" s="123">
        <f t="shared" si="312"/>
        <v>-1178.19</v>
      </c>
      <c r="S730" s="582">
        <v>0</v>
      </c>
      <c r="T730" s="123">
        <f t="shared" si="313"/>
        <v>-1178.19</v>
      </c>
      <c r="U730" s="25">
        <f t="shared" si="307"/>
        <v>124.02</v>
      </c>
      <c r="V730" s="123">
        <f t="shared" si="308"/>
        <v>-124.02</v>
      </c>
      <c r="W730" s="334">
        <f t="shared" si="309"/>
        <v>11.7</v>
      </c>
      <c r="Y730" s="109">
        <f>IF(AE730=1,IF(Y729=MiscData!$F$1,EOMONTH(Y729,-11),EOMONTH(Y729,1)),Y729)</f>
        <v>42308</v>
      </c>
      <c r="Z730" s="108" t="str">
        <f t="shared" si="294"/>
        <v>20140101LGUM_482</v>
      </c>
      <c r="AA730" s="126" t="str">
        <f t="shared" si="295"/>
        <v xml:space="preserve">20140101LS </v>
      </c>
      <c r="AB730" s="583" t="str">
        <f t="shared" si="314"/>
        <v>482</v>
      </c>
      <c r="AD730" s="98">
        <f>MiscData!$X$5</f>
        <v>20140101</v>
      </c>
      <c r="AE730" s="98">
        <f>IF(AE729+1&gt;MiscData!$AC$77,1,AE729+1)</f>
        <v>70</v>
      </c>
      <c r="AF730" s="98" t="str">
        <f>VLOOKUP(AE730,MiscData!$AC$5:$AD$77,2,FALSE)</f>
        <v>LGUM_482</v>
      </c>
      <c r="AG730" s="98" t="str">
        <f>VLOOKUP(AF730,MiscData!$AD$5:$AE$77,2,FALSE)</f>
        <v xml:space="preserve">LS </v>
      </c>
      <c r="AP730" s="98" t="s">
        <v>300</v>
      </c>
      <c r="AR730" s="98">
        <v>0</v>
      </c>
    </row>
    <row r="731" spans="1:44">
      <c r="A731" s="108">
        <f t="shared" si="315"/>
        <v>728</v>
      </c>
      <c r="B731" s="109" t="str">
        <f t="shared" si="291"/>
        <v>Oct 2015</v>
      </c>
      <c r="C731" s="110" t="str">
        <f t="shared" si="292"/>
        <v xml:space="preserve">LS </v>
      </c>
      <c r="D731" s="110" t="str">
        <f t="shared" si="293"/>
        <v>LGUM_483</v>
      </c>
      <c r="E731" s="581">
        <f t="shared" si="296"/>
        <v>2</v>
      </c>
      <c r="F731" s="581">
        <f t="shared" si="297"/>
        <v>0</v>
      </c>
      <c r="G731" s="116">
        <f t="shared" si="298"/>
        <v>42.56</v>
      </c>
      <c r="H731" s="116">
        <f t="shared" si="299"/>
        <v>9.8100000000000023</v>
      </c>
      <c r="I731" s="118">
        <f t="shared" si="310"/>
        <v>85.12</v>
      </c>
      <c r="J731" s="118">
        <f t="shared" si="300"/>
        <v>85.12</v>
      </c>
      <c r="K731" s="570">
        <f t="shared" si="311"/>
        <v>0</v>
      </c>
      <c r="L731" s="121">
        <f t="shared" si="316"/>
        <v>0</v>
      </c>
      <c r="M731" s="122">
        <f t="shared" si="302"/>
        <v>0</v>
      </c>
      <c r="N731" s="122">
        <f t="shared" si="303"/>
        <v>0</v>
      </c>
      <c r="O731" s="122">
        <f t="shared" si="304"/>
        <v>0</v>
      </c>
      <c r="P731" s="122">
        <f t="shared" si="305"/>
        <v>0</v>
      </c>
      <c r="Q731" s="123">
        <f t="shared" si="306"/>
        <v>85.12</v>
      </c>
      <c r="R731" s="123">
        <f t="shared" si="312"/>
        <v>-85.12</v>
      </c>
      <c r="S731" s="582">
        <v>0</v>
      </c>
      <c r="T731" s="123">
        <f t="shared" si="313"/>
        <v>-85.12</v>
      </c>
      <c r="U731" s="25">
        <f t="shared" si="307"/>
        <v>19.62</v>
      </c>
      <c r="V731" s="123">
        <f t="shared" si="308"/>
        <v>-19.62</v>
      </c>
      <c r="W731" s="334">
        <f t="shared" si="309"/>
        <v>1.22</v>
      </c>
      <c r="Y731" s="109">
        <f>IF(AE731=1,IF(Y730=MiscData!$F$1,EOMONTH(Y730,-11),EOMONTH(Y730,1)),Y730)</f>
        <v>42308</v>
      </c>
      <c r="Z731" s="108" t="str">
        <f t="shared" si="294"/>
        <v>20140101LGUM_483</v>
      </c>
      <c r="AA731" s="126" t="str">
        <f t="shared" si="295"/>
        <v xml:space="preserve">20140101LS </v>
      </c>
      <c r="AB731" s="583" t="str">
        <f t="shared" si="314"/>
        <v>483</v>
      </c>
      <c r="AD731" s="98">
        <f>MiscData!$X$5</f>
        <v>20140101</v>
      </c>
      <c r="AE731" s="98">
        <f>IF(AE730+1&gt;MiscData!$AC$77,1,AE730+1)</f>
        <v>71</v>
      </c>
      <c r="AF731" s="98" t="str">
        <f>VLOOKUP(AE731,MiscData!$AC$5:$AD$77,2,FALSE)</f>
        <v>LGUM_483</v>
      </c>
      <c r="AG731" s="98" t="str">
        <f>VLOOKUP(AF731,MiscData!$AD$5:$AE$77,2,FALSE)</f>
        <v xml:space="preserve">LS </v>
      </c>
      <c r="AP731" s="98" t="s">
        <v>301</v>
      </c>
      <c r="AR731" s="98">
        <v>-175.79</v>
      </c>
    </row>
    <row r="732" spans="1:44">
      <c r="A732" s="108">
        <f t="shared" si="315"/>
        <v>729</v>
      </c>
      <c r="B732" s="109" t="str">
        <f t="shared" si="291"/>
        <v>Oct 2015</v>
      </c>
      <c r="C732" s="110" t="str">
        <f t="shared" si="292"/>
        <v xml:space="preserve">LS </v>
      </c>
      <c r="D732" s="110" t="str">
        <f t="shared" si="293"/>
        <v>LGUM_484</v>
      </c>
      <c r="E732" s="581">
        <f t="shared" si="296"/>
        <v>13</v>
      </c>
      <c r="F732" s="581">
        <f t="shared" si="297"/>
        <v>0</v>
      </c>
      <c r="G732" s="116">
        <f t="shared" si="298"/>
        <v>52.31</v>
      </c>
      <c r="H732" s="116">
        <f t="shared" si="299"/>
        <v>9.8100000000000023</v>
      </c>
      <c r="I732" s="118">
        <f t="shared" si="310"/>
        <v>680.03</v>
      </c>
      <c r="J732" s="118">
        <f t="shared" si="300"/>
        <v>680.03</v>
      </c>
      <c r="K732" s="570">
        <f t="shared" si="311"/>
        <v>0</v>
      </c>
      <c r="L732" s="121">
        <f t="shared" si="316"/>
        <v>0</v>
      </c>
      <c r="M732" s="122">
        <f t="shared" si="302"/>
        <v>0</v>
      </c>
      <c r="N732" s="122">
        <f t="shared" si="303"/>
        <v>0</v>
      </c>
      <c r="O732" s="122">
        <f t="shared" si="304"/>
        <v>0</v>
      </c>
      <c r="P732" s="122">
        <f t="shared" si="305"/>
        <v>0</v>
      </c>
      <c r="Q732" s="123">
        <f t="shared" si="306"/>
        <v>680.03</v>
      </c>
      <c r="R732" s="123">
        <f t="shared" si="312"/>
        <v>-680.03</v>
      </c>
      <c r="S732" s="582">
        <v>0</v>
      </c>
      <c r="T732" s="123">
        <f t="shared" si="313"/>
        <v>-680.03</v>
      </c>
      <c r="U732" s="25">
        <f t="shared" si="307"/>
        <v>127.53</v>
      </c>
      <c r="V732" s="123">
        <f t="shared" si="308"/>
        <v>-127.53</v>
      </c>
      <c r="W732" s="334">
        <f t="shared" si="309"/>
        <v>7.93</v>
      </c>
      <c r="Y732" s="109">
        <f>IF(AE732=1,IF(Y731=MiscData!$F$1,EOMONTH(Y731,-11),EOMONTH(Y731,1)),Y731)</f>
        <v>42308</v>
      </c>
      <c r="Z732" s="108" t="str">
        <f t="shared" si="294"/>
        <v>20140101LGUM_484</v>
      </c>
      <c r="AA732" s="126" t="str">
        <f t="shared" si="295"/>
        <v xml:space="preserve">20140101LS </v>
      </c>
      <c r="AB732" s="583" t="str">
        <f t="shared" si="314"/>
        <v>484</v>
      </c>
      <c r="AD732" s="98">
        <f>MiscData!$X$5</f>
        <v>20140101</v>
      </c>
      <c r="AE732" s="98">
        <f>IF(AE731+1&gt;MiscData!$AC$77,1,AE731+1)</f>
        <v>72</v>
      </c>
      <c r="AF732" s="98" t="str">
        <f>VLOOKUP(AE732,MiscData!$AC$5:$AD$77,2,FALSE)</f>
        <v>LGUM_484</v>
      </c>
      <c r="AG732" s="98" t="str">
        <f>VLOOKUP(AF732,MiscData!$AD$5:$AE$77,2,FALSE)</f>
        <v xml:space="preserve">LS </v>
      </c>
      <c r="AP732" s="98" t="s">
        <v>302</v>
      </c>
      <c r="AR732" s="98">
        <v>-80.989999999999995</v>
      </c>
    </row>
    <row r="733" spans="1:44">
      <c r="A733" s="108">
        <f t="shared" si="315"/>
        <v>730</v>
      </c>
      <c r="B733" s="109" t="str">
        <f t="shared" si="291"/>
        <v>Oct 2015</v>
      </c>
      <c r="C733" s="110" t="str">
        <f t="shared" si="292"/>
        <v>ODL</v>
      </c>
      <c r="D733" s="110" t="str">
        <f t="shared" si="293"/>
        <v>ODL</v>
      </c>
      <c r="E733" s="581">
        <f t="shared" si="296"/>
        <v>0</v>
      </c>
      <c r="F733" s="581">
        <f t="shared" si="297"/>
        <v>8830823</v>
      </c>
      <c r="G733" s="116">
        <f t="shared" si="298"/>
        <v>0</v>
      </c>
      <c r="H733" s="116">
        <f t="shared" si="299"/>
        <v>0</v>
      </c>
      <c r="I733" s="118">
        <f t="shared" si="310"/>
        <v>0</v>
      </c>
      <c r="J733" s="118">
        <f t="shared" si="300"/>
        <v>0</v>
      </c>
      <c r="K733" s="570">
        <f t="shared" si="311"/>
        <v>1533182</v>
      </c>
      <c r="L733" s="121">
        <f t="shared" si="316"/>
        <v>0</v>
      </c>
      <c r="M733" s="122">
        <f t="shared" si="302"/>
        <v>-1915</v>
      </c>
      <c r="N733" s="122">
        <f t="shared" si="303"/>
        <v>84314</v>
      </c>
      <c r="O733" s="122">
        <f t="shared" si="304"/>
        <v>0</v>
      </c>
      <c r="P733" s="122">
        <f t="shared" si="305"/>
        <v>1615581</v>
      </c>
      <c r="Q733" s="123">
        <f t="shared" si="306"/>
        <v>82399</v>
      </c>
      <c r="R733" s="123">
        <f t="shared" si="312"/>
        <v>1533182</v>
      </c>
      <c r="S733" s="582">
        <v>0</v>
      </c>
      <c r="T733" s="123">
        <f t="shared" si="313"/>
        <v>1533182</v>
      </c>
      <c r="U733" s="25">
        <f t="shared" si="307"/>
        <v>0</v>
      </c>
      <c r="V733" s="123">
        <f t="shared" si="308"/>
        <v>1533182</v>
      </c>
      <c r="W733" s="334">
        <f t="shared" si="309"/>
        <v>0</v>
      </c>
      <c r="Y733" s="109">
        <f>IF(AE733=1,IF(Y732=MiscData!$F$1,EOMONTH(Y732,-11),EOMONTH(Y732,1)),Y732)</f>
        <v>42308</v>
      </c>
      <c r="Z733" s="108" t="str">
        <f t="shared" si="294"/>
        <v>20140101ODL</v>
      </c>
      <c r="AA733" s="126" t="str">
        <f t="shared" si="295"/>
        <v>20140101ODL</v>
      </c>
      <c r="AB733" s="583" t="str">
        <f t="shared" si="314"/>
        <v>ODL</v>
      </c>
      <c r="AD733" s="98">
        <f>MiscData!$X$5</f>
        <v>20140101</v>
      </c>
      <c r="AE733" s="98">
        <f>IF(AE732+1&gt;MiscData!$AC$77,1,AE732+1)</f>
        <v>73</v>
      </c>
      <c r="AF733" s="98" t="str">
        <f>VLOOKUP(AE733,MiscData!$AC$5:$AD$77,2,FALSE)</f>
        <v>ODL</v>
      </c>
      <c r="AG733" s="98" t="str">
        <f>VLOOKUP(AF733,MiscData!$AD$5:$AE$77,2,FALSE)</f>
        <v>ODL</v>
      </c>
      <c r="AP733" s="98" t="s">
        <v>303</v>
      </c>
      <c r="AR733" s="98">
        <v>0</v>
      </c>
    </row>
    <row r="734" spans="1:44">
      <c r="A734" s="108">
        <f t="shared" si="315"/>
        <v>731</v>
      </c>
      <c r="B734" s="109" t="str">
        <f t="shared" si="291"/>
        <v>Nov 2015</v>
      </c>
      <c r="C734" s="110" t="str">
        <f t="shared" si="292"/>
        <v>RLS</v>
      </c>
      <c r="D734" s="110" t="str">
        <f t="shared" si="293"/>
        <v>LGUM_201</v>
      </c>
      <c r="E734" s="581">
        <f t="shared" si="296"/>
        <v>75</v>
      </c>
      <c r="F734" s="581">
        <f t="shared" si="297"/>
        <v>0</v>
      </c>
      <c r="G734" s="116">
        <f t="shared" si="298"/>
        <v>8.14</v>
      </c>
      <c r="H734" s="116">
        <f t="shared" si="299"/>
        <v>1.0899999999999999</v>
      </c>
      <c r="I734" s="118">
        <f t="shared" si="310"/>
        <v>610.5</v>
      </c>
      <c r="J734" s="118">
        <f t="shared" si="300"/>
        <v>610.5</v>
      </c>
      <c r="K734" s="570">
        <f t="shared" si="311"/>
        <v>0</v>
      </c>
      <c r="L734" s="121">
        <f t="shared" si="316"/>
        <v>0</v>
      </c>
      <c r="M734" s="122">
        <f t="shared" si="302"/>
        <v>0</v>
      </c>
      <c r="N734" s="122">
        <f t="shared" si="303"/>
        <v>0</v>
      </c>
      <c r="O734" s="122">
        <f t="shared" si="304"/>
        <v>0</v>
      </c>
      <c r="P734" s="122">
        <f t="shared" si="305"/>
        <v>0</v>
      </c>
      <c r="Q734" s="123">
        <f t="shared" si="306"/>
        <v>610.5</v>
      </c>
      <c r="R734" s="123">
        <f t="shared" si="312"/>
        <v>-610.5</v>
      </c>
      <c r="S734" s="582">
        <v>0</v>
      </c>
      <c r="T734" s="123">
        <f t="shared" si="313"/>
        <v>-610.5</v>
      </c>
      <c r="U734" s="25">
        <f t="shared" si="307"/>
        <v>81.75</v>
      </c>
      <c r="V734" s="123">
        <f t="shared" si="308"/>
        <v>-81.75</v>
      </c>
      <c r="W734" s="334">
        <f t="shared" si="309"/>
        <v>12</v>
      </c>
      <c r="Y734" s="109">
        <f>IF(AE734=1,IF(Y733=MiscData!$F$1,EOMONTH(Y733,-11),EOMONTH(Y733,1)),Y733)</f>
        <v>42338</v>
      </c>
      <c r="Z734" s="108" t="str">
        <f t="shared" si="294"/>
        <v>20140101LGUM_201</v>
      </c>
      <c r="AA734" s="126" t="str">
        <f t="shared" si="295"/>
        <v>20140101RLS</v>
      </c>
      <c r="AB734" s="583" t="str">
        <f t="shared" si="314"/>
        <v>201</v>
      </c>
      <c r="AD734" s="98">
        <f>MiscData!$X$5</f>
        <v>20140101</v>
      </c>
      <c r="AE734" s="98">
        <f>IF(AE733+1&gt;MiscData!$AC$77,1,AE733+1)</f>
        <v>1</v>
      </c>
      <c r="AF734" s="98" t="str">
        <f>VLOOKUP(AE734,MiscData!$AC$5:$AD$77,2,FALSE)</f>
        <v>LGUM_201</v>
      </c>
      <c r="AG734" s="98" t="str">
        <f>VLOOKUP(AF734,MiscData!$AD$5:$AE$77,2,FALSE)</f>
        <v>RLS</v>
      </c>
      <c r="AP734" s="98" t="s">
        <v>304</v>
      </c>
      <c r="AR734" s="98">
        <v>0</v>
      </c>
    </row>
    <row r="735" spans="1:44">
      <c r="A735" s="108">
        <f t="shared" si="315"/>
        <v>732</v>
      </c>
      <c r="B735" s="109" t="str">
        <f t="shared" si="291"/>
        <v>Nov 2015</v>
      </c>
      <c r="C735" s="110" t="str">
        <f t="shared" si="292"/>
        <v>RLS</v>
      </c>
      <c r="D735" s="110" t="str">
        <f t="shared" si="293"/>
        <v>LGUM_203</v>
      </c>
      <c r="E735" s="581">
        <f t="shared" si="296"/>
        <v>4572</v>
      </c>
      <c r="F735" s="581">
        <f t="shared" si="297"/>
        <v>0</v>
      </c>
      <c r="G735" s="116">
        <f t="shared" si="298"/>
        <v>10.959999999999999</v>
      </c>
      <c r="H735" s="116">
        <f t="shared" si="299"/>
        <v>2.7099999999999991</v>
      </c>
      <c r="I735" s="118">
        <f t="shared" si="310"/>
        <v>50109.120000000003</v>
      </c>
      <c r="J735" s="118">
        <f t="shared" si="300"/>
        <v>50109.120000000003</v>
      </c>
      <c r="K735" s="570">
        <f t="shared" si="311"/>
        <v>0</v>
      </c>
      <c r="L735" s="121">
        <f t="shared" si="316"/>
        <v>0</v>
      </c>
      <c r="M735" s="122">
        <f t="shared" si="302"/>
        <v>0</v>
      </c>
      <c r="N735" s="122">
        <f t="shared" si="303"/>
        <v>0</v>
      </c>
      <c r="O735" s="122">
        <f t="shared" si="304"/>
        <v>0</v>
      </c>
      <c r="P735" s="122">
        <f t="shared" si="305"/>
        <v>0</v>
      </c>
      <c r="Q735" s="123">
        <f t="shared" si="306"/>
        <v>50109.120000000003</v>
      </c>
      <c r="R735" s="123">
        <f t="shared" si="312"/>
        <v>-50109.120000000003</v>
      </c>
      <c r="S735" s="582">
        <v>0</v>
      </c>
      <c r="T735" s="123">
        <f t="shared" si="313"/>
        <v>-50109.120000000003</v>
      </c>
      <c r="U735" s="25">
        <f t="shared" si="307"/>
        <v>12390.12</v>
      </c>
      <c r="V735" s="123">
        <f t="shared" si="308"/>
        <v>-12390.12</v>
      </c>
      <c r="W735" s="334">
        <f t="shared" si="309"/>
        <v>822.95999999999992</v>
      </c>
      <c r="Y735" s="109">
        <f>IF(AE735=1,IF(Y734=MiscData!$F$1,EOMONTH(Y734,-11),EOMONTH(Y734,1)),Y734)</f>
        <v>42338</v>
      </c>
      <c r="Z735" s="108" t="str">
        <f t="shared" si="294"/>
        <v>20140101LGUM_203</v>
      </c>
      <c r="AA735" s="126" t="str">
        <f t="shared" si="295"/>
        <v>20140101RLS</v>
      </c>
      <c r="AB735" s="583" t="str">
        <f t="shared" si="314"/>
        <v>203</v>
      </c>
      <c r="AD735" s="98">
        <f>MiscData!$X$5</f>
        <v>20140101</v>
      </c>
      <c r="AE735" s="98">
        <f>IF(AE734+1&gt;MiscData!$AC$77,1,AE734+1)</f>
        <v>2</v>
      </c>
      <c r="AF735" s="98" t="str">
        <f>VLOOKUP(AE735,MiscData!$AC$5:$AD$77,2,FALSE)</f>
        <v>LGUM_203</v>
      </c>
      <c r="AG735" s="98" t="str">
        <f>VLOOKUP(AF735,MiscData!$AD$5:$AE$77,2,FALSE)</f>
        <v>RLS</v>
      </c>
      <c r="AP735" s="98" t="s">
        <v>305</v>
      </c>
      <c r="AR735" s="98">
        <v>0</v>
      </c>
    </row>
    <row r="736" spans="1:44">
      <c r="A736" s="108">
        <f t="shared" si="315"/>
        <v>733</v>
      </c>
      <c r="B736" s="109" t="str">
        <f t="shared" si="291"/>
        <v>Nov 2015</v>
      </c>
      <c r="C736" s="110" t="str">
        <f t="shared" si="292"/>
        <v>RLS</v>
      </c>
      <c r="D736" s="110" t="str">
        <f t="shared" si="293"/>
        <v>LGUM_204</v>
      </c>
      <c r="E736" s="581">
        <f t="shared" si="296"/>
        <v>3811</v>
      </c>
      <c r="F736" s="581">
        <f t="shared" si="297"/>
        <v>0</v>
      </c>
      <c r="G736" s="116">
        <f t="shared" si="298"/>
        <v>13.510000000000002</v>
      </c>
      <c r="H736" s="116">
        <f t="shared" si="299"/>
        <v>4.2000000000000011</v>
      </c>
      <c r="I736" s="118">
        <f t="shared" si="310"/>
        <v>51486.61</v>
      </c>
      <c r="J736" s="118">
        <f t="shared" si="300"/>
        <v>51486.61</v>
      </c>
      <c r="K736" s="570">
        <f t="shared" si="311"/>
        <v>0</v>
      </c>
      <c r="L736" s="121">
        <f t="shared" si="316"/>
        <v>0</v>
      </c>
      <c r="M736" s="122">
        <f t="shared" si="302"/>
        <v>0</v>
      </c>
      <c r="N736" s="122">
        <f t="shared" si="303"/>
        <v>0</v>
      </c>
      <c r="O736" s="122">
        <f t="shared" si="304"/>
        <v>0</v>
      </c>
      <c r="P736" s="122">
        <f t="shared" si="305"/>
        <v>0</v>
      </c>
      <c r="Q736" s="123">
        <f t="shared" si="306"/>
        <v>51486.61</v>
      </c>
      <c r="R736" s="123">
        <f t="shared" si="312"/>
        <v>-51486.61</v>
      </c>
      <c r="S736" s="582">
        <v>0</v>
      </c>
      <c r="T736" s="123">
        <f t="shared" si="313"/>
        <v>-51486.61</v>
      </c>
      <c r="U736" s="25">
        <f t="shared" si="307"/>
        <v>16006.2</v>
      </c>
      <c r="V736" s="123">
        <f t="shared" si="308"/>
        <v>-16006.2</v>
      </c>
      <c r="W736" s="334">
        <f t="shared" si="309"/>
        <v>838.42</v>
      </c>
      <c r="Y736" s="109">
        <f>IF(AE736=1,IF(Y735=MiscData!$F$1,EOMONTH(Y735,-11),EOMONTH(Y735,1)),Y735)</f>
        <v>42338</v>
      </c>
      <c r="Z736" s="108" t="str">
        <f t="shared" si="294"/>
        <v>20140101LGUM_204</v>
      </c>
      <c r="AA736" s="126" t="str">
        <f t="shared" si="295"/>
        <v>20140101RLS</v>
      </c>
      <c r="AB736" s="583" t="str">
        <f t="shared" si="314"/>
        <v>204</v>
      </c>
      <c r="AD736" s="98">
        <f>MiscData!$X$5</f>
        <v>20140101</v>
      </c>
      <c r="AE736" s="98">
        <f>IF(AE735+1&gt;MiscData!$AC$77,1,AE735+1)</f>
        <v>3</v>
      </c>
      <c r="AF736" s="98" t="str">
        <f>VLOOKUP(AE736,MiscData!$AC$5:$AD$77,2,FALSE)</f>
        <v>LGUM_204</v>
      </c>
      <c r="AG736" s="98" t="str">
        <f>VLOOKUP(AF736,MiscData!$AD$5:$AE$77,2,FALSE)</f>
        <v>RLS</v>
      </c>
      <c r="AP736" s="98" t="s">
        <v>306</v>
      </c>
      <c r="AR736" s="98">
        <v>0</v>
      </c>
    </row>
    <row r="737" spans="1:44">
      <c r="A737" s="108">
        <f t="shared" si="315"/>
        <v>734</v>
      </c>
      <c r="B737" s="109" t="str">
        <f t="shared" si="291"/>
        <v>Nov 2015</v>
      </c>
      <c r="C737" s="110" t="str">
        <f t="shared" si="292"/>
        <v>RLS</v>
      </c>
      <c r="D737" s="110" t="str">
        <f t="shared" si="293"/>
        <v>LGUM_206</v>
      </c>
      <c r="E737" s="581">
        <f t="shared" si="296"/>
        <v>96</v>
      </c>
      <c r="F737" s="581">
        <f t="shared" si="297"/>
        <v>0</v>
      </c>
      <c r="G737" s="116">
        <f t="shared" si="298"/>
        <v>12.450000000000001</v>
      </c>
      <c r="H737" s="116">
        <f t="shared" si="299"/>
        <v>1.0899999999999999</v>
      </c>
      <c r="I737" s="118">
        <f t="shared" si="310"/>
        <v>1195.2</v>
      </c>
      <c r="J737" s="118">
        <f t="shared" si="300"/>
        <v>1195.2</v>
      </c>
      <c r="K737" s="570">
        <f t="shared" si="311"/>
        <v>0</v>
      </c>
      <c r="L737" s="121">
        <f t="shared" si="316"/>
        <v>0</v>
      </c>
      <c r="M737" s="122">
        <f t="shared" si="302"/>
        <v>0</v>
      </c>
      <c r="N737" s="122">
        <f t="shared" si="303"/>
        <v>0</v>
      </c>
      <c r="O737" s="122">
        <f t="shared" si="304"/>
        <v>0</v>
      </c>
      <c r="P737" s="122">
        <f t="shared" si="305"/>
        <v>0</v>
      </c>
      <c r="Q737" s="123">
        <f t="shared" si="306"/>
        <v>1195.2</v>
      </c>
      <c r="R737" s="123">
        <f t="shared" si="312"/>
        <v>-1195.2</v>
      </c>
      <c r="S737" s="582">
        <v>0</v>
      </c>
      <c r="T737" s="123">
        <f t="shared" si="313"/>
        <v>-1195.2</v>
      </c>
      <c r="U737" s="25">
        <f t="shared" si="307"/>
        <v>104.64</v>
      </c>
      <c r="V737" s="123">
        <f t="shared" si="308"/>
        <v>-104.64</v>
      </c>
      <c r="W737" s="334">
        <f t="shared" si="309"/>
        <v>15.36</v>
      </c>
      <c r="Y737" s="109">
        <f>IF(AE737=1,IF(Y736=MiscData!$F$1,EOMONTH(Y736,-11),EOMONTH(Y736,1)),Y736)</f>
        <v>42338</v>
      </c>
      <c r="Z737" s="108" t="str">
        <f t="shared" si="294"/>
        <v>20140101LGUM_206</v>
      </c>
      <c r="AA737" s="126" t="str">
        <f t="shared" si="295"/>
        <v>20140101RLS</v>
      </c>
      <c r="AB737" s="583" t="str">
        <f t="shared" si="314"/>
        <v>206</v>
      </c>
      <c r="AD737" s="98">
        <f>MiscData!$X$5</f>
        <v>20140101</v>
      </c>
      <c r="AE737" s="98">
        <f>IF(AE736+1&gt;MiscData!$AC$77,1,AE736+1)</f>
        <v>4</v>
      </c>
      <c r="AF737" s="98" t="str">
        <f>VLOOKUP(AE737,MiscData!$AC$5:$AD$77,2,FALSE)</f>
        <v>LGUM_206</v>
      </c>
      <c r="AG737" s="98" t="str">
        <f>VLOOKUP(AF737,MiscData!$AD$5:$AE$77,2,FALSE)</f>
        <v>RLS</v>
      </c>
      <c r="AP737" s="98" t="s">
        <v>307</v>
      </c>
      <c r="AR737" s="98">
        <v>0</v>
      </c>
    </row>
    <row r="738" spans="1:44">
      <c r="A738" s="108">
        <f t="shared" si="315"/>
        <v>735</v>
      </c>
      <c r="B738" s="109" t="str">
        <f t="shared" si="291"/>
        <v>Nov 2015</v>
      </c>
      <c r="C738" s="110" t="str">
        <f t="shared" si="292"/>
        <v>RLS</v>
      </c>
      <c r="D738" s="110" t="str">
        <f t="shared" si="293"/>
        <v>LGUM_207</v>
      </c>
      <c r="E738" s="581">
        <f t="shared" si="296"/>
        <v>756</v>
      </c>
      <c r="F738" s="581">
        <f t="shared" si="297"/>
        <v>0</v>
      </c>
      <c r="G738" s="116">
        <f t="shared" si="298"/>
        <v>15.54</v>
      </c>
      <c r="H738" s="116">
        <f t="shared" si="299"/>
        <v>4.2000000000000011</v>
      </c>
      <c r="I738" s="118">
        <f t="shared" si="310"/>
        <v>11748.24</v>
      </c>
      <c r="J738" s="118">
        <f t="shared" si="300"/>
        <v>11748.24</v>
      </c>
      <c r="K738" s="570">
        <f t="shared" si="311"/>
        <v>0</v>
      </c>
      <c r="L738" s="121">
        <f t="shared" si="316"/>
        <v>0</v>
      </c>
      <c r="M738" s="122">
        <f t="shared" si="302"/>
        <v>0</v>
      </c>
      <c r="N738" s="122">
        <f t="shared" si="303"/>
        <v>0</v>
      </c>
      <c r="O738" s="122">
        <f t="shared" si="304"/>
        <v>0</v>
      </c>
      <c r="P738" s="122">
        <f t="shared" si="305"/>
        <v>0</v>
      </c>
      <c r="Q738" s="123">
        <f t="shared" si="306"/>
        <v>11748.24</v>
      </c>
      <c r="R738" s="123">
        <f t="shared" si="312"/>
        <v>-11748.24</v>
      </c>
      <c r="S738" s="582">
        <v>0</v>
      </c>
      <c r="T738" s="123">
        <f t="shared" si="313"/>
        <v>-11748.24</v>
      </c>
      <c r="U738" s="25">
        <f t="shared" si="307"/>
        <v>3175.2</v>
      </c>
      <c r="V738" s="123">
        <f t="shared" si="308"/>
        <v>-3175.2</v>
      </c>
      <c r="W738" s="334">
        <f t="shared" si="309"/>
        <v>166.32</v>
      </c>
      <c r="Y738" s="109">
        <f>IF(AE738=1,IF(Y737=MiscData!$F$1,EOMONTH(Y737,-11),EOMONTH(Y737,1)),Y737)</f>
        <v>42338</v>
      </c>
      <c r="Z738" s="108" t="str">
        <f t="shared" si="294"/>
        <v>20140101LGUM_207</v>
      </c>
      <c r="AA738" s="126" t="str">
        <f t="shared" si="295"/>
        <v>20140101RLS</v>
      </c>
      <c r="AB738" s="583" t="str">
        <f t="shared" si="314"/>
        <v>207</v>
      </c>
      <c r="AD738" s="98">
        <f>MiscData!$X$5</f>
        <v>20140101</v>
      </c>
      <c r="AE738" s="98">
        <f>IF(AE737+1&gt;MiscData!$AC$77,1,AE737+1)</f>
        <v>5</v>
      </c>
      <c r="AF738" s="98" t="str">
        <f>VLOOKUP(AE738,MiscData!$AC$5:$AD$77,2,FALSE)</f>
        <v>LGUM_207</v>
      </c>
      <c r="AG738" s="98" t="str">
        <f>VLOOKUP(AF738,MiscData!$AD$5:$AE$77,2,FALSE)</f>
        <v>RLS</v>
      </c>
      <c r="AP738" s="98" t="s">
        <v>308</v>
      </c>
      <c r="AR738" s="98">
        <v>23120.86</v>
      </c>
    </row>
    <row r="739" spans="1:44">
      <c r="A739" s="108">
        <f t="shared" si="315"/>
        <v>736</v>
      </c>
      <c r="B739" s="109" t="str">
        <f t="shared" si="291"/>
        <v>Nov 2015</v>
      </c>
      <c r="C739" s="110" t="str">
        <f t="shared" si="292"/>
        <v>RLS</v>
      </c>
      <c r="D739" s="110" t="str">
        <f t="shared" si="293"/>
        <v>LGUM_208</v>
      </c>
      <c r="E739" s="581">
        <f t="shared" si="296"/>
        <v>1399</v>
      </c>
      <c r="F739" s="581">
        <f t="shared" si="297"/>
        <v>0</v>
      </c>
      <c r="G739" s="116">
        <f t="shared" si="298"/>
        <v>14.24</v>
      </c>
      <c r="H739" s="116">
        <f t="shared" si="299"/>
        <v>1.9100000000000001</v>
      </c>
      <c r="I739" s="118">
        <f t="shared" si="310"/>
        <v>19921.759999999998</v>
      </c>
      <c r="J739" s="118">
        <f t="shared" si="300"/>
        <v>19921.759999999998</v>
      </c>
      <c r="K739" s="570">
        <f t="shared" si="311"/>
        <v>0</v>
      </c>
      <c r="L739" s="121">
        <f t="shared" si="316"/>
        <v>0</v>
      </c>
      <c r="M739" s="122">
        <f t="shared" si="302"/>
        <v>0</v>
      </c>
      <c r="N739" s="122">
        <f t="shared" si="303"/>
        <v>0</v>
      </c>
      <c r="O739" s="122">
        <f t="shared" si="304"/>
        <v>0</v>
      </c>
      <c r="P739" s="122">
        <f t="shared" si="305"/>
        <v>0</v>
      </c>
      <c r="Q739" s="123">
        <f t="shared" si="306"/>
        <v>19921.759999999998</v>
      </c>
      <c r="R739" s="123">
        <f t="shared" si="312"/>
        <v>-19921.759999999998</v>
      </c>
      <c r="S739" s="582">
        <v>0</v>
      </c>
      <c r="T739" s="123">
        <f t="shared" si="313"/>
        <v>-19921.759999999998</v>
      </c>
      <c r="U739" s="25">
        <f t="shared" si="307"/>
        <v>2672.09</v>
      </c>
      <c r="V739" s="123">
        <f t="shared" si="308"/>
        <v>-2672.09</v>
      </c>
      <c r="W739" s="334">
        <f t="shared" si="309"/>
        <v>223.84</v>
      </c>
      <c r="Y739" s="109">
        <f>IF(AE739=1,IF(Y738=MiscData!$F$1,EOMONTH(Y738,-11),EOMONTH(Y738,1)),Y738)</f>
        <v>42338</v>
      </c>
      <c r="Z739" s="108" t="str">
        <f t="shared" si="294"/>
        <v>20140101LGUM_208</v>
      </c>
      <c r="AA739" s="126" t="str">
        <f t="shared" si="295"/>
        <v>20140101RLS</v>
      </c>
      <c r="AB739" s="583" t="str">
        <f t="shared" si="314"/>
        <v>208</v>
      </c>
      <c r="AD739" s="98">
        <f>MiscData!$X$5</f>
        <v>20140101</v>
      </c>
      <c r="AE739" s="98">
        <f>IF(AE738+1&gt;MiscData!$AC$77,1,AE738+1)</f>
        <v>6</v>
      </c>
      <c r="AF739" s="98" t="str">
        <f>VLOOKUP(AE739,MiscData!$AC$5:$AD$77,2,FALSE)</f>
        <v>LGUM_208</v>
      </c>
      <c r="AG739" s="98" t="str">
        <f>VLOOKUP(AF739,MiscData!$AD$5:$AE$77,2,FALSE)</f>
        <v>RLS</v>
      </c>
      <c r="AP739" s="98" t="s">
        <v>309</v>
      </c>
      <c r="AR739" s="98">
        <v>8546.02</v>
      </c>
    </row>
    <row r="740" spans="1:44">
      <c r="A740" s="108">
        <f t="shared" si="315"/>
        <v>737</v>
      </c>
      <c r="B740" s="109" t="str">
        <f t="shared" si="291"/>
        <v>Nov 2015</v>
      </c>
      <c r="C740" s="110" t="str">
        <f t="shared" si="292"/>
        <v>RLS</v>
      </c>
      <c r="D740" s="110" t="str">
        <f t="shared" si="293"/>
        <v>LGUM_209</v>
      </c>
      <c r="E740" s="581">
        <f t="shared" si="296"/>
        <v>45</v>
      </c>
      <c r="F740" s="581">
        <f t="shared" si="297"/>
        <v>0</v>
      </c>
      <c r="G740" s="116">
        <f t="shared" si="298"/>
        <v>27.69</v>
      </c>
      <c r="H740" s="116">
        <f t="shared" si="299"/>
        <v>10.170000000000002</v>
      </c>
      <c r="I740" s="118">
        <f t="shared" si="310"/>
        <v>1246.05</v>
      </c>
      <c r="J740" s="118">
        <f t="shared" si="300"/>
        <v>1246.05</v>
      </c>
      <c r="K740" s="570">
        <f t="shared" si="311"/>
        <v>0</v>
      </c>
      <c r="L740" s="121">
        <f t="shared" si="316"/>
        <v>0</v>
      </c>
      <c r="M740" s="122">
        <f t="shared" si="302"/>
        <v>0</v>
      </c>
      <c r="N740" s="122">
        <f t="shared" si="303"/>
        <v>0</v>
      </c>
      <c r="O740" s="122">
        <f t="shared" si="304"/>
        <v>0</v>
      </c>
      <c r="P740" s="122">
        <f t="shared" si="305"/>
        <v>0</v>
      </c>
      <c r="Q740" s="123">
        <f t="shared" si="306"/>
        <v>1246.05</v>
      </c>
      <c r="R740" s="123">
        <f t="shared" si="312"/>
        <v>-1246.05</v>
      </c>
      <c r="S740" s="582">
        <v>0</v>
      </c>
      <c r="T740" s="123">
        <f t="shared" si="313"/>
        <v>-1246.05</v>
      </c>
      <c r="U740" s="25">
        <f t="shared" si="307"/>
        <v>457.65</v>
      </c>
      <c r="V740" s="123">
        <f t="shared" si="308"/>
        <v>-457.65</v>
      </c>
      <c r="W740" s="334">
        <f t="shared" si="309"/>
        <v>18.45</v>
      </c>
      <c r="Y740" s="109">
        <f>IF(AE740=1,IF(Y739=MiscData!$F$1,EOMONTH(Y739,-11),EOMONTH(Y739,1)),Y739)</f>
        <v>42338</v>
      </c>
      <c r="Z740" s="108" t="str">
        <f t="shared" si="294"/>
        <v>20140101LGUM_209</v>
      </c>
      <c r="AA740" s="126" t="str">
        <f t="shared" si="295"/>
        <v>20140101RLS</v>
      </c>
      <c r="AB740" s="583" t="str">
        <f t="shared" si="314"/>
        <v>209</v>
      </c>
      <c r="AD740" s="98">
        <f>MiscData!$X$5</f>
        <v>20140101</v>
      </c>
      <c r="AE740" s="98">
        <f>IF(AE739+1&gt;MiscData!$AC$77,1,AE739+1)</f>
        <v>7</v>
      </c>
      <c r="AF740" s="98" t="str">
        <f>VLOOKUP(AE740,MiscData!$AC$5:$AD$77,2,FALSE)</f>
        <v>LGUM_209</v>
      </c>
      <c r="AG740" s="98" t="str">
        <f>VLOOKUP(AF740,MiscData!$AD$5:$AE$77,2,FALSE)</f>
        <v>RLS</v>
      </c>
      <c r="AP740" s="98" t="s">
        <v>310</v>
      </c>
      <c r="AR740" s="98">
        <v>0</v>
      </c>
    </row>
    <row r="741" spans="1:44">
      <c r="A741" s="108">
        <f t="shared" si="315"/>
        <v>738</v>
      </c>
      <c r="B741" s="109" t="str">
        <f t="shared" si="291"/>
        <v>Nov 2015</v>
      </c>
      <c r="C741" s="110" t="str">
        <f t="shared" si="292"/>
        <v>RLS</v>
      </c>
      <c r="D741" s="110" t="str">
        <f t="shared" si="293"/>
        <v>LGUM_210</v>
      </c>
      <c r="E741" s="581">
        <f t="shared" si="296"/>
        <v>355</v>
      </c>
      <c r="F741" s="581">
        <f t="shared" si="297"/>
        <v>0</v>
      </c>
      <c r="G741" s="116">
        <f t="shared" si="298"/>
        <v>28.89</v>
      </c>
      <c r="H741" s="116">
        <f t="shared" si="299"/>
        <v>10.170000000000002</v>
      </c>
      <c r="I741" s="118">
        <f t="shared" si="310"/>
        <v>10255.950000000001</v>
      </c>
      <c r="J741" s="118">
        <f t="shared" si="300"/>
        <v>10255.950000000001</v>
      </c>
      <c r="K741" s="570">
        <f t="shared" si="311"/>
        <v>0</v>
      </c>
      <c r="L741" s="121">
        <f t="shared" si="316"/>
        <v>0</v>
      </c>
      <c r="M741" s="122">
        <f t="shared" si="302"/>
        <v>0</v>
      </c>
      <c r="N741" s="122">
        <f t="shared" si="303"/>
        <v>0</v>
      </c>
      <c r="O741" s="122">
        <f t="shared" si="304"/>
        <v>0</v>
      </c>
      <c r="P741" s="122">
        <f t="shared" si="305"/>
        <v>0</v>
      </c>
      <c r="Q741" s="123">
        <f t="shared" si="306"/>
        <v>10255.950000000001</v>
      </c>
      <c r="R741" s="123">
        <f t="shared" si="312"/>
        <v>-10255.950000000001</v>
      </c>
      <c r="S741" s="582">
        <v>0</v>
      </c>
      <c r="T741" s="123">
        <f t="shared" si="313"/>
        <v>-10255.950000000001</v>
      </c>
      <c r="U741" s="25">
        <f t="shared" si="307"/>
        <v>3610.35</v>
      </c>
      <c r="V741" s="123">
        <f t="shared" si="308"/>
        <v>-3610.35</v>
      </c>
      <c r="W741" s="334">
        <f t="shared" si="309"/>
        <v>145.54999999999998</v>
      </c>
      <c r="Y741" s="109">
        <f>IF(AE741=1,IF(Y740=MiscData!$F$1,EOMONTH(Y740,-11),EOMONTH(Y740,1)),Y740)</f>
        <v>42338</v>
      </c>
      <c r="Z741" s="108" t="str">
        <f t="shared" si="294"/>
        <v>20140101LGUM_210</v>
      </c>
      <c r="AA741" s="126" t="str">
        <f t="shared" si="295"/>
        <v>20140101RLS</v>
      </c>
      <c r="AB741" s="583" t="str">
        <f t="shared" si="314"/>
        <v>210</v>
      </c>
      <c r="AD741" s="98">
        <f>MiscData!$X$5</f>
        <v>20140101</v>
      </c>
      <c r="AE741" s="98">
        <f>IF(AE740+1&gt;MiscData!$AC$77,1,AE740+1)</f>
        <v>8</v>
      </c>
      <c r="AF741" s="98" t="str">
        <f>VLOOKUP(AE741,MiscData!$AC$5:$AD$77,2,FALSE)</f>
        <v>LGUM_210</v>
      </c>
      <c r="AG741" s="98" t="str">
        <f>VLOOKUP(AF741,MiscData!$AD$5:$AE$77,2,FALSE)</f>
        <v>RLS</v>
      </c>
      <c r="AP741" s="98" t="s">
        <v>311</v>
      </c>
      <c r="AR741" s="98">
        <v>7361.13</v>
      </c>
    </row>
    <row r="742" spans="1:44">
      <c r="A742" s="108">
        <f t="shared" si="315"/>
        <v>739</v>
      </c>
      <c r="B742" s="109" t="str">
        <f t="shared" si="291"/>
        <v>Nov 2015</v>
      </c>
      <c r="C742" s="110" t="str">
        <f t="shared" si="292"/>
        <v>RLS</v>
      </c>
      <c r="D742" s="110" t="str">
        <f t="shared" si="293"/>
        <v>LGUM_252</v>
      </c>
      <c r="E742" s="581">
        <f t="shared" si="296"/>
        <v>3988</v>
      </c>
      <c r="F742" s="581">
        <f t="shared" si="297"/>
        <v>0</v>
      </c>
      <c r="G742" s="116">
        <f t="shared" si="298"/>
        <v>9.57</v>
      </c>
      <c r="H742" s="116">
        <f t="shared" si="299"/>
        <v>1.9099999999999993</v>
      </c>
      <c r="I742" s="118">
        <f t="shared" si="310"/>
        <v>38165.160000000003</v>
      </c>
      <c r="J742" s="118">
        <f t="shared" si="300"/>
        <v>38165.160000000003</v>
      </c>
      <c r="K742" s="570">
        <f t="shared" si="311"/>
        <v>0</v>
      </c>
      <c r="L742" s="121">
        <f t="shared" si="316"/>
        <v>0</v>
      </c>
      <c r="M742" s="122">
        <f t="shared" si="302"/>
        <v>0</v>
      </c>
      <c r="N742" s="122">
        <f t="shared" si="303"/>
        <v>0</v>
      </c>
      <c r="O742" s="122">
        <f t="shared" si="304"/>
        <v>0</v>
      </c>
      <c r="P742" s="122">
        <f t="shared" si="305"/>
        <v>0</v>
      </c>
      <c r="Q742" s="123">
        <f t="shared" si="306"/>
        <v>38165.160000000003</v>
      </c>
      <c r="R742" s="123">
        <f t="shared" si="312"/>
        <v>-38165.160000000003</v>
      </c>
      <c r="S742" s="582">
        <v>0</v>
      </c>
      <c r="T742" s="123">
        <f t="shared" si="313"/>
        <v>-38165.160000000003</v>
      </c>
      <c r="U742" s="25">
        <f t="shared" si="307"/>
        <v>7617.08</v>
      </c>
      <c r="V742" s="123">
        <f t="shared" si="308"/>
        <v>-7617.08</v>
      </c>
      <c r="W742" s="334">
        <f t="shared" si="309"/>
        <v>638.08000000000004</v>
      </c>
      <c r="Y742" s="109">
        <f>IF(AE742=1,IF(Y741=MiscData!$F$1,EOMONTH(Y741,-11),EOMONTH(Y741,1)),Y741)</f>
        <v>42338</v>
      </c>
      <c r="Z742" s="108" t="str">
        <f t="shared" si="294"/>
        <v>20140101LGUM_252</v>
      </c>
      <c r="AA742" s="126" t="str">
        <f t="shared" si="295"/>
        <v>20140101RLS</v>
      </c>
      <c r="AB742" s="583" t="str">
        <f t="shared" si="314"/>
        <v>252</v>
      </c>
      <c r="AD742" s="98">
        <f>MiscData!$X$5</f>
        <v>20140101</v>
      </c>
      <c r="AE742" s="98">
        <f>IF(AE741+1&gt;MiscData!$AC$77,1,AE741+1)</f>
        <v>9</v>
      </c>
      <c r="AF742" s="98" t="str">
        <f>VLOOKUP(AE742,MiscData!$AC$5:$AD$77,2,FALSE)</f>
        <v>LGUM_252</v>
      </c>
      <c r="AG742" s="98" t="str">
        <f>VLOOKUP(AF742,MiscData!$AD$5:$AE$77,2,FALSE)</f>
        <v>RLS</v>
      </c>
      <c r="AP742" s="98" t="s">
        <v>339</v>
      </c>
      <c r="AR742" s="98">
        <v>0</v>
      </c>
    </row>
    <row r="743" spans="1:44">
      <c r="A743" s="108">
        <f t="shared" si="315"/>
        <v>740</v>
      </c>
      <c r="B743" s="109" t="str">
        <f t="shared" si="291"/>
        <v>Nov 2015</v>
      </c>
      <c r="C743" s="110" t="str">
        <f t="shared" si="292"/>
        <v>RLS</v>
      </c>
      <c r="D743" s="110" t="str">
        <f t="shared" si="293"/>
        <v>LGUM_266</v>
      </c>
      <c r="E743" s="581">
        <f t="shared" si="296"/>
        <v>2010</v>
      </c>
      <c r="F743" s="581">
        <f t="shared" si="297"/>
        <v>0</v>
      </c>
      <c r="G743" s="116">
        <f t="shared" si="298"/>
        <v>27.34</v>
      </c>
      <c r="H743" s="116">
        <f t="shared" si="299"/>
        <v>2.8000000000000007</v>
      </c>
      <c r="I743" s="118">
        <f t="shared" si="310"/>
        <v>54953.4</v>
      </c>
      <c r="J743" s="118">
        <f t="shared" si="300"/>
        <v>54953.4</v>
      </c>
      <c r="K743" s="570">
        <f t="shared" si="311"/>
        <v>0</v>
      </c>
      <c r="L743" s="121">
        <f t="shared" si="316"/>
        <v>0</v>
      </c>
      <c r="M743" s="122">
        <f t="shared" si="302"/>
        <v>0</v>
      </c>
      <c r="N743" s="122">
        <f t="shared" si="303"/>
        <v>0</v>
      </c>
      <c r="O743" s="122">
        <f t="shared" si="304"/>
        <v>0</v>
      </c>
      <c r="P743" s="122">
        <f t="shared" si="305"/>
        <v>0</v>
      </c>
      <c r="Q743" s="123">
        <f t="shared" si="306"/>
        <v>54953.4</v>
      </c>
      <c r="R743" s="123">
        <f t="shared" si="312"/>
        <v>-54953.4</v>
      </c>
      <c r="S743" s="582">
        <v>0</v>
      </c>
      <c r="T743" s="123">
        <f t="shared" si="313"/>
        <v>-54953.4</v>
      </c>
      <c r="U743" s="25">
        <f t="shared" si="307"/>
        <v>5628</v>
      </c>
      <c r="V743" s="123">
        <f t="shared" si="308"/>
        <v>-5628</v>
      </c>
      <c r="W743" s="334">
        <f t="shared" si="309"/>
        <v>542.70000000000005</v>
      </c>
      <c r="Y743" s="109">
        <f>IF(AE743=1,IF(Y742=MiscData!$F$1,EOMONTH(Y742,-11),EOMONTH(Y742,1)),Y742)</f>
        <v>42338</v>
      </c>
      <c r="Z743" s="108" t="str">
        <f t="shared" si="294"/>
        <v>20140101LGUM_266</v>
      </c>
      <c r="AA743" s="126" t="str">
        <f t="shared" si="295"/>
        <v>20140101RLS</v>
      </c>
      <c r="AB743" s="583" t="str">
        <f t="shared" si="314"/>
        <v>266</v>
      </c>
      <c r="AD743" s="98">
        <f>MiscData!$X$5</f>
        <v>20140101</v>
      </c>
      <c r="AE743" s="98">
        <f>IF(AE742+1&gt;MiscData!$AC$77,1,AE742+1)</f>
        <v>10</v>
      </c>
      <c r="AF743" s="98" t="str">
        <f>VLOOKUP(AE743,MiscData!$AC$5:$AD$77,2,FALSE)</f>
        <v>LGUM_266</v>
      </c>
      <c r="AG743" s="98" t="str">
        <f>VLOOKUP(AF743,MiscData!$AD$5:$AE$77,2,FALSE)</f>
        <v>RLS</v>
      </c>
      <c r="AP743" s="98" t="s">
        <v>312</v>
      </c>
      <c r="AR743" s="98">
        <v>5011.67</v>
      </c>
    </row>
    <row r="744" spans="1:44">
      <c r="A744" s="108">
        <f t="shared" si="315"/>
        <v>741</v>
      </c>
      <c r="B744" s="109" t="str">
        <f t="shared" si="291"/>
        <v>Nov 2015</v>
      </c>
      <c r="C744" s="110" t="str">
        <f t="shared" si="292"/>
        <v>RLS</v>
      </c>
      <c r="D744" s="110" t="str">
        <f t="shared" si="293"/>
        <v>LGUM_267</v>
      </c>
      <c r="E744" s="581">
        <f t="shared" si="296"/>
        <v>2200</v>
      </c>
      <c r="F744" s="581">
        <f t="shared" si="297"/>
        <v>0</v>
      </c>
      <c r="G744" s="116">
        <f t="shared" si="298"/>
        <v>31.4</v>
      </c>
      <c r="H744" s="116">
        <f t="shared" si="299"/>
        <v>4.4499999999999993</v>
      </c>
      <c r="I744" s="118">
        <f t="shared" si="310"/>
        <v>69080</v>
      </c>
      <c r="J744" s="118">
        <f t="shared" si="300"/>
        <v>69080</v>
      </c>
      <c r="K744" s="570">
        <f t="shared" si="311"/>
        <v>0</v>
      </c>
      <c r="L744" s="121">
        <f t="shared" si="316"/>
        <v>0</v>
      </c>
      <c r="M744" s="122">
        <f t="shared" si="302"/>
        <v>0</v>
      </c>
      <c r="N744" s="122">
        <f t="shared" si="303"/>
        <v>0</v>
      </c>
      <c r="O744" s="122">
        <f t="shared" si="304"/>
        <v>0</v>
      </c>
      <c r="P744" s="122">
        <f t="shared" si="305"/>
        <v>0</v>
      </c>
      <c r="Q744" s="123">
        <f t="shared" si="306"/>
        <v>69080</v>
      </c>
      <c r="R744" s="123">
        <f t="shared" si="312"/>
        <v>-69080</v>
      </c>
      <c r="S744" s="582">
        <v>0</v>
      </c>
      <c r="T744" s="123">
        <f t="shared" si="313"/>
        <v>-69080</v>
      </c>
      <c r="U744" s="25">
        <f t="shared" si="307"/>
        <v>9790</v>
      </c>
      <c r="V744" s="123">
        <f t="shared" si="308"/>
        <v>-9790</v>
      </c>
      <c r="W744" s="334">
        <f t="shared" si="309"/>
        <v>638</v>
      </c>
      <c r="Y744" s="109">
        <f>IF(AE744=1,IF(Y743=MiscData!$F$1,EOMONTH(Y743,-11),EOMONTH(Y743,1)),Y743)</f>
        <v>42338</v>
      </c>
      <c r="Z744" s="108" t="str">
        <f t="shared" si="294"/>
        <v>20140101LGUM_267</v>
      </c>
      <c r="AA744" s="126" t="str">
        <f t="shared" si="295"/>
        <v>20140101RLS</v>
      </c>
      <c r="AB744" s="583" t="str">
        <f t="shared" si="314"/>
        <v>267</v>
      </c>
      <c r="AD744" s="98">
        <f>MiscData!$X$5</f>
        <v>20140101</v>
      </c>
      <c r="AE744" s="98">
        <f>IF(AE743+1&gt;MiscData!$AC$77,1,AE743+1)</f>
        <v>11</v>
      </c>
      <c r="AF744" s="98" t="str">
        <f>VLOOKUP(AE744,MiscData!$AC$5:$AD$77,2,FALSE)</f>
        <v>LGUM_267</v>
      </c>
      <c r="AG744" s="98" t="str">
        <f>VLOOKUP(AF744,MiscData!$AD$5:$AE$77,2,FALSE)</f>
        <v>RLS</v>
      </c>
      <c r="AP744" s="98" t="s">
        <v>313</v>
      </c>
      <c r="AR744" s="98">
        <v>0</v>
      </c>
    </row>
    <row r="745" spans="1:44">
      <c r="A745" s="108">
        <f t="shared" si="315"/>
        <v>742</v>
      </c>
      <c r="B745" s="109" t="str">
        <f t="shared" si="291"/>
        <v>Nov 2015</v>
      </c>
      <c r="C745" s="110" t="str">
        <f t="shared" si="292"/>
        <v>RLS</v>
      </c>
      <c r="D745" s="110" t="str">
        <f t="shared" si="293"/>
        <v>LGUM_274</v>
      </c>
      <c r="E745" s="581">
        <f t="shared" si="296"/>
        <v>16575</v>
      </c>
      <c r="F745" s="581">
        <f t="shared" si="297"/>
        <v>0</v>
      </c>
      <c r="G745" s="116">
        <f t="shared" si="298"/>
        <v>17.189999999999998</v>
      </c>
      <c r="H745" s="116">
        <f t="shared" si="299"/>
        <v>1.2699999999999996</v>
      </c>
      <c r="I745" s="118">
        <f t="shared" si="310"/>
        <v>284924.25</v>
      </c>
      <c r="J745" s="118">
        <f t="shared" si="300"/>
        <v>284924.25</v>
      </c>
      <c r="K745" s="570">
        <f t="shared" si="311"/>
        <v>0</v>
      </c>
      <c r="L745" s="121">
        <f t="shared" si="316"/>
        <v>0</v>
      </c>
      <c r="M745" s="122">
        <f t="shared" si="302"/>
        <v>0</v>
      </c>
      <c r="N745" s="122">
        <f t="shared" si="303"/>
        <v>0</v>
      </c>
      <c r="O745" s="122">
        <f t="shared" si="304"/>
        <v>0</v>
      </c>
      <c r="P745" s="122">
        <f t="shared" si="305"/>
        <v>0</v>
      </c>
      <c r="Q745" s="123">
        <f t="shared" si="306"/>
        <v>284924.25</v>
      </c>
      <c r="R745" s="123">
        <f t="shared" si="312"/>
        <v>-284924.25</v>
      </c>
      <c r="S745" s="582">
        <v>0</v>
      </c>
      <c r="T745" s="123">
        <f t="shared" si="313"/>
        <v>-284924.25</v>
      </c>
      <c r="U745" s="25">
        <f t="shared" si="307"/>
        <v>21050.25</v>
      </c>
      <c r="V745" s="123">
        <f t="shared" si="308"/>
        <v>-21050.25</v>
      </c>
      <c r="W745" s="334">
        <f t="shared" si="309"/>
        <v>4475.25</v>
      </c>
      <c r="Y745" s="109">
        <f>IF(AE745=1,IF(Y744=MiscData!$F$1,EOMONTH(Y744,-11),EOMONTH(Y744,1)),Y744)</f>
        <v>42338</v>
      </c>
      <c r="Z745" s="108" t="str">
        <f t="shared" si="294"/>
        <v>20140101LGUM_274</v>
      </c>
      <c r="AA745" s="126" t="str">
        <f t="shared" si="295"/>
        <v>20140101RLS</v>
      </c>
      <c r="AB745" s="583" t="str">
        <f t="shared" si="314"/>
        <v>274</v>
      </c>
      <c r="AD745" s="98">
        <f>MiscData!$X$5</f>
        <v>20140101</v>
      </c>
      <c r="AE745" s="98">
        <f>IF(AE744+1&gt;MiscData!$AC$77,1,AE744+1)</f>
        <v>12</v>
      </c>
      <c r="AF745" s="98" t="str">
        <f>VLOOKUP(AE745,MiscData!$AC$5:$AD$77,2,FALSE)</f>
        <v>LGUM_274</v>
      </c>
      <c r="AG745" s="98" t="str">
        <f>VLOOKUP(AF745,MiscData!$AD$5:$AE$77,2,FALSE)</f>
        <v>RLS</v>
      </c>
      <c r="AP745" s="98" t="s">
        <v>314</v>
      </c>
      <c r="AR745" s="98">
        <v>0</v>
      </c>
    </row>
    <row r="746" spans="1:44">
      <c r="A746" s="108">
        <f t="shared" si="315"/>
        <v>743</v>
      </c>
      <c r="B746" s="109" t="str">
        <f t="shared" ref="B746:B777" si="317">TEXT(Y746,"mmm yyyy")</f>
        <v>Nov 2015</v>
      </c>
      <c r="C746" s="110" t="str">
        <f t="shared" ref="C746:C777" si="318">AG746</f>
        <v>RLS</v>
      </c>
      <c r="D746" s="110" t="str">
        <f t="shared" ref="D746:D777" si="319">AF746</f>
        <v>LGUM_275</v>
      </c>
      <c r="E746" s="581">
        <f t="shared" si="296"/>
        <v>515</v>
      </c>
      <c r="F746" s="581">
        <f t="shared" si="297"/>
        <v>0</v>
      </c>
      <c r="G746" s="116">
        <f t="shared" si="298"/>
        <v>24.89</v>
      </c>
      <c r="H746" s="116">
        <f t="shared" si="299"/>
        <v>1.7899999999999991</v>
      </c>
      <c r="I746" s="118">
        <f t="shared" si="310"/>
        <v>12818.35</v>
      </c>
      <c r="J746" s="118">
        <f t="shared" si="300"/>
        <v>12818.35</v>
      </c>
      <c r="K746" s="570">
        <f t="shared" si="311"/>
        <v>0</v>
      </c>
      <c r="L746" s="121">
        <f t="shared" si="316"/>
        <v>0</v>
      </c>
      <c r="M746" s="122">
        <f t="shared" si="302"/>
        <v>0</v>
      </c>
      <c r="N746" s="122">
        <f t="shared" si="303"/>
        <v>0</v>
      </c>
      <c r="O746" s="122">
        <f t="shared" si="304"/>
        <v>0</v>
      </c>
      <c r="P746" s="122">
        <f t="shared" si="305"/>
        <v>0</v>
      </c>
      <c r="Q746" s="123">
        <f t="shared" si="306"/>
        <v>12818.35</v>
      </c>
      <c r="R746" s="123">
        <f t="shared" si="312"/>
        <v>-12818.35</v>
      </c>
      <c r="S746" s="582">
        <v>0</v>
      </c>
      <c r="T746" s="123">
        <f t="shared" si="313"/>
        <v>-12818.35</v>
      </c>
      <c r="U746" s="25">
        <f t="shared" si="307"/>
        <v>921.85</v>
      </c>
      <c r="V746" s="123">
        <f t="shared" si="308"/>
        <v>-921.85</v>
      </c>
      <c r="W746" s="334">
        <f t="shared" si="309"/>
        <v>123.6</v>
      </c>
      <c r="Y746" s="109">
        <f>IF(AE746=1,IF(Y745=MiscData!$F$1,EOMONTH(Y745,-11),EOMONTH(Y745,1)),Y745)</f>
        <v>42338</v>
      </c>
      <c r="Z746" s="108" t="str">
        <f t="shared" ref="Z746:Z777" si="320">CONCATENATE(AD746&amp;AF746)</f>
        <v>20140101LGUM_275</v>
      </c>
      <c r="AA746" s="126" t="str">
        <f t="shared" ref="AA746:AA777" si="321">CONCATENATE(AD746&amp;AG746)</f>
        <v>20140101RLS</v>
      </c>
      <c r="AB746" s="583" t="str">
        <f t="shared" si="314"/>
        <v>275</v>
      </c>
      <c r="AD746" s="98">
        <f>MiscData!$X$5</f>
        <v>20140101</v>
      </c>
      <c r="AE746" s="98">
        <f>IF(AE745+1&gt;MiscData!$AC$77,1,AE745+1)</f>
        <v>13</v>
      </c>
      <c r="AF746" s="98" t="str">
        <f>VLOOKUP(AE746,MiscData!$AC$5:$AD$77,2,FALSE)</f>
        <v>LGUM_275</v>
      </c>
      <c r="AG746" s="98" t="str">
        <f>VLOOKUP(AF746,MiscData!$AD$5:$AE$77,2,FALSE)</f>
        <v>RLS</v>
      </c>
      <c r="AP746" s="98" t="s">
        <v>592</v>
      </c>
      <c r="AR746" s="98">
        <v>0</v>
      </c>
    </row>
    <row r="747" spans="1:44">
      <c r="A747" s="108">
        <f t="shared" si="315"/>
        <v>744</v>
      </c>
      <c r="B747" s="109" t="str">
        <f t="shared" si="317"/>
        <v>Nov 2015</v>
      </c>
      <c r="C747" s="110" t="str">
        <f t="shared" si="318"/>
        <v>RLS</v>
      </c>
      <c r="D747" s="110" t="str">
        <f t="shared" si="319"/>
        <v>LGUM_276</v>
      </c>
      <c r="E747" s="581">
        <f t="shared" si="296"/>
        <v>1301</v>
      </c>
      <c r="F747" s="581">
        <f t="shared" si="297"/>
        <v>0</v>
      </c>
      <c r="G747" s="116">
        <f t="shared" si="298"/>
        <v>14.17</v>
      </c>
      <c r="H747" s="116">
        <f t="shared" si="299"/>
        <v>0.88000000000000078</v>
      </c>
      <c r="I747" s="118">
        <f t="shared" si="310"/>
        <v>18435.169999999998</v>
      </c>
      <c r="J747" s="118">
        <f t="shared" si="300"/>
        <v>18435.169999999998</v>
      </c>
      <c r="K747" s="570">
        <f t="shared" si="311"/>
        <v>0</v>
      </c>
      <c r="L747" s="121">
        <f t="shared" si="316"/>
        <v>0</v>
      </c>
      <c r="M747" s="122">
        <f t="shared" si="302"/>
        <v>0</v>
      </c>
      <c r="N747" s="122">
        <f t="shared" si="303"/>
        <v>0</v>
      </c>
      <c r="O747" s="122">
        <f t="shared" si="304"/>
        <v>0</v>
      </c>
      <c r="P747" s="122">
        <f t="shared" si="305"/>
        <v>0</v>
      </c>
      <c r="Q747" s="123">
        <f t="shared" si="306"/>
        <v>18435.169999999998</v>
      </c>
      <c r="R747" s="123">
        <f t="shared" si="312"/>
        <v>-18435.169999999998</v>
      </c>
      <c r="S747" s="582">
        <v>0</v>
      </c>
      <c r="T747" s="123">
        <f t="shared" si="313"/>
        <v>-18435.169999999998</v>
      </c>
      <c r="U747" s="25">
        <f t="shared" si="307"/>
        <v>1144.8800000000001</v>
      </c>
      <c r="V747" s="123">
        <f t="shared" si="308"/>
        <v>-1144.8800000000001</v>
      </c>
      <c r="W747" s="334">
        <f t="shared" si="309"/>
        <v>338.26</v>
      </c>
      <c r="Y747" s="109">
        <f>IF(AE747=1,IF(Y746=MiscData!$F$1,EOMONTH(Y746,-11),EOMONTH(Y746,1)),Y746)</f>
        <v>42338</v>
      </c>
      <c r="Z747" s="108" t="str">
        <f t="shared" si="320"/>
        <v>20140101LGUM_276</v>
      </c>
      <c r="AA747" s="126" t="str">
        <f t="shared" si="321"/>
        <v>20140101RLS</v>
      </c>
      <c r="AB747" s="583" t="str">
        <f t="shared" si="314"/>
        <v>276</v>
      </c>
      <c r="AD747" s="98">
        <f>MiscData!$X$5</f>
        <v>20140101</v>
      </c>
      <c r="AE747" s="98">
        <f>IF(AE746+1&gt;MiscData!$AC$77,1,AE746+1)</f>
        <v>14</v>
      </c>
      <c r="AF747" s="98" t="str">
        <f>VLOOKUP(AE747,MiscData!$AC$5:$AD$77,2,FALSE)</f>
        <v>LGUM_276</v>
      </c>
      <c r="AG747" s="98" t="str">
        <f>VLOOKUP(AF747,MiscData!$AD$5:$AE$77,2,FALSE)</f>
        <v>RLS</v>
      </c>
      <c r="AP747" s="98" t="s">
        <v>315</v>
      </c>
      <c r="AR747" s="98">
        <v>0</v>
      </c>
    </row>
    <row r="748" spans="1:44">
      <c r="A748" s="108">
        <f t="shared" si="315"/>
        <v>745</v>
      </c>
      <c r="B748" s="109" t="str">
        <f t="shared" si="317"/>
        <v>Nov 2015</v>
      </c>
      <c r="C748" s="110" t="str">
        <f t="shared" si="318"/>
        <v>RLS</v>
      </c>
      <c r="D748" s="110" t="str">
        <f t="shared" si="319"/>
        <v>LGUM_277</v>
      </c>
      <c r="E748" s="581">
        <f t="shared" si="296"/>
        <v>2243</v>
      </c>
      <c r="F748" s="581">
        <f t="shared" si="297"/>
        <v>0</v>
      </c>
      <c r="G748" s="116">
        <f t="shared" si="298"/>
        <v>22.15</v>
      </c>
      <c r="H748" s="116">
        <f t="shared" si="299"/>
        <v>1.7900000000000027</v>
      </c>
      <c r="I748" s="118">
        <f t="shared" si="310"/>
        <v>49682.45</v>
      </c>
      <c r="J748" s="118">
        <f t="shared" si="300"/>
        <v>49682.45</v>
      </c>
      <c r="K748" s="570">
        <f t="shared" si="311"/>
        <v>0</v>
      </c>
      <c r="L748" s="121">
        <f t="shared" si="316"/>
        <v>0</v>
      </c>
      <c r="M748" s="122">
        <f t="shared" si="302"/>
        <v>0</v>
      </c>
      <c r="N748" s="122">
        <f t="shared" si="303"/>
        <v>0</v>
      </c>
      <c r="O748" s="122">
        <f t="shared" si="304"/>
        <v>0</v>
      </c>
      <c r="P748" s="122">
        <f t="shared" si="305"/>
        <v>0</v>
      </c>
      <c r="Q748" s="123">
        <f t="shared" si="306"/>
        <v>49682.45</v>
      </c>
      <c r="R748" s="123">
        <f t="shared" si="312"/>
        <v>-49682.45</v>
      </c>
      <c r="S748" s="582">
        <v>0</v>
      </c>
      <c r="T748" s="123">
        <f t="shared" si="313"/>
        <v>-49682.45</v>
      </c>
      <c r="U748" s="25">
        <f t="shared" si="307"/>
        <v>4014.97</v>
      </c>
      <c r="V748" s="123">
        <f t="shared" si="308"/>
        <v>-4014.97</v>
      </c>
      <c r="W748" s="334">
        <f t="shared" si="309"/>
        <v>538.31999999999994</v>
      </c>
      <c r="Y748" s="109">
        <f>IF(AE748=1,IF(Y747=MiscData!$F$1,EOMONTH(Y747,-11),EOMONTH(Y747,1)),Y747)</f>
        <v>42338</v>
      </c>
      <c r="Z748" s="108" t="str">
        <f t="shared" si="320"/>
        <v>20140101LGUM_277</v>
      </c>
      <c r="AA748" s="126" t="str">
        <f t="shared" si="321"/>
        <v>20140101RLS</v>
      </c>
      <c r="AB748" s="583" t="str">
        <f t="shared" si="314"/>
        <v>277</v>
      </c>
      <c r="AD748" s="98">
        <f>MiscData!$X$5</f>
        <v>20140101</v>
      </c>
      <c r="AE748" s="98">
        <f>IF(AE747+1&gt;MiscData!$AC$77,1,AE747+1)</f>
        <v>15</v>
      </c>
      <c r="AF748" s="98" t="str">
        <f>VLOOKUP(AE748,MiscData!$AC$5:$AD$77,2,FALSE)</f>
        <v>LGUM_277</v>
      </c>
      <c r="AG748" s="98" t="str">
        <f>VLOOKUP(AF748,MiscData!$AD$5:$AE$77,2,FALSE)</f>
        <v>RLS</v>
      </c>
      <c r="AP748" s="98" t="s">
        <v>316</v>
      </c>
      <c r="AR748" s="98">
        <v>0</v>
      </c>
    </row>
    <row r="749" spans="1:44">
      <c r="A749" s="108">
        <f t="shared" si="315"/>
        <v>746</v>
      </c>
      <c r="B749" s="109" t="str">
        <f t="shared" si="317"/>
        <v>Nov 2015</v>
      </c>
      <c r="C749" s="110" t="str">
        <f t="shared" si="318"/>
        <v>RLS</v>
      </c>
      <c r="D749" s="110" t="str">
        <f t="shared" si="319"/>
        <v>LGUM_278</v>
      </c>
      <c r="E749" s="581">
        <f t="shared" si="296"/>
        <v>16</v>
      </c>
      <c r="F749" s="581">
        <f t="shared" si="297"/>
        <v>0</v>
      </c>
      <c r="G749" s="116">
        <f t="shared" si="298"/>
        <v>72.550000000000011</v>
      </c>
      <c r="H749" s="116">
        <f t="shared" si="299"/>
        <v>9.8400000000000034</v>
      </c>
      <c r="I749" s="118">
        <f t="shared" si="310"/>
        <v>1160.8</v>
      </c>
      <c r="J749" s="118">
        <f t="shared" si="300"/>
        <v>1160.8</v>
      </c>
      <c r="K749" s="570">
        <f t="shared" si="311"/>
        <v>0</v>
      </c>
      <c r="L749" s="121">
        <f t="shared" si="316"/>
        <v>0</v>
      </c>
      <c r="M749" s="122">
        <f t="shared" si="302"/>
        <v>0</v>
      </c>
      <c r="N749" s="122">
        <f t="shared" si="303"/>
        <v>0</v>
      </c>
      <c r="O749" s="122">
        <f t="shared" si="304"/>
        <v>0</v>
      </c>
      <c r="P749" s="122">
        <f t="shared" si="305"/>
        <v>0</v>
      </c>
      <c r="Q749" s="123">
        <f t="shared" si="306"/>
        <v>1160.8</v>
      </c>
      <c r="R749" s="123">
        <f t="shared" si="312"/>
        <v>-1160.8</v>
      </c>
      <c r="S749" s="582">
        <v>0</v>
      </c>
      <c r="T749" s="123">
        <f t="shared" si="313"/>
        <v>-1160.8</v>
      </c>
      <c r="U749" s="25">
        <f t="shared" si="307"/>
        <v>157.44</v>
      </c>
      <c r="V749" s="123">
        <f t="shared" si="308"/>
        <v>-157.44</v>
      </c>
      <c r="W749" s="334">
        <f t="shared" si="309"/>
        <v>14.4</v>
      </c>
      <c r="Y749" s="109">
        <f>IF(AE749=1,IF(Y748=MiscData!$F$1,EOMONTH(Y748,-11),EOMONTH(Y748,1)),Y748)</f>
        <v>42338</v>
      </c>
      <c r="Z749" s="108" t="str">
        <f t="shared" si="320"/>
        <v>20140101LGUM_278</v>
      </c>
      <c r="AA749" s="126" t="str">
        <f t="shared" si="321"/>
        <v>20140101RLS</v>
      </c>
      <c r="AB749" s="583" t="str">
        <f t="shared" si="314"/>
        <v>278</v>
      </c>
      <c r="AD749" s="98">
        <f>MiscData!$X$5</f>
        <v>20140101</v>
      </c>
      <c r="AE749" s="98">
        <f>IF(AE748+1&gt;MiscData!$AC$77,1,AE748+1)</f>
        <v>16</v>
      </c>
      <c r="AF749" s="98" t="str">
        <f>VLOOKUP(AE749,MiscData!$AC$5:$AD$77,2,FALSE)</f>
        <v>LGUM_278</v>
      </c>
      <c r="AG749" s="98" t="str">
        <f>VLOOKUP(AF749,MiscData!$AD$5:$AE$77,2,FALSE)</f>
        <v>RLS</v>
      </c>
      <c r="AP749" s="98" t="s">
        <v>687</v>
      </c>
      <c r="AR749" s="98">
        <v>0</v>
      </c>
    </row>
    <row r="750" spans="1:44">
      <c r="A750" s="108">
        <f t="shared" si="315"/>
        <v>747</v>
      </c>
      <c r="B750" s="109" t="str">
        <f t="shared" si="317"/>
        <v>Nov 2015</v>
      </c>
      <c r="C750" s="110" t="str">
        <f t="shared" si="318"/>
        <v>RLS</v>
      </c>
      <c r="D750" s="110" t="str">
        <f t="shared" si="319"/>
        <v>LGUM_279</v>
      </c>
      <c r="E750" s="581">
        <f t="shared" si="296"/>
        <v>11</v>
      </c>
      <c r="F750" s="581">
        <f t="shared" si="297"/>
        <v>0</v>
      </c>
      <c r="G750" s="116">
        <f t="shared" si="298"/>
        <v>41.43</v>
      </c>
      <c r="H750" s="116">
        <f t="shared" si="299"/>
        <v>9.8399999999999963</v>
      </c>
      <c r="I750" s="118">
        <f t="shared" si="310"/>
        <v>455.73</v>
      </c>
      <c r="J750" s="118">
        <f t="shared" si="300"/>
        <v>455.73</v>
      </c>
      <c r="K750" s="570">
        <f t="shared" si="311"/>
        <v>0</v>
      </c>
      <c r="L750" s="121">
        <f t="shared" si="316"/>
        <v>0</v>
      </c>
      <c r="M750" s="122">
        <f t="shared" si="302"/>
        <v>0</v>
      </c>
      <c r="N750" s="122">
        <f t="shared" si="303"/>
        <v>0</v>
      </c>
      <c r="O750" s="122">
        <f t="shared" si="304"/>
        <v>0</v>
      </c>
      <c r="P750" s="122">
        <f t="shared" si="305"/>
        <v>0</v>
      </c>
      <c r="Q750" s="123">
        <f t="shared" si="306"/>
        <v>455.73</v>
      </c>
      <c r="R750" s="123">
        <f t="shared" si="312"/>
        <v>-455.73</v>
      </c>
      <c r="S750" s="582">
        <v>0</v>
      </c>
      <c r="T750" s="123">
        <f t="shared" si="313"/>
        <v>-455.73</v>
      </c>
      <c r="U750" s="25">
        <f t="shared" si="307"/>
        <v>108.24</v>
      </c>
      <c r="V750" s="123">
        <f t="shared" si="308"/>
        <v>-108.24</v>
      </c>
      <c r="W750" s="334">
        <f t="shared" si="309"/>
        <v>9.9</v>
      </c>
      <c r="Y750" s="109">
        <f>IF(AE750=1,IF(Y749=MiscData!$F$1,EOMONTH(Y749,-11),EOMONTH(Y749,1)),Y749)</f>
        <v>42338</v>
      </c>
      <c r="Z750" s="108" t="str">
        <f t="shared" si="320"/>
        <v>20140101LGUM_279</v>
      </c>
      <c r="AA750" s="126" t="str">
        <f t="shared" si="321"/>
        <v>20140101RLS</v>
      </c>
      <c r="AB750" s="583" t="str">
        <f t="shared" si="314"/>
        <v>279</v>
      </c>
      <c r="AD750" s="98">
        <f>MiscData!$X$5</f>
        <v>20140101</v>
      </c>
      <c r="AE750" s="98">
        <f>IF(AE749+1&gt;MiscData!$AC$77,1,AE749+1)</f>
        <v>17</v>
      </c>
      <c r="AF750" s="98" t="str">
        <f>VLOOKUP(AE750,MiscData!$AC$5:$AD$77,2,FALSE)</f>
        <v>LGUM_279</v>
      </c>
      <c r="AG750" s="98" t="str">
        <f>VLOOKUP(AF750,MiscData!$AD$5:$AE$77,2,FALSE)</f>
        <v>RLS</v>
      </c>
      <c r="AP750" s="98" t="s">
        <v>688</v>
      </c>
      <c r="AR750" s="98">
        <v>0</v>
      </c>
    </row>
    <row r="751" spans="1:44">
      <c r="A751" s="108">
        <f t="shared" si="315"/>
        <v>748</v>
      </c>
      <c r="B751" s="109" t="str">
        <f t="shared" si="317"/>
        <v>Nov 2015</v>
      </c>
      <c r="C751" s="110" t="str">
        <f t="shared" si="318"/>
        <v>RLS</v>
      </c>
      <c r="D751" s="110" t="str">
        <f t="shared" si="319"/>
        <v>LGUM_280</v>
      </c>
      <c r="E751" s="581">
        <f t="shared" si="296"/>
        <v>45</v>
      </c>
      <c r="F751" s="581">
        <f t="shared" si="297"/>
        <v>0</v>
      </c>
      <c r="G751" s="116">
        <f t="shared" si="298"/>
        <v>19.38</v>
      </c>
      <c r="H751" s="116">
        <f t="shared" si="299"/>
        <v>0.87999999999999901</v>
      </c>
      <c r="I751" s="118">
        <f t="shared" si="310"/>
        <v>872.1</v>
      </c>
      <c r="J751" s="118">
        <f t="shared" si="300"/>
        <v>872.1</v>
      </c>
      <c r="K751" s="570">
        <f t="shared" si="311"/>
        <v>0</v>
      </c>
      <c r="L751" s="121">
        <f t="shared" si="316"/>
        <v>0</v>
      </c>
      <c r="M751" s="122">
        <f t="shared" si="302"/>
        <v>0</v>
      </c>
      <c r="N751" s="122">
        <f t="shared" si="303"/>
        <v>0</v>
      </c>
      <c r="O751" s="122">
        <f t="shared" si="304"/>
        <v>0</v>
      </c>
      <c r="P751" s="122">
        <f t="shared" si="305"/>
        <v>0</v>
      </c>
      <c r="Q751" s="123">
        <f t="shared" si="306"/>
        <v>872.1</v>
      </c>
      <c r="R751" s="123">
        <f t="shared" si="312"/>
        <v>-872.1</v>
      </c>
      <c r="S751" s="582">
        <v>0</v>
      </c>
      <c r="T751" s="123">
        <f t="shared" si="313"/>
        <v>-872.1</v>
      </c>
      <c r="U751" s="25">
        <f t="shared" si="307"/>
        <v>39.6</v>
      </c>
      <c r="V751" s="123">
        <f t="shared" si="308"/>
        <v>-39.6</v>
      </c>
      <c r="W751" s="334">
        <f t="shared" si="309"/>
        <v>11.700000000000001</v>
      </c>
      <c r="Y751" s="109">
        <f>IF(AE751=1,IF(Y750=MiscData!$F$1,EOMONTH(Y750,-11),EOMONTH(Y750,1)),Y750)</f>
        <v>42338</v>
      </c>
      <c r="Z751" s="108" t="str">
        <f t="shared" si="320"/>
        <v>20140101LGUM_280</v>
      </c>
      <c r="AA751" s="126" t="str">
        <f t="shared" si="321"/>
        <v>20140101RLS</v>
      </c>
      <c r="AB751" s="583" t="str">
        <f t="shared" si="314"/>
        <v>280</v>
      </c>
      <c r="AD751" s="98">
        <f>MiscData!$X$5</f>
        <v>20140101</v>
      </c>
      <c r="AE751" s="98">
        <f>IF(AE750+1&gt;MiscData!$AC$77,1,AE750+1)</f>
        <v>18</v>
      </c>
      <c r="AF751" s="98" t="str">
        <f>VLOOKUP(AE751,MiscData!$AC$5:$AD$77,2,FALSE)</f>
        <v>LGUM_280</v>
      </c>
      <c r="AG751" s="98" t="str">
        <f>VLOOKUP(AF751,MiscData!$AD$5:$AE$77,2,FALSE)</f>
        <v>RLS</v>
      </c>
      <c r="AP751" s="98" t="s">
        <v>341</v>
      </c>
      <c r="AR751" s="98">
        <v>0</v>
      </c>
    </row>
    <row r="752" spans="1:44">
      <c r="A752" s="108">
        <f t="shared" si="315"/>
        <v>749</v>
      </c>
      <c r="B752" s="109" t="str">
        <f t="shared" si="317"/>
        <v>Nov 2015</v>
      </c>
      <c r="C752" s="110" t="str">
        <f t="shared" si="318"/>
        <v>RLS</v>
      </c>
      <c r="D752" s="110" t="str">
        <f t="shared" si="319"/>
        <v>LGUM_281</v>
      </c>
      <c r="E752" s="581">
        <f t="shared" si="296"/>
        <v>239</v>
      </c>
      <c r="F752" s="581">
        <f t="shared" si="297"/>
        <v>0</v>
      </c>
      <c r="G752" s="116">
        <f t="shared" si="298"/>
        <v>20.349999999999998</v>
      </c>
      <c r="H752" s="116">
        <f t="shared" si="299"/>
        <v>1.2699999999999996</v>
      </c>
      <c r="I752" s="118">
        <f t="shared" si="310"/>
        <v>4863.6499999999996</v>
      </c>
      <c r="J752" s="118">
        <f t="shared" si="300"/>
        <v>4863.6499999999996</v>
      </c>
      <c r="K752" s="570">
        <f t="shared" si="311"/>
        <v>0</v>
      </c>
      <c r="L752" s="121">
        <f t="shared" si="316"/>
        <v>0</v>
      </c>
      <c r="M752" s="122">
        <f t="shared" si="302"/>
        <v>0</v>
      </c>
      <c r="N752" s="122">
        <f t="shared" si="303"/>
        <v>0</v>
      </c>
      <c r="O752" s="122">
        <f t="shared" si="304"/>
        <v>0</v>
      </c>
      <c r="P752" s="122">
        <f t="shared" si="305"/>
        <v>0</v>
      </c>
      <c r="Q752" s="123">
        <f t="shared" si="306"/>
        <v>4863.6499999999996</v>
      </c>
      <c r="R752" s="123">
        <f t="shared" si="312"/>
        <v>-4863.6499999999996</v>
      </c>
      <c r="S752" s="582">
        <v>0</v>
      </c>
      <c r="T752" s="123">
        <f t="shared" si="313"/>
        <v>-4863.6499999999996</v>
      </c>
      <c r="U752" s="25">
        <f t="shared" si="307"/>
        <v>303.52999999999997</v>
      </c>
      <c r="V752" s="123">
        <f t="shared" si="308"/>
        <v>-303.52999999999997</v>
      </c>
      <c r="W752" s="334">
        <f t="shared" si="309"/>
        <v>64.53</v>
      </c>
      <c r="Y752" s="109">
        <f>IF(AE752=1,IF(Y751=MiscData!$F$1,EOMONTH(Y751,-11),EOMONTH(Y751,1)),Y751)</f>
        <v>42338</v>
      </c>
      <c r="Z752" s="108" t="str">
        <f t="shared" si="320"/>
        <v>20140101LGUM_281</v>
      </c>
      <c r="AA752" s="126" t="str">
        <f t="shared" si="321"/>
        <v>20140101RLS</v>
      </c>
      <c r="AB752" s="583" t="str">
        <f t="shared" si="314"/>
        <v>281</v>
      </c>
      <c r="AD752" s="98">
        <f>MiscData!$X$5</f>
        <v>20140101</v>
      </c>
      <c r="AE752" s="98">
        <f>IF(AE751+1&gt;MiscData!$AC$77,1,AE751+1)</f>
        <v>19</v>
      </c>
      <c r="AF752" s="98" t="str">
        <f>VLOOKUP(AE752,MiscData!$AC$5:$AD$77,2,FALSE)</f>
        <v>LGUM_281</v>
      </c>
      <c r="AG752" s="98" t="str">
        <f>VLOOKUP(AF752,MiscData!$AD$5:$AE$77,2,FALSE)</f>
        <v>RLS</v>
      </c>
      <c r="AP752" s="98" t="s">
        <v>317</v>
      </c>
      <c r="AR752" s="98">
        <v>1513.33</v>
      </c>
    </row>
    <row r="753" spans="1:44">
      <c r="A753" s="108">
        <f t="shared" si="315"/>
        <v>750</v>
      </c>
      <c r="B753" s="109" t="str">
        <f t="shared" si="317"/>
        <v>Nov 2015</v>
      </c>
      <c r="C753" s="110" t="str">
        <f t="shared" si="318"/>
        <v>RLS</v>
      </c>
      <c r="D753" s="110" t="str">
        <f t="shared" si="319"/>
        <v>LGUM_282</v>
      </c>
      <c r="E753" s="581">
        <f t="shared" si="296"/>
        <v>103</v>
      </c>
      <c r="F753" s="581">
        <f t="shared" si="297"/>
        <v>0</v>
      </c>
      <c r="G753" s="116">
        <f t="shared" si="298"/>
        <v>19.53</v>
      </c>
      <c r="H753" s="116">
        <f t="shared" si="299"/>
        <v>0.87999999999999901</v>
      </c>
      <c r="I753" s="118">
        <f t="shared" si="310"/>
        <v>2011.59</v>
      </c>
      <c r="J753" s="118">
        <f t="shared" si="300"/>
        <v>2011.59</v>
      </c>
      <c r="K753" s="570">
        <f t="shared" si="311"/>
        <v>0</v>
      </c>
      <c r="L753" s="121">
        <f t="shared" si="316"/>
        <v>0</v>
      </c>
      <c r="M753" s="122">
        <f t="shared" si="302"/>
        <v>0</v>
      </c>
      <c r="N753" s="122">
        <f t="shared" si="303"/>
        <v>0</v>
      </c>
      <c r="O753" s="122">
        <f t="shared" si="304"/>
        <v>0</v>
      </c>
      <c r="P753" s="122">
        <f t="shared" si="305"/>
        <v>0</v>
      </c>
      <c r="Q753" s="123">
        <f t="shared" si="306"/>
        <v>2011.59</v>
      </c>
      <c r="R753" s="123">
        <f t="shared" si="312"/>
        <v>-2011.59</v>
      </c>
      <c r="S753" s="582">
        <v>0</v>
      </c>
      <c r="T753" s="123">
        <f t="shared" si="313"/>
        <v>-2011.59</v>
      </c>
      <c r="U753" s="25">
        <f t="shared" si="307"/>
        <v>90.64</v>
      </c>
      <c r="V753" s="123">
        <f t="shared" si="308"/>
        <v>-90.64</v>
      </c>
      <c r="W753" s="334">
        <f t="shared" si="309"/>
        <v>26.78</v>
      </c>
      <c r="Y753" s="109">
        <f>IF(AE753=1,IF(Y752=MiscData!$F$1,EOMONTH(Y752,-11),EOMONTH(Y752,1)),Y752)</f>
        <v>42338</v>
      </c>
      <c r="Z753" s="108" t="str">
        <f t="shared" si="320"/>
        <v>20140101LGUM_282</v>
      </c>
      <c r="AA753" s="126" t="str">
        <f t="shared" si="321"/>
        <v>20140101RLS</v>
      </c>
      <c r="AB753" s="583" t="str">
        <f t="shared" si="314"/>
        <v>282</v>
      </c>
      <c r="AD753" s="98">
        <f>MiscData!$X$5</f>
        <v>20140101</v>
      </c>
      <c r="AE753" s="98">
        <f>IF(AE752+1&gt;MiscData!$AC$77,1,AE752+1)</f>
        <v>20</v>
      </c>
      <c r="AF753" s="98" t="str">
        <f>VLOOKUP(AE753,MiscData!$AC$5:$AD$77,2,FALSE)</f>
        <v>LGUM_282</v>
      </c>
      <c r="AG753" s="98" t="str">
        <f>VLOOKUP(AF753,MiscData!$AD$5:$AE$77,2,FALSE)</f>
        <v>RLS</v>
      </c>
      <c r="AP753" s="98" t="s">
        <v>318</v>
      </c>
      <c r="AR753" s="98">
        <v>111.17</v>
      </c>
    </row>
    <row r="754" spans="1:44">
      <c r="A754" s="108">
        <f t="shared" si="315"/>
        <v>751</v>
      </c>
      <c r="B754" s="109" t="str">
        <f t="shared" si="317"/>
        <v>Nov 2015</v>
      </c>
      <c r="C754" s="110" t="str">
        <f t="shared" si="318"/>
        <v>RLS</v>
      </c>
      <c r="D754" s="110" t="str">
        <f t="shared" si="319"/>
        <v>LGUM_283</v>
      </c>
      <c r="E754" s="581">
        <f t="shared" si="296"/>
        <v>79</v>
      </c>
      <c r="F754" s="581">
        <f t="shared" si="297"/>
        <v>0</v>
      </c>
      <c r="G754" s="116">
        <f t="shared" si="298"/>
        <v>20.819999999999997</v>
      </c>
      <c r="H754" s="116">
        <f t="shared" si="299"/>
        <v>1.2699999999999996</v>
      </c>
      <c r="I754" s="118">
        <f t="shared" si="310"/>
        <v>1644.78</v>
      </c>
      <c r="J754" s="118">
        <f t="shared" si="300"/>
        <v>1644.78</v>
      </c>
      <c r="K754" s="570">
        <f t="shared" si="311"/>
        <v>0</v>
      </c>
      <c r="L754" s="121">
        <f t="shared" si="316"/>
        <v>0</v>
      </c>
      <c r="M754" s="122">
        <f t="shared" si="302"/>
        <v>0</v>
      </c>
      <c r="N754" s="122">
        <f t="shared" si="303"/>
        <v>0</v>
      </c>
      <c r="O754" s="122">
        <f t="shared" si="304"/>
        <v>0</v>
      </c>
      <c r="P754" s="122">
        <f t="shared" si="305"/>
        <v>0</v>
      </c>
      <c r="Q754" s="123">
        <f t="shared" si="306"/>
        <v>1644.78</v>
      </c>
      <c r="R754" s="123">
        <f t="shared" si="312"/>
        <v>-1644.78</v>
      </c>
      <c r="S754" s="582">
        <v>0</v>
      </c>
      <c r="T754" s="123">
        <f t="shared" si="313"/>
        <v>-1644.78</v>
      </c>
      <c r="U754" s="25">
        <f t="shared" si="307"/>
        <v>100.33</v>
      </c>
      <c r="V754" s="123">
        <f t="shared" si="308"/>
        <v>-100.33</v>
      </c>
      <c r="W754" s="334">
        <f t="shared" si="309"/>
        <v>21.330000000000002</v>
      </c>
      <c r="Y754" s="109">
        <f>IF(AE754=1,IF(Y753=MiscData!$F$1,EOMONTH(Y753,-11),EOMONTH(Y753,1)),Y753)</f>
        <v>42338</v>
      </c>
      <c r="Z754" s="108" t="str">
        <f t="shared" si="320"/>
        <v>20140101LGUM_283</v>
      </c>
      <c r="AA754" s="126" t="str">
        <f t="shared" si="321"/>
        <v>20140101RLS</v>
      </c>
      <c r="AB754" s="583" t="str">
        <f t="shared" si="314"/>
        <v>283</v>
      </c>
      <c r="AD754" s="98">
        <f>MiscData!$X$5</f>
        <v>20140101</v>
      </c>
      <c r="AE754" s="98">
        <f>IF(AE753+1&gt;MiscData!$AC$77,1,AE753+1)</f>
        <v>21</v>
      </c>
      <c r="AF754" s="98" t="str">
        <f>VLOOKUP(AE754,MiscData!$AC$5:$AD$77,2,FALSE)</f>
        <v>LGUM_283</v>
      </c>
      <c r="AG754" s="98" t="str">
        <f>VLOOKUP(AF754,MiscData!$AD$5:$AE$77,2,FALSE)</f>
        <v>RLS</v>
      </c>
      <c r="AP754" s="98" t="s">
        <v>319</v>
      </c>
      <c r="AR754" s="98">
        <v>7.06</v>
      </c>
    </row>
    <row r="755" spans="1:44">
      <c r="A755" s="108">
        <f t="shared" si="315"/>
        <v>752</v>
      </c>
      <c r="B755" s="109" t="str">
        <f t="shared" si="317"/>
        <v>Nov 2015</v>
      </c>
      <c r="C755" s="110" t="str">
        <f t="shared" si="318"/>
        <v>RLS</v>
      </c>
      <c r="D755" s="110" t="str">
        <f t="shared" si="319"/>
        <v>LGUM_314</v>
      </c>
      <c r="E755" s="581">
        <f t="shared" si="296"/>
        <v>552</v>
      </c>
      <c r="F755" s="581">
        <f t="shared" si="297"/>
        <v>0</v>
      </c>
      <c r="G755" s="116">
        <f t="shared" si="298"/>
        <v>19.2</v>
      </c>
      <c r="H755" s="116">
        <f t="shared" si="299"/>
        <v>2.7100000000000009</v>
      </c>
      <c r="I755" s="118">
        <f t="shared" si="310"/>
        <v>10598.4</v>
      </c>
      <c r="J755" s="118">
        <f t="shared" si="300"/>
        <v>10598.4</v>
      </c>
      <c r="K755" s="570">
        <f t="shared" si="311"/>
        <v>0</v>
      </c>
      <c r="L755" s="121">
        <f t="shared" si="316"/>
        <v>0</v>
      </c>
      <c r="M755" s="122">
        <f t="shared" si="302"/>
        <v>0</v>
      </c>
      <c r="N755" s="122">
        <f t="shared" si="303"/>
        <v>0</v>
      </c>
      <c r="O755" s="122">
        <f t="shared" si="304"/>
        <v>0</v>
      </c>
      <c r="P755" s="122">
        <f t="shared" si="305"/>
        <v>0</v>
      </c>
      <c r="Q755" s="123">
        <f t="shared" si="306"/>
        <v>10598.4</v>
      </c>
      <c r="R755" s="123">
        <f t="shared" si="312"/>
        <v>-10598.4</v>
      </c>
      <c r="S755" s="582">
        <v>0</v>
      </c>
      <c r="T755" s="123">
        <f t="shared" si="313"/>
        <v>-10598.4</v>
      </c>
      <c r="U755" s="25">
        <f t="shared" si="307"/>
        <v>1495.92</v>
      </c>
      <c r="V755" s="123">
        <f t="shared" si="308"/>
        <v>-1495.92</v>
      </c>
      <c r="W755" s="334">
        <f t="shared" si="309"/>
        <v>99.36</v>
      </c>
      <c r="Y755" s="109">
        <f>IF(AE755=1,IF(Y754=MiscData!$F$1,EOMONTH(Y754,-11),EOMONTH(Y754,1)),Y754)</f>
        <v>42338</v>
      </c>
      <c r="Z755" s="108" t="str">
        <f t="shared" si="320"/>
        <v>20140101LGUM_314</v>
      </c>
      <c r="AA755" s="126" t="str">
        <f t="shared" si="321"/>
        <v>20140101RLS</v>
      </c>
      <c r="AB755" s="583" t="str">
        <f t="shared" si="314"/>
        <v>314</v>
      </c>
      <c r="AD755" s="98">
        <f>MiscData!$X$5</f>
        <v>20140101</v>
      </c>
      <c r="AE755" s="98">
        <f>IF(AE754+1&gt;MiscData!$AC$77,1,AE754+1)</f>
        <v>22</v>
      </c>
      <c r="AF755" s="98" t="str">
        <f>VLOOKUP(AE755,MiscData!$AC$5:$AD$77,2,FALSE)</f>
        <v>LGUM_314</v>
      </c>
      <c r="AG755" s="98" t="str">
        <f>VLOOKUP(AF755,MiscData!$AD$5:$AE$77,2,FALSE)</f>
        <v>RLS</v>
      </c>
      <c r="AP755" s="98" t="s">
        <v>320</v>
      </c>
      <c r="AR755" s="98">
        <v>13.11</v>
      </c>
    </row>
    <row r="756" spans="1:44">
      <c r="A756" s="108">
        <f t="shared" si="315"/>
        <v>753</v>
      </c>
      <c r="B756" s="109" t="str">
        <f t="shared" si="317"/>
        <v>Nov 2015</v>
      </c>
      <c r="C756" s="110" t="str">
        <f t="shared" si="318"/>
        <v>RLS</v>
      </c>
      <c r="D756" s="110" t="str">
        <f t="shared" si="319"/>
        <v>LGUM_315</v>
      </c>
      <c r="E756" s="581">
        <f t="shared" si="296"/>
        <v>529</v>
      </c>
      <c r="F756" s="581">
        <f t="shared" si="297"/>
        <v>0</v>
      </c>
      <c r="G756" s="116">
        <f t="shared" si="298"/>
        <v>22.949999999999996</v>
      </c>
      <c r="H756" s="116">
        <f t="shared" si="299"/>
        <v>4.1999999999999993</v>
      </c>
      <c r="I756" s="118">
        <f t="shared" si="310"/>
        <v>12140.55</v>
      </c>
      <c r="J756" s="118">
        <f t="shared" si="300"/>
        <v>12140.55</v>
      </c>
      <c r="K756" s="570">
        <f t="shared" si="311"/>
        <v>0</v>
      </c>
      <c r="L756" s="121">
        <f t="shared" si="316"/>
        <v>0</v>
      </c>
      <c r="M756" s="122">
        <f t="shared" si="302"/>
        <v>0</v>
      </c>
      <c r="N756" s="122">
        <f t="shared" si="303"/>
        <v>0</v>
      </c>
      <c r="O756" s="122">
        <f t="shared" si="304"/>
        <v>0</v>
      </c>
      <c r="P756" s="122">
        <f t="shared" si="305"/>
        <v>0</v>
      </c>
      <c r="Q756" s="123">
        <f t="shared" si="306"/>
        <v>12140.55</v>
      </c>
      <c r="R756" s="123">
        <f t="shared" si="312"/>
        <v>-12140.55</v>
      </c>
      <c r="S756" s="582">
        <v>0</v>
      </c>
      <c r="T756" s="123">
        <f t="shared" si="313"/>
        <v>-12140.55</v>
      </c>
      <c r="U756" s="25">
        <f t="shared" si="307"/>
        <v>2221.8000000000002</v>
      </c>
      <c r="V756" s="123">
        <f t="shared" si="308"/>
        <v>-2221.8000000000002</v>
      </c>
      <c r="W756" s="334">
        <f t="shared" si="309"/>
        <v>116.38</v>
      </c>
      <c r="Y756" s="109">
        <f>IF(AE756=1,IF(Y755=MiscData!$F$1,EOMONTH(Y755,-11),EOMONTH(Y755,1)),Y755)</f>
        <v>42338</v>
      </c>
      <c r="Z756" s="108" t="str">
        <f t="shared" si="320"/>
        <v>20140101LGUM_315</v>
      </c>
      <c r="AA756" s="126" t="str">
        <f t="shared" si="321"/>
        <v>20140101RLS</v>
      </c>
      <c r="AB756" s="583" t="str">
        <f t="shared" si="314"/>
        <v>315</v>
      </c>
      <c r="AD756" s="98">
        <f>MiscData!$X$5</f>
        <v>20140101</v>
      </c>
      <c r="AE756" s="98">
        <f>IF(AE755+1&gt;MiscData!$AC$77,1,AE755+1)</f>
        <v>23</v>
      </c>
      <c r="AF756" s="98" t="str">
        <f>VLOOKUP(AE756,MiscData!$AC$5:$AD$77,2,FALSE)</f>
        <v>LGUM_315</v>
      </c>
      <c r="AG756" s="98" t="str">
        <f>VLOOKUP(AF756,MiscData!$AD$5:$AE$77,2,FALSE)</f>
        <v>RLS</v>
      </c>
      <c r="AP756" s="98" t="s">
        <v>321</v>
      </c>
      <c r="AR756" s="98">
        <v>-34.6</v>
      </c>
    </row>
    <row r="757" spans="1:44">
      <c r="A757" s="108">
        <f t="shared" si="315"/>
        <v>754</v>
      </c>
      <c r="B757" s="109" t="str">
        <f t="shared" si="317"/>
        <v>Nov 2015</v>
      </c>
      <c r="C757" s="110" t="str">
        <f t="shared" si="318"/>
        <v>RLS</v>
      </c>
      <c r="D757" s="110" t="str">
        <f t="shared" si="319"/>
        <v>LGUM_318</v>
      </c>
      <c r="E757" s="581">
        <f t="shared" si="296"/>
        <v>53</v>
      </c>
      <c r="F757" s="581">
        <f t="shared" si="297"/>
        <v>0</v>
      </c>
      <c r="G757" s="116">
        <f t="shared" si="298"/>
        <v>17.419999999999998</v>
      </c>
      <c r="H757" s="116">
        <f t="shared" si="299"/>
        <v>1.9100000000000001</v>
      </c>
      <c r="I757" s="118">
        <f t="shared" si="310"/>
        <v>923.26</v>
      </c>
      <c r="J757" s="118">
        <f t="shared" si="300"/>
        <v>923.26</v>
      </c>
      <c r="K757" s="570">
        <f t="shared" si="311"/>
        <v>0</v>
      </c>
      <c r="L757" s="121">
        <f t="shared" si="316"/>
        <v>0</v>
      </c>
      <c r="M757" s="122">
        <f t="shared" si="302"/>
        <v>0</v>
      </c>
      <c r="N757" s="122">
        <f t="shared" si="303"/>
        <v>0</v>
      </c>
      <c r="O757" s="122">
        <f t="shared" si="304"/>
        <v>0</v>
      </c>
      <c r="P757" s="122">
        <f t="shared" si="305"/>
        <v>0</v>
      </c>
      <c r="Q757" s="123">
        <f t="shared" si="306"/>
        <v>923.26</v>
      </c>
      <c r="R757" s="123">
        <f t="shared" si="312"/>
        <v>-923.26</v>
      </c>
      <c r="S757" s="582">
        <v>0</v>
      </c>
      <c r="T757" s="123">
        <f t="shared" si="313"/>
        <v>-923.26</v>
      </c>
      <c r="U757" s="25">
        <f t="shared" si="307"/>
        <v>101.23</v>
      </c>
      <c r="V757" s="123">
        <f t="shared" si="308"/>
        <v>-101.23</v>
      </c>
      <c r="W757" s="334">
        <f t="shared" si="309"/>
        <v>8.48</v>
      </c>
      <c r="Y757" s="109">
        <f>IF(AE757=1,IF(Y756=MiscData!$F$1,EOMONTH(Y756,-11),EOMONTH(Y756,1)),Y756)</f>
        <v>42338</v>
      </c>
      <c r="Z757" s="108" t="str">
        <f t="shared" si="320"/>
        <v>20140101LGUM_318</v>
      </c>
      <c r="AA757" s="126" t="str">
        <f t="shared" si="321"/>
        <v>20140101RLS</v>
      </c>
      <c r="AB757" s="583" t="str">
        <f t="shared" si="314"/>
        <v>318</v>
      </c>
      <c r="AD757" s="98">
        <f>MiscData!$X$5</f>
        <v>20140101</v>
      </c>
      <c r="AE757" s="98">
        <f>IF(AE756+1&gt;MiscData!$AC$77,1,AE756+1)</f>
        <v>24</v>
      </c>
      <c r="AF757" s="98" t="str">
        <f>VLOOKUP(AE757,MiscData!$AC$5:$AD$77,2,FALSE)</f>
        <v>LGUM_318</v>
      </c>
      <c r="AG757" s="98" t="str">
        <f>VLOOKUP(AF757,MiscData!$AD$5:$AE$77,2,FALSE)</f>
        <v>RLS</v>
      </c>
      <c r="AP757" s="98" t="s">
        <v>322</v>
      </c>
      <c r="AR757" s="98">
        <v>19.899999999999999</v>
      </c>
    </row>
    <row r="758" spans="1:44">
      <c r="A758" s="108">
        <f t="shared" si="315"/>
        <v>755</v>
      </c>
      <c r="B758" s="109" t="str">
        <f t="shared" si="317"/>
        <v>Nov 2015</v>
      </c>
      <c r="C758" s="110" t="str">
        <f t="shared" si="318"/>
        <v>RLS</v>
      </c>
      <c r="D758" s="110" t="str">
        <f t="shared" si="319"/>
        <v>LGUM_347</v>
      </c>
      <c r="E758" s="581">
        <f t="shared" si="296"/>
        <v>0</v>
      </c>
      <c r="F758" s="581">
        <f t="shared" si="297"/>
        <v>0</v>
      </c>
      <c r="G758" s="116">
        <f t="shared" si="298"/>
        <v>22.939999999999998</v>
      </c>
      <c r="H758" s="116">
        <f t="shared" si="299"/>
        <v>26.14</v>
      </c>
      <c r="I758" s="118">
        <f t="shared" si="310"/>
        <v>0</v>
      </c>
      <c r="J758" s="118">
        <f t="shared" si="300"/>
        <v>0</v>
      </c>
      <c r="K758" s="570">
        <f t="shared" si="311"/>
        <v>0</v>
      </c>
      <c r="L758" s="121">
        <f t="shared" si="316"/>
        <v>1</v>
      </c>
      <c r="M758" s="122">
        <f t="shared" si="302"/>
        <v>0</v>
      </c>
      <c r="N758" s="122">
        <f t="shared" si="303"/>
        <v>0</v>
      </c>
      <c r="O758" s="122">
        <f t="shared" si="304"/>
        <v>0</v>
      </c>
      <c r="P758" s="122">
        <f t="shared" si="305"/>
        <v>0</v>
      </c>
      <c r="Q758" s="123">
        <f t="shared" si="306"/>
        <v>0</v>
      </c>
      <c r="R758" s="123">
        <f t="shared" si="312"/>
        <v>0</v>
      </c>
      <c r="S758" s="582">
        <v>0</v>
      </c>
      <c r="T758" s="123">
        <f t="shared" si="313"/>
        <v>0</v>
      </c>
      <c r="U758" s="25">
        <f t="shared" si="307"/>
        <v>0</v>
      </c>
      <c r="V758" s="123">
        <f t="shared" si="308"/>
        <v>0</v>
      </c>
      <c r="W758" s="334">
        <f t="shared" si="309"/>
        <v>0</v>
      </c>
      <c r="Y758" s="109">
        <f>IF(AE758=1,IF(Y757=MiscData!$F$1,EOMONTH(Y757,-11),EOMONTH(Y757,1)),Y757)</f>
        <v>42338</v>
      </c>
      <c r="Z758" s="108" t="str">
        <f t="shared" si="320"/>
        <v>20140101LGUM_347</v>
      </c>
      <c r="AA758" s="126" t="str">
        <f t="shared" si="321"/>
        <v>20140101RLS</v>
      </c>
      <c r="AB758" s="583" t="str">
        <f t="shared" si="314"/>
        <v>347</v>
      </c>
      <c r="AD758" s="98">
        <f>MiscData!$X$5</f>
        <v>20140101</v>
      </c>
      <c r="AE758" s="98">
        <f>IF(AE757+1&gt;MiscData!$AC$77,1,AE757+1)</f>
        <v>25</v>
      </c>
      <c r="AF758" s="98" t="str">
        <f>VLOOKUP(AE758,MiscData!$AC$5:$AD$77,2,FALSE)</f>
        <v>LGUM_347</v>
      </c>
      <c r="AG758" s="98" t="str">
        <f>VLOOKUP(AF758,MiscData!$AD$5:$AE$77,2,FALSE)</f>
        <v>RLS</v>
      </c>
      <c r="AP758" s="98" t="s">
        <v>323</v>
      </c>
      <c r="AR758" s="98">
        <v>0</v>
      </c>
    </row>
    <row r="759" spans="1:44">
      <c r="A759" s="108">
        <f t="shared" si="315"/>
        <v>756</v>
      </c>
      <c r="B759" s="109" t="str">
        <f t="shared" si="317"/>
        <v>Nov 2015</v>
      </c>
      <c r="C759" s="110" t="str">
        <f t="shared" si="318"/>
        <v>RLS</v>
      </c>
      <c r="D759" s="110" t="str">
        <f t="shared" si="319"/>
        <v>LGUM_348</v>
      </c>
      <c r="E759" s="581">
        <f t="shared" si="296"/>
        <v>39</v>
      </c>
      <c r="F759" s="581">
        <f t="shared" si="297"/>
        <v>0</v>
      </c>
      <c r="G759" s="116">
        <f t="shared" si="298"/>
        <v>13.12</v>
      </c>
      <c r="H759" s="116">
        <f t="shared" si="299"/>
        <v>2.9800000000000004</v>
      </c>
      <c r="I759" s="118">
        <f t="shared" si="310"/>
        <v>511.68</v>
      </c>
      <c r="J759" s="118">
        <f t="shared" si="300"/>
        <v>511.68</v>
      </c>
      <c r="K759" s="570">
        <f t="shared" si="311"/>
        <v>0</v>
      </c>
      <c r="L759" s="121">
        <f t="shared" si="316"/>
        <v>0</v>
      </c>
      <c r="M759" s="122">
        <f t="shared" si="302"/>
        <v>0</v>
      </c>
      <c r="N759" s="122">
        <f t="shared" si="303"/>
        <v>0</v>
      </c>
      <c r="O759" s="122">
        <f t="shared" si="304"/>
        <v>0</v>
      </c>
      <c r="P759" s="122">
        <f t="shared" si="305"/>
        <v>0</v>
      </c>
      <c r="Q759" s="123">
        <f t="shared" si="306"/>
        <v>511.68</v>
      </c>
      <c r="R759" s="123">
        <f t="shared" si="312"/>
        <v>-511.68</v>
      </c>
      <c r="S759" s="582">
        <v>0</v>
      </c>
      <c r="T759" s="123">
        <f t="shared" si="313"/>
        <v>-511.68</v>
      </c>
      <c r="U759" s="25">
        <f t="shared" si="307"/>
        <v>116.22</v>
      </c>
      <c r="V759" s="123">
        <f t="shared" si="308"/>
        <v>-116.22</v>
      </c>
      <c r="W759" s="334">
        <f t="shared" si="309"/>
        <v>7.41</v>
      </c>
      <c r="Y759" s="109">
        <f>IF(AE759=1,IF(Y758=MiscData!$F$1,EOMONTH(Y758,-11),EOMONTH(Y758,1)),Y758)</f>
        <v>42338</v>
      </c>
      <c r="Z759" s="108" t="str">
        <f t="shared" si="320"/>
        <v>20140101LGUM_348</v>
      </c>
      <c r="AA759" s="126" t="str">
        <f t="shared" si="321"/>
        <v>20140101RLS</v>
      </c>
      <c r="AB759" s="583" t="str">
        <f t="shared" si="314"/>
        <v>348</v>
      </c>
      <c r="AD759" s="98">
        <f>MiscData!$X$5</f>
        <v>20140101</v>
      </c>
      <c r="AE759" s="98">
        <f>IF(AE758+1&gt;MiscData!$AC$77,1,AE758+1)</f>
        <v>26</v>
      </c>
      <c r="AF759" s="98" t="str">
        <f>VLOOKUP(AE759,MiscData!$AC$5:$AD$77,2,FALSE)</f>
        <v>LGUM_348</v>
      </c>
      <c r="AG759" s="98" t="str">
        <f>VLOOKUP(AF759,MiscData!$AD$5:$AE$77,2,FALSE)</f>
        <v>RLS</v>
      </c>
      <c r="AP759" s="98" t="s">
        <v>324</v>
      </c>
      <c r="AR759" s="98">
        <v>0</v>
      </c>
    </row>
    <row r="760" spans="1:44">
      <c r="A760" s="108">
        <f t="shared" si="315"/>
        <v>757</v>
      </c>
      <c r="B760" s="109" t="str">
        <f t="shared" si="317"/>
        <v>Nov 2015</v>
      </c>
      <c r="C760" s="110" t="str">
        <f t="shared" si="318"/>
        <v>RLS</v>
      </c>
      <c r="D760" s="110" t="str">
        <f t="shared" si="319"/>
        <v>LGUM_349</v>
      </c>
      <c r="E760" s="581">
        <f t="shared" si="296"/>
        <v>16</v>
      </c>
      <c r="F760" s="581">
        <f t="shared" si="297"/>
        <v>0</v>
      </c>
      <c r="G760" s="116">
        <f t="shared" si="298"/>
        <v>9.0200000000000014</v>
      </c>
      <c r="H760" s="116">
        <f t="shared" si="299"/>
        <v>0.91000000000000014</v>
      </c>
      <c r="I760" s="118">
        <f t="shared" si="310"/>
        <v>144.32</v>
      </c>
      <c r="J760" s="118">
        <f t="shared" si="300"/>
        <v>144.32</v>
      </c>
      <c r="K760" s="570">
        <f t="shared" si="311"/>
        <v>0</v>
      </c>
      <c r="L760" s="121">
        <f t="shared" si="316"/>
        <v>0</v>
      </c>
      <c r="M760" s="122">
        <f t="shared" si="302"/>
        <v>0</v>
      </c>
      <c r="N760" s="122">
        <f t="shared" si="303"/>
        <v>0</v>
      </c>
      <c r="O760" s="122">
        <f t="shared" si="304"/>
        <v>0</v>
      </c>
      <c r="P760" s="122">
        <f t="shared" si="305"/>
        <v>0</v>
      </c>
      <c r="Q760" s="123">
        <f t="shared" si="306"/>
        <v>144.32</v>
      </c>
      <c r="R760" s="123">
        <f t="shared" si="312"/>
        <v>-144.32</v>
      </c>
      <c r="S760" s="582">
        <v>0</v>
      </c>
      <c r="T760" s="123">
        <f t="shared" si="313"/>
        <v>-144.32</v>
      </c>
      <c r="U760" s="25">
        <f t="shared" si="307"/>
        <v>14.56</v>
      </c>
      <c r="V760" s="123">
        <f t="shared" si="308"/>
        <v>-14.56</v>
      </c>
      <c r="W760" s="334">
        <f t="shared" si="309"/>
        <v>2.2400000000000002</v>
      </c>
      <c r="Y760" s="109">
        <f>IF(AE760=1,IF(Y759=MiscData!$F$1,EOMONTH(Y759,-11),EOMONTH(Y759,1)),Y759)</f>
        <v>42338</v>
      </c>
      <c r="Z760" s="108" t="str">
        <f t="shared" si="320"/>
        <v>20140101LGUM_349</v>
      </c>
      <c r="AA760" s="126" t="str">
        <f t="shared" si="321"/>
        <v>20140101RLS</v>
      </c>
      <c r="AB760" s="583" t="str">
        <f t="shared" si="314"/>
        <v>349</v>
      </c>
      <c r="AD760" s="98">
        <f>MiscData!$X$5</f>
        <v>20140101</v>
      </c>
      <c r="AE760" s="98">
        <f>IF(AE759+1&gt;MiscData!$AC$77,1,AE759+1)</f>
        <v>27</v>
      </c>
      <c r="AF760" s="98" t="str">
        <f>VLOOKUP(AE760,MiscData!$AC$5:$AD$77,2,FALSE)</f>
        <v>LGUM_349</v>
      </c>
      <c r="AG760" s="98" t="str">
        <f>VLOOKUP(AF760,MiscData!$AD$5:$AE$77,2,FALSE)</f>
        <v>RLS</v>
      </c>
      <c r="AP760" s="98" t="s">
        <v>325</v>
      </c>
      <c r="AR760" s="98">
        <v>0</v>
      </c>
    </row>
    <row r="761" spans="1:44">
      <c r="A761" s="108">
        <f t="shared" si="315"/>
        <v>758</v>
      </c>
      <c r="B761" s="109" t="str">
        <f t="shared" si="317"/>
        <v>Nov 2015</v>
      </c>
      <c r="C761" s="110" t="str">
        <f t="shared" si="318"/>
        <v xml:space="preserve">LS </v>
      </c>
      <c r="D761" s="110" t="str">
        <f t="shared" si="319"/>
        <v>LGUM_400</v>
      </c>
      <c r="E761" s="581">
        <f t="shared" si="296"/>
        <v>32</v>
      </c>
      <c r="F761" s="581">
        <f t="shared" si="297"/>
        <v>0</v>
      </c>
      <c r="G761" s="116">
        <f t="shared" si="298"/>
        <v>23.89</v>
      </c>
      <c r="H761" s="116">
        <f t="shared" si="299"/>
        <v>1.0199999999999996</v>
      </c>
      <c r="I761" s="118">
        <f t="shared" si="310"/>
        <v>764.48</v>
      </c>
      <c r="J761" s="118">
        <f t="shared" si="300"/>
        <v>764.48</v>
      </c>
      <c r="K761" s="570">
        <f t="shared" si="311"/>
        <v>0</v>
      </c>
      <c r="L761" s="121">
        <f t="shared" si="316"/>
        <v>0</v>
      </c>
      <c r="M761" s="122">
        <f t="shared" si="302"/>
        <v>0</v>
      </c>
      <c r="N761" s="122">
        <f t="shared" si="303"/>
        <v>0</v>
      </c>
      <c r="O761" s="122">
        <f t="shared" si="304"/>
        <v>0</v>
      </c>
      <c r="P761" s="122">
        <f t="shared" si="305"/>
        <v>0</v>
      </c>
      <c r="Q761" s="123">
        <f t="shared" si="306"/>
        <v>764.48</v>
      </c>
      <c r="R761" s="123">
        <f t="shared" si="312"/>
        <v>-764.48</v>
      </c>
      <c r="S761" s="582">
        <v>0</v>
      </c>
      <c r="T761" s="123">
        <f t="shared" si="313"/>
        <v>-764.48</v>
      </c>
      <c r="U761" s="25">
        <f t="shared" si="307"/>
        <v>32.64</v>
      </c>
      <c r="V761" s="123">
        <f t="shared" si="308"/>
        <v>-32.64</v>
      </c>
      <c r="W761" s="334">
        <f t="shared" si="309"/>
        <v>11.84</v>
      </c>
      <c r="Y761" s="109">
        <f>IF(AE761=1,IF(Y760=MiscData!$F$1,EOMONTH(Y760,-11),EOMONTH(Y760,1)),Y760)</f>
        <v>42338</v>
      </c>
      <c r="Z761" s="108" t="str">
        <f t="shared" si="320"/>
        <v>20140101LGUM_400</v>
      </c>
      <c r="AA761" s="126" t="str">
        <f t="shared" si="321"/>
        <v xml:space="preserve">20140101LS </v>
      </c>
      <c r="AB761" s="583" t="str">
        <f t="shared" si="314"/>
        <v>400</v>
      </c>
      <c r="AD761" s="98">
        <f>MiscData!$X$5</f>
        <v>20140101</v>
      </c>
      <c r="AE761" s="98">
        <f>IF(AE760+1&gt;MiscData!$AC$77,1,AE760+1)</f>
        <v>28</v>
      </c>
      <c r="AF761" s="98" t="str">
        <f>VLOOKUP(AE761,MiscData!$AC$5:$AD$77,2,FALSE)</f>
        <v>LGUM_400</v>
      </c>
      <c r="AG761" s="98" t="str">
        <f>VLOOKUP(AF761,MiscData!$AD$5:$AE$77,2,FALSE)</f>
        <v xml:space="preserve">LS </v>
      </c>
      <c r="AP761" s="98" t="s">
        <v>326</v>
      </c>
      <c r="AR761" s="98">
        <v>0</v>
      </c>
    </row>
    <row r="762" spans="1:44">
      <c r="A762" s="108">
        <f t="shared" si="315"/>
        <v>759</v>
      </c>
      <c r="B762" s="109" t="str">
        <f t="shared" si="317"/>
        <v>Nov 2015</v>
      </c>
      <c r="C762" s="110" t="str">
        <f t="shared" si="318"/>
        <v xml:space="preserve">LS </v>
      </c>
      <c r="D762" s="110" t="str">
        <f t="shared" si="319"/>
        <v>LGUM_401</v>
      </c>
      <c r="E762" s="581">
        <f t="shared" si="296"/>
        <v>4</v>
      </c>
      <c r="F762" s="581">
        <f t="shared" si="297"/>
        <v>0</v>
      </c>
      <c r="G762" s="116">
        <f t="shared" si="298"/>
        <v>24.9</v>
      </c>
      <c r="H762" s="116">
        <f t="shared" si="299"/>
        <v>1.0599999999999987</v>
      </c>
      <c r="I762" s="118">
        <f t="shared" si="310"/>
        <v>99.6</v>
      </c>
      <c r="J762" s="118">
        <f t="shared" si="300"/>
        <v>99.6</v>
      </c>
      <c r="K762" s="570">
        <f t="shared" si="311"/>
        <v>0</v>
      </c>
      <c r="L762" s="121">
        <f t="shared" si="316"/>
        <v>0</v>
      </c>
      <c r="M762" s="122">
        <f t="shared" si="302"/>
        <v>0</v>
      </c>
      <c r="N762" s="122">
        <f t="shared" si="303"/>
        <v>0</v>
      </c>
      <c r="O762" s="122">
        <f t="shared" si="304"/>
        <v>0</v>
      </c>
      <c r="P762" s="122">
        <f t="shared" si="305"/>
        <v>0</v>
      </c>
      <c r="Q762" s="123">
        <f t="shared" si="306"/>
        <v>99.6</v>
      </c>
      <c r="R762" s="123">
        <f t="shared" si="312"/>
        <v>-99.6</v>
      </c>
      <c r="S762" s="582">
        <v>0</v>
      </c>
      <c r="T762" s="123">
        <f t="shared" si="313"/>
        <v>-99.6</v>
      </c>
      <c r="U762" s="25">
        <f t="shared" si="307"/>
        <v>4.24</v>
      </c>
      <c r="V762" s="123">
        <f t="shared" si="308"/>
        <v>-4.24</v>
      </c>
      <c r="W762" s="334">
        <f t="shared" si="309"/>
        <v>1.08</v>
      </c>
      <c r="Y762" s="109">
        <f>IF(AE762=1,IF(Y761=MiscData!$F$1,EOMONTH(Y761,-11),EOMONTH(Y761,1)),Y761)</f>
        <v>42338</v>
      </c>
      <c r="Z762" s="108" t="str">
        <f t="shared" si="320"/>
        <v>20140101LGUM_401</v>
      </c>
      <c r="AA762" s="126" t="str">
        <f t="shared" si="321"/>
        <v xml:space="preserve">20140101LS </v>
      </c>
      <c r="AB762" s="583" t="str">
        <f t="shared" si="314"/>
        <v>401</v>
      </c>
      <c r="AD762" s="98">
        <f>MiscData!$X$5</f>
        <v>20140101</v>
      </c>
      <c r="AE762" s="98">
        <f>IF(AE761+1&gt;MiscData!$AC$77,1,AE761+1)</f>
        <v>29</v>
      </c>
      <c r="AF762" s="98" t="str">
        <f>VLOOKUP(AE762,MiscData!$AC$5:$AD$77,2,FALSE)</f>
        <v>LGUM_401</v>
      </c>
      <c r="AG762" s="98" t="str">
        <f>VLOOKUP(AF762,MiscData!$AD$5:$AE$77,2,FALSE)</f>
        <v xml:space="preserve">LS </v>
      </c>
      <c r="AP762" s="98" t="s">
        <v>327</v>
      </c>
      <c r="AR762" s="98">
        <v>0</v>
      </c>
    </row>
    <row r="763" spans="1:44">
      <c r="A763" s="108">
        <f t="shared" si="315"/>
        <v>760</v>
      </c>
      <c r="B763" s="109" t="str">
        <f t="shared" si="317"/>
        <v>Nov 2015</v>
      </c>
      <c r="C763" s="110" t="str">
        <f t="shared" si="318"/>
        <v xml:space="preserve">LS </v>
      </c>
      <c r="D763" s="110" t="str">
        <f t="shared" si="319"/>
        <v>LGUM_412</v>
      </c>
      <c r="E763" s="581">
        <f t="shared" si="296"/>
        <v>220</v>
      </c>
      <c r="F763" s="581">
        <f t="shared" si="297"/>
        <v>0</v>
      </c>
      <c r="G763" s="116">
        <f t="shared" si="298"/>
        <v>19.79</v>
      </c>
      <c r="H763" s="116">
        <f t="shared" si="299"/>
        <v>0.74999999999999645</v>
      </c>
      <c r="I763" s="118">
        <f t="shared" si="310"/>
        <v>4353.8</v>
      </c>
      <c r="J763" s="118">
        <f t="shared" si="300"/>
        <v>4353.8</v>
      </c>
      <c r="K763" s="570">
        <f t="shared" si="311"/>
        <v>0</v>
      </c>
      <c r="L763" s="121">
        <f t="shared" si="316"/>
        <v>0</v>
      </c>
      <c r="M763" s="122">
        <f t="shared" si="302"/>
        <v>0</v>
      </c>
      <c r="N763" s="122">
        <f t="shared" si="303"/>
        <v>0</v>
      </c>
      <c r="O763" s="122">
        <f t="shared" si="304"/>
        <v>0</v>
      </c>
      <c r="P763" s="122">
        <f t="shared" si="305"/>
        <v>0</v>
      </c>
      <c r="Q763" s="123">
        <f t="shared" si="306"/>
        <v>4353.8</v>
      </c>
      <c r="R763" s="123">
        <f t="shared" si="312"/>
        <v>-4353.8</v>
      </c>
      <c r="S763" s="582">
        <v>0</v>
      </c>
      <c r="T763" s="123">
        <f t="shared" si="313"/>
        <v>-4353.8</v>
      </c>
      <c r="U763" s="25">
        <f t="shared" si="307"/>
        <v>165</v>
      </c>
      <c r="V763" s="123">
        <f t="shared" si="308"/>
        <v>-165</v>
      </c>
      <c r="W763" s="334">
        <f t="shared" si="309"/>
        <v>57.2</v>
      </c>
      <c r="Y763" s="109">
        <f>IF(AE763=1,IF(Y762=MiscData!$F$1,EOMONTH(Y762,-11),EOMONTH(Y762,1)),Y762)</f>
        <v>42338</v>
      </c>
      <c r="Z763" s="108" t="str">
        <f t="shared" si="320"/>
        <v>20140101LGUM_412</v>
      </c>
      <c r="AA763" s="126" t="str">
        <f t="shared" si="321"/>
        <v xml:space="preserve">20140101LS </v>
      </c>
      <c r="AB763" s="583" t="str">
        <f t="shared" si="314"/>
        <v>412</v>
      </c>
      <c r="AD763" s="98">
        <f>MiscData!$X$5</f>
        <v>20140101</v>
      </c>
      <c r="AE763" s="98">
        <f>IF(AE762+1&gt;MiscData!$AC$77,1,AE762+1)</f>
        <v>30</v>
      </c>
      <c r="AF763" s="98" t="str">
        <f>VLOOKUP(AE763,MiscData!$AC$5:$AD$77,2,FALSE)</f>
        <v>LGUM_412</v>
      </c>
      <c r="AG763" s="98" t="str">
        <f>VLOOKUP(AF763,MiscData!$AD$5:$AE$77,2,FALSE)</f>
        <v xml:space="preserve">LS </v>
      </c>
      <c r="AP763" s="98" t="s">
        <v>328</v>
      </c>
      <c r="AR763" s="98">
        <v>0</v>
      </c>
    </row>
    <row r="764" spans="1:44">
      <c r="A764" s="108">
        <f t="shared" si="315"/>
        <v>761</v>
      </c>
      <c r="B764" s="109" t="str">
        <f t="shared" si="317"/>
        <v>Nov 2015</v>
      </c>
      <c r="C764" s="110" t="str">
        <f t="shared" si="318"/>
        <v xml:space="preserve">LS </v>
      </c>
      <c r="D764" s="110" t="str">
        <f t="shared" si="319"/>
        <v>LGUM_413</v>
      </c>
      <c r="E764" s="581">
        <f t="shared" si="296"/>
        <v>2033</v>
      </c>
      <c r="F764" s="581">
        <f t="shared" si="297"/>
        <v>0</v>
      </c>
      <c r="G764" s="116">
        <f t="shared" si="298"/>
        <v>20.49</v>
      </c>
      <c r="H764" s="116">
        <f t="shared" si="299"/>
        <v>1.0599999999999987</v>
      </c>
      <c r="I764" s="118">
        <f t="shared" si="310"/>
        <v>41656.17</v>
      </c>
      <c r="J764" s="118">
        <f t="shared" si="300"/>
        <v>41656.17</v>
      </c>
      <c r="K764" s="570">
        <f t="shared" si="311"/>
        <v>0</v>
      </c>
      <c r="L764" s="121">
        <f t="shared" si="316"/>
        <v>0</v>
      </c>
      <c r="M764" s="122">
        <f t="shared" si="302"/>
        <v>0</v>
      </c>
      <c r="N764" s="122">
        <f t="shared" si="303"/>
        <v>0</v>
      </c>
      <c r="O764" s="122">
        <f t="shared" si="304"/>
        <v>0</v>
      </c>
      <c r="P764" s="122">
        <f t="shared" si="305"/>
        <v>0</v>
      </c>
      <c r="Q764" s="123">
        <f t="shared" si="306"/>
        <v>41656.17</v>
      </c>
      <c r="R764" s="123">
        <f t="shared" si="312"/>
        <v>-41656.17</v>
      </c>
      <c r="S764" s="582">
        <v>0</v>
      </c>
      <c r="T764" s="123">
        <f t="shared" si="313"/>
        <v>-41656.17</v>
      </c>
      <c r="U764" s="25">
        <f t="shared" si="307"/>
        <v>2154.98</v>
      </c>
      <c r="V764" s="123">
        <f t="shared" si="308"/>
        <v>-2154.98</v>
      </c>
      <c r="W764" s="334">
        <f t="shared" si="309"/>
        <v>548.91000000000008</v>
      </c>
      <c r="Y764" s="109">
        <f>IF(AE764=1,IF(Y763=MiscData!$F$1,EOMONTH(Y763,-11),EOMONTH(Y763,1)),Y763)</f>
        <v>42338</v>
      </c>
      <c r="Z764" s="108" t="str">
        <f t="shared" si="320"/>
        <v>20140101LGUM_413</v>
      </c>
      <c r="AA764" s="126" t="str">
        <f t="shared" si="321"/>
        <v xml:space="preserve">20140101LS </v>
      </c>
      <c r="AB764" s="583" t="str">
        <f t="shared" si="314"/>
        <v>413</v>
      </c>
      <c r="AD764" s="98">
        <f>MiscData!$X$5</f>
        <v>20140101</v>
      </c>
      <c r="AE764" s="98">
        <f>IF(AE763+1&gt;MiscData!$AC$77,1,AE763+1)</f>
        <v>31</v>
      </c>
      <c r="AF764" s="98" t="str">
        <f>VLOOKUP(AE764,MiscData!$AC$5:$AD$77,2,FALSE)</f>
        <v>LGUM_413</v>
      </c>
      <c r="AG764" s="98" t="str">
        <f>VLOOKUP(AF764,MiscData!$AD$5:$AE$77,2,FALSE)</f>
        <v xml:space="preserve">LS </v>
      </c>
      <c r="AP764" s="98" t="s">
        <v>329</v>
      </c>
      <c r="AR764" s="98">
        <v>0</v>
      </c>
    </row>
    <row r="765" spans="1:44">
      <c r="A765" s="108">
        <f t="shared" si="315"/>
        <v>762</v>
      </c>
      <c r="B765" s="109" t="str">
        <f t="shared" si="317"/>
        <v>Nov 2015</v>
      </c>
      <c r="C765" s="110" t="str">
        <f t="shared" si="318"/>
        <v xml:space="preserve">LS </v>
      </c>
      <c r="D765" s="110" t="str">
        <f t="shared" si="319"/>
        <v>LGUM_415</v>
      </c>
      <c r="E765" s="581">
        <f t="shared" si="296"/>
        <v>27</v>
      </c>
      <c r="F765" s="581">
        <f t="shared" si="297"/>
        <v>0</v>
      </c>
      <c r="G765" s="116">
        <f t="shared" si="298"/>
        <v>20.18</v>
      </c>
      <c r="H765" s="116">
        <f t="shared" si="299"/>
        <v>0.75</v>
      </c>
      <c r="I765" s="118">
        <f t="shared" si="310"/>
        <v>544.86</v>
      </c>
      <c r="J765" s="118">
        <f t="shared" si="300"/>
        <v>544.86</v>
      </c>
      <c r="K765" s="570">
        <f t="shared" si="311"/>
        <v>0</v>
      </c>
      <c r="L765" s="121">
        <f t="shared" si="316"/>
        <v>0</v>
      </c>
      <c r="M765" s="122">
        <f t="shared" si="302"/>
        <v>0</v>
      </c>
      <c r="N765" s="122">
        <f t="shared" si="303"/>
        <v>0</v>
      </c>
      <c r="O765" s="122">
        <f t="shared" si="304"/>
        <v>0</v>
      </c>
      <c r="P765" s="122">
        <f t="shared" si="305"/>
        <v>0</v>
      </c>
      <c r="Q765" s="123">
        <f t="shared" si="306"/>
        <v>544.86</v>
      </c>
      <c r="R765" s="123">
        <f t="shared" si="312"/>
        <v>-544.86</v>
      </c>
      <c r="S765" s="582">
        <v>0</v>
      </c>
      <c r="T765" s="123">
        <f t="shared" si="313"/>
        <v>-544.86</v>
      </c>
      <c r="U765" s="25">
        <f t="shared" si="307"/>
        <v>20.25</v>
      </c>
      <c r="V765" s="123">
        <f t="shared" si="308"/>
        <v>-20.25</v>
      </c>
      <c r="W765" s="334">
        <f t="shared" si="309"/>
        <v>7.0200000000000005</v>
      </c>
      <c r="Y765" s="109">
        <f>IF(AE765=1,IF(Y764=MiscData!$F$1,EOMONTH(Y764,-11),EOMONTH(Y764,1)),Y764)</f>
        <v>42338</v>
      </c>
      <c r="Z765" s="108" t="str">
        <f t="shared" si="320"/>
        <v>20140101LGUM_415</v>
      </c>
      <c r="AA765" s="126" t="str">
        <f t="shared" si="321"/>
        <v xml:space="preserve">20140101LS </v>
      </c>
      <c r="AB765" s="583" t="str">
        <f t="shared" si="314"/>
        <v>415</v>
      </c>
      <c r="AD765" s="98">
        <f>MiscData!$X$5</f>
        <v>20140101</v>
      </c>
      <c r="AE765" s="98">
        <f>IF(AE764+1&gt;MiscData!$AC$77,1,AE764+1)</f>
        <v>32</v>
      </c>
      <c r="AF765" s="98" t="str">
        <f>VLOOKUP(AE765,MiscData!$AC$5:$AD$77,2,FALSE)</f>
        <v>LGUM_415</v>
      </c>
      <c r="AG765" s="98" t="str">
        <f>VLOOKUP(AF765,MiscData!$AD$5:$AE$77,2,FALSE)</f>
        <v xml:space="preserve">LS </v>
      </c>
      <c r="AP765" s="98" t="s">
        <v>609</v>
      </c>
      <c r="AR765" s="98">
        <v>0</v>
      </c>
    </row>
    <row r="766" spans="1:44">
      <c r="A766" s="108">
        <f t="shared" si="315"/>
        <v>763</v>
      </c>
      <c r="B766" s="109" t="str">
        <f t="shared" si="317"/>
        <v>Nov 2015</v>
      </c>
      <c r="C766" s="110" t="str">
        <f t="shared" si="318"/>
        <v xml:space="preserve">LS </v>
      </c>
      <c r="D766" s="110" t="str">
        <f t="shared" si="319"/>
        <v>LGUM_416</v>
      </c>
      <c r="E766" s="581">
        <f t="shared" si="296"/>
        <v>1778</v>
      </c>
      <c r="F766" s="581">
        <f t="shared" si="297"/>
        <v>0</v>
      </c>
      <c r="G766" s="116">
        <f t="shared" si="298"/>
        <v>22.56</v>
      </c>
      <c r="H766" s="116">
        <f t="shared" si="299"/>
        <v>1.0599999999999987</v>
      </c>
      <c r="I766" s="118">
        <f t="shared" si="310"/>
        <v>40111.68</v>
      </c>
      <c r="J766" s="118">
        <f t="shared" si="300"/>
        <v>40111.68</v>
      </c>
      <c r="K766" s="570">
        <f t="shared" si="311"/>
        <v>0</v>
      </c>
      <c r="L766" s="121">
        <f t="shared" si="316"/>
        <v>0</v>
      </c>
      <c r="M766" s="122">
        <f t="shared" si="302"/>
        <v>0</v>
      </c>
      <c r="N766" s="122">
        <f t="shared" si="303"/>
        <v>0</v>
      </c>
      <c r="O766" s="122">
        <f t="shared" si="304"/>
        <v>0</v>
      </c>
      <c r="P766" s="122">
        <f t="shared" si="305"/>
        <v>0</v>
      </c>
      <c r="Q766" s="123">
        <f t="shared" si="306"/>
        <v>40111.68</v>
      </c>
      <c r="R766" s="123">
        <f t="shared" si="312"/>
        <v>-40111.68</v>
      </c>
      <c r="S766" s="582">
        <v>0</v>
      </c>
      <c r="T766" s="123">
        <f t="shared" si="313"/>
        <v>-40111.68</v>
      </c>
      <c r="U766" s="25">
        <f t="shared" si="307"/>
        <v>1884.68</v>
      </c>
      <c r="V766" s="123">
        <f t="shared" si="308"/>
        <v>-1884.68</v>
      </c>
      <c r="W766" s="334">
        <f t="shared" si="309"/>
        <v>480.06000000000006</v>
      </c>
      <c r="Y766" s="109">
        <f>IF(AE766=1,IF(Y765=MiscData!$F$1,EOMONTH(Y765,-11),EOMONTH(Y765,1)),Y765)</f>
        <v>42338</v>
      </c>
      <c r="Z766" s="108" t="str">
        <f t="shared" si="320"/>
        <v>20140101LGUM_416</v>
      </c>
      <c r="AA766" s="126" t="str">
        <f t="shared" si="321"/>
        <v xml:space="preserve">20140101LS </v>
      </c>
      <c r="AB766" s="583" t="str">
        <f t="shared" si="314"/>
        <v>416</v>
      </c>
      <c r="AD766" s="98">
        <f>MiscData!$X$5</f>
        <v>20140101</v>
      </c>
      <c r="AE766" s="98">
        <f>IF(AE765+1&gt;MiscData!$AC$77,1,AE765+1)</f>
        <v>33</v>
      </c>
      <c r="AF766" s="98" t="str">
        <f>VLOOKUP(AE766,MiscData!$AC$5:$AD$77,2,FALSE)</f>
        <v>LGUM_416</v>
      </c>
      <c r="AG766" s="98" t="str">
        <f>VLOOKUP(AF766,MiscData!$AD$5:$AE$77,2,FALSE)</f>
        <v xml:space="preserve">LS </v>
      </c>
      <c r="AP766" s="98" t="s">
        <v>330</v>
      </c>
      <c r="AR766" s="98">
        <v>102.82</v>
      </c>
    </row>
    <row r="767" spans="1:44">
      <c r="A767" s="108">
        <f t="shared" si="315"/>
        <v>764</v>
      </c>
      <c r="B767" s="109" t="str">
        <f t="shared" si="317"/>
        <v>Nov 2015</v>
      </c>
      <c r="C767" s="110" t="str">
        <f t="shared" si="318"/>
        <v>RLS</v>
      </c>
      <c r="D767" s="110" t="str">
        <f t="shared" si="319"/>
        <v>LGUM_417</v>
      </c>
      <c r="E767" s="581">
        <f t="shared" si="296"/>
        <v>35</v>
      </c>
      <c r="F767" s="581">
        <f t="shared" si="297"/>
        <v>0</v>
      </c>
      <c r="G767" s="116">
        <f t="shared" si="298"/>
        <v>23.68</v>
      </c>
      <c r="H767" s="116">
        <f t="shared" si="299"/>
        <v>1.0300000000000011</v>
      </c>
      <c r="I767" s="118">
        <f t="shared" si="310"/>
        <v>828.8</v>
      </c>
      <c r="J767" s="118">
        <f t="shared" si="300"/>
        <v>828.8</v>
      </c>
      <c r="K767" s="570">
        <f t="shared" si="311"/>
        <v>0</v>
      </c>
      <c r="L767" s="121">
        <f t="shared" si="316"/>
        <v>0</v>
      </c>
      <c r="M767" s="122">
        <f t="shared" si="302"/>
        <v>0</v>
      </c>
      <c r="N767" s="122">
        <f t="shared" si="303"/>
        <v>0</v>
      </c>
      <c r="O767" s="122">
        <f t="shared" si="304"/>
        <v>0</v>
      </c>
      <c r="P767" s="122">
        <f t="shared" si="305"/>
        <v>0</v>
      </c>
      <c r="Q767" s="123">
        <f t="shared" si="306"/>
        <v>828.8</v>
      </c>
      <c r="R767" s="123">
        <f t="shared" si="312"/>
        <v>-828.8</v>
      </c>
      <c r="S767" s="582">
        <v>0</v>
      </c>
      <c r="T767" s="123">
        <f t="shared" si="313"/>
        <v>-828.8</v>
      </c>
      <c r="U767" s="25">
        <f t="shared" si="307"/>
        <v>36.049999999999997</v>
      </c>
      <c r="V767" s="123">
        <f t="shared" si="308"/>
        <v>-36.049999999999997</v>
      </c>
      <c r="W767" s="334">
        <f t="shared" si="309"/>
        <v>9.4500000000000011</v>
      </c>
      <c r="Y767" s="109">
        <f>IF(AE767=1,IF(Y766=MiscData!$F$1,EOMONTH(Y766,-11),EOMONTH(Y766,1)),Y766)</f>
        <v>42338</v>
      </c>
      <c r="Z767" s="108" t="str">
        <f t="shared" si="320"/>
        <v>20140101LGUM_417</v>
      </c>
      <c r="AA767" s="126" t="str">
        <f t="shared" si="321"/>
        <v>20140101RLS</v>
      </c>
      <c r="AB767" s="583" t="str">
        <f t="shared" si="314"/>
        <v>417</v>
      </c>
      <c r="AD767" s="98">
        <f>MiscData!$X$5</f>
        <v>20140101</v>
      </c>
      <c r="AE767" s="98">
        <f>IF(AE766+1&gt;MiscData!$AC$77,1,AE766+1)</f>
        <v>34</v>
      </c>
      <c r="AF767" s="98" t="str">
        <f>VLOOKUP(AE767,MiscData!$AC$5:$AD$77,2,FALSE)</f>
        <v>LGUM_417</v>
      </c>
      <c r="AG767" s="98" t="str">
        <f>VLOOKUP(AF767,MiscData!$AD$5:$AE$77,2,FALSE)</f>
        <v>RLS</v>
      </c>
      <c r="AP767" s="98" t="s">
        <v>331</v>
      </c>
      <c r="AR767" s="98">
        <v>0</v>
      </c>
    </row>
    <row r="768" spans="1:44">
      <c r="A768" s="108">
        <f t="shared" si="315"/>
        <v>765</v>
      </c>
      <c r="B768" s="109" t="str">
        <f t="shared" si="317"/>
        <v>Nov 2015</v>
      </c>
      <c r="C768" s="110" t="str">
        <f t="shared" si="318"/>
        <v>RLS</v>
      </c>
      <c r="D768" s="110" t="str">
        <f t="shared" si="319"/>
        <v>LGUM_419</v>
      </c>
      <c r="E768" s="581">
        <f t="shared" si="296"/>
        <v>111</v>
      </c>
      <c r="F768" s="581">
        <f t="shared" si="297"/>
        <v>0</v>
      </c>
      <c r="G768" s="116">
        <f t="shared" si="298"/>
        <v>24.77</v>
      </c>
      <c r="H768" s="116">
        <f t="shared" si="299"/>
        <v>1.6499999999999986</v>
      </c>
      <c r="I768" s="118">
        <f t="shared" si="310"/>
        <v>2749.47</v>
      </c>
      <c r="J768" s="118">
        <f t="shared" si="300"/>
        <v>2749.47</v>
      </c>
      <c r="K768" s="570">
        <f t="shared" si="311"/>
        <v>0</v>
      </c>
      <c r="L768" s="121">
        <f t="shared" si="316"/>
        <v>0</v>
      </c>
      <c r="M768" s="122">
        <f t="shared" si="302"/>
        <v>0</v>
      </c>
      <c r="N768" s="122">
        <f t="shared" si="303"/>
        <v>0</v>
      </c>
      <c r="O768" s="122">
        <f t="shared" si="304"/>
        <v>0</v>
      </c>
      <c r="P768" s="122">
        <f t="shared" si="305"/>
        <v>0</v>
      </c>
      <c r="Q768" s="123">
        <f t="shared" si="306"/>
        <v>2749.47</v>
      </c>
      <c r="R768" s="123">
        <f t="shared" si="312"/>
        <v>-2749.47</v>
      </c>
      <c r="S768" s="582">
        <v>0</v>
      </c>
      <c r="T768" s="123">
        <f t="shared" si="313"/>
        <v>-2749.47</v>
      </c>
      <c r="U768" s="25">
        <f t="shared" si="307"/>
        <v>183.15</v>
      </c>
      <c r="V768" s="123">
        <f t="shared" si="308"/>
        <v>-183.15</v>
      </c>
      <c r="W768" s="334">
        <f t="shared" si="309"/>
        <v>41.07</v>
      </c>
      <c r="Y768" s="109">
        <f>IF(AE768=1,IF(Y767=MiscData!$F$1,EOMONTH(Y767,-11),EOMONTH(Y767,1)),Y767)</f>
        <v>42338</v>
      </c>
      <c r="Z768" s="108" t="str">
        <f t="shared" si="320"/>
        <v>20140101LGUM_419</v>
      </c>
      <c r="AA768" s="126" t="str">
        <f t="shared" si="321"/>
        <v>20140101RLS</v>
      </c>
      <c r="AB768" s="583" t="str">
        <f t="shared" si="314"/>
        <v>419</v>
      </c>
      <c r="AD768" s="98">
        <f>MiscData!$X$5</f>
        <v>20140101</v>
      </c>
      <c r="AE768" s="98">
        <f>IF(AE767+1&gt;MiscData!$AC$77,1,AE767+1)</f>
        <v>35</v>
      </c>
      <c r="AF768" s="98" t="str">
        <f>VLOOKUP(AE768,MiscData!$AC$5:$AD$77,2,FALSE)</f>
        <v>LGUM_419</v>
      </c>
      <c r="AG768" s="98" t="str">
        <f>VLOOKUP(AF768,MiscData!$AD$5:$AE$77,2,FALSE)</f>
        <v>RLS</v>
      </c>
      <c r="AP768" s="98" t="s">
        <v>332</v>
      </c>
      <c r="AR768" s="98">
        <v>0</v>
      </c>
    </row>
    <row r="769" spans="1:44">
      <c r="A769" s="108">
        <f t="shared" si="315"/>
        <v>766</v>
      </c>
      <c r="B769" s="109" t="str">
        <f t="shared" si="317"/>
        <v>Nov 2015</v>
      </c>
      <c r="C769" s="110" t="str">
        <f t="shared" si="318"/>
        <v xml:space="preserve">LS </v>
      </c>
      <c r="D769" s="110" t="str">
        <f t="shared" si="319"/>
        <v>LGUM_420</v>
      </c>
      <c r="E769" s="581">
        <f t="shared" si="296"/>
        <v>53</v>
      </c>
      <c r="F769" s="581">
        <f t="shared" si="297"/>
        <v>0</v>
      </c>
      <c r="G769" s="116">
        <f t="shared" si="298"/>
        <v>29.889999999999997</v>
      </c>
      <c r="H769" s="116">
        <f t="shared" si="299"/>
        <v>1.6499999999999986</v>
      </c>
      <c r="I769" s="118">
        <f t="shared" si="310"/>
        <v>1584.17</v>
      </c>
      <c r="J769" s="118">
        <f t="shared" si="300"/>
        <v>1584.17</v>
      </c>
      <c r="K769" s="570">
        <f t="shared" si="311"/>
        <v>0</v>
      </c>
      <c r="L769" s="121">
        <f t="shared" si="316"/>
        <v>0</v>
      </c>
      <c r="M769" s="122">
        <f t="shared" si="302"/>
        <v>0</v>
      </c>
      <c r="N769" s="122">
        <f t="shared" si="303"/>
        <v>0</v>
      </c>
      <c r="O769" s="122">
        <f t="shared" si="304"/>
        <v>0</v>
      </c>
      <c r="P769" s="122">
        <f t="shared" si="305"/>
        <v>0</v>
      </c>
      <c r="Q769" s="123">
        <f t="shared" si="306"/>
        <v>1584.17</v>
      </c>
      <c r="R769" s="123">
        <f t="shared" si="312"/>
        <v>-1584.17</v>
      </c>
      <c r="S769" s="582">
        <v>0</v>
      </c>
      <c r="T769" s="123">
        <f t="shared" si="313"/>
        <v>-1584.17</v>
      </c>
      <c r="U769" s="25">
        <f t="shared" si="307"/>
        <v>87.45</v>
      </c>
      <c r="V769" s="123">
        <f t="shared" si="308"/>
        <v>-87.45</v>
      </c>
      <c r="W769" s="334">
        <f t="shared" si="309"/>
        <v>12.719999999999999</v>
      </c>
      <c r="Y769" s="109">
        <f>IF(AE769=1,IF(Y768=MiscData!$F$1,EOMONTH(Y768,-11),EOMONTH(Y768,1)),Y768)</f>
        <v>42338</v>
      </c>
      <c r="Z769" s="108" t="str">
        <f t="shared" si="320"/>
        <v>20140101LGUM_420</v>
      </c>
      <c r="AA769" s="126" t="str">
        <f t="shared" si="321"/>
        <v xml:space="preserve">20140101LS </v>
      </c>
      <c r="AB769" s="583" t="str">
        <f t="shared" si="314"/>
        <v>420</v>
      </c>
      <c r="AD769" s="98">
        <f>MiscData!$X$5</f>
        <v>20140101</v>
      </c>
      <c r="AE769" s="98">
        <f>IF(AE768+1&gt;MiscData!$AC$77,1,AE768+1)</f>
        <v>36</v>
      </c>
      <c r="AF769" s="98" t="str">
        <f>VLOOKUP(AE769,MiscData!$AC$5:$AD$77,2,FALSE)</f>
        <v>LGUM_420</v>
      </c>
      <c r="AG769" s="98" t="str">
        <f>VLOOKUP(AF769,MiscData!$AD$5:$AE$77,2,FALSE)</f>
        <v xml:space="preserve">LS </v>
      </c>
      <c r="AP769" s="98" t="s">
        <v>333</v>
      </c>
      <c r="AR769" s="98">
        <v>80.569999999999993</v>
      </c>
    </row>
    <row r="770" spans="1:44">
      <c r="A770" s="108">
        <f t="shared" si="315"/>
        <v>767</v>
      </c>
      <c r="B770" s="109" t="str">
        <f t="shared" si="317"/>
        <v>Nov 2015</v>
      </c>
      <c r="C770" s="110" t="str">
        <f t="shared" si="318"/>
        <v xml:space="preserve">LS </v>
      </c>
      <c r="D770" s="110" t="str">
        <f t="shared" si="319"/>
        <v>LGUM_421</v>
      </c>
      <c r="E770" s="581">
        <f t="shared" si="296"/>
        <v>174</v>
      </c>
      <c r="F770" s="581">
        <f t="shared" si="297"/>
        <v>0</v>
      </c>
      <c r="G770" s="116">
        <f t="shared" si="298"/>
        <v>32.860000000000007</v>
      </c>
      <c r="H770" s="116">
        <f t="shared" si="299"/>
        <v>2.6700000000000017</v>
      </c>
      <c r="I770" s="118">
        <f t="shared" si="310"/>
        <v>5717.64</v>
      </c>
      <c r="J770" s="118">
        <f t="shared" si="300"/>
        <v>5717.64</v>
      </c>
      <c r="K770" s="570">
        <f t="shared" si="311"/>
        <v>0</v>
      </c>
      <c r="L770" s="121">
        <f t="shared" si="316"/>
        <v>0</v>
      </c>
      <c r="M770" s="122">
        <f t="shared" si="302"/>
        <v>0</v>
      </c>
      <c r="N770" s="122">
        <f t="shared" si="303"/>
        <v>0</v>
      </c>
      <c r="O770" s="122">
        <f t="shared" si="304"/>
        <v>0</v>
      </c>
      <c r="P770" s="122">
        <f t="shared" si="305"/>
        <v>0</v>
      </c>
      <c r="Q770" s="123">
        <f t="shared" si="306"/>
        <v>5717.64</v>
      </c>
      <c r="R770" s="123">
        <f t="shared" si="312"/>
        <v>-5717.64</v>
      </c>
      <c r="S770" s="582">
        <v>0</v>
      </c>
      <c r="T770" s="123">
        <f t="shared" si="313"/>
        <v>-5717.64</v>
      </c>
      <c r="U770" s="25">
        <f t="shared" si="307"/>
        <v>464.58</v>
      </c>
      <c r="V770" s="123">
        <f t="shared" si="308"/>
        <v>-464.58</v>
      </c>
      <c r="W770" s="334">
        <f t="shared" si="309"/>
        <v>46.980000000000004</v>
      </c>
      <c r="Y770" s="109">
        <f>IF(AE770=1,IF(Y769=MiscData!$F$1,EOMONTH(Y769,-11),EOMONTH(Y769,1)),Y769)</f>
        <v>42338</v>
      </c>
      <c r="Z770" s="108" t="str">
        <f t="shared" si="320"/>
        <v>20140101LGUM_421</v>
      </c>
      <c r="AA770" s="126" t="str">
        <f t="shared" si="321"/>
        <v xml:space="preserve">20140101LS </v>
      </c>
      <c r="AB770" s="583" t="str">
        <f t="shared" si="314"/>
        <v>421</v>
      </c>
      <c r="AD770" s="98">
        <f>MiscData!$X$5</f>
        <v>20140101</v>
      </c>
      <c r="AE770" s="98">
        <f>IF(AE769+1&gt;MiscData!$AC$77,1,AE769+1)</f>
        <v>37</v>
      </c>
      <c r="AF770" s="98" t="str">
        <f>VLOOKUP(AE770,MiscData!$AC$5:$AD$77,2,FALSE)</f>
        <v>LGUM_421</v>
      </c>
      <c r="AG770" s="98" t="str">
        <f>VLOOKUP(AF770,MiscData!$AD$5:$AE$77,2,FALSE)</f>
        <v xml:space="preserve">LS </v>
      </c>
      <c r="AP770" s="98" t="s">
        <v>334</v>
      </c>
      <c r="AR770" s="98">
        <v>0</v>
      </c>
    </row>
    <row r="771" spans="1:44">
      <c r="A771" s="108">
        <f t="shared" si="315"/>
        <v>768</v>
      </c>
      <c r="B771" s="109" t="str">
        <f t="shared" si="317"/>
        <v>Nov 2015</v>
      </c>
      <c r="C771" s="110" t="str">
        <f t="shared" si="318"/>
        <v xml:space="preserve">LS </v>
      </c>
      <c r="D771" s="110" t="str">
        <f t="shared" si="319"/>
        <v>LGUM_422</v>
      </c>
      <c r="E771" s="581">
        <f t="shared" si="296"/>
        <v>358</v>
      </c>
      <c r="F771" s="581">
        <f t="shared" si="297"/>
        <v>0</v>
      </c>
      <c r="G771" s="116">
        <f t="shared" si="298"/>
        <v>38.389999999999993</v>
      </c>
      <c r="H771" s="116">
        <f t="shared" si="299"/>
        <v>4.279999999999994</v>
      </c>
      <c r="I771" s="118">
        <f t="shared" si="310"/>
        <v>13743.62</v>
      </c>
      <c r="J771" s="118">
        <f t="shared" si="300"/>
        <v>13743.62</v>
      </c>
      <c r="K771" s="570">
        <f t="shared" si="311"/>
        <v>0</v>
      </c>
      <c r="L771" s="121">
        <f t="shared" si="316"/>
        <v>0</v>
      </c>
      <c r="M771" s="122">
        <f t="shared" si="302"/>
        <v>0</v>
      </c>
      <c r="N771" s="122">
        <f t="shared" si="303"/>
        <v>0</v>
      </c>
      <c r="O771" s="122">
        <f t="shared" si="304"/>
        <v>0</v>
      </c>
      <c r="P771" s="122">
        <f t="shared" si="305"/>
        <v>0</v>
      </c>
      <c r="Q771" s="123">
        <f t="shared" si="306"/>
        <v>13743.62</v>
      </c>
      <c r="R771" s="123">
        <f t="shared" si="312"/>
        <v>-13743.62</v>
      </c>
      <c r="S771" s="582">
        <v>0</v>
      </c>
      <c r="T771" s="123">
        <f t="shared" si="313"/>
        <v>-13743.62</v>
      </c>
      <c r="U771" s="25">
        <f t="shared" si="307"/>
        <v>1532.24</v>
      </c>
      <c r="V771" s="123">
        <f t="shared" si="308"/>
        <v>-1532.24</v>
      </c>
      <c r="W771" s="334">
        <f t="shared" si="309"/>
        <v>103.82</v>
      </c>
      <c r="Y771" s="109">
        <f>IF(AE771=1,IF(Y770=MiscData!$F$1,EOMONTH(Y770,-11),EOMONTH(Y770,1)),Y770)</f>
        <v>42338</v>
      </c>
      <c r="Z771" s="108" t="str">
        <f t="shared" si="320"/>
        <v>20140101LGUM_422</v>
      </c>
      <c r="AA771" s="126" t="str">
        <f t="shared" si="321"/>
        <v xml:space="preserve">20140101LS </v>
      </c>
      <c r="AB771" s="583" t="str">
        <f t="shared" si="314"/>
        <v>422</v>
      </c>
      <c r="AD771" s="98">
        <f>MiscData!$X$5</f>
        <v>20140101</v>
      </c>
      <c r="AE771" s="98">
        <f>IF(AE770+1&gt;MiscData!$AC$77,1,AE770+1)</f>
        <v>38</v>
      </c>
      <c r="AF771" s="98" t="str">
        <f>VLOOKUP(AE771,MiscData!$AC$5:$AD$77,2,FALSE)</f>
        <v>LGUM_422</v>
      </c>
      <c r="AG771" s="98" t="str">
        <f>VLOOKUP(AF771,MiscData!$AD$5:$AE$77,2,FALSE)</f>
        <v xml:space="preserve">LS </v>
      </c>
      <c r="AP771" s="98" t="s">
        <v>616</v>
      </c>
      <c r="AR771" s="98">
        <v>0</v>
      </c>
    </row>
    <row r="772" spans="1:44">
      <c r="A772" s="108">
        <f t="shared" si="315"/>
        <v>769</v>
      </c>
      <c r="B772" s="109" t="str">
        <f t="shared" si="317"/>
        <v>Nov 2015</v>
      </c>
      <c r="C772" s="110" t="str">
        <f t="shared" si="318"/>
        <v xml:space="preserve">LS </v>
      </c>
      <c r="D772" s="110" t="str">
        <f t="shared" si="319"/>
        <v>LGUM_423</v>
      </c>
      <c r="E772" s="581">
        <f t="shared" ref="E772:E835" si="322">SUMIFS(L_1055_Count_Total,L_1055_Revenue_Month,$B772,L_1055_RateCategory,$D772)</f>
        <v>17</v>
      </c>
      <c r="F772" s="581">
        <f t="shared" ref="F772:F835" si="323">SUMIFS(L_SBR_KWH,L_SBR_Rate_Category,$D772,L_SBR_Revenue_Month,$B772)</f>
        <v>0</v>
      </c>
      <c r="G772" s="116">
        <f t="shared" ref="G772:G835" si="324">SUMIF(L_LightingRates_Tariff_Rate_Category,$Z772,L_LightingRates_UnitCharge)</f>
        <v>26.349999999999998</v>
      </c>
      <c r="H772" s="116">
        <f t="shared" ref="H772:H835" si="325">SUMIF(L_LightingRates_Tariff_Rate_Category,$Z772,L_LightingRates_FAC_Rate)</f>
        <v>1.6500000000000021</v>
      </c>
      <c r="I772" s="118">
        <f t="shared" si="310"/>
        <v>447.95</v>
      </c>
      <c r="J772" s="118">
        <f t="shared" ref="J772:J835" si="326">SUM(I772:I772)</f>
        <v>447.95</v>
      </c>
      <c r="K772" s="570">
        <f t="shared" si="311"/>
        <v>0</v>
      </c>
      <c r="L772" s="121">
        <f t="shared" si="316"/>
        <v>0</v>
      </c>
      <c r="M772" s="122">
        <f t="shared" ref="M772:M835" si="327">SUMIFS(L_SBR_FAC,L_SBR_Revenue_Month,$B772,L_SBR_Rate_Category,$D772)</f>
        <v>0</v>
      </c>
      <c r="N772" s="122">
        <f t="shared" ref="N772:N835" si="328">SUMIFS(L_SBR_ECR,L_SBR_Revenue_Month,$B772,L_SBR_Rate_Category,$D772)</f>
        <v>0</v>
      </c>
      <c r="O772" s="122">
        <f t="shared" ref="O772:O835" si="329">SUMIFS(L_SBR_MSR,L_SBR_Revenue_Month,$B772,L_SBR_Rate_Category,$D772)</f>
        <v>0</v>
      </c>
      <c r="P772" s="122">
        <f t="shared" ref="P772:P835" si="330">SUMIFS(L_SBR_Revenue_Total,L_SBR_Revenue_Month,$B772,L_SBR_Rate_Category,$D772)</f>
        <v>0</v>
      </c>
      <c r="Q772" s="123">
        <f t="shared" ref="Q772:Q835" si="331">SUM(J772,M772:O772)</f>
        <v>447.95</v>
      </c>
      <c r="R772" s="123">
        <f t="shared" si="312"/>
        <v>-447.95</v>
      </c>
      <c r="S772" s="582">
        <v>0</v>
      </c>
      <c r="T772" s="123">
        <f t="shared" si="313"/>
        <v>-447.95</v>
      </c>
      <c r="U772" s="25">
        <f t="shared" ref="U772:U835" si="332">ROUND(E772*H772,2)</f>
        <v>28.05</v>
      </c>
      <c r="V772" s="123">
        <f t="shared" ref="V772:V835" si="333">K772-U772</f>
        <v>-28.05</v>
      </c>
      <c r="W772" s="334">
        <f t="shared" ref="W772:W835" si="334">SUMIF(L_LightingRates_Tariff_Rate_Category,$Z772,L_LightingRates_ECR_Rate)*E772</f>
        <v>4.08</v>
      </c>
      <c r="Y772" s="109">
        <f>IF(AE772=1,IF(Y771=MiscData!$F$1,EOMONTH(Y771,-11),EOMONTH(Y771,1)),Y771)</f>
        <v>42338</v>
      </c>
      <c r="Z772" s="108" t="str">
        <f t="shared" si="320"/>
        <v>20140101LGUM_423</v>
      </c>
      <c r="AA772" s="126" t="str">
        <f t="shared" si="321"/>
        <v xml:space="preserve">20140101LS </v>
      </c>
      <c r="AB772" s="583" t="str">
        <f t="shared" si="314"/>
        <v>423</v>
      </c>
      <c r="AD772" s="98">
        <f>MiscData!$X$5</f>
        <v>20140101</v>
      </c>
      <c r="AE772" s="98">
        <f>IF(AE771+1&gt;MiscData!$AC$77,1,AE771+1)</f>
        <v>39</v>
      </c>
      <c r="AF772" s="98" t="str">
        <f>VLOOKUP(AE772,MiscData!$AC$5:$AD$77,2,FALSE)</f>
        <v>LGUM_423</v>
      </c>
      <c r="AG772" s="98" t="str">
        <f>VLOOKUP(AF772,MiscData!$AD$5:$AE$77,2,FALSE)</f>
        <v xml:space="preserve">LS </v>
      </c>
      <c r="AP772" s="98" t="s">
        <v>618</v>
      </c>
      <c r="AR772" s="98">
        <v>0</v>
      </c>
    </row>
    <row r="773" spans="1:44">
      <c r="A773" s="108">
        <f t="shared" si="315"/>
        <v>770</v>
      </c>
      <c r="B773" s="109" t="str">
        <f t="shared" si="317"/>
        <v>Nov 2015</v>
      </c>
      <c r="C773" s="110" t="str">
        <f t="shared" si="318"/>
        <v xml:space="preserve">LS </v>
      </c>
      <c r="D773" s="110" t="str">
        <f t="shared" si="319"/>
        <v>LGUM_424</v>
      </c>
      <c r="E773" s="581">
        <f t="shared" si="322"/>
        <v>363</v>
      </c>
      <c r="F773" s="581">
        <f t="shared" si="323"/>
        <v>0</v>
      </c>
      <c r="G773" s="116">
        <f t="shared" si="324"/>
        <v>28.45</v>
      </c>
      <c r="H773" s="116">
        <f t="shared" si="325"/>
        <v>3.9800000000000004</v>
      </c>
      <c r="I773" s="118">
        <f t="shared" ref="I773:I836" si="335">ROUND($E773*$G773,2)</f>
        <v>10327.35</v>
      </c>
      <c r="J773" s="118">
        <f t="shared" si="326"/>
        <v>10327.35</v>
      </c>
      <c r="K773" s="570">
        <f t="shared" ref="K773:K836" si="336">P773-SUM(M773:O773)</f>
        <v>0</v>
      </c>
      <c r="L773" s="121">
        <f t="shared" si="316"/>
        <v>0</v>
      </c>
      <c r="M773" s="122">
        <f t="shared" si="327"/>
        <v>0</v>
      </c>
      <c r="N773" s="122">
        <f t="shared" si="328"/>
        <v>0</v>
      </c>
      <c r="O773" s="122">
        <f t="shared" si="329"/>
        <v>0</v>
      </c>
      <c r="P773" s="122">
        <f t="shared" si="330"/>
        <v>0</v>
      </c>
      <c r="Q773" s="123">
        <f t="shared" si="331"/>
        <v>10327.35</v>
      </c>
      <c r="R773" s="123">
        <f t="shared" ref="R773:R836" si="337">ROUND(P773-Q773,2)</f>
        <v>-10327.35</v>
      </c>
      <c r="S773" s="582">
        <v>0</v>
      </c>
      <c r="T773" s="123">
        <f t="shared" ref="T773:T836" si="338">R773-S773</f>
        <v>-10327.35</v>
      </c>
      <c r="U773" s="25">
        <f t="shared" si="332"/>
        <v>1444.74</v>
      </c>
      <c r="V773" s="123">
        <f t="shared" si="333"/>
        <v>-1444.74</v>
      </c>
      <c r="W773" s="334">
        <f t="shared" si="334"/>
        <v>98.01</v>
      </c>
      <c r="Y773" s="109">
        <f>IF(AE773=1,IF(Y772=MiscData!$F$1,EOMONTH(Y772,-11),EOMONTH(Y772,1)),Y772)</f>
        <v>42338</v>
      </c>
      <c r="Z773" s="108" t="str">
        <f t="shared" si="320"/>
        <v>20140101LGUM_424</v>
      </c>
      <c r="AA773" s="126" t="str">
        <f t="shared" si="321"/>
        <v xml:space="preserve">20140101LS </v>
      </c>
      <c r="AB773" s="583" t="str">
        <f t="shared" ref="AB773:AB836" si="339">RIGHT(AF773,3)</f>
        <v>424</v>
      </c>
      <c r="AD773" s="98">
        <f>MiscData!$X$5</f>
        <v>20140101</v>
      </c>
      <c r="AE773" s="98">
        <f>IF(AE772+1&gt;MiscData!$AC$77,1,AE772+1)</f>
        <v>40</v>
      </c>
      <c r="AF773" s="98" t="str">
        <f>VLOOKUP(AE773,MiscData!$AC$5:$AD$77,2,FALSE)</f>
        <v>LGUM_424</v>
      </c>
      <c r="AG773" s="98" t="str">
        <f>VLOOKUP(AF773,MiscData!$AD$5:$AE$77,2,FALSE)</f>
        <v xml:space="preserve">LS </v>
      </c>
      <c r="AP773" s="98" t="s">
        <v>620</v>
      </c>
      <c r="AR773" s="98">
        <v>0</v>
      </c>
    </row>
    <row r="774" spans="1:44">
      <c r="A774" s="108">
        <f t="shared" si="315"/>
        <v>771</v>
      </c>
      <c r="B774" s="109" t="str">
        <f t="shared" si="317"/>
        <v>Nov 2015</v>
      </c>
      <c r="C774" s="110" t="str">
        <f t="shared" si="318"/>
        <v xml:space="preserve">LS </v>
      </c>
      <c r="D774" s="110" t="str">
        <f t="shared" si="319"/>
        <v>LGUM_425</v>
      </c>
      <c r="E774" s="581">
        <f t="shared" si="322"/>
        <v>31</v>
      </c>
      <c r="F774" s="581">
        <f t="shared" si="323"/>
        <v>0</v>
      </c>
      <c r="G774" s="116">
        <f t="shared" si="324"/>
        <v>34.029999999999994</v>
      </c>
      <c r="H774" s="116">
        <f t="shared" si="325"/>
        <v>4.2799999999999976</v>
      </c>
      <c r="I774" s="118">
        <f t="shared" si="335"/>
        <v>1054.93</v>
      </c>
      <c r="J774" s="118">
        <f t="shared" si="326"/>
        <v>1054.93</v>
      </c>
      <c r="K774" s="570">
        <f t="shared" si="336"/>
        <v>0</v>
      </c>
      <c r="L774" s="121">
        <f t="shared" si="316"/>
        <v>0</v>
      </c>
      <c r="M774" s="122">
        <f t="shared" si="327"/>
        <v>0</v>
      </c>
      <c r="N774" s="122">
        <f t="shared" si="328"/>
        <v>0</v>
      </c>
      <c r="O774" s="122">
        <f t="shared" si="329"/>
        <v>0</v>
      </c>
      <c r="P774" s="122">
        <f t="shared" si="330"/>
        <v>0</v>
      </c>
      <c r="Q774" s="123">
        <f t="shared" si="331"/>
        <v>1054.93</v>
      </c>
      <c r="R774" s="123">
        <f t="shared" si="337"/>
        <v>-1054.93</v>
      </c>
      <c r="S774" s="582">
        <v>0</v>
      </c>
      <c r="T774" s="123">
        <f t="shared" si="338"/>
        <v>-1054.93</v>
      </c>
      <c r="U774" s="25">
        <f t="shared" si="332"/>
        <v>132.68</v>
      </c>
      <c r="V774" s="123">
        <f t="shared" si="333"/>
        <v>-132.68</v>
      </c>
      <c r="W774" s="334">
        <f t="shared" si="334"/>
        <v>8.99</v>
      </c>
      <c r="Y774" s="109">
        <f>IF(AE774=1,IF(Y773=MiscData!$F$1,EOMONTH(Y773,-11),EOMONTH(Y773,1)),Y773)</f>
        <v>42338</v>
      </c>
      <c r="Z774" s="108" t="str">
        <f t="shared" si="320"/>
        <v>20140101LGUM_425</v>
      </c>
      <c r="AA774" s="126" t="str">
        <f t="shared" si="321"/>
        <v xml:space="preserve">20140101LS </v>
      </c>
      <c r="AB774" s="583" t="str">
        <f t="shared" si="339"/>
        <v>425</v>
      </c>
      <c r="AD774" s="98">
        <f>MiscData!$X$5</f>
        <v>20140101</v>
      </c>
      <c r="AE774" s="98">
        <f>IF(AE773+1&gt;MiscData!$AC$77,1,AE773+1)</f>
        <v>41</v>
      </c>
      <c r="AF774" s="98" t="str">
        <f>VLOOKUP(AE774,MiscData!$AC$5:$AD$77,2,FALSE)</f>
        <v>LGUM_425</v>
      </c>
      <c r="AG774" s="98" t="str">
        <f>VLOOKUP(AF774,MiscData!$AD$5:$AE$77,2,FALSE)</f>
        <v xml:space="preserve">LS </v>
      </c>
      <c r="AP774" s="98" t="s">
        <v>360</v>
      </c>
      <c r="AR774" s="98">
        <v>0</v>
      </c>
    </row>
    <row r="775" spans="1:44">
      <c r="A775" s="108">
        <f t="shared" ref="A775:A838" si="340">A774+1</f>
        <v>772</v>
      </c>
      <c r="B775" s="109" t="str">
        <f t="shared" si="317"/>
        <v>Nov 2015</v>
      </c>
      <c r="C775" s="110" t="str">
        <f t="shared" si="318"/>
        <v>RLS</v>
      </c>
      <c r="D775" s="110" t="str">
        <f t="shared" si="319"/>
        <v>LGUM_426</v>
      </c>
      <c r="E775" s="581">
        <f t="shared" si="322"/>
        <v>40</v>
      </c>
      <c r="F775" s="581">
        <f t="shared" si="323"/>
        <v>0</v>
      </c>
      <c r="G775" s="116">
        <f t="shared" si="324"/>
        <v>33.22</v>
      </c>
      <c r="H775" s="116">
        <f t="shared" si="325"/>
        <v>0.75</v>
      </c>
      <c r="I775" s="118">
        <f t="shared" si="335"/>
        <v>1328.8</v>
      </c>
      <c r="J775" s="118">
        <f t="shared" si="326"/>
        <v>1328.8</v>
      </c>
      <c r="K775" s="570">
        <f t="shared" si="336"/>
        <v>0</v>
      </c>
      <c r="L775" s="121">
        <f t="shared" si="316"/>
        <v>0</v>
      </c>
      <c r="M775" s="122">
        <f t="shared" si="327"/>
        <v>0</v>
      </c>
      <c r="N775" s="122">
        <f t="shared" si="328"/>
        <v>0</v>
      </c>
      <c r="O775" s="122">
        <f t="shared" si="329"/>
        <v>0</v>
      </c>
      <c r="P775" s="122">
        <f t="shared" si="330"/>
        <v>0</v>
      </c>
      <c r="Q775" s="123">
        <f t="shared" si="331"/>
        <v>1328.8</v>
      </c>
      <c r="R775" s="123">
        <f t="shared" si="337"/>
        <v>-1328.8</v>
      </c>
      <c r="S775" s="582">
        <v>0</v>
      </c>
      <c r="T775" s="123">
        <f t="shared" si="338"/>
        <v>-1328.8</v>
      </c>
      <c r="U775" s="25">
        <f t="shared" si="332"/>
        <v>30</v>
      </c>
      <c r="V775" s="123">
        <f t="shared" si="333"/>
        <v>-30</v>
      </c>
      <c r="W775" s="334">
        <f t="shared" si="334"/>
        <v>10.4</v>
      </c>
      <c r="Y775" s="109">
        <f>IF(AE775=1,IF(Y774=MiscData!$F$1,EOMONTH(Y774,-11),EOMONTH(Y774,1)),Y774)</f>
        <v>42338</v>
      </c>
      <c r="Z775" s="108" t="str">
        <f t="shared" si="320"/>
        <v>20140101LGUM_426</v>
      </c>
      <c r="AA775" s="126" t="str">
        <f t="shared" si="321"/>
        <v>20140101RLS</v>
      </c>
      <c r="AB775" s="583" t="str">
        <f t="shared" si="339"/>
        <v>426</v>
      </c>
      <c r="AD775" s="98">
        <f>MiscData!$X$5</f>
        <v>20140101</v>
      </c>
      <c r="AE775" s="98">
        <f>IF(AE774+1&gt;MiscData!$AC$77,1,AE774+1)</f>
        <v>42</v>
      </c>
      <c r="AF775" s="98" t="str">
        <f>VLOOKUP(AE775,MiscData!$AC$5:$AD$77,2,FALSE)</f>
        <v>LGUM_426</v>
      </c>
      <c r="AG775" s="98" t="str">
        <f>VLOOKUP(AF775,MiscData!$AD$5:$AE$77,2,FALSE)</f>
        <v>RLS</v>
      </c>
      <c r="AP775" s="98" t="s">
        <v>335</v>
      </c>
      <c r="AR775" s="98">
        <v>0</v>
      </c>
    </row>
    <row r="776" spans="1:44">
      <c r="A776" s="108">
        <f t="shared" si="340"/>
        <v>773</v>
      </c>
      <c r="B776" s="109" t="str">
        <f t="shared" si="317"/>
        <v>Nov 2015</v>
      </c>
      <c r="C776" s="110" t="str">
        <f t="shared" si="318"/>
        <v xml:space="preserve">LS </v>
      </c>
      <c r="D776" s="110" t="str">
        <f t="shared" si="319"/>
        <v>LGUM_427</v>
      </c>
      <c r="E776" s="581">
        <f t="shared" si="322"/>
        <v>52</v>
      </c>
      <c r="F776" s="581">
        <f t="shared" si="323"/>
        <v>0</v>
      </c>
      <c r="G776" s="116">
        <f t="shared" si="324"/>
        <v>35.199999999999996</v>
      </c>
      <c r="H776" s="116">
        <f t="shared" si="325"/>
        <v>0.75</v>
      </c>
      <c r="I776" s="118">
        <f t="shared" si="335"/>
        <v>1830.4</v>
      </c>
      <c r="J776" s="118">
        <f t="shared" si="326"/>
        <v>1830.4</v>
      </c>
      <c r="K776" s="570">
        <f t="shared" si="336"/>
        <v>0</v>
      </c>
      <c r="L776" s="121">
        <f t="shared" si="316"/>
        <v>0</v>
      </c>
      <c r="M776" s="122">
        <f t="shared" si="327"/>
        <v>0</v>
      </c>
      <c r="N776" s="122">
        <f t="shared" si="328"/>
        <v>0</v>
      </c>
      <c r="O776" s="122">
        <f t="shared" si="329"/>
        <v>0</v>
      </c>
      <c r="P776" s="122">
        <f t="shared" si="330"/>
        <v>0</v>
      </c>
      <c r="Q776" s="123">
        <f t="shared" si="331"/>
        <v>1830.4</v>
      </c>
      <c r="R776" s="123">
        <f t="shared" si="337"/>
        <v>-1830.4</v>
      </c>
      <c r="S776" s="582">
        <v>0</v>
      </c>
      <c r="T776" s="123">
        <f t="shared" si="338"/>
        <v>-1830.4</v>
      </c>
      <c r="U776" s="25">
        <f t="shared" si="332"/>
        <v>39</v>
      </c>
      <c r="V776" s="123">
        <f t="shared" si="333"/>
        <v>-39</v>
      </c>
      <c r="W776" s="334">
        <f t="shared" si="334"/>
        <v>13.52</v>
      </c>
      <c r="Y776" s="109">
        <f>IF(AE776=1,IF(Y775=MiscData!$F$1,EOMONTH(Y775,-11),EOMONTH(Y775,1)),Y775)</f>
        <v>42338</v>
      </c>
      <c r="Z776" s="108" t="str">
        <f t="shared" si="320"/>
        <v>20140101LGUM_427</v>
      </c>
      <c r="AA776" s="126" t="str">
        <f t="shared" si="321"/>
        <v xml:space="preserve">20140101LS </v>
      </c>
      <c r="AB776" s="583" t="str">
        <f t="shared" si="339"/>
        <v>427</v>
      </c>
      <c r="AD776" s="98">
        <f>MiscData!$X$5</f>
        <v>20140101</v>
      </c>
      <c r="AE776" s="98">
        <f>IF(AE775+1&gt;MiscData!$AC$77,1,AE775+1)</f>
        <v>43</v>
      </c>
      <c r="AF776" s="98" t="str">
        <f>VLOOKUP(AE776,MiscData!$AC$5:$AD$77,2,FALSE)</f>
        <v>LGUM_427</v>
      </c>
      <c r="AG776" s="98" t="str">
        <f>VLOOKUP(AF776,MiscData!$AD$5:$AE$77,2,FALSE)</f>
        <v xml:space="preserve">LS </v>
      </c>
      <c r="AP776" s="98" t="s">
        <v>336</v>
      </c>
      <c r="AR776" s="98">
        <v>0</v>
      </c>
    </row>
    <row r="777" spans="1:44">
      <c r="A777" s="108">
        <f t="shared" si="340"/>
        <v>774</v>
      </c>
      <c r="B777" s="109" t="str">
        <f t="shared" si="317"/>
        <v>Nov 2015</v>
      </c>
      <c r="C777" s="110" t="str">
        <f t="shared" si="318"/>
        <v>RLS</v>
      </c>
      <c r="D777" s="110" t="str">
        <f t="shared" si="319"/>
        <v>LGUM_428</v>
      </c>
      <c r="E777" s="581">
        <f t="shared" si="322"/>
        <v>195</v>
      </c>
      <c r="F777" s="581">
        <f t="shared" si="323"/>
        <v>0</v>
      </c>
      <c r="G777" s="116">
        <f t="shared" si="324"/>
        <v>34.090000000000003</v>
      </c>
      <c r="H777" s="116">
        <f t="shared" si="325"/>
        <v>1.0600000000000023</v>
      </c>
      <c r="I777" s="118">
        <f t="shared" si="335"/>
        <v>6647.55</v>
      </c>
      <c r="J777" s="118">
        <f t="shared" si="326"/>
        <v>6647.55</v>
      </c>
      <c r="K777" s="570">
        <f t="shared" si="336"/>
        <v>0</v>
      </c>
      <c r="L777" s="121">
        <f t="shared" si="316"/>
        <v>0</v>
      </c>
      <c r="M777" s="122">
        <f t="shared" si="327"/>
        <v>0</v>
      </c>
      <c r="N777" s="122">
        <f t="shared" si="328"/>
        <v>0</v>
      </c>
      <c r="O777" s="122">
        <f t="shared" si="329"/>
        <v>0</v>
      </c>
      <c r="P777" s="122">
        <f t="shared" si="330"/>
        <v>0</v>
      </c>
      <c r="Q777" s="123">
        <f t="shared" si="331"/>
        <v>6647.55</v>
      </c>
      <c r="R777" s="123">
        <f t="shared" si="337"/>
        <v>-6647.55</v>
      </c>
      <c r="S777" s="582">
        <v>0</v>
      </c>
      <c r="T777" s="123">
        <f t="shared" si="338"/>
        <v>-6647.55</v>
      </c>
      <c r="U777" s="25">
        <f t="shared" si="332"/>
        <v>206.7</v>
      </c>
      <c r="V777" s="123">
        <f t="shared" si="333"/>
        <v>-206.7</v>
      </c>
      <c r="W777" s="334">
        <f t="shared" si="334"/>
        <v>52.650000000000006</v>
      </c>
      <c r="Y777" s="109">
        <f>IF(AE777=1,IF(Y776=MiscData!$F$1,EOMONTH(Y776,-11),EOMONTH(Y776,1)),Y776)</f>
        <v>42338</v>
      </c>
      <c r="Z777" s="108" t="str">
        <f t="shared" si="320"/>
        <v>20140101LGUM_428</v>
      </c>
      <c r="AA777" s="126" t="str">
        <f t="shared" si="321"/>
        <v>20140101RLS</v>
      </c>
      <c r="AB777" s="583" t="str">
        <f t="shared" si="339"/>
        <v>428</v>
      </c>
      <c r="AD777" s="98">
        <f>MiscData!$X$5</f>
        <v>20140101</v>
      </c>
      <c r="AE777" s="98">
        <f>IF(AE776+1&gt;MiscData!$AC$77,1,AE776+1)</f>
        <v>44</v>
      </c>
      <c r="AF777" s="98" t="str">
        <f>VLOOKUP(AE777,MiscData!$AC$5:$AD$77,2,FALSE)</f>
        <v>LGUM_428</v>
      </c>
      <c r="AG777" s="98" t="str">
        <f>VLOOKUP(AF777,MiscData!$AD$5:$AE$77,2,FALSE)</f>
        <v>RLS</v>
      </c>
      <c r="AP777" s="98" t="s">
        <v>337</v>
      </c>
      <c r="AR777" s="98">
        <v>0</v>
      </c>
    </row>
    <row r="778" spans="1:44">
      <c r="A778" s="108">
        <f t="shared" si="340"/>
        <v>775</v>
      </c>
      <c r="B778" s="109" t="str">
        <f t="shared" ref="B778:B809" si="341">TEXT(Y778,"mmm yyyy")</f>
        <v>Nov 2015</v>
      </c>
      <c r="C778" s="110" t="str">
        <f t="shared" ref="C778:C809" si="342">AG778</f>
        <v xml:space="preserve">LS </v>
      </c>
      <c r="D778" s="110" t="str">
        <f t="shared" ref="D778:D809" si="343">AF778</f>
        <v>LGUM_429</v>
      </c>
      <c r="E778" s="581">
        <f t="shared" si="322"/>
        <v>187</v>
      </c>
      <c r="F778" s="581">
        <f t="shared" si="323"/>
        <v>0</v>
      </c>
      <c r="G778" s="116">
        <f t="shared" si="324"/>
        <v>36.07</v>
      </c>
      <c r="H778" s="116">
        <f t="shared" si="325"/>
        <v>1.0599999999999952</v>
      </c>
      <c r="I778" s="118">
        <f t="shared" si="335"/>
        <v>6745.09</v>
      </c>
      <c r="J778" s="118">
        <f t="shared" si="326"/>
        <v>6745.09</v>
      </c>
      <c r="K778" s="570">
        <f t="shared" si="336"/>
        <v>0</v>
      </c>
      <c r="L778" s="121">
        <f t="shared" si="316"/>
        <v>0</v>
      </c>
      <c r="M778" s="122">
        <f t="shared" si="327"/>
        <v>0</v>
      </c>
      <c r="N778" s="122">
        <f t="shared" si="328"/>
        <v>0</v>
      </c>
      <c r="O778" s="122">
        <f t="shared" si="329"/>
        <v>0</v>
      </c>
      <c r="P778" s="122">
        <f t="shared" si="330"/>
        <v>0</v>
      </c>
      <c r="Q778" s="123">
        <f t="shared" si="331"/>
        <v>6745.09</v>
      </c>
      <c r="R778" s="123">
        <f t="shared" si="337"/>
        <v>-6745.09</v>
      </c>
      <c r="S778" s="582">
        <v>0</v>
      </c>
      <c r="T778" s="123">
        <f t="shared" si="338"/>
        <v>-6745.09</v>
      </c>
      <c r="U778" s="25">
        <f t="shared" si="332"/>
        <v>198.22</v>
      </c>
      <c r="V778" s="123">
        <f t="shared" si="333"/>
        <v>-198.22</v>
      </c>
      <c r="W778" s="334">
        <f t="shared" si="334"/>
        <v>50.49</v>
      </c>
      <c r="Y778" s="109">
        <f>IF(AE778=1,IF(Y777=MiscData!$F$1,EOMONTH(Y777,-11),EOMONTH(Y777,1)),Y777)</f>
        <v>42338</v>
      </c>
      <c r="Z778" s="108" t="str">
        <f t="shared" ref="Z778:Z815" si="344">CONCATENATE(AD778&amp;AF778)</f>
        <v>20140101LGUM_429</v>
      </c>
      <c r="AA778" s="126" t="str">
        <f t="shared" ref="AA778:AA815" si="345">CONCATENATE(AD778&amp;AG778)</f>
        <v xml:space="preserve">20140101LS </v>
      </c>
      <c r="AB778" s="583" t="str">
        <f t="shared" si="339"/>
        <v>429</v>
      </c>
      <c r="AD778" s="98">
        <f>MiscData!$X$5</f>
        <v>20140101</v>
      </c>
      <c r="AE778" s="98">
        <f>IF(AE777+1&gt;MiscData!$AC$77,1,AE777+1)</f>
        <v>45</v>
      </c>
      <c r="AF778" s="98" t="str">
        <f>VLOOKUP(AE778,MiscData!$AC$5:$AD$77,2,FALSE)</f>
        <v>LGUM_429</v>
      </c>
      <c r="AG778" s="98" t="str">
        <f>VLOOKUP(AF778,MiscData!$AD$5:$AE$77,2,FALSE)</f>
        <v xml:space="preserve">LS </v>
      </c>
      <c r="AP778" s="98" t="s">
        <v>137</v>
      </c>
      <c r="AR778" s="98">
        <v>-3.68</v>
      </c>
    </row>
    <row r="779" spans="1:44">
      <c r="A779" s="108">
        <f t="shared" si="340"/>
        <v>776</v>
      </c>
      <c r="B779" s="109" t="str">
        <f t="shared" si="341"/>
        <v>Nov 2015</v>
      </c>
      <c r="C779" s="110" t="str">
        <f t="shared" si="342"/>
        <v>RLS</v>
      </c>
      <c r="D779" s="110" t="str">
        <f t="shared" si="343"/>
        <v>LGUM_430</v>
      </c>
      <c r="E779" s="581">
        <f t="shared" si="322"/>
        <v>13</v>
      </c>
      <c r="F779" s="581">
        <f t="shared" si="323"/>
        <v>0</v>
      </c>
      <c r="G779" s="116">
        <f t="shared" si="324"/>
        <v>32.26</v>
      </c>
      <c r="H779" s="116">
        <f t="shared" si="325"/>
        <v>0.75</v>
      </c>
      <c r="I779" s="118">
        <f t="shared" si="335"/>
        <v>419.38</v>
      </c>
      <c r="J779" s="118">
        <f t="shared" si="326"/>
        <v>419.38</v>
      </c>
      <c r="K779" s="570">
        <f t="shared" si="336"/>
        <v>0</v>
      </c>
      <c r="L779" s="121">
        <f t="shared" si="316"/>
        <v>0</v>
      </c>
      <c r="M779" s="122">
        <f t="shared" si="327"/>
        <v>0</v>
      </c>
      <c r="N779" s="122">
        <f t="shared" si="328"/>
        <v>0</v>
      </c>
      <c r="O779" s="122">
        <f t="shared" si="329"/>
        <v>0</v>
      </c>
      <c r="P779" s="122">
        <f t="shared" si="330"/>
        <v>0</v>
      </c>
      <c r="Q779" s="123">
        <f t="shared" si="331"/>
        <v>419.38</v>
      </c>
      <c r="R779" s="123">
        <f t="shared" si="337"/>
        <v>-419.38</v>
      </c>
      <c r="S779" s="582">
        <v>0</v>
      </c>
      <c r="T779" s="123">
        <f t="shared" si="338"/>
        <v>-419.38</v>
      </c>
      <c r="U779" s="25">
        <f t="shared" si="332"/>
        <v>9.75</v>
      </c>
      <c r="V779" s="123">
        <f t="shared" si="333"/>
        <v>-9.75</v>
      </c>
      <c r="W779" s="334">
        <f t="shared" si="334"/>
        <v>3.38</v>
      </c>
      <c r="Y779" s="109">
        <f>IF(AE779=1,IF(Y778=MiscData!$F$1,EOMONTH(Y778,-11),EOMONTH(Y778,1)),Y778)</f>
        <v>42338</v>
      </c>
      <c r="Z779" s="108" t="str">
        <f t="shared" si="344"/>
        <v>20140101LGUM_430</v>
      </c>
      <c r="AA779" s="126" t="str">
        <f t="shared" si="345"/>
        <v>20140101RLS</v>
      </c>
      <c r="AB779" s="583" t="str">
        <f t="shared" si="339"/>
        <v>430</v>
      </c>
      <c r="AD779" s="98">
        <f>MiscData!$X$5</f>
        <v>20140101</v>
      </c>
      <c r="AE779" s="98">
        <f>IF(AE778+1&gt;MiscData!$AC$77,1,AE778+1)</f>
        <v>46</v>
      </c>
      <c r="AF779" s="98" t="str">
        <f>VLOOKUP(AE779,MiscData!$AC$5:$AD$77,2,FALSE)</f>
        <v>LGUM_430</v>
      </c>
      <c r="AG779" s="98" t="str">
        <f>VLOOKUP(AF779,MiscData!$AD$5:$AE$77,2,FALSE)</f>
        <v>RLS</v>
      </c>
      <c r="AP779" s="98" t="s">
        <v>138</v>
      </c>
      <c r="AR779" s="98">
        <v>-68.010000000000005</v>
      </c>
    </row>
    <row r="780" spans="1:44">
      <c r="A780" s="108">
        <f t="shared" si="340"/>
        <v>777</v>
      </c>
      <c r="B780" s="109" t="str">
        <f t="shared" si="341"/>
        <v>Nov 2015</v>
      </c>
      <c r="C780" s="110" t="str">
        <f t="shared" si="342"/>
        <v xml:space="preserve">LS </v>
      </c>
      <c r="D780" s="110" t="str">
        <f t="shared" si="343"/>
        <v>LGUM_431</v>
      </c>
      <c r="E780" s="581">
        <f t="shared" si="322"/>
        <v>44</v>
      </c>
      <c r="F780" s="581">
        <f t="shared" si="323"/>
        <v>0</v>
      </c>
      <c r="G780" s="116">
        <f t="shared" si="324"/>
        <v>32.93</v>
      </c>
      <c r="H780" s="116">
        <f t="shared" si="325"/>
        <v>0.75</v>
      </c>
      <c r="I780" s="118">
        <f t="shared" si="335"/>
        <v>1448.92</v>
      </c>
      <c r="J780" s="118">
        <f t="shared" si="326"/>
        <v>1448.92</v>
      </c>
      <c r="K780" s="570">
        <f t="shared" si="336"/>
        <v>0</v>
      </c>
      <c r="L780" s="121">
        <f t="shared" si="316"/>
        <v>0</v>
      </c>
      <c r="M780" s="122">
        <f t="shared" si="327"/>
        <v>0</v>
      </c>
      <c r="N780" s="122">
        <f t="shared" si="328"/>
        <v>0</v>
      </c>
      <c r="O780" s="122">
        <f t="shared" si="329"/>
        <v>0</v>
      </c>
      <c r="P780" s="122">
        <f t="shared" si="330"/>
        <v>0</v>
      </c>
      <c r="Q780" s="123">
        <f t="shared" si="331"/>
        <v>1448.92</v>
      </c>
      <c r="R780" s="123">
        <f t="shared" si="337"/>
        <v>-1448.92</v>
      </c>
      <c r="S780" s="582">
        <v>0</v>
      </c>
      <c r="T780" s="123">
        <f t="shared" si="338"/>
        <v>-1448.92</v>
      </c>
      <c r="U780" s="25">
        <f t="shared" si="332"/>
        <v>33</v>
      </c>
      <c r="V780" s="123">
        <f t="shared" si="333"/>
        <v>-33</v>
      </c>
      <c r="W780" s="334">
        <f t="shared" si="334"/>
        <v>11.440000000000001</v>
      </c>
      <c r="Y780" s="109">
        <f>IF(AE780=1,IF(Y779=MiscData!$F$1,EOMONTH(Y779,-11),EOMONTH(Y779,1)),Y779)</f>
        <v>42338</v>
      </c>
      <c r="Z780" s="108" t="str">
        <f t="shared" si="344"/>
        <v>20140101LGUM_431</v>
      </c>
      <c r="AA780" s="126" t="str">
        <f t="shared" si="345"/>
        <v xml:space="preserve">20140101LS </v>
      </c>
      <c r="AB780" s="583" t="str">
        <f t="shared" si="339"/>
        <v>431</v>
      </c>
      <c r="AD780" s="98">
        <f>MiscData!$X$5</f>
        <v>20140101</v>
      </c>
      <c r="AE780" s="98">
        <f>IF(AE779+1&gt;MiscData!$AC$77,1,AE779+1)</f>
        <v>47</v>
      </c>
      <c r="AF780" s="98" t="str">
        <f>VLOOKUP(AE780,MiscData!$AC$5:$AD$77,2,FALSE)</f>
        <v>LGUM_431</v>
      </c>
      <c r="AG780" s="98" t="str">
        <f>VLOOKUP(AF780,MiscData!$AD$5:$AE$77,2,FALSE)</f>
        <v xml:space="preserve">LS </v>
      </c>
      <c r="AP780" s="98" t="s">
        <v>139</v>
      </c>
      <c r="AR780" s="98">
        <v>-6.79</v>
      </c>
    </row>
    <row r="781" spans="1:44">
      <c r="A781" s="108">
        <f t="shared" si="340"/>
        <v>778</v>
      </c>
      <c r="B781" s="109" t="str">
        <f t="shared" si="341"/>
        <v>Nov 2015</v>
      </c>
      <c r="C781" s="110" t="str">
        <f t="shared" si="342"/>
        <v>RLS</v>
      </c>
      <c r="D781" s="110" t="str">
        <f t="shared" si="343"/>
        <v>LGUM_432</v>
      </c>
      <c r="E781" s="581">
        <f t="shared" si="322"/>
        <v>10</v>
      </c>
      <c r="F781" s="581">
        <f t="shared" si="323"/>
        <v>0</v>
      </c>
      <c r="G781" s="116">
        <f t="shared" si="324"/>
        <v>34.330000000000005</v>
      </c>
      <c r="H781" s="116">
        <f t="shared" si="325"/>
        <v>1.0600000000000023</v>
      </c>
      <c r="I781" s="118">
        <f t="shared" si="335"/>
        <v>343.3</v>
      </c>
      <c r="J781" s="118">
        <f t="shared" si="326"/>
        <v>343.3</v>
      </c>
      <c r="K781" s="570">
        <f t="shared" si="336"/>
        <v>0</v>
      </c>
      <c r="L781" s="121">
        <f t="shared" si="316"/>
        <v>0</v>
      </c>
      <c r="M781" s="122">
        <f t="shared" si="327"/>
        <v>0</v>
      </c>
      <c r="N781" s="122">
        <f t="shared" si="328"/>
        <v>0</v>
      </c>
      <c r="O781" s="122">
        <f t="shared" si="329"/>
        <v>0</v>
      </c>
      <c r="P781" s="122">
        <f t="shared" si="330"/>
        <v>0</v>
      </c>
      <c r="Q781" s="123">
        <f t="shared" si="331"/>
        <v>343.3</v>
      </c>
      <c r="R781" s="123">
        <f t="shared" si="337"/>
        <v>-343.3</v>
      </c>
      <c r="S781" s="582">
        <v>0</v>
      </c>
      <c r="T781" s="123">
        <f t="shared" si="338"/>
        <v>-343.3</v>
      </c>
      <c r="U781" s="25">
        <f t="shared" si="332"/>
        <v>10.6</v>
      </c>
      <c r="V781" s="123">
        <f t="shared" si="333"/>
        <v>-10.6</v>
      </c>
      <c r="W781" s="334">
        <f t="shared" si="334"/>
        <v>2.7</v>
      </c>
      <c r="Y781" s="109">
        <f>IF(AE781=1,IF(Y780=MiscData!$F$1,EOMONTH(Y780,-11),EOMONTH(Y780,1)),Y780)</f>
        <v>42338</v>
      </c>
      <c r="Z781" s="108" t="str">
        <f t="shared" si="344"/>
        <v>20140101LGUM_432</v>
      </c>
      <c r="AA781" s="126" t="str">
        <f t="shared" si="345"/>
        <v>20140101RLS</v>
      </c>
      <c r="AB781" s="583" t="str">
        <f t="shared" si="339"/>
        <v>432</v>
      </c>
      <c r="AD781" s="98">
        <f>MiscData!$X$5</f>
        <v>20140101</v>
      </c>
      <c r="AE781" s="98">
        <f>IF(AE780+1&gt;MiscData!$AC$77,1,AE780+1)</f>
        <v>48</v>
      </c>
      <c r="AF781" s="98" t="str">
        <f>VLOOKUP(AE781,MiscData!$AC$5:$AD$77,2,FALSE)</f>
        <v>LGUM_432</v>
      </c>
      <c r="AG781" s="98" t="str">
        <f>VLOOKUP(AF781,MiscData!$AD$5:$AE$77,2,FALSE)</f>
        <v>RLS</v>
      </c>
      <c r="AP781" s="98" t="s">
        <v>140</v>
      </c>
      <c r="AR781" s="98">
        <v>7.11</v>
      </c>
    </row>
    <row r="782" spans="1:44">
      <c r="A782" s="108">
        <f t="shared" si="340"/>
        <v>779</v>
      </c>
      <c r="B782" s="109" t="str">
        <f t="shared" si="341"/>
        <v>Nov 2015</v>
      </c>
      <c r="C782" s="110" t="str">
        <f t="shared" si="342"/>
        <v xml:space="preserve">LS </v>
      </c>
      <c r="D782" s="110" t="str">
        <f t="shared" si="343"/>
        <v>LGUM_433</v>
      </c>
      <c r="E782" s="581">
        <f t="shared" si="322"/>
        <v>170</v>
      </c>
      <c r="F782" s="581">
        <f t="shared" si="323"/>
        <v>0</v>
      </c>
      <c r="G782" s="116">
        <f t="shared" si="324"/>
        <v>34.99</v>
      </c>
      <c r="H782" s="116">
        <f t="shared" si="325"/>
        <v>1.0600000000000023</v>
      </c>
      <c r="I782" s="118">
        <f t="shared" si="335"/>
        <v>5948.3</v>
      </c>
      <c r="J782" s="118">
        <f t="shared" si="326"/>
        <v>5948.3</v>
      </c>
      <c r="K782" s="570">
        <f t="shared" si="336"/>
        <v>0</v>
      </c>
      <c r="L782" s="121">
        <f t="shared" si="316"/>
        <v>0</v>
      </c>
      <c r="M782" s="122">
        <f t="shared" si="327"/>
        <v>0</v>
      </c>
      <c r="N782" s="122">
        <f t="shared" si="328"/>
        <v>0</v>
      </c>
      <c r="O782" s="122">
        <f t="shared" si="329"/>
        <v>0</v>
      </c>
      <c r="P782" s="122">
        <f t="shared" si="330"/>
        <v>0</v>
      </c>
      <c r="Q782" s="123">
        <f t="shared" si="331"/>
        <v>5948.3</v>
      </c>
      <c r="R782" s="123">
        <f t="shared" si="337"/>
        <v>-5948.3</v>
      </c>
      <c r="S782" s="582">
        <v>0</v>
      </c>
      <c r="T782" s="123">
        <f t="shared" si="338"/>
        <v>-5948.3</v>
      </c>
      <c r="U782" s="25">
        <f t="shared" si="332"/>
        <v>180.2</v>
      </c>
      <c r="V782" s="123">
        <f t="shared" si="333"/>
        <v>-180.2</v>
      </c>
      <c r="W782" s="334">
        <f t="shared" si="334"/>
        <v>45.900000000000006</v>
      </c>
      <c r="Y782" s="109">
        <f>IF(AE782=1,IF(Y781=MiscData!$F$1,EOMONTH(Y781,-11),EOMONTH(Y781,1)),Y781)</f>
        <v>42338</v>
      </c>
      <c r="Z782" s="108" t="str">
        <f t="shared" si="344"/>
        <v>20140101LGUM_433</v>
      </c>
      <c r="AA782" s="126" t="str">
        <f t="shared" si="345"/>
        <v xml:space="preserve">20140101LS </v>
      </c>
      <c r="AB782" s="583" t="str">
        <f t="shared" si="339"/>
        <v>433</v>
      </c>
      <c r="AD782" s="98">
        <f>MiscData!$X$5</f>
        <v>20140101</v>
      </c>
      <c r="AE782" s="98">
        <f>IF(AE781+1&gt;MiscData!$AC$77,1,AE781+1)</f>
        <v>49</v>
      </c>
      <c r="AF782" s="98" t="str">
        <f>VLOOKUP(AE782,MiscData!$AC$5:$AD$77,2,FALSE)</f>
        <v>LGUM_433</v>
      </c>
      <c r="AG782" s="98" t="str">
        <f>VLOOKUP(AF782,MiscData!$AD$5:$AE$77,2,FALSE)</f>
        <v xml:space="preserve">LS </v>
      </c>
      <c r="AP782" s="98" t="s">
        <v>141</v>
      </c>
      <c r="AR782" s="98">
        <v>-14.08</v>
      </c>
    </row>
    <row r="783" spans="1:44">
      <c r="A783" s="108">
        <f t="shared" si="340"/>
        <v>780</v>
      </c>
      <c r="B783" s="109" t="str">
        <f t="shared" si="341"/>
        <v>Nov 2015</v>
      </c>
      <c r="C783" s="110" t="str">
        <f t="shared" si="342"/>
        <v xml:space="preserve">LS </v>
      </c>
      <c r="D783" s="110" t="str">
        <f t="shared" si="343"/>
        <v>LGUM_439</v>
      </c>
      <c r="E783" s="581">
        <f t="shared" si="322"/>
        <v>0</v>
      </c>
      <c r="F783" s="581">
        <f t="shared" si="323"/>
        <v>0</v>
      </c>
      <c r="G783" s="116">
        <f t="shared" si="324"/>
        <v>16.459999999999997</v>
      </c>
      <c r="H783" s="116">
        <f t="shared" si="325"/>
        <v>1.6499999999999986</v>
      </c>
      <c r="I783" s="118">
        <f t="shared" si="335"/>
        <v>0</v>
      </c>
      <c r="J783" s="118">
        <f t="shared" si="326"/>
        <v>0</v>
      </c>
      <c r="K783" s="570">
        <f t="shared" si="336"/>
        <v>0</v>
      </c>
      <c r="L783" s="121">
        <f t="shared" si="316"/>
        <v>1</v>
      </c>
      <c r="M783" s="122">
        <f t="shared" si="327"/>
        <v>0</v>
      </c>
      <c r="N783" s="122">
        <f t="shared" si="328"/>
        <v>0</v>
      </c>
      <c r="O783" s="122">
        <f t="shared" si="329"/>
        <v>0</v>
      </c>
      <c r="P783" s="122">
        <f t="shared" si="330"/>
        <v>0</v>
      </c>
      <c r="Q783" s="123">
        <f t="shared" si="331"/>
        <v>0</v>
      </c>
      <c r="R783" s="123">
        <f t="shared" si="337"/>
        <v>0</v>
      </c>
      <c r="S783" s="582">
        <v>0</v>
      </c>
      <c r="T783" s="123">
        <f t="shared" si="338"/>
        <v>0</v>
      </c>
      <c r="U783" s="25">
        <f t="shared" si="332"/>
        <v>0</v>
      </c>
      <c r="V783" s="123">
        <f t="shared" si="333"/>
        <v>0</v>
      </c>
      <c r="W783" s="334">
        <f t="shared" si="334"/>
        <v>0</v>
      </c>
      <c r="Y783" s="109">
        <f>IF(AE783=1,IF(Y782=MiscData!$F$1,EOMONTH(Y782,-11),EOMONTH(Y782,1)),Y782)</f>
        <v>42338</v>
      </c>
      <c r="Z783" s="108" t="str">
        <f t="shared" si="344"/>
        <v>20140101LGUM_439</v>
      </c>
      <c r="AA783" s="126" t="str">
        <f t="shared" si="345"/>
        <v xml:space="preserve">20140101LS </v>
      </c>
      <c r="AB783" s="583" t="str">
        <f t="shared" si="339"/>
        <v>439</v>
      </c>
      <c r="AD783" s="98">
        <f>MiscData!$X$5</f>
        <v>20140101</v>
      </c>
      <c r="AE783" s="98">
        <f>IF(AE782+1&gt;MiscData!$AC$77,1,AE782+1)</f>
        <v>50</v>
      </c>
      <c r="AF783" s="98" t="str">
        <f>VLOOKUP(AE783,MiscData!$AC$5:$AD$77,2,FALSE)</f>
        <v>LGUM_439</v>
      </c>
      <c r="AG783" s="98" t="str">
        <f>VLOOKUP(AF783,MiscData!$AD$5:$AE$77,2,FALSE)</f>
        <v xml:space="preserve">LS </v>
      </c>
      <c r="AP783" s="98" t="s">
        <v>465</v>
      </c>
      <c r="AR783" s="98">
        <v>0</v>
      </c>
    </row>
    <row r="784" spans="1:44">
      <c r="A784" s="108">
        <f t="shared" si="340"/>
        <v>781</v>
      </c>
      <c r="B784" s="109" t="str">
        <f t="shared" si="341"/>
        <v>Nov 2015</v>
      </c>
      <c r="C784" s="110" t="str">
        <f t="shared" si="342"/>
        <v xml:space="preserve">LS </v>
      </c>
      <c r="D784" s="110" t="str">
        <f t="shared" si="343"/>
        <v>LGUM_440</v>
      </c>
      <c r="E784" s="581">
        <f t="shared" si="322"/>
        <v>2</v>
      </c>
      <c r="F784" s="581">
        <f t="shared" si="323"/>
        <v>0</v>
      </c>
      <c r="G784" s="116">
        <f t="shared" si="324"/>
        <v>18.279999999999998</v>
      </c>
      <c r="H784" s="116">
        <f t="shared" si="325"/>
        <v>2.67</v>
      </c>
      <c r="I784" s="118">
        <f t="shared" si="335"/>
        <v>36.56</v>
      </c>
      <c r="J784" s="118">
        <f t="shared" si="326"/>
        <v>36.56</v>
      </c>
      <c r="K784" s="570">
        <f t="shared" si="336"/>
        <v>0</v>
      </c>
      <c r="L784" s="121">
        <f t="shared" si="316"/>
        <v>0</v>
      </c>
      <c r="M784" s="122">
        <f t="shared" si="327"/>
        <v>0</v>
      </c>
      <c r="N784" s="122">
        <f t="shared" si="328"/>
        <v>0</v>
      </c>
      <c r="O784" s="122">
        <f t="shared" si="329"/>
        <v>0</v>
      </c>
      <c r="P784" s="122">
        <f t="shared" si="330"/>
        <v>0</v>
      </c>
      <c r="Q784" s="123">
        <f t="shared" si="331"/>
        <v>36.56</v>
      </c>
      <c r="R784" s="123">
        <f t="shared" si="337"/>
        <v>-36.56</v>
      </c>
      <c r="S784" s="582">
        <v>0</v>
      </c>
      <c r="T784" s="123">
        <f t="shared" si="338"/>
        <v>-36.56</v>
      </c>
      <c r="U784" s="25">
        <f t="shared" si="332"/>
        <v>5.34</v>
      </c>
      <c r="V784" s="123">
        <f t="shared" si="333"/>
        <v>-5.34</v>
      </c>
      <c r="W784" s="334">
        <f t="shared" si="334"/>
        <v>0.54</v>
      </c>
      <c r="Y784" s="109">
        <f>IF(AE784=1,IF(Y783=MiscData!$F$1,EOMONTH(Y783,-11),EOMONTH(Y783,1)),Y783)</f>
        <v>42338</v>
      </c>
      <c r="Z784" s="108" t="str">
        <f t="shared" si="344"/>
        <v>20140101LGUM_440</v>
      </c>
      <c r="AA784" s="126" t="str">
        <f t="shared" si="345"/>
        <v xml:space="preserve">20140101LS </v>
      </c>
      <c r="AB784" s="583" t="str">
        <f t="shared" si="339"/>
        <v>440</v>
      </c>
      <c r="AD784" s="98">
        <f>MiscData!$X$5</f>
        <v>20140101</v>
      </c>
      <c r="AE784" s="98">
        <f>IF(AE783+1&gt;MiscData!$AC$77,1,AE783+1)</f>
        <v>51</v>
      </c>
      <c r="AF784" s="98" t="str">
        <f>VLOOKUP(AE784,MiscData!$AC$5:$AD$77,2,FALSE)</f>
        <v>LGUM_440</v>
      </c>
      <c r="AG784" s="98" t="str">
        <f>VLOOKUP(AF784,MiscData!$AD$5:$AE$77,2,FALSE)</f>
        <v xml:space="preserve">LS </v>
      </c>
      <c r="AP784" s="98" t="s">
        <v>142</v>
      </c>
      <c r="AR784" s="98">
        <v>0</v>
      </c>
    </row>
    <row r="785" spans="1:44">
      <c r="A785" s="108">
        <f t="shared" si="340"/>
        <v>782</v>
      </c>
      <c r="B785" s="109" t="str">
        <f t="shared" si="341"/>
        <v>Nov 2015</v>
      </c>
      <c r="C785" s="110" t="str">
        <f t="shared" si="342"/>
        <v xml:space="preserve">LS </v>
      </c>
      <c r="D785" s="110" t="str">
        <f t="shared" si="343"/>
        <v>LGUM_441</v>
      </c>
      <c r="E785" s="581">
        <f t="shared" si="322"/>
        <v>13</v>
      </c>
      <c r="F785" s="581">
        <f t="shared" si="323"/>
        <v>0</v>
      </c>
      <c r="G785" s="116">
        <f t="shared" si="324"/>
        <v>22.32</v>
      </c>
      <c r="H785" s="116">
        <f t="shared" si="325"/>
        <v>4.2800000000000011</v>
      </c>
      <c r="I785" s="118">
        <f t="shared" si="335"/>
        <v>290.16000000000003</v>
      </c>
      <c r="J785" s="118">
        <f t="shared" si="326"/>
        <v>290.16000000000003</v>
      </c>
      <c r="K785" s="570">
        <f t="shared" si="336"/>
        <v>0</v>
      </c>
      <c r="L785" s="121">
        <f t="shared" si="316"/>
        <v>0</v>
      </c>
      <c r="M785" s="122">
        <f t="shared" si="327"/>
        <v>0</v>
      </c>
      <c r="N785" s="122">
        <f t="shared" si="328"/>
        <v>0</v>
      </c>
      <c r="O785" s="122">
        <f t="shared" si="329"/>
        <v>0</v>
      </c>
      <c r="P785" s="122">
        <f t="shared" si="330"/>
        <v>0</v>
      </c>
      <c r="Q785" s="123">
        <f t="shared" si="331"/>
        <v>290.16000000000003</v>
      </c>
      <c r="R785" s="123">
        <f t="shared" si="337"/>
        <v>-290.16000000000003</v>
      </c>
      <c r="S785" s="582">
        <v>0</v>
      </c>
      <c r="T785" s="123">
        <f t="shared" si="338"/>
        <v>-290.16000000000003</v>
      </c>
      <c r="U785" s="25">
        <f t="shared" si="332"/>
        <v>55.64</v>
      </c>
      <c r="V785" s="123">
        <f t="shared" si="333"/>
        <v>-55.64</v>
      </c>
      <c r="W785" s="334">
        <f t="shared" si="334"/>
        <v>3.7699999999999996</v>
      </c>
      <c r="Y785" s="109">
        <f>IF(AE785=1,IF(Y784=MiscData!$F$1,EOMONTH(Y784,-11),EOMONTH(Y784,1)),Y784)</f>
        <v>42338</v>
      </c>
      <c r="Z785" s="108" t="str">
        <f t="shared" si="344"/>
        <v>20140101LGUM_441</v>
      </c>
      <c r="AA785" s="126" t="str">
        <f t="shared" si="345"/>
        <v xml:space="preserve">20140101LS </v>
      </c>
      <c r="AB785" s="583" t="str">
        <f t="shared" si="339"/>
        <v>441</v>
      </c>
      <c r="AD785" s="98">
        <f>MiscData!$X$5</f>
        <v>20140101</v>
      </c>
      <c r="AE785" s="98">
        <f>IF(AE784+1&gt;MiscData!$AC$77,1,AE784+1)</f>
        <v>52</v>
      </c>
      <c r="AF785" s="98" t="str">
        <f>VLOOKUP(AE785,MiscData!$AC$5:$AD$77,2,FALSE)</f>
        <v>LGUM_441</v>
      </c>
      <c r="AG785" s="98" t="str">
        <f>VLOOKUP(AF785,MiscData!$AD$5:$AE$77,2,FALSE)</f>
        <v xml:space="preserve">LS </v>
      </c>
      <c r="AP785" s="98" t="s">
        <v>143</v>
      </c>
      <c r="AR785" s="98">
        <v>0</v>
      </c>
    </row>
    <row r="786" spans="1:44">
      <c r="A786" s="108">
        <f t="shared" si="340"/>
        <v>783</v>
      </c>
      <c r="B786" s="109" t="str">
        <f t="shared" si="341"/>
        <v>Nov 2015</v>
      </c>
      <c r="C786" s="110" t="str">
        <f t="shared" si="342"/>
        <v xml:space="preserve">LS </v>
      </c>
      <c r="D786" s="110" t="str">
        <f t="shared" si="343"/>
        <v>LGUM_452</v>
      </c>
      <c r="E786" s="581">
        <f t="shared" si="322"/>
        <v>6198</v>
      </c>
      <c r="F786" s="581">
        <f t="shared" si="323"/>
        <v>0</v>
      </c>
      <c r="G786" s="116">
        <f t="shared" si="324"/>
        <v>12.82</v>
      </c>
      <c r="H786" s="116">
        <f t="shared" si="325"/>
        <v>1.6500000000000004</v>
      </c>
      <c r="I786" s="118">
        <f t="shared" si="335"/>
        <v>79458.36</v>
      </c>
      <c r="J786" s="118">
        <f t="shared" si="326"/>
        <v>79458.36</v>
      </c>
      <c r="K786" s="570">
        <f t="shared" si="336"/>
        <v>0</v>
      </c>
      <c r="L786" s="121">
        <f t="shared" si="316"/>
        <v>0</v>
      </c>
      <c r="M786" s="122">
        <f t="shared" si="327"/>
        <v>0</v>
      </c>
      <c r="N786" s="122">
        <f t="shared" si="328"/>
        <v>0</v>
      </c>
      <c r="O786" s="122">
        <f t="shared" si="329"/>
        <v>0</v>
      </c>
      <c r="P786" s="122">
        <f t="shared" si="330"/>
        <v>0</v>
      </c>
      <c r="Q786" s="123">
        <f t="shared" si="331"/>
        <v>79458.36</v>
      </c>
      <c r="R786" s="123">
        <f t="shared" si="337"/>
        <v>-79458.36</v>
      </c>
      <c r="S786" s="582">
        <v>0</v>
      </c>
      <c r="T786" s="123">
        <f t="shared" si="338"/>
        <v>-79458.36</v>
      </c>
      <c r="U786" s="25">
        <f t="shared" si="332"/>
        <v>10226.700000000001</v>
      </c>
      <c r="V786" s="123">
        <f t="shared" si="333"/>
        <v>-10226.700000000001</v>
      </c>
      <c r="W786" s="334">
        <f t="shared" si="334"/>
        <v>1487.52</v>
      </c>
      <c r="Y786" s="109">
        <f>IF(AE786=1,IF(Y785=MiscData!$F$1,EOMONTH(Y785,-11),EOMONTH(Y785,1)),Y785)</f>
        <v>42338</v>
      </c>
      <c r="Z786" s="108" t="str">
        <f t="shared" si="344"/>
        <v>20140101LGUM_452</v>
      </c>
      <c r="AA786" s="126" t="str">
        <f t="shared" si="345"/>
        <v xml:space="preserve">20140101LS </v>
      </c>
      <c r="AB786" s="583" t="str">
        <f t="shared" si="339"/>
        <v>452</v>
      </c>
      <c r="AD786" s="98">
        <f>MiscData!$X$5</f>
        <v>20140101</v>
      </c>
      <c r="AE786" s="98">
        <f>IF(AE785+1&gt;MiscData!$AC$77,1,AE785+1)</f>
        <v>53</v>
      </c>
      <c r="AF786" s="98" t="str">
        <f>VLOOKUP(AE786,MiscData!$AC$5:$AD$77,2,FALSE)</f>
        <v>LGUM_452</v>
      </c>
      <c r="AG786" s="98" t="str">
        <f>VLOOKUP(AF786,MiscData!$AD$5:$AE$77,2,FALSE)</f>
        <v xml:space="preserve">LS </v>
      </c>
      <c r="AP786" s="98" t="s">
        <v>469</v>
      </c>
      <c r="AR786" s="98">
        <v>0</v>
      </c>
    </row>
    <row r="787" spans="1:44">
      <c r="A787" s="108">
        <f t="shared" si="340"/>
        <v>784</v>
      </c>
      <c r="B787" s="109" t="str">
        <f t="shared" si="341"/>
        <v>Nov 2015</v>
      </c>
      <c r="C787" s="110" t="str">
        <f t="shared" si="342"/>
        <v xml:space="preserve">LS </v>
      </c>
      <c r="D787" s="110" t="str">
        <f t="shared" si="343"/>
        <v>LGUM_453</v>
      </c>
      <c r="E787" s="581">
        <f t="shared" si="322"/>
        <v>7957</v>
      </c>
      <c r="F787" s="581">
        <f t="shared" si="323"/>
        <v>0</v>
      </c>
      <c r="G787" s="116">
        <f t="shared" si="324"/>
        <v>15.08</v>
      </c>
      <c r="H787" s="116">
        <f t="shared" si="325"/>
        <v>3.9800000000000004</v>
      </c>
      <c r="I787" s="118">
        <f t="shared" si="335"/>
        <v>119991.56</v>
      </c>
      <c r="J787" s="118">
        <f t="shared" si="326"/>
        <v>119991.56</v>
      </c>
      <c r="K787" s="570">
        <f t="shared" si="336"/>
        <v>0</v>
      </c>
      <c r="L787" s="121">
        <f t="shared" si="316"/>
        <v>0</v>
      </c>
      <c r="M787" s="122">
        <f t="shared" si="327"/>
        <v>0</v>
      </c>
      <c r="N787" s="122">
        <f t="shared" si="328"/>
        <v>0</v>
      </c>
      <c r="O787" s="122">
        <f t="shared" si="329"/>
        <v>0</v>
      </c>
      <c r="P787" s="122">
        <f t="shared" si="330"/>
        <v>0</v>
      </c>
      <c r="Q787" s="123">
        <f t="shared" si="331"/>
        <v>119991.56</v>
      </c>
      <c r="R787" s="123">
        <f t="shared" si="337"/>
        <v>-119991.56</v>
      </c>
      <c r="S787" s="582">
        <v>0</v>
      </c>
      <c r="T787" s="123">
        <f t="shared" si="338"/>
        <v>-119991.56</v>
      </c>
      <c r="U787" s="25">
        <f t="shared" si="332"/>
        <v>31668.86</v>
      </c>
      <c r="V787" s="123">
        <f t="shared" si="333"/>
        <v>-31668.86</v>
      </c>
      <c r="W787" s="334">
        <f t="shared" si="334"/>
        <v>2148.3900000000003</v>
      </c>
      <c r="Y787" s="109">
        <f>IF(AE787=1,IF(Y786=MiscData!$F$1,EOMONTH(Y786,-11),EOMONTH(Y786,1)),Y786)</f>
        <v>42338</v>
      </c>
      <c r="Z787" s="108" t="str">
        <f t="shared" si="344"/>
        <v>20140101LGUM_453</v>
      </c>
      <c r="AA787" s="126" t="str">
        <f t="shared" si="345"/>
        <v xml:space="preserve">20140101LS </v>
      </c>
      <c r="AB787" s="583" t="str">
        <f t="shared" si="339"/>
        <v>453</v>
      </c>
      <c r="AD787" s="98">
        <f>MiscData!$X$5</f>
        <v>20140101</v>
      </c>
      <c r="AE787" s="98">
        <f>IF(AE786+1&gt;MiscData!$AC$77,1,AE786+1)</f>
        <v>54</v>
      </c>
      <c r="AF787" s="98" t="str">
        <f>VLOOKUP(AE787,MiscData!$AC$5:$AD$77,2,FALSE)</f>
        <v>LGUM_453</v>
      </c>
      <c r="AG787" s="98" t="str">
        <f>VLOOKUP(AF787,MiscData!$AD$5:$AE$77,2,FALSE)</f>
        <v xml:space="preserve">LS </v>
      </c>
      <c r="AP787" s="98" t="s">
        <v>144</v>
      </c>
      <c r="AR787" s="98">
        <v>0</v>
      </c>
    </row>
    <row r="788" spans="1:44">
      <c r="A788" s="108">
        <f t="shared" si="340"/>
        <v>785</v>
      </c>
      <c r="B788" s="109" t="str">
        <f t="shared" si="341"/>
        <v>Nov 2015</v>
      </c>
      <c r="C788" s="110" t="str">
        <f t="shared" si="342"/>
        <v xml:space="preserve">LS </v>
      </c>
      <c r="D788" s="110" t="str">
        <f t="shared" si="343"/>
        <v>LGUM_454</v>
      </c>
      <c r="E788" s="581">
        <f t="shared" si="322"/>
        <v>5472</v>
      </c>
      <c r="F788" s="581">
        <f t="shared" si="323"/>
        <v>0</v>
      </c>
      <c r="G788" s="116">
        <f t="shared" si="324"/>
        <v>17.38</v>
      </c>
      <c r="H788" s="116">
        <f t="shared" si="325"/>
        <v>4.2800000000000011</v>
      </c>
      <c r="I788" s="118">
        <f t="shared" si="335"/>
        <v>95103.360000000001</v>
      </c>
      <c r="J788" s="118">
        <f t="shared" si="326"/>
        <v>95103.360000000001</v>
      </c>
      <c r="K788" s="570">
        <f t="shared" si="336"/>
        <v>0</v>
      </c>
      <c r="L788" s="121">
        <f t="shared" si="316"/>
        <v>0</v>
      </c>
      <c r="M788" s="122">
        <f t="shared" si="327"/>
        <v>0</v>
      </c>
      <c r="N788" s="122">
        <f t="shared" si="328"/>
        <v>0</v>
      </c>
      <c r="O788" s="122">
        <f t="shared" si="329"/>
        <v>0</v>
      </c>
      <c r="P788" s="122">
        <f t="shared" si="330"/>
        <v>0</v>
      </c>
      <c r="Q788" s="123">
        <f t="shared" si="331"/>
        <v>95103.360000000001</v>
      </c>
      <c r="R788" s="123">
        <f t="shared" si="337"/>
        <v>-95103.360000000001</v>
      </c>
      <c r="S788" s="582">
        <v>0</v>
      </c>
      <c r="T788" s="123">
        <f t="shared" si="338"/>
        <v>-95103.360000000001</v>
      </c>
      <c r="U788" s="25">
        <f t="shared" si="332"/>
        <v>23420.16</v>
      </c>
      <c r="V788" s="123">
        <f t="shared" si="333"/>
        <v>-23420.16</v>
      </c>
      <c r="W788" s="334">
        <f t="shared" si="334"/>
        <v>1586.8799999999999</v>
      </c>
      <c r="Y788" s="109">
        <f>IF(AE788=1,IF(Y787=MiscData!$F$1,EOMONTH(Y787,-11),EOMONTH(Y787,1)),Y787)</f>
        <v>42338</v>
      </c>
      <c r="Z788" s="108" t="str">
        <f t="shared" si="344"/>
        <v>20140101LGUM_454</v>
      </c>
      <c r="AA788" s="126" t="str">
        <f t="shared" si="345"/>
        <v xml:space="preserve">20140101LS </v>
      </c>
      <c r="AB788" s="583" t="str">
        <f t="shared" si="339"/>
        <v>454</v>
      </c>
      <c r="AD788" s="98">
        <f>MiscData!$X$5</f>
        <v>20140101</v>
      </c>
      <c r="AE788" s="98">
        <f>IF(AE787+1&gt;MiscData!$AC$77,1,AE787+1)</f>
        <v>55</v>
      </c>
      <c r="AF788" s="98" t="str">
        <f>VLOOKUP(AE788,MiscData!$AC$5:$AD$77,2,FALSE)</f>
        <v>LGUM_454</v>
      </c>
      <c r="AG788" s="98" t="str">
        <f>VLOOKUP(AF788,MiscData!$AD$5:$AE$77,2,FALSE)</f>
        <v xml:space="preserve">LS </v>
      </c>
      <c r="AP788" s="98" t="s">
        <v>145</v>
      </c>
      <c r="AR788" s="98">
        <v>0</v>
      </c>
    </row>
    <row r="789" spans="1:44">
      <c r="A789" s="108">
        <f t="shared" si="340"/>
        <v>786</v>
      </c>
      <c r="B789" s="109" t="str">
        <f t="shared" si="341"/>
        <v>Nov 2015</v>
      </c>
      <c r="C789" s="110" t="str">
        <f t="shared" si="342"/>
        <v xml:space="preserve">LS </v>
      </c>
      <c r="D789" s="110" t="str">
        <f t="shared" si="343"/>
        <v>LGUM_455</v>
      </c>
      <c r="E789" s="581">
        <f t="shared" si="322"/>
        <v>403</v>
      </c>
      <c r="F789" s="581">
        <f t="shared" si="323"/>
        <v>0</v>
      </c>
      <c r="G789" s="116">
        <f t="shared" si="324"/>
        <v>13.77</v>
      </c>
      <c r="H789" s="116">
        <f t="shared" si="325"/>
        <v>1.6499999999999986</v>
      </c>
      <c r="I789" s="118">
        <f t="shared" si="335"/>
        <v>5549.31</v>
      </c>
      <c r="J789" s="118">
        <f t="shared" si="326"/>
        <v>5549.31</v>
      </c>
      <c r="K789" s="570">
        <f t="shared" si="336"/>
        <v>0</v>
      </c>
      <c r="L789" s="121">
        <f t="shared" ref="L789:L852" si="346">IF(AND(J789=0,K789=0),1,IF(J789=0,0,K789/J789))</f>
        <v>0</v>
      </c>
      <c r="M789" s="122">
        <f t="shared" si="327"/>
        <v>0</v>
      </c>
      <c r="N789" s="122">
        <f t="shared" si="328"/>
        <v>0</v>
      </c>
      <c r="O789" s="122">
        <f t="shared" si="329"/>
        <v>0</v>
      </c>
      <c r="P789" s="122">
        <f t="shared" si="330"/>
        <v>0</v>
      </c>
      <c r="Q789" s="123">
        <f t="shared" si="331"/>
        <v>5549.31</v>
      </c>
      <c r="R789" s="123">
        <f t="shared" si="337"/>
        <v>-5549.31</v>
      </c>
      <c r="S789" s="582">
        <v>0</v>
      </c>
      <c r="T789" s="123">
        <f t="shared" si="338"/>
        <v>-5549.31</v>
      </c>
      <c r="U789" s="25">
        <f t="shared" si="332"/>
        <v>664.95</v>
      </c>
      <c r="V789" s="123">
        <f t="shared" si="333"/>
        <v>-664.95</v>
      </c>
      <c r="W789" s="334">
        <f t="shared" si="334"/>
        <v>96.72</v>
      </c>
      <c r="Y789" s="109">
        <f>IF(AE789=1,IF(Y788=MiscData!$F$1,EOMONTH(Y788,-11),EOMONTH(Y788,1)),Y788)</f>
        <v>42338</v>
      </c>
      <c r="Z789" s="108" t="str">
        <f t="shared" si="344"/>
        <v>20140101LGUM_455</v>
      </c>
      <c r="AA789" s="126" t="str">
        <f t="shared" si="345"/>
        <v xml:space="preserve">20140101LS </v>
      </c>
      <c r="AB789" s="583" t="str">
        <f t="shared" si="339"/>
        <v>455</v>
      </c>
      <c r="AD789" s="98">
        <f>MiscData!$X$5</f>
        <v>20140101</v>
      </c>
      <c r="AE789" s="98">
        <f>IF(AE788+1&gt;MiscData!$AC$77,1,AE788+1)</f>
        <v>56</v>
      </c>
      <c r="AF789" s="98" t="str">
        <f>VLOOKUP(AE789,MiscData!$AC$5:$AD$77,2,FALSE)</f>
        <v>LGUM_455</v>
      </c>
      <c r="AG789" s="98" t="str">
        <f>VLOOKUP(AF789,MiscData!$AD$5:$AE$77,2,FALSE)</f>
        <v xml:space="preserve">LS </v>
      </c>
      <c r="AP789" s="98" t="s">
        <v>146</v>
      </c>
      <c r="AR789" s="98">
        <v>0</v>
      </c>
    </row>
    <row r="790" spans="1:44">
      <c r="A790" s="108">
        <f t="shared" si="340"/>
        <v>787</v>
      </c>
      <c r="B790" s="109" t="str">
        <f t="shared" si="341"/>
        <v>Nov 2015</v>
      </c>
      <c r="C790" s="110" t="str">
        <f t="shared" si="342"/>
        <v xml:space="preserve">LS </v>
      </c>
      <c r="D790" s="110" t="str">
        <f t="shared" si="343"/>
        <v>LGUM_456</v>
      </c>
      <c r="E790" s="581">
        <f t="shared" si="322"/>
        <v>12613</v>
      </c>
      <c r="F790" s="581">
        <f t="shared" si="323"/>
        <v>0</v>
      </c>
      <c r="G790" s="116">
        <f t="shared" si="324"/>
        <v>18.21</v>
      </c>
      <c r="H790" s="116">
        <f t="shared" si="325"/>
        <v>4.2800000000000011</v>
      </c>
      <c r="I790" s="118">
        <f t="shared" si="335"/>
        <v>229682.73</v>
      </c>
      <c r="J790" s="118">
        <f t="shared" si="326"/>
        <v>229682.73</v>
      </c>
      <c r="K790" s="570">
        <f t="shared" si="336"/>
        <v>0</v>
      </c>
      <c r="L790" s="121">
        <f t="shared" si="346"/>
        <v>0</v>
      </c>
      <c r="M790" s="122">
        <f t="shared" si="327"/>
        <v>0</v>
      </c>
      <c r="N790" s="122">
        <f t="shared" si="328"/>
        <v>0</v>
      </c>
      <c r="O790" s="122">
        <f t="shared" si="329"/>
        <v>0</v>
      </c>
      <c r="P790" s="122">
        <f t="shared" si="330"/>
        <v>0</v>
      </c>
      <c r="Q790" s="123">
        <f t="shared" si="331"/>
        <v>229682.73</v>
      </c>
      <c r="R790" s="123">
        <f t="shared" si="337"/>
        <v>-229682.73</v>
      </c>
      <c r="S790" s="582">
        <v>0</v>
      </c>
      <c r="T790" s="123">
        <f t="shared" si="338"/>
        <v>-229682.73</v>
      </c>
      <c r="U790" s="25">
        <f t="shared" si="332"/>
        <v>53983.64</v>
      </c>
      <c r="V790" s="123">
        <f t="shared" si="333"/>
        <v>-53983.64</v>
      </c>
      <c r="W790" s="334">
        <f t="shared" si="334"/>
        <v>3657.7699999999995</v>
      </c>
      <c r="Y790" s="109">
        <f>IF(AE790=1,IF(Y789=MiscData!$F$1,EOMONTH(Y789,-11),EOMONTH(Y789,1)),Y789)</f>
        <v>42338</v>
      </c>
      <c r="Z790" s="108" t="str">
        <f t="shared" si="344"/>
        <v>20140101LGUM_456</v>
      </c>
      <c r="AA790" s="126" t="str">
        <f t="shared" si="345"/>
        <v xml:space="preserve">20140101LS </v>
      </c>
      <c r="AB790" s="583" t="str">
        <f t="shared" si="339"/>
        <v>456</v>
      </c>
      <c r="AD790" s="98">
        <f>MiscData!$X$5</f>
        <v>20140101</v>
      </c>
      <c r="AE790" s="98">
        <f>IF(AE789+1&gt;MiscData!$AC$77,1,AE789+1)</f>
        <v>57</v>
      </c>
      <c r="AF790" s="98" t="str">
        <f>VLOOKUP(AE790,MiscData!$AC$5:$AD$77,2,FALSE)</f>
        <v>LGUM_456</v>
      </c>
      <c r="AG790" s="98" t="str">
        <f>VLOOKUP(AF790,MiscData!$AD$5:$AE$77,2,FALSE)</f>
        <v xml:space="preserve">LS </v>
      </c>
      <c r="AP790" s="98" t="s">
        <v>147</v>
      </c>
      <c r="AR790" s="98">
        <v>0</v>
      </c>
    </row>
    <row r="791" spans="1:44">
      <c r="A791" s="108">
        <f t="shared" si="340"/>
        <v>788</v>
      </c>
      <c r="B791" s="109" t="str">
        <f t="shared" si="341"/>
        <v>Nov 2015</v>
      </c>
      <c r="C791" s="110" t="str">
        <f t="shared" si="342"/>
        <v xml:space="preserve">LS </v>
      </c>
      <c r="D791" s="110" t="str">
        <f t="shared" si="343"/>
        <v>LGUM_457</v>
      </c>
      <c r="E791" s="581">
        <f t="shared" si="322"/>
        <v>3169</v>
      </c>
      <c r="F791" s="581">
        <f t="shared" si="323"/>
        <v>0</v>
      </c>
      <c r="G791" s="116">
        <f t="shared" si="324"/>
        <v>10.86</v>
      </c>
      <c r="H791" s="116">
        <f t="shared" si="325"/>
        <v>1.0599999999999987</v>
      </c>
      <c r="I791" s="118">
        <f t="shared" si="335"/>
        <v>34415.339999999997</v>
      </c>
      <c r="J791" s="118">
        <f t="shared" si="326"/>
        <v>34415.339999999997</v>
      </c>
      <c r="K791" s="570">
        <f t="shared" si="336"/>
        <v>0</v>
      </c>
      <c r="L791" s="121">
        <f t="shared" si="346"/>
        <v>0</v>
      </c>
      <c r="M791" s="122">
        <f t="shared" si="327"/>
        <v>0</v>
      </c>
      <c r="N791" s="122">
        <f t="shared" si="328"/>
        <v>0</v>
      </c>
      <c r="O791" s="122">
        <f t="shared" si="329"/>
        <v>0</v>
      </c>
      <c r="P791" s="122">
        <f t="shared" si="330"/>
        <v>0</v>
      </c>
      <c r="Q791" s="123">
        <f t="shared" si="331"/>
        <v>34415.339999999997</v>
      </c>
      <c r="R791" s="123">
        <f t="shared" si="337"/>
        <v>-34415.339999999997</v>
      </c>
      <c r="S791" s="582">
        <v>0</v>
      </c>
      <c r="T791" s="123">
        <f t="shared" si="338"/>
        <v>-34415.339999999997</v>
      </c>
      <c r="U791" s="25">
        <f t="shared" si="332"/>
        <v>3359.14</v>
      </c>
      <c r="V791" s="123">
        <f t="shared" si="333"/>
        <v>-3359.14</v>
      </c>
      <c r="W791" s="334">
        <f t="shared" si="334"/>
        <v>855.63000000000011</v>
      </c>
      <c r="Y791" s="109">
        <f>IF(AE791=1,IF(Y790=MiscData!$F$1,EOMONTH(Y790,-11),EOMONTH(Y790,1)),Y790)</f>
        <v>42338</v>
      </c>
      <c r="Z791" s="108" t="str">
        <f t="shared" si="344"/>
        <v>20140101LGUM_457</v>
      </c>
      <c r="AA791" s="126" t="str">
        <f t="shared" si="345"/>
        <v xml:space="preserve">20140101LS </v>
      </c>
      <c r="AB791" s="583" t="str">
        <f t="shared" si="339"/>
        <v>457</v>
      </c>
      <c r="AD791" s="98">
        <f>MiscData!$X$5</f>
        <v>20140101</v>
      </c>
      <c r="AE791" s="98">
        <f>IF(AE790+1&gt;MiscData!$AC$77,1,AE790+1)</f>
        <v>58</v>
      </c>
      <c r="AF791" s="98" t="str">
        <f>VLOOKUP(AE791,MiscData!$AC$5:$AD$77,2,FALSE)</f>
        <v>LGUM_457</v>
      </c>
      <c r="AG791" s="98" t="str">
        <f>VLOOKUP(AF791,MiscData!$AD$5:$AE$77,2,FALSE)</f>
        <v xml:space="preserve">LS </v>
      </c>
      <c r="AP791" s="98" t="s">
        <v>475</v>
      </c>
      <c r="AR791" s="98">
        <v>0</v>
      </c>
    </row>
    <row r="792" spans="1:44">
      <c r="A792" s="108">
        <f t="shared" si="340"/>
        <v>789</v>
      </c>
      <c r="B792" s="109" t="str">
        <f t="shared" si="341"/>
        <v>Nov 2015</v>
      </c>
      <c r="C792" s="110" t="str">
        <f t="shared" si="342"/>
        <v>RLS</v>
      </c>
      <c r="D792" s="110" t="str">
        <f t="shared" si="343"/>
        <v>LGUM_458</v>
      </c>
      <c r="E792" s="581">
        <f t="shared" si="322"/>
        <v>5</v>
      </c>
      <c r="F792" s="581">
        <f t="shared" si="323"/>
        <v>0</v>
      </c>
      <c r="G792" s="116">
        <f t="shared" si="324"/>
        <v>11.13</v>
      </c>
      <c r="H792" s="116">
        <f t="shared" si="325"/>
        <v>3.7700000000000014</v>
      </c>
      <c r="I792" s="118">
        <f t="shared" si="335"/>
        <v>55.65</v>
      </c>
      <c r="J792" s="118">
        <f t="shared" si="326"/>
        <v>55.65</v>
      </c>
      <c r="K792" s="570">
        <f t="shared" si="336"/>
        <v>0</v>
      </c>
      <c r="L792" s="121">
        <f t="shared" si="346"/>
        <v>0</v>
      </c>
      <c r="M792" s="122">
        <f t="shared" si="327"/>
        <v>0</v>
      </c>
      <c r="N792" s="122">
        <f t="shared" si="328"/>
        <v>0</v>
      </c>
      <c r="O792" s="122">
        <f t="shared" si="329"/>
        <v>0</v>
      </c>
      <c r="P792" s="122">
        <f t="shared" si="330"/>
        <v>0</v>
      </c>
      <c r="Q792" s="123">
        <f t="shared" si="331"/>
        <v>55.65</v>
      </c>
      <c r="R792" s="123">
        <f t="shared" si="337"/>
        <v>-55.65</v>
      </c>
      <c r="S792" s="582">
        <v>0</v>
      </c>
      <c r="T792" s="123">
        <f t="shared" si="338"/>
        <v>-55.65</v>
      </c>
      <c r="U792" s="25">
        <f t="shared" si="332"/>
        <v>18.850000000000001</v>
      </c>
      <c r="V792" s="123">
        <f t="shared" si="333"/>
        <v>-18.850000000000001</v>
      </c>
      <c r="W792" s="334">
        <f t="shared" si="334"/>
        <v>0.8</v>
      </c>
      <c r="Y792" s="109">
        <f>IF(AE792=1,IF(Y791=MiscData!$F$1,EOMONTH(Y791,-11),EOMONTH(Y791,1)),Y791)</f>
        <v>42338</v>
      </c>
      <c r="Z792" s="108" t="str">
        <f t="shared" si="344"/>
        <v>20140101LGUM_458</v>
      </c>
      <c r="AA792" s="126" t="str">
        <f t="shared" si="345"/>
        <v>20140101RLS</v>
      </c>
      <c r="AB792" s="583" t="str">
        <f t="shared" si="339"/>
        <v>458</v>
      </c>
      <c r="AD792" s="98">
        <f>MiscData!$X$5</f>
        <v>20140101</v>
      </c>
      <c r="AE792" s="98">
        <f>IF(AE791+1&gt;MiscData!$AC$77,1,AE791+1)</f>
        <v>59</v>
      </c>
      <c r="AF792" s="98" t="str">
        <f>VLOOKUP(AE792,MiscData!$AC$5:$AD$77,2,FALSE)</f>
        <v>LGUM_458</v>
      </c>
      <c r="AG792" s="98" t="str">
        <f>VLOOKUP(AF792,MiscData!$AD$5:$AE$77,2,FALSE)</f>
        <v>RLS</v>
      </c>
      <c r="AP792" s="98" t="s">
        <v>477</v>
      </c>
      <c r="AR792" s="98">
        <v>0</v>
      </c>
    </row>
    <row r="793" spans="1:44">
      <c r="A793" s="108">
        <f t="shared" si="340"/>
        <v>790</v>
      </c>
      <c r="B793" s="109" t="str">
        <f t="shared" si="341"/>
        <v>Nov 2015</v>
      </c>
      <c r="C793" s="110" t="str">
        <f t="shared" si="342"/>
        <v xml:space="preserve">LS </v>
      </c>
      <c r="D793" s="110" t="str">
        <f t="shared" si="343"/>
        <v>LGUM_470</v>
      </c>
      <c r="E793" s="581">
        <f t="shared" si="322"/>
        <v>17</v>
      </c>
      <c r="F793" s="581">
        <f t="shared" si="323"/>
        <v>0</v>
      </c>
      <c r="G793" s="116">
        <f t="shared" si="324"/>
        <v>12.79</v>
      </c>
      <c r="H793" s="116">
        <f t="shared" si="325"/>
        <v>1.3699999999999992</v>
      </c>
      <c r="I793" s="118">
        <f t="shared" si="335"/>
        <v>217.43</v>
      </c>
      <c r="J793" s="118">
        <f t="shared" si="326"/>
        <v>217.43</v>
      </c>
      <c r="K793" s="570">
        <f t="shared" si="336"/>
        <v>0</v>
      </c>
      <c r="L793" s="121">
        <f t="shared" si="346"/>
        <v>0</v>
      </c>
      <c r="M793" s="122">
        <f t="shared" si="327"/>
        <v>0</v>
      </c>
      <c r="N793" s="122">
        <f t="shared" si="328"/>
        <v>0</v>
      </c>
      <c r="O793" s="122">
        <f t="shared" si="329"/>
        <v>0</v>
      </c>
      <c r="P793" s="122">
        <f t="shared" si="330"/>
        <v>0</v>
      </c>
      <c r="Q793" s="123">
        <f t="shared" si="331"/>
        <v>217.43</v>
      </c>
      <c r="R793" s="123">
        <f t="shared" si="337"/>
        <v>-217.43</v>
      </c>
      <c r="S793" s="582">
        <v>0</v>
      </c>
      <c r="T793" s="123">
        <f t="shared" si="338"/>
        <v>-217.43</v>
      </c>
      <c r="U793" s="25">
        <f t="shared" si="332"/>
        <v>23.29</v>
      </c>
      <c r="V793" s="123">
        <f t="shared" si="333"/>
        <v>-23.29</v>
      </c>
      <c r="W793" s="334">
        <f t="shared" si="334"/>
        <v>4.59</v>
      </c>
      <c r="Y793" s="109">
        <f>IF(AE793=1,IF(Y792=MiscData!$F$1,EOMONTH(Y792,-11),EOMONTH(Y792,1)),Y792)</f>
        <v>42338</v>
      </c>
      <c r="Z793" s="108" t="str">
        <f t="shared" si="344"/>
        <v>20140101LGUM_470</v>
      </c>
      <c r="AA793" s="126" t="str">
        <f t="shared" si="345"/>
        <v xml:space="preserve">20140101LS </v>
      </c>
      <c r="AB793" s="583" t="str">
        <f t="shared" si="339"/>
        <v>470</v>
      </c>
      <c r="AD793" s="98">
        <f>MiscData!$X$5</f>
        <v>20140101</v>
      </c>
      <c r="AE793" s="98">
        <f>IF(AE792+1&gt;MiscData!$AC$77,1,AE792+1)</f>
        <v>60</v>
      </c>
      <c r="AF793" s="98" t="str">
        <f>VLOOKUP(AE793,MiscData!$AC$5:$AD$77,2,FALSE)</f>
        <v>LGUM_470</v>
      </c>
      <c r="AG793" s="98" t="str">
        <f>VLOOKUP(AF793,MiscData!$AD$5:$AE$77,2,FALSE)</f>
        <v xml:space="preserve">LS </v>
      </c>
      <c r="AP793" s="98" t="s">
        <v>148</v>
      </c>
      <c r="AR793" s="98">
        <v>0</v>
      </c>
    </row>
    <row r="794" spans="1:44">
      <c r="A794" s="108">
        <f t="shared" si="340"/>
        <v>791</v>
      </c>
      <c r="B794" s="109" t="str">
        <f t="shared" si="341"/>
        <v>Nov 2015</v>
      </c>
      <c r="C794" s="110" t="str">
        <f t="shared" si="342"/>
        <v>RLS</v>
      </c>
      <c r="D794" s="110" t="str">
        <f t="shared" si="343"/>
        <v>LGUM_471</v>
      </c>
      <c r="E794" s="581">
        <f t="shared" si="322"/>
        <v>2</v>
      </c>
      <c r="F794" s="581">
        <f t="shared" si="323"/>
        <v>0</v>
      </c>
      <c r="G794" s="116">
        <f t="shared" si="324"/>
        <v>15.07</v>
      </c>
      <c r="H794" s="116">
        <f t="shared" si="325"/>
        <v>1.3699999999999992</v>
      </c>
      <c r="I794" s="118">
        <f t="shared" si="335"/>
        <v>30.14</v>
      </c>
      <c r="J794" s="118">
        <f t="shared" si="326"/>
        <v>30.14</v>
      </c>
      <c r="K794" s="570">
        <f t="shared" si="336"/>
        <v>0</v>
      </c>
      <c r="L794" s="121">
        <f t="shared" si="346"/>
        <v>0</v>
      </c>
      <c r="M794" s="122">
        <f t="shared" si="327"/>
        <v>0</v>
      </c>
      <c r="N794" s="122">
        <f t="shared" si="328"/>
        <v>0</v>
      </c>
      <c r="O794" s="122">
        <f t="shared" si="329"/>
        <v>0</v>
      </c>
      <c r="P794" s="122">
        <f t="shared" si="330"/>
        <v>0</v>
      </c>
      <c r="Q794" s="123">
        <f t="shared" si="331"/>
        <v>30.14</v>
      </c>
      <c r="R794" s="123">
        <f t="shared" si="337"/>
        <v>-30.14</v>
      </c>
      <c r="S794" s="582">
        <v>0</v>
      </c>
      <c r="T794" s="123">
        <f t="shared" si="338"/>
        <v>-30.14</v>
      </c>
      <c r="U794" s="25">
        <f t="shared" si="332"/>
        <v>2.74</v>
      </c>
      <c r="V794" s="123">
        <f t="shared" si="333"/>
        <v>-2.74</v>
      </c>
      <c r="W794" s="334">
        <f t="shared" si="334"/>
        <v>0.54</v>
      </c>
      <c r="Y794" s="109">
        <f>IF(AE794=1,IF(Y793=MiscData!$F$1,EOMONTH(Y793,-11),EOMONTH(Y793,1)),Y793)</f>
        <v>42338</v>
      </c>
      <c r="Z794" s="108" t="str">
        <f t="shared" si="344"/>
        <v>20140101LGUM_471</v>
      </c>
      <c r="AA794" s="126" t="str">
        <f t="shared" si="345"/>
        <v>20140101RLS</v>
      </c>
      <c r="AB794" s="583" t="str">
        <f t="shared" si="339"/>
        <v>471</v>
      </c>
      <c r="AD794" s="98">
        <f>MiscData!$X$5</f>
        <v>20140101</v>
      </c>
      <c r="AE794" s="98">
        <f>IF(AE793+1&gt;MiscData!$AC$77,1,AE793+1)</f>
        <v>61</v>
      </c>
      <c r="AF794" s="98" t="str">
        <f>VLOOKUP(AE794,MiscData!$AC$5:$AD$77,2,FALSE)</f>
        <v>LGUM_471</v>
      </c>
      <c r="AG794" s="98" t="str">
        <f>VLOOKUP(AF794,MiscData!$AD$5:$AE$77,2,FALSE)</f>
        <v>RLS</v>
      </c>
      <c r="AP794" s="98" t="s">
        <v>149</v>
      </c>
      <c r="AR794" s="98">
        <v>0</v>
      </c>
    </row>
    <row r="795" spans="1:44">
      <c r="A795" s="108">
        <f t="shared" si="340"/>
        <v>792</v>
      </c>
      <c r="B795" s="109" t="str">
        <f t="shared" si="341"/>
        <v>Nov 2015</v>
      </c>
      <c r="C795" s="110" t="str">
        <f t="shared" si="342"/>
        <v xml:space="preserve">LS </v>
      </c>
      <c r="D795" s="110" t="str">
        <f t="shared" si="343"/>
        <v>LGUM_473</v>
      </c>
      <c r="E795" s="581">
        <f t="shared" si="322"/>
        <v>268</v>
      </c>
      <c r="F795" s="581">
        <f t="shared" si="323"/>
        <v>0</v>
      </c>
      <c r="G795" s="116">
        <f t="shared" si="324"/>
        <v>18.68</v>
      </c>
      <c r="H795" s="116">
        <f t="shared" si="325"/>
        <v>3.1799999999999979</v>
      </c>
      <c r="I795" s="118">
        <f t="shared" si="335"/>
        <v>5006.24</v>
      </c>
      <c r="J795" s="118">
        <f t="shared" si="326"/>
        <v>5006.24</v>
      </c>
      <c r="K795" s="570">
        <f t="shared" si="336"/>
        <v>0</v>
      </c>
      <c r="L795" s="121">
        <f t="shared" si="346"/>
        <v>0</v>
      </c>
      <c r="M795" s="122">
        <f t="shared" si="327"/>
        <v>0</v>
      </c>
      <c r="N795" s="122">
        <f t="shared" si="328"/>
        <v>0</v>
      </c>
      <c r="O795" s="122">
        <f t="shared" si="329"/>
        <v>0</v>
      </c>
      <c r="P795" s="122">
        <f t="shared" si="330"/>
        <v>0</v>
      </c>
      <c r="Q795" s="123">
        <f t="shared" si="331"/>
        <v>5006.24</v>
      </c>
      <c r="R795" s="123">
        <f t="shared" si="337"/>
        <v>-5006.24</v>
      </c>
      <c r="S795" s="582">
        <v>0</v>
      </c>
      <c r="T795" s="123">
        <f t="shared" si="338"/>
        <v>-5006.24</v>
      </c>
      <c r="U795" s="25">
        <f t="shared" si="332"/>
        <v>852.24</v>
      </c>
      <c r="V795" s="123">
        <f t="shared" si="333"/>
        <v>-852.24</v>
      </c>
      <c r="W795" s="334">
        <f t="shared" si="334"/>
        <v>80.399999999999991</v>
      </c>
      <c r="Y795" s="109">
        <f>IF(AE795=1,IF(Y794=MiscData!$F$1,EOMONTH(Y794,-11),EOMONTH(Y794,1)),Y794)</f>
        <v>42338</v>
      </c>
      <c r="Z795" s="108" t="str">
        <f t="shared" si="344"/>
        <v>20140101LGUM_473</v>
      </c>
      <c r="AA795" s="126" t="str">
        <f t="shared" si="345"/>
        <v xml:space="preserve">20140101LS </v>
      </c>
      <c r="AB795" s="583" t="str">
        <f t="shared" si="339"/>
        <v>473</v>
      </c>
      <c r="AD795" s="98">
        <f>MiscData!$X$5</f>
        <v>20140101</v>
      </c>
      <c r="AE795" s="98">
        <f>IF(AE794+1&gt;MiscData!$AC$77,1,AE794+1)</f>
        <v>62</v>
      </c>
      <c r="AF795" s="98" t="str">
        <f>VLOOKUP(AE795,MiscData!$AC$5:$AD$77,2,FALSE)</f>
        <v>LGUM_473</v>
      </c>
      <c r="AG795" s="98" t="str">
        <f>VLOOKUP(AF795,MiscData!$AD$5:$AE$77,2,FALSE)</f>
        <v xml:space="preserve">LS </v>
      </c>
      <c r="AP795" s="98" t="s">
        <v>150</v>
      </c>
      <c r="AR795" s="98">
        <v>0</v>
      </c>
    </row>
    <row r="796" spans="1:44">
      <c r="A796" s="108">
        <f t="shared" si="340"/>
        <v>793</v>
      </c>
      <c r="B796" s="109" t="str">
        <f t="shared" si="341"/>
        <v>Nov 2015</v>
      </c>
      <c r="C796" s="110" t="str">
        <f t="shared" si="342"/>
        <v>RLS</v>
      </c>
      <c r="D796" s="110" t="str">
        <f t="shared" si="343"/>
        <v>LGUM_474</v>
      </c>
      <c r="E796" s="581">
        <f t="shared" si="322"/>
        <v>52</v>
      </c>
      <c r="F796" s="581">
        <f t="shared" si="323"/>
        <v>0</v>
      </c>
      <c r="G796" s="116">
        <f t="shared" si="324"/>
        <v>20.970000000000002</v>
      </c>
      <c r="H796" s="116">
        <f t="shared" si="325"/>
        <v>3.1799999999999997</v>
      </c>
      <c r="I796" s="118">
        <f t="shared" si="335"/>
        <v>1090.44</v>
      </c>
      <c r="J796" s="118">
        <f t="shared" si="326"/>
        <v>1090.44</v>
      </c>
      <c r="K796" s="570">
        <f t="shared" si="336"/>
        <v>0</v>
      </c>
      <c r="L796" s="121">
        <f t="shared" si="346"/>
        <v>0</v>
      </c>
      <c r="M796" s="122">
        <f t="shared" si="327"/>
        <v>0</v>
      </c>
      <c r="N796" s="122">
        <f t="shared" si="328"/>
        <v>0</v>
      </c>
      <c r="O796" s="122">
        <f t="shared" si="329"/>
        <v>0</v>
      </c>
      <c r="P796" s="122">
        <f t="shared" si="330"/>
        <v>0</v>
      </c>
      <c r="Q796" s="123">
        <f t="shared" si="331"/>
        <v>1090.44</v>
      </c>
      <c r="R796" s="123">
        <f t="shared" si="337"/>
        <v>-1090.44</v>
      </c>
      <c r="S796" s="582">
        <v>0</v>
      </c>
      <c r="T796" s="123">
        <f t="shared" si="338"/>
        <v>-1090.44</v>
      </c>
      <c r="U796" s="25">
        <f t="shared" si="332"/>
        <v>165.36</v>
      </c>
      <c r="V796" s="123">
        <f t="shared" si="333"/>
        <v>-165.36</v>
      </c>
      <c r="W796" s="334">
        <f t="shared" si="334"/>
        <v>15.6</v>
      </c>
      <c r="Y796" s="109">
        <f>IF(AE796=1,IF(Y795=MiscData!$F$1,EOMONTH(Y795,-11),EOMONTH(Y795,1)),Y795)</f>
        <v>42338</v>
      </c>
      <c r="Z796" s="108" t="str">
        <f t="shared" si="344"/>
        <v>20140101LGUM_474</v>
      </c>
      <c r="AA796" s="126" t="str">
        <f t="shared" si="345"/>
        <v>20140101RLS</v>
      </c>
      <c r="AB796" s="583" t="str">
        <f t="shared" si="339"/>
        <v>474</v>
      </c>
      <c r="AD796" s="98">
        <f>MiscData!$X$5</f>
        <v>20140101</v>
      </c>
      <c r="AE796" s="98">
        <f>IF(AE795+1&gt;MiscData!$AC$77,1,AE795+1)</f>
        <v>63</v>
      </c>
      <c r="AF796" s="98" t="str">
        <f>VLOOKUP(AE796,MiscData!$AC$5:$AD$77,2,FALSE)</f>
        <v>LGUM_474</v>
      </c>
      <c r="AG796" s="98" t="str">
        <f>VLOOKUP(AF796,MiscData!$AD$5:$AE$77,2,FALSE)</f>
        <v>RLS</v>
      </c>
      <c r="AP796" s="98" t="s">
        <v>482</v>
      </c>
      <c r="AR796" s="98">
        <v>0</v>
      </c>
    </row>
    <row r="797" spans="1:44">
      <c r="A797" s="108">
        <f t="shared" si="340"/>
        <v>794</v>
      </c>
      <c r="B797" s="109" t="str">
        <f t="shared" si="341"/>
        <v>Nov 2015</v>
      </c>
      <c r="C797" s="110" t="str">
        <f t="shared" si="342"/>
        <v>RLS</v>
      </c>
      <c r="D797" s="110" t="str">
        <f t="shared" si="343"/>
        <v>LGUM_475</v>
      </c>
      <c r="E797" s="581">
        <f t="shared" si="322"/>
        <v>2</v>
      </c>
      <c r="F797" s="581">
        <f t="shared" si="323"/>
        <v>0</v>
      </c>
      <c r="G797" s="116">
        <f t="shared" si="324"/>
        <v>28.42</v>
      </c>
      <c r="H797" s="116">
        <f t="shared" si="325"/>
        <v>3.1800000000000033</v>
      </c>
      <c r="I797" s="118">
        <f t="shared" si="335"/>
        <v>56.84</v>
      </c>
      <c r="J797" s="118">
        <f t="shared" si="326"/>
        <v>56.84</v>
      </c>
      <c r="K797" s="570">
        <f t="shared" si="336"/>
        <v>0</v>
      </c>
      <c r="L797" s="121">
        <f t="shared" si="346"/>
        <v>0</v>
      </c>
      <c r="M797" s="122">
        <f t="shared" si="327"/>
        <v>0</v>
      </c>
      <c r="N797" s="122">
        <f t="shared" si="328"/>
        <v>0</v>
      </c>
      <c r="O797" s="122">
        <f t="shared" si="329"/>
        <v>0</v>
      </c>
      <c r="P797" s="122">
        <f t="shared" si="330"/>
        <v>0</v>
      </c>
      <c r="Q797" s="123">
        <f t="shared" si="331"/>
        <v>56.84</v>
      </c>
      <c r="R797" s="123">
        <f t="shared" si="337"/>
        <v>-56.84</v>
      </c>
      <c r="S797" s="582">
        <v>0</v>
      </c>
      <c r="T797" s="123">
        <f t="shared" si="338"/>
        <v>-56.84</v>
      </c>
      <c r="U797" s="25">
        <f t="shared" si="332"/>
        <v>6.36</v>
      </c>
      <c r="V797" s="123">
        <f t="shared" si="333"/>
        <v>-6.36</v>
      </c>
      <c r="W797" s="334">
        <f t="shared" si="334"/>
        <v>0.6</v>
      </c>
      <c r="Y797" s="109">
        <f>IF(AE797=1,IF(Y796=MiscData!$F$1,EOMONTH(Y796,-11),EOMONTH(Y796,1)),Y796)</f>
        <v>42338</v>
      </c>
      <c r="Z797" s="108" t="str">
        <f t="shared" si="344"/>
        <v>20140101LGUM_475</v>
      </c>
      <c r="AA797" s="126" t="str">
        <f t="shared" si="345"/>
        <v>20140101RLS</v>
      </c>
      <c r="AB797" s="583" t="str">
        <f t="shared" si="339"/>
        <v>475</v>
      </c>
      <c r="AD797" s="98">
        <f>MiscData!$X$5</f>
        <v>20140101</v>
      </c>
      <c r="AE797" s="98">
        <f>IF(AE796+1&gt;MiscData!$AC$77,1,AE796+1)</f>
        <v>64</v>
      </c>
      <c r="AF797" s="98" t="str">
        <f>VLOOKUP(AE797,MiscData!$AC$5:$AD$77,2,FALSE)</f>
        <v>LGUM_475</v>
      </c>
      <c r="AG797" s="98" t="str">
        <f>VLOOKUP(AF797,MiscData!$AD$5:$AE$77,2,FALSE)</f>
        <v>RLS</v>
      </c>
      <c r="AP797" s="98" t="s">
        <v>485</v>
      </c>
      <c r="AR797" s="98">
        <v>0</v>
      </c>
    </row>
    <row r="798" spans="1:44">
      <c r="A798" s="108">
        <f t="shared" si="340"/>
        <v>795</v>
      </c>
      <c r="B798" s="109" t="str">
        <f t="shared" si="341"/>
        <v>Nov 2015</v>
      </c>
      <c r="C798" s="110" t="str">
        <f t="shared" si="342"/>
        <v xml:space="preserve">LS </v>
      </c>
      <c r="D798" s="110" t="str">
        <f t="shared" si="343"/>
        <v>LGUM_476</v>
      </c>
      <c r="E798" s="581">
        <f t="shared" si="322"/>
        <v>339</v>
      </c>
      <c r="F798" s="581">
        <f t="shared" si="323"/>
        <v>0</v>
      </c>
      <c r="G798" s="116">
        <f t="shared" si="324"/>
        <v>39.6</v>
      </c>
      <c r="H798" s="116">
        <f t="shared" si="325"/>
        <v>9.8100000000000023</v>
      </c>
      <c r="I798" s="118">
        <f t="shared" si="335"/>
        <v>13424.4</v>
      </c>
      <c r="J798" s="118">
        <f t="shared" si="326"/>
        <v>13424.4</v>
      </c>
      <c r="K798" s="570">
        <f t="shared" si="336"/>
        <v>0</v>
      </c>
      <c r="L798" s="121">
        <f t="shared" si="346"/>
        <v>0</v>
      </c>
      <c r="M798" s="122">
        <f t="shared" si="327"/>
        <v>0</v>
      </c>
      <c r="N798" s="122">
        <f t="shared" si="328"/>
        <v>0</v>
      </c>
      <c r="O798" s="122">
        <f t="shared" si="329"/>
        <v>0</v>
      </c>
      <c r="P798" s="122">
        <f t="shared" si="330"/>
        <v>0</v>
      </c>
      <c r="Q798" s="123">
        <f t="shared" si="331"/>
        <v>13424.4</v>
      </c>
      <c r="R798" s="123">
        <f t="shared" si="337"/>
        <v>-13424.4</v>
      </c>
      <c r="S798" s="582">
        <v>0</v>
      </c>
      <c r="T798" s="123">
        <f t="shared" si="338"/>
        <v>-13424.4</v>
      </c>
      <c r="U798" s="25">
        <f t="shared" si="332"/>
        <v>3325.59</v>
      </c>
      <c r="V798" s="123">
        <f t="shared" si="333"/>
        <v>-3325.59</v>
      </c>
      <c r="W798" s="334">
        <f t="shared" si="334"/>
        <v>206.79</v>
      </c>
      <c r="Y798" s="109">
        <f>IF(AE798=1,IF(Y797=MiscData!$F$1,EOMONTH(Y797,-11),EOMONTH(Y797,1)),Y797)</f>
        <v>42338</v>
      </c>
      <c r="Z798" s="108" t="str">
        <f t="shared" si="344"/>
        <v>20140101LGUM_476</v>
      </c>
      <c r="AA798" s="126" t="str">
        <f t="shared" si="345"/>
        <v xml:space="preserve">20140101LS </v>
      </c>
      <c r="AB798" s="583" t="str">
        <f t="shared" si="339"/>
        <v>476</v>
      </c>
      <c r="AD798" s="98">
        <f>MiscData!$X$5</f>
        <v>20140101</v>
      </c>
      <c r="AE798" s="98">
        <f>IF(AE797+1&gt;MiscData!$AC$77,1,AE797+1)</f>
        <v>65</v>
      </c>
      <c r="AF798" s="98" t="str">
        <f>VLOOKUP(AE798,MiscData!$AC$5:$AD$77,2,FALSE)</f>
        <v>LGUM_476</v>
      </c>
      <c r="AG798" s="98" t="str">
        <f>VLOOKUP(AF798,MiscData!$AD$5:$AE$77,2,FALSE)</f>
        <v xml:space="preserve">LS </v>
      </c>
      <c r="AP798" s="98" t="s">
        <v>151</v>
      </c>
      <c r="AR798" s="98">
        <v>0</v>
      </c>
    </row>
    <row r="799" spans="1:44">
      <c r="A799" s="108">
        <f t="shared" si="340"/>
        <v>796</v>
      </c>
      <c r="B799" s="109" t="str">
        <f t="shared" si="341"/>
        <v>Nov 2015</v>
      </c>
      <c r="C799" s="110" t="str">
        <f t="shared" si="342"/>
        <v>RLS</v>
      </c>
      <c r="D799" s="110" t="str">
        <f t="shared" si="343"/>
        <v>LGUM_477</v>
      </c>
      <c r="E799" s="581">
        <f t="shared" si="322"/>
        <v>59</v>
      </c>
      <c r="F799" s="581">
        <f t="shared" si="323"/>
        <v>0</v>
      </c>
      <c r="G799" s="116">
        <f t="shared" si="324"/>
        <v>42.78</v>
      </c>
      <c r="H799" s="116">
        <f t="shared" si="325"/>
        <v>9.8100000000000023</v>
      </c>
      <c r="I799" s="118">
        <f t="shared" si="335"/>
        <v>2524.02</v>
      </c>
      <c r="J799" s="118">
        <f t="shared" si="326"/>
        <v>2524.02</v>
      </c>
      <c r="K799" s="570">
        <f t="shared" si="336"/>
        <v>0</v>
      </c>
      <c r="L799" s="121">
        <f t="shared" si="346"/>
        <v>0</v>
      </c>
      <c r="M799" s="122">
        <f t="shared" si="327"/>
        <v>0</v>
      </c>
      <c r="N799" s="122">
        <f t="shared" si="328"/>
        <v>0</v>
      </c>
      <c r="O799" s="122">
        <f t="shared" si="329"/>
        <v>0</v>
      </c>
      <c r="P799" s="122">
        <f t="shared" si="330"/>
        <v>0</v>
      </c>
      <c r="Q799" s="123">
        <f t="shared" si="331"/>
        <v>2524.02</v>
      </c>
      <c r="R799" s="123">
        <f t="shared" si="337"/>
        <v>-2524.02</v>
      </c>
      <c r="S799" s="582">
        <v>0</v>
      </c>
      <c r="T799" s="123">
        <f t="shared" si="338"/>
        <v>-2524.02</v>
      </c>
      <c r="U799" s="25">
        <f t="shared" si="332"/>
        <v>578.79</v>
      </c>
      <c r="V799" s="123">
        <f t="shared" si="333"/>
        <v>-578.79</v>
      </c>
      <c r="W799" s="334">
        <f t="shared" si="334"/>
        <v>35.99</v>
      </c>
      <c r="Y799" s="109">
        <f>IF(AE799=1,IF(Y798=MiscData!$F$1,EOMONTH(Y798,-11),EOMONTH(Y798,1)),Y798)</f>
        <v>42338</v>
      </c>
      <c r="Z799" s="108" t="str">
        <f t="shared" si="344"/>
        <v>20140101LGUM_477</v>
      </c>
      <c r="AA799" s="126" t="str">
        <f t="shared" si="345"/>
        <v>20140101RLS</v>
      </c>
      <c r="AB799" s="583" t="str">
        <f t="shared" si="339"/>
        <v>477</v>
      </c>
      <c r="AD799" s="98">
        <f>MiscData!$X$5</f>
        <v>20140101</v>
      </c>
      <c r="AE799" s="98">
        <f>IF(AE798+1&gt;MiscData!$AC$77,1,AE798+1)</f>
        <v>66</v>
      </c>
      <c r="AF799" s="98" t="str">
        <f>VLOOKUP(AE799,MiscData!$AC$5:$AD$77,2,FALSE)</f>
        <v>LGUM_477</v>
      </c>
      <c r="AG799" s="98" t="str">
        <f>VLOOKUP(AF799,MiscData!$AD$5:$AE$77,2,FALSE)</f>
        <v>RLS</v>
      </c>
      <c r="AP799" s="98" t="s">
        <v>152</v>
      </c>
      <c r="AR799" s="98">
        <v>0</v>
      </c>
    </row>
    <row r="800" spans="1:44">
      <c r="A800" s="108">
        <f t="shared" si="340"/>
        <v>797</v>
      </c>
      <c r="B800" s="109" t="str">
        <f t="shared" si="341"/>
        <v>Nov 2015</v>
      </c>
      <c r="C800" s="110" t="str">
        <f t="shared" si="342"/>
        <v xml:space="preserve">LS </v>
      </c>
      <c r="D800" s="110" t="str">
        <f t="shared" si="343"/>
        <v>LGUM_479</v>
      </c>
      <c r="E800" s="581">
        <f t="shared" si="322"/>
        <v>0</v>
      </c>
      <c r="F800" s="581">
        <f t="shared" si="323"/>
        <v>0</v>
      </c>
      <c r="G800" s="116">
        <f t="shared" si="324"/>
        <v>14.06</v>
      </c>
      <c r="H800" s="116">
        <f t="shared" si="325"/>
        <v>1.370000000000001</v>
      </c>
      <c r="I800" s="118">
        <f t="shared" si="335"/>
        <v>0</v>
      </c>
      <c r="J800" s="118">
        <f t="shared" si="326"/>
        <v>0</v>
      </c>
      <c r="K800" s="570">
        <f t="shared" si="336"/>
        <v>0</v>
      </c>
      <c r="L800" s="121">
        <f t="shared" si="346"/>
        <v>1</v>
      </c>
      <c r="M800" s="122">
        <f t="shared" si="327"/>
        <v>0</v>
      </c>
      <c r="N800" s="122">
        <f t="shared" si="328"/>
        <v>0</v>
      </c>
      <c r="O800" s="122">
        <f t="shared" si="329"/>
        <v>0</v>
      </c>
      <c r="P800" s="122">
        <f t="shared" si="330"/>
        <v>0</v>
      </c>
      <c r="Q800" s="123">
        <f t="shared" si="331"/>
        <v>0</v>
      </c>
      <c r="R800" s="123">
        <f t="shared" si="337"/>
        <v>0</v>
      </c>
      <c r="S800" s="582">
        <v>0</v>
      </c>
      <c r="T800" s="123">
        <f t="shared" si="338"/>
        <v>0</v>
      </c>
      <c r="U800" s="25">
        <f t="shared" si="332"/>
        <v>0</v>
      </c>
      <c r="V800" s="123">
        <f t="shared" si="333"/>
        <v>0</v>
      </c>
      <c r="W800" s="334">
        <f t="shared" si="334"/>
        <v>0</v>
      </c>
      <c r="Y800" s="109">
        <f>IF(AE800=1,IF(Y799=MiscData!$F$1,EOMONTH(Y799,-11),EOMONTH(Y799,1)),Y799)</f>
        <v>42338</v>
      </c>
      <c r="Z800" s="108" t="str">
        <f t="shared" si="344"/>
        <v>20140101LGUM_479</v>
      </c>
      <c r="AA800" s="126" t="str">
        <f t="shared" si="345"/>
        <v xml:space="preserve">20140101LS </v>
      </c>
      <c r="AB800" s="583" t="str">
        <f t="shared" si="339"/>
        <v>479</v>
      </c>
      <c r="AD800" s="98">
        <f>MiscData!$X$5</f>
        <v>20140101</v>
      </c>
      <c r="AE800" s="98">
        <f>IF(AE799+1&gt;MiscData!$AC$77,1,AE799+1)</f>
        <v>67</v>
      </c>
      <c r="AF800" s="98" t="str">
        <f>VLOOKUP(AE800,MiscData!$AC$5:$AD$77,2,FALSE)</f>
        <v>LGUM_479</v>
      </c>
      <c r="AG800" s="98" t="str">
        <f>VLOOKUP(AF800,MiscData!$AD$5:$AE$77,2,FALSE)</f>
        <v xml:space="preserve">LS </v>
      </c>
      <c r="AP800" s="98" t="s">
        <v>153</v>
      </c>
      <c r="AR800" s="98">
        <v>0</v>
      </c>
    </row>
    <row r="801" spans="1:44">
      <c r="A801" s="108">
        <f t="shared" si="340"/>
        <v>798</v>
      </c>
      <c r="B801" s="109" t="str">
        <f t="shared" si="341"/>
        <v>Nov 2015</v>
      </c>
      <c r="C801" s="110" t="str">
        <f t="shared" si="342"/>
        <v xml:space="preserve">LS </v>
      </c>
      <c r="D801" s="110" t="str">
        <f t="shared" si="343"/>
        <v>LGUM_480</v>
      </c>
      <c r="E801" s="581">
        <f t="shared" si="322"/>
        <v>17</v>
      </c>
      <c r="F801" s="581">
        <f t="shared" si="323"/>
        <v>0</v>
      </c>
      <c r="G801" s="116">
        <f t="shared" si="324"/>
        <v>23.83</v>
      </c>
      <c r="H801" s="116">
        <f t="shared" si="325"/>
        <v>1.370000000000001</v>
      </c>
      <c r="I801" s="118">
        <f t="shared" si="335"/>
        <v>405.11</v>
      </c>
      <c r="J801" s="118">
        <f t="shared" si="326"/>
        <v>405.11</v>
      </c>
      <c r="K801" s="570">
        <f t="shared" si="336"/>
        <v>0</v>
      </c>
      <c r="L801" s="121">
        <f t="shared" si="346"/>
        <v>0</v>
      </c>
      <c r="M801" s="122">
        <f t="shared" si="327"/>
        <v>0</v>
      </c>
      <c r="N801" s="122">
        <f t="shared" si="328"/>
        <v>0</v>
      </c>
      <c r="O801" s="122">
        <f t="shared" si="329"/>
        <v>0</v>
      </c>
      <c r="P801" s="122">
        <f t="shared" si="330"/>
        <v>0</v>
      </c>
      <c r="Q801" s="123">
        <f t="shared" si="331"/>
        <v>405.11</v>
      </c>
      <c r="R801" s="123">
        <f t="shared" si="337"/>
        <v>-405.11</v>
      </c>
      <c r="S801" s="582">
        <v>0</v>
      </c>
      <c r="T801" s="123">
        <f t="shared" si="338"/>
        <v>-405.11</v>
      </c>
      <c r="U801" s="25">
        <f t="shared" si="332"/>
        <v>23.29</v>
      </c>
      <c r="V801" s="123">
        <f t="shared" si="333"/>
        <v>-23.29</v>
      </c>
      <c r="W801" s="334">
        <f t="shared" si="334"/>
        <v>4.59</v>
      </c>
      <c r="Y801" s="109">
        <f>IF(AE801=1,IF(Y800=MiscData!$F$1,EOMONTH(Y800,-11),EOMONTH(Y800,1)),Y800)</f>
        <v>42338</v>
      </c>
      <c r="Z801" s="108" t="str">
        <f t="shared" si="344"/>
        <v>20140101LGUM_480</v>
      </c>
      <c r="AA801" s="126" t="str">
        <f t="shared" si="345"/>
        <v xml:space="preserve">20140101LS </v>
      </c>
      <c r="AB801" s="583" t="str">
        <f t="shared" si="339"/>
        <v>480</v>
      </c>
      <c r="AD801" s="98">
        <f>MiscData!$X$5</f>
        <v>20140101</v>
      </c>
      <c r="AE801" s="98">
        <f>IF(AE800+1&gt;MiscData!$AC$77,1,AE800+1)</f>
        <v>68</v>
      </c>
      <c r="AF801" s="98" t="str">
        <f>VLOOKUP(AE801,MiscData!$AC$5:$AD$77,2,FALSE)</f>
        <v>LGUM_480</v>
      </c>
      <c r="AG801" s="98" t="str">
        <f>VLOOKUP(AF801,MiscData!$AD$5:$AE$77,2,FALSE)</f>
        <v xml:space="preserve">LS </v>
      </c>
      <c r="AP801" s="98" t="s">
        <v>154</v>
      </c>
      <c r="AR801" s="98">
        <v>-40.32</v>
      </c>
    </row>
    <row r="802" spans="1:44">
      <c r="A802" s="108">
        <f t="shared" si="340"/>
        <v>799</v>
      </c>
      <c r="B802" s="109" t="str">
        <f t="shared" si="341"/>
        <v>Nov 2015</v>
      </c>
      <c r="C802" s="110" t="str">
        <f t="shared" si="342"/>
        <v xml:space="preserve">LS </v>
      </c>
      <c r="D802" s="110" t="str">
        <f t="shared" si="343"/>
        <v>LGUM_481</v>
      </c>
      <c r="E802" s="581">
        <f t="shared" si="322"/>
        <v>4</v>
      </c>
      <c r="F802" s="581">
        <f t="shared" si="323"/>
        <v>0</v>
      </c>
      <c r="G802" s="116">
        <f t="shared" si="324"/>
        <v>20.46</v>
      </c>
      <c r="H802" s="116">
        <f t="shared" si="325"/>
        <v>3.1800000000000033</v>
      </c>
      <c r="I802" s="118">
        <f t="shared" si="335"/>
        <v>81.84</v>
      </c>
      <c r="J802" s="118">
        <f t="shared" si="326"/>
        <v>81.84</v>
      </c>
      <c r="K802" s="570">
        <f t="shared" si="336"/>
        <v>0</v>
      </c>
      <c r="L802" s="121">
        <f t="shared" si="346"/>
        <v>0</v>
      </c>
      <c r="M802" s="122">
        <f t="shared" si="327"/>
        <v>0</v>
      </c>
      <c r="N802" s="122">
        <f t="shared" si="328"/>
        <v>0</v>
      </c>
      <c r="O802" s="122">
        <f t="shared" si="329"/>
        <v>0</v>
      </c>
      <c r="P802" s="122">
        <f t="shared" si="330"/>
        <v>0</v>
      </c>
      <c r="Q802" s="123">
        <f t="shared" si="331"/>
        <v>81.84</v>
      </c>
      <c r="R802" s="123">
        <f t="shared" si="337"/>
        <v>-81.84</v>
      </c>
      <c r="S802" s="582">
        <v>0</v>
      </c>
      <c r="T802" s="123">
        <f t="shared" si="338"/>
        <v>-81.84</v>
      </c>
      <c r="U802" s="25">
        <f t="shared" si="332"/>
        <v>12.72</v>
      </c>
      <c r="V802" s="123">
        <f t="shared" si="333"/>
        <v>-12.72</v>
      </c>
      <c r="W802" s="334">
        <f t="shared" si="334"/>
        <v>1.2</v>
      </c>
      <c r="Y802" s="109">
        <f>IF(AE802=1,IF(Y801=MiscData!$F$1,EOMONTH(Y801,-11),EOMONTH(Y801,1)),Y801)</f>
        <v>42338</v>
      </c>
      <c r="Z802" s="108" t="str">
        <f t="shared" si="344"/>
        <v>20140101LGUM_481</v>
      </c>
      <c r="AA802" s="126" t="str">
        <f t="shared" si="345"/>
        <v xml:space="preserve">20140101LS </v>
      </c>
      <c r="AB802" s="583" t="str">
        <f t="shared" si="339"/>
        <v>481</v>
      </c>
      <c r="AD802" s="98">
        <f>MiscData!$X$5</f>
        <v>20140101</v>
      </c>
      <c r="AE802" s="98">
        <f>IF(AE801+1&gt;MiscData!$AC$77,1,AE801+1)</f>
        <v>69</v>
      </c>
      <c r="AF802" s="98" t="str">
        <f>VLOOKUP(AE802,MiscData!$AC$5:$AD$77,2,FALSE)</f>
        <v>LGUM_481</v>
      </c>
      <c r="AG802" s="98" t="str">
        <f>VLOOKUP(AF802,MiscData!$AD$5:$AE$77,2,FALSE)</f>
        <v xml:space="preserve">LS </v>
      </c>
      <c r="AP802" s="98" t="s">
        <v>495</v>
      </c>
      <c r="AR802" s="98">
        <v>0</v>
      </c>
    </row>
    <row r="803" spans="1:44">
      <c r="A803" s="108">
        <f t="shared" si="340"/>
        <v>800</v>
      </c>
      <c r="B803" s="109" t="str">
        <f t="shared" si="341"/>
        <v>Nov 2015</v>
      </c>
      <c r="C803" s="110" t="str">
        <f t="shared" si="342"/>
        <v xml:space="preserve">LS </v>
      </c>
      <c r="D803" s="110" t="str">
        <f t="shared" si="343"/>
        <v>LGUM_482</v>
      </c>
      <c r="E803" s="581">
        <f t="shared" si="322"/>
        <v>39</v>
      </c>
      <c r="F803" s="581">
        <f t="shared" si="323"/>
        <v>0</v>
      </c>
      <c r="G803" s="116">
        <f t="shared" si="324"/>
        <v>30.21</v>
      </c>
      <c r="H803" s="116">
        <f t="shared" si="325"/>
        <v>3.1800000000000033</v>
      </c>
      <c r="I803" s="118">
        <f t="shared" si="335"/>
        <v>1178.19</v>
      </c>
      <c r="J803" s="118">
        <f t="shared" si="326"/>
        <v>1178.19</v>
      </c>
      <c r="K803" s="570">
        <f t="shared" si="336"/>
        <v>0</v>
      </c>
      <c r="L803" s="121">
        <f t="shared" si="346"/>
        <v>0</v>
      </c>
      <c r="M803" s="122">
        <f t="shared" si="327"/>
        <v>0</v>
      </c>
      <c r="N803" s="122">
        <f t="shared" si="328"/>
        <v>0</v>
      </c>
      <c r="O803" s="122">
        <f t="shared" si="329"/>
        <v>0</v>
      </c>
      <c r="P803" s="122">
        <f t="shared" si="330"/>
        <v>0</v>
      </c>
      <c r="Q803" s="123">
        <f t="shared" si="331"/>
        <v>1178.19</v>
      </c>
      <c r="R803" s="123">
        <f t="shared" si="337"/>
        <v>-1178.19</v>
      </c>
      <c r="S803" s="582">
        <v>0</v>
      </c>
      <c r="T803" s="123">
        <f t="shared" si="338"/>
        <v>-1178.19</v>
      </c>
      <c r="U803" s="25">
        <f t="shared" si="332"/>
        <v>124.02</v>
      </c>
      <c r="V803" s="123">
        <f t="shared" si="333"/>
        <v>-124.02</v>
      </c>
      <c r="W803" s="334">
        <f t="shared" si="334"/>
        <v>11.7</v>
      </c>
      <c r="Y803" s="109">
        <f>IF(AE803=1,IF(Y802=MiscData!$F$1,EOMONTH(Y802,-11),EOMONTH(Y802,1)),Y802)</f>
        <v>42338</v>
      </c>
      <c r="Z803" s="108" t="str">
        <f t="shared" si="344"/>
        <v>20140101LGUM_482</v>
      </c>
      <c r="AA803" s="126" t="str">
        <f t="shared" si="345"/>
        <v xml:space="preserve">20140101LS </v>
      </c>
      <c r="AB803" s="583" t="str">
        <f t="shared" si="339"/>
        <v>482</v>
      </c>
      <c r="AD803" s="98">
        <f>MiscData!$X$5</f>
        <v>20140101</v>
      </c>
      <c r="AE803" s="98">
        <f>IF(AE802+1&gt;MiscData!$AC$77,1,AE802+1)</f>
        <v>70</v>
      </c>
      <c r="AF803" s="98" t="str">
        <f>VLOOKUP(AE803,MiscData!$AC$5:$AD$77,2,FALSE)</f>
        <v>LGUM_482</v>
      </c>
      <c r="AG803" s="98" t="str">
        <f>VLOOKUP(AF803,MiscData!$AD$5:$AE$77,2,FALSE)</f>
        <v xml:space="preserve">LS </v>
      </c>
      <c r="AP803" s="98" t="s">
        <v>155</v>
      </c>
      <c r="AR803" s="98">
        <v>-10.85</v>
      </c>
    </row>
    <row r="804" spans="1:44">
      <c r="A804" s="108">
        <f t="shared" si="340"/>
        <v>801</v>
      </c>
      <c r="B804" s="109" t="str">
        <f t="shared" si="341"/>
        <v>Nov 2015</v>
      </c>
      <c r="C804" s="110" t="str">
        <f t="shared" si="342"/>
        <v xml:space="preserve">LS </v>
      </c>
      <c r="D804" s="110" t="str">
        <f t="shared" si="343"/>
        <v>LGUM_483</v>
      </c>
      <c r="E804" s="581">
        <f t="shared" si="322"/>
        <v>2</v>
      </c>
      <c r="F804" s="581">
        <f t="shared" si="323"/>
        <v>0</v>
      </c>
      <c r="G804" s="116">
        <f t="shared" si="324"/>
        <v>42.56</v>
      </c>
      <c r="H804" s="116">
        <f t="shared" si="325"/>
        <v>9.8100000000000023</v>
      </c>
      <c r="I804" s="118">
        <f t="shared" si="335"/>
        <v>85.12</v>
      </c>
      <c r="J804" s="118">
        <f t="shared" si="326"/>
        <v>85.12</v>
      </c>
      <c r="K804" s="570">
        <f t="shared" si="336"/>
        <v>0</v>
      </c>
      <c r="L804" s="121">
        <f t="shared" si="346"/>
        <v>0</v>
      </c>
      <c r="M804" s="122">
        <f t="shared" si="327"/>
        <v>0</v>
      </c>
      <c r="N804" s="122">
        <f t="shared" si="328"/>
        <v>0</v>
      </c>
      <c r="O804" s="122">
        <f t="shared" si="329"/>
        <v>0</v>
      </c>
      <c r="P804" s="122">
        <f t="shared" si="330"/>
        <v>0</v>
      </c>
      <c r="Q804" s="123">
        <f t="shared" si="331"/>
        <v>85.12</v>
      </c>
      <c r="R804" s="123">
        <f t="shared" si="337"/>
        <v>-85.12</v>
      </c>
      <c r="S804" s="582">
        <v>0</v>
      </c>
      <c r="T804" s="123">
        <f t="shared" si="338"/>
        <v>-85.12</v>
      </c>
      <c r="U804" s="25">
        <f t="shared" si="332"/>
        <v>19.62</v>
      </c>
      <c r="V804" s="123">
        <f t="shared" si="333"/>
        <v>-19.62</v>
      </c>
      <c r="W804" s="334">
        <f t="shared" si="334"/>
        <v>1.22</v>
      </c>
      <c r="Y804" s="109">
        <f>IF(AE804=1,IF(Y803=MiscData!$F$1,EOMONTH(Y803,-11),EOMONTH(Y803,1)),Y803)</f>
        <v>42338</v>
      </c>
      <c r="Z804" s="108" t="str">
        <f t="shared" si="344"/>
        <v>20140101LGUM_483</v>
      </c>
      <c r="AA804" s="126" t="str">
        <f t="shared" si="345"/>
        <v xml:space="preserve">20140101LS </v>
      </c>
      <c r="AB804" s="583" t="str">
        <f t="shared" si="339"/>
        <v>483</v>
      </c>
      <c r="AD804" s="98">
        <f>MiscData!$X$5</f>
        <v>20140101</v>
      </c>
      <c r="AE804" s="98">
        <f>IF(AE803+1&gt;MiscData!$AC$77,1,AE803+1)</f>
        <v>71</v>
      </c>
      <c r="AF804" s="98" t="str">
        <f>VLOOKUP(AE804,MiscData!$AC$5:$AD$77,2,FALSE)</f>
        <v>LGUM_483</v>
      </c>
      <c r="AG804" s="98" t="str">
        <f>VLOOKUP(AF804,MiscData!$AD$5:$AE$77,2,FALSE)</f>
        <v xml:space="preserve">LS </v>
      </c>
      <c r="AP804" s="98" t="s">
        <v>156</v>
      </c>
      <c r="AR804" s="98">
        <v>0</v>
      </c>
    </row>
    <row r="805" spans="1:44">
      <c r="A805" s="108">
        <f t="shared" si="340"/>
        <v>802</v>
      </c>
      <c r="B805" s="109" t="str">
        <f t="shared" si="341"/>
        <v>Nov 2015</v>
      </c>
      <c r="C805" s="110" t="str">
        <f t="shared" si="342"/>
        <v xml:space="preserve">LS </v>
      </c>
      <c r="D805" s="110" t="str">
        <f t="shared" si="343"/>
        <v>LGUM_484</v>
      </c>
      <c r="E805" s="581">
        <f t="shared" si="322"/>
        <v>13</v>
      </c>
      <c r="F805" s="581">
        <f t="shared" si="323"/>
        <v>0</v>
      </c>
      <c r="G805" s="116">
        <f t="shared" si="324"/>
        <v>52.31</v>
      </c>
      <c r="H805" s="116">
        <f t="shared" si="325"/>
        <v>9.8100000000000023</v>
      </c>
      <c r="I805" s="118">
        <f t="shared" si="335"/>
        <v>680.03</v>
      </c>
      <c r="J805" s="118">
        <f t="shared" si="326"/>
        <v>680.03</v>
      </c>
      <c r="K805" s="570">
        <f t="shared" si="336"/>
        <v>0</v>
      </c>
      <c r="L805" s="121">
        <f t="shared" si="346"/>
        <v>0</v>
      </c>
      <c r="M805" s="122">
        <f t="shared" si="327"/>
        <v>0</v>
      </c>
      <c r="N805" s="122">
        <f t="shared" si="328"/>
        <v>0</v>
      </c>
      <c r="O805" s="122">
        <f t="shared" si="329"/>
        <v>0</v>
      </c>
      <c r="P805" s="122">
        <f t="shared" si="330"/>
        <v>0</v>
      </c>
      <c r="Q805" s="123">
        <f t="shared" si="331"/>
        <v>680.03</v>
      </c>
      <c r="R805" s="123">
        <f t="shared" si="337"/>
        <v>-680.03</v>
      </c>
      <c r="S805" s="582">
        <v>0</v>
      </c>
      <c r="T805" s="123">
        <f t="shared" si="338"/>
        <v>-680.03</v>
      </c>
      <c r="U805" s="25">
        <f t="shared" si="332"/>
        <v>127.53</v>
      </c>
      <c r="V805" s="123">
        <f t="shared" si="333"/>
        <v>-127.53</v>
      </c>
      <c r="W805" s="334">
        <f t="shared" si="334"/>
        <v>7.93</v>
      </c>
      <c r="Y805" s="109">
        <f>IF(AE805=1,IF(Y804=MiscData!$F$1,EOMONTH(Y804,-11),EOMONTH(Y804,1)),Y804)</f>
        <v>42338</v>
      </c>
      <c r="Z805" s="108" t="str">
        <f t="shared" si="344"/>
        <v>20140101LGUM_484</v>
      </c>
      <c r="AA805" s="126" t="str">
        <f t="shared" si="345"/>
        <v xml:space="preserve">20140101LS </v>
      </c>
      <c r="AB805" s="583" t="str">
        <f t="shared" si="339"/>
        <v>484</v>
      </c>
      <c r="AD805" s="98">
        <f>MiscData!$X$5</f>
        <v>20140101</v>
      </c>
      <c r="AE805" s="98">
        <f>IF(AE804+1&gt;MiscData!$AC$77,1,AE804+1)</f>
        <v>72</v>
      </c>
      <c r="AF805" s="98" t="str">
        <f>VLOOKUP(AE805,MiscData!$AC$5:$AD$77,2,FALSE)</f>
        <v>LGUM_484</v>
      </c>
      <c r="AG805" s="98" t="str">
        <f>VLOOKUP(AF805,MiscData!$AD$5:$AE$77,2,FALSE)</f>
        <v xml:space="preserve">LS </v>
      </c>
      <c r="AP805" s="98" t="s">
        <v>361</v>
      </c>
      <c r="AR805" s="98">
        <v>0</v>
      </c>
    </row>
    <row r="806" spans="1:44">
      <c r="A806" s="108">
        <f t="shared" si="340"/>
        <v>803</v>
      </c>
      <c r="B806" s="109" t="str">
        <f t="shared" si="341"/>
        <v>Nov 2015</v>
      </c>
      <c r="C806" s="110" t="str">
        <f t="shared" si="342"/>
        <v>ODL</v>
      </c>
      <c r="D806" s="110" t="str">
        <f t="shared" si="343"/>
        <v>ODL</v>
      </c>
      <c r="E806" s="581">
        <f t="shared" si="322"/>
        <v>0</v>
      </c>
      <c r="F806" s="581">
        <f t="shared" si="323"/>
        <v>10115161</v>
      </c>
      <c r="G806" s="116">
        <f t="shared" si="324"/>
        <v>0</v>
      </c>
      <c r="H806" s="116">
        <f t="shared" si="325"/>
        <v>0</v>
      </c>
      <c r="I806" s="118">
        <f t="shared" si="335"/>
        <v>0</v>
      </c>
      <c r="J806" s="118">
        <f t="shared" si="326"/>
        <v>0</v>
      </c>
      <c r="K806" s="570">
        <f t="shared" si="336"/>
        <v>1519863</v>
      </c>
      <c r="L806" s="121">
        <f t="shared" si="346"/>
        <v>0</v>
      </c>
      <c r="M806" s="122">
        <f t="shared" si="327"/>
        <v>-2250</v>
      </c>
      <c r="N806" s="122">
        <f t="shared" si="328"/>
        <v>104288</v>
      </c>
      <c r="O806" s="122">
        <f t="shared" si="329"/>
        <v>0</v>
      </c>
      <c r="P806" s="122">
        <f t="shared" si="330"/>
        <v>1621901</v>
      </c>
      <c r="Q806" s="123">
        <f t="shared" si="331"/>
        <v>102038</v>
      </c>
      <c r="R806" s="123">
        <f t="shared" si="337"/>
        <v>1519863</v>
      </c>
      <c r="S806" s="582">
        <v>0</v>
      </c>
      <c r="T806" s="123">
        <f t="shared" si="338"/>
        <v>1519863</v>
      </c>
      <c r="U806" s="25">
        <f t="shared" si="332"/>
        <v>0</v>
      </c>
      <c r="V806" s="123">
        <f t="shared" si="333"/>
        <v>1519863</v>
      </c>
      <c r="W806" s="334">
        <f t="shared" si="334"/>
        <v>0</v>
      </c>
      <c r="Y806" s="109">
        <f>IF(AE806=1,IF(Y805=MiscData!$F$1,EOMONTH(Y805,-11),EOMONTH(Y805,1)),Y805)</f>
        <v>42338</v>
      </c>
      <c r="Z806" s="108" t="str">
        <f t="shared" si="344"/>
        <v>20140101ODL</v>
      </c>
      <c r="AA806" s="126" t="str">
        <f t="shared" si="345"/>
        <v>20140101ODL</v>
      </c>
      <c r="AB806" s="583" t="str">
        <f t="shared" si="339"/>
        <v>ODL</v>
      </c>
      <c r="AD806" s="98">
        <f>MiscData!$X$5</f>
        <v>20140101</v>
      </c>
      <c r="AE806" s="98">
        <f>IF(AE805+1&gt;MiscData!$AC$77,1,AE805+1)</f>
        <v>73</v>
      </c>
      <c r="AF806" s="98" t="str">
        <f>VLOOKUP(AE806,MiscData!$AC$5:$AD$77,2,FALSE)</f>
        <v>ODL</v>
      </c>
      <c r="AG806" s="98" t="str">
        <f>VLOOKUP(AF806,MiscData!$AD$5:$AE$77,2,FALSE)</f>
        <v>ODL</v>
      </c>
      <c r="AP806" s="98" t="s">
        <v>502</v>
      </c>
      <c r="AR806" s="98">
        <v>0</v>
      </c>
    </row>
    <row r="807" spans="1:44">
      <c r="A807" s="108">
        <f t="shared" si="340"/>
        <v>804</v>
      </c>
      <c r="B807" s="109" t="str">
        <f t="shared" si="341"/>
        <v>Dec 2015</v>
      </c>
      <c r="C807" s="110" t="str">
        <f t="shared" si="342"/>
        <v>RLS</v>
      </c>
      <c r="D807" s="110" t="str">
        <f t="shared" si="343"/>
        <v>LGUM_201</v>
      </c>
      <c r="E807" s="581">
        <f t="shared" si="322"/>
        <v>75</v>
      </c>
      <c r="F807" s="581">
        <f t="shared" si="323"/>
        <v>0</v>
      </c>
      <c r="G807" s="116">
        <f t="shared" si="324"/>
        <v>8.14</v>
      </c>
      <c r="H807" s="116">
        <f t="shared" si="325"/>
        <v>1.0899999999999999</v>
      </c>
      <c r="I807" s="118">
        <f t="shared" si="335"/>
        <v>610.5</v>
      </c>
      <c r="J807" s="118">
        <f t="shared" si="326"/>
        <v>610.5</v>
      </c>
      <c r="K807" s="570">
        <f t="shared" si="336"/>
        <v>0</v>
      </c>
      <c r="L807" s="121">
        <f t="shared" si="346"/>
        <v>0</v>
      </c>
      <c r="M807" s="122">
        <f t="shared" si="327"/>
        <v>0</v>
      </c>
      <c r="N807" s="122">
        <f t="shared" si="328"/>
        <v>0</v>
      </c>
      <c r="O807" s="122">
        <f t="shared" si="329"/>
        <v>0</v>
      </c>
      <c r="P807" s="122">
        <f t="shared" si="330"/>
        <v>0</v>
      </c>
      <c r="Q807" s="123">
        <f t="shared" si="331"/>
        <v>610.5</v>
      </c>
      <c r="R807" s="123">
        <f t="shared" si="337"/>
        <v>-610.5</v>
      </c>
      <c r="S807" s="582">
        <v>0</v>
      </c>
      <c r="T807" s="123">
        <f t="shared" si="338"/>
        <v>-610.5</v>
      </c>
      <c r="U807" s="25">
        <f t="shared" si="332"/>
        <v>81.75</v>
      </c>
      <c r="V807" s="123">
        <f t="shared" si="333"/>
        <v>-81.75</v>
      </c>
      <c r="W807" s="334">
        <f t="shared" si="334"/>
        <v>12</v>
      </c>
      <c r="Y807" s="109">
        <f>IF(AE807=1,IF(Y806=MiscData!$F$1,EOMONTH(Y806,-11),EOMONTH(Y806,1)),Y806)</f>
        <v>42369</v>
      </c>
      <c r="Z807" s="108" t="str">
        <f t="shared" si="344"/>
        <v>20140101LGUM_201</v>
      </c>
      <c r="AA807" s="126" t="str">
        <f t="shared" si="345"/>
        <v>20140101RLS</v>
      </c>
      <c r="AB807" s="583" t="str">
        <f t="shared" si="339"/>
        <v>201</v>
      </c>
      <c r="AD807" s="98">
        <f>MiscData!$X$5</f>
        <v>20140101</v>
      </c>
      <c r="AE807" s="98">
        <f>IF(AE806+1&gt;MiscData!$AC$77,1,AE806+1)</f>
        <v>1</v>
      </c>
      <c r="AF807" s="98" t="str">
        <f>VLOOKUP(AE807,MiscData!$AC$5:$AD$77,2,FALSE)</f>
        <v>LGUM_201</v>
      </c>
      <c r="AG807" s="98" t="str">
        <f>VLOOKUP(AF807,MiscData!$AD$5:$AE$77,2,FALSE)</f>
        <v>RLS</v>
      </c>
      <c r="AP807" s="98" t="s">
        <v>157</v>
      </c>
      <c r="AR807" s="98">
        <v>0</v>
      </c>
    </row>
    <row r="808" spans="1:44">
      <c r="A808" s="108">
        <f t="shared" si="340"/>
        <v>805</v>
      </c>
      <c r="B808" s="109" t="str">
        <f t="shared" si="341"/>
        <v>Dec 2015</v>
      </c>
      <c r="C808" s="110" t="str">
        <f t="shared" si="342"/>
        <v>RLS</v>
      </c>
      <c r="D808" s="110" t="str">
        <f t="shared" si="343"/>
        <v>LGUM_203</v>
      </c>
      <c r="E808" s="581">
        <f t="shared" si="322"/>
        <v>4602</v>
      </c>
      <c r="F808" s="581">
        <f t="shared" si="323"/>
        <v>0</v>
      </c>
      <c r="G808" s="116">
        <f t="shared" si="324"/>
        <v>10.959999999999999</v>
      </c>
      <c r="H808" s="116">
        <f t="shared" si="325"/>
        <v>2.7099999999999991</v>
      </c>
      <c r="I808" s="118">
        <f t="shared" si="335"/>
        <v>50437.919999999998</v>
      </c>
      <c r="J808" s="118">
        <f t="shared" si="326"/>
        <v>50437.919999999998</v>
      </c>
      <c r="K808" s="570">
        <f t="shared" si="336"/>
        <v>0</v>
      </c>
      <c r="L808" s="121">
        <f t="shared" si="346"/>
        <v>0</v>
      </c>
      <c r="M808" s="122">
        <f t="shared" si="327"/>
        <v>0</v>
      </c>
      <c r="N808" s="122">
        <f t="shared" si="328"/>
        <v>0</v>
      </c>
      <c r="O808" s="122">
        <f t="shared" si="329"/>
        <v>0</v>
      </c>
      <c r="P808" s="122">
        <f t="shared" si="330"/>
        <v>0</v>
      </c>
      <c r="Q808" s="123">
        <f t="shared" si="331"/>
        <v>50437.919999999998</v>
      </c>
      <c r="R808" s="123">
        <f t="shared" si="337"/>
        <v>-50437.919999999998</v>
      </c>
      <c r="S808" s="582">
        <v>0</v>
      </c>
      <c r="T808" s="123">
        <f t="shared" si="338"/>
        <v>-50437.919999999998</v>
      </c>
      <c r="U808" s="25">
        <f t="shared" si="332"/>
        <v>12471.42</v>
      </c>
      <c r="V808" s="123">
        <f t="shared" si="333"/>
        <v>-12471.42</v>
      </c>
      <c r="W808" s="334">
        <f t="shared" si="334"/>
        <v>828.36</v>
      </c>
      <c r="Y808" s="109">
        <f>IF(AE808=1,IF(Y807=MiscData!$F$1,EOMONTH(Y807,-11),EOMONTH(Y807,1)),Y807)</f>
        <v>42369</v>
      </c>
      <c r="Z808" s="108" t="str">
        <f t="shared" si="344"/>
        <v>20140101LGUM_203</v>
      </c>
      <c r="AA808" s="126" t="str">
        <f t="shared" si="345"/>
        <v>20140101RLS</v>
      </c>
      <c r="AB808" s="583" t="str">
        <f t="shared" si="339"/>
        <v>203</v>
      </c>
      <c r="AD808" s="98">
        <f>MiscData!$X$5</f>
        <v>20140101</v>
      </c>
      <c r="AE808" s="98">
        <f>IF(AE807+1&gt;MiscData!$AC$77,1,AE807+1)</f>
        <v>2</v>
      </c>
      <c r="AF808" s="98" t="str">
        <f>VLOOKUP(AE808,MiscData!$AC$5:$AD$77,2,FALSE)</f>
        <v>LGUM_203</v>
      </c>
      <c r="AG808" s="98" t="str">
        <f>VLOOKUP(AF808,MiscData!$AD$5:$AE$77,2,FALSE)</f>
        <v>RLS</v>
      </c>
      <c r="AP808" s="98" t="s">
        <v>158</v>
      </c>
      <c r="AR808" s="98">
        <v>37.49</v>
      </c>
    </row>
    <row r="809" spans="1:44">
      <c r="A809" s="108">
        <f t="shared" si="340"/>
        <v>806</v>
      </c>
      <c r="B809" s="109" t="str">
        <f t="shared" si="341"/>
        <v>Dec 2015</v>
      </c>
      <c r="C809" s="110" t="str">
        <f t="shared" si="342"/>
        <v>RLS</v>
      </c>
      <c r="D809" s="110" t="str">
        <f t="shared" si="343"/>
        <v>LGUM_204</v>
      </c>
      <c r="E809" s="581">
        <f t="shared" si="322"/>
        <v>3835</v>
      </c>
      <c r="F809" s="581">
        <f t="shared" si="323"/>
        <v>0</v>
      </c>
      <c r="G809" s="116">
        <f t="shared" si="324"/>
        <v>13.510000000000002</v>
      </c>
      <c r="H809" s="116">
        <f t="shared" si="325"/>
        <v>4.2000000000000011</v>
      </c>
      <c r="I809" s="118">
        <f t="shared" si="335"/>
        <v>51810.85</v>
      </c>
      <c r="J809" s="118">
        <f t="shared" si="326"/>
        <v>51810.85</v>
      </c>
      <c r="K809" s="570">
        <f t="shared" si="336"/>
        <v>0</v>
      </c>
      <c r="L809" s="121">
        <f t="shared" si="346"/>
        <v>0</v>
      </c>
      <c r="M809" s="122">
        <f t="shared" si="327"/>
        <v>0</v>
      </c>
      <c r="N809" s="122">
        <f t="shared" si="328"/>
        <v>0</v>
      </c>
      <c r="O809" s="122">
        <f t="shared" si="329"/>
        <v>0</v>
      </c>
      <c r="P809" s="122">
        <f t="shared" si="330"/>
        <v>0</v>
      </c>
      <c r="Q809" s="123">
        <f t="shared" si="331"/>
        <v>51810.85</v>
      </c>
      <c r="R809" s="123">
        <f t="shared" si="337"/>
        <v>-51810.85</v>
      </c>
      <c r="S809" s="582">
        <v>0</v>
      </c>
      <c r="T809" s="123">
        <f t="shared" si="338"/>
        <v>-51810.85</v>
      </c>
      <c r="U809" s="25">
        <f t="shared" si="332"/>
        <v>16107</v>
      </c>
      <c r="V809" s="123">
        <f t="shared" si="333"/>
        <v>-16107</v>
      </c>
      <c r="W809" s="334">
        <f t="shared" si="334"/>
        <v>843.7</v>
      </c>
      <c r="Y809" s="109">
        <f>IF(AE809=1,IF(Y808=MiscData!$F$1,EOMONTH(Y808,-11),EOMONTH(Y808,1)),Y808)</f>
        <v>42369</v>
      </c>
      <c r="Z809" s="108" t="str">
        <f t="shared" si="344"/>
        <v>20140101LGUM_204</v>
      </c>
      <c r="AA809" s="126" t="str">
        <f t="shared" si="345"/>
        <v>20140101RLS</v>
      </c>
      <c r="AB809" s="583" t="str">
        <f t="shared" si="339"/>
        <v>204</v>
      </c>
      <c r="AD809" s="98">
        <f>MiscData!$X$5</f>
        <v>20140101</v>
      </c>
      <c r="AE809" s="98">
        <f>IF(AE808+1&gt;MiscData!$AC$77,1,AE808+1)</f>
        <v>3</v>
      </c>
      <c r="AF809" s="98" t="str">
        <f>VLOOKUP(AE809,MiscData!$AC$5:$AD$77,2,FALSE)</f>
        <v>LGUM_204</v>
      </c>
      <c r="AG809" s="98" t="str">
        <f>VLOOKUP(AF809,MiscData!$AD$5:$AE$77,2,FALSE)</f>
        <v>RLS</v>
      </c>
      <c r="AP809" s="98" t="s">
        <v>159</v>
      </c>
      <c r="AR809" s="98">
        <v>0</v>
      </c>
    </row>
    <row r="810" spans="1:44">
      <c r="A810" s="108">
        <f t="shared" si="340"/>
        <v>807</v>
      </c>
      <c r="B810" s="109" t="str">
        <f t="shared" ref="B810:B815" si="347">TEXT(Y810,"mmm yyyy")</f>
        <v>Dec 2015</v>
      </c>
      <c r="C810" s="110" t="str">
        <f t="shared" ref="C810:C815" si="348">AG810</f>
        <v>RLS</v>
      </c>
      <c r="D810" s="110" t="str">
        <f t="shared" ref="D810:D815" si="349">AF810</f>
        <v>LGUM_206</v>
      </c>
      <c r="E810" s="581">
        <f t="shared" si="322"/>
        <v>97</v>
      </c>
      <c r="F810" s="581">
        <f t="shared" si="323"/>
        <v>0</v>
      </c>
      <c r="G810" s="116">
        <f t="shared" si="324"/>
        <v>12.450000000000001</v>
      </c>
      <c r="H810" s="116">
        <f t="shared" si="325"/>
        <v>1.0899999999999999</v>
      </c>
      <c r="I810" s="118">
        <f t="shared" si="335"/>
        <v>1207.6500000000001</v>
      </c>
      <c r="J810" s="118">
        <f t="shared" si="326"/>
        <v>1207.6500000000001</v>
      </c>
      <c r="K810" s="570">
        <f t="shared" si="336"/>
        <v>0</v>
      </c>
      <c r="L810" s="121">
        <f t="shared" si="346"/>
        <v>0</v>
      </c>
      <c r="M810" s="122">
        <f t="shared" si="327"/>
        <v>0</v>
      </c>
      <c r="N810" s="122">
        <f t="shared" si="328"/>
        <v>0</v>
      </c>
      <c r="O810" s="122">
        <f t="shared" si="329"/>
        <v>0</v>
      </c>
      <c r="P810" s="122">
        <f t="shared" si="330"/>
        <v>0</v>
      </c>
      <c r="Q810" s="123">
        <f t="shared" si="331"/>
        <v>1207.6500000000001</v>
      </c>
      <c r="R810" s="123">
        <f t="shared" si="337"/>
        <v>-1207.6500000000001</v>
      </c>
      <c r="S810" s="582">
        <v>0</v>
      </c>
      <c r="T810" s="123">
        <f t="shared" si="338"/>
        <v>-1207.6500000000001</v>
      </c>
      <c r="U810" s="25">
        <f t="shared" si="332"/>
        <v>105.73</v>
      </c>
      <c r="V810" s="123">
        <f t="shared" si="333"/>
        <v>-105.73</v>
      </c>
      <c r="W810" s="334">
        <f t="shared" si="334"/>
        <v>15.52</v>
      </c>
      <c r="Y810" s="109">
        <f>IF(AE810=1,IF(Y809=MiscData!$F$1,EOMONTH(Y809,-11),EOMONTH(Y809,1)),Y809)</f>
        <v>42369</v>
      </c>
      <c r="Z810" s="108" t="str">
        <f t="shared" si="344"/>
        <v>20140101LGUM_206</v>
      </c>
      <c r="AA810" s="126" t="str">
        <f t="shared" si="345"/>
        <v>20140101RLS</v>
      </c>
      <c r="AB810" s="583" t="str">
        <f t="shared" si="339"/>
        <v>206</v>
      </c>
      <c r="AD810" s="98">
        <f>MiscData!$X$5</f>
        <v>20140101</v>
      </c>
      <c r="AE810" s="98">
        <f>IF(AE809+1&gt;MiscData!$AC$77,1,AE809+1)</f>
        <v>4</v>
      </c>
      <c r="AF810" s="98" t="str">
        <f>VLOOKUP(AE810,MiscData!$AC$5:$AD$77,2,FALSE)</f>
        <v>LGUM_206</v>
      </c>
      <c r="AG810" s="98" t="str">
        <f>VLOOKUP(AF810,MiscData!$AD$5:$AE$77,2,FALSE)</f>
        <v>RLS</v>
      </c>
      <c r="AP810" s="98" t="s">
        <v>160</v>
      </c>
      <c r="AR810" s="98">
        <v>0</v>
      </c>
    </row>
    <row r="811" spans="1:44">
      <c r="A811" s="108">
        <f t="shared" si="340"/>
        <v>808</v>
      </c>
      <c r="B811" s="109" t="str">
        <f t="shared" si="347"/>
        <v>Dec 2015</v>
      </c>
      <c r="C811" s="110" t="str">
        <f t="shared" si="348"/>
        <v>RLS</v>
      </c>
      <c r="D811" s="110" t="str">
        <f t="shared" si="349"/>
        <v>LGUM_207</v>
      </c>
      <c r="E811" s="581">
        <f t="shared" si="322"/>
        <v>761</v>
      </c>
      <c r="F811" s="581">
        <f t="shared" si="323"/>
        <v>0</v>
      </c>
      <c r="G811" s="116">
        <f t="shared" si="324"/>
        <v>15.54</v>
      </c>
      <c r="H811" s="116">
        <f t="shared" si="325"/>
        <v>4.2000000000000011</v>
      </c>
      <c r="I811" s="118">
        <f t="shared" si="335"/>
        <v>11825.94</v>
      </c>
      <c r="J811" s="118">
        <f t="shared" si="326"/>
        <v>11825.94</v>
      </c>
      <c r="K811" s="570">
        <f t="shared" si="336"/>
        <v>0</v>
      </c>
      <c r="L811" s="121">
        <f t="shared" si="346"/>
        <v>0</v>
      </c>
      <c r="M811" s="122">
        <f t="shared" si="327"/>
        <v>0</v>
      </c>
      <c r="N811" s="122">
        <f t="shared" si="328"/>
        <v>0</v>
      </c>
      <c r="O811" s="122">
        <f t="shared" si="329"/>
        <v>0</v>
      </c>
      <c r="P811" s="122">
        <f t="shared" si="330"/>
        <v>0</v>
      </c>
      <c r="Q811" s="123">
        <f t="shared" si="331"/>
        <v>11825.94</v>
      </c>
      <c r="R811" s="123">
        <f t="shared" si="337"/>
        <v>-11825.94</v>
      </c>
      <c r="S811" s="582">
        <v>0</v>
      </c>
      <c r="T811" s="123">
        <f t="shared" si="338"/>
        <v>-11825.94</v>
      </c>
      <c r="U811" s="25">
        <f t="shared" si="332"/>
        <v>3196.2</v>
      </c>
      <c r="V811" s="123">
        <f t="shared" si="333"/>
        <v>-3196.2</v>
      </c>
      <c r="W811" s="334">
        <f t="shared" si="334"/>
        <v>167.42</v>
      </c>
      <c r="Y811" s="109">
        <f>IF(AE811=1,IF(Y810=MiscData!$F$1,EOMONTH(Y810,-11),EOMONTH(Y810,1)),Y810)</f>
        <v>42369</v>
      </c>
      <c r="Z811" s="108" t="str">
        <f t="shared" si="344"/>
        <v>20140101LGUM_207</v>
      </c>
      <c r="AA811" s="126" t="str">
        <f t="shared" si="345"/>
        <v>20140101RLS</v>
      </c>
      <c r="AB811" s="583" t="str">
        <f t="shared" si="339"/>
        <v>207</v>
      </c>
      <c r="AD811" s="98">
        <f>MiscData!$X$5</f>
        <v>20140101</v>
      </c>
      <c r="AE811" s="98">
        <f>IF(AE810+1&gt;MiscData!$AC$77,1,AE810+1)</f>
        <v>5</v>
      </c>
      <c r="AF811" s="98" t="str">
        <f>VLOOKUP(AE811,MiscData!$AC$5:$AD$77,2,FALSE)</f>
        <v>LGUM_207</v>
      </c>
      <c r="AG811" s="98" t="str">
        <f>VLOOKUP(AF811,MiscData!$AD$5:$AE$77,2,FALSE)</f>
        <v>RLS</v>
      </c>
      <c r="AP811" s="98" t="s">
        <v>161</v>
      </c>
      <c r="AR811" s="98">
        <v>0</v>
      </c>
    </row>
    <row r="812" spans="1:44">
      <c r="A812" s="108">
        <f t="shared" si="340"/>
        <v>809</v>
      </c>
      <c r="B812" s="109" t="str">
        <f t="shared" si="347"/>
        <v>Dec 2015</v>
      </c>
      <c r="C812" s="110" t="str">
        <f t="shared" si="348"/>
        <v>RLS</v>
      </c>
      <c r="D812" s="110" t="str">
        <f t="shared" si="349"/>
        <v>LGUM_208</v>
      </c>
      <c r="E812" s="581">
        <f t="shared" si="322"/>
        <v>1408</v>
      </c>
      <c r="F812" s="581">
        <f t="shared" si="323"/>
        <v>0</v>
      </c>
      <c r="G812" s="116">
        <f t="shared" si="324"/>
        <v>14.24</v>
      </c>
      <c r="H812" s="116">
        <f t="shared" si="325"/>
        <v>1.9100000000000001</v>
      </c>
      <c r="I812" s="118">
        <f t="shared" si="335"/>
        <v>20049.919999999998</v>
      </c>
      <c r="J812" s="118">
        <f t="shared" si="326"/>
        <v>20049.919999999998</v>
      </c>
      <c r="K812" s="570">
        <f t="shared" si="336"/>
        <v>0</v>
      </c>
      <c r="L812" s="121">
        <f t="shared" si="346"/>
        <v>0</v>
      </c>
      <c r="M812" s="122">
        <f t="shared" si="327"/>
        <v>0</v>
      </c>
      <c r="N812" s="122">
        <f t="shared" si="328"/>
        <v>0</v>
      </c>
      <c r="O812" s="122">
        <f t="shared" si="329"/>
        <v>0</v>
      </c>
      <c r="P812" s="122">
        <f t="shared" si="330"/>
        <v>0</v>
      </c>
      <c r="Q812" s="123">
        <f t="shared" si="331"/>
        <v>20049.919999999998</v>
      </c>
      <c r="R812" s="123">
        <f t="shared" si="337"/>
        <v>-20049.919999999998</v>
      </c>
      <c r="S812" s="582">
        <v>0</v>
      </c>
      <c r="T812" s="123">
        <f t="shared" si="338"/>
        <v>-20049.919999999998</v>
      </c>
      <c r="U812" s="25">
        <f t="shared" si="332"/>
        <v>2689.28</v>
      </c>
      <c r="V812" s="123">
        <f t="shared" si="333"/>
        <v>-2689.28</v>
      </c>
      <c r="W812" s="334">
        <f t="shared" si="334"/>
        <v>225.28</v>
      </c>
      <c r="Y812" s="109">
        <f>IF(AE812=1,IF(Y811=MiscData!$F$1,EOMONTH(Y811,-11),EOMONTH(Y811,1)),Y811)</f>
        <v>42369</v>
      </c>
      <c r="Z812" s="108" t="str">
        <f t="shared" si="344"/>
        <v>20140101LGUM_208</v>
      </c>
      <c r="AA812" s="126" t="str">
        <f t="shared" si="345"/>
        <v>20140101RLS</v>
      </c>
      <c r="AB812" s="583" t="str">
        <f t="shared" si="339"/>
        <v>208</v>
      </c>
      <c r="AD812" s="98">
        <f>MiscData!$X$5</f>
        <v>20140101</v>
      </c>
      <c r="AE812" s="98">
        <f>IF(AE811+1&gt;MiscData!$AC$77,1,AE811+1)</f>
        <v>6</v>
      </c>
      <c r="AF812" s="98" t="str">
        <f>VLOOKUP(AE812,MiscData!$AC$5:$AD$77,2,FALSE)</f>
        <v>LGUM_208</v>
      </c>
      <c r="AG812" s="98" t="str">
        <f>VLOOKUP(AF812,MiscData!$AD$5:$AE$77,2,FALSE)</f>
        <v>RLS</v>
      </c>
      <c r="AP812" s="98" t="s">
        <v>162</v>
      </c>
      <c r="AR812" s="98">
        <v>-43.61</v>
      </c>
    </row>
    <row r="813" spans="1:44">
      <c r="A813" s="108">
        <f t="shared" si="340"/>
        <v>810</v>
      </c>
      <c r="B813" s="109" t="str">
        <f t="shared" si="347"/>
        <v>Dec 2015</v>
      </c>
      <c r="C813" s="110" t="str">
        <f t="shared" si="348"/>
        <v>RLS</v>
      </c>
      <c r="D813" s="110" t="str">
        <f t="shared" si="349"/>
        <v>LGUM_209</v>
      </c>
      <c r="E813" s="581">
        <f t="shared" si="322"/>
        <v>46</v>
      </c>
      <c r="F813" s="581">
        <f t="shared" si="323"/>
        <v>0</v>
      </c>
      <c r="G813" s="116">
        <f t="shared" si="324"/>
        <v>27.69</v>
      </c>
      <c r="H813" s="116">
        <f t="shared" si="325"/>
        <v>10.170000000000002</v>
      </c>
      <c r="I813" s="118">
        <f t="shared" si="335"/>
        <v>1273.74</v>
      </c>
      <c r="J813" s="118">
        <f t="shared" si="326"/>
        <v>1273.74</v>
      </c>
      <c r="K813" s="570">
        <f t="shared" si="336"/>
        <v>0</v>
      </c>
      <c r="L813" s="121">
        <f t="shared" si="346"/>
        <v>0</v>
      </c>
      <c r="M813" s="122">
        <f t="shared" si="327"/>
        <v>0</v>
      </c>
      <c r="N813" s="122">
        <f t="shared" si="328"/>
        <v>0</v>
      </c>
      <c r="O813" s="122">
        <f t="shared" si="329"/>
        <v>0</v>
      </c>
      <c r="P813" s="122">
        <f t="shared" si="330"/>
        <v>0</v>
      </c>
      <c r="Q813" s="123">
        <f t="shared" si="331"/>
        <v>1273.74</v>
      </c>
      <c r="R813" s="123">
        <f t="shared" si="337"/>
        <v>-1273.74</v>
      </c>
      <c r="S813" s="582">
        <v>0</v>
      </c>
      <c r="T813" s="123">
        <f t="shared" si="338"/>
        <v>-1273.74</v>
      </c>
      <c r="U813" s="25">
        <f t="shared" si="332"/>
        <v>467.82</v>
      </c>
      <c r="V813" s="123">
        <f t="shared" si="333"/>
        <v>-467.82</v>
      </c>
      <c r="W813" s="334">
        <f t="shared" si="334"/>
        <v>18.86</v>
      </c>
      <c r="Y813" s="109">
        <f>IF(AE813=1,IF(Y812=MiscData!$F$1,EOMONTH(Y812,-11),EOMONTH(Y812,1)),Y812)</f>
        <v>42369</v>
      </c>
      <c r="Z813" s="108" t="str">
        <f t="shared" si="344"/>
        <v>20140101LGUM_209</v>
      </c>
      <c r="AA813" s="126" t="str">
        <f t="shared" si="345"/>
        <v>20140101RLS</v>
      </c>
      <c r="AB813" s="583" t="str">
        <f t="shared" si="339"/>
        <v>209</v>
      </c>
      <c r="AD813" s="98">
        <f>MiscData!$X$5</f>
        <v>20140101</v>
      </c>
      <c r="AE813" s="98">
        <f>IF(AE812+1&gt;MiscData!$AC$77,1,AE812+1)</f>
        <v>7</v>
      </c>
      <c r="AF813" s="98" t="str">
        <f>VLOOKUP(AE813,MiscData!$AC$5:$AD$77,2,FALSE)</f>
        <v>LGUM_209</v>
      </c>
      <c r="AG813" s="98" t="str">
        <f>VLOOKUP(AF813,MiscData!$AD$5:$AE$77,2,FALSE)</f>
        <v>RLS</v>
      </c>
      <c r="AP813" s="98" t="s">
        <v>163</v>
      </c>
      <c r="AR813" s="98">
        <v>0</v>
      </c>
    </row>
    <row r="814" spans="1:44">
      <c r="A814" s="108">
        <f t="shared" si="340"/>
        <v>811</v>
      </c>
      <c r="B814" s="109" t="str">
        <f t="shared" si="347"/>
        <v>Dec 2015</v>
      </c>
      <c r="C814" s="110" t="str">
        <f t="shared" si="348"/>
        <v>RLS</v>
      </c>
      <c r="D814" s="110" t="str">
        <f t="shared" si="349"/>
        <v>LGUM_210</v>
      </c>
      <c r="E814" s="581">
        <f t="shared" si="322"/>
        <v>357</v>
      </c>
      <c r="F814" s="581">
        <f t="shared" si="323"/>
        <v>0</v>
      </c>
      <c r="G814" s="116">
        <f t="shared" si="324"/>
        <v>28.89</v>
      </c>
      <c r="H814" s="116">
        <f t="shared" si="325"/>
        <v>10.170000000000002</v>
      </c>
      <c r="I814" s="118">
        <f t="shared" si="335"/>
        <v>10313.73</v>
      </c>
      <c r="J814" s="118">
        <f t="shared" si="326"/>
        <v>10313.73</v>
      </c>
      <c r="K814" s="570">
        <f t="shared" si="336"/>
        <v>0</v>
      </c>
      <c r="L814" s="121">
        <f t="shared" si="346"/>
        <v>0</v>
      </c>
      <c r="M814" s="122">
        <f t="shared" si="327"/>
        <v>0</v>
      </c>
      <c r="N814" s="122">
        <f t="shared" si="328"/>
        <v>0</v>
      </c>
      <c r="O814" s="122">
        <f t="shared" si="329"/>
        <v>0</v>
      </c>
      <c r="P814" s="122">
        <f t="shared" si="330"/>
        <v>0</v>
      </c>
      <c r="Q814" s="123">
        <f t="shared" si="331"/>
        <v>10313.73</v>
      </c>
      <c r="R814" s="123">
        <f t="shared" si="337"/>
        <v>-10313.73</v>
      </c>
      <c r="S814" s="582">
        <v>0</v>
      </c>
      <c r="T814" s="123">
        <f t="shared" si="338"/>
        <v>-10313.73</v>
      </c>
      <c r="U814" s="25">
        <f t="shared" si="332"/>
        <v>3630.69</v>
      </c>
      <c r="V814" s="123">
        <f t="shared" si="333"/>
        <v>-3630.69</v>
      </c>
      <c r="W814" s="334">
        <f t="shared" si="334"/>
        <v>146.37</v>
      </c>
      <c r="Y814" s="109">
        <f>IF(AE814=1,IF(Y813=MiscData!$F$1,EOMONTH(Y813,-11),EOMONTH(Y813,1)),Y813)</f>
        <v>42369</v>
      </c>
      <c r="Z814" s="108" t="str">
        <f t="shared" si="344"/>
        <v>20140101LGUM_210</v>
      </c>
      <c r="AA814" s="126" t="str">
        <f t="shared" si="345"/>
        <v>20140101RLS</v>
      </c>
      <c r="AB814" s="583" t="str">
        <f t="shared" si="339"/>
        <v>210</v>
      </c>
      <c r="AD814" s="98">
        <f>MiscData!$X$5</f>
        <v>20140101</v>
      </c>
      <c r="AE814" s="98">
        <f>IF(AE813+1&gt;MiscData!$AC$77,1,AE813+1)</f>
        <v>8</v>
      </c>
      <c r="AF814" s="98" t="str">
        <f>VLOOKUP(AE814,MiscData!$AC$5:$AD$77,2,FALSE)</f>
        <v>LGUM_210</v>
      </c>
      <c r="AG814" s="98" t="str">
        <f>VLOOKUP(AF814,MiscData!$AD$5:$AE$77,2,FALSE)</f>
        <v>RLS</v>
      </c>
      <c r="AP814" s="98" t="s">
        <v>164</v>
      </c>
      <c r="AR814" s="98">
        <v>-21.07</v>
      </c>
    </row>
    <row r="815" spans="1:44">
      <c r="A815" s="108">
        <f t="shared" si="340"/>
        <v>812</v>
      </c>
      <c r="B815" s="109" t="str">
        <f t="shared" si="347"/>
        <v>Dec 2015</v>
      </c>
      <c r="C815" s="110" t="str">
        <f t="shared" si="348"/>
        <v>RLS</v>
      </c>
      <c r="D815" s="110" t="str">
        <f t="shared" si="349"/>
        <v>LGUM_252</v>
      </c>
      <c r="E815" s="581">
        <f t="shared" si="322"/>
        <v>4014</v>
      </c>
      <c r="F815" s="581">
        <f t="shared" si="323"/>
        <v>0</v>
      </c>
      <c r="G815" s="116">
        <f t="shared" si="324"/>
        <v>9.57</v>
      </c>
      <c r="H815" s="116">
        <f t="shared" si="325"/>
        <v>1.9099999999999993</v>
      </c>
      <c r="I815" s="118">
        <f t="shared" si="335"/>
        <v>38413.980000000003</v>
      </c>
      <c r="J815" s="118">
        <f t="shared" si="326"/>
        <v>38413.980000000003</v>
      </c>
      <c r="K815" s="570">
        <f t="shared" si="336"/>
        <v>0</v>
      </c>
      <c r="L815" s="121">
        <f t="shared" si="346"/>
        <v>0</v>
      </c>
      <c r="M815" s="122">
        <f t="shared" si="327"/>
        <v>0</v>
      </c>
      <c r="N815" s="122">
        <f t="shared" si="328"/>
        <v>0</v>
      </c>
      <c r="O815" s="122">
        <f t="shared" si="329"/>
        <v>0</v>
      </c>
      <c r="P815" s="122">
        <f t="shared" si="330"/>
        <v>0</v>
      </c>
      <c r="Q815" s="123">
        <f t="shared" si="331"/>
        <v>38413.980000000003</v>
      </c>
      <c r="R815" s="123">
        <f t="shared" si="337"/>
        <v>-38413.980000000003</v>
      </c>
      <c r="S815" s="582">
        <v>0</v>
      </c>
      <c r="T815" s="123">
        <f t="shared" si="338"/>
        <v>-38413.980000000003</v>
      </c>
      <c r="U815" s="25">
        <f t="shared" si="332"/>
        <v>7666.74</v>
      </c>
      <c r="V815" s="123">
        <f t="shared" si="333"/>
        <v>-7666.74</v>
      </c>
      <c r="W815" s="334">
        <f t="shared" si="334"/>
        <v>642.24</v>
      </c>
      <c r="Y815" s="109">
        <f>IF(AE815=1,IF(Y814=MiscData!$F$1,EOMONTH(Y814,-11),EOMONTH(Y814,1)),Y814)</f>
        <v>42369</v>
      </c>
      <c r="Z815" s="108" t="str">
        <f t="shared" si="344"/>
        <v>20140101LGUM_252</v>
      </c>
      <c r="AA815" s="126" t="str">
        <f t="shared" si="345"/>
        <v>20140101RLS</v>
      </c>
      <c r="AB815" s="583" t="str">
        <f t="shared" si="339"/>
        <v>252</v>
      </c>
      <c r="AD815" s="98">
        <f>MiscData!$X$5</f>
        <v>20140101</v>
      </c>
      <c r="AE815" s="98">
        <f>IF(AE814+1&gt;MiscData!$AC$77,1,AE814+1)</f>
        <v>9</v>
      </c>
      <c r="AF815" s="98" t="str">
        <f>VLOOKUP(AE815,MiscData!$AC$5:$AD$77,2,FALSE)</f>
        <v>LGUM_252</v>
      </c>
      <c r="AG815" s="98" t="str">
        <f>VLOOKUP(AF815,MiscData!$AD$5:$AE$77,2,FALSE)</f>
        <v>RLS</v>
      </c>
      <c r="AP815" s="98" t="s">
        <v>165</v>
      </c>
      <c r="AR815" s="98">
        <v>0</v>
      </c>
    </row>
    <row r="816" spans="1:44">
      <c r="A816" s="108">
        <f t="shared" si="340"/>
        <v>813</v>
      </c>
      <c r="B816" s="109" t="str">
        <f t="shared" ref="B816:B879" si="350">TEXT(Y816,"mmm yyyy")</f>
        <v>Dec 2015</v>
      </c>
      <c r="C816" s="110" t="str">
        <f t="shared" ref="C816:C879" si="351">AG816</f>
        <v>RLS</v>
      </c>
      <c r="D816" s="110" t="str">
        <f t="shared" ref="D816:D879" si="352">AF816</f>
        <v>LGUM_266</v>
      </c>
      <c r="E816" s="581">
        <f t="shared" si="322"/>
        <v>2023</v>
      </c>
      <c r="F816" s="581">
        <f t="shared" si="323"/>
        <v>0</v>
      </c>
      <c r="G816" s="116">
        <f t="shared" si="324"/>
        <v>27.34</v>
      </c>
      <c r="H816" s="116">
        <f t="shared" si="325"/>
        <v>2.8000000000000007</v>
      </c>
      <c r="I816" s="118">
        <f t="shared" si="335"/>
        <v>55308.82</v>
      </c>
      <c r="J816" s="118">
        <f t="shared" si="326"/>
        <v>55308.82</v>
      </c>
      <c r="K816" s="570">
        <f t="shared" si="336"/>
        <v>0</v>
      </c>
      <c r="L816" s="121">
        <f t="shared" si="346"/>
        <v>0</v>
      </c>
      <c r="M816" s="122">
        <f t="shared" si="327"/>
        <v>0</v>
      </c>
      <c r="N816" s="122">
        <f t="shared" si="328"/>
        <v>0</v>
      </c>
      <c r="O816" s="122">
        <f t="shared" si="329"/>
        <v>0</v>
      </c>
      <c r="P816" s="122">
        <f t="shared" si="330"/>
        <v>0</v>
      </c>
      <c r="Q816" s="123">
        <f t="shared" si="331"/>
        <v>55308.82</v>
      </c>
      <c r="R816" s="123">
        <f t="shared" si="337"/>
        <v>-55308.82</v>
      </c>
      <c r="S816" s="582">
        <v>0</v>
      </c>
      <c r="T816" s="123">
        <f t="shared" si="338"/>
        <v>-55308.82</v>
      </c>
      <c r="U816" s="25">
        <f t="shared" si="332"/>
        <v>5664.4</v>
      </c>
      <c r="V816" s="123">
        <f t="shared" si="333"/>
        <v>-5664.4</v>
      </c>
      <c r="W816" s="334">
        <f t="shared" si="334"/>
        <v>546.21</v>
      </c>
      <c r="Y816" s="109">
        <f>IF(AE816=1,IF(Y815=MiscData!$F$1,EOMONTH(Y815,-11),EOMONTH(Y815,1)),Y815)</f>
        <v>42369</v>
      </c>
      <c r="Z816" s="108" t="str">
        <f t="shared" ref="Z816:Z879" si="353">CONCATENATE(AD816&amp;AF816)</f>
        <v>20140101LGUM_266</v>
      </c>
      <c r="AA816" s="126" t="str">
        <f t="shared" ref="AA816:AA879" si="354">CONCATENATE(AD816&amp;AG816)</f>
        <v>20140101RLS</v>
      </c>
      <c r="AB816" s="583" t="str">
        <f t="shared" si="339"/>
        <v>266</v>
      </c>
      <c r="AD816" s="98">
        <f>MiscData!$X$5</f>
        <v>20140101</v>
      </c>
      <c r="AE816" s="98">
        <f>IF(AE815+1&gt;MiscData!$AC$77,1,AE815+1)</f>
        <v>10</v>
      </c>
      <c r="AF816" s="98" t="str">
        <f>VLOOKUP(AE816,MiscData!$AC$5:$AD$77,2,FALSE)</f>
        <v>LGUM_266</v>
      </c>
      <c r="AG816" s="98" t="str">
        <f>VLOOKUP(AF816,MiscData!$AD$5:$AE$77,2,FALSE)</f>
        <v>RLS</v>
      </c>
      <c r="AP816" s="98" t="s">
        <v>166</v>
      </c>
      <c r="AR816" s="98">
        <v>-5.73</v>
      </c>
    </row>
    <row r="817" spans="1:44">
      <c r="A817" s="108">
        <f t="shared" si="340"/>
        <v>814</v>
      </c>
      <c r="B817" s="109" t="str">
        <f t="shared" si="350"/>
        <v>Dec 2015</v>
      </c>
      <c r="C817" s="110" t="str">
        <f t="shared" si="351"/>
        <v>RLS</v>
      </c>
      <c r="D817" s="110" t="str">
        <f t="shared" si="352"/>
        <v>LGUM_267</v>
      </c>
      <c r="E817" s="581">
        <f t="shared" si="322"/>
        <v>2214</v>
      </c>
      <c r="F817" s="581">
        <f t="shared" si="323"/>
        <v>0</v>
      </c>
      <c r="G817" s="116">
        <f t="shared" si="324"/>
        <v>31.4</v>
      </c>
      <c r="H817" s="116">
        <f t="shared" si="325"/>
        <v>4.4499999999999993</v>
      </c>
      <c r="I817" s="118">
        <f t="shared" si="335"/>
        <v>69519.600000000006</v>
      </c>
      <c r="J817" s="118">
        <f t="shared" si="326"/>
        <v>69519.600000000006</v>
      </c>
      <c r="K817" s="570">
        <f t="shared" si="336"/>
        <v>0</v>
      </c>
      <c r="L817" s="121">
        <f t="shared" si="346"/>
        <v>0</v>
      </c>
      <c r="M817" s="122">
        <f t="shared" si="327"/>
        <v>0</v>
      </c>
      <c r="N817" s="122">
        <f t="shared" si="328"/>
        <v>0</v>
      </c>
      <c r="O817" s="122">
        <f t="shared" si="329"/>
        <v>0</v>
      </c>
      <c r="P817" s="122">
        <f t="shared" si="330"/>
        <v>0</v>
      </c>
      <c r="Q817" s="123">
        <f t="shared" si="331"/>
        <v>69519.600000000006</v>
      </c>
      <c r="R817" s="123">
        <f t="shared" si="337"/>
        <v>-69519.600000000006</v>
      </c>
      <c r="S817" s="582">
        <v>0</v>
      </c>
      <c r="T817" s="123">
        <f t="shared" si="338"/>
        <v>-69519.600000000006</v>
      </c>
      <c r="U817" s="25">
        <f t="shared" si="332"/>
        <v>9852.2999999999993</v>
      </c>
      <c r="V817" s="123">
        <f t="shared" si="333"/>
        <v>-9852.2999999999993</v>
      </c>
      <c r="W817" s="334">
        <f t="shared" si="334"/>
        <v>642.05999999999995</v>
      </c>
      <c r="Y817" s="109">
        <f>IF(AE817=1,IF(Y816=MiscData!$F$1,EOMONTH(Y816,-11),EOMONTH(Y816,1)),Y816)</f>
        <v>42369</v>
      </c>
      <c r="Z817" s="108" t="str">
        <f t="shared" si="353"/>
        <v>20140101LGUM_267</v>
      </c>
      <c r="AA817" s="126" t="str">
        <f t="shared" si="354"/>
        <v>20140101RLS</v>
      </c>
      <c r="AB817" s="583" t="str">
        <f t="shared" si="339"/>
        <v>267</v>
      </c>
      <c r="AD817" s="98">
        <f>MiscData!$X$5</f>
        <v>20140101</v>
      </c>
      <c r="AE817" s="98">
        <f>IF(AE816+1&gt;MiscData!$AC$77,1,AE816+1)</f>
        <v>11</v>
      </c>
      <c r="AF817" s="98" t="str">
        <f>VLOOKUP(AE817,MiscData!$AC$5:$AD$77,2,FALSE)</f>
        <v>LGUM_267</v>
      </c>
      <c r="AG817" s="98" t="str">
        <f>VLOOKUP(AF817,MiscData!$AD$5:$AE$77,2,FALSE)</f>
        <v>RLS</v>
      </c>
      <c r="AP817" s="98" t="s">
        <v>167</v>
      </c>
      <c r="AR817" s="98">
        <v>0</v>
      </c>
    </row>
    <row r="818" spans="1:44">
      <c r="A818" s="108">
        <f t="shared" si="340"/>
        <v>815</v>
      </c>
      <c r="B818" s="109" t="str">
        <f t="shared" si="350"/>
        <v>Dec 2015</v>
      </c>
      <c r="C818" s="110" t="str">
        <f t="shared" si="351"/>
        <v>RLS</v>
      </c>
      <c r="D818" s="110" t="str">
        <f t="shared" si="352"/>
        <v>LGUM_274</v>
      </c>
      <c r="E818" s="581">
        <f t="shared" si="322"/>
        <v>16681</v>
      </c>
      <c r="F818" s="581">
        <f t="shared" si="323"/>
        <v>0</v>
      </c>
      <c r="G818" s="116">
        <f t="shared" si="324"/>
        <v>17.189999999999998</v>
      </c>
      <c r="H818" s="116">
        <f t="shared" si="325"/>
        <v>1.2699999999999996</v>
      </c>
      <c r="I818" s="118">
        <f t="shared" si="335"/>
        <v>286746.39</v>
      </c>
      <c r="J818" s="118">
        <f t="shared" si="326"/>
        <v>286746.39</v>
      </c>
      <c r="K818" s="570">
        <f t="shared" si="336"/>
        <v>0</v>
      </c>
      <c r="L818" s="121">
        <f t="shared" si="346"/>
        <v>0</v>
      </c>
      <c r="M818" s="122">
        <f t="shared" si="327"/>
        <v>0</v>
      </c>
      <c r="N818" s="122">
        <f t="shared" si="328"/>
        <v>0</v>
      </c>
      <c r="O818" s="122">
        <f t="shared" si="329"/>
        <v>0</v>
      </c>
      <c r="P818" s="122">
        <f t="shared" si="330"/>
        <v>0</v>
      </c>
      <c r="Q818" s="123">
        <f t="shared" si="331"/>
        <v>286746.39</v>
      </c>
      <c r="R818" s="123">
        <f t="shared" si="337"/>
        <v>-286746.39</v>
      </c>
      <c r="S818" s="582">
        <v>0</v>
      </c>
      <c r="T818" s="123">
        <f t="shared" si="338"/>
        <v>-286746.39</v>
      </c>
      <c r="U818" s="25">
        <f t="shared" si="332"/>
        <v>21184.87</v>
      </c>
      <c r="V818" s="123">
        <f t="shared" si="333"/>
        <v>-21184.87</v>
      </c>
      <c r="W818" s="334">
        <f t="shared" si="334"/>
        <v>4503.87</v>
      </c>
      <c r="Y818" s="109">
        <f>IF(AE818=1,IF(Y817=MiscData!$F$1,EOMONTH(Y817,-11),EOMONTH(Y817,1)),Y817)</f>
        <v>42369</v>
      </c>
      <c r="Z818" s="108" t="str">
        <f t="shared" si="353"/>
        <v>20140101LGUM_274</v>
      </c>
      <c r="AA818" s="126" t="str">
        <f t="shared" si="354"/>
        <v>20140101RLS</v>
      </c>
      <c r="AB818" s="583" t="str">
        <f t="shared" si="339"/>
        <v>274</v>
      </c>
      <c r="AD818" s="98">
        <f>MiscData!$X$5</f>
        <v>20140101</v>
      </c>
      <c r="AE818" s="98">
        <f>IF(AE817+1&gt;MiscData!$AC$77,1,AE817+1)</f>
        <v>12</v>
      </c>
      <c r="AF818" s="98" t="str">
        <f>VLOOKUP(AE818,MiscData!$AC$5:$AD$77,2,FALSE)</f>
        <v>LGUM_274</v>
      </c>
      <c r="AG818" s="98" t="str">
        <f>VLOOKUP(AF818,MiscData!$AD$5:$AE$77,2,FALSE)</f>
        <v>RLS</v>
      </c>
      <c r="AP818" s="98" t="s">
        <v>514</v>
      </c>
      <c r="AR818" s="98">
        <v>0</v>
      </c>
    </row>
    <row r="819" spans="1:44">
      <c r="A819" s="108">
        <f t="shared" si="340"/>
        <v>816</v>
      </c>
      <c r="B819" s="109" t="str">
        <f t="shared" si="350"/>
        <v>Dec 2015</v>
      </c>
      <c r="C819" s="110" t="str">
        <f t="shared" si="351"/>
        <v>RLS</v>
      </c>
      <c r="D819" s="110" t="str">
        <f t="shared" si="352"/>
        <v>LGUM_275</v>
      </c>
      <c r="E819" s="581">
        <f t="shared" si="322"/>
        <v>518</v>
      </c>
      <c r="F819" s="581">
        <f t="shared" si="323"/>
        <v>0</v>
      </c>
      <c r="G819" s="116">
        <f t="shared" si="324"/>
        <v>24.89</v>
      </c>
      <c r="H819" s="116">
        <f t="shared" si="325"/>
        <v>1.7899999999999991</v>
      </c>
      <c r="I819" s="118">
        <f t="shared" si="335"/>
        <v>12893.02</v>
      </c>
      <c r="J819" s="118">
        <f t="shared" si="326"/>
        <v>12893.02</v>
      </c>
      <c r="K819" s="570">
        <f t="shared" si="336"/>
        <v>0</v>
      </c>
      <c r="L819" s="121">
        <f t="shared" si="346"/>
        <v>0</v>
      </c>
      <c r="M819" s="122">
        <f t="shared" si="327"/>
        <v>0</v>
      </c>
      <c r="N819" s="122">
        <f t="shared" si="328"/>
        <v>0</v>
      </c>
      <c r="O819" s="122">
        <f t="shared" si="329"/>
        <v>0</v>
      </c>
      <c r="P819" s="122">
        <f t="shared" si="330"/>
        <v>0</v>
      </c>
      <c r="Q819" s="123">
        <f t="shared" si="331"/>
        <v>12893.02</v>
      </c>
      <c r="R819" s="123">
        <f t="shared" si="337"/>
        <v>-12893.02</v>
      </c>
      <c r="S819" s="582">
        <v>0</v>
      </c>
      <c r="T819" s="123">
        <f t="shared" si="338"/>
        <v>-12893.02</v>
      </c>
      <c r="U819" s="25">
        <f t="shared" si="332"/>
        <v>927.22</v>
      </c>
      <c r="V819" s="123">
        <f t="shared" si="333"/>
        <v>-927.22</v>
      </c>
      <c r="W819" s="334">
        <f t="shared" si="334"/>
        <v>124.32</v>
      </c>
      <c r="Y819" s="109">
        <f>IF(AE819=1,IF(Y818=MiscData!$F$1,EOMONTH(Y818,-11),EOMONTH(Y818,1)),Y818)</f>
        <v>42369</v>
      </c>
      <c r="Z819" s="108" t="str">
        <f t="shared" si="353"/>
        <v>20140101LGUM_275</v>
      </c>
      <c r="AA819" s="126" t="str">
        <f t="shared" si="354"/>
        <v>20140101RLS</v>
      </c>
      <c r="AB819" s="583" t="str">
        <f t="shared" si="339"/>
        <v>275</v>
      </c>
      <c r="AD819" s="98">
        <f>MiscData!$X$5</f>
        <v>20140101</v>
      </c>
      <c r="AE819" s="98">
        <f>IF(AE818+1&gt;MiscData!$AC$77,1,AE818+1)</f>
        <v>13</v>
      </c>
      <c r="AF819" s="98" t="str">
        <f>VLOOKUP(AE819,MiscData!$AC$5:$AD$77,2,FALSE)</f>
        <v>LGUM_275</v>
      </c>
      <c r="AG819" s="98" t="str">
        <f>VLOOKUP(AF819,MiscData!$AD$5:$AE$77,2,FALSE)</f>
        <v>RLS</v>
      </c>
      <c r="AP819" s="98" t="s">
        <v>516</v>
      </c>
      <c r="AR819" s="98">
        <v>0</v>
      </c>
    </row>
    <row r="820" spans="1:44">
      <c r="A820" s="108">
        <f t="shared" si="340"/>
        <v>817</v>
      </c>
      <c r="B820" s="109" t="str">
        <f t="shared" si="350"/>
        <v>Dec 2015</v>
      </c>
      <c r="C820" s="110" t="str">
        <f t="shared" si="351"/>
        <v>RLS</v>
      </c>
      <c r="D820" s="110" t="str">
        <f t="shared" si="352"/>
        <v>LGUM_276</v>
      </c>
      <c r="E820" s="581">
        <f t="shared" si="322"/>
        <v>1309</v>
      </c>
      <c r="F820" s="581">
        <f t="shared" si="323"/>
        <v>0</v>
      </c>
      <c r="G820" s="116">
        <f t="shared" si="324"/>
        <v>14.17</v>
      </c>
      <c r="H820" s="116">
        <f t="shared" si="325"/>
        <v>0.88000000000000078</v>
      </c>
      <c r="I820" s="118">
        <f t="shared" si="335"/>
        <v>18548.53</v>
      </c>
      <c r="J820" s="118">
        <f t="shared" si="326"/>
        <v>18548.53</v>
      </c>
      <c r="K820" s="570">
        <f t="shared" si="336"/>
        <v>0</v>
      </c>
      <c r="L820" s="121">
        <f t="shared" si="346"/>
        <v>0</v>
      </c>
      <c r="M820" s="122">
        <f t="shared" si="327"/>
        <v>0</v>
      </c>
      <c r="N820" s="122">
        <f t="shared" si="328"/>
        <v>0</v>
      </c>
      <c r="O820" s="122">
        <f t="shared" si="329"/>
        <v>0</v>
      </c>
      <c r="P820" s="122">
        <f t="shared" si="330"/>
        <v>0</v>
      </c>
      <c r="Q820" s="123">
        <f t="shared" si="331"/>
        <v>18548.53</v>
      </c>
      <c r="R820" s="123">
        <f t="shared" si="337"/>
        <v>-18548.53</v>
      </c>
      <c r="S820" s="582">
        <v>0</v>
      </c>
      <c r="T820" s="123">
        <f t="shared" si="338"/>
        <v>-18548.53</v>
      </c>
      <c r="U820" s="25">
        <f t="shared" si="332"/>
        <v>1151.92</v>
      </c>
      <c r="V820" s="123">
        <f t="shared" si="333"/>
        <v>-1151.92</v>
      </c>
      <c r="W820" s="334">
        <f t="shared" si="334"/>
        <v>340.34000000000003</v>
      </c>
      <c r="Y820" s="109">
        <f>IF(AE820=1,IF(Y819=MiscData!$F$1,EOMONTH(Y819,-11),EOMONTH(Y819,1)),Y819)</f>
        <v>42369</v>
      </c>
      <c r="Z820" s="108" t="str">
        <f t="shared" si="353"/>
        <v>20140101LGUM_276</v>
      </c>
      <c r="AA820" s="126" t="str">
        <f t="shared" si="354"/>
        <v>20140101RLS</v>
      </c>
      <c r="AB820" s="583" t="str">
        <f t="shared" si="339"/>
        <v>276</v>
      </c>
      <c r="AD820" s="98">
        <f>MiscData!$X$5</f>
        <v>20140101</v>
      </c>
      <c r="AE820" s="98">
        <f>IF(AE819+1&gt;MiscData!$AC$77,1,AE819+1)</f>
        <v>14</v>
      </c>
      <c r="AF820" s="98" t="str">
        <f>VLOOKUP(AE820,MiscData!$AC$5:$AD$77,2,FALSE)</f>
        <v>LGUM_276</v>
      </c>
      <c r="AG820" s="98" t="str">
        <f>VLOOKUP(AF820,MiscData!$AD$5:$AE$77,2,FALSE)</f>
        <v>RLS</v>
      </c>
      <c r="AP820" s="98" t="s">
        <v>518</v>
      </c>
      <c r="AR820" s="98">
        <v>0</v>
      </c>
    </row>
    <row r="821" spans="1:44">
      <c r="A821" s="108">
        <f t="shared" si="340"/>
        <v>818</v>
      </c>
      <c r="B821" s="109" t="str">
        <f t="shared" si="350"/>
        <v>Dec 2015</v>
      </c>
      <c r="C821" s="110" t="str">
        <f t="shared" si="351"/>
        <v>RLS</v>
      </c>
      <c r="D821" s="110" t="str">
        <f t="shared" si="352"/>
        <v>LGUM_277</v>
      </c>
      <c r="E821" s="581">
        <f t="shared" si="322"/>
        <v>2258</v>
      </c>
      <c r="F821" s="581">
        <f t="shared" si="323"/>
        <v>0</v>
      </c>
      <c r="G821" s="116">
        <f t="shared" si="324"/>
        <v>22.15</v>
      </c>
      <c r="H821" s="116">
        <f t="shared" si="325"/>
        <v>1.7900000000000027</v>
      </c>
      <c r="I821" s="118">
        <f t="shared" si="335"/>
        <v>50014.7</v>
      </c>
      <c r="J821" s="118">
        <f t="shared" si="326"/>
        <v>50014.7</v>
      </c>
      <c r="K821" s="570">
        <f t="shared" si="336"/>
        <v>0</v>
      </c>
      <c r="L821" s="121">
        <f t="shared" si="346"/>
        <v>0</v>
      </c>
      <c r="M821" s="122">
        <f t="shared" si="327"/>
        <v>0</v>
      </c>
      <c r="N821" s="122">
        <f t="shared" si="328"/>
        <v>0</v>
      </c>
      <c r="O821" s="122">
        <f t="shared" si="329"/>
        <v>0</v>
      </c>
      <c r="P821" s="122">
        <f t="shared" si="330"/>
        <v>0</v>
      </c>
      <c r="Q821" s="123">
        <f t="shared" si="331"/>
        <v>50014.7</v>
      </c>
      <c r="R821" s="123">
        <f t="shared" si="337"/>
        <v>-50014.7</v>
      </c>
      <c r="S821" s="582">
        <v>0</v>
      </c>
      <c r="T821" s="123">
        <f t="shared" si="338"/>
        <v>-50014.7</v>
      </c>
      <c r="U821" s="25">
        <f t="shared" si="332"/>
        <v>4041.82</v>
      </c>
      <c r="V821" s="123">
        <f t="shared" si="333"/>
        <v>-4041.82</v>
      </c>
      <c r="W821" s="334">
        <f t="shared" si="334"/>
        <v>541.91999999999996</v>
      </c>
      <c r="Y821" s="109">
        <f>IF(AE821=1,IF(Y820=MiscData!$F$1,EOMONTH(Y820,-11),EOMONTH(Y820,1)),Y820)</f>
        <v>42369</v>
      </c>
      <c r="Z821" s="108" t="str">
        <f t="shared" si="353"/>
        <v>20140101LGUM_277</v>
      </c>
      <c r="AA821" s="126" t="str">
        <f t="shared" si="354"/>
        <v>20140101RLS</v>
      </c>
      <c r="AB821" s="583" t="str">
        <f t="shared" si="339"/>
        <v>277</v>
      </c>
      <c r="AD821" s="98">
        <f>MiscData!$X$5</f>
        <v>20140101</v>
      </c>
      <c r="AE821" s="98">
        <f>IF(AE820+1&gt;MiscData!$AC$77,1,AE820+1)</f>
        <v>15</v>
      </c>
      <c r="AF821" s="98" t="str">
        <f>VLOOKUP(AE821,MiscData!$AC$5:$AD$77,2,FALSE)</f>
        <v>LGUM_277</v>
      </c>
      <c r="AG821" s="98" t="str">
        <f>VLOOKUP(AF821,MiscData!$AD$5:$AE$77,2,FALSE)</f>
        <v>RLS</v>
      </c>
      <c r="AP821" s="98" t="s">
        <v>338</v>
      </c>
      <c r="AR821" s="98">
        <v>0</v>
      </c>
    </row>
    <row r="822" spans="1:44">
      <c r="A822" s="108">
        <f t="shared" si="340"/>
        <v>819</v>
      </c>
      <c r="B822" s="109" t="str">
        <f t="shared" si="350"/>
        <v>Dec 2015</v>
      </c>
      <c r="C822" s="110" t="str">
        <f t="shared" si="351"/>
        <v>RLS</v>
      </c>
      <c r="D822" s="110" t="str">
        <f t="shared" si="352"/>
        <v>LGUM_278</v>
      </c>
      <c r="E822" s="581">
        <f t="shared" si="322"/>
        <v>17</v>
      </c>
      <c r="F822" s="581">
        <f t="shared" si="323"/>
        <v>0</v>
      </c>
      <c r="G822" s="116">
        <f t="shared" si="324"/>
        <v>72.550000000000011</v>
      </c>
      <c r="H822" s="116">
        <f t="shared" si="325"/>
        <v>9.8400000000000034</v>
      </c>
      <c r="I822" s="118">
        <f t="shared" si="335"/>
        <v>1233.3499999999999</v>
      </c>
      <c r="J822" s="118">
        <f t="shared" si="326"/>
        <v>1233.3499999999999</v>
      </c>
      <c r="K822" s="570">
        <f t="shared" si="336"/>
        <v>0</v>
      </c>
      <c r="L822" s="121">
        <f t="shared" si="346"/>
        <v>0</v>
      </c>
      <c r="M822" s="122">
        <f t="shared" si="327"/>
        <v>0</v>
      </c>
      <c r="N822" s="122">
        <f t="shared" si="328"/>
        <v>0</v>
      </c>
      <c r="O822" s="122">
        <f t="shared" si="329"/>
        <v>0</v>
      </c>
      <c r="P822" s="122">
        <f t="shared" si="330"/>
        <v>0</v>
      </c>
      <c r="Q822" s="123">
        <f t="shared" si="331"/>
        <v>1233.3499999999999</v>
      </c>
      <c r="R822" s="123">
        <f t="shared" si="337"/>
        <v>-1233.3499999999999</v>
      </c>
      <c r="S822" s="582">
        <v>0</v>
      </c>
      <c r="T822" s="123">
        <f t="shared" si="338"/>
        <v>-1233.3499999999999</v>
      </c>
      <c r="U822" s="25">
        <f t="shared" si="332"/>
        <v>167.28</v>
      </c>
      <c r="V822" s="123">
        <f t="shared" si="333"/>
        <v>-167.28</v>
      </c>
      <c r="W822" s="334">
        <f t="shared" si="334"/>
        <v>15.3</v>
      </c>
      <c r="Y822" s="109">
        <f>IF(AE822=1,IF(Y821=MiscData!$F$1,EOMONTH(Y821,-11),EOMONTH(Y821,1)),Y821)</f>
        <v>42369</v>
      </c>
      <c r="Z822" s="108" t="str">
        <f t="shared" si="353"/>
        <v>20140101LGUM_278</v>
      </c>
      <c r="AA822" s="126" t="str">
        <f t="shared" si="354"/>
        <v>20140101RLS</v>
      </c>
      <c r="AB822" s="583" t="str">
        <f t="shared" si="339"/>
        <v>278</v>
      </c>
      <c r="AD822" s="98">
        <f>MiscData!$X$5</f>
        <v>20140101</v>
      </c>
      <c r="AE822" s="98">
        <f>IF(AE821+1&gt;MiscData!$AC$77,1,AE821+1)</f>
        <v>16</v>
      </c>
      <c r="AF822" s="98" t="str">
        <f>VLOOKUP(AE822,MiscData!$AC$5:$AD$77,2,FALSE)</f>
        <v>LGUM_278</v>
      </c>
      <c r="AG822" s="98" t="str">
        <f>VLOOKUP(AF822,MiscData!$AD$5:$AE$77,2,FALSE)</f>
        <v>RLS</v>
      </c>
      <c r="AP822" s="98" t="s">
        <v>168</v>
      </c>
      <c r="AR822" s="98">
        <v>0</v>
      </c>
    </row>
    <row r="823" spans="1:44">
      <c r="A823" s="108">
        <f t="shared" si="340"/>
        <v>820</v>
      </c>
      <c r="B823" s="109" t="str">
        <f t="shared" si="350"/>
        <v>Dec 2015</v>
      </c>
      <c r="C823" s="110" t="str">
        <f t="shared" si="351"/>
        <v>RLS</v>
      </c>
      <c r="D823" s="110" t="str">
        <f t="shared" si="352"/>
        <v>LGUM_279</v>
      </c>
      <c r="E823" s="581">
        <f t="shared" si="322"/>
        <v>11</v>
      </c>
      <c r="F823" s="581">
        <f t="shared" si="323"/>
        <v>0</v>
      </c>
      <c r="G823" s="116">
        <f t="shared" si="324"/>
        <v>41.43</v>
      </c>
      <c r="H823" s="116">
        <f t="shared" si="325"/>
        <v>9.8399999999999963</v>
      </c>
      <c r="I823" s="118">
        <f t="shared" si="335"/>
        <v>455.73</v>
      </c>
      <c r="J823" s="118">
        <f t="shared" si="326"/>
        <v>455.73</v>
      </c>
      <c r="K823" s="570">
        <f t="shared" si="336"/>
        <v>0</v>
      </c>
      <c r="L823" s="121">
        <f t="shared" si="346"/>
        <v>0</v>
      </c>
      <c r="M823" s="122">
        <f t="shared" si="327"/>
        <v>0</v>
      </c>
      <c r="N823" s="122">
        <f t="shared" si="328"/>
        <v>0</v>
      </c>
      <c r="O823" s="122">
        <f t="shared" si="329"/>
        <v>0</v>
      </c>
      <c r="P823" s="122">
        <f t="shared" si="330"/>
        <v>0</v>
      </c>
      <c r="Q823" s="123">
        <f t="shared" si="331"/>
        <v>455.73</v>
      </c>
      <c r="R823" s="123">
        <f t="shared" si="337"/>
        <v>-455.73</v>
      </c>
      <c r="S823" s="582">
        <v>0</v>
      </c>
      <c r="T823" s="123">
        <f t="shared" si="338"/>
        <v>-455.73</v>
      </c>
      <c r="U823" s="25">
        <f t="shared" si="332"/>
        <v>108.24</v>
      </c>
      <c r="V823" s="123">
        <f t="shared" si="333"/>
        <v>-108.24</v>
      </c>
      <c r="W823" s="334">
        <f t="shared" si="334"/>
        <v>9.9</v>
      </c>
      <c r="Y823" s="109">
        <f>IF(AE823=1,IF(Y822=MiscData!$F$1,EOMONTH(Y822,-11),EOMONTH(Y822,1)),Y822)</f>
        <v>42369</v>
      </c>
      <c r="Z823" s="108" t="str">
        <f t="shared" si="353"/>
        <v>20140101LGUM_279</v>
      </c>
      <c r="AA823" s="126" t="str">
        <f t="shared" si="354"/>
        <v>20140101RLS</v>
      </c>
      <c r="AB823" s="583" t="str">
        <f t="shared" si="339"/>
        <v>279</v>
      </c>
      <c r="AD823" s="98">
        <f>MiscData!$X$5</f>
        <v>20140101</v>
      </c>
      <c r="AE823" s="98">
        <f>IF(AE822+1&gt;MiscData!$AC$77,1,AE822+1)</f>
        <v>17</v>
      </c>
      <c r="AF823" s="98" t="str">
        <f>VLOOKUP(AE823,MiscData!$AC$5:$AD$77,2,FALSE)</f>
        <v>LGUM_279</v>
      </c>
      <c r="AG823" s="98" t="str">
        <f>VLOOKUP(AF823,MiscData!$AD$5:$AE$77,2,FALSE)</f>
        <v>RLS</v>
      </c>
      <c r="AP823" s="98" t="s">
        <v>522</v>
      </c>
      <c r="AR823" s="98">
        <v>0</v>
      </c>
    </row>
    <row r="824" spans="1:44">
      <c r="A824" s="108">
        <f t="shared" si="340"/>
        <v>821</v>
      </c>
      <c r="B824" s="109" t="str">
        <f t="shared" si="350"/>
        <v>Dec 2015</v>
      </c>
      <c r="C824" s="110" t="str">
        <f t="shared" si="351"/>
        <v>RLS</v>
      </c>
      <c r="D824" s="110" t="str">
        <f t="shared" si="352"/>
        <v>LGUM_280</v>
      </c>
      <c r="E824" s="581">
        <f t="shared" si="322"/>
        <v>45</v>
      </c>
      <c r="F824" s="581">
        <f t="shared" si="323"/>
        <v>0</v>
      </c>
      <c r="G824" s="116">
        <f t="shared" si="324"/>
        <v>19.38</v>
      </c>
      <c r="H824" s="116">
        <f t="shared" si="325"/>
        <v>0.87999999999999901</v>
      </c>
      <c r="I824" s="118">
        <f t="shared" si="335"/>
        <v>872.1</v>
      </c>
      <c r="J824" s="118">
        <f t="shared" si="326"/>
        <v>872.1</v>
      </c>
      <c r="K824" s="570">
        <f t="shared" si="336"/>
        <v>0</v>
      </c>
      <c r="L824" s="121">
        <f t="shared" si="346"/>
        <v>0</v>
      </c>
      <c r="M824" s="122">
        <f t="shared" si="327"/>
        <v>0</v>
      </c>
      <c r="N824" s="122">
        <f t="shared" si="328"/>
        <v>0</v>
      </c>
      <c r="O824" s="122">
        <f t="shared" si="329"/>
        <v>0</v>
      </c>
      <c r="P824" s="122">
        <f t="shared" si="330"/>
        <v>0</v>
      </c>
      <c r="Q824" s="123">
        <f t="shared" si="331"/>
        <v>872.1</v>
      </c>
      <c r="R824" s="123">
        <f t="shared" si="337"/>
        <v>-872.1</v>
      </c>
      <c r="S824" s="582">
        <v>0</v>
      </c>
      <c r="T824" s="123">
        <f t="shared" si="338"/>
        <v>-872.1</v>
      </c>
      <c r="U824" s="25">
        <f t="shared" si="332"/>
        <v>39.6</v>
      </c>
      <c r="V824" s="123">
        <f t="shared" si="333"/>
        <v>-39.6</v>
      </c>
      <c r="W824" s="334">
        <f t="shared" si="334"/>
        <v>11.700000000000001</v>
      </c>
      <c r="Y824" s="109">
        <f>IF(AE824=1,IF(Y823=MiscData!$F$1,EOMONTH(Y823,-11),EOMONTH(Y823,1)),Y823)</f>
        <v>42369</v>
      </c>
      <c r="Z824" s="108" t="str">
        <f t="shared" si="353"/>
        <v>20140101LGUM_280</v>
      </c>
      <c r="AA824" s="126" t="str">
        <f t="shared" si="354"/>
        <v>20140101RLS</v>
      </c>
      <c r="AB824" s="583" t="str">
        <f t="shared" si="339"/>
        <v>280</v>
      </c>
      <c r="AD824" s="98">
        <f>MiscData!$X$5</f>
        <v>20140101</v>
      </c>
      <c r="AE824" s="98">
        <f>IF(AE823+1&gt;MiscData!$AC$77,1,AE823+1)</f>
        <v>18</v>
      </c>
      <c r="AF824" s="98" t="str">
        <f>VLOOKUP(AE824,MiscData!$AC$5:$AD$77,2,FALSE)</f>
        <v>LGUM_280</v>
      </c>
      <c r="AG824" s="98" t="str">
        <f>VLOOKUP(AF824,MiscData!$AD$5:$AE$77,2,FALSE)</f>
        <v>RLS</v>
      </c>
      <c r="AP824" s="98" t="s">
        <v>169</v>
      </c>
      <c r="AR824" s="98">
        <v>0</v>
      </c>
    </row>
    <row r="825" spans="1:44">
      <c r="A825" s="108">
        <f t="shared" si="340"/>
        <v>822</v>
      </c>
      <c r="B825" s="109" t="str">
        <f t="shared" si="350"/>
        <v>Dec 2015</v>
      </c>
      <c r="C825" s="110" t="str">
        <f t="shared" si="351"/>
        <v>RLS</v>
      </c>
      <c r="D825" s="110" t="str">
        <f t="shared" si="352"/>
        <v>LGUM_281</v>
      </c>
      <c r="E825" s="581">
        <f t="shared" si="322"/>
        <v>241</v>
      </c>
      <c r="F825" s="581">
        <f t="shared" si="323"/>
        <v>0</v>
      </c>
      <c r="G825" s="116">
        <f t="shared" si="324"/>
        <v>20.349999999999998</v>
      </c>
      <c r="H825" s="116">
        <f t="shared" si="325"/>
        <v>1.2699999999999996</v>
      </c>
      <c r="I825" s="118">
        <f t="shared" si="335"/>
        <v>4904.3500000000004</v>
      </c>
      <c r="J825" s="118">
        <f t="shared" si="326"/>
        <v>4904.3500000000004</v>
      </c>
      <c r="K825" s="570">
        <f t="shared" si="336"/>
        <v>0</v>
      </c>
      <c r="L825" s="121">
        <f t="shared" si="346"/>
        <v>0</v>
      </c>
      <c r="M825" s="122">
        <f t="shared" si="327"/>
        <v>0</v>
      </c>
      <c r="N825" s="122">
        <f t="shared" si="328"/>
        <v>0</v>
      </c>
      <c r="O825" s="122">
        <f t="shared" si="329"/>
        <v>0</v>
      </c>
      <c r="P825" s="122">
        <f t="shared" si="330"/>
        <v>0</v>
      </c>
      <c r="Q825" s="123">
        <f t="shared" si="331"/>
        <v>4904.3500000000004</v>
      </c>
      <c r="R825" s="123">
        <f t="shared" si="337"/>
        <v>-4904.3500000000004</v>
      </c>
      <c r="S825" s="582">
        <v>0</v>
      </c>
      <c r="T825" s="123">
        <f t="shared" si="338"/>
        <v>-4904.3500000000004</v>
      </c>
      <c r="U825" s="25">
        <f t="shared" si="332"/>
        <v>306.07</v>
      </c>
      <c r="V825" s="123">
        <f t="shared" si="333"/>
        <v>-306.07</v>
      </c>
      <c r="W825" s="334">
        <f t="shared" si="334"/>
        <v>65.070000000000007</v>
      </c>
      <c r="Y825" s="109">
        <f>IF(AE825=1,IF(Y824=MiscData!$F$1,EOMONTH(Y824,-11),EOMONTH(Y824,1)),Y824)</f>
        <v>42369</v>
      </c>
      <c r="Z825" s="108" t="str">
        <f t="shared" si="353"/>
        <v>20140101LGUM_281</v>
      </c>
      <c r="AA825" s="126" t="str">
        <f t="shared" si="354"/>
        <v>20140101RLS</v>
      </c>
      <c r="AB825" s="583" t="str">
        <f t="shared" si="339"/>
        <v>281</v>
      </c>
      <c r="AD825" s="98">
        <f>MiscData!$X$5</f>
        <v>20140101</v>
      </c>
      <c r="AE825" s="98">
        <f>IF(AE824+1&gt;MiscData!$AC$77,1,AE824+1)</f>
        <v>19</v>
      </c>
      <c r="AF825" s="98" t="str">
        <f>VLOOKUP(AE825,MiscData!$AC$5:$AD$77,2,FALSE)</f>
        <v>LGUM_281</v>
      </c>
      <c r="AG825" s="98" t="str">
        <f>VLOOKUP(AF825,MiscData!$AD$5:$AE$77,2,FALSE)</f>
        <v>RLS</v>
      </c>
      <c r="AP825" s="98" t="s">
        <v>170</v>
      </c>
      <c r="AR825" s="98">
        <v>-27.53</v>
      </c>
    </row>
    <row r="826" spans="1:44">
      <c r="A826" s="108">
        <f t="shared" si="340"/>
        <v>823</v>
      </c>
      <c r="B826" s="109" t="str">
        <f t="shared" si="350"/>
        <v>Dec 2015</v>
      </c>
      <c r="C826" s="110" t="str">
        <f t="shared" si="351"/>
        <v>RLS</v>
      </c>
      <c r="D826" s="110" t="str">
        <f t="shared" si="352"/>
        <v>LGUM_282</v>
      </c>
      <c r="E826" s="581">
        <f t="shared" si="322"/>
        <v>103</v>
      </c>
      <c r="F826" s="581">
        <f t="shared" si="323"/>
        <v>0</v>
      </c>
      <c r="G826" s="116">
        <f t="shared" si="324"/>
        <v>19.53</v>
      </c>
      <c r="H826" s="116">
        <f t="shared" si="325"/>
        <v>0.87999999999999901</v>
      </c>
      <c r="I826" s="118">
        <f t="shared" si="335"/>
        <v>2011.59</v>
      </c>
      <c r="J826" s="118">
        <f t="shared" si="326"/>
        <v>2011.59</v>
      </c>
      <c r="K826" s="570">
        <f t="shared" si="336"/>
        <v>0</v>
      </c>
      <c r="L826" s="121">
        <f t="shared" si="346"/>
        <v>0</v>
      </c>
      <c r="M826" s="122">
        <f t="shared" si="327"/>
        <v>0</v>
      </c>
      <c r="N826" s="122">
        <f t="shared" si="328"/>
        <v>0</v>
      </c>
      <c r="O826" s="122">
        <f t="shared" si="329"/>
        <v>0</v>
      </c>
      <c r="P826" s="122">
        <f t="shared" si="330"/>
        <v>0</v>
      </c>
      <c r="Q826" s="123">
        <f t="shared" si="331"/>
        <v>2011.59</v>
      </c>
      <c r="R826" s="123">
        <f t="shared" si="337"/>
        <v>-2011.59</v>
      </c>
      <c r="S826" s="582">
        <v>0</v>
      </c>
      <c r="T826" s="123">
        <f t="shared" si="338"/>
        <v>-2011.59</v>
      </c>
      <c r="U826" s="25">
        <f t="shared" si="332"/>
        <v>90.64</v>
      </c>
      <c r="V826" s="123">
        <f t="shared" si="333"/>
        <v>-90.64</v>
      </c>
      <c r="W826" s="334">
        <f t="shared" si="334"/>
        <v>26.78</v>
      </c>
      <c r="Y826" s="109">
        <f>IF(AE826=1,IF(Y825=MiscData!$F$1,EOMONTH(Y825,-11),EOMONTH(Y825,1)),Y825)</f>
        <v>42369</v>
      </c>
      <c r="Z826" s="108" t="str">
        <f t="shared" si="353"/>
        <v>20140101LGUM_282</v>
      </c>
      <c r="AA826" s="126" t="str">
        <f t="shared" si="354"/>
        <v>20140101RLS</v>
      </c>
      <c r="AB826" s="583" t="str">
        <f t="shared" si="339"/>
        <v>282</v>
      </c>
      <c r="AD826" s="98">
        <f>MiscData!$X$5</f>
        <v>20140101</v>
      </c>
      <c r="AE826" s="98">
        <f>IF(AE825+1&gt;MiscData!$AC$77,1,AE825+1)</f>
        <v>20</v>
      </c>
      <c r="AF826" s="98" t="str">
        <f>VLOOKUP(AE826,MiscData!$AC$5:$AD$77,2,FALSE)</f>
        <v>LGUM_282</v>
      </c>
      <c r="AG826" s="98" t="str">
        <f>VLOOKUP(AF826,MiscData!$AD$5:$AE$77,2,FALSE)</f>
        <v>RLS</v>
      </c>
      <c r="AP826" s="98" t="s">
        <v>171</v>
      </c>
      <c r="AR826" s="98">
        <v>-49.05</v>
      </c>
    </row>
    <row r="827" spans="1:44">
      <c r="A827" s="108">
        <f t="shared" si="340"/>
        <v>824</v>
      </c>
      <c r="B827" s="109" t="str">
        <f t="shared" si="350"/>
        <v>Dec 2015</v>
      </c>
      <c r="C827" s="110" t="str">
        <f t="shared" si="351"/>
        <v>RLS</v>
      </c>
      <c r="D827" s="110" t="str">
        <f t="shared" si="352"/>
        <v>LGUM_283</v>
      </c>
      <c r="E827" s="581">
        <f t="shared" si="322"/>
        <v>80</v>
      </c>
      <c r="F827" s="581">
        <f t="shared" si="323"/>
        <v>0</v>
      </c>
      <c r="G827" s="116">
        <f t="shared" si="324"/>
        <v>20.819999999999997</v>
      </c>
      <c r="H827" s="116">
        <f t="shared" si="325"/>
        <v>1.2699999999999996</v>
      </c>
      <c r="I827" s="118">
        <f t="shared" si="335"/>
        <v>1665.6</v>
      </c>
      <c r="J827" s="118">
        <f t="shared" si="326"/>
        <v>1665.6</v>
      </c>
      <c r="K827" s="570">
        <f t="shared" si="336"/>
        <v>0</v>
      </c>
      <c r="L827" s="121">
        <f t="shared" si="346"/>
        <v>0</v>
      </c>
      <c r="M827" s="122">
        <f t="shared" si="327"/>
        <v>0</v>
      </c>
      <c r="N827" s="122">
        <f t="shared" si="328"/>
        <v>0</v>
      </c>
      <c r="O827" s="122">
        <f t="shared" si="329"/>
        <v>0</v>
      </c>
      <c r="P827" s="122">
        <f t="shared" si="330"/>
        <v>0</v>
      </c>
      <c r="Q827" s="123">
        <f t="shared" si="331"/>
        <v>1665.6</v>
      </c>
      <c r="R827" s="123">
        <f t="shared" si="337"/>
        <v>-1665.6</v>
      </c>
      <c r="S827" s="582">
        <v>0</v>
      </c>
      <c r="T827" s="123">
        <f t="shared" si="338"/>
        <v>-1665.6</v>
      </c>
      <c r="U827" s="25">
        <f t="shared" si="332"/>
        <v>101.6</v>
      </c>
      <c r="V827" s="123">
        <f t="shared" si="333"/>
        <v>-101.6</v>
      </c>
      <c r="W827" s="334">
        <f t="shared" si="334"/>
        <v>21.6</v>
      </c>
      <c r="Y827" s="109">
        <f>IF(AE827=1,IF(Y826=MiscData!$F$1,EOMONTH(Y826,-11),EOMONTH(Y826,1)),Y826)</f>
        <v>42369</v>
      </c>
      <c r="Z827" s="108" t="str">
        <f t="shared" si="353"/>
        <v>20140101LGUM_283</v>
      </c>
      <c r="AA827" s="126" t="str">
        <f t="shared" si="354"/>
        <v>20140101RLS</v>
      </c>
      <c r="AB827" s="583" t="str">
        <f t="shared" si="339"/>
        <v>283</v>
      </c>
      <c r="AD827" s="98">
        <f>MiscData!$X$5</f>
        <v>20140101</v>
      </c>
      <c r="AE827" s="98">
        <f>IF(AE826+1&gt;MiscData!$AC$77,1,AE826+1)</f>
        <v>21</v>
      </c>
      <c r="AF827" s="98" t="str">
        <f>VLOOKUP(AE827,MiscData!$AC$5:$AD$77,2,FALSE)</f>
        <v>LGUM_283</v>
      </c>
      <c r="AG827" s="98" t="str">
        <f>VLOOKUP(AF827,MiscData!$AD$5:$AE$77,2,FALSE)</f>
        <v>RLS</v>
      </c>
      <c r="AP827" s="98" t="s">
        <v>172</v>
      </c>
      <c r="AR827" s="98">
        <v>-50.35</v>
      </c>
    </row>
    <row r="828" spans="1:44">
      <c r="A828" s="108">
        <f t="shared" si="340"/>
        <v>825</v>
      </c>
      <c r="B828" s="109" t="str">
        <f t="shared" si="350"/>
        <v>Dec 2015</v>
      </c>
      <c r="C828" s="110" t="str">
        <f t="shared" si="351"/>
        <v>RLS</v>
      </c>
      <c r="D828" s="110" t="str">
        <f t="shared" si="352"/>
        <v>LGUM_314</v>
      </c>
      <c r="E828" s="581">
        <f t="shared" si="322"/>
        <v>555</v>
      </c>
      <c r="F828" s="581">
        <f t="shared" si="323"/>
        <v>0</v>
      </c>
      <c r="G828" s="116">
        <f t="shared" si="324"/>
        <v>19.2</v>
      </c>
      <c r="H828" s="116">
        <f t="shared" si="325"/>
        <v>2.7100000000000009</v>
      </c>
      <c r="I828" s="118">
        <f t="shared" si="335"/>
        <v>10656</v>
      </c>
      <c r="J828" s="118">
        <f t="shared" si="326"/>
        <v>10656</v>
      </c>
      <c r="K828" s="570">
        <f t="shared" si="336"/>
        <v>0</v>
      </c>
      <c r="L828" s="121">
        <f t="shared" si="346"/>
        <v>0</v>
      </c>
      <c r="M828" s="122">
        <f t="shared" si="327"/>
        <v>0</v>
      </c>
      <c r="N828" s="122">
        <f t="shared" si="328"/>
        <v>0</v>
      </c>
      <c r="O828" s="122">
        <f t="shared" si="329"/>
        <v>0</v>
      </c>
      <c r="P828" s="122">
        <f t="shared" si="330"/>
        <v>0</v>
      </c>
      <c r="Q828" s="123">
        <f t="shared" si="331"/>
        <v>10656</v>
      </c>
      <c r="R828" s="123">
        <f t="shared" si="337"/>
        <v>-10656</v>
      </c>
      <c r="S828" s="582">
        <v>0</v>
      </c>
      <c r="T828" s="123">
        <f t="shared" si="338"/>
        <v>-10656</v>
      </c>
      <c r="U828" s="25">
        <f t="shared" si="332"/>
        <v>1504.05</v>
      </c>
      <c r="V828" s="123">
        <f t="shared" si="333"/>
        <v>-1504.05</v>
      </c>
      <c r="W828" s="334">
        <f t="shared" si="334"/>
        <v>99.899999999999991</v>
      </c>
      <c r="Y828" s="109">
        <f>IF(AE828=1,IF(Y827=MiscData!$F$1,EOMONTH(Y827,-11),EOMONTH(Y827,1)),Y827)</f>
        <v>42369</v>
      </c>
      <c r="Z828" s="108" t="str">
        <f t="shared" si="353"/>
        <v>20140101LGUM_314</v>
      </c>
      <c r="AA828" s="126" t="str">
        <f t="shared" si="354"/>
        <v>20140101RLS</v>
      </c>
      <c r="AB828" s="583" t="str">
        <f t="shared" si="339"/>
        <v>314</v>
      </c>
      <c r="AD828" s="98">
        <f>MiscData!$X$5</f>
        <v>20140101</v>
      </c>
      <c r="AE828" s="98">
        <f>IF(AE827+1&gt;MiscData!$AC$77,1,AE827+1)</f>
        <v>22</v>
      </c>
      <c r="AF828" s="98" t="str">
        <f>VLOOKUP(AE828,MiscData!$AC$5:$AD$77,2,FALSE)</f>
        <v>LGUM_314</v>
      </c>
      <c r="AG828" s="98" t="str">
        <f>VLOOKUP(AF828,MiscData!$AD$5:$AE$77,2,FALSE)</f>
        <v>RLS</v>
      </c>
      <c r="AP828" s="98" t="s">
        <v>173</v>
      </c>
      <c r="AR828" s="98">
        <v>0</v>
      </c>
    </row>
    <row r="829" spans="1:44">
      <c r="A829" s="108">
        <f t="shared" si="340"/>
        <v>826</v>
      </c>
      <c r="B829" s="109" t="str">
        <f t="shared" si="350"/>
        <v>Dec 2015</v>
      </c>
      <c r="C829" s="110" t="str">
        <f t="shared" si="351"/>
        <v>RLS</v>
      </c>
      <c r="D829" s="110" t="str">
        <f t="shared" si="352"/>
        <v>LGUM_315</v>
      </c>
      <c r="E829" s="581">
        <f t="shared" si="322"/>
        <v>532</v>
      </c>
      <c r="F829" s="581">
        <f t="shared" si="323"/>
        <v>0</v>
      </c>
      <c r="G829" s="116">
        <f t="shared" si="324"/>
        <v>22.949999999999996</v>
      </c>
      <c r="H829" s="116">
        <f t="shared" si="325"/>
        <v>4.1999999999999993</v>
      </c>
      <c r="I829" s="118">
        <f t="shared" si="335"/>
        <v>12209.4</v>
      </c>
      <c r="J829" s="118">
        <f t="shared" si="326"/>
        <v>12209.4</v>
      </c>
      <c r="K829" s="570">
        <f t="shared" si="336"/>
        <v>0</v>
      </c>
      <c r="L829" s="121">
        <f t="shared" si="346"/>
        <v>0</v>
      </c>
      <c r="M829" s="122">
        <f t="shared" si="327"/>
        <v>0</v>
      </c>
      <c r="N829" s="122">
        <f t="shared" si="328"/>
        <v>0</v>
      </c>
      <c r="O829" s="122">
        <f t="shared" si="329"/>
        <v>0</v>
      </c>
      <c r="P829" s="122">
        <f t="shared" si="330"/>
        <v>0</v>
      </c>
      <c r="Q829" s="123">
        <f t="shared" si="331"/>
        <v>12209.4</v>
      </c>
      <c r="R829" s="123">
        <f t="shared" si="337"/>
        <v>-12209.4</v>
      </c>
      <c r="S829" s="582">
        <v>0</v>
      </c>
      <c r="T829" s="123">
        <f t="shared" si="338"/>
        <v>-12209.4</v>
      </c>
      <c r="U829" s="25">
        <f t="shared" si="332"/>
        <v>2234.4</v>
      </c>
      <c r="V829" s="123">
        <f t="shared" si="333"/>
        <v>-2234.4</v>
      </c>
      <c r="W829" s="334">
        <f t="shared" si="334"/>
        <v>117.04</v>
      </c>
      <c r="Y829" s="109">
        <f>IF(AE829=1,IF(Y828=MiscData!$F$1,EOMONTH(Y828,-11),EOMONTH(Y828,1)),Y828)</f>
        <v>42369</v>
      </c>
      <c r="Z829" s="108" t="str">
        <f t="shared" si="353"/>
        <v>20140101LGUM_315</v>
      </c>
      <c r="AA829" s="126" t="str">
        <f t="shared" si="354"/>
        <v>20140101RLS</v>
      </c>
      <c r="AB829" s="583" t="str">
        <f t="shared" si="339"/>
        <v>315</v>
      </c>
      <c r="AD829" s="98">
        <f>MiscData!$X$5</f>
        <v>20140101</v>
      </c>
      <c r="AE829" s="98">
        <f>IF(AE828+1&gt;MiscData!$AC$77,1,AE828+1)</f>
        <v>23</v>
      </c>
      <c r="AF829" s="98" t="str">
        <f>VLOOKUP(AE829,MiscData!$AC$5:$AD$77,2,FALSE)</f>
        <v>LGUM_315</v>
      </c>
      <c r="AG829" s="98" t="str">
        <f>VLOOKUP(AF829,MiscData!$AD$5:$AE$77,2,FALSE)</f>
        <v>RLS</v>
      </c>
      <c r="AP829" s="98" t="s">
        <v>174</v>
      </c>
      <c r="AR829" s="98">
        <v>0</v>
      </c>
    </row>
    <row r="830" spans="1:44">
      <c r="A830" s="108">
        <f t="shared" si="340"/>
        <v>827</v>
      </c>
      <c r="B830" s="109" t="str">
        <f t="shared" si="350"/>
        <v>Dec 2015</v>
      </c>
      <c r="C830" s="110" t="str">
        <f t="shared" si="351"/>
        <v>RLS</v>
      </c>
      <c r="D830" s="110" t="str">
        <f t="shared" si="352"/>
        <v>LGUM_318</v>
      </c>
      <c r="E830" s="581">
        <f t="shared" si="322"/>
        <v>54</v>
      </c>
      <c r="F830" s="581">
        <f t="shared" si="323"/>
        <v>0</v>
      </c>
      <c r="G830" s="116">
        <f t="shared" si="324"/>
        <v>17.419999999999998</v>
      </c>
      <c r="H830" s="116">
        <f t="shared" si="325"/>
        <v>1.9100000000000001</v>
      </c>
      <c r="I830" s="118">
        <f t="shared" si="335"/>
        <v>940.68</v>
      </c>
      <c r="J830" s="118">
        <f t="shared" si="326"/>
        <v>940.68</v>
      </c>
      <c r="K830" s="570">
        <f t="shared" si="336"/>
        <v>0</v>
      </c>
      <c r="L830" s="121">
        <f t="shared" si="346"/>
        <v>0</v>
      </c>
      <c r="M830" s="122">
        <f t="shared" si="327"/>
        <v>0</v>
      </c>
      <c r="N830" s="122">
        <f t="shared" si="328"/>
        <v>0</v>
      </c>
      <c r="O830" s="122">
        <f t="shared" si="329"/>
        <v>0</v>
      </c>
      <c r="P830" s="122">
        <f t="shared" si="330"/>
        <v>0</v>
      </c>
      <c r="Q830" s="123">
        <f t="shared" si="331"/>
        <v>940.68</v>
      </c>
      <c r="R830" s="123">
        <f t="shared" si="337"/>
        <v>-940.68</v>
      </c>
      <c r="S830" s="582">
        <v>0</v>
      </c>
      <c r="T830" s="123">
        <f t="shared" si="338"/>
        <v>-940.68</v>
      </c>
      <c r="U830" s="25">
        <f t="shared" si="332"/>
        <v>103.14</v>
      </c>
      <c r="V830" s="123">
        <f t="shared" si="333"/>
        <v>-103.14</v>
      </c>
      <c r="W830" s="334">
        <f t="shared" si="334"/>
        <v>8.64</v>
      </c>
      <c r="Y830" s="109">
        <f>IF(AE830=1,IF(Y829=MiscData!$F$1,EOMONTH(Y829,-11),EOMONTH(Y829,1)),Y829)</f>
        <v>42369</v>
      </c>
      <c r="Z830" s="108" t="str">
        <f t="shared" si="353"/>
        <v>20140101LGUM_318</v>
      </c>
      <c r="AA830" s="126" t="str">
        <f t="shared" si="354"/>
        <v>20140101RLS</v>
      </c>
      <c r="AB830" s="583" t="str">
        <f t="shared" si="339"/>
        <v>318</v>
      </c>
      <c r="AD830" s="98">
        <f>MiscData!$X$5</f>
        <v>20140101</v>
      </c>
      <c r="AE830" s="98">
        <f>IF(AE829+1&gt;MiscData!$AC$77,1,AE829+1)</f>
        <v>24</v>
      </c>
      <c r="AF830" s="98" t="str">
        <f>VLOOKUP(AE830,MiscData!$AC$5:$AD$77,2,FALSE)</f>
        <v>LGUM_318</v>
      </c>
      <c r="AG830" s="98" t="str">
        <f>VLOOKUP(AF830,MiscData!$AD$5:$AE$77,2,FALSE)</f>
        <v>RLS</v>
      </c>
      <c r="AP830" s="98" t="s">
        <v>175</v>
      </c>
      <c r="AR830" s="98">
        <v>-25.67</v>
      </c>
    </row>
    <row r="831" spans="1:44">
      <c r="A831" s="108">
        <f t="shared" si="340"/>
        <v>828</v>
      </c>
      <c r="B831" s="109" t="str">
        <f t="shared" si="350"/>
        <v>Dec 2015</v>
      </c>
      <c r="C831" s="110" t="str">
        <f t="shared" si="351"/>
        <v>RLS</v>
      </c>
      <c r="D831" s="110" t="str">
        <f t="shared" si="352"/>
        <v>LGUM_347</v>
      </c>
      <c r="E831" s="581">
        <f t="shared" si="322"/>
        <v>0</v>
      </c>
      <c r="F831" s="581">
        <f t="shared" si="323"/>
        <v>0</v>
      </c>
      <c r="G831" s="116">
        <f t="shared" si="324"/>
        <v>22.939999999999998</v>
      </c>
      <c r="H831" s="116">
        <f t="shared" si="325"/>
        <v>26.14</v>
      </c>
      <c r="I831" s="118">
        <f t="shared" si="335"/>
        <v>0</v>
      </c>
      <c r="J831" s="118">
        <f t="shared" si="326"/>
        <v>0</v>
      </c>
      <c r="K831" s="570">
        <f t="shared" si="336"/>
        <v>0</v>
      </c>
      <c r="L831" s="121">
        <f t="shared" si="346"/>
        <v>1</v>
      </c>
      <c r="M831" s="122">
        <f t="shared" si="327"/>
        <v>0</v>
      </c>
      <c r="N831" s="122">
        <f t="shared" si="328"/>
        <v>0</v>
      </c>
      <c r="O831" s="122">
        <f t="shared" si="329"/>
        <v>0</v>
      </c>
      <c r="P831" s="122">
        <f t="shared" si="330"/>
        <v>0</v>
      </c>
      <c r="Q831" s="123">
        <f t="shared" si="331"/>
        <v>0</v>
      </c>
      <c r="R831" s="123">
        <f t="shared" si="337"/>
        <v>0</v>
      </c>
      <c r="S831" s="582">
        <v>0</v>
      </c>
      <c r="T831" s="123">
        <f t="shared" si="338"/>
        <v>0</v>
      </c>
      <c r="U831" s="25">
        <f t="shared" si="332"/>
        <v>0</v>
      </c>
      <c r="V831" s="123">
        <f t="shared" si="333"/>
        <v>0</v>
      </c>
      <c r="W831" s="334">
        <f t="shared" si="334"/>
        <v>0</v>
      </c>
      <c r="Y831" s="109">
        <f>IF(AE831=1,IF(Y830=MiscData!$F$1,EOMONTH(Y830,-11),EOMONTH(Y830,1)),Y830)</f>
        <v>42369</v>
      </c>
      <c r="Z831" s="108" t="str">
        <f t="shared" si="353"/>
        <v>20140101LGUM_347</v>
      </c>
      <c r="AA831" s="126" t="str">
        <f t="shared" si="354"/>
        <v>20140101RLS</v>
      </c>
      <c r="AB831" s="583" t="str">
        <f t="shared" si="339"/>
        <v>347</v>
      </c>
      <c r="AD831" s="98">
        <f>MiscData!$X$5</f>
        <v>20140101</v>
      </c>
      <c r="AE831" s="98">
        <f>IF(AE830+1&gt;MiscData!$AC$77,1,AE830+1)</f>
        <v>25</v>
      </c>
      <c r="AF831" s="98" t="str">
        <f>VLOOKUP(AE831,MiscData!$AC$5:$AD$77,2,FALSE)</f>
        <v>LGUM_347</v>
      </c>
      <c r="AG831" s="98" t="str">
        <f>VLOOKUP(AF831,MiscData!$AD$5:$AE$77,2,FALSE)</f>
        <v>RLS</v>
      </c>
      <c r="AP831" s="98" t="s">
        <v>176</v>
      </c>
      <c r="AR831" s="98">
        <v>0</v>
      </c>
    </row>
    <row r="832" spans="1:44">
      <c r="A832" s="108">
        <f t="shared" si="340"/>
        <v>829</v>
      </c>
      <c r="B832" s="109" t="str">
        <f t="shared" si="350"/>
        <v>Dec 2015</v>
      </c>
      <c r="C832" s="110" t="str">
        <f t="shared" si="351"/>
        <v>RLS</v>
      </c>
      <c r="D832" s="110" t="str">
        <f t="shared" si="352"/>
        <v>LGUM_348</v>
      </c>
      <c r="E832" s="581">
        <f t="shared" si="322"/>
        <v>39</v>
      </c>
      <c r="F832" s="581">
        <f t="shared" si="323"/>
        <v>0</v>
      </c>
      <c r="G832" s="116">
        <f t="shared" si="324"/>
        <v>13.12</v>
      </c>
      <c r="H832" s="116">
        <f t="shared" si="325"/>
        <v>2.9800000000000004</v>
      </c>
      <c r="I832" s="118">
        <f t="shared" si="335"/>
        <v>511.68</v>
      </c>
      <c r="J832" s="118">
        <f t="shared" si="326"/>
        <v>511.68</v>
      </c>
      <c r="K832" s="570">
        <f t="shared" si="336"/>
        <v>0</v>
      </c>
      <c r="L832" s="121">
        <f t="shared" si="346"/>
        <v>0</v>
      </c>
      <c r="M832" s="122">
        <f t="shared" si="327"/>
        <v>0</v>
      </c>
      <c r="N832" s="122">
        <f t="shared" si="328"/>
        <v>0</v>
      </c>
      <c r="O832" s="122">
        <f t="shared" si="329"/>
        <v>0</v>
      </c>
      <c r="P832" s="122">
        <f t="shared" si="330"/>
        <v>0</v>
      </c>
      <c r="Q832" s="123">
        <f t="shared" si="331"/>
        <v>511.68</v>
      </c>
      <c r="R832" s="123">
        <f t="shared" si="337"/>
        <v>-511.68</v>
      </c>
      <c r="S832" s="582">
        <v>0</v>
      </c>
      <c r="T832" s="123">
        <f t="shared" si="338"/>
        <v>-511.68</v>
      </c>
      <c r="U832" s="25">
        <f t="shared" si="332"/>
        <v>116.22</v>
      </c>
      <c r="V832" s="123">
        <f t="shared" si="333"/>
        <v>-116.22</v>
      </c>
      <c r="W832" s="334">
        <f t="shared" si="334"/>
        <v>7.41</v>
      </c>
      <c r="Y832" s="109">
        <f>IF(AE832=1,IF(Y831=MiscData!$F$1,EOMONTH(Y831,-11),EOMONTH(Y831,1)),Y831)</f>
        <v>42369</v>
      </c>
      <c r="Z832" s="108" t="str">
        <f t="shared" si="353"/>
        <v>20140101LGUM_348</v>
      </c>
      <c r="AA832" s="126" t="str">
        <f t="shared" si="354"/>
        <v>20140101RLS</v>
      </c>
      <c r="AB832" s="583" t="str">
        <f t="shared" si="339"/>
        <v>348</v>
      </c>
      <c r="AD832" s="98">
        <f>MiscData!$X$5</f>
        <v>20140101</v>
      </c>
      <c r="AE832" s="98">
        <f>IF(AE831+1&gt;MiscData!$AC$77,1,AE831+1)</f>
        <v>26</v>
      </c>
      <c r="AF832" s="98" t="str">
        <f>VLOOKUP(AE832,MiscData!$AC$5:$AD$77,2,FALSE)</f>
        <v>LGUM_348</v>
      </c>
      <c r="AG832" s="98" t="str">
        <f>VLOOKUP(AF832,MiscData!$AD$5:$AE$77,2,FALSE)</f>
        <v>RLS</v>
      </c>
      <c r="AP832" s="98" t="s">
        <v>177</v>
      </c>
      <c r="AR832" s="98">
        <v>0</v>
      </c>
    </row>
    <row r="833" spans="1:44">
      <c r="A833" s="108">
        <f t="shared" si="340"/>
        <v>830</v>
      </c>
      <c r="B833" s="109" t="str">
        <f t="shared" si="350"/>
        <v>Dec 2015</v>
      </c>
      <c r="C833" s="110" t="str">
        <f t="shared" si="351"/>
        <v>RLS</v>
      </c>
      <c r="D833" s="110" t="str">
        <f t="shared" si="352"/>
        <v>LGUM_349</v>
      </c>
      <c r="E833" s="581">
        <f t="shared" si="322"/>
        <v>17</v>
      </c>
      <c r="F833" s="581">
        <f t="shared" si="323"/>
        <v>0</v>
      </c>
      <c r="G833" s="116">
        <f t="shared" si="324"/>
        <v>9.0200000000000014</v>
      </c>
      <c r="H833" s="116">
        <f t="shared" si="325"/>
        <v>0.91000000000000014</v>
      </c>
      <c r="I833" s="118">
        <f t="shared" si="335"/>
        <v>153.34</v>
      </c>
      <c r="J833" s="118">
        <f t="shared" si="326"/>
        <v>153.34</v>
      </c>
      <c r="K833" s="570">
        <f t="shared" si="336"/>
        <v>0</v>
      </c>
      <c r="L833" s="121">
        <f t="shared" si="346"/>
        <v>0</v>
      </c>
      <c r="M833" s="122">
        <f t="shared" si="327"/>
        <v>0</v>
      </c>
      <c r="N833" s="122">
        <f t="shared" si="328"/>
        <v>0</v>
      </c>
      <c r="O833" s="122">
        <f t="shared" si="329"/>
        <v>0</v>
      </c>
      <c r="P833" s="122">
        <f t="shared" si="330"/>
        <v>0</v>
      </c>
      <c r="Q833" s="123">
        <f t="shared" si="331"/>
        <v>153.34</v>
      </c>
      <c r="R833" s="123">
        <f t="shared" si="337"/>
        <v>-153.34</v>
      </c>
      <c r="S833" s="582">
        <v>0</v>
      </c>
      <c r="T833" s="123">
        <f t="shared" si="338"/>
        <v>-153.34</v>
      </c>
      <c r="U833" s="25">
        <f t="shared" si="332"/>
        <v>15.47</v>
      </c>
      <c r="V833" s="123">
        <f t="shared" si="333"/>
        <v>-15.47</v>
      </c>
      <c r="W833" s="334">
        <f t="shared" si="334"/>
        <v>2.3800000000000003</v>
      </c>
      <c r="Y833" s="109">
        <f>IF(AE833=1,IF(Y832=MiscData!$F$1,EOMONTH(Y832,-11),EOMONTH(Y832,1)),Y832)</f>
        <v>42369</v>
      </c>
      <c r="Z833" s="108" t="str">
        <f t="shared" si="353"/>
        <v>20140101LGUM_349</v>
      </c>
      <c r="AA833" s="126" t="str">
        <f t="shared" si="354"/>
        <v>20140101RLS</v>
      </c>
      <c r="AB833" s="583" t="str">
        <f t="shared" si="339"/>
        <v>349</v>
      </c>
      <c r="AD833" s="98">
        <f>MiscData!$X$5</f>
        <v>20140101</v>
      </c>
      <c r="AE833" s="98">
        <f>IF(AE832+1&gt;MiscData!$AC$77,1,AE832+1)</f>
        <v>27</v>
      </c>
      <c r="AF833" s="98" t="str">
        <f>VLOOKUP(AE833,MiscData!$AC$5:$AD$77,2,FALSE)</f>
        <v>LGUM_349</v>
      </c>
      <c r="AG833" s="98" t="str">
        <f>VLOOKUP(AF833,MiscData!$AD$5:$AE$77,2,FALSE)</f>
        <v>RLS</v>
      </c>
      <c r="AP833" s="98" t="s">
        <v>178</v>
      </c>
      <c r="AR833" s="98">
        <v>-20.309999999999999</v>
      </c>
    </row>
    <row r="834" spans="1:44">
      <c r="A834" s="108">
        <f t="shared" si="340"/>
        <v>831</v>
      </c>
      <c r="B834" s="109" t="str">
        <f t="shared" si="350"/>
        <v>Dec 2015</v>
      </c>
      <c r="C834" s="110" t="str">
        <f t="shared" si="351"/>
        <v xml:space="preserve">LS </v>
      </c>
      <c r="D834" s="110" t="str">
        <f t="shared" si="352"/>
        <v>LGUM_400</v>
      </c>
      <c r="E834" s="581">
        <f t="shared" si="322"/>
        <v>32</v>
      </c>
      <c r="F834" s="581">
        <f t="shared" si="323"/>
        <v>0</v>
      </c>
      <c r="G834" s="116">
        <f t="shared" si="324"/>
        <v>23.89</v>
      </c>
      <c r="H834" s="116">
        <f t="shared" si="325"/>
        <v>1.0199999999999996</v>
      </c>
      <c r="I834" s="118">
        <f t="shared" si="335"/>
        <v>764.48</v>
      </c>
      <c r="J834" s="118">
        <f t="shared" si="326"/>
        <v>764.48</v>
      </c>
      <c r="K834" s="570">
        <f t="shared" si="336"/>
        <v>0</v>
      </c>
      <c r="L834" s="121">
        <f t="shared" si="346"/>
        <v>0</v>
      </c>
      <c r="M834" s="122">
        <f t="shared" si="327"/>
        <v>0</v>
      </c>
      <c r="N834" s="122">
        <f t="shared" si="328"/>
        <v>0</v>
      </c>
      <c r="O834" s="122">
        <f t="shared" si="329"/>
        <v>0</v>
      </c>
      <c r="P834" s="122">
        <f t="shared" si="330"/>
        <v>0</v>
      </c>
      <c r="Q834" s="123">
        <f t="shared" si="331"/>
        <v>764.48</v>
      </c>
      <c r="R834" s="123">
        <f t="shared" si="337"/>
        <v>-764.48</v>
      </c>
      <c r="S834" s="582">
        <v>0</v>
      </c>
      <c r="T834" s="123">
        <f t="shared" si="338"/>
        <v>-764.48</v>
      </c>
      <c r="U834" s="25">
        <f t="shared" si="332"/>
        <v>32.64</v>
      </c>
      <c r="V834" s="123">
        <f t="shared" si="333"/>
        <v>-32.64</v>
      </c>
      <c r="W834" s="334">
        <f t="shared" si="334"/>
        <v>11.84</v>
      </c>
      <c r="Y834" s="109">
        <f>IF(AE834=1,IF(Y833=MiscData!$F$1,EOMONTH(Y833,-11),EOMONTH(Y833,1)),Y833)</f>
        <v>42369</v>
      </c>
      <c r="Z834" s="108" t="str">
        <f t="shared" si="353"/>
        <v>20140101LGUM_400</v>
      </c>
      <c r="AA834" s="126" t="str">
        <f t="shared" si="354"/>
        <v xml:space="preserve">20140101LS </v>
      </c>
      <c r="AB834" s="583" t="str">
        <f t="shared" si="339"/>
        <v>400</v>
      </c>
      <c r="AD834" s="98">
        <f>MiscData!$X$5</f>
        <v>20140101</v>
      </c>
      <c r="AE834" s="98">
        <f>IF(AE833+1&gt;MiscData!$AC$77,1,AE833+1)</f>
        <v>28</v>
      </c>
      <c r="AF834" s="98" t="str">
        <f>VLOOKUP(AE834,MiscData!$AC$5:$AD$77,2,FALSE)</f>
        <v>LGUM_400</v>
      </c>
      <c r="AG834" s="98" t="str">
        <f>VLOOKUP(AF834,MiscData!$AD$5:$AE$77,2,FALSE)</f>
        <v xml:space="preserve">LS </v>
      </c>
      <c r="AP834" s="98" t="s">
        <v>179</v>
      </c>
      <c r="AR834" s="98">
        <v>0</v>
      </c>
    </row>
    <row r="835" spans="1:44">
      <c r="A835" s="108">
        <f t="shared" si="340"/>
        <v>832</v>
      </c>
      <c r="B835" s="109" t="str">
        <f t="shared" si="350"/>
        <v>Dec 2015</v>
      </c>
      <c r="C835" s="110" t="str">
        <f t="shared" si="351"/>
        <v xml:space="preserve">LS </v>
      </c>
      <c r="D835" s="110" t="str">
        <f t="shared" si="352"/>
        <v>LGUM_401</v>
      </c>
      <c r="E835" s="581">
        <f t="shared" si="322"/>
        <v>4</v>
      </c>
      <c r="F835" s="581">
        <f t="shared" si="323"/>
        <v>0</v>
      </c>
      <c r="G835" s="116">
        <f t="shared" si="324"/>
        <v>24.9</v>
      </c>
      <c r="H835" s="116">
        <f t="shared" si="325"/>
        <v>1.0599999999999987</v>
      </c>
      <c r="I835" s="118">
        <f t="shared" si="335"/>
        <v>99.6</v>
      </c>
      <c r="J835" s="118">
        <f t="shared" si="326"/>
        <v>99.6</v>
      </c>
      <c r="K835" s="570">
        <f t="shared" si="336"/>
        <v>0</v>
      </c>
      <c r="L835" s="121">
        <f t="shared" si="346"/>
        <v>0</v>
      </c>
      <c r="M835" s="122">
        <f t="shared" si="327"/>
        <v>0</v>
      </c>
      <c r="N835" s="122">
        <f t="shared" si="328"/>
        <v>0</v>
      </c>
      <c r="O835" s="122">
        <f t="shared" si="329"/>
        <v>0</v>
      </c>
      <c r="P835" s="122">
        <f t="shared" si="330"/>
        <v>0</v>
      </c>
      <c r="Q835" s="123">
        <f t="shared" si="331"/>
        <v>99.6</v>
      </c>
      <c r="R835" s="123">
        <f t="shared" si="337"/>
        <v>-99.6</v>
      </c>
      <c r="S835" s="582">
        <v>0</v>
      </c>
      <c r="T835" s="123">
        <f t="shared" si="338"/>
        <v>-99.6</v>
      </c>
      <c r="U835" s="25">
        <f t="shared" si="332"/>
        <v>4.24</v>
      </c>
      <c r="V835" s="123">
        <f t="shared" si="333"/>
        <v>-4.24</v>
      </c>
      <c r="W835" s="334">
        <f t="shared" si="334"/>
        <v>1.08</v>
      </c>
      <c r="Y835" s="109">
        <f>IF(AE835=1,IF(Y834=MiscData!$F$1,EOMONTH(Y834,-11),EOMONTH(Y834,1)),Y834)</f>
        <v>42369</v>
      </c>
      <c r="Z835" s="108" t="str">
        <f t="shared" si="353"/>
        <v>20140101LGUM_401</v>
      </c>
      <c r="AA835" s="126" t="str">
        <f t="shared" si="354"/>
        <v xml:space="preserve">20140101LS </v>
      </c>
      <c r="AB835" s="583" t="str">
        <f t="shared" si="339"/>
        <v>401</v>
      </c>
      <c r="AD835" s="98">
        <f>MiscData!$X$5</f>
        <v>20140101</v>
      </c>
      <c r="AE835" s="98">
        <f>IF(AE834+1&gt;MiscData!$AC$77,1,AE834+1)</f>
        <v>29</v>
      </c>
      <c r="AF835" s="98" t="str">
        <f>VLOOKUP(AE835,MiscData!$AC$5:$AD$77,2,FALSE)</f>
        <v>LGUM_401</v>
      </c>
      <c r="AG835" s="98" t="str">
        <f>VLOOKUP(AF835,MiscData!$AD$5:$AE$77,2,FALSE)</f>
        <v xml:space="preserve">LS </v>
      </c>
      <c r="AP835" s="98" t="s">
        <v>180</v>
      </c>
      <c r="AR835" s="98">
        <v>92.86</v>
      </c>
    </row>
    <row r="836" spans="1:44">
      <c r="A836" s="108">
        <f t="shared" si="340"/>
        <v>833</v>
      </c>
      <c r="B836" s="109" t="str">
        <f t="shared" si="350"/>
        <v>Dec 2015</v>
      </c>
      <c r="C836" s="110" t="str">
        <f t="shared" si="351"/>
        <v xml:space="preserve">LS </v>
      </c>
      <c r="D836" s="110" t="str">
        <f t="shared" si="352"/>
        <v>LGUM_412</v>
      </c>
      <c r="E836" s="581">
        <f t="shared" ref="E836:E879" si="355">SUMIFS(L_1055_Count_Total,L_1055_Revenue_Month,$B836,L_1055_RateCategory,$D836)</f>
        <v>221</v>
      </c>
      <c r="F836" s="581">
        <f t="shared" ref="F836:F879" si="356">SUMIFS(L_SBR_KWH,L_SBR_Rate_Category,$D836,L_SBR_Revenue_Month,$B836)</f>
        <v>0</v>
      </c>
      <c r="G836" s="116">
        <f t="shared" ref="G836:G879" si="357">SUMIF(L_LightingRates_Tariff_Rate_Category,$Z836,L_LightingRates_UnitCharge)</f>
        <v>19.79</v>
      </c>
      <c r="H836" s="116">
        <f t="shared" ref="H836:H879" si="358">SUMIF(L_LightingRates_Tariff_Rate_Category,$Z836,L_LightingRates_FAC_Rate)</f>
        <v>0.74999999999999645</v>
      </c>
      <c r="I836" s="118">
        <f t="shared" si="335"/>
        <v>4373.59</v>
      </c>
      <c r="J836" s="118">
        <f t="shared" ref="J836:J879" si="359">SUM(I836:I836)</f>
        <v>4373.59</v>
      </c>
      <c r="K836" s="570">
        <f t="shared" si="336"/>
        <v>0</v>
      </c>
      <c r="L836" s="121">
        <f t="shared" si="346"/>
        <v>0</v>
      </c>
      <c r="M836" s="122">
        <f t="shared" ref="M836:M879" si="360">SUMIFS(L_SBR_FAC,L_SBR_Revenue_Month,$B836,L_SBR_Rate_Category,$D836)</f>
        <v>0</v>
      </c>
      <c r="N836" s="122">
        <f t="shared" ref="N836:N879" si="361">SUMIFS(L_SBR_ECR,L_SBR_Revenue_Month,$B836,L_SBR_Rate_Category,$D836)</f>
        <v>0</v>
      </c>
      <c r="O836" s="122">
        <f t="shared" ref="O836:O879" si="362">SUMIFS(L_SBR_MSR,L_SBR_Revenue_Month,$B836,L_SBR_Rate_Category,$D836)</f>
        <v>0</v>
      </c>
      <c r="P836" s="122">
        <f t="shared" ref="P836:P879" si="363">SUMIFS(L_SBR_Revenue_Total,L_SBR_Revenue_Month,$B836,L_SBR_Rate_Category,$D836)</f>
        <v>0</v>
      </c>
      <c r="Q836" s="123">
        <f t="shared" ref="Q836:Q879" si="364">SUM(J836,M836:O836)</f>
        <v>4373.59</v>
      </c>
      <c r="R836" s="123">
        <f t="shared" si="337"/>
        <v>-4373.59</v>
      </c>
      <c r="S836" s="582">
        <v>0</v>
      </c>
      <c r="T836" s="123">
        <f t="shared" si="338"/>
        <v>-4373.59</v>
      </c>
      <c r="U836" s="25">
        <f t="shared" ref="U836:U879" si="365">ROUND(E836*H836,2)</f>
        <v>165.75</v>
      </c>
      <c r="V836" s="123">
        <f t="shared" ref="V836:V879" si="366">K836-U836</f>
        <v>-165.75</v>
      </c>
      <c r="W836" s="334">
        <f t="shared" ref="W836:W879" si="367">SUMIF(L_LightingRates_Tariff_Rate_Category,$Z836,L_LightingRates_ECR_Rate)*E836</f>
        <v>57.46</v>
      </c>
      <c r="Y836" s="109">
        <f>IF(AE836=1,IF(Y835=MiscData!$F$1,EOMONTH(Y835,-11),EOMONTH(Y835,1)),Y835)</f>
        <v>42369</v>
      </c>
      <c r="Z836" s="108" t="str">
        <f t="shared" si="353"/>
        <v>20140101LGUM_412</v>
      </c>
      <c r="AA836" s="126" t="str">
        <f t="shared" si="354"/>
        <v xml:space="preserve">20140101LS </v>
      </c>
      <c r="AB836" s="583" t="str">
        <f t="shared" si="339"/>
        <v>412</v>
      </c>
      <c r="AD836" s="98">
        <f>MiscData!$X$5</f>
        <v>20140101</v>
      </c>
      <c r="AE836" s="98">
        <f>IF(AE835+1&gt;MiscData!$AC$77,1,AE835+1)</f>
        <v>30</v>
      </c>
      <c r="AF836" s="98" t="str">
        <f>VLOOKUP(AE836,MiscData!$AC$5:$AD$77,2,FALSE)</f>
        <v>LGUM_412</v>
      </c>
      <c r="AG836" s="98" t="str">
        <f>VLOOKUP(AF836,MiscData!$AD$5:$AE$77,2,FALSE)</f>
        <v xml:space="preserve">LS </v>
      </c>
      <c r="AP836" s="98" t="s">
        <v>181</v>
      </c>
      <c r="AR836" s="98">
        <v>-116.9</v>
      </c>
    </row>
    <row r="837" spans="1:44">
      <c r="A837" s="108">
        <f t="shared" si="340"/>
        <v>834</v>
      </c>
      <c r="B837" s="109" t="str">
        <f t="shared" si="350"/>
        <v>Dec 2015</v>
      </c>
      <c r="C837" s="110" t="str">
        <f t="shared" si="351"/>
        <v xml:space="preserve">LS </v>
      </c>
      <c r="D837" s="110" t="str">
        <f t="shared" si="352"/>
        <v>LGUM_413</v>
      </c>
      <c r="E837" s="581">
        <f t="shared" si="355"/>
        <v>2046</v>
      </c>
      <c r="F837" s="581">
        <f t="shared" si="356"/>
        <v>0</v>
      </c>
      <c r="G837" s="116">
        <f t="shared" si="357"/>
        <v>20.49</v>
      </c>
      <c r="H837" s="116">
        <f t="shared" si="358"/>
        <v>1.0599999999999987</v>
      </c>
      <c r="I837" s="118">
        <f t="shared" ref="I837:I879" si="368">ROUND($E837*$G837,2)</f>
        <v>41922.54</v>
      </c>
      <c r="J837" s="118">
        <f t="shared" si="359"/>
        <v>41922.54</v>
      </c>
      <c r="K837" s="570">
        <f t="shared" ref="K837:K879" si="369">P837-SUM(M837:O837)</f>
        <v>0</v>
      </c>
      <c r="L837" s="121">
        <f t="shared" si="346"/>
        <v>0</v>
      </c>
      <c r="M837" s="122">
        <f t="shared" si="360"/>
        <v>0</v>
      </c>
      <c r="N837" s="122">
        <f t="shared" si="361"/>
        <v>0</v>
      </c>
      <c r="O837" s="122">
        <f t="shared" si="362"/>
        <v>0</v>
      </c>
      <c r="P837" s="122">
        <f t="shared" si="363"/>
        <v>0</v>
      </c>
      <c r="Q837" s="123">
        <f t="shared" si="364"/>
        <v>41922.54</v>
      </c>
      <c r="R837" s="123">
        <f t="shared" ref="R837:R879" si="370">ROUND(P837-Q837,2)</f>
        <v>-41922.54</v>
      </c>
      <c r="S837" s="582">
        <v>0</v>
      </c>
      <c r="T837" s="123">
        <f t="shared" ref="T837:T879" si="371">R837-S837</f>
        <v>-41922.54</v>
      </c>
      <c r="U837" s="25">
        <f t="shared" si="365"/>
        <v>2168.7600000000002</v>
      </c>
      <c r="V837" s="123">
        <f t="shared" si="366"/>
        <v>-2168.7600000000002</v>
      </c>
      <c r="W837" s="334">
        <f t="shared" si="367"/>
        <v>552.42000000000007</v>
      </c>
      <c r="Y837" s="109">
        <f>IF(AE837=1,IF(Y836=MiscData!$F$1,EOMONTH(Y836,-11),EOMONTH(Y836,1)),Y836)</f>
        <v>42369</v>
      </c>
      <c r="Z837" s="108" t="str">
        <f t="shared" si="353"/>
        <v>20140101LGUM_413</v>
      </c>
      <c r="AA837" s="126" t="str">
        <f t="shared" si="354"/>
        <v xml:space="preserve">20140101LS </v>
      </c>
      <c r="AB837" s="583" t="str">
        <f t="shared" ref="AB837:AB879" si="372">RIGHT(AF837,3)</f>
        <v>413</v>
      </c>
      <c r="AD837" s="98">
        <f>MiscData!$X$5</f>
        <v>20140101</v>
      </c>
      <c r="AE837" s="98">
        <f>IF(AE836+1&gt;MiscData!$AC$77,1,AE836+1)</f>
        <v>31</v>
      </c>
      <c r="AF837" s="98" t="str">
        <f>VLOOKUP(AE837,MiscData!$AC$5:$AD$77,2,FALSE)</f>
        <v>LGUM_413</v>
      </c>
      <c r="AG837" s="98" t="str">
        <f>VLOOKUP(AF837,MiscData!$AD$5:$AE$77,2,FALSE)</f>
        <v xml:space="preserve">LS </v>
      </c>
      <c r="AP837" s="98" t="s">
        <v>182</v>
      </c>
      <c r="AR837" s="98">
        <v>0</v>
      </c>
    </row>
    <row r="838" spans="1:44">
      <c r="A838" s="108">
        <f t="shared" si="340"/>
        <v>835</v>
      </c>
      <c r="B838" s="109" t="str">
        <f t="shared" si="350"/>
        <v>Dec 2015</v>
      </c>
      <c r="C838" s="110" t="str">
        <f t="shared" si="351"/>
        <v xml:space="preserve">LS </v>
      </c>
      <c r="D838" s="110" t="str">
        <f t="shared" si="352"/>
        <v>LGUM_415</v>
      </c>
      <c r="E838" s="581">
        <f t="shared" si="355"/>
        <v>27</v>
      </c>
      <c r="F838" s="581">
        <f t="shared" si="356"/>
        <v>0</v>
      </c>
      <c r="G838" s="116">
        <f t="shared" si="357"/>
        <v>20.18</v>
      </c>
      <c r="H838" s="116">
        <f t="shared" si="358"/>
        <v>0.75</v>
      </c>
      <c r="I838" s="118">
        <f t="shared" si="368"/>
        <v>544.86</v>
      </c>
      <c r="J838" s="118">
        <f t="shared" si="359"/>
        <v>544.86</v>
      </c>
      <c r="K838" s="570">
        <f t="shared" si="369"/>
        <v>0</v>
      </c>
      <c r="L838" s="121">
        <f t="shared" si="346"/>
        <v>0</v>
      </c>
      <c r="M838" s="122">
        <f t="shared" si="360"/>
        <v>0</v>
      </c>
      <c r="N838" s="122">
        <f t="shared" si="361"/>
        <v>0</v>
      </c>
      <c r="O838" s="122">
        <f t="shared" si="362"/>
        <v>0</v>
      </c>
      <c r="P838" s="122">
        <f t="shared" si="363"/>
        <v>0</v>
      </c>
      <c r="Q838" s="123">
        <f t="shared" si="364"/>
        <v>544.86</v>
      </c>
      <c r="R838" s="123">
        <f t="shared" si="370"/>
        <v>-544.86</v>
      </c>
      <c r="S838" s="582">
        <v>0</v>
      </c>
      <c r="T838" s="123">
        <f t="shared" si="371"/>
        <v>-544.86</v>
      </c>
      <c r="U838" s="25">
        <f t="shared" si="365"/>
        <v>20.25</v>
      </c>
      <c r="V838" s="123">
        <f t="shared" si="366"/>
        <v>-20.25</v>
      </c>
      <c r="W838" s="334">
        <f t="shared" si="367"/>
        <v>7.0200000000000005</v>
      </c>
      <c r="Y838" s="109">
        <f>IF(AE838=1,IF(Y837=MiscData!$F$1,EOMONTH(Y837,-11),EOMONTH(Y837,1)),Y837)</f>
        <v>42369</v>
      </c>
      <c r="Z838" s="108" t="str">
        <f t="shared" si="353"/>
        <v>20140101LGUM_415</v>
      </c>
      <c r="AA838" s="126" t="str">
        <f t="shared" si="354"/>
        <v xml:space="preserve">20140101LS </v>
      </c>
      <c r="AB838" s="583" t="str">
        <f t="shared" si="372"/>
        <v>415</v>
      </c>
      <c r="AD838" s="98">
        <f>MiscData!$X$5</f>
        <v>20140101</v>
      </c>
      <c r="AE838" s="98">
        <f>IF(AE837+1&gt;MiscData!$AC$77,1,AE837+1)</f>
        <v>32</v>
      </c>
      <c r="AF838" s="98" t="str">
        <f>VLOOKUP(AE838,MiscData!$AC$5:$AD$77,2,FALSE)</f>
        <v>LGUM_415</v>
      </c>
      <c r="AG838" s="98" t="str">
        <f>VLOOKUP(AF838,MiscData!$AD$5:$AE$77,2,FALSE)</f>
        <v xml:space="preserve">LS </v>
      </c>
      <c r="AP838" s="98" t="s">
        <v>183</v>
      </c>
      <c r="AR838" s="98">
        <v>0</v>
      </c>
    </row>
    <row r="839" spans="1:44">
      <c r="A839" s="108">
        <f t="shared" ref="A839:A879" si="373">A838+1</f>
        <v>836</v>
      </c>
      <c r="B839" s="109" t="str">
        <f t="shared" si="350"/>
        <v>Dec 2015</v>
      </c>
      <c r="C839" s="110" t="str">
        <f t="shared" si="351"/>
        <v xml:space="preserve">LS </v>
      </c>
      <c r="D839" s="110" t="str">
        <f t="shared" si="352"/>
        <v>LGUM_416</v>
      </c>
      <c r="E839" s="581">
        <f t="shared" si="355"/>
        <v>1789</v>
      </c>
      <c r="F839" s="581">
        <f t="shared" si="356"/>
        <v>0</v>
      </c>
      <c r="G839" s="116">
        <f t="shared" si="357"/>
        <v>22.56</v>
      </c>
      <c r="H839" s="116">
        <f t="shared" si="358"/>
        <v>1.0599999999999987</v>
      </c>
      <c r="I839" s="118">
        <f t="shared" si="368"/>
        <v>40359.839999999997</v>
      </c>
      <c r="J839" s="118">
        <f t="shared" si="359"/>
        <v>40359.839999999997</v>
      </c>
      <c r="K839" s="570">
        <f t="shared" si="369"/>
        <v>0</v>
      </c>
      <c r="L839" s="121">
        <f t="shared" si="346"/>
        <v>0</v>
      </c>
      <c r="M839" s="122">
        <f t="shared" si="360"/>
        <v>0</v>
      </c>
      <c r="N839" s="122">
        <f t="shared" si="361"/>
        <v>0</v>
      </c>
      <c r="O839" s="122">
        <f t="shared" si="362"/>
        <v>0</v>
      </c>
      <c r="P839" s="122">
        <f t="shared" si="363"/>
        <v>0</v>
      </c>
      <c r="Q839" s="123">
        <f t="shared" si="364"/>
        <v>40359.839999999997</v>
      </c>
      <c r="R839" s="123">
        <f t="shared" si="370"/>
        <v>-40359.839999999997</v>
      </c>
      <c r="S839" s="582">
        <v>0</v>
      </c>
      <c r="T839" s="123">
        <f t="shared" si="371"/>
        <v>-40359.839999999997</v>
      </c>
      <c r="U839" s="25">
        <f t="shared" si="365"/>
        <v>1896.34</v>
      </c>
      <c r="V839" s="123">
        <f t="shared" si="366"/>
        <v>-1896.34</v>
      </c>
      <c r="W839" s="334">
        <f t="shared" si="367"/>
        <v>483.03000000000003</v>
      </c>
      <c r="Y839" s="109">
        <f>IF(AE839=1,IF(Y838=MiscData!$F$1,EOMONTH(Y838,-11),EOMONTH(Y838,1)),Y838)</f>
        <v>42369</v>
      </c>
      <c r="Z839" s="108" t="str">
        <f t="shared" si="353"/>
        <v>20140101LGUM_416</v>
      </c>
      <c r="AA839" s="126" t="str">
        <f t="shared" si="354"/>
        <v xml:space="preserve">20140101LS </v>
      </c>
      <c r="AB839" s="583" t="str">
        <f t="shared" si="372"/>
        <v>416</v>
      </c>
      <c r="AD839" s="98">
        <f>MiscData!$X$5</f>
        <v>20140101</v>
      </c>
      <c r="AE839" s="98">
        <f>IF(AE838+1&gt;MiscData!$AC$77,1,AE838+1)</f>
        <v>33</v>
      </c>
      <c r="AF839" s="98" t="str">
        <f>VLOOKUP(AE839,MiscData!$AC$5:$AD$77,2,FALSE)</f>
        <v>LGUM_416</v>
      </c>
      <c r="AG839" s="98" t="str">
        <f>VLOOKUP(AF839,MiscData!$AD$5:$AE$77,2,FALSE)</f>
        <v xml:space="preserve">LS </v>
      </c>
      <c r="AP839" s="98" t="s">
        <v>184</v>
      </c>
      <c r="AR839" s="98">
        <v>35.82</v>
      </c>
    </row>
    <row r="840" spans="1:44">
      <c r="A840" s="108">
        <f t="shared" si="373"/>
        <v>837</v>
      </c>
      <c r="B840" s="109" t="str">
        <f t="shared" si="350"/>
        <v>Dec 2015</v>
      </c>
      <c r="C840" s="110" t="str">
        <f t="shared" si="351"/>
        <v>RLS</v>
      </c>
      <c r="D840" s="110" t="str">
        <f t="shared" si="352"/>
        <v>LGUM_417</v>
      </c>
      <c r="E840" s="581">
        <f t="shared" si="355"/>
        <v>35</v>
      </c>
      <c r="F840" s="581">
        <f t="shared" si="356"/>
        <v>0</v>
      </c>
      <c r="G840" s="116">
        <f t="shared" si="357"/>
        <v>23.68</v>
      </c>
      <c r="H840" s="116">
        <f t="shared" si="358"/>
        <v>1.0300000000000011</v>
      </c>
      <c r="I840" s="118">
        <f t="shared" si="368"/>
        <v>828.8</v>
      </c>
      <c r="J840" s="118">
        <f t="shared" si="359"/>
        <v>828.8</v>
      </c>
      <c r="K840" s="570">
        <f t="shared" si="369"/>
        <v>0</v>
      </c>
      <c r="L840" s="121">
        <f t="shared" si="346"/>
        <v>0</v>
      </c>
      <c r="M840" s="122">
        <f t="shared" si="360"/>
        <v>0</v>
      </c>
      <c r="N840" s="122">
        <f t="shared" si="361"/>
        <v>0</v>
      </c>
      <c r="O840" s="122">
        <f t="shared" si="362"/>
        <v>0</v>
      </c>
      <c r="P840" s="122">
        <f t="shared" si="363"/>
        <v>0</v>
      </c>
      <c r="Q840" s="123">
        <f t="shared" si="364"/>
        <v>828.8</v>
      </c>
      <c r="R840" s="123">
        <f t="shared" si="370"/>
        <v>-828.8</v>
      </c>
      <c r="S840" s="582">
        <v>0</v>
      </c>
      <c r="T840" s="123">
        <f t="shared" si="371"/>
        <v>-828.8</v>
      </c>
      <c r="U840" s="25">
        <f t="shared" si="365"/>
        <v>36.049999999999997</v>
      </c>
      <c r="V840" s="123">
        <f t="shared" si="366"/>
        <v>-36.049999999999997</v>
      </c>
      <c r="W840" s="334">
        <f t="shared" si="367"/>
        <v>9.4500000000000011</v>
      </c>
      <c r="Y840" s="109">
        <f>IF(AE840=1,IF(Y839=MiscData!$F$1,EOMONTH(Y839,-11),EOMONTH(Y839,1)),Y839)</f>
        <v>42369</v>
      </c>
      <c r="Z840" s="108" t="str">
        <f t="shared" si="353"/>
        <v>20140101LGUM_417</v>
      </c>
      <c r="AA840" s="126" t="str">
        <f t="shared" si="354"/>
        <v>20140101RLS</v>
      </c>
      <c r="AB840" s="583" t="str">
        <f t="shared" si="372"/>
        <v>417</v>
      </c>
      <c r="AD840" s="98">
        <f>MiscData!$X$5</f>
        <v>20140101</v>
      </c>
      <c r="AE840" s="98">
        <f>IF(AE839+1&gt;MiscData!$AC$77,1,AE839+1)</f>
        <v>34</v>
      </c>
      <c r="AF840" s="98" t="str">
        <f>VLOOKUP(AE840,MiscData!$AC$5:$AD$77,2,FALSE)</f>
        <v>LGUM_417</v>
      </c>
      <c r="AG840" s="98" t="str">
        <f>VLOOKUP(AF840,MiscData!$AD$5:$AE$77,2,FALSE)</f>
        <v>RLS</v>
      </c>
      <c r="AP840" s="98" t="s">
        <v>185</v>
      </c>
      <c r="AR840" s="98">
        <v>0</v>
      </c>
    </row>
    <row r="841" spans="1:44">
      <c r="A841" s="108">
        <f t="shared" si="373"/>
        <v>838</v>
      </c>
      <c r="B841" s="109" t="str">
        <f t="shared" si="350"/>
        <v>Dec 2015</v>
      </c>
      <c r="C841" s="110" t="str">
        <f t="shared" si="351"/>
        <v>RLS</v>
      </c>
      <c r="D841" s="110" t="str">
        <f t="shared" si="352"/>
        <v>LGUM_419</v>
      </c>
      <c r="E841" s="581">
        <f t="shared" si="355"/>
        <v>111</v>
      </c>
      <c r="F841" s="581">
        <f t="shared" si="356"/>
        <v>0</v>
      </c>
      <c r="G841" s="116">
        <f t="shared" si="357"/>
        <v>24.77</v>
      </c>
      <c r="H841" s="116">
        <f t="shared" si="358"/>
        <v>1.6499999999999986</v>
      </c>
      <c r="I841" s="118">
        <f t="shared" si="368"/>
        <v>2749.47</v>
      </c>
      <c r="J841" s="118">
        <f t="shared" si="359"/>
        <v>2749.47</v>
      </c>
      <c r="K841" s="570">
        <f t="shared" si="369"/>
        <v>0</v>
      </c>
      <c r="L841" s="121">
        <f t="shared" si="346"/>
        <v>0</v>
      </c>
      <c r="M841" s="122">
        <f t="shared" si="360"/>
        <v>0</v>
      </c>
      <c r="N841" s="122">
        <f t="shared" si="361"/>
        <v>0</v>
      </c>
      <c r="O841" s="122">
        <f t="shared" si="362"/>
        <v>0</v>
      </c>
      <c r="P841" s="122">
        <f t="shared" si="363"/>
        <v>0</v>
      </c>
      <c r="Q841" s="123">
        <f t="shared" si="364"/>
        <v>2749.47</v>
      </c>
      <c r="R841" s="123">
        <f t="shared" si="370"/>
        <v>-2749.47</v>
      </c>
      <c r="S841" s="582">
        <v>0</v>
      </c>
      <c r="T841" s="123">
        <f t="shared" si="371"/>
        <v>-2749.47</v>
      </c>
      <c r="U841" s="25">
        <f t="shared" si="365"/>
        <v>183.15</v>
      </c>
      <c r="V841" s="123">
        <f t="shared" si="366"/>
        <v>-183.15</v>
      </c>
      <c r="W841" s="334">
        <f t="shared" si="367"/>
        <v>41.07</v>
      </c>
      <c r="Y841" s="109">
        <f>IF(AE841=1,IF(Y840=MiscData!$F$1,EOMONTH(Y840,-11),EOMONTH(Y840,1)),Y840)</f>
        <v>42369</v>
      </c>
      <c r="Z841" s="108" t="str">
        <f t="shared" si="353"/>
        <v>20140101LGUM_419</v>
      </c>
      <c r="AA841" s="126" t="str">
        <f t="shared" si="354"/>
        <v>20140101RLS</v>
      </c>
      <c r="AB841" s="583" t="str">
        <f t="shared" si="372"/>
        <v>419</v>
      </c>
      <c r="AD841" s="98">
        <f>MiscData!$X$5</f>
        <v>20140101</v>
      </c>
      <c r="AE841" s="98">
        <f>IF(AE840+1&gt;MiscData!$AC$77,1,AE840+1)</f>
        <v>35</v>
      </c>
      <c r="AF841" s="98" t="str">
        <f>VLOOKUP(AE841,MiscData!$AC$5:$AD$77,2,FALSE)</f>
        <v>LGUM_419</v>
      </c>
      <c r="AG841" s="98" t="str">
        <f>VLOOKUP(AF841,MiscData!$AD$5:$AE$77,2,FALSE)</f>
        <v>RLS</v>
      </c>
      <c r="AP841" s="98" t="s">
        <v>186</v>
      </c>
      <c r="AR841" s="98">
        <v>0</v>
      </c>
    </row>
    <row r="842" spans="1:44">
      <c r="A842" s="108">
        <f t="shared" si="373"/>
        <v>839</v>
      </c>
      <c r="B842" s="109" t="str">
        <f t="shared" si="350"/>
        <v>Dec 2015</v>
      </c>
      <c r="C842" s="110" t="str">
        <f t="shared" si="351"/>
        <v xml:space="preserve">LS </v>
      </c>
      <c r="D842" s="110" t="str">
        <f t="shared" si="352"/>
        <v>LGUM_420</v>
      </c>
      <c r="E842" s="581">
        <f t="shared" si="355"/>
        <v>53</v>
      </c>
      <c r="F842" s="581">
        <f t="shared" si="356"/>
        <v>0</v>
      </c>
      <c r="G842" s="116">
        <f t="shared" si="357"/>
        <v>29.889999999999997</v>
      </c>
      <c r="H842" s="116">
        <f t="shared" si="358"/>
        <v>1.6499999999999986</v>
      </c>
      <c r="I842" s="118">
        <f t="shared" si="368"/>
        <v>1584.17</v>
      </c>
      <c r="J842" s="118">
        <f t="shared" si="359"/>
        <v>1584.17</v>
      </c>
      <c r="K842" s="570">
        <f t="shared" si="369"/>
        <v>0</v>
      </c>
      <c r="L842" s="121">
        <f t="shared" si="346"/>
        <v>0</v>
      </c>
      <c r="M842" s="122">
        <f t="shared" si="360"/>
        <v>0</v>
      </c>
      <c r="N842" s="122">
        <f t="shared" si="361"/>
        <v>0</v>
      </c>
      <c r="O842" s="122">
        <f t="shared" si="362"/>
        <v>0</v>
      </c>
      <c r="P842" s="122">
        <f t="shared" si="363"/>
        <v>0</v>
      </c>
      <c r="Q842" s="123">
        <f t="shared" si="364"/>
        <v>1584.17</v>
      </c>
      <c r="R842" s="123">
        <f t="shared" si="370"/>
        <v>-1584.17</v>
      </c>
      <c r="S842" s="582">
        <v>0</v>
      </c>
      <c r="T842" s="123">
        <f t="shared" si="371"/>
        <v>-1584.17</v>
      </c>
      <c r="U842" s="25">
        <f t="shared" si="365"/>
        <v>87.45</v>
      </c>
      <c r="V842" s="123">
        <f t="shared" si="366"/>
        <v>-87.45</v>
      </c>
      <c r="W842" s="334">
        <f t="shared" si="367"/>
        <v>12.719999999999999</v>
      </c>
      <c r="Y842" s="109">
        <f>IF(AE842=1,IF(Y841=MiscData!$F$1,EOMONTH(Y841,-11),EOMONTH(Y841,1)),Y841)</f>
        <v>42369</v>
      </c>
      <c r="Z842" s="108" t="str">
        <f t="shared" si="353"/>
        <v>20140101LGUM_420</v>
      </c>
      <c r="AA842" s="126" t="str">
        <f t="shared" si="354"/>
        <v xml:space="preserve">20140101LS </v>
      </c>
      <c r="AB842" s="583" t="str">
        <f t="shared" si="372"/>
        <v>420</v>
      </c>
      <c r="AD842" s="98">
        <f>MiscData!$X$5</f>
        <v>20140101</v>
      </c>
      <c r="AE842" s="98">
        <f>IF(AE841+1&gt;MiscData!$AC$77,1,AE841+1)</f>
        <v>36</v>
      </c>
      <c r="AF842" s="98" t="str">
        <f>VLOOKUP(AE842,MiscData!$AC$5:$AD$77,2,FALSE)</f>
        <v>LGUM_420</v>
      </c>
      <c r="AG842" s="98" t="str">
        <f>VLOOKUP(AF842,MiscData!$AD$5:$AE$77,2,FALSE)</f>
        <v xml:space="preserve">LS </v>
      </c>
      <c r="AP842" s="98" t="s">
        <v>483</v>
      </c>
      <c r="AR842" s="98">
        <v>0</v>
      </c>
    </row>
    <row r="843" spans="1:44">
      <c r="A843" s="108">
        <f t="shared" si="373"/>
        <v>840</v>
      </c>
      <c r="B843" s="109" t="str">
        <f t="shared" si="350"/>
        <v>Dec 2015</v>
      </c>
      <c r="C843" s="110" t="str">
        <f t="shared" si="351"/>
        <v xml:space="preserve">LS </v>
      </c>
      <c r="D843" s="110" t="str">
        <f t="shared" si="352"/>
        <v>LGUM_421</v>
      </c>
      <c r="E843" s="581">
        <f t="shared" si="355"/>
        <v>175</v>
      </c>
      <c r="F843" s="581">
        <f t="shared" si="356"/>
        <v>0</v>
      </c>
      <c r="G843" s="116">
        <f t="shared" si="357"/>
        <v>32.860000000000007</v>
      </c>
      <c r="H843" s="116">
        <f t="shared" si="358"/>
        <v>2.6700000000000017</v>
      </c>
      <c r="I843" s="118">
        <f t="shared" si="368"/>
        <v>5750.5</v>
      </c>
      <c r="J843" s="118">
        <f t="shared" si="359"/>
        <v>5750.5</v>
      </c>
      <c r="K843" s="570">
        <f t="shared" si="369"/>
        <v>0</v>
      </c>
      <c r="L843" s="121">
        <f t="shared" si="346"/>
        <v>0</v>
      </c>
      <c r="M843" s="122">
        <f t="shared" si="360"/>
        <v>0</v>
      </c>
      <c r="N843" s="122">
        <f t="shared" si="361"/>
        <v>0</v>
      </c>
      <c r="O843" s="122">
        <f t="shared" si="362"/>
        <v>0</v>
      </c>
      <c r="P843" s="122">
        <f t="shared" si="363"/>
        <v>0</v>
      </c>
      <c r="Q843" s="123">
        <f t="shared" si="364"/>
        <v>5750.5</v>
      </c>
      <c r="R843" s="123">
        <f t="shared" si="370"/>
        <v>-5750.5</v>
      </c>
      <c r="S843" s="582">
        <v>0</v>
      </c>
      <c r="T843" s="123">
        <f t="shared" si="371"/>
        <v>-5750.5</v>
      </c>
      <c r="U843" s="25">
        <f t="shared" si="365"/>
        <v>467.25</v>
      </c>
      <c r="V843" s="123">
        <f t="shared" si="366"/>
        <v>-467.25</v>
      </c>
      <c r="W843" s="334">
        <f t="shared" si="367"/>
        <v>47.25</v>
      </c>
      <c r="Y843" s="109">
        <f>IF(AE843=1,IF(Y842=MiscData!$F$1,EOMONTH(Y842,-11),EOMONTH(Y842,1)),Y842)</f>
        <v>42369</v>
      </c>
      <c r="Z843" s="108" t="str">
        <f t="shared" si="353"/>
        <v>20140101LGUM_421</v>
      </c>
      <c r="AA843" s="126" t="str">
        <f t="shared" si="354"/>
        <v xml:space="preserve">20140101LS </v>
      </c>
      <c r="AB843" s="583" t="str">
        <f t="shared" si="372"/>
        <v>421</v>
      </c>
      <c r="AD843" s="98">
        <f>MiscData!$X$5</f>
        <v>20140101</v>
      </c>
      <c r="AE843" s="98">
        <f>IF(AE842+1&gt;MiscData!$AC$77,1,AE842+1)</f>
        <v>37</v>
      </c>
      <c r="AF843" s="98" t="str">
        <f>VLOOKUP(AE843,MiscData!$AC$5:$AD$77,2,FALSE)</f>
        <v>LGUM_421</v>
      </c>
      <c r="AG843" s="98" t="str">
        <f>VLOOKUP(AF843,MiscData!$AD$5:$AE$77,2,FALSE)</f>
        <v xml:space="preserve">LS </v>
      </c>
      <c r="AP843" s="98" t="s">
        <v>487</v>
      </c>
      <c r="AR843" s="98">
        <v>0</v>
      </c>
    </row>
    <row r="844" spans="1:44">
      <c r="A844" s="108">
        <f t="shared" si="373"/>
        <v>841</v>
      </c>
      <c r="B844" s="109" t="str">
        <f t="shared" si="350"/>
        <v>Dec 2015</v>
      </c>
      <c r="C844" s="110" t="str">
        <f t="shared" si="351"/>
        <v xml:space="preserve">LS </v>
      </c>
      <c r="D844" s="110" t="str">
        <f t="shared" si="352"/>
        <v>LGUM_422</v>
      </c>
      <c r="E844" s="581">
        <f t="shared" si="355"/>
        <v>361</v>
      </c>
      <c r="F844" s="581">
        <f t="shared" si="356"/>
        <v>0</v>
      </c>
      <c r="G844" s="116">
        <f t="shared" si="357"/>
        <v>38.389999999999993</v>
      </c>
      <c r="H844" s="116">
        <f t="shared" si="358"/>
        <v>4.279999999999994</v>
      </c>
      <c r="I844" s="118">
        <f t="shared" si="368"/>
        <v>13858.79</v>
      </c>
      <c r="J844" s="118">
        <f t="shared" si="359"/>
        <v>13858.79</v>
      </c>
      <c r="K844" s="570">
        <f t="shared" si="369"/>
        <v>0</v>
      </c>
      <c r="L844" s="121">
        <f t="shared" si="346"/>
        <v>0</v>
      </c>
      <c r="M844" s="122">
        <f t="shared" si="360"/>
        <v>0</v>
      </c>
      <c r="N844" s="122">
        <f t="shared" si="361"/>
        <v>0</v>
      </c>
      <c r="O844" s="122">
        <f t="shared" si="362"/>
        <v>0</v>
      </c>
      <c r="P844" s="122">
        <f t="shared" si="363"/>
        <v>0</v>
      </c>
      <c r="Q844" s="123">
        <f t="shared" si="364"/>
        <v>13858.79</v>
      </c>
      <c r="R844" s="123">
        <f t="shared" si="370"/>
        <v>-13858.79</v>
      </c>
      <c r="S844" s="582">
        <v>0</v>
      </c>
      <c r="T844" s="123">
        <f t="shared" si="371"/>
        <v>-13858.79</v>
      </c>
      <c r="U844" s="25">
        <f t="shared" si="365"/>
        <v>1545.08</v>
      </c>
      <c r="V844" s="123">
        <f t="shared" si="366"/>
        <v>-1545.08</v>
      </c>
      <c r="W844" s="334">
        <f t="shared" si="367"/>
        <v>104.69</v>
      </c>
      <c r="Y844" s="109">
        <f>IF(AE844=1,IF(Y843=MiscData!$F$1,EOMONTH(Y843,-11),EOMONTH(Y843,1)),Y843)</f>
        <v>42369</v>
      </c>
      <c r="Z844" s="108" t="str">
        <f t="shared" si="353"/>
        <v>20140101LGUM_422</v>
      </c>
      <c r="AA844" s="126" t="str">
        <f t="shared" si="354"/>
        <v xml:space="preserve">20140101LS </v>
      </c>
      <c r="AB844" s="583" t="str">
        <f t="shared" si="372"/>
        <v>422</v>
      </c>
      <c r="AD844" s="98">
        <f>MiscData!$X$5</f>
        <v>20140101</v>
      </c>
      <c r="AE844" s="98">
        <f>IF(AE843+1&gt;MiscData!$AC$77,1,AE843+1)</f>
        <v>38</v>
      </c>
      <c r="AF844" s="98" t="str">
        <f>VLOOKUP(AE844,MiscData!$AC$5:$AD$77,2,FALSE)</f>
        <v>LGUM_422</v>
      </c>
      <c r="AG844" s="98" t="str">
        <f>VLOOKUP(AF844,MiscData!$AD$5:$AE$77,2,FALSE)</f>
        <v xml:space="preserve">LS </v>
      </c>
      <c r="AP844" s="98" t="s">
        <v>187</v>
      </c>
      <c r="AR844" s="98">
        <v>0</v>
      </c>
    </row>
    <row r="845" spans="1:44">
      <c r="A845" s="108">
        <f t="shared" si="373"/>
        <v>842</v>
      </c>
      <c r="B845" s="109" t="str">
        <f t="shared" si="350"/>
        <v>Dec 2015</v>
      </c>
      <c r="C845" s="110" t="str">
        <f t="shared" si="351"/>
        <v xml:space="preserve">LS </v>
      </c>
      <c r="D845" s="110" t="str">
        <f t="shared" si="352"/>
        <v>LGUM_423</v>
      </c>
      <c r="E845" s="581">
        <f t="shared" si="355"/>
        <v>17</v>
      </c>
      <c r="F845" s="581">
        <f t="shared" si="356"/>
        <v>0</v>
      </c>
      <c r="G845" s="116">
        <f t="shared" si="357"/>
        <v>26.349999999999998</v>
      </c>
      <c r="H845" s="116">
        <f t="shared" si="358"/>
        <v>1.6500000000000021</v>
      </c>
      <c r="I845" s="118">
        <f t="shared" si="368"/>
        <v>447.95</v>
      </c>
      <c r="J845" s="118">
        <f t="shared" si="359"/>
        <v>447.95</v>
      </c>
      <c r="K845" s="570">
        <f t="shared" si="369"/>
        <v>0</v>
      </c>
      <c r="L845" s="121">
        <f t="shared" si="346"/>
        <v>0</v>
      </c>
      <c r="M845" s="122">
        <f t="shared" si="360"/>
        <v>0</v>
      </c>
      <c r="N845" s="122">
        <f t="shared" si="361"/>
        <v>0</v>
      </c>
      <c r="O845" s="122">
        <f t="shared" si="362"/>
        <v>0</v>
      </c>
      <c r="P845" s="122">
        <f t="shared" si="363"/>
        <v>0</v>
      </c>
      <c r="Q845" s="123">
        <f t="shared" si="364"/>
        <v>447.95</v>
      </c>
      <c r="R845" s="123">
        <f t="shared" si="370"/>
        <v>-447.95</v>
      </c>
      <c r="S845" s="582">
        <v>0</v>
      </c>
      <c r="T845" s="123">
        <f t="shared" si="371"/>
        <v>-447.95</v>
      </c>
      <c r="U845" s="25">
        <f t="shared" si="365"/>
        <v>28.05</v>
      </c>
      <c r="V845" s="123">
        <f t="shared" si="366"/>
        <v>-28.05</v>
      </c>
      <c r="W845" s="334">
        <f t="shared" si="367"/>
        <v>4.08</v>
      </c>
      <c r="Y845" s="109">
        <f>IF(AE845=1,IF(Y844=MiscData!$F$1,EOMONTH(Y844,-11),EOMONTH(Y844,1)),Y844)</f>
        <v>42369</v>
      </c>
      <c r="Z845" s="108" t="str">
        <f t="shared" si="353"/>
        <v>20140101LGUM_423</v>
      </c>
      <c r="AA845" s="126" t="str">
        <f t="shared" si="354"/>
        <v xml:space="preserve">20140101LS </v>
      </c>
      <c r="AB845" s="583" t="str">
        <f t="shared" si="372"/>
        <v>423</v>
      </c>
      <c r="AD845" s="98">
        <f>MiscData!$X$5</f>
        <v>20140101</v>
      </c>
      <c r="AE845" s="98">
        <f>IF(AE844+1&gt;MiscData!$AC$77,1,AE844+1)</f>
        <v>39</v>
      </c>
      <c r="AF845" s="98" t="str">
        <f>VLOOKUP(AE845,MiscData!$AC$5:$AD$77,2,FALSE)</f>
        <v>LGUM_423</v>
      </c>
      <c r="AG845" s="98" t="str">
        <f>VLOOKUP(AF845,MiscData!$AD$5:$AE$77,2,FALSE)</f>
        <v xml:space="preserve">LS </v>
      </c>
      <c r="AP845" s="98" t="s">
        <v>188</v>
      </c>
      <c r="AR845" s="98">
        <v>0</v>
      </c>
    </row>
    <row r="846" spans="1:44">
      <c r="A846" s="108">
        <f t="shared" si="373"/>
        <v>843</v>
      </c>
      <c r="B846" s="109" t="str">
        <f t="shared" si="350"/>
        <v>Dec 2015</v>
      </c>
      <c r="C846" s="110" t="str">
        <f t="shared" si="351"/>
        <v xml:space="preserve">LS </v>
      </c>
      <c r="D846" s="110" t="str">
        <f t="shared" si="352"/>
        <v>LGUM_424</v>
      </c>
      <c r="E846" s="581">
        <f t="shared" si="355"/>
        <v>365</v>
      </c>
      <c r="F846" s="581">
        <f t="shared" si="356"/>
        <v>0</v>
      </c>
      <c r="G846" s="116">
        <f t="shared" si="357"/>
        <v>28.45</v>
      </c>
      <c r="H846" s="116">
        <f t="shared" si="358"/>
        <v>3.9800000000000004</v>
      </c>
      <c r="I846" s="118">
        <f t="shared" si="368"/>
        <v>10384.25</v>
      </c>
      <c r="J846" s="118">
        <f t="shared" si="359"/>
        <v>10384.25</v>
      </c>
      <c r="K846" s="570">
        <f t="shared" si="369"/>
        <v>0</v>
      </c>
      <c r="L846" s="121">
        <f t="shared" si="346"/>
        <v>0</v>
      </c>
      <c r="M846" s="122">
        <f t="shared" si="360"/>
        <v>0</v>
      </c>
      <c r="N846" s="122">
        <f t="shared" si="361"/>
        <v>0</v>
      </c>
      <c r="O846" s="122">
        <f t="shared" si="362"/>
        <v>0</v>
      </c>
      <c r="P846" s="122">
        <f t="shared" si="363"/>
        <v>0</v>
      </c>
      <c r="Q846" s="123">
        <f t="shared" si="364"/>
        <v>10384.25</v>
      </c>
      <c r="R846" s="123">
        <f t="shared" si="370"/>
        <v>-10384.25</v>
      </c>
      <c r="S846" s="582">
        <v>0</v>
      </c>
      <c r="T846" s="123">
        <f t="shared" si="371"/>
        <v>-10384.25</v>
      </c>
      <c r="U846" s="25">
        <f t="shared" si="365"/>
        <v>1452.7</v>
      </c>
      <c r="V846" s="123">
        <f t="shared" si="366"/>
        <v>-1452.7</v>
      </c>
      <c r="W846" s="334">
        <f t="shared" si="367"/>
        <v>98.550000000000011</v>
      </c>
      <c r="Y846" s="109">
        <f>IF(AE846=1,IF(Y845=MiscData!$F$1,EOMONTH(Y845,-11),EOMONTH(Y845,1)),Y845)</f>
        <v>42369</v>
      </c>
      <c r="Z846" s="108" t="str">
        <f t="shared" si="353"/>
        <v>20140101LGUM_424</v>
      </c>
      <c r="AA846" s="126" t="str">
        <f t="shared" si="354"/>
        <v xml:space="preserve">20140101LS </v>
      </c>
      <c r="AB846" s="583" t="str">
        <f t="shared" si="372"/>
        <v>424</v>
      </c>
      <c r="AD846" s="98">
        <f>MiscData!$X$5</f>
        <v>20140101</v>
      </c>
      <c r="AE846" s="98">
        <f>IF(AE845+1&gt;MiscData!$AC$77,1,AE845+1)</f>
        <v>40</v>
      </c>
      <c r="AF846" s="98" t="str">
        <f>VLOOKUP(AE846,MiscData!$AC$5:$AD$77,2,FALSE)</f>
        <v>LGUM_424</v>
      </c>
      <c r="AG846" s="98" t="str">
        <f>VLOOKUP(AF846,MiscData!$AD$5:$AE$77,2,FALSE)</f>
        <v xml:space="preserve">LS </v>
      </c>
      <c r="AP846" s="98" t="s">
        <v>189</v>
      </c>
      <c r="AR846" s="98">
        <v>0</v>
      </c>
    </row>
    <row r="847" spans="1:44">
      <c r="A847" s="108">
        <f t="shared" si="373"/>
        <v>844</v>
      </c>
      <c r="B847" s="109" t="str">
        <f t="shared" si="350"/>
        <v>Dec 2015</v>
      </c>
      <c r="C847" s="110" t="str">
        <f t="shared" si="351"/>
        <v xml:space="preserve">LS </v>
      </c>
      <c r="D847" s="110" t="str">
        <f t="shared" si="352"/>
        <v>LGUM_425</v>
      </c>
      <c r="E847" s="581">
        <f t="shared" si="355"/>
        <v>31</v>
      </c>
      <c r="F847" s="581">
        <f t="shared" si="356"/>
        <v>0</v>
      </c>
      <c r="G847" s="116">
        <f t="shared" si="357"/>
        <v>34.029999999999994</v>
      </c>
      <c r="H847" s="116">
        <f t="shared" si="358"/>
        <v>4.2799999999999976</v>
      </c>
      <c r="I847" s="118">
        <f t="shared" si="368"/>
        <v>1054.93</v>
      </c>
      <c r="J847" s="118">
        <f t="shared" si="359"/>
        <v>1054.93</v>
      </c>
      <c r="K847" s="570">
        <f t="shared" si="369"/>
        <v>0</v>
      </c>
      <c r="L847" s="121">
        <f t="shared" si="346"/>
        <v>0</v>
      </c>
      <c r="M847" s="122">
        <f t="shared" si="360"/>
        <v>0</v>
      </c>
      <c r="N847" s="122">
        <f t="shared" si="361"/>
        <v>0</v>
      </c>
      <c r="O847" s="122">
        <f t="shared" si="362"/>
        <v>0</v>
      </c>
      <c r="P847" s="122">
        <f t="shared" si="363"/>
        <v>0</v>
      </c>
      <c r="Q847" s="123">
        <f t="shared" si="364"/>
        <v>1054.93</v>
      </c>
      <c r="R847" s="123">
        <f t="shared" si="370"/>
        <v>-1054.93</v>
      </c>
      <c r="S847" s="582">
        <v>0</v>
      </c>
      <c r="T847" s="123">
        <f t="shared" si="371"/>
        <v>-1054.93</v>
      </c>
      <c r="U847" s="25">
        <f t="shared" si="365"/>
        <v>132.68</v>
      </c>
      <c r="V847" s="123">
        <f t="shared" si="366"/>
        <v>-132.68</v>
      </c>
      <c r="W847" s="334">
        <f t="shared" si="367"/>
        <v>8.99</v>
      </c>
      <c r="Y847" s="109">
        <f>IF(AE847=1,IF(Y846=MiscData!$F$1,EOMONTH(Y846,-11),EOMONTH(Y846,1)),Y846)</f>
        <v>42369</v>
      </c>
      <c r="Z847" s="108" t="str">
        <f t="shared" si="353"/>
        <v>20140101LGUM_425</v>
      </c>
      <c r="AA847" s="126" t="str">
        <f t="shared" si="354"/>
        <v xml:space="preserve">20140101LS </v>
      </c>
      <c r="AB847" s="583" t="str">
        <f t="shared" si="372"/>
        <v>425</v>
      </c>
      <c r="AD847" s="98">
        <f>MiscData!$X$5</f>
        <v>20140101</v>
      </c>
      <c r="AE847" s="98">
        <f>IF(AE846+1&gt;MiscData!$AC$77,1,AE846+1)</f>
        <v>41</v>
      </c>
      <c r="AF847" s="98" t="str">
        <f>VLOOKUP(AE847,MiscData!$AC$5:$AD$77,2,FALSE)</f>
        <v>LGUM_425</v>
      </c>
      <c r="AG847" s="98" t="str">
        <f>VLOOKUP(AF847,MiscData!$AD$5:$AE$77,2,FALSE)</f>
        <v xml:space="preserve">LS </v>
      </c>
      <c r="AP847" s="98" t="s">
        <v>190</v>
      </c>
      <c r="AR847" s="98">
        <v>29.31</v>
      </c>
    </row>
    <row r="848" spans="1:44">
      <c r="A848" s="108">
        <f t="shared" si="373"/>
        <v>845</v>
      </c>
      <c r="B848" s="109" t="str">
        <f t="shared" si="350"/>
        <v>Dec 2015</v>
      </c>
      <c r="C848" s="110" t="str">
        <f t="shared" si="351"/>
        <v>RLS</v>
      </c>
      <c r="D848" s="110" t="str">
        <f t="shared" si="352"/>
        <v>LGUM_426</v>
      </c>
      <c r="E848" s="581">
        <f t="shared" si="355"/>
        <v>40</v>
      </c>
      <c r="F848" s="581">
        <f t="shared" si="356"/>
        <v>0</v>
      </c>
      <c r="G848" s="116">
        <f t="shared" si="357"/>
        <v>33.22</v>
      </c>
      <c r="H848" s="116">
        <f t="shared" si="358"/>
        <v>0.75</v>
      </c>
      <c r="I848" s="118">
        <f t="shared" si="368"/>
        <v>1328.8</v>
      </c>
      <c r="J848" s="118">
        <f t="shared" si="359"/>
        <v>1328.8</v>
      </c>
      <c r="K848" s="570">
        <f t="shared" si="369"/>
        <v>0</v>
      </c>
      <c r="L848" s="121">
        <f t="shared" si="346"/>
        <v>0</v>
      </c>
      <c r="M848" s="122">
        <f t="shared" si="360"/>
        <v>0</v>
      </c>
      <c r="N848" s="122">
        <f t="shared" si="361"/>
        <v>0</v>
      </c>
      <c r="O848" s="122">
        <f t="shared" si="362"/>
        <v>0</v>
      </c>
      <c r="P848" s="122">
        <f t="shared" si="363"/>
        <v>0</v>
      </c>
      <c r="Q848" s="123">
        <f t="shared" si="364"/>
        <v>1328.8</v>
      </c>
      <c r="R848" s="123">
        <f t="shared" si="370"/>
        <v>-1328.8</v>
      </c>
      <c r="S848" s="582">
        <v>0</v>
      </c>
      <c r="T848" s="123">
        <f t="shared" si="371"/>
        <v>-1328.8</v>
      </c>
      <c r="U848" s="25">
        <f t="shared" si="365"/>
        <v>30</v>
      </c>
      <c r="V848" s="123">
        <f t="shared" si="366"/>
        <v>-30</v>
      </c>
      <c r="W848" s="334">
        <f t="shared" si="367"/>
        <v>10.4</v>
      </c>
      <c r="Y848" s="109">
        <f>IF(AE848=1,IF(Y847=MiscData!$F$1,EOMONTH(Y847,-11),EOMONTH(Y847,1)),Y847)</f>
        <v>42369</v>
      </c>
      <c r="Z848" s="108" t="str">
        <f t="shared" si="353"/>
        <v>20140101LGUM_426</v>
      </c>
      <c r="AA848" s="126" t="str">
        <f t="shared" si="354"/>
        <v>20140101RLS</v>
      </c>
      <c r="AB848" s="583" t="str">
        <f t="shared" si="372"/>
        <v>426</v>
      </c>
      <c r="AD848" s="98">
        <f>MiscData!$X$5</f>
        <v>20140101</v>
      </c>
      <c r="AE848" s="98">
        <f>IF(AE847+1&gt;MiscData!$AC$77,1,AE847+1)</f>
        <v>42</v>
      </c>
      <c r="AF848" s="98" t="str">
        <f>VLOOKUP(AE848,MiscData!$AC$5:$AD$77,2,FALSE)</f>
        <v>LGUM_426</v>
      </c>
      <c r="AG848" s="98" t="str">
        <f>VLOOKUP(AF848,MiscData!$AD$5:$AE$77,2,FALSE)</f>
        <v>RLS</v>
      </c>
      <c r="AP848" s="98" t="s">
        <v>497</v>
      </c>
      <c r="AR848" s="98">
        <v>0</v>
      </c>
    </row>
    <row r="849" spans="1:44">
      <c r="A849" s="108">
        <f t="shared" si="373"/>
        <v>846</v>
      </c>
      <c r="B849" s="109" t="str">
        <f t="shared" si="350"/>
        <v>Dec 2015</v>
      </c>
      <c r="C849" s="110" t="str">
        <f t="shared" si="351"/>
        <v xml:space="preserve">LS </v>
      </c>
      <c r="D849" s="110" t="str">
        <f t="shared" si="352"/>
        <v>LGUM_427</v>
      </c>
      <c r="E849" s="581">
        <f t="shared" si="355"/>
        <v>52</v>
      </c>
      <c r="F849" s="581">
        <f t="shared" si="356"/>
        <v>0</v>
      </c>
      <c r="G849" s="116">
        <f t="shared" si="357"/>
        <v>35.199999999999996</v>
      </c>
      <c r="H849" s="116">
        <f t="shared" si="358"/>
        <v>0.75</v>
      </c>
      <c r="I849" s="118">
        <f t="shared" si="368"/>
        <v>1830.4</v>
      </c>
      <c r="J849" s="118">
        <f t="shared" si="359"/>
        <v>1830.4</v>
      </c>
      <c r="K849" s="570">
        <f t="shared" si="369"/>
        <v>0</v>
      </c>
      <c r="L849" s="121">
        <f t="shared" si="346"/>
        <v>0</v>
      </c>
      <c r="M849" s="122">
        <f t="shared" si="360"/>
        <v>0</v>
      </c>
      <c r="N849" s="122">
        <f t="shared" si="361"/>
        <v>0</v>
      </c>
      <c r="O849" s="122">
        <f t="shared" si="362"/>
        <v>0</v>
      </c>
      <c r="P849" s="122">
        <f t="shared" si="363"/>
        <v>0</v>
      </c>
      <c r="Q849" s="123">
        <f t="shared" si="364"/>
        <v>1830.4</v>
      </c>
      <c r="R849" s="123">
        <f t="shared" si="370"/>
        <v>-1830.4</v>
      </c>
      <c r="S849" s="582">
        <v>0</v>
      </c>
      <c r="T849" s="123">
        <f t="shared" si="371"/>
        <v>-1830.4</v>
      </c>
      <c r="U849" s="25">
        <f t="shared" si="365"/>
        <v>39</v>
      </c>
      <c r="V849" s="123">
        <f t="shared" si="366"/>
        <v>-39</v>
      </c>
      <c r="W849" s="334">
        <f t="shared" si="367"/>
        <v>13.52</v>
      </c>
      <c r="Y849" s="109">
        <f>IF(AE849=1,IF(Y848=MiscData!$F$1,EOMONTH(Y848,-11),EOMONTH(Y848,1)),Y848)</f>
        <v>42369</v>
      </c>
      <c r="Z849" s="108" t="str">
        <f t="shared" si="353"/>
        <v>20140101LGUM_427</v>
      </c>
      <c r="AA849" s="126" t="str">
        <f t="shared" si="354"/>
        <v xml:space="preserve">20140101LS </v>
      </c>
      <c r="AB849" s="583" t="str">
        <f t="shared" si="372"/>
        <v>427</v>
      </c>
      <c r="AD849" s="98">
        <f>MiscData!$X$5</f>
        <v>20140101</v>
      </c>
      <c r="AE849" s="98">
        <f>IF(AE848+1&gt;MiscData!$AC$77,1,AE848+1)</f>
        <v>43</v>
      </c>
      <c r="AF849" s="98" t="str">
        <f>VLOOKUP(AE849,MiscData!$AC$5:$AD$77,2,FALSE)</f>
        <v>LGUM_427</v>
      </c>
      <c r="AG849" s="98" t="str">
        <f>VLOOKUP(AF849,MiscData!$AD$5:$AE$77,2,FALSE)</f>
        <v xml:space="preserve">LS </v>
      </c>
      <c r="AP849" s="98" t="s">
        <v>191</v>
      </c>
      <c r="AR849" s="98">
        <v>0</v>
      </c>
    </row>
    <row r="850" spans="1:44">
      <c r="A850" s="108">
        <f t="shared" si="373"/>
        <v>847</v>
      </c>
      <c r="B850" s="109" t="str">
        <f t="shared" si="350"/>
        <v>Dec 2015</v>
      </c>
      <c r="C850" s="110" t="str">
        <f t="shared" si="351"/>
        <v>RLS</v>
      </c>
      <c r="D850" s="110" t="str">
        <f t="shared" si="352"/>
        <v>LGUM_428</v>
      </c>
      <c r="E850" s="581">
        <f t="shared" si="355"/>
        <v>196</v>
      </c>
      <c r="F850" s="581">
        <f t="shared" si="356"/>
        <v>0</v>
      </c>
      <c r="G850" s="116">
        <f t="shared" si="357"/>
        <v>34.090000000000003</v>
      </c>
      <c r="H850" s="116">
        <f t="shared" si="358"/>
        <v>1.0600000000000023</v>
      </c>
      <c r="I850" s="118">
        <f t="shared" si="368"/>
        <v>6681.64</v>
      </c>
      <c r="J850" s="118">
        <f t="shared" si="359"/>
        <v>6681.64</v>
      </c>
      <c r="K850" s="570">
        <f t="shared" si="369"/>
        <v>0</v>
      </c>
      <c r="L850" s="121">
        <f t="shared" si="346"/>
        <v>0</v>
      </c>
      <c r="M850" s="122">
        <f t="shared" si="360"/>
        <v>0</v>
      </c>
      <c r="N850" s="122">
        <f t="shared" si="361"/>
        <v>0</v>
      </c>
      <c r="O850" s="122">
        <f t="shared" si="362"/>
        <v>0</v>
      </c>
      <c r="P850" s="122">
        <f t="shared" si="363"/>
        <v>0</v>
      </c>
      <c r="Q850" s="123">
        <f t="shared" si="364"/>
        <v>6681.64</v>
      </c>
      <c r="R850" s="123">
        <f t="shared" si="370"/>
        <v>-6681.64</v>
      </c>
      <c r="S850" s="582">
        <v>0</v>
      </c>
      <c r="T850" s="123">
        <f t="shared" si="371"/>
        <v>-6681.64</v>
      </c>
      <c r="U850" s="25">
        <f t="shared" si="365"/>
        <v>207.76</v>
      </c>
      <c r="V850" s="123">
        <f t="shared" si="366"/>
        <v>-207.76</v>
      </c>
      <c r="W850" s="334">
        <f t="shared" si="367"/>
        <v>52.92</v>
      </c>
      <c r="Y850" s="109">
        <f>IF(AE850=1,IF(Y849=MiscData!$F$1,EOMONTH(Y849,-11),EOMONTH(Y849,1)),Y849)</f>
        <v>42369</v>
      </c>
      <c r="Z850" s="108" t="str">
        <f t="shared" si="353"/>
        <v>20140101LGUM_428</v>
      </c>
      <c r="AA850" s="126" t="str">
        <f t="shared" si="354"/>
        <v>20140101RLS</v>
      </c>
      <c r="AB850" s="583" t="str">
        <f t="shared" si="372"/>
        <v>428</v>
      </c>
      <c r="AD850" s="98">
        <f>MiscData!$X$5</f>
        <v>20140101</v>
      </c>
      <c r="AE850" s="98">
        <f>IF(AE849+1&gt;MiscData!$AC$77,1,AE849+1)</f>
        <v>44</v>
      </c>
      <c r="AF850" s="98" t="str">
        <f>VLOOKUP(AE850,MiscData!$AC$5:$AD$77,2,FALSE)</f>
        <v>LGUM_428</v>
      </c>
      <c r="AG850" s="98" t="str">
        <f>VLOOKUP(AF850,MiscData!$AD$5:$AE$77,2,FALSE)</f>
        <v>RLS</v>
      </c>
      <c r="AP850" s="98" t="s">
        <v>192</v>
      </c>
      <c r="AR850" s="98">
        <v>0</v>
      </c>
    </row>
    <row r="851" spans="1:44">
      <c r="A851" s="108">
        <f t="shared" si="373"/>
        <v>848</v>
      </c>
      <c r="B851" s="109" t="str">
        <f t="shared" si="350"/>
        <v>Dec 2015</v>
      </c>
      <c r="C851" s="110" t="str">
        <f t="shared" si="351"/>
        <v xml:space="preserve">LS </v>
      </c>
      <c r="D851" s="110" t="str">
        <f t="shared" si="352"/>
        <v>LGUM_429</v>
      </c>
      <c r="E851" s="581">
        <f t="shared" si="355"/>
        <v>189</v>
      </c>
      <c r="F851" s="581">
        <f t="shared" si="356"/>
        <v>0</v>
      </c>
      <c r="G851" s="116">
        <f t="shared" si="357"/>
        <v>36.07</v>
      </c>
      <c r="H851" s="116">
        <f t="shared" si="358"/>
        <v>1.0599999999999952</v>
      </c>
      <c r="I851" s="118">
        <f t="shared" si="368"/>
        <v>6817.23</v>
      </c>
      <c r="J851" s="118">
        <f t="shared" si="359"/>
        <v>6817.23</v>
      </c>
      <c r="K851" s="570">
        <f t="shared" si="369"/>
        <v>0</v>
      </c>
      <c r="L851" s="121">
        <f t="shared" si="346"/>
        <v>0</v>
      </c>
      <c r="M851" s="122">
        <f t="shared" si="360"/>
        <v>0</v>
      </c>
      <c r="N851" s="122">
        <f t="shared" si="361"/>
        <v>0</v>
      </c>
      <c r="O851" s="122">
        <f t="shared" si="362"/>
        <v>0</v>
      </c>
      <c r="P851" s="122">
        <f t="shared" si="363"/>
        <v>0</v>
      </c>
      <c r="Q851" s="123">
        <f t="shared" si="364"/>
        <v>6817.23</v>
      </c>
      <c r="R851" s="123">
        <f t="shared" si="370"/>
        <v>-6817.23</v>
      </c>
      <c r="S851" s="582">
        <v>0</v>
      </c>
      <c r="T851" s="123">
        <f t="shared" si="371"/>
        <v>-6817.23</v>
      </c>
      <c r="U851" s="25">
        <f t="shared" si="365"/>
        <v>200.34</v>
      </c>
      <c r="V851" s="123">
        <f t="shared" si="366"/>
        <v>-200.34</v>
      </c>
      <c r="W851" s="334">
        <f t="shared" si="367"/>
        <v>51.03</v>
      </c>
      <c r="Y851" s="109">
        <f>IF(AE851=1,IF(Y850=MiscData!$F$1,EOMONTH(Y850,-11),EOMONTH(Y850,1)),Y850)</f>
        <v>42369</v>
      </c>
      <c r="Z851" s="108" t="str">
        <f t="shared" si="353"/>
        <v>20140101LGUM_429</v>
      </c>
      <c r="AA851" s="126" t="str">
        <f t="shared" si="354"/>
        <v xml:space="preserve">20140101LS </v>
      </c>
      <c r="AB851" s="583" t="str">
        <f t="shared" si="372"/>
        <v>429</v>
      </c>
      <c r="AD851" s="98">
        <f>MiscData!$X$5</f>
        <v>20140101</v>
      </c>
      <c r="AE851" s="98">
        <f>IF(AE850+1&gt;MiscData!$AC$77,1,AE850+1)</f>
        <v>45</v>
      </c>
      <c r="AF851" s="98" t="str">
        <f>VLOOKUP(AE851,MiscData!$AC$5:$AD$77,2,FALSE)</f>
        <v>LGUM_429</v>
      </c>
      <c r="AG851" s="98" t="str">
        <f>VLOOKUP(AF851,MiscData!$AD$5:$AE$77,2,FALSE)</f>
        <v xml:space="preserve">LS </v>
      </c>
      <c r="AP851" s="98" t="s">
        <v>193</v>
      </c>
      <c r="AR851" s="98">
        <v>0</v>
      </c>
    </row>
    <row r="852" spans="1:44">
      <c r="A852" s="108">
        <f t="shared" si="373"/>
        <v>849</v>
      </c>
      <c r="B852" s="109" t="str">
        <f t="shared" si="350"/>
        <v>Dec 2015</v>
      </c>
      <c r="C852" s="110" t="str">
        <f t="shared" si="351"/>
        <v>RLS</v>
      </c>
      <c r="D852" s="110" t="str">
        <f t="shared" si="352"/>
        <v>LGUM_430</v>
      </c>
      <c r="E852" s="581">
        <f t="shared" si="355"/>
        <v>13</v>
      </c>
      <c r="F852" s="581">
        <f t="shared" si="356"/>
        <v>0</v>
      </c>
      <c r="G852" s="116">
        <f t="shared" si="357"/>
        <v>32.26</v>
      </c>
      <c r="H852" s="116">
        <f t="shared" si="358"/>
        <v>0.75</v>
      </c>
      <c r="I852" s="118">
        <f t="shared" si="368"/>
        <v>419.38</v>
      </c>
      <c r="J852" s="118">
        <f t="shared" si="359"/>
        <v>419.38</v>
      </c>
      <c r="K852" s="570">
        <f t="shared" si="369"/>
        <v>0</v>
      </c>
      <c r="L852" s="121">
        <f t="shared" si="346"/>
        <v>0</v>
      </c>
      <c r="M852" s="122">
        <f t="shared" si="360"/>
        <v>0</v>
      </c>
      <c r="N852" s="122">
        <f t="shared" si="361"/>
        <v>0</v>
      </c>
      <c r="O852" s="122">
        <f t="shared" si="362"/>
        <v>0</v>
      </c>
      <c r="P852" s="122">
        <f t="shared" si="363"/>
        <v>0</v>
      </c>
      <c r="Q852" s="123">
        <f t="shared" si="364"/>
        <v>419.38</v>
      </c>
      <c r="R852" s="123">
        <f t="shared" si="370"/>
        <v>-419.38</v>
      </c>
      <c r="S852" s="582">
        <v>0</v>
      </c>
      <c r="T852" s="123">
        <f t="shared" si="371"/>
        <v>-419.38</v>
      </c>
      <c r="U852" s="25">
        <f t="shared" si="365"/>
        <v>9.75</v>
      </c>
      <c r="V852" s="123">
        <f t="shared" si="366"/>
        <v>-9.75</v>
      </c>
      <c r="W852" s="334">
        <f t="shared" si="367"/>
        <v>3.38</v>
      </c>
      <c r="Y852" s="109">
        <f>IF(AE852=1,IF(Y851=MiscData!$F$1,EOMONTH(Y851,-11),EOMONTH(Y851,1)),Y851)</f>
        <v>42369</v>
      </c>
      <c r="Z852" s="108" t="str">
        <f t="shared" si="353"/>
        <v>20140101LGUM_430</v>
      </c>
      <c r="AA852" s="126" t="str">
        <f t="shared" si="354"/>
        <v>20140101RLS</v>
      </c>
      <c r="AB852" s="583" t="str">
        <f t="shared" si="372"/>
        <v>430</v>
      </c>
      <c r="AD852" s="98">
        <f>MiscData!$X$5</f>
        <v>20140101</v>
      </c>
      <c r="AE852" s="98">
        <f>IF(AE851+1&gt;MiscData!$AC$77,1,AE851+1)</f>
        <v>46</v>
      </c>
      <c r="AF852" s="98" t="str">
        <f>VLOOKUP(AE852,MiscData!$AC$5:$AD$77,2,FALSE)</f>
        <v>LGUM_430</v>
      </c>
      <c r="AG852" s="98" t="str">
        <f>VLOOKUP(AF852,MiscData!$AD$5:$AE$77,2,FALSE)</f>
        <v>RLS</v>
      </c>
      <c r="AP852" s="98" t="s">
        <v>194</v>
      </c>
      <c r="AR852" s="98">
        <v>-19.059999999999999</v>
      </c>
    </row>
    <row r="853" spans="1:44">
      <c r="A853" s="108">
        <f t="shared" si="373"/>
        <v>850</v>
      </c>
      <c r="B853" s="109" t="str">
        <f t="shared" si="350"/>
        <v>Dec 2015</v>
      </c>
      <c r="C853" s="110" t="str">
        <f t="shared" si="351"/>
        <v xml:space="preserve">LS </v>
      </c>
      <c r="D853" s="110" t="str">
        <f t="shared" si="352"/>
        <v>LGUM_431</v>
      </c>
      <c r="E853" s="581">
        <f t="shared" si="355"/>
        <v>44</v>
      </c>
      <c r="F853" s="581">
        <f t="shared" si="356"/>
        <v>0</v>
      </c>
      <c r="G853" s="116">
        <f t="shared" si="357"/>
        <v>32.93</v>
      </c>
      <c r="H853" s="116">
        <f t="shared" si="358"/>
        <v>0.75</v>
      </c>
      <c r="I853" s="118">
        <f t="shared" si="368"/>
        <v>1448.92</v>
      </c>
      <c r="J853" s="118">
        <f t="shared" si="359"/>
        <v>1448.92</v>
      </c>
      <c r="K853" s="570">
        <f t="shared" si="369"/>
        <v>0</v>
      </c>
      <c r="L853" s="121">
        <f t="shared" ref="L853:L879" si="374">IF(AND(J853=0,K853=0),1,IF(J853=0,0,K853/J853))</f>
        <v>0</v>
      </c>
      <c r="M853" s="122">
        <f t="shared" si="360"/>
        <v>0</v>
      </c>
      <c r="N853" s="122">
        <f t="shared" si="361"/>
        <v>0</v>
      </c>
      <c r="O853" s="122">
        <f t="shared" si="362"/>
        <v>0</v>
      </c>
      <c r="P853" s="122">
        <f t="shared" si="363"/>
        <v>0</v>
      </c>
      <c r="Q853" s="123">
        <f t="shared" si="364"/>
        <v>1448.92</v>
      </c>
      <c r="R853" s="123">
        <f t="shared" si="370"/>
        <v>-1448.92</v>
      </c>
      <c r="S853" s="582">
        <v>0</v>
      </c>
      <c r="T853" s="123">
        <f t="shared" si="371"/>
        <v>-1448.92</v>
      </c>
      <c r="U853" s="25">
        <f t="shared" si="365"/>
        <v>33</v>
      </c>
      <c r="V853" s="123">
        <f t="shared" si="366"/>
        <v>-33</v>
      </c>
      <c r="W853" s="334">
        <f t="shared" si="367"/>
        <v>11.440000000000001</v>
      </c>
      <c r="Y853" s="109">
        <f>IF(AE853=1,IF(Y852=MiscData!$F$1,EOMONTH(Y852,-11),EOMONTH(Y852,1)),Y852)</f>
        <v>42369</v>
      </c>
      <c r="Z853" s="108" t="str">
        <f t="shared" si="353"/>
        <v>20140101LGUM_431</v>
      </c>
      <c r="AA853" s="126" t="str">
        <f t="shared" si="354"/>
        <v xml:space="preserve">20140101LS </v>
      </c>
      <c r="AB853" s="583" t="str">
        <f t="shared" si="372"/>
        <v>431</v>
      </c>
      <c r="AD853" s="98">
        <f>MiscData!$X$5</f>
        <v>20140101</v>
      </c>
      <c r="AE853" s="98">
        <f>IF(AE852+1&gt;MiscData!$AC$77,1,AE852+1)</f>
        <v>47</v>
      </c>
      <c r="AF853" s="98" t="str">
        <f>VLOOKUP(AE853,MiscData!$AC$5:$AD$77,2,FALSE)</f>
        <v>LGUM_431</v>
      </c>
      <c r="AG853" s="98" t="str">
        <f>VLOOKUP(AF853,MiscData!$AD$5:$AE$77,2,FALSE)</f>
        <v xml:space="preserve">LS </v>
      </c>
      <c r="AP853" s="98" t="s">
        <v>195</v>
      </c>
      <c r="AR853" s="98">
        <v>0</v>
      </c>
    </row>
    <row r="854" spans="1:44">
      <c r="A854" s="108">
        <f t="shared" si="373"/>
        <v>851</v>
      </c>
      <c r="B854" s="109" t="str">
        <f t="shared" si="350"/>
        <v>Dec 2015</v>
      </c>
      <c r="C854" s="110" t="str">
        <f t="shared" si="351"/>
        <v>RLS</v>
      </c>
      <c r="D854" s="110" t="str">
        <f t="shared" si="352"/>
        <v>LGUM_432</v>
      </c>
      <c r="E854" s="581">
        <f t="shared" si="355"/>
        <v>10</v>
      </c>
      <c r="F854" s="581">
        <f t="shared" si="356"/>
        <v>0</v>
      </c>
      <c r="G854" s="116">
        <f t="shared" si="357"/>
        <v>34.330000000000005</v>
      </c>
      <c r="H854" s="116">
        <f t="shared" si="358"/>
        <v>1.0600000000000023</v>
      </c>
      <c r="I854" s="118">
        <f t="shared" si="368"/>
        <v>343.3</v>
      </c>
      <c r="J854" s="118">
        <f t="shared" si="359"/>
        <v>343.3</v>
      </c>
      <c r="K854" s="570">
        <f t="shared" si="369"/>
        <v>0</v>
      </c>
      <c r="L854" s="121">
        <f t="shared" si="374"/>
        <v>0</v>
      </c>
      <c r="M854" s="122">
        <f t="shared" si="360"/>
        <v>0</v>
      </c>
      <c r="N854" s="122">
        <f t="shared" si="361"/>
        <v>0</v>
      </c>
      <c r="O854" s="122">
        <f t="shared" si="362"/>
        <v>0</v>
      </c>
      <c r="P854" s="122">
        <f t="shared" si="363"/>
        <v>0</v>
      </c>
      <c r="Q854" s="123">
        <f t="shared" si="364"/>
        <v>343.3</v>
      </c>
      <c r="R854" s="123">
        <f t="shared" si="370"/>
        <v>-343.3</v>
      </c>
      <c r="S854" s="582">
        <v>0</v>
      </c>
      <c r="T854" s="123">
        <f t="shared" si="371"/>
        <v>-343.3</v>
      </c>
      <c r="U854" s="25">
        <f t="shared" si="365"/>
        <v>10.6</v>
      </c>
      <c r="V854" s="123">
        <f t="shared" si="366"/>
        <v>-10.6</v>
      </c>
      <c r="W854" s="334">
        <f t="shared" si="367"/>
        <v>2.7</v>
      </c>
      <c r="Y854" s="109">
        <f>IF(AE854=1,IF(Y853=MiscData!$F$1,EOMONTH(Y853,-11),EOMONTH(Y853,1)),Y853)</f>
        <v>42369</v>
      </c>
      <c r="Z854" s="108" t="str">
        <f t="shared" si="353"/>
        <v>20140101LGUM_432</v>
      </c>
      <c r="AA854" s="126" t="str">
        <f t="shared" si="354"/>
        <v>20140101RLS</v>
      </c>
      <c r="AB854" s="583" t="str">
        <f t="shared" si="372"/>
        <v>432</v>
      </c>
      <c r="AD854" s="98">
        <f>MiscData!$X$5</f>
        <v>20140101</v>
      </c>
      <c r="AE854" s="98">
        <f>IF(AE853+1&gt;MiscData!$AC$77,1,AE853+1)</f>
        <v>48</v>
      </c>
      <c r="AF854" s="98" t="str">
        <f>VLOOKUP(AE854,MiscData!$AC$5:$AD$77,2,FALSE)</f>
        <v>LGUM_432</v>
      </c>
      <c r="AG854" s="98" t="str">
        <f>VLOOKUP(AF854,MiscData!$AD$5:$AE$77,2,FALSE)</f>
        <v>RLS</v>
      </c>
      <c r="AP854" s="98" t="s">
        <v>196</v>
      </c>
      <c r="AR854" s="98">
        <v>-96.84</v>
      </c>
    </row>
    <row r="855" spans="1:44">
      <c r="A855" s="108">
        <f t="shared" si="373"/>
        <v>852</v>
      </c>
      <c r="B855" s="109" t="str">
        <f t="shared" si="350"/>
        <v>Dec 2015</v>
      </c>
      <c r="C855" s="110" t="str">
        <f t="shared" si="351"/>
        <v xml:space="preserve">LS </v>
      </c>
      <c r="D855" s="110" t="str">
        <f t="shared" si="352"/>
        <v>LGUM_433</v>
      </c>
      <c r="E855" s="581">
        <f t="shared" si="355"/>
        <v>171</v>
      </c>
      <c r="F855" s="581">
        <f t="shared" si="356"/>
        <v>0</v>
      </c>
      <c r="G855" s="116">
        <f t="shared" si="357"/>
        <v>34.99</v>
      </c>
      <c r="H855" s="116">
        <f t="shared" si="358"/>
        <v>1.0600000000000023</v>
      </c>
      <c r="I855" s="118">
        <f t="shared" si="368"/>
        <v>5983.29</v>
      </c>
      <c r="J855" s="118">
        <f t="shared" si="359"/>
        <v>5983.29</v>
      </c>
      <c r="K855" s="570">
        <f t="shared" si="369"/>
        <v>0</v>
      </c>
      <c r="L855" s="121">
        <f t="shared" si="374"/>
        <v>0</v>
      </c>
      <c r="M855" s="122">
        <f t="shared" si="360"/>
        <v>0</v>
      </c>
      <c r="N855" s="122">
        <f t="shared" si="361"/>
        <v>0</v>
      </c>
      <c r="O855" s="122">
        <f t="shared" si="362"/>
        <v>0</v>
      </c>
      <c r="P855" s="122">
        <f t="shared" si="363"/>
        <v>0</v>
      </c>
      <c r="Q855" s="123">
        <f t="shared" si="364"/>
        <v>5983.29</v>
      </c>
      <c r="R855" s="123">
        <f t="shared" si="370"/>
        <v>-5983.29</v>
      </c>
      <c r="S855" s="582">
        <v>0</v>
      </c>
      <c r="T855" s="123">
        <f t="shared" si="371"/>
        <v>-5983.29</v>
      </c>
      <c r="U855" s="25">
        <f t="shared" si="365"/>
        <v>181.26</v>
      </c>
      <c r="V855" s="123">
        <f t="shared" si="366"/>
        <v>-181.26</v>
      </c>
      <c r="W855" s="334">
        <f t="shared" si="367"/>
        <v>46.17</v>
      </c>
      <c r="Y855" s="109">
        <f>IF(AE855=1,IF(Y854=MiscData!$F$1,EOMONTH(Y854,-11),EOMONTH(Y854,1)),Y854)</f>
        <v>42369</v>
      </c>
      <c r="Z855" s="108" t="str">
        <f t="shared" si="353"/>
        <v>20140101LGUM_433</v>
      </c>
      <c r="AA855" s="126" t="str">
        <f t="shared" si="354"/>
        <v xml:space="preserve">20140101LS </v>
      </c>
      <c r="AB855" s="583" t="str">
        <f t="shared" si="372"/>
        <v>433</v>
      </c>
      <c r="AD855" s="98">
        <f>MiscData!$X$5</f>
        <v>20140101</v>
      </c>
      <c r="AE855" s="98">
        <f>IF(AE854+1&gt;MiscData!$AC$77,1,AE854+1)</f>
        <v>49</v>
      </c>
      <c r="AF855" s="98" t="str">
        <f>VLOOKUP(AE855,MiscData!$AC$5:$AD$77,2,FALSE)</f>
        <v>LGUM_433</v>
      </c>
      <c r="AG855" s="98" t="str">
        <f>VLOOKUP(AF855,MiscData!$AD$5:$AE$77,2,FALSE)</f>
        <v xml:space="preserve">LS </v>
      </c>
      <c r="AP855" s="98" t="s">
        <v>197</v>
      </c>
      <c r="AR855" s="98">
        <v>-215.13</v>
      </c>
    </row>
    <row r="856" spans="1:44">
      <c r="A856" s="108">
        <f>A843+1</f>
        <v>841</v>
      </c>
      <c r="B856" s="109" t="str">
        <f t="shared" ref="B856:B857" si="375">TEXT(Y856,"mmm yyyy")</f>
        <v>Dec 2015</v>
      </c>
      <c r="C856" s="110" t="str">
        <f t="shared" ref="C856:C857" si="376">AG856</f>
        <v xml:space="preserve">LS </v>
      </c>
      <c r="D856" s="110" t="str">
        <f t="shared" ref="D856:D857" si="377">AF856</f>
        <v>LGUM_439</v>
      </c>
      <c r="E856" s="581">
        <f t="shared" si="355"/>
        <v>0</v>
      </c>
      <c r="F856" s="581">
        <f t="shared" si="356"/>
        <v>0</v>
      </c>
      <c r="G856" s="116">
        <f t="shared" si="357"/>
        <v>16.459999999999997</v>
      </c>
      <c r="H856" s="116">
        <f t="shared" si="358"/>
        <v>1.6499999999999986</v>
      </c>
      <c r="I856" s="118">
        <f t="shared" si="368"/>
        <v>0</v>
      </c>
      <c r="J856" s="118">
        <f t="shared" si="359"/>
        <v>0</v>
      </c>
      <c r="K856" s="570">
        <f t="shared" si="369"/>
        <v>0</v>
      </c>
      <c r="L856" s="121">
        <f t="shared" ref="L856:L857" si="378">IF(AND(J856=0,K856=0),1,IF(J856=0,0,K856/J856))</f>
        <v>1</v>
      </c>
      <c r="M856" s="122">
        <f t="shared" si="360"/>
        <v>0</v>
      </c>
      <c r="N856" s="122">
        <f t="shared" si="361"/>
        <v>0</v>
      </c>
      <c r="O856" s="122">
        <f t="shared" si="362"/>
        <v>0</v>
      </c>
      <c r="P856" s="122">
        <f t="shared" si="363"/>
        <v>0</v>
      </c>
      <c r="Q856" s="123">
        <f t="shared" ref="Q856:Q857" si="379">SUM(J856,M856:O856)</f>
        <v>0</v>
      </c>
      <c r="R856" s="123">
        <f t="shared" ref="R856:R857" si="380">ROUND(P856-Q856,2)</f>
        <v>0</v>
      </c>
      <c r="S856" s="582">
        <v>0</v>
      </c>
      <c r="T856" s="123">
        <f t="shared" ref="T856:T857" si="381">R856-S856</f>
        <v>0</v>
      </c>
      <c r="U856" s="25">
        <f t="shared" si="365"/>
        <v>0</v>
      </c>
      <c r="V856" s="123">
        <f t="shared" ref="V856:V857" si="382">K856-U856</f>
        <v>0</v>
      </c>
      <c r="W856" s="334">
        <f t="shared" si="367"/>
        <v>0</v>
      </c>
      <c r="Y856" s="109">
        <f>IF(AE856=1,IF(Y843=MiscData!$F$1,EOMONTH(Y843,-11),EOMONTH(Y843,1)),Y843)</f>
        <v>42369</v>
      </c>
      <c r="Z856" s="108" t="str">
        <f t="shared" ref="Z856:Z857" si="383">CONCATENATE(AD856&amp;AF856)</f>
        <v>20140101LGUM_439</v>
      </c>
      <c r="AA856" s="126" t="str">
        <f t="shared" ref="AA856:AA857" si="384">CONCATENATE(AD856&amp;AG856)</f>
        <v xml:space="preserve">20140101LS </v>
      </c>
      <c r="AB856" s="583" t="str">
        <f t="shared" ref="AB856:AB857" si="385">RIGHT(AF856,3)</f>
        <v>439</v>
      </c>
      <c r="AD856" s="98">
        <f>MiscData!$X$5</f>
        <v>20140101</v>
      </c>
      <c r="AE856" s="98">
        <f>IF(AE855+1&gt;MiscData!$AC$77,1,AE855+1)</f>
        <v>50</v>
      </c>
      <c r="AF856" s="98" t="str">
        <f>VLOOKUP(AE856,MiscData!$AC$5:$AD$77,2,FALSE)</f>
        <v>LGUM_439</v>
      </c>
      <c r="AG856" s="98" t="str">
        <f>VLOOKUP(AF856,MiscData!$AD$5:$AE$77,2,FALSE)</f>
        <v xml:space="preserve">LS </v>
      </c>
      <c r="AP856" s="98" t="s">
        <v>198</v>
      </c>
      <c r="AR856" s="98">
        <v>0</v>
      </c>
    </row>
    <row r="857" spans="1:44">
      <c r="A857" s="108">
        <f t="shared" si="373"/>
        <v>842</v>
      </c>
      <c r="B857" s="109" t="str">
        <f t="shared" si="375"/>
        <v>Dec 2015</v>
      </c>
      <c r="C857" s="110" t="str">
        <f t="shared" si="376"/>
        <v xml:space="preserve">LS </v>
      </c>
      <c r="D857" s="110" t="str">
        <f t="shared" si="377"/>
        <v>LGUM_440</v>
      </c>
      <c r="E857" s="581">
        <f t="shared" si="355"/>
        <v>2</v>
      </c>
      <c r="F857" s="581">
        <f t="shared" si="356"/>
        <v>0</v>
      </c>
      <c r="G857" s="116">
        <f t="shared" si="357"/>
        <v>18.279999999999998</v>
      </c>
      <c r="H857" s="116">
        <f t="shared" si="358"/>
        <v>2.67</v>
      </c>
      <c r="I857" s="118">
        <f t="shared" si="368"/>
        <v>36.56</v>
      </c>
      <c r="J857" s="118">
        <f t="shared" si="359"/>
        <v>36.56</v>
      </c>
      <c r="K857" s="570">
        <f t="shared" si="369"/>
        <v>0</v>
      </c>
      <c r="L857" s="121">
        <f t="shared" si="378"/>
        <v>0</v>
      </c>
      <c r="M857" s="122">
        <f t="shared" si="360"/>
        <v>0</v>
      </c>
      <c r="N857" s="122">
        <f t="shared" si="361"/>
        <v>0</v>
      </c>
      <c r="O857" s="122">
        <f t="shared" si="362"/>
        <v>0</v>
      </c>
      <c r="P857" s="122">
        <f t="shared" si="363"/>
        <v>0</v>
      </c>
      <c r="Q857" s="123">
        <f t="shared" si="379"/>
        <v>36.56</v>
      </c>
      <c r="R857" s="123">
        <f t="shared" si="380"/>
        <v>-36.56</v>
      </c>
      <c r="S857" s="582">
        <v>0</v>
      </c>
      <c r="T857" s="123">
        <f t="shared" si="381"/>
        <v>-36.56</v>
      </c>
      <c r="U857" s="25">
        <f t="shared" si="365"/>
        <v>5.34</v>
      </c>
      <c r="V857" s="123">
        <f t="shared" si="382"/>
        <v>-5.34</v>
      </c>
      <c r="W857" s="334">
        <f t="shared" si="367"/>
        <v>0.54</v>
      </c>
      <c r="Y857" s="109">
        <f>IF(AE857=1,IF(Y856=MiscData!$F$1,EOMONTH(Y856,-11),EOMONTH(Y856,1)),Y856)</f>
        <v>42369</v>
      </c>
      <c r="Z857" s="108" t="str">
        <f t="shared" si="383"/>
        <v>20140101LGUM_440</v>
      </c>
      <c r="AA857" s="126" t="str">
        <f t="shared" si="384"/>
        <v xml:space="preserve">20140101LS </v>
      </c>
      <c r="AB857" s="583" t="str">
        <f t="shared" si="385"/>
        <v>440</v>
      </c>
      <c r="AD857" s="98">
        <f>MiscData!$X$5</f>
        <v>20140101</v>
      </c>
      <c r="AE857" s="98">
        <f>IF(AE856+1&gt;MiscData!$AC$77,1,AE856+1)</f>
        <v>51</v>
      </c>
      <c r="AF857" s="98" t="str">
        <f>VLOOKUP(AE857,MiscData!$AC$5:$AD$77,2,FALSE)</f>
        <v>LGUM_440</v>
      </c>
      <c r="AG857" s="98" t="str">
        <f>VLOOKUP(AF857,MiscData!$AD$5:$AE$77,2,FALSE)</f>
        <v xml:space="preserve">LS </v>
      </c>
      <c r="AP857" s="98" t="s">
        <v>199</v>
      </c>
      <c r="AR857" s="98">
        <v>-126</v>
      </c>
    </row>
    <row r="858" spans="1:44">
      <c r="A858" s="108">
        <f>A845+1</f>
        <v>843</v>
      </c>
      <c r="B858" s="109" t="str">
        <f t="shared" si="350"/>
        <v>Dec 2015</v>
      </c>
      <c r="C858" s="110" t="str">
        <f t="shared" si="351"/>
        <v xml:space="preserve">LS </v>
      </c>
      <c r="D858" s="110" t="str">
        <f t="shared" si="352"/>
        <v>LGUM_441</v>
      </c>
      <c r="E858" s="581">
        <f t="shared" si="355"/>
        <v>13</v>
      </c>
      <c r="F858" s="581">
        <f t="shared" si="356"/>
        <v>0</v>
      </c>
      <c r="G858" s="116">
        <f t="shared" si="357"/>
        <v>22.32</v>
      </c>
      <c r="H858" s="116">
        <f t="shared" si="358"/>
        <v>4.2800000000000011</v>
      </c>
      <c r="I858" s="118">
        <f t="shared" si="368"/>
        <v>290.16000000000003</v>
      </c>
      <c r="J858" s="118">
        <f t="shared" si="359"/>
        <v>290.16000000000003</v>
      </c>
      <c r="K858" s="570">
        <f t="shared" si="369"/>
        <v>0</v>
      </c>
      <c r="L858" s="121">
        <f t="shared" si="374"/>
        <v>0</v>
      </c>
      <c r="M858" s="122">
        <f t="shared" si="360"/>
        <v>0</v>
      </c>
      <c r="N858" s="122">
        <f t="shared" si="361"/>
        <v>0</v>
      </c>
      <c r="O858" s="122">
        <f t="shared" si="362"/>
        <v>0</v>
      </c>
      <c r="P858" s="122">
        <f t="shared" si="363"/>
        <v>0</v>
      </c>
      <c r="Q858" s="123">
        <f t="shared" si="364"/>
        <v>290.16000000000003</v>
      </c>
      <c r="R858" s="123">
        <f t="shared" si="370"/>
        <v>-290.16000000000003</v>
      </c>
      <c r="S858" s="582">
        <v>0</v>
      </c>
      <c r="T858" s="123">
        <f t="shared" si="371"/>
        <v>-290.16000000000003</v>
      </c>
      <c r="U858" s="25">
        <f t="shared" si="365"/>
        <v>55.64</v>
      </c>
      <c r="V858" s="123">
        <f t="shared" si="366"/>
        <v>-55.64</v>
      </c>
      <c r="W858" s="334">
        <f t="shared" si="367"/>
        <v>3.7699999999999996</v>
      </c>
      <c r="Y858" s="109">
        <f>IF(AE858=1,IF(Y845=MiscData!$F$1,EOMONTH(Y845,-11),EOMONTH(Y845,1)),Y845)</f>
        <v>42369</v>
      </c>
      <c r="Z858" s="108" t="str">
        <f t="shared" si="353"/>
        <v>20140101LGUM_441</v>
      </c>
      <c r="AA858" s="126" t="str">
        <f t="shared" si="354"/>
        <v xml:space="preserve">20140101LS </v>
      </c>
      <c r="AB858" s="583" t="str">
        <f t="shared" si="372"/>
        <v>441</v>
      </c>
      <c r="AD858" s="98">
        <f>MiscData!$X$5</f>
        <v>20140101</v>
      </c>
      <c r="AE858" s="98">
        <f>IF(AE857+1&gt;MiscData!$AC$77,1,AE857+1)</f>
        <v>52</v>
      </c>
      <c r="AF858" s="98" t="str">
        <f>VLOOKUP(AE858,MiscData!$AC$5:$AD$77,2,FALSE)</f>
        <v>LGUM_441</v>
      </c>
      <c r="AG858" s="98" t="str">
        <f>VLOOKUP(AF858,MiscData!$AD$5:$AE$77,2,FALSE)</f>
        <v xml:space="preserve">LS </v>
      </c>
      <c r="AP858" s="98" t="s">
        <v>198</v>
      </c>
      <c r="AR858" s="98">
        <v>0</v>
      </c>
    </row>
    <row r="859" spans="1:44">
      <c r="A859" s="108">
        <f t="shared" si="373"/>
        <v>844</v>
      </c>
      <c r="B859" s="109" t="str">
        <f t="shared" si="350"/>
        <v>Dec 2015</v>
      </c>
      <c r="C859" s="110" t="str">
        <f t="shared" si="351"/>
        <v xml:space="preserve">LS </v>
      </c>
      <c r="D859" s="110" t="str">
        <f t="shared" si="352"/>
        <v>LGUM_452</v>
      </c>
      <c r="E859" s="581">
        <f t="shared" si="355"/>
        <v>6238</v>
      </c>
      <c r="F859" s="581">
        <f t="shared" si="356"/>
        <v>0</v>
      </c>
      <c r="G859" s="116">
        <f t="shared" si="357"/>
        <v>12.82</v>
      </c>
      <c r="H859" s="116">
        <f t="shared" si="358"/>
        <v>1.6500000000000004</v>
      </c>
      <c r="I859" s="118">
        <f t="shared" si="368"/>
        <v>79971.16</v>
      </c>
      <c r="J859" s="118">
        <f t="shared" si="359"/>
        <v>79971.16</v>
      </c>
      <c r="K859" s="570">
        <f t="shared" si="369"/>
        <v>0</v>
      </c>
      <c r="L859" s="121">
        <f t="shared" si="374"/>
        <v>0</v>
      </c>
      <c r="M859" s="122">
        <f t="shared" si="360"/>
        <v>0</v>
      </c>
      <c r="N859" s="122">
        <f t="shared" si="361"/>
        <v>0</v>
      </c>
      <c r="O859" s="122">
        <f t="shared" si="362"/>
        <v>0</v>
      </c>
      <c r="P859" s="122">
        <f t="shared" si="363"/>
        <v>0</v>
      </c>
      <c r="Q859" s="123">
        <f t="shared" si="364"/>
        <v>79971.16</v>
      </c>
      <c r="R859" s="123">
        <f t="shared" si="370"/>
        <v>-79971.16</v>
      </c>
      <c r="S859" s="582">
        <v>0</v>
      </c>
      <c r="T859" s="123">
        <f t="shared" si="371"/>
        <v>-79971.16</v>
      </c>
      <c r="U859" s="25">
        <f t="shared" si="365"/>
        <v>10292.700000000001</v>
      </c>
      <c r="V859" s="123">
        <f t="shared" si="366"/>
        <v>-10292.700000000001</v>
      </c>
      <c r="W859" s="334">
        <f t="shared" si="367"/>
        <v>1497.12</v>
      </c>
      <c r="Y859" s="109">
        <f>IF(AE859=1,IF(Y858=MiscData!$F$1,EOMONTH(Y858,-11),EOMONTH(Y858,1)),Y858)</f>
        <v>42369</v>
      </c>
      <c r="Z859" s="108" t="str">
        <f t="shared" si="353"/>
        <v>20140101LGUM_452</v>
      </c>
      <c r="AA859" s="126" t="str">
        <f t="shared" si="354"/>
        <v xml:space="preserve">20140101LS </v>
      </c>
      <c r="AB859" s="583" t="str">
        <f t="shared" si="372"/>
        <v>452</v>
      </c>
      <c r="AD859" s="98">
        <f>MiscData!$X$5</f>
        <v>20140101</v>
      </c>
      <c r="AE859" s="98">
        <f>IF(AE858+1&gt;MiscData!$AC$77,1,AE858+1)</f>
        <v>53</v>
      </c>
      <c r="AF859" s="98" t="str">
        <f>VLOOKUP(AE859,MiscData!$AC$5:$AD$77,2,FALSE)</f>
        <v>LGUM_452</v>
      </c>
      <c r="AG859" s="98" t="str">
        <f>VLOOKUP(AF859,MiscData!$AD$5:$AE$77,2,FALSE)</f>
        <v xml:space="preserve">LS </v>
      </c>
      <c r="AP859" s="98" t="s">
        <v>199</v>
      </c>
      <c r="AR859" s="98">
        <v>-126</v>
      </c>
    </row>
    <row r="860" spans="1:44">
      <c r="A860" s="108">
        <f t="shared" si="373"/>
        <v>845</v>
      </c>
      <c r="B860" s="109" t="str">
        <f t="shared" si="350"/>
        <v>Dec 2015</v>
      </c>
      <c r="C860" s="110" t="str">
        <f t="shared" si="351"/>
        <v xml:space="preserve">LS </v>
      </c>
      <c r="D860" s="110" t="str">
        <f t="shared" si="352"/>
        <v>LGUM_453</v>
      </c>
      <c r="E860" s="581">
        <f t="shared" si="355"/>
        <v>8008</v>
      </c>
      <c r="F860" s="581">
        <f t="shared" si="356"/>
        <v>0</v>
      </c>
      <c r="G860" s="116">
        <f t="shared" si="357"/>
        <v>15.08</v>
      </c>
      <c r="H860" s="116">
        <f t="shared" si="358"/>
        <v>3.9800000000000004</v>
      </c>
      <c r="I860" s="118">
        <f t="shared" si="368"/>
        <v>120760.64</v>
      </c>
      <c r="J860" s="118">
        <f t="shared" si="359"/>
        <v>120760.64</v>
      </c>
      <c r="K860" s="570">
        <f t="shared" si="369"/>
        <v>0</v>
      </c>
      <c r="L860" s="121">
        <f t="shared" si="374"/>
        <v>0</v>
      </c>
      <c r="M860" s="122">
        <f t="shared" si="360"/>
        <v>0</v>
      </c>
      <c r="N860" s="122">
        <f t="shared" si="361"/>
        <v>0</v>
      </c>
      <c r="O860" s="122">
        <f t="shared" si="362"/>
        <v>0</v>
      </c>
      <c r="P860" s="122">
        <f t="shared" si="363"/>
        <v>0</v>
      </c>
      <c r="Q860" s="123">
        <f t="shared" si="364"/>
        <v>120760.64</v>
      </c>
      <c r="R860" s="123">
        <f t="shared" si="370"/>
        <v>-120760.64</v>
      </c>
      <c r="S860" s="582">
        <v>0</v>
      </c>
      <c r="T860" s="123">
        <f t="shared" si="371"/>
        <v>-120760.64</v>
      </c>
      <c r="U860" s="25">
        <f t="shared" si="365"/>
        <v>31871.84</v>
      </c>
      <c r="V860" s="123">
        <f t="shared" si="366"/>
        <v>-31871.84</v>
      </c>
      <c r="W860" s="334">
        <f t="shared" si="367"/>
        <v>2162.1600000000003</v>
      </c>
      <c r="Y860" s="109">
        <f>IF(AE860=1,IF(Y859=MiscData!$F$1,EOMONTH(Y859,-11),EOMONTH(Y859,1)),Y859)</f>
        <v>42369</v>
      </c>
      <c r="Z860" s="108" t="str">
        <f t="shared" si="353"/>
        <v>20140101LGUM_453</v>
      </c>
      <c r="AA860" s="126" t="str">
        <f t="shared" si="354"/>
        <v xml:space="preserve">20140101LS </v>
      </c>
      <c r="AB860" s="583" t="str">
        <f t="shared" si="372"/>
        <v>453</v>
      </c>
      <c r="AD860" s="98">
        <f>MiscData!$X$5</f>
        <v>20140101</v>
      </c>
      <c r="AE860" s="98">
        <f>IF(AE859+1&gt;MiscData!$AC$77,1,AE859+1)</f>
        <v>54</v>
      </c>
      <c r="AF860" s="98" t="str">
        <f>VLOOKUP(AE860,MiscData!$AC$5:$AD$77,2,FALSE)</f>
        <v>LGUM_453</v>
      </c>
      <c r="AG860" s="98" t="str">
        <f>VLOOKUP(AF860,MiscData!$AD$5:$AE$77,2,FALSE)</f>
        <v xml:space="preserve">LS </v>
      </c>
      <c r="AP860" s="98" t="s">
        <v>200</v>
      </c>
      <c r="AR860" s="98">
        <v>-6.67</v>
      </c>
    </row>
    <row r="861" spans="1:44">
      <c r="A861" s="108">
        <f t="shared" si="373"/>
        <v>846</v>
      </c>
      <c r="B861" s="109" t="str">
        <f t="shared" si="350"/>
        <v>Dec 2015</v>
      </c>
      <c r="C861" s="110" t="str">
        <f t="shared" si="351"/>
        <v xml:space="preserve">LS </v>
      </c>
      <c r="D861" s="110" t="str">
        <f t="shared" si="352"/>
        <v>LGUM_454</v>
      </c>
      <c r="E861" s="581">
        <f t="shared" si="355"/>
        <v>5508</v>
      </c>
      <c r="F861" s="581">
        <f t="shared" si="356"/>
        <v>0</v>
      </c>
      <c r="G861" s="116">
        <f t="shared" si="357"/>
        <v>17.38</v>
      </c>
      <c r="H861" s="116">
        <f t="shared" si="358"/>
        <v>4.2800000000000011</v>
      </c>
      <c r="I861" s="118">
        <f t="shared" si="368"/>
        <v>95729.04</v>
      </c>
      <c r="J861" s="118">
        <f t="shared" si="359"/>
        <v>95729.04</v>
      </c>
      <c r="K861" s="570">
        <f t="shared" si="369"/>
        <v>0</v>
      </c>
      <c r="L861" s="121">
        <f t="shared" si="374"/>
        <v>0</v>
      </c>
      <c r="M861" s="122">
        <f t="shared" si="360"/>
        <v>0</v>
      </c>
      <c r="N861" s="122">
        <f t="shared" si="361"/>
        <v>0</v>
      </c>
      <c r="O861" s="122">
        <f t="shared" si="362"/>
        <v>0</v>
      </c>
      <c r="P861" s="122">
        <f t="shared" si="363"/>
        <v>0</v>
      </c>
      <c r="Q861" s="123">
        <f t="shared" si="364"/>
        <v>95729.04</v>
      </c>
      <c r="R861" s="123">
        <f t="shared" si="370"/>
        <v>-95729.04</v>
      </c>
      <c r="S861" s="582">
        <v>0</v>
      </c>
      <c r="T861" s="123">
        <f t="shared" si="371"/>
        <v>-95729.04</v>
      </c>
      <c r="U861" s="25">
        <f t="shared" si="365"/>
        <v>23574.240000000002</v>
      </c>
      <c r="V861" s="123">
        <f t="shared" si="366"/>
        <v>-23574.240000000002</v>
      </c>
      <c r="W861" s="334">
        <f t="shared" si="367"/>
        <v>1597.32</v>
      </c>
      <c r="Y861" s="109">
        <f>IF(AE861=1,IF(Y860=MiscData!$F$1,EOMONTH(Y860,-11),EOMONTH(Y860,1)),Y860)</f>
        <v>42369</v>
      </c>
      <c r="Z861" s="108" t="str">
        <f t="shared" si="353"/>
        <v>20140101LGUM_454</v>
      </c>
      <c r="AA861" s="126" t="str">
        <f t="shared" si="354"/>
        <v xml:space="preserve">20140101LS </v>
      </c>
      <c r="AB861" s="583" t="str">
        <f t="shared" si="372"/>
        <v>454</v>
      </c>
      <c r="AD861" s="98">
        <f>MiscData!$X$5</f>
        <v>20140101</v>
      </c>
      <c r="AE861" s="98">
        <f>IF(AE860+1&gt;MiscData!$AC$77,1,AE860+1)</f>
        <v>55</v>
      </c>
      <c r="AF861" s="98" t="str">
        <f>VLOOKUP(AE861,MiscData!$AC$5:$AD$77,2,FALSE)</f>
        <v>LGUM_454</v>
      </c>
      <c r="AG861" s="98" t="str">
        <f>VLOOKUP(AF861,MiscData!$AD$5:$AE$77,2,FALSE)</f>
        <v xml:space="preserve">LS </v>
      </c>
      <c r="AP861" s="98" t="s">
        <v>201</v>
      </c>
      <c r="AR861" s="98">
        <v>-5.74</v>
      </c>
    </row>
    <row r="862" spans="1:44">
      <c r="A862" s="108">
        <f t="shared" si="373"/>
        <v>847</v>
      </c>
      <c r="B862" s="109" t="str">
        <f t="shared" si="350"/>
        <v>Dec 2015</v>
      </c>
      <c r="C862" s="110" t="str">
        <f t="shared" si="351"/>
        <v xml:space="preserve">LS </v>
      </c>
      <c r="D862" s="110" t="str">
        <f t="shared" si="352"/>
        <v>LGUM_455</v>
      </c>
      <c r="E862" s="581">
        <f t="shared" si="355"/>
        <v>405</v>
      </c>
      <c r="F862" s="581">
        <f t="shared" si="356"/>
        <v>0</v>
      </c>
      <c r="G862" s="116">
        <f t="shared" si="357"/>
        <v>13.77</v>
      </c>
      <c r="H862" s="116">
        <f t="shared" si="358"/>
        <v>1.6499999999999986</v>
      </c>
      <c r="I862" s="118">
        <f t="shared" si="368"/>
        <v>5576.85</v>
      </c>
      <c r="J862" s="118">
        <f t="shared" si="359"/>
        <v>5576.85</v>
      </c>
      <c r="K862" s="570">
        <f t="shared" si="369"/>
        <v>0</v>
      </c>
      <c r="L862" s="121">
        <f t="shared" si="374"/>
        <v>0</v>
      </c>
      <c r="M862" s="122">
        <f t="shared" si="360"/>
        <v>0</v>
      </c>
      <c r="N862" s="122">
        <f t="shared" si="361"/>
        <v>0</v>
      </c>
      <c r="O862" s="122">
        <f t="shared" si="362"/>
        <v>0</v>
      </c>
      <c r="P862" s="122">
        <f t="shared" si="363"/>
        <v>0</v>
      </c>
      <c r="Q862" s="123">
        <f t="shared" si="364"/>
        <v>5576.85</v>
      </c>
      <c r="R862" s="123">
        <f t="shared" si="370"/>
        <v>-5576.85</v>
      </c>
      <c r="S862" s="582">
        <v>0</v>
      </c>
      <c r="T862" s="123">
        <f t="shared" si="371"/>
        <v>-5576.85</v>
      </c>
      <c r="U862" s="25">
        <f t="shared" si="365"/>
        <v>668.25</v>
      </c>
      <c r="V862" s="123">
        <f t="shared" si="366"/>
        <v>-668.25</v>
      </c>
      <c r="W862" s="334">
        <f t="shared" si="367"/>
        <v>97.2</v>
      </c>
      <c r="Y862" s="109">
        <f>IF(AE862=1,IF(Y861=MiscData!$F$1,EOMONTH(Y861,-11),EOMONTH(Y861,1)),Y861)</f>
        <v>42369</v>
      </c>
      <c r="Z862" s="108" t="str">
        <f t="shared" si="353"/>
        <v>20140101LGUM_455</v>
      </c>
      <c r="AA862" s="126" t="str">
        <f t="shared" si="354"/>
        <v xml:space="preserve">20140101LS </v>
      </c>
      <c r="AB862" s="583" t="str">
        <f t="shared" si="372"/>
        <v>455</v>
      </c>
      <c r="AD862" s="98">
        <f>MiscData!$X$5</f>
        <v>20140101</v>
      </c>
      <c r="AE862" s="98">
        <f>IF(AE861+1&gt;MiscData!$AC$77,1,AE861+1)</f>
        <v>56</v>
      </c>
      <c r="AF862" s="98" t="str">
        <f>VLOOKUP(AE862,MiscData!$AC$5:$AD$77,2,FALSE)</f>
        <v>LGUM_455</v>
      </c>
      <c r="AG862" s="98" t="str">
        <f>VLOOKUP(AF862,MiscData!$AD$5:$AE$77,2,FALSE)</f>
        <v xml:space="preserve">LS </v>
      </c>
      <c r="AP862" s="98" t="s">
        <v>202</v>
      </c>
      <c r="AR862" s="98">
        <v>-68.48</v>
      </c>
    </row>
    <row r="863" spans="1:44">
      <c r="A863" s="108">
        <f>A850+1</f>
        <v>848</v>
      </c>
      <c r="B863" s="109" t="str">
        <f t="shared" ref="B863:B867" si="386">TEXT(Y863,"mmm yyyy")</f>
        <v>Dec 2015</v>
      </c>
      <c r="C863" s="110" t="str">
        <f t="shared" ref="C863:C867" si="387">AG863</f>
        <v xml:space="preserve">LS </v>
      </c>
      <c r="D863" s="110" t="str">
        <f t="shared" ref="D863:D867" si="388">AF863</f>
        <v>LGUM_456</v>
      </c>
      <c r="E863" s="581">
        <f t="shared" si="355"/>
        <v>12694</v>
      </c>
      <c r="F863" s="581">
        <f t="shared" si="356"/>
        <v>0</v>
      </c>
      <c r="G863" s="116">
        <f t="shared" si="357"/>
        <v>18.21</v>
      </c>
      <c r="H863" s="116">
        <f t="shared" si="358"/>
        <v>4.2800000000000011</v>
      </c>
      <c r="I863" s="118">
        <f t="shared" si="368"/>
        <v>231157.74</v>
      </c>
      <c r="J863" s="118">
        <f t="shared" si="359"/>
        <v>231157.74</v>
      </c>
      <c r="K863" s="570">
        <f t="shared" si="369"/>
        <v>0</v>
      </c>
      <c r="L863" s="121">
        <f t="shared" ref="L863:L867" si="389">IF(AND(J863=0,K863=0),1,IF(J863=0,0,K863/J863))</f>
        <v>0</v>
      </c>
      <c r="M863" s="122">
        <f t="shared" si="360"/>
        <v>0</v>
      </c>
      <c r="N863" s="122">
        <f t="shared" si="361"/>
        <v>0</v>
      </c>
      <c r="O863" s="122">
        <f t="shared" si="362"/>
        <v>0</v>
      </c>
      <c r="P863" s="122">
        <f t="shared" si="363"/>
        <v>0</v>
      </c>
      <c r="Q863" s="123">
        <f t="shared" ref="Q863:Q867" si="390">SUM(J863,M863:O863)</f>
        <v>231157.74</v>
      </c>
      <c r="R863" s="123">
        <f t="shared" ref="R863:R867" si="391">ROUND(P863-Q863,2)</f>
        <v>-231157.74</v>
      </c>
      <c r="S863" s="582">
        <v>0</v>
      </c>
      <c r="T863" s="123">
        <f t="shared" ref="T863:T867" si="392">R863-S863</f>
        <v>-231157.74</v>
      </c>
      <c r="U863" s="25">
        <f t="shared" si="365"/>
        <v>54330.32</v>
      </c>
      <c r="V863" s="123">
        <f t="shared" ref="V863:V867" si="393">K863-U863</f>
        <v>-54330.32</v>
      </c>
      <c r="W863" s="334">
        <f t="shared" si="367"/>
        <v>3681.2599999999998</v>
      </c>
      <c r="Y863" s="109">
        <f>IF(AE863=1,IF(Y850=MiscData!$F$1,EOMONTH(Y850,-11),EOMONTH(Y850,1)),Y850)</f>
        <v>42369</v>
      </c>
      <c r="Z863" s="108" t="str">
        <f t="shared" ref="Z863:Z867" si="394">CONCATENATE(AD863&amp;AF863)</f>
        <v>20140101LGUM_456</v>
      </c>
      <c r="AA863" s="126" t="str">
        <f t="shared" ref="AA863:AA867" si="395">CONCATENATE(AD863&amp;AG863)</f>
        <v xml:space="preserve">20140101LS </v>
      </c>
      <c r="AB863" s="583" t="str">
        <f t="shared" ref="AB863:AB867" si="396">RIGHT(AF863,3)</f>
        <v>456</v>
      </c>
      <c r="AD863" s="98">
        <f>MiscData!$X$5</f>
        <v>20140101</v>
      </c>
      <c r="AE863" s="98">
        <f>IF(AE862+1&gt;MiscData!$AC$77,1,AE862+1)</f>
        <v>57</v>
      </c>
      <c r="AF863" s="98" t="str">
        <f>VLOOKUP(AE863,MiscData!$AC$5:$AD$77,2,FALSE)</f>
        <v>LGUM_456</v>
      </c>
      <c r="AG863" s="98" t="str">
        <f>VLOOKUP(AF863,MiscData!$AD$5:$AE$77,2,FALSE)</f>
        <v xml:space="preserve">LS </v>
      </c>
      <c r="AP863" s="98" t="s">
        <v>198</v>
      </c>
      <c r="AR863" s="98">
        <v>0</v>
      </c>
    </row>
    <row r="864" spans="1:44">
      <c r="A864" s="108">
        <f t="shared" si="373"/>
        <v>849</v>
      </c>
      <c r="B864" s="109" t="str">
        <f t="shared" si="386"/>
        <v>Dec 2015</v>
      </c>
      <c r="C864" s="110" t="str">
        <f t="shared" si="387"/>
        <v xml:space="preserve">LS </v>
      </c>
      <c r="D864" s="110" t="str">
        <f t="shared" si="388"/>
        <v>LGUM_457</v>
      </c>
      <c r="E864" s="581">
        <f t="shared" si="355"/>
        <v>3189</v>
      </c>
      <c r="F864" s="581">
        <f t="shared" si="356"/>
        <v>0</v>
      </c>
      <c r="G864" s="116">
        <f t="shared" si="357"/>
        <v>10.86</v>
      </c>
      <c r="H864" s="116">
        <f t="shared" si="358"/>
        <v>1.0599999999999987</v>
      </c>
      <c r="I864" s="118">
        <f t="shared" si="368"/>
        <v>34632.54</v>
      </c>
      <c r="J864" s="118">
        <f t="shared" si="359"/>
        <v>34632.54</v>
      </c>
      <c r="K864" s="570">
        <f t="shared" si="369"/>
        <v>0</v>
      </c>
      <c r="L864" s="121">
        <f t="shared" si="389"/>
        <v>0</v>
      </c>
      <c r="M864" s="122">
        <f t="shared" si="360"/>
        <v>0</v>
      </c>
      <c r="N864" s="122">
        <f t="shared" si="361"/>
        <v>0</v>
      </c>
      <c r="O864" s="122">
        <f t="shared" si="362"/>
        <v>0</v>
      </c>
      <c r="P864" s="122">
        <f t="shared" si="363"/>
        <v>0</v>
      </c>
      <c r="Q864" s="123">
        <f t="shared" si="390"/>
        <v>34632.54</v>
      </c>
      <c r="R864" s="123">
        <f t="shared" si="391"/>
        <v>-34632.54</v>
      </c>
      <c r="S864" s="582">
        <v>0</v>
      </c>
      <c r="T864" s="123">
        <f t="shared" si="392"/>
        <v>-34632.54</v>
      </c>
      <c r="U864" s="25">
        <f t="shared" si="365"/>
        <v>3380.34</v>
      </c>
      <c r="V864" s="123">
        <f t="shared" si="393"/>
        <v>-3380.34</v>
      </c>
      <c r="W864" s="334">
        <f t="shared" si="367"/>
        <v>861.03000000000009</v>
      </c>
      <c r="Y864" s="109">
        <f>IF(AE864=1,IF(Y863=MiscData!$F$1,EOMONTH(Y863,-11),EOMONTH(Y863,1)),Y863)</f>
        <v>42369</v>
      </c>
      <c r="Z864" s="108" t="str">
        <f t="shared" si="394"/>
        <v>20140101LGUM_457</v>
      </c>
      <c r="AA864" s="126" t="str">
        <f t="shared" si="395"/>
        <v xml:space="preserve">20140101LS </v>
      </c>
      <c r="AB864" s="583" t="str">
        <f t="shared" si="396"/>
        <v>457</v>
      </c>
      <c r="AD864" s="98">
        <f>MiscData!$X$5</f>
        <v>20140101</v>
      </c>
      <c r="AE864" s="98">
        <f>IF(AE863+1&gt;MiscData!$AC$77,1,AE863+1)</f>
        <v>58</v>
      </c>
      <c r="AF864" s="98" t="str">
        <f>VLOOKUP(AE864,MiscData!$AC$5:$AD$77,2,FALSE)</f>
        <v>LGUM_457</v>
      </c>
      <c r="AG864" s="98" t="str">
        <f>VLOOKUP(AF864,MiscData!$AD$5:$AE$77,2,FALSE)</f>
        <v xml:space="preserve">LS </v>
      </c>
      <c r="AP864" s="98" t="s">
        <v>199</v>
      </c>
      <c r="AR864" s="98">
        <v>-126</v>
      </c>
    </row>
    <row r="865" spans="1:44">
      <c r="A865" s="108">
        <f t="shared" si="373"/>
        <v>850</v>
      </c>
      <c r="B865" s="109" t="str">
        <f t="shared" si="386"/>
        <v>Dec 2015</v>
      </c>
      <c r="C865" s="110" t="str">
        <f t="shared" si="387"/>
        <v>RLS</v>
      </c>
      <c r="D865" s="110" t="str">
        <f t="shared" si="388"/>
        <v>LGUM_458</v>
      </c>
      <c r="E865" s="581">
        <f t="shared" si="355"/>
        <v>5</v>
      </c>
      <c r="F865" s="581">
        <f t="shared" si="356"/>
        <v>0</v>
      </c>
      <c r="G865" s="116">
        <f t="shared" si="357"/>
        <v>11.13</v>
      </c>
      <c r="H865" s="116">
        <f t="shared" si="358"/>
        <v>3.7700000000000014</v>
      </c>
      <c r="I865" s="118">
        <f t="shared" si="368"/>
        <v>55.65</v>
      </c>
      <c r="J865" s="118">
        <f t="shared" si="359"/>
        <v>55.65</v>
      </c>
      <c r="K865" s="570">
        <f t="shared" si="369"/>
        <v>0</v>
      </c>
      <c r="L865" s="121">
        <f t="shared" si="389"/>
        <v>0</v>
      </c>
      <c r="M865" s="122">
        <f t="shared" si="360"/>
        <v>0</v>
      </c>
      <c r="N865" s="122">
        <f t="shared" si="361"/>
        <v>0</v>
      </c>
      <c r="O865" s="122">
        <f t="shared" si="362"/>
        <v>0</v>
      </c>
      <c r="P865" s="122">
        <f t="shared" si="363"/>
        <v>0</v>
      </c>
      <c r="Q865" s="123">
        <f t="shared" si="390"/>
        <v>55.65</v>
      </c>
      <c r="R865" s="123">
        <f t="shared" si="391"/>
        <v>-55.65</v>
      </c>
      <c r="S865" s="582">
        <v>0</v>
      </c>
      <c r="T865" s="123">
        <f t="shared" si="392"/>
        <v>-55.65</v>
      </c>
      <c r="U865" s="25">
        <f t="shared" si="365"/>
        <v>18.850000000000001</v>
      </c>
      <c r="V865" s="123">
        <f t="shared" si="393"/>
        <v>-18.850000000000001</v>
      </c>
      <c r="W865" s="334">
        <f t="shared" si="367"/>
        <v>0.8</v>
      </c>
      <c r="Y865" s="109">
        <f>IF(AE865=1,IF(Y864=MiscData!$F$1,EOMONTH(Y864,-11),EOMONTH(Y864,1)),Y864)</f>
        <v>42369</v>
      </c>
      <c r="Z865" s="108" t="str">
        <f t="shared" si="394"/>
        <v>20140101LGUM_458</v>
      </c>
      <c r="AA865" s="126" t="str">
        <f t="shared" si="395"/>
        <v>20140101RLS</v>
      </c>
      <c r="AB865" s="583" t="str">
        <f t="shared" si="396"/>
        <v>458</v>
      </c>
      <c r="AD865" s="98">
        <f>MiscData!$X$5</f>
        <v>20140101</v>
      </c>
      <c r="AE865" s="98">
        <f>IF(AE864+1&gt;MiscData!$AC$77,1,AE864+1)</f>
        <v>59</v>
      </c>
      <c r="AF865" s="98" t="str">
        <f>VLOOKUP(AE865,MiscData!$AC$5:$AD$77,2,FALSE)</f>
        <v>LGUM_458</v>
      </c>
      <c r="AG865" s="98" t="str">
        <f>VLOOKUP(AF865,MiscData!$AD$5:$AE$77,2,FALSE)</f>
        <v>RLS</v>
      </c>
      <c r="AP865" s="98" t="s">
        <v>200</v>
      </c>
      <c r="AR865" s="98">
        <v>-6.67</v>
      </c>
    </row>
    <row r="866" spans="1:44">
      <c r="A866" s="108">
        <f t="shared" si="373"/>
        <v>851</v>
      </c>
      <c r="B866" s="109" t="str">
        <f t="shared" si="386"/>
        <v>Dec 2015</v>
      </c>
      <c r="C866" s="110" t="str">
        <f t="shared" si="387"/>
        <v xml:space="preserve">LS </v>
      </c>
      <c r="D866" s="110" t="str">
        <f t="shared" si="388"/>
        <v>LGUM_470</v>
      </c>
      <c r="E866" s="581">
        <f t="shared" si="355"/>
        <v>17</v>
      </c>
      <c r="F866" s="581">
        <f t="shared" si="356"/>
        <v>0</v>
      </c>
      <c r="G866" s="116">
        <f t="shared" si="357"/>
        <v>12.79</v>
      </c>
      <c r="H866" s="116">
        <f t="shared" si="358"/>
        <v>1.3699999999999992</v>
      </c>
      <c r="I866" s="118">
        <f t="shared" si="368"/>
        <v>217.43</v>
      </c>
      <c r="J866" s="118">
        <f t="shared" si="359"/>
        <v>217.43</v>
      </c>
      <c r="K866" s="570">
        <f t="shared" si="369"/>
        <v>0</v>
      </c>
      <c r="L866" s="121">
        <f t="shared" si="389"/>
        <v>0</v>
      </c>
      <c r="M866" s="122">
        <f t="shared" si="360"/>
        <v>0</v>
      </c>
      <c r="N866" s="122">
        <f t="shared" si="361"/>
        <v>0</v>
      </c>
      <c r="O866" s="122">
        <f t="shared" si="362"/>
        <v>0</v>
      </c>
      <c r="P866" s="122">
        <f t="shared" si="363"/>
        <v>0</v>
      </c>
      <c r="Q866" s="123">
        <f t="shared" si="390"/>
        <v>217.43</v>
      </c>
      <c r="R866" s="123">
        <f t="shared" si="391"/>
        <v>-217.43</v>
      </c>
      <c r="S866" s="582">
        <v>0</v>
      </c>
      <c r="T866" s="123">
        <f t="shared" si="392"/>
        <v>-217.43</v>
      </c>
      <c r="U866" s="25">
        <f t="shared" si="365"/>
        <v>23.29</v>
      </c>
      <c r="V866" s="123">
        <f t="shared" si="393"/>
        <v>-23.29</v>
      </c>
      <c r="W866" s="334">
        <f t="shared" si="367"/>
        <v>4.59</v>
      </c>
      <c r="Y866" s="109">
        <f>IF(AE866=1,IF(Y865=MiscData!$F$1,EOMONTH(Y865,-11),EOMONTH(Y865,1)),Y865)</f>
        <v>42369</v>
      </c>
      <c r="Z866" s="108" t="str">
        <f t="shared" si="394"/>
        <v>20140101LGUM_470</v>
      </c>
      <c r="AA866" s="126" t="str">
        <f t="shared" si="395"/>
        <v xml:space="preserve">20140101LS </v>
      </c>
      <c r="AB866" s="583" t="str">
        <f t="shared" si="396"/>
        <v>470</v>
      </c>
      <c r="AD866" s="98">
        <f>MiscData!$X$5</f>
        <v>20140101</v>
      </c>
      <c r="AE866" s="98">
        <f>IF(AE865+1&gt;MiscData!$AC$77,1,AE865+1)</f>
        <v>60</v>
      </c>
      <c r="AF866" s="98" t="str">
        <f>VLOOKUP(AE866,MiscData!$AC$5:$AD$77,2,FALSE)</f>
        <v>LGUM_470</v>
      </c>
      <c r="AG866" s="98" t="str">
        <f>VLOOKUP(AF866,MiscData!$AD$5:$AE$77,2,FALSE)</f>
        <v xml:space="preserve">LS </v>
      </c>
      <c r="AP866" s="98" t="s">
        <v>201</v>
      </c>
      <c r="AR866" s="98">
        <v>-5.74</v>
      </c>
    </row>
    <row r="867" spans="1:44">
      <c r="A867" s="108">
        <f t="shared" si="373"/>
        <v>852</v>
      </c>
      <c r="B867" s="109" t="str">
        <f t="shared" si="386"/>
        <v>Dec 2015</v>
      </c>
      <c r="C867" s="110" t="str">
        <f t="shared" si="387"/>
        <v>RLS</v>
      </c>
      <c r="D867" s="110" t="str">
        <f t="shared" si="388"/>
        <v>LGUM_471</v>
      </c>
      <c r="E867" s="581">
        <f t="shared" si="355"/>
        <v>2</v>
      </c>
      <c r="F867" s="581">
        <f t="shared" si="356"/>
        <v>0</v>
      </c>
      <c r="G867" s="116">
        <f t="shared" si="357"/>
        <v>15.07</v>
      </c>
      <c r="H867" s="116">
        <f t="shared" si="358"/>
        <v>1.3699999999999992</v>
      </c>
      <c r="I867" s="118">
        <f t="shared" si="368"/>
        <v>30.14</v>
      </c>
      <c r="J867" s="118">
        <f t="shared" si="359"/>
        <v>30.14</v>
      </c>
      <c r="K867" s="570">
        <f t="shared" si="369"/>
        <v>0</v>
      </c>
      <c r="L867" s="121">
        <f t="shared" si="389"/>
        <v>0</v>
      </c>
      <c r="M867" s="122">
        <f t="shared" si="360"/>
        <v>0</v>
      </c>
      <c r="N867" s="122">
        <f t="shared" si="361"/>
        <v>0</v>
      </c>
      <c r="O867" s="122">
        <f t="shared" si="362"/>
        <v>0</v>
      </c>
      <c r="P867" s="122">
        <f t="shared" si="363"/>
        <v>0</v>
      </c>
      <c r="Q867" s="123">
        <f t="shared" si="390"/>
        <v>30.14</v>
      </c>
      <c r="R867" s="123">
        <f t="shared" si="391"/>
        <v>-30.14</v>
      </c>
      <c r="S867" s="582">
        <v>0</v>
      </c>
      <c r="T867" s="123">
        <f t="shared" si="392"/>
        <v>-30.14</v>
      </c>
      <c r="U867" s="25">
        <f t="shared" si="365"/>
        <v>2.74</v>
      </c>
      <c r="V867" s="123">
        <f t="shared" si="393"/>
        <v>-2.74</v>
      </c>
      <c r="W867" s="334">
        <f t="shared" si="367"/>
        <v>0.54</v>
      </c>
      <c r="Y867" s="109">
        <f>IF(AE867=1,IF(Y866=MiscData!$F$1,EOMONTH(Y866,-11),EOMONTH(Y866,1)),Y866)</f>
        <v>42369</v>
      </c>
      <c r="Z867" s="108" t="str">
        <f t="shared" si="394"/>
        <v>20140101LGUM_471</v>
      </c>
      <c r="AA867" s="126" t="str">
        <f t="shared" si="395"/>
        <v>20140101RLS</v>
      </c>
      <c r="AB867" s="583" t="str">
        <f t="shared" si="396"/>
        <v>471</v>
      </c>
      <c r="AD867" s="98">
        <f>MiscData!$X$5</f>
        <v>20140101</v>
      </c>
      <c r="AE867" s="98">
        <f>IF(AE866+1&gt;MiscData!$AC$77,1,AE866+1)</f>
        <v>61</v>
      </c>
      <c r="AF867" s="98" t="str">
        <f>VLOOKUP(AE867,MiscData!$AC$5:$AD$77,2,FALSE)</f>
        <v>LGUM_471</v>
      </c>
      <c r="AG867" s="98" t="str">
        <f>VLOOKUP(AF867,MiscData!$AD$5:$AE$77,2,FALSE)</f>
        <v>RLS</v>
      </c>
      <c r="AP867" s="98" t="s">
        <v>202</v>
      </c>
      <c r="AR867" s="98">
        <v>-68.48</v>
      </c>
    </row>
    <row r="868" spans="1:44">
      <c r="A868" s="108">
        <f>A855+1</f>
        <v>853</v>
      </c>
      <c r="B868" s="109" t="str">
        <f t="shared" si="350"/>
        <v>Dec 2015</v>
      </c>
      <c r="C868" s="110" t="str">
        <f t="shared" si="351"/>
        <v xml:space="preserve">LS </v>
      </c>
      <c r="D868" s="110" t="str">
        <f t="shared" si="352"/>
        <v>LGUM_473</v>
      </c>
      <c r="E868" s="581">
        <f t="shared" si="355"/>
        <v>270</v>
      </c>
      <c r="F868" s="581">
        <f t="shared" si="356"/>
        <v>0</v>
      </c>
      <c r="G868" s="116">
        <f t="shared" si="357"/>
        <v>18.68</v>
      </c>
      <c r="H868" s="116">
        <f t="shared" si="358"/>
        <v>3.1799999999999979</v>
      </c>
      <c r="I868" s="118">
        <f t="shared" si="368"/>
        <v>5043.6000000000004</v>
      </c>
      <c r="J868" s="118">
        <f t="shared" si="359"/>
        <v>5043.6000000000004</v>
      </c>
      <c r="K868" s="570">
        <f t="shared" si="369"/>
        <v>0</v>
      </c>
      <c r="L868" s="121">
        <f t="shared" si="374"/>
        <v>0</v>
      </c>
      <c r="M868" s="122">
        <f t="shared" si="360"/>
        <v>0</v>
      </c>
      <c r="N868" s="122">
        <f t="shared" si="361"/>
        <v>0</v>
      </c>
      <c r="O868" s="122">
        <f t="shared" si="362"/>
        <v>0</v>
      </c>
      <c r="P868" s="122">
        <f t="shared" si="363"/>
        <v>0</v>
      </c>
      <c r="Q868" s="123">
        <f t="shared" si="364"/>
        <v>5043.6000000000004</v>
      </c>
      <c r="R868" s="123">
        <f t="shared" si="370"/>
        <v>-5043.6000000000004</v>
      </c>
      <c r="S868" s="582">
        <v>0</v>
      </c>
      <c r="T868" s="123">
        <f t="shared" si="371"/>
        <v>-5043.6000000000004</v>
      </c>
      <c r="U868" s="25">
        <f t="shared" si="365"/>
        <v>858.6</v>
      </c>
      <c r="V868" s="123">
        <f t="shared" si="366"/>
        <v>-858.6</v>
      </c>
      <c r="W868" s="334">
        <f t="shared" si="367"/>
        <v>81</v>
      </c>
      <c r="Y868" s="109">
        <f>IF(AE868=1,IF(Y855=MiscData!$F$1,EOMONTH(Y855,-11),EOMONTH(Y855,1)),Y855)</f>
        <v>42369</v>
      </c>
      <c r="Z868" s="108" t="str">
        <f t="shared" si="353"/>
        <v>20140101LGUM_473</v>
      </c>
      <c r="AA868" s="126" t="str">
        <f t="shared" si="354"/>
        <v xml:space="preserve">20140101LS </v>
      </c>
      <c r="AB868" s="583" t="str">
        <f t="shared" si="372"/>
        <v>473</v>
      </c>
      <c r="AD868" s="98">
        <f>MiscData!$X$5</f>
        <v>20140101</v>
      </c>
      <c r="AE868" s="98">
        <f>IF(AE867+1&gt;MiscData!$AC$77,1,AE867+1)</f>
        <v>62</v>
      </c>
      <c r="AF868" s="98" t="str">
        <f>VLOOKUP(AE868,MiscData!$AC$5:$AD$77,2,FALSE)</f>
        <v>LGUM_473</v>
      </c>
      <c r="AG868" s="98" t="str">
        <f>VLOOKUP(AF868,MiscData!$AD$5:$AE$77,2,FALSE)</f>
        <v xml:space="preserve">LS </v>
      </c>
      <c r="AP868" s="98" t="s">
        <v>198</v>
      </c>
      <c r="AR868" s="98">
        <v>0</v>
      </c>
    </row>
    <row r="869" spans="1:44">
      <c r="A869" s="108">
        <f t="shared" si="373"/>
        <v>854</v>
      </c>
      <c r="B869" s="109" t="str">
        <f t="shared" si="350"/>
        <v>Dec 2015</v>
      </c>
      <c r="C869" s="110" t="str">
        <f t="shared" si="351"/>
        <v>RLS</v>
      </c>
      <c r="D869" s="110" t="str">
        <f t="shared" si="352"/>
        <v>LGUM_474</v>
      </c>
      <c r="E869" s="581">
        <f t="shared" si="355"/>
        <v>53</v>
      </c>
      <c r="F869" s="581">
        <f t="shared" si="356"/>
        <v>0</v>
      </c>
      <c r="G869" s="116">
        <f t="shared" si="357"/>
        <v>20.970000000000002</v>
      </c>
      <c r="H869" s="116">
        <f t="shared" si="358"/>
        <v>3.1799999999999997</v>
      </c>
      <c r="I869" s="118">
        <f t="shared" si="368"/>
        <v>1111.4100000000001</v>
      </c>
      <c r="J869" s="118">
        <f t="shared" si="359"/>
        <v>1111.4100000000001</v>
      </c>
      <c r="K869" s="570">
        <f t="shared" si="369"/>
        <v>0</v>
      </c>
      <c r="L869" s="121">
        <f t="shared" si="374"/>
        <v>0</v>
      </c>
      <c r="M869" s="122">
        <f t="shared" si="360"/>
        <v>0</v>
      </c>
      <c r="N869" s="122">
        <f t="shared" si="361"/>
        <v>0</v>
      </c>
      <c r="O869" s="122">
        <f t="shared" si="362"/>
        <v>0</v>
      </c>
      <c r="P869" s="122">
        <f t="shared" si="363"/>
        <v>0</v>
      </c>
      <c r="Q869" s="123">
        <f t="shared" si="364"/>
        <v>1111.4100000000001</v>
      </c>
      <c r="R869" s="123">
        <f t="shared" si="370"/>
        <v>-1111.4100000000001</v>
      </c>
      <c r="S869" s="582">
        <v>0</v>
      </c>
      <c r="T869" s="123">
        <f t="shared" si="371"/>
        <v>-1111.4100000000001</v>
      </c>
      <c r="U869" s="25">
        <f t="shared" si="365"/>
        <v>168.54</v>
      </c>
      <c r="V869" s="123">
        <f t="shared" si="366"/>
        <v>-168.54</v>
      </c>
      <c r="W869" s="334">
        <f t="shared" si="367"/>
        <v>15.899999999999999</v>
      </c>
      <c r="Y869" s="109">
        <f>IF(AE869=1,IF(Y868=MiscData!$F$1,EOMONTH(Y868,-11),EOMONTH(Y868,1)),Y868)</f>
        <v>42369</v>
      </c>
      <c r="Z869" s="108" t="str">
        <f t="shared" si="353"/>
        <v>20140101LGUM_474</v>
      </c>
      <c r="AA869" s="126" t="str">
        <f t="shared" si="354"/>
        <v>20140101RLS</v>
      </c>
      <c r="AB869" s="583" t="str">
        <f t="shared" si="372"/>
        <v>474</v>
      </c>
      <c r="AD869" s="98">
        <f>MiscData!$X$5</f>
        <v>20140101</v>
      </c>
      <c r="AE869" s="98">
        <f>IF(AE868+1&gt;MiscData!$AC$77,1,AE868+1)</f>
        <v>63</v>
      </c>
      <c r="AF869" s="98" t="str">
        <f>VLOOKUP(AE869,MiscData!$AC$5:$AD$77,2,FALSE)</f>
        <v>LGUM_474</v>
      </c>
      <c r="AG869" s="98" t="str">
        <f>VLOOKUP(AF869,MiscData!$AD$5:$AE$77,2,FALSE)</f>
        <v>RLS</v>
      </c>
      <c r="AP869" s="98" t="s">
        <v>199</v>
      </c>
      <c r="AR869" s="98">
        <v>-126</v>
      </c>
    </row>
    <row r="870" spans="1:44">
      <c r="A870" s="108">
        <f t="shared" si="373"/>
        <v>855</v>
      </c>
      <c r="B870" s="109" t="str">
        <f t="shared" si="350"/>
        <v>Dec 2015</v>
      </c>
      <c r="C870" s="110" t="str">
        <f t="shared" si="351"/>
        <v>RLS</v>
      </c>
      <c r="D870" s="110" t="str">
        <f t="shared" si="352"/>
        <v>LGUM_475</v>
      </c>
      <c r="E870" s="581">
        <f t="shared" si="355"/>
        <v>2</v>
      </c>
      <c r="F870" s="581">
        <f t="shared" si="356"/>
        <v>0</v>
      </c>
      <c r="G870" s="116">
        <f t="shared" si="357"/>
        <v>28.42</v>
      </c>
      <c r="H870" s="116">
        <f t="shared" si="358"/>
        <v>3.1800000000000033</v>
      </c>
      <c r="I870" s="118">
        <f t="shared" si="368"/>
        <v>56.84</v>
      </c>
      <c r="J870" s="118">
        <f t="shared" si="359"/>
        <v>56.84</v>
      </c>
      <c r="K870" s="570">
        <f t="shared" si="369"/>
        <v>0</v>
      </c>
      <c r="L870" s="121">
        <f t="shared" si="374"/>
        <v>0</v>
      </c>
      <c r="M870" s="122">
        <f t="shared" si="360"/>
        <v>0</v>
      </c>
      <c r="N870" s="122">
        <f t="shared" si="361"/>
        <v>0</v>
      </c>
      <c r="O870" s="122">
        <f t="shared" si="362"/>
        <v>0</v>
      </c>
      <c r="P870" s="122">
        <f t="shared" si="363"/>
        <v>0</v>
      </c>
      <c r="Q870" s="123">
        <f t="shared" si="364"/>
        <v>56.84</v>
      </c>
      <c r="R870" s="123">
        <f t="shared" si="370"/>
        <v>-56.84</v>
      </c>
      <c r="S870" s="582">
        <v>0</v>
      </c>
      <c r="T870" s="123">
        <f t="shared" si="371"/>
        <v>-56.84</v>
      </c>
      <c r="U870" s="25">
        <f t="shared" si="365"/>
        <v>6.36</v>
      </c>
      <c r="V870" s="123">
        <f t="shared" si="366"/>
        <v>-6.36</v>
      </c>
      <c r="W870" s="334">
        <f t="shared" si="367"/>
        <v>0.6</v>
      </c>
      <c r="Y870" s="109">
        <f>IF(AE870=1,IF(Y869=MiscData!$F$1,EOMONTH(Y869,-11),EOMONTH(Y869,1)),Y869)</f>
        <v>42369</v>
      </c>
      <c r="Z870" s="108" t="str">
        <f t="shared" si="353"/>
        <v>20140101LGUM_475</v>
      </c>
      <c r="AA870" s="126" t="str">
        <f t="shared" si="354"/>
        <v>20140101RLS</v>
      </c>
      <c r="AB870" s="583" t="str">
        <f t="shared" si="372"/>
        <v>475</v>
      </c>
      <c r="AD870" s="98">
        <f>MiscData!$X$5</f>
        <v>20140101</v>
      </c>
      <c r="AE870" s="98">
        <f>IF(AE869+1&gt;MiscData!$AC$77,1,AE869+1)</f>
        <v>64</v>
      </c>
      <c r="AF870" s="98" t="str">
        <f>VLOOKUP(AE870,MiscData!$AC$5:$AD$77,2,FALSE)</f>
        <v>LGUM_475</v>
      </c>
      <c r="AG870" s="98" t="str">
        <f>VLOOKUP(AF870,MiscData!$AD$5:$AE$77,2,FALSE)</f>
        <v>RLS</v>
      </c>
      <c r="AP870" s="98" t="s">
        <v>200</v>
      </c>
      <c r="AR870" s="98">
        <v>-6.67</v>
      </c>
    </row>
    <row r="871" spans="1:44">
      <c r="A871" s="108">
        <f t="shared" si="373"/>
        <v>856</v>
      </c>
      <c r="B871" s="109" t="str">
        <f t="shared" si="350"/>
        <v>Dec 2015</v>
      </c>
      <c r="C871" s="110" t="str">
        <f t="shared" si="351"/>
        <v xml:space="preserve">LS </v>
      </c>
      <c r="D871" s="110" t="str">
        <f t="shared" si="352"/>
        <v>LGUM_476</v>
      </c>
      <c r="E871" s="581">
        <f t="shared" si="355"/>
        <v>341</v>
      </c>
      <c r="F871" s="581">
        <f t="shared" si="356"/>
        <v>0</v>
      </c>
      <c r="G871" s="116">
        <f t="shared" si="357"/>
        <v>39.6</v>
      </c>
      <c r="H871" s="116">
        <f t="shared" si="358"/>
        <v>9.8100000000000023</v>
      </c>
      <c r="I871" s="118">
        <f t="shared" si="368"/>
        <v>13503.6</v>
      </c>
      <c r="J871" s="118">
        <f t="shared" si="359"/>
        <v>13503.6</v>
      </c>
      <c r="K871" s="570">
        <f t="shared" si="369"/>
        <v>0</v>
      </c>
      <c r="L871" s="121">
        <f t="shared" si="374"/>
        <v>0</v>
      </c>
      <c r="M871" s="122">
        <f t="shared" si="360"/>
        <v>0</v>
      </c>
      <c r="N871" s="122">
        <f t="shared" si="361"/>
        <v>0</v>
      </c>
      <c r="O871" s="122">
        <f t="shared" si="362"/>
        <v>0</v>
      </c>
      <c r="P871" s="122">
        <f t="shared" si="363"/>
        <v>0</v>
      </c>
      <c r="Q871" s="123">
        <f t="shared" si="364"/>
        <v>13503.6</v>
      </c>
      <c r="R871" s="123">
        <f t="shared" si="370"/>
        <v>-13503.6</v>
      </c>
      <c r="S871" s="582">
        <v>0</v>
      </c>
      <c r="T871" s="123">
        <f t="shared" si="371"/>
        <v>-13503.6</v>
      </c>
      <c r="U871" s="25">
        <f t="shared" si="365"/>
        <v>3345.21</v>
      </c>
      <c r="V871" s="123">
        <f t="shared" si="366"/>
        <v>-3345.21</v>
      </c>
      <c r="W871" s="334">
        <f t="shared" si="367"/>
        <v>208.01</v>
      </c>
      <c r="Y871" s="109">
        <f>IF(AE871=1,IF(Y870=MiscData!$F$1,EOMONTH(Y870,-11),EOMONTH(Y870,1)),Y870)</f>
        <v>42369</v>
      </c>
      <c r="Z871" s="108" t="str">
        <f t="shared" si="353"/>
        <v>20140101LGUM_476</v>
      </c>
      <c r="AA871" s="126" t="str">
        <f t="shared" si="354"/>
        <v xml:space="preserve">20140101LS </v>
      </c>
      <c r="AB871" s="583" t="str">
        <f t="shared" si="372"/>
        <v>476</v>
      </c>
      <c r="AD871" s="98">
        <f>MiscData!$X$5</f>
        <v>20140101</v>
      </c>
      <c r="AE871" s="98">
        <f>IF(AE870+1&gt;MiscData!$AC$77,1,AE870+1)</f>
        <v>65</v>
      </c>
      <c r="AF871" s="98" t="str">
        <f>VLOOKUP(AE871,MiscData!$AC$5:$AD$77,2,FALSE)</f>
        <v>LGUM_476</v>
      </c>
      <c r="AG871" s="98" t="str">
        <f>VLOOKUP(AF871,MiscData!$AD$5:$AE$77,2,FALSE)</f>
        <v xml:space="preserve">LS </v>
      </c>
      <c r="AP871" s="98" t="s">
        <v>201</v>
      </c>
      <c r="AR871" s="98">
        <v>-5.74</v>
      </c>
    </row>
    <row r="872" spans="1:44">
      <c r="A872" s="108">
        <f t="shared" si="373"/>
        <v>857</v>
      </c>
      <c r="B872" s="109" t="str">
        <f t="shared" si="350"/>
        <v>Dec 2015</v>
      </c>
      <c r="C872" s="110" t="str">
        <f t="shared" si="351"/>
        <v>RLS</v>
      </c>
      <c r="D872" s="110" t="str">
        <f t="shared" si="352"/>
        <v>LGUM_477</v>
      </c>
      <c r="E872" s="581">
        <f t="shared" si="355"/>
        <v>59</v>
      </c>
      <c r="F872" s="581">
        <f t="shared" si="356"/>
        <v>0</v>
      </c>
      <c r="G872" s="116">
        <f t="shared" si="357"/>
        <v>42.78</v>
      </c>
      <c r="H872" s="116">
        <f t="shared" si="358"/>
        <v>9.8100000000000023</v>
      </c>
      <c r="I872" s="118">
        <f t="shared" si="368"/>
        <v>2524.02</v>
      </c>
      <c r="J872" s="118">
        <f t="shared" si="359"/>
        <v>2524.02</v>
      </c>
      <c r="K872" s="570">
        <f t="shared" si="369"/>
        <v>0</v>
      </c>
      <c r="L872" s="121">
        <f t="shared" si="374"/>
        <v>0</v>
      </c>
      <c r="M872" s="122">
        <f t="shared" si="360"/>
        <v>0</v>
      </c>
      <c r="N872" s="122">
        <f t="shared" si="361"/>
        <v>0</v>
      </c>
      <c r="O872" s="122">
        <f t="shared" si="362"/>
        <v>0</v>
      </c>
      <c r="P872" s="122">
        <f t="shared" si="363"/>
        <v>0</v>
      </c>
      <c r="Q872" s="123">
        <f t="shared" si="364"/>
        <v>2524.02</v>
      </c>
      <c r="R872" s="123">
        <f t="shared" si="370"/>
        <v>-2524.02</v>
      </c>
      <c r="S872" s="582">
        <v>0</v>
      </c>
      <c r="T872" s="123">
        <f t="shared" si="371"/>
        <v>-2524.02</v>
      </c>
      <c r="U872" s="25">
        <f t="shared" si="365"/>
        <v>578.79</v>
      </c>
      <c r="V872" s="123">
        <f t="shared" si="366"/>
        <v>-578.79</v>
      </c>
      <c r="W872" s="334">
        <f t="shared" si="367"/>
        <v>35.99</v>
      </c>
      <c r="Y872" s="109">
        <f>IF(AE872=1,IF(Y871=MiscData!$F$1,EOMONTH(Y871,-11),EOMONTH(Y871,1)),Y871)</f>
        <v>42369</v>
      </c>
      <c r="Z872" s="108" t="str">
        <f t="shared" si="353"/>
        <v>20140101LGUM_477</v>
      </c>
      <c r="AA872" s="126" t="str">
        <f t="shared" si="354"/>
        <v>20140101RLS</v>
      </c>
      <c r="AB872" s="583" t="str">
        <f t="shared" si="372"/>
        <v>477</v>
      </c>
      <c r="AD872" s="98">
        <f>MiscData!$X$5</f>
        <v>20140101</v>
      </c>
      <c r="AE872" s="98">
        <f>IF(AE871+1&gt;MiscData!$AC$77,1,AE871+1)</f>
        <v>66</v>
      </c>
      <c r="AF872" s="98" t="str">
        <f>VLOOKUP(AE872,MiscData!$AC$5:$AD$77,2,FALSE)</f>
        <v>LGUM_477</v>
      </c>
      <c r="AG872" s="98" t="str">
        <f>VLOOKUP(AF872,MiscData!$AD$5:$AE$77,2,FALSE)</f>
        <v>RLS</v>
      </c>
      <c r="AP872" s="98" t="s">
        <v>202</v>
      </c>
      <c r="AR872" s="98">
        <v>-68.48</v>
      </c>
    </row>
    <row r="873" spans="1:44">
      <c r="A873" s="108">
        <f t="shared" si="373"/>
        <v>858</v>
      </c>
      <c r="B873" s="109" t="str">
        <f t="shared" si="350"/>
        <v>Dec 2015</v>
      </c>
      <c r="C873" s="110" t="str">
        <f t="shared" si="351"/>
        <v xml:space="preserve">LS </v>
      </c>
      <c r="D873" s="110" t="str">
        <f t="shared" si="352"/>
        <v>LGUM_479</v>
      </c>
      <c r="E873" s="581">
        <f t="shared" si="355"/>
        <v>0</v>
      </c>
      <c r="F873" s="581">
        <f t="shared" si="356"/>
        <v>0</v>
      </c>
      <c r="G873" s="116">
        <f t="shared" si="357"/>
        <v>14.06</v>
      </c>
      <c r="H873" s="116">
        <f t="shared" si="358"/>
        <v>1.370000000000001</v>
      </c>
      <c r="I873" s="118">
        <f t="shared" si="368"/>
        <v>0</v>
      </c>
      <c r="J873" s="118">
        <f t="shared" si="359"/>
        <v>0</v>
      </c>
      <c r="K873" s="570">
        <f t="shared" si="369"/>
        <v>0</v>
      </c>
      <c r="L873" s="121">
        <f t="shared" si="374"/>
        <v>1</v>
      </c>
      <c r="M873" s="122">
        <f t="shared" si="360"/>
        <v>0</v>
      </c>
      <c r="N873" s="122">
        <f t="shared" si="361"/>
        <v>0</v>
      </c>
      <c r="O873" s="122">
        <f t="shared" si="362"/>
        <v>0</v>
      </c>
      <c r="P873" s="122">
        <f t="shared" si="363"/>
        <v>0</v>
      </c>
      <c r="Q873" s="123">
        <f t="shared" si="364"/>
        <v>0</v>
      </c>
      <c r="R873" s="123">
        <f t="shared" si="370"/>
        <v>0</v>
      </c>
      <c r="S873" s="582">
        <v>0</v>
      </c>
      <c r="T873" s="123">
        <f t="shared" si="371"/>
        <v>0</v>
      </c>
      <c r="U873" s="25">
        <f t="shared" si="365"/>
        <v>0</v>
      </c>
      <c r="V873" s="123">
        <f t="shared" si="366"/>
        <v>0</v>
      </c>
      <c r="W873" s="334">
        <f t="shared" si="367"/>
        <v>0</v>
      </c>
      <c r="Y873" s="109">
        <f>IF(AE873=1,IF(Y872=MiscData!$F$1,EOMONTH(Y872,-11),EOMONTH(Y872,1)),Y872)</f>
        <v>42369</v>
      </c>
      <c r="Z873" s="108" t="str">
        <f t="shared" si="353"/>
        <v>20140101LGUM_479</v>
      </c>
      <c r="AA873" s="126" t="str">
        <f t="shared" si="354"/>
        <v xml:space="preserve">20140101LS </v>
      </c>
      <c r="AB873" s="583" t="str">
        <f t="shared" si="372"/>
        <v>479</v>
      </c>
      <c r="AD873" s="98">
        <f>MiscData!$X$5</f>
        <v>20140101</v>
      </c>
      <c r="AE873" s="98">
        <f>IF(AE872+1&gt;MiscData!$AC$77,1,AE872+1)</f>
        <v>67</v>
      </c>
      <c r="AF873" s="98" t="str">
        <f>VLOOKUP(AE873,MiscData!$AC$5:$AD$77,2,FALSE)</f>
        <v>LGUM_479</v>
      </c>
      <c r="AG873" s="98" t="str">
        <f>VLOOKUP(AF873,MiscData!$AD$5:$AE$77,2,FALSE)</f>
        <v xml:space="preserve">LS </v>
      </c>
      <c r="AP873" s="98" t="s">
        <v>203</v>
      </c>
      <c r="AR873" s="98">
        <v>0</v>
      </c>
    </row>
    <row r="874" spans="1:44">
      <c r="A874" s="108">
        <f t="shared" si="373"/>
        <v>859</v>
      </c>
      <c r="B874" s="109" t="str">
        <f t="shared" si="350"/>
        <v>Dec 2015</v>
      </c>
      <c r="C874" s="110" t="str">
        <f t="shared" si="351"/>
        <v xml:space="preserve">LS </v>
      </c>
      <c r="D874" s="110" t="str">
        <f t="shared" si="352"/>
        <v>LGUM_480</v>
      </c>
      <c r="E874" s="581">
        <f t="shared" si="355"/>
        <v>18</v>
      </c>
      <c r="F874" s="581">
        <f t="shared" si="356"/>
        <v>0</v>
      </c>
      <c r="G874" s="116">
        <f t="shared" si="357"/>
        <v>23.83</v>
      </c>
      <c r="H874" s="116">
        <f t="shared" si="358"/>
        <v>1.370000000000001</v>
      </c>
      <c r="I874" s="118">
        <f t="shared" si="368"/>
        <v>428.94</v>
      </c>
      <c r="J874" s="118">
        <f t="shared" si="359"/>
        <v>428.94</v>
      </c>
      <c r="K874" s="570">
        <f t="shared" si="369"/>
        <v>0</v>
      </c>
      <c r="L874" s="121">
        <f t="shared" si="374"/>
        <v>0</v>
      </c>
      <c r="M874" s="122">
        <f t="shared" si="360"/>
        <v>0</v>
      </c>
      <c r="N874" s="122">
        <f t="shared" si="361"/>
        <v>0</v>
      </c>
      <c r="O874" s="122">
        <f t="shared" si="362"/>
        <v>0</v>
      </c>
      <c r="P874" s="122">
        <f t="shared" si="363"/>
        <v>0</v>
      </c>
      <c r="Q874" s="123">
        <f t="shared" si="364"/>
        <v>428.94</v>
      </c>
      <c r="R874" s="123">
        <f t="shared" si="370"/>
        <v>-428.94</v>
      </c>
      <c r="S874" s="582">
        <v>0</v>
      </c>
      <c r="T874" s="123">
        <f t="shared" si="371"/>
        <v>-428.94</v>
      </c>
      <c r="U874" s="25">
        <f t="shared" si="365"/>
        <v>24.66</v>
      </c>
      <c r="V874" s="123">
        <f t="shared" si="366"/>
        <v>-24.66</v>
      </c>
      <c r="W874" s="334">
        <f t="shared" si="367"/>
        <v>4.8600000000000003</v>
      </c>
      <c r="Y874" s="109">
        <f>IF(AE874=1,IF(Y873=MiscData!$F$1,EOMONTH(Y873,-11),EOMONTH(Y873,1)),Y873)</f>
        <v>42369</v>
      </c>
      <c r="Z874" s="108" t="str">
        <f t="shared" si="353"/>
        <v>20140101LGUM_480</v>
      </c>
      <c r="AA874" s="126" t="str">
        <f t="shared" si="354"/>
        <v xml:space="preserve">20140101LS </v>
      </c>
      <c r="AB874" s="583" t="str">
        <f t="shared" si="372"/>
        <v>480</v>
      </c>
      <c r="AD874" s="98">
        <f>MiscData!$X$5</f>
        <v>20140101</v>
      </c>
      <c r="AE874" s="98">
        <f>IF(AE873+1&gt;MiscData!$AC$77,1,AE873+1)</f>
        <v>68</v>
      </c>
      <c r="AF874" s="98" t="str">
        <f>VLOOKUP(AE874,MiscData!$AC$5:$AD$77,2,FALSE)</f>
        <v>LGUM_480</v>
      </c>
      <c r="AG874" s="98" t="str">
        <f>VLOOKUP(AF874,MiscData!$AD$5:$AE$77,2,FALSE)</f>
        <v xml:space="preserve">LS </v>
      </c>
      <c r="AP874" s="98" t="s">
        <v>204</v>
      </c>
      <c r="AR874" s="98">
        <v>0</v>
      </c>
    </row>
    <row r="875" spans="1:44">
      <c r="A875" s="108">
        <f t="shared" si="373"/>
        <v>860</v>
      </c>
      <c r="B875" s="109" t="str">
        <f t="shared" si="350"/>
        <v>Dec 2015</v>
      </c>
      <c r="C875" s="110" t="str">
        <f t="shared" si="351"/>
        <v xml:space="preserve">LS </v>
      </c>
      <c r="D875" s="110" t="str">
        <f t="shared" si="352"/>
        <v>LGUM_481</v>
      </c>
      <c r="E875" s="581">
        <f t="shared" si="355"/>
        <v>4</v>
      </c>
      <c r="F875" s="581">
        <f t="shared" si="356"/>
        <v>0</v>
      </c>
      <c r="G875" s="116">
        <f t="shared" si="357"/>
        <v>20.46</v>
      </c>
      <c r="H875" s="116">
        <f t="shared" si="358"/>
        <v>3.1800000000000033</v>
      </c>
      <c r="I875" s="118">
        <f t="shared" si="368"/>
        <v>81.84</v>
      </c>
      <c r="J875" s="118">
        <f t="shared" si="359"/>
        <v>81.84</v>
      </c>
      <c r="K875" s="570">
        <f t="shared" si="369"/>
        <v>0</v>
      </c>
      <c r="L875" s="121">
        <f t="shared" si="374"/>
        <v>0</v>
      </c>
      <c r="M875" s="122">
        <f t="shared" si="360"/>
        <v>0</v>
      </c>
      <c r="N875" s="122">
        <f t="shared" si="361"/>
        <v>0</v>
      </c>
      <c r="O875" s="122">
        <f t="shared" si="362"/>
        <v>0</v>
      </c>
      <c r="P875" s="122">
        <f t="shared" si="363"/>
        <v>0</v>
      </c>
      <c r="Q875" s="123">
        <f t="shared" si="364"/>
        <v>81.84</v>
      </c>
      <c r="R875" s="123">
        <f t="shared" si="370"/>
        <v>-81.84</v>
      </c>
      <c r="S875" s="582">
        <v>0</v>
      </c>
      <c r="T875" s="123">
        <f t="shared" si="371"/>
        <v>-81.84</v>
      </c>
      <c r="U875" s="25">
        <f t="shared" si="365"/>
        <v>12.72</v>
      </c>
      <c r="V875" s="123">
        <f t="shared" si="366"/>
        <v>-12.72</v>
      </c>
      <c r="W875" s="334">
        <f t="shared" si="367"/>
        <v>1.2</v>
      </c>
      <c r="Y875" s="109">
        <f>IF(AE875=1,IF(Y874=MiscData!$F$1,EOMONTH(Y874,-11),EOMONTH(Y874,1)),Y874)</f>
        <v>42369</v>
      </c>
      <c r="Z875" s="108" t="str">
        <f t="shared" si="353"/>
        <v>20140101LGUM_481</v>
      </c>
      <c r="AA875" s="126" t="str">
        <f t="shared" si="354"/>
        <v xml:space="preserve">20140101LS </v>
      </c>
      <c r="AB875" s="583" t="str">
        <f t="shared" si="372"/>
        <v>481</v>
      </c>
      <c r="AD875" s="98">
        <f>MiscData!$X$5</f>
        <v>20140101</v>
      </c>
      <c r="AE875" s="98">
        <f>IF(AE874+1&gt;MiscData!$AC$77,1,AE874+1)</f>
        <v>69</v>
      </c>
      <c r="AF875" s="98" t="str">
        <f>VLOOKUP(AE875,MiscData!$AC$5:$AD$77,2,FALSE)</f>
        <v>LGUM_481</v>
      </c>
      <c r="AG875" s="98" t="str">
        <f>VLOOKUP(AF875,MiscData!$AD$5:$AE$77,2,FALSE)</f>
        <v xml:space="preserve">LS </v>
      </c>
      <c r="AP875" s="98" t="s">
        <v>205</v>
      </c>
      <c r="AR875" s="98">
        <v>0</v>
      </c>
    </row>
    <row r="876" spans="1:44">
      <c r="A876" s="108">
        <f t="shared" si="373"/>
        <v>861</v>
      </c>
      <c r="B876" s="109" t="str">
        <f t="shared" si="350"/>
        <v>Dec 2015</v>
      </c>
      <c r="C876" s="110" t="str">
        <f t="shared" si="351"/>
        <v xml:space="preserve">LS </v>
      </c>
      <c r="D876" s="110" t="str">
        <f t="shared" si="352"/>
        <v>LGUM_482</v>
      </c>
      <c r="E876" s="581">
        <f t="shared" si="355"/>
        <v>39</v>
      </c>
      <c r="F876" s="581">
        <f t="shared" si="356"/>
        <v>0</v>
      </c>
      <c r="G876" s="116">
        <f t="shared" si="357"/>
        <v>30.21</v>
      </c>
      <c r="H876" s="116">
        <f t="shared" si="358"/>
        <v>3.1800000000000033</v>
      </c>
      <c r="I876" s="118">
        <f t="shared" si="368"/>
        <v>1178.19</v>
      </c>
      <c r="J876" s="118">
        <f t="shared" si="359"/>
        <v>1178.19</v>
      </c>
      <c r="K876" s="570">
        <f t="shared" si="369"/>
        <v>0</v>
      </c>
      <c r="L876" s="121">
        <f t="shared" si="374"/>
        <v>0</v>
      </c>
      <c r="M876" s="122">
        <f t="shared" si="360"/>
        <v>0</v>
      </c>
      <c r="N876" s="122">
        <f t="shared" si="361"/>
        <v>0</v>
      </c>
      <c r="O876" s="122">
        <f t="shared" si="362"/>
        <v>0</v>
      </c>
      <c r="P876" s="122">
        <f t="shared" si="363"/>
        <v>0</v>
      </c>
      <c r="Q876" s="123">
        <f t="shared" si="364"/>
        <v>1178.19</v>
      </c>
      <c r="R876" s="123">
        <f>ROUND(P876-Q876,2)</f>
        <v>-1178.19</v>
      </c>
      <c r="S876" s="582">
        <v>0</v>
      </c>
      <c r="T876" s="123">
        <f t="shared" si="371"/>
        <v>-1178.19</v>
      </c>
      <c r="U876" s="25">
        <f t="shared" si="365"/>
        <v>124.02</v>
      </c>
      <c r="V876" s="123">
        <f t="shared" si="366"/>
        <v>-124.02</v>
      </c>
      <c r="W876" s="334">
        <f t="shared" si="367"/>
        <v>11.7</v>
      </c>
      <c r="Y876" s="109">
        <f>IF(AE876=1,IF(Y875=MiscData!$F$1,EOMONTH(Y875,-11),EOMONTH(Y875,1)),Y875)</f>
        <v>42369</v>
      </c>
      <c r="Z876" s="108" t="str">
        <f t="shared" si="353"/>
        <v>20140101LGUM_482</v>
      </c>
      <c r="AA876" s="126" t="str">
        <f t="shared" si="354"/>
        <v xml:space="preserve">20140101LS </v>
      </c>
      <c r="AB876" s="583" t="str">
        <f t="shared" si="372"/>
        <v>482</v>
      </c>
      <c r="AD876" s="98">
        <f>MiscData!$X$5</f>
        <v>20140101</v>
      </c>
      <c r="AE876" s="98">
        <f>IF(AE875+1&gt;MiscData!$AC$77,1,AE875+1)</f>
        <v>70</v>
      </c>
      <c r="AF876" s="98" t="str">
        <f>VLOOKUP(AE876,MiscData!$AC$5:$AD$77,2,FALSE)</f>
        <v>LGUM_482</v>
      </c>
      <c r="AG876" s="98" t="str">
        <f>VLOOKUP(AF876,MiscData!$AD$5:$AE$77,2,FALSE)</f>
        <v xml:space="preserve">LS </v>
      </c>
      <c r="AP876" s="98" t="s">
        <v>206</v>
      </c>
      <c r="AR876" s="98">
        <v>0</v>
      </c>
    </row>
    <row r="877" spans="1:44">
      <c r="A877" s="108">
        <f t="shared" si="373"/>
        <v>862</v>
      </c>
      <c r="B877" s="109" t="str">
        <f t="shared" si="350"/>
        <v>Dec 2015</v>
      </c>
      <c r="C877" s="110" t="str">
        <f t="shared" si="351"/>
        <v xml:space="preserve">LS </v>
      </c>
      <c r="D877" s="110" t="str">
        <f t="shared" si="352"/>
        <v>LGUM_483</v>
      </c>
      <c r="E877" s="581">
        <f t="shared" si="355"/>
        <v>2</v>
      </c>
      <c r="F877" s="581">
        <f t="shared" si="356"/>
        <v>0</v>
      </c>
      <c r="G877" s="116">
        <f t="shared" si="357"/>
        <v>42.56</v>
      </c>
      <c r="H877" s="116">
        <f t="shared" si="358"/>
        <v>9.8100000000000023</v>
      </c>
      <c r="I877" s="118">
        <f t="shared" si="368"/>
        <v>85.12</v>
      </c>
      <c r="J877" s="118">
        <f t="shared" si="359"/>
        <v>85.12</v>
      </c>
      <c r="K877" s="570">
        <f t="shared" si="369"/>
        <v>0</v>
      </c>
      <c r="L877" s="121">
        <f t="shared" si="374"/>
        <v>0</v>
      </c>
      <c r="M877" s="122">
        <f t="shared" si="360"/>
        <v>0</v>
      </c>
      <c r="N877" s="122">
        <f t="shared" si="361"/>
        <v>0</v>
      </c>
      <c r="O877" s="122">
        <f t="shared" si="362"/>
        <v>0</v>
      </c>
      <c r="P877" s="122">
        <f t="shared" si="363"/>
        <v>0</v>
      </c>
      <c r="Q877" s="123">
        <f t="shared" si="364"/>
        <v>85.12</v>
      </c>
      <c r="R877" s="123">
        <f t="shared" si="370"/>
        <v>-85.12</v>
      </c>
      <c r="S877" s="582">
        <v>0</v>
      </c>
      <c r="T877" s="123">
        <f t="shared" si="371"/>
        <v>-85.12</v>
      </c>
      <c r="U877" s="25">
        <f t="shared" si="365"/>
        <v>19.62</v>
      </c>
      <c r="V877" s="123">
        <f t="shared" si="366"/>
        <v>-19.62</v>
      </c>
      <c r="W877" s="334">
        <f t="shared" si="367"/>
        <v>1.22</v>
      </c>
      <c r="Y877" s="109">
        <f>IF(AE877=1,IF(Y876=MiscData!$F$1,EOMONTH(Y876,-11),EOMONTH(Y876,1)),Y876)</f>
        <v>42369</v>
      </c>
      <c r="Z877" s="108" t="str">
        <f t="shared" si="353"/>
        <v>20140101LGUM_483</v>
      </c>
      <c r="AA877" s="126" t="str">
        <f t="shared" si="354"/>
        <v xml:space="preserve">20140101LS </v>
      </c>
      <c r="AB877" s="583" t="str">
        <f t="shared" si="372"/>
        <v>483</v>
      </c>
      <c r="AD877" s="98">
        <f>MiscData!$X$5</f>
        <v>20140101</v>
      </c>
      <c r="AE877" s="98">
        <f>IF(AE876+1&gt;MiscData!$AC$77,1,AE876+1)</f>
        <v>71</v>
      </c>
      <c r="AF877" s="98" t="str">
        <f>VLOOKUP(AE877,MiscData!$AC$5:$AD$77,2,FALSE)</f>
        <v>LGUM_483</v>
      </c>
      <c r="AG877" s="98" t="str">
        <f>VLOOKUP(AF877,MiscData!$AD$5:$AE$77,2,FALSE)</f>
        <v xml:space="preserve">LS </v>
      </c>
      <c r="AP877" s="98" t="s">
        <v>207</v>
      </c>
      <c r="AR877" s="98">
        <v>0</v>
      </c>
    </row>
    <row r="878" spans="1:44">
      <c r="A878" s="108">
        <f t="shared" si="373"/>
        <v>863</v>
      </c>
      <c r="B878" s="109" t="str">
        <f t="shared" si="350"/>
        <v>Dec 2015</v>
      </c>
      <c r="C878" s="110" t="str">
        <f t="shared" si="351"/>
        <v xml:space="preserve">LS </v>
      </c>
      <c r="D878" s="110" t="str">
        <f t="shared" si="352"/>
        <v>LGUM_484</v>
      </c>
      <c r="E878" s="581">
        <f t="shared" si="355"/>
        <v>13</v>
      </c>
      <c r="F878" s="581">
        <f t="shared" si="356"/>
        <v>0</v>
      </c>
      <c r="G878" s="116">
        <f t="shared" si="357"/>
        <v>52.31</v>
      </c>
      <c r="H878" s="116">
        <f t="shared" si="358"/>
        <v>9.8100000000000023</v>
      </c>
      <c r="I878" s="118">
        <f t="shared" si="368"/>
        <v>680.03</v>
      </c>
      <c r="J878" s="118">
        <f t="shared" si="359"/>
        <v>680.03</v>
      </c>
      <c r="K878" s="570">
        <f t="shared" si="369"/>
        <v>0</v>
      </c>
      <c r="L878" s="121">
        <f t="shared" si="374"/>
        <v>0</v>
      </c>
      <c r="M878" s="122">
        <f t="shared" si="360"/>
        <v>0</v>
      </c>
      <c r="N878" s="122">
        <f t="shared" si="361"/>
        <v>0</v>
      </c>
      <c r="O878" s="122">
        <f t="shared" si="362"/>
        <v>0</v>
      </c>
      <c r="P878" s="122">
        <f t="shared" si="363"/>
        <v>0</v>
      </c>
      <c r="Q878" s="123">
        <f>SUM(J878,M878:O878)</f>
        <v>680.03</v>
      </c>
      <c r="R878" s="123">
        <f t="shared" si="370"/>
        <v>-680.03</v>
      </c>
      <c r="S878" s="582">
        <v>0</v>
      </c>
      <c r="T878" s="123">
        <f t="shared" si="371"/>
        <v>-680.03</v>
      </c>
      <c r="U878" s="25">
        <f t="shared" si="365"/>
        <v>127.53</v>
      </c>
      <c r="V878" s="123">
        <f t="shared" si="366"/>
        <v>-127.53</v>
      </c>
      <c r="W878" s="334">
        <f t="shared" si="367"/>
        <v>7.93</v>
      </c>
      <c r="Y878" s="109">
        <f>IF(AE878=1,IF(Y877=MiscData!$F$1,EOMONTH(Y877,-11),EOMONTH(Y877,1)),Y877)</f>
        <v>42369</v>
      </c>
      <c r="Z878" s="108" t="str">
        <f t="shared" si="353"/>
        <v>20140101LGUM_484</v>
      </c>
      <c r="AA878" s="126" t="str">
        <f t="shared" si="354"/>
        <v xml:space="preserve">20140101LS </v>
      </c>
      <c r="AB878" s="583" t="str">
        <f t="shared" si="372"/>
        <v>484</v>
      </c>
      <c r="AD878" s="98">
        <f>MiscData!$X$5</f>
        <v>20140101</v>
      </c>
      <c r="AE878" s="98">
        <f>IF(AE877+1&gt;MiscData!$AC$77,1,AE877+1)</f>
        <v>72</v>
      </c>
      <c r="AF878" s="98" t="str">
        <f>VLOOKUP(AE878,MiscData!$AC$5:$AD$77,2,FALSE)</f>
        <v>LGUM_484</v>
      </c>
      <c r="AG878" s="98" t="str">
        <f>VLOOKUP(AF878,MiscData!$AD$5:$AE$77,2,FALSE)</f>
        <v xml:space="preserve">LS </v>
      </c>
      <c r="AP878" s="98" t="s">
        <v>208</v>
      </c>
      <c r="AR878" s="98">
        <v>0</v>
      </c>
    </row>
    <row r="879" spans="1:44">
      <c r="A879" s="108">
        <f t="shared" si="373"/>
        <v>864</v>
      </c>
      <c r="B879" s="109" t="str">
        <f t="shared" si="350"/>
        <v>Dec 2015</v>
      </c>
      <c r="C879" s="110" t="str">
        <f t="shared" si="351"/>
        <v>ODL</v>
      </c>
      <c r="D879" s="110" t="str">
        <f t="shared" si="352"/>
        <v>ODL</v>
      </c>
      <c r="E879" s="581">
        <f t="shared" si="355"/>
        <v>0</v>
      </c>
      <c r="F879" s="581">
        <f t="shared" si="356"/>
        <v>14608576</v>
      </c>
      <c r="G879" s="116">
        <f t="shared" si="357"/>
        <v>0</v>
      </c>
      <c r="H879" s="116">
        <f t="shared" si="358"/>
        <v>0</v>
      </c>
      <c r="I879" s="118">
        <f t="shared" si="368"/>
        <v>0</v>
      </c>
      <c r="J879" s="118">
        <f t="shared" si="359"/>
        <v>0</v>
      </c>
      <c r="K879" s="570">
        <f t="shared" si="369"/>
        <v>1534253</v>
      </c>
      <c r="L879" s="121">
        <f t="shared" si="374"/>
        <v>0</v>
      </c>
      <c r="M879" s="122">
        <f t="shared" si="360"/>
        <v>-11458</v>
      </c>
      <c r="N879" s="122">
        <f t="shared" si="361"/>
        <v>135363</v>
      </c>
      <c r="O879" s="122">
        <f t="shared" si="362"/>
        <v>0</v>
      </c>
      <c r="P879" s="122">
        <f t="shared" si="363"/>
        <v>1658158</v>
      </c>
      <c r="Q879" s="123">
        <f t="shared" si="364"/>
        <v>123905</v>
      </c>
      <c r="R879" s="123">
        <f t="shared" si="370"/>
        <v>1534253</v>
      </c>
      <c r="S879" s="582">
        <v>0</v>
      </c>
      <c r="T879" s="123">
        <f t="shared" si="371"/>
        <v>1534253</v>
      </c>
      <c r="U879" s="25">
        <f t="shared" si="365"/>
        <v>0</v>
      </c>
      <c r="V879" s="123">
        <f t="shared" si="366"/>
        <v>1534253</v>
      </c>
      <c r="W879" s="334">
        <f t="shared" si="367"/>
        <v>0</v>
      </c>
      <c r="Y879" s="109">
        <f>IF(AE879=1,IF(Y878=MiscData!$F$1,EOMONTH(Y878,-11),EOMONTH(Y878,1)),Y878)</f>
        <v>42369</v>
      </c>
      <c r="Z879" s="108" t="str">
        <f t="shared" si="353"/>
        <v>20140101ODL</v>
      </c>
      <c r="AA879" s="126" t="str">
        <f t="shared" si="354"/>
        <v>20140101ODL</v>
      </c>
      <c r="AB879" s="583" t="str">
        <f t="shared" si="372"/>
        <v>ODL</v>
      </c>
      <c r="AD879" s="98">
        <f>MiscData!$X$5</f>
        <v>20140101</v>
      </c>
      <c r="AE879" s="98">
        <f>IF(AE878+1&gt;MiscData!$AC$77,1,AE878+1)</f>
        <v>73</v>
      </c>
      <c r="AF879" s="98" t="str">
        <f>VLOOKUP(AE879,MiscData!$AC$5:$AD$77,2,FALSE)</f>
        <v>ODL</v>
      </c>
      <c r="AG879" s="98" t="str">
        <f>VLOOKUP(AF879,MiscData!$AD$5:$AE$77,2,FALSE)</f>
        <v>ODL</v>
      </c>
      <c r="AP879" s="98" t="s">
        <v>209</v>
      </c>
      <c r="AR879" s="98">
        <v>141.86000000000001</v>
      </c>
    </row>
    <row r="880" spans="1:44">
      <c r="A880" s="108"/>
      <c r="B880" s="109"/>
      <c r="C880" s="110"/>
      <c r="D880" s="110"/>
      <c r="E880" s="581"/>
      <c r="F880" s="581"/>
      <c r="G880" s="116"/>
      <c r="H880" s="116"/>
      <c r="I880" s="118"/>
      <c r="J880" s="118"/>
      <c r="K880" s="570"/>
      <c r="L880" s="121"/>
      <c r="M880" s="122"/>
      <c r="N880" s="122"/>
      <c r="O880" s="122"/>
      <c r="P880" s="122"/>
      <c r="Q880" s="123"/>
      <c r="R880" s="123"/>
      <c r="Y880" s="109"/>
      <c r="Z880" s="108"/>
      <c r="AA880" s="126"/>
    </row>
    <row r="881" spans="1:27">
      <c r="A881" s="108"/>
      <c r="B881" s="109"/>
      <c r="C881" s="110"/>
      <c r="D881" s="110"/>
      <c r="E881" s="581"/>
      <c r="F881" s="581"/>
      <c r="G881" s="116"/>
      <c r="H881" s="116"/>
      <c r="I881" s="118"/>
      <c r="J881" s="118"/>
      <c r="K881" s="570"/>
      <c r="L881" s="121"/>
      <c r="M881" s="122"/>
      <c r="N881" s="122"/>
      <c r="O881" s="122"/>
      <c r="P881" s="122"/>
      <c r="Q881" s="123"/>
      <c r="R881" s="123"/>
      <c r="Y881" s="109"/>
      <c r="Z881" s="108"/>
      <c r="AA881" s="126"/>
    </row>
    <row r="882" spans="1:27">
      <c r="J882" s="95"/>
      <c r="Y882" s="109"/>
      <c r="Z882" s="108"/>
      <c r="AA882" s="126"/>
    </row>
    <row r="883" spans="1:27">
      <c r="C883" s="95" t="s">
        <v>459</v>
      </c>
      <c r="E883" s="128">
        <f>SUMIF($C$4:$C$881,$C883,E$4:E$881)</f>
        <v>502219</v>
      </c>
      <c r="F883" s="128">
        <f>SUMIF($C$4:$C$881,$C883,F$4:F$881)</f>
        <v>0</v>
      </c>
      <c r="G883" s="128"/>
      <c r="H883" s="128"/>
      <c r="I883" s="128">
        <f>SUMIF($C$4:$C$881,$C883,I$4:I$881)</f>
        <v>8712481.0399999972</v>
      </c>
      <c r="J883" s="128">
        <f>SUMIF($C$4:$C$881,$C883,J$4:J$881)</f>
        <v>8712481.0399999972</v>
      </c>
      <c r="K883" s="128">
        <f>SUMIF($C$4:$C$881,$C883,K$4:K$881)</f>
        <v>0</v>
      </c>
      <c r="L883" s="128"/>
      <c r="M883" s="128">
        <f t="shared" ref="M883:T883" si="397">SUMIF($C$4:$C$881,$C883,M$4:M$881)</f>
        <v>0</v>
      </c>
      <c r="N883" s="128">
        <f t="shared" si="397"/>
        <v>0</v>
      </c>
      <c r="O883" s="128">
        <f t="shared" si="397"/>
        <v>0</v>
      </c>
      <c r="P883" s="128">
        <f>SUMIF($C$4:$C$881,$C883,P$4:P$881)</f>
        <v>0</v>
      </c>
      <c r="Q883" s="128">
        <f t="shared" si="397"/>
        <v>8712481.0399999972</v>
      </c>
      <c r="R883" s="128">
        <f t="shared" si="397"/>
        <v>-8712481.0399999972</v>
      </c>
      <c r="S883" s="128">
        <f t="shared" si="397"/>
        <v>0</v>
      </c>
      <c r="T883" s="128">
        <f t="shared" si="397"/>
        <v>-8712481.0399999972</v>
      </c>
      <c r="Y883" s="109"/>
      <c r="Z883" s="108"/>
      <c r="AA883" s="126"/>
    </row>
    <row r="884" spans="1:27">
      <c r="C884" s="95" t="s">
        <v>689</v>
      </c>
      <c r="E884" s="128">
        <f>'12MonPoles'!E294</f>
        <v>31712</v>
      </c>
      <c r="F884" s="128"/>
      <c r="G884" s="128"/>
      <c r="H884" s="128"/>
      <c r="I884" s="128">
        <f>'12MonPoles'!G294</f>
        <v>131376.76</v>
      </c>
      <c r="J884" s="128">
        <f>'12MonPoles'!H294</f>
        <v>131376.76</v>
      </c>
      <c r="K884" s="128">
        <f>'12MonPoles'!I294</f>
        <v>0</v>
      </c>
      <c r="L884" s="128"/>
      <c r="M884" s="128"/>
      <c r="N884" s="128"/>
      <c r="O884" s="128"/>
      <c r="P884" s="128"/>
      <c r="Q884" s="128"/>
      <c r="R884" s="128"/>
      <c r="S884" s="128"/>
      <c r="T884" s="128"/>
      <c r="Y884" s="109"/>
      <c r="Z884" s="108"/>
      <c r="AA884" s="126"/>
    </row>
    <row r="885" spans="1:27">
      <c r="C885" s="95" t="s">
        <v>703</v>
      </c>
      <c r="E885" s="128">
        <f>E883+E884</f>
        <v>533931</v>
      </c>
      <c r="F885" s="128">
        <f>F883+F884</f>
        <v>0</v>
      </c>
      <c r="G885" s="128"/>
      <c r="H885" s="128"/>
      <c r="I885" s="128">
        <f>I883+I884</f>
        <v>8843857.799999997</v>
      </c>
      <c r="J885" s="128">
        <f>J883+J884</f>
        <v>8843857.799999997</v>
      </c>
      <c r="K885" s="128">
        <f>K883+K884</f>
        <v>0</v>
      </c>
      <c r="L885" s="128"/>
      <c r="M885" s="128">
        <f>M883+M884</f>
        <v>0</v>
      </c>
      <c r="N885" s="128">
        <f t="shared" ref="N885:P885" si="398">N883+N884</f>
        <v>0</v>
      </c>
      <c r="O885" s="128">
        <f t="shared" si="398"/>
        <v>0</v>
      </c>
      <c r="P885" s="128">
        <f t="shared" si="398"/>
        <v>0</v>
      </c>
      <c r="Q885" s="128"/>
      <c r="R885" s="128"/>
      <c r="S885" s="128"/>
      <c r="T885" s="128"/>
      <c r="Y885" s="109"/>
      <c r="Z885" s="108"/>
      <c r="AA885" s="126"/>
    </row>
    <row r="886" spans="1:27">
      <c r="C886" s="99" t="s">
        <v>1197</v>
      </c>
      <c r="E886" s="128">
        <f>SUMIF($C$4:$C$881,$C886,E$4:E$881)</f>
        <v>522337</v>
      </c>
      <c r="F886" s="128">
        <f>SUMIF($C$4:$C$881,$C886,F$4:F$881)</f>
        <v>0</v>
      </c>
      <c r="G886" s="128"/>
      <c r="H886" s="128"/>
      <c r="I886" s="128">
        <f>SUMIF($C$4:$C$881,$C886,I$4:I$881)</f>
        <v>8967566.1899999939</v>
      </c>
      <c r="J886" s="128">
        <f>SUMIF($C$4:$C$881,$C886,J$4:J$881)</f>
        <v>8967566.1899999939</v>
      </c>
      <c r="K886" s="128">
        <f>SUMIF($C$4:$C$881,$C886,K$4:K$881)</f>
        <v>0</v>
      </c>
      <c r="L886" s="128"/>
      <c r="M886" s="128">
        <f t="shared" ref="M886:T886" si="399">SUMIF($C$4:$C$881,$C886,M$4:M$881)</f>
        <v>0</v>
      </c>
      <c r="N886" s="128">
        <f t="shared" si="399"/>
        <v>0</v>
      </c>
      <c r="O886" s="128">
        <f t="shared" si="399"/>
        <v>0</v>
      </c>
      <c r="P886" s="128">
        <f t="shared" si="399"/>
        <v>0</v>
      </c>
      <c r="Q886" s="128">
        <f t="shared" si="399"/>
        <v>8967566.1899999939</v>
      </c>
      <c r="R886" s="128">
        <f t="shared" si="399"/>
        <v>-8967566.1899999939</v>
      </c>
      <c r="S886" s="128">
        <f t="shared" si="399"/>
        <v>0</v>
      </c>
      <c r="T886" s="128">
        <f t="shared" si="399"/>
        <v>-8967566.1899999939</v>
      </c>
      <c r="Y886" s="109"/>
      <c r="Z886" s="108"/>
      <c r="AA886" s="126"/>
    </row>
    <row r="887" spans="1:27">
      <c r="C887" s="95" t="s">
        <v>689</v>
      </c>
      <c r="E887" s="128">
        <f>'12MonPoles'!E293</f>
        <v>72515</v>
      </c>
      <c r="F887" s="128"/>
      <c r="G887" s="128"/>
      <c r="H887" s="128"/>
      <c r="I887" s="128">
        <f>'12MonPoles'!G293</f>
        <v>204084.20000000007</v>
      </c>
      <c r="J887" s="128">
        <f>'12MonPoles'!H293</f>
        <v>204084.20000000007</v>
      </c>
      <c r="K887" s="128">
        <f>'12MonPoles'!I293</f>
        <v>0</v>
      </c>
      <c r="L887" s="128"/>
      <c r="M887" s="128"/>
      <c r="N887" s="128"/>
      <c r="O887" s="128"/>
      <c r="P887" s="128"/>
      <c r="Q887" s="128"/>
      <c r="R887" s="128"/>
      <c r="S887" s="128"/>
      <c r="T887" s="128"/>
      <c r="Y887" s="109"/>
      <c r="Z887" s="108"/>
      <c r="AA887" s="126"/>
    </row>
    <row r="888" spans="1:27">
      <c r="C888" s="95" t="s">
        <v>704</v>
      </c>
      <c r="E888" s="128">
        <f>E886+E887</f>
        <v>594852</v>
      </c>
      <c r="F888" s="128">
        <f>F886+F887</f>
        <v>0</v>
      </c>
      <c r="G888" s="128"/>
      <c r="H888" s="128"/>
      <c r="I888" s="128">
        <f>I886+I887</f>
        <v>9171650.3899999931</v>
      </c>
      <c r="J888" s="128">
        <f>J886+J887</f>
        <v>9171650.3899999931</v>
      </c>
      <c r="K888" s="128">
        <f>K886+K887</f>
        <v>0</v>
      </c>
      <c r="L888" s="128"/>
      <c r="M888" s="128">
        <f t="shared" ref="M888:P888" si="400">M886+M887</f>
        <v>0</v>
      </c>
      <c r="N888" s="128">
        <f t="shared" si="400"/>
        <v>0</v>
      </c>
      <c r="O888" s="128">
        <f t="shared" si="400"/>
        <v>0</v>
      </c>
      <c r="P888" s="128">
        <f t="shared" si="400"/>
        <v>0</v>
      </c>
      <c r="Q888" s="128">
        <f>SUMIF($C$4:$C$881,$C886,Q$4:Q$881)</f>
        <v>8967566.1899999939</v>
      </c>
      <c r="R888" s="128">
        <f>SUMIF($C$4:$C$881,$C886,R$4:R$881)</f>
        <v>-8967566.1899999939</v>
      </c>
      <c r="S888" s="128">
        <f>SUMIF($C$4:$C$881,$C886,S$4:S$881)</f>
        <v>0</v>
      </c>
      <c r="T888" s="128"/>
      <c r="Y888" s="109"/>
      <c r="Z888" s="108"/>
      <c r="AA888" s="126"/>
    </row>
    <row r="889" spans="1:27">
      <c r="C889" s="95" t="s">
        <v>684</v>
      </c>
      <c r="E889" s="128">
        <f>SUMIF($C$4:$C$881,$C889,E$4:E$881)</f>
        <v>0</v>
      </c>
      <c r="F889" s="128">
        <f>SUMIF($C$4:$C$881,$C889,F$4:F$881)</f>
        <v>0</v>
      </c>
      <c r="G889" s="128"/>
      <c r="H889" s="128"/>
      <c r="I889" s="128">
        <f t="shared" ref="I889:K890" si="401">SUMIF($C$4:$C$881,$C889,I$4:I$881)</f>
        <v>0</v>
      </c>
      <c r="J889" s="128">
        <f t="shared" si="401"/>
        <v>0</v>
      </c>
      <c r="K889" s="128">
        <f t="shared" si="401"/>
        <v>0</v>
      </c>
      <c r="L889" s="128"/>
      <c r="M889" s="128">
        <f t="shared" ref="M889:T890" si="402">SUMIF($C$4:$C$881,$C889,M$4:M$881)</f>
        <v>0</v>
      </c>
      <c r="N889" s="128">
        <f t="shared" si="402"/>
        <v>0</v>
      </c>
      <c r="O889" s="128">
        <f t="shared" si="402"/>
        <v>0</v>
      </c>
      <c r="P889" s="128">
        <f t="shared" si="402"/>
        <v>0</v>
      </c>
      <c r="Q889" s="128">
        <f t="shared" si="402"/>
        <v>0</v>
      </c>
      <c r="R889" s="128">
        <f t="shared" si="402"/>
        <v>0</v>
      </c>
      <c r="S889" s="128">
        <f t="shared" si="402"/>
        <v>0</v>
      </c>
      <c r="T889" s="128">
        <f t="shared" si="402"/>
        <v>0</v>
      </c>
      <c r="Y889" s="109"/>
      <c r="Z889" s="108"/>
      <c r="AA889" s="126"/>
    </row>
    <row r="890" spans="1:27">
      <c r="C890" s="95" t="s">
        <v>793</v>
      </c>
      <c r="E890" s="128">
        <f>SUMIF($C$4:$C$881,$C890,E$4:E$881)</f>
        <v>0</v>
      </c>
      <c r="F890" s="128">
        <f>SUMIF($C$4:$C$881,$C890,F$4:F$881)</f>
        <v>123147808</v>
      </c>
      <c r="G890" s="128"/>
      <c r="H890" s="128"/>
      <c r="I890" s="128">
        <f t="shared" si="401"/>
        <v>0</v>
      </c>
      <c r="J890" s="128">
        <f t="shared" si="401"/>
        <v>0</v>
      </c>
      <c r="K890" s="128">
        <f t="shared" si="401"/>
        <v>18510992</v>
      </c>
      <c r="L890" s="128"/>
      <c r="M890" s="128">
        <f t="shared" si="402"/>
        <v>-104390</v>
      </c>
      <c r="N890" s="128">
        <f t="shared" si="402"/>
        <v>1140721</v>
      </c>
      <c r="O890" s="128">
        <f t="shared" si="402"/>
        <v>0</v>
      </c>
      <c r="P890" s="128">
        <f t="shared" si="402"/>
        <v>19547323</v>
      </c>
      <c r="Q890" s="128"/>
      <c r="R890" s="128"/>
      <c r="S890" s="128"/>
      <c r="T890" s="128"/>
      <c r="Y890" s="109"/>
      <c r="Z890" s="108"/>
      <c r="AA890" s="126"/>
    </row>
    <row r="891" spans="1:27">
      <c r="C891" s="95" t="s">
        <v>711</v>
      </c>
      <c r="E891" s="128">
        <f>E885+E888+E889+E890</f>
        <v>1128783</v>
      </c>
      <c r="F891" s="128">
        <f>F885+F888+F889+F890</f>
        <v>123147808</v>
      </c>
      <c r="G891" s="128"/>
      <c r="H891" s="128"/>
      <c r="I891" s="128">
        <f>I885+I888+I889+I890</f>
        <v>18015508.18999999</v>
      </c>
      <c r="J891" s="128">
        <f>ROUND(J885+J888+J889+J890,0)</f>
        <v>18015508</v>
      </c>
      <c r="K891" s="128">
        <f>ROUND(Lighting!$E$25,0)</f>
        <v>18015579</v>
      </c>
      <c r="L891" s="714">
        <f>J891/K891</f>
        <v>0.99999605896652</v>
      </c>
      <c r="M891" s="128">
        <f>M885+M888+M889+M890</f>
        <v>-104390</v>
      </c>
      <c r="N891" s="128">
        <f>N885+N888+N889+N890</f>
        <v>1140721</v>
      </c>
      <c r="O891" s="128">
        <f>O885+O888+O889+O890</f>
        <v>0</v>
      </c>
      <c r="P891" s="128">
        <f>P885+P888+P889+P890</f>
        <v>19547323</v>
      </c>
      <c r="Q891" s="128">
        <f>Q885+Q888</f>
        <v>8967566.1899999939</v>
      </c>
      <c r="R891" s="128">
        <f>R885+R888</f>
        <v>-8967566.1899999939</v>
      </c>
      <c r="S891" s="128">
        <f>S885+S888</f>
        <v>0</v>
      </c>
      <c r="T891" s="128">
        <f>T885+T888</f>
        <v>0</v>
      </c>
      <c r="Y891" s="109"/>
      <c r="Z891" s="108"/>
      <c r="AA891" s="126"/>
    </row>
    <row r="892" spans="1:27">
      <c r="C892" s="95" t="s">
        <v>1198</v>
      </c>
      <c r="E892" s="128">
        <f>E883+E886+E890</f>
        <v>1024556</v>
      </c>
      <c r="F892" s="128">
        <f>F883+F886+F890</f>
        <v>123147808</v>
      </c>
      <c r="I892" s="128">
        <f>I883+I886+I890</f>
        <v>17680047.229999989</v>
      </c>
      <c r="J892" s="128">
        <f>J883+J886+J890</f>
        <v>17680047.229999989</v>
      </c>
      <c r="K892" s="128">
        <f>K883+K886+K890</f>
        <v>18510992</v>
      </c>
      <c r="Y892" s="109"/>
      <c r="Z892" s="108"/>
      <c r="AA892" s="126"/>
    </row>
    <row r="893" spans="1:27">
      <c r="E893" s="597"/>
      <c r="K893" s="25"/>
      <c r="Y893" s="109"/>
      <c r="Z893" s="108"/>
      <c r="AA893" s="126"/>
    </row>
    <row r="894" spans="1:27">
      <c r="E894" s="128"/>
      <c r="K894" s="130"/>
      <c r="Y894" s="109"/>
      <c r="Z894" s="108"/>
      <c r="AA894" s="126"/>
    </row>
    <row r="895" spans="1:27">
      <c r="J895" s="13"/>
      <c r="K895" s="13"/>
      <c r="L895" s="334"/>
      <c r="M895" s="13"/>
      <c r="Y895" s="109"/>
      <c r="Z895" s="108"/>
      <c r="AA895" s="126"/>
    </row>
    <row r="896" spans="1:27">
      <c r="J896" s="13"/>
      <c r="K896" s="13"/>
      <c r="L896" s="334"/>
      <c r="M896" s="13"/>
      <c r="Y896" s="109"/>
      <c r="Z896" s="108"/>
      <c r="AA896" s="126"/>
    </row>
    <row r="897" spans="10:27">
      <c r="J897" s="13"/>
      <c r="K897" s="13"/>
      <c r="L897" s="334"/>
      <c r="M897" s="13"/>
      <c r="Y897" s="109"/>
      <c r="Z897" s="108"/>
      <c r="AA897" s="126"/>
    </row>
    <row r="898" spans="10:27">
      <c r="J898" s="13"/>
      <c r="K898" s="13"/>
      <c r="L898" s="334"/>
      <c r="M898" s="13"/>
      <c r="Y898" s="109"/>
      <c r="Z898" s="108"/>
      <c r="AA898" s="126"/>
    </row>
    <row r="899" spans="10:27">
      <c r="J899" s="13"/>
      <c r="K899" s="13"/>
      <c r="L899" s="334"/>
      <c r="M899" s="13"/>
      <c r="Y899" s="109"/>
      <c r="Z899" s="108"/>
      <c r="AA899" s="126"/>
    </row>
    <row r="900" spans="10:27">
      <c r="J900" s="13"/>
      <c r="K900" s="13"/>
      <c r="L900" s="334"/>
      <c r="M900" s="13"/>
      <c r="Y900" s="109"/>
      <c r="Z900" s="108"/>
      <c r="AA900" s="126"/>
    </row>
    <row r="901" spans="10:27">
      <c r="J901" s="13"/>
      <c r="K901" s="13"/>
      <c r="L901" s="334"/>
      <c r="M901" s="13"/>
      <c r="Y901" s="109"/>
      <c r="Z901" s="108"/>
      <c r="AA901" s="126"/>
    </row>
    <row r="902" spans="10:27">
      <c r="J902" s="13"/>
      <c r="K902" s="13"/>
      <c r="L902" s="334"/>
      <c r="M902" s="13"/>
      <c r="Y902" s="109"/>
      <c r="Z902" s="108"/>
      <c r="AA902" s="126"/>
    </row>
    <row r="903" spans="10:27">
      <c r="J903" s="13"/>
      <c r="K903" s="13"/>
      <c r="L903" s="334"/>
      <c r="M903" s="13"/>
      <c r="Y903" s="109"/>
      <c r="Z903" s="108"/>
      <c r="AA903" s="126"/>
    </row>
    <row r="904" spans="10:27">
      <c r="J904" s="13"/>
      <c r="K904" s="13"/>
      <c r="L904" s="334"/>
      <c r="M904" s="13"/>
      <c r="Y904" s="109"/>
      <c r="Z904" s="108"/>
      <c r="AA904" s="126"/>
    </row>
    <row r="905" spans="10:27">
      <c r="J905" s="13"/>
      <c r="K905" s="13"/>
      <c r="L905" s="334"/>
      <c r="M905" s="13"/>
      <c r="Y905" s="109"/>
      <c r="Z905" s="108"/>
      <c r="AA905" s="126"/>
    </row>
    <row r="906" spans="10:27">
      <c r="J906" s="13"/>
      <c r="K906" s="13"/>
      <c r="L906" s="334"/>
      <c r="M906" s="13"/>
      <c r="Y906" s="109"/>
      <c r="Z906" s="108"/>
      <c r="AA906" s="126"/>
    </row>
    <row r="907" spans="10:27">
      <c r="K907" s="13"/>
      <c r="Z907" s="108"/>
      <c r="AA907" s="126"/>
    </row>
    <row r="908" spans="10:27">
      <c r="J908" s="13"/>
      <c r="Z908" s="108"/>
      <c r="AA908" s="126"/>
    </row>
    <row r="909" spans="10:27">
      <c r="Z909" s="108"/>
      <c r="AA909" s="126"/>
    </row>
    <row r="910" spans="10:27">
      <c r="J910" s="13"/>
      <c r="Z910" s="108"/>
      <c r="AA910" s="126"/>
    </row>
    <row r="911" spans="10:27">
      <c r="J911" s="13"/>
      <c r="Z911" s="108"/>
      <c r="AA911" s="126"/>
    </row>
    <row r="912" spans="10:27">
      <c r="J912" s="13"/>
      <c r="Z912" s="108"/>
      <c r="AA912" s="126"/>
    </row>
    <row r="913" spans="10:27">
      <c r="J913" s="334"/>
      <c r="Z913" s="108"/>
      <c r="AA913" s="126"/>
    </row>
    <row r="914" spans="10:27">
      <c r="Z914" s="108"/>
      <c r="AA914" s="126"/>
    </row>
    <row r="915" spans="10:27">
      <c r="Z915" s="108"/>
      <c r="AA915" s="126"/>
    </row>
    <row r="916" spans="10:27">
      <c r="Z916" s="108"/>
      <c r="AA916" s="126"/>
    </row>
    <row r="917" spans="10:27">
      <c r="Z917" s="108"/>
      <c r="AA917" s="126"/>
    </row>
    <row r="918" spans="10:27">
      <c r="Z918" s="108"/>
      <c r="AA918" s="126"/>
    </row>
    <row r="919" spans="10:27">
      <c r="Z919" s="108"/>
      <c r="AA919" s="126"/>
    </row>
    <row r="920" spans="10:27">
      <c r="Z920" s="108"/>
      <c r="AA920" s="126"/>
    </row>
    <row r="921" spans="10:27">
      <c r="Z921" s="108"/>
      <c r="AA921" s="126"/>
    </row>
    <row r="922" spans="10:27">
      <c r="Z922" s="108"/>
      <c r="AA922" s="126"/>
    </row>
    <row r="923" spans="10:27">
      <c r="Z923" s="108"/>
      <c r="AA923" s="126"/>
    </row>
    <row r="924" spans="10:27">
      <c r="Z924" s="108"/>
      <c r="AA924" s="126"/>
    </row>
    <row r="925" spans="10:27">
      <c r="Z925" s="108"/>
      <c r="AA925" s="126"/>
    </row>
    <row r="926" spans="10:27">
      <c r="Z926" s="108"/>
      <c r="AA926" s="126"/>
    </row>
    <row r="927" spans="10:27">
      <c r="Z927" s="108"/>
      <c r="AA927" s="126"/>
    </row>
    <row r="928" spans="10:27">
      <c r="Z928" s="108"/>
      <c r="AA928" s="126"/>
    </row>
    <row r="929" spans="26:27">
      <c r="Z929" s="108"/>
      <c r="AA929" s="126"/>
    </row>
    <row r="930" spans="26:27">
      <c r="Z930" s="108"/>
      <c r="AA930" s="126"/>
    </row>
    <row r="931" spans="26:27">
      <c r="Z931" s="108"/>
      <c r="AA931" s="126"/>
    </row>
    <row r="932" spans="26:27">
      <c r="Z932" s="108"/>
      <c r="AA932" s="126"/>
    </row>
    <row r="933" spans="26:27">
      <c r="Z933" s="108"/>
      <c r="AA933" s="126"/>
    </row>
    <row r="934" spans="26:27">
      <c r="Z934" s="108"/>
      <c r="AA934" s="126"/>
    </row>
    <row r="935" spans="26:27">
      <c r="Z935" s="108"/>
      <c r="AA935" s="126"/>
    </row>
    <row r="936" spans="26:27">
      <c r="Z936" s="108"/>
      <c r="AA936" s="126"/>
    </row>
    <row r="937" spans="26:27">
      <c r="Z937" s="108"/>
      <c r="AA937" s="126"/>
    </row>
    <row r="938" spans="26:27">
      <c r="Z938" s="108"/>
      <c r="AA938" s="126"/>
    </row>
    <row r="939" spans="26:27">
      <c r="Z939" s="108"/>
      <c r="AA939" s="126"/>
    </row>
    <row r="940" spans="26:27">
      <c r="Z940" s="108"/>
      <c r="AA940" s="126"/>
    </row>
    <row r="941" spans="26:27">
      <c r="Z941" s="108"/>
      <c r="AA941" s="126"/>
    </row>
    <row r="942" spans="26:27">
      <c r="Z942" s="108"/>
      <c r="AA942" s="126"/>
    </row>
    <row r="943" spans="26:27">
      <c r="Z943" s="108"/>
      <c r="AA943" s="126"/>
    </row>
    <row r="944" spans="26:27">
      <c r="Z944" s="108"/>
      <c r="AA944" s="126"/>
    </row>
    <row r="945" spans="26:27">
      <c r="Z945" s="108"/>
      <c r="AA945" s="126"/>
    </row>
    <row r="946" spans="26:27">
      <c r="Z946" s="108"/>
      <c r="AA946" s="126"/>
    </row>
    <row r="947" spans="26:27">
      <c r="Z947" s="108"/>
      <c r="AA947" s="126"/>
    </row>
    <row r="948" spans="26:27">
      <c r="Z948" s="108"/>
      <c r="AA948" s="126"/>
    </row>
    <row r="949" spans="26:27">
      <c r="Z949" s="108"/>
      <c r="AA949" s="126"/>
    </row>
    <row r="950" spans="26:27">
      <c r="Z950" s="108"/>
      <c r="AA950" s="126"/>
    </row>
    <row r="951" spans="26:27">
      <c r="Z951" s="108"/>
      <c r="AA951" s="126"/>
    </row>
    <row r="952" spans="26:27">
      <c r="Z952" s="108"/>
      <c r="AA952" s="126"/>
    </row>
    <row r="953" spans="26:27">
      <c r="Z953" s="108"/>
      <c r="AA953" s="126"/>
    </row>
    <row r="954" spans="26:27">
      <c r="Z954" s="108"/>
      <c r="AA954" s="126"/>
    </row>
    <row r="955" spans="26:27">
      <c r="Z955" s="108"/>
      <c r="AA955" s="126"/>
    </row>
    <row r="956" spans="26:27">
      <c r="Z956" s="108"/>
      <c r="AA956" s="126"/>
    </row>
    <row r="957" spans="26:27">
      <c r="Z957" s="108"/>
      <c r="AA957" s="126"/>
    </row>
    <row r="958" spans="26:27">
      <c r="Z958" s="108"/>
      <c r="AA958" s="126"/>
    </row>
    <row r="959" spans="26:27">
      <c r="Z959" s="108"/>
      <c r="AA959" s="126"/>
    </row>
    <row r="960" spans="26:27">
      <c r="Z960" s="108"/>
      <c r="AA960" s="126"/>
    </row>
    <row r="961" spans="26:27">
      <c r="Z961" s="108"/>
      <c r="AA961" s="126"/>
    </row>
    <row r="962" spans="26:27">
      <c r="Z962" s="108"/>
      <c r="AA962" s="126"/>
    </row>
    <row r="963" spans="26:27">
      <c r="Z963" s="108"/>
      <c r="AA963" s="126"/>
    </row>
    <row r="964" spans="26:27">
      <c r="Z964" s="108"/>
      <c r="AA964" s="126"/>
    </row>
    <row r="965" spans="26:27">
      <c r="Z965" s="108"/>
      <c r="AA965" s="126"/>
    </row>
    <row r="966" spans="26:27">
      <c r="Z966" s="108"/>
      <c r="AA966" s="126"/>
    </row>
    <row r="967" spans="26:27">
      <c r="Z967" s="108"/>
      <c r="AA967" s="126"/>
    </row>
    <row r="968" spans="26:27">
      <c r="Z968" s="108"/>
      <c r="AA968" s="126"/>
    </row>
    <row r="969" spans="26:27">
      <c r="Z969" s="108"/>
      <c r="AA969" s="126"/>
    </row>
    <row r="970" spans="26:27">
      <c r="Z970" s="108"/>
      <c r="AA970" s="126"/>
    </row>
    <row r="971" spans="26:27">
      <c r="Z971" s="108"/>
      <c r="AA971" s="126"/>
    </row>
    <row r="972" spans="26:27">
      <c r="Z972" s="108"/>
      <c r="AA972" s="126"/>
    </row>
    <row r="973" spans="26:27">
      <c r="Z973" s="108"/>
      <c r="AA973" s="126"/>
    </row>
    <row r="974" spans="26:27">
      <c r="Z974" s="108"/>
      <c r="AA974" s="126"/>
    </row>
    <row r="975" spans="26:27">
      <c r="Z975" s="108"/>
      <c r="AA975" s="126"/>
    </row>
    <row r="976" spans="26:27">
      <c r="Z976" s="108"/>
      <c r="AA976" s="126"/>
    </row>
    <row r="977" spans="26:27">
      <c r="Z977" s="108"/>
      <c r="AA977" s="126"/>
    </row>
    <row r="978" spans="26:27">
      <c r="Z978" s="108"/>
      <c r="AA978" s="126"/>
    </row>
    <row r="979" spans="26:27">
      <c r="Z979" s="108"/>
      <c r="AA979" s="126"/>
    </row>
    <row r="980" spans="26:27">
      <c r="Z980" s="108"/>
      <c r="AA980" s="126"/>
    </row>
    <row r="981" spans="26:27">
      <c r="Z981" s="108"/>
      <c r="AA981" s="126"/>
    </row>
    <row r="982" spans="26:27">
      <c r="Z982" s="108"/>
      <c r="AA982" s="126"/>
    </row>
    <row r="983" spans="26:27">
      <c r="Z983" s="108"/>
      <c r="AA983" s="126"/>
    </row>
    <row r="984" spans="26:27">
      <c r="Z984" s="108"/>
      <c r="AA984" s="126"/>
    </row>
    <row r="985" spans="26:27">
      <c r="Z985" s="108"/>
      <c r="AA985" s="126"/>
    </row>
    <row r="986" spans="26:27">
      <c r="Z986" s="108"/>
      <c r="AA986" s="126"/>
    </row>
    <row r="987" spans="26:27">
      <c r="Z987" s="108"/>
      <c r="AA987" s="126"/>
    </row>
    <row r="988" spans="26:27">
      <c r="Z988" s="108"/>
      <c r="AA988" s="126"/>
    </row>
    <row r="989" spans="26:27">
      <c r="Z989" s="108"/>
      <c r="AA989" s="126"/>
    </row>
    <row r="990" spans="26:27">
      <c r="Z990" s="108"/>
      <c r="AA990" s="126"/>
    </row>
    <row r="991" spans="26:27">
      <c r="Z991" s="108"/>
      <c r="AA991" s="126"/>
    </row>
    <row r="992" spans="26:27">
      <c r="Z992" s="108"/>
      <c r="AA992" s="126"/>
    </row>
    <row r="993" spans="26:27">
      <c r="Z993" s="108"/>
      <c r="AA993" s="126"/>
    </row>
    <row r="994" spans="26:27">
      <c r="Z994" s="108"/>
      <c r="AA994" s="126"/>
    </row>
    <row r="995" spans="26:27">
      <c r="Z995" s="108"/>
      <c r="AA995" s="126"/>
    </row>
    <row r="996" spans="26:27">
      <c r="Z996" s="108"/>
      <c r="AA996" s="126"/>
    </row>
    <row r="997" spans="26:27">
      <c r="Z997" s="108"/>
      <c r="AA997" s="126"/>
    </row>
    <row r="998" spans="26:27">
      <c r="Z998" s="108"/>
      <c r="AA998" s="126"/>
    </row>
    <row r="999" spans="26:27">
      <c r="Z999" s="108"/>
      <c r="AA999" s="126"/>
    </row>
    <row r="1000" spans="26:27">
      <c r="Z1000" s="108"/>
      <c r="AA1000" s="126"/>
    </row>
    <row r="1001" spans="26:27">
      <c r="Z1001" s="108"/>
      <c r="AA1001" s="126"/>
    </row>
    <row r="1002" spans="26:27">
      <c r="Z1002" s="108"/>
      <c r="AA1002" s="126"/>
    </row>
    <row r="1003" spans="26:27">
      <c r="Z1003" s="108"/>
      <c r="AA1003" s="126"/>
    </row>
    <row r="1004" spans="26:27">
      <c r="Z1004" s="108"/>
      <c r="AA1004" s="126"/>
    </row>
    <row r="1005" spans="26:27">
      <c r="Z1005" s="108"/>
      <c r="AA1005" s="126"/>
    </row>
    <row r="1006" spans="26:27">
      <c r="Z1006" s="108"/>
      <c r="AA1006" s="126"/>
    </row>
    <row r="1007" spans="26:27">
      <c r="Z1007" s="108"/>
      <c r="AA1007" s="126"/>
    </row>
    <row r="1008" spans="26:27">
      <c r="Z1008" s="108"/>
      <c r="AA1008" s="126"/>
    </row>
    <row r="1009" spans="26:27">
      <c r="Z1009" s="108"/>
      <c r="AA1009" s="126"/>
    </row>
    <row r="1010" spans="26:27">
      <c r="Z1010" s="108"/>
      <c r="AA1010" s="126"/>
    </row>
    <row r="1011" spans="26:27">
      <c r="Z1011" s="108"/>
      <c r="AA1011" s="126"/>
    </row>
    <row r="1012" spans="26:27">
      <c r="Z1012" s="108"/>
      <c r="AA1012" s="126"/>
    </row>
    <row r="1013" spans="26:27">
      <c r="Z1013" s="108"/>
      <c r="AA1013" s="126"/>
    </row>
    <row r="1014" spans="26:27">
      <c r="Z1014" s="108"/>
      <c r="AA1014" s="126"/>
    </row>
    <row r="1015" spans="26:27">
      <c r="Z1015" s="108"/>
      <c r="AA1015" s="126"/>
    </row>
    <row r="1016" spans="26:27">
      <c r="Z1016" s="108"/>
      <c r="AA1016" s="126"/>
    </row>
  </sheetData>
  <autoFilter ref="A3:AH879"/>
  <sortState ref="AB1552:AG1725">
    <sortCondition ref="AF1552:AF1725"/>
  </sortState>
  <mergeCells count="1">
    <mergeCell ref="Y1:AA2"/>
  </mergeCells>
  <conditionalFormatting sqref="L4:L855 L868:L881">
    <cfRule type="cellIs" dxfId="27" priority="8" operator="notEqual">
      <formula>1</formula>
    </cfRule>
  </conditionalFormatting>
  <conditionalFormatting sqref="L863:L867">
    <cfRule type="cellIs" dxfId="26" priority="3" operator="notEqual">
      <formula>1</formula>
    </cfRule>
  </conditionalFormatting>
  <conditionalFormatting sqref="L858:L862">
    <cfRule type="cellIs" dxfId="25" priority="2" operator="notEqual">
      <formula>1</formula>
    </cfRule>
  </conditionalFormatting>
  <conditionalFormatting sqref="L856:L857">
    <cfRule type="cellIs" dxfId="24" priority="1" operator="notEqual">
      <formula>1</formula>
    </cfRule>
  </conditionalFormatting>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filterMode="1"/>
  <dimension ref="A1:AF414"/>
  <sheetViews>
    <sheetView workbookViewId="0">
      <selection sqref="A1:AF414"/>
    </sheetView>
  </sheetViews>
  <sheetFormatPr defaultRowHeight="12"/>
  <cols>
    <col min="1" max="1" width="6.83203125" style="98" customWidth="1"/>
    <col min="2" max="2" width="12.33203125" style="95" bestFit="1" customWidth="1"/>
    <col min="3" max="3" width="9.5" style="95" bestFit="1" customWidth="1"/>
    <col min="4" max="4" width="15" style="95" bestFit="1" customWidth="1"/>
    <col min="5" max="5" width="12.1640625" style="127" customWidth="1"/>
    <col min="6" max="6" width="11.33203125" style="95" customWidth="1"/>
    <col min="7" max="7" width="16" style="95" customWidth="1"/>
    <col min="8" max="9" width="15.33203125" style="98" bestFit="1" customWidth="1"/>
    <col min="10" max="10" width="14.33203125" style="98" bestFit="1" customWidth="1"/>
    <col min="11" max="11" width="17" style="98" customWidth="1"/>
    <col min="12" max="12" width="16" style="98" bestFit="1" customWidth="1"/>
    <col min="13" max="13" width="15.33203125" style="98" bestFit="1" customWidth="1"/>
    <col min="14" max="14" width="9.33203125" style="98"/>
    <col min="15" max="15" width="19" style="98" bestFit="1" customWidth="1"/>
    <col min="16" max="16" width="18.5" style="98" customWidth="1"/>
    <col min="17" max="19" width="9.33203125" style="98"/>
    <col min="20" max="20" width="10.83203125" style="95" bestFit="1" customWidth="1"/>
    <col min="21" max="21" width="21.6640625" style="95" bestFit="1" customWidth="1"/>
    <col min="22" max="22" width="18.6640625" style="98" bestFit="1" customWidth="1"/>
    <col min="23" max="24" width="9.33203125" style="98"/>
    <col min="25" max="26" width="9.5" style="98" bestFit="1" customWidth="1"/>
    <col min="27" max="27" width="11.33203125" style="98" bestFit="1" customWidth="1"/>
    <col min="28" max="16384" width="9.33203125" style="98"/>
  </cols>
  <sheetData>
    <row r="1" spans="1:28" s="107" customFormat="1" ht="68.25" customHeight="1">
      <c r="A1" s="100" t="s">
        <v>32</v>
      </c>
      <c r="B1" s="100" t="s">
        <v>62</v>
      </c>
      <c r="C1" s="100" t="s">
        <v>33</v>
      </c>
      <c r="D1" s="100" t="s">
        <v>52</v>
      </c>
      <c r="E1" s="101" t="s">
        <v>53</v>
      </c>
      <c r="F1" s="102" t="s">
        <v>35</v>
      </c>
      <c r="G1" s="103" t="s">
        <v>705</v>
      </c>
      <c r="H1" s="102" t="s">
        <v>44</v>
      </c>
      <c r="I1" s="102" t="s">
        <v>45</v>
      </c>
      <c r="J1" s="105" t="s">
        <v>46</v>
      </c>
      <c r="K1" s="106" t="s">
        <v>673</v>
      </c>
      <c r="L1" s="100" t="s">
        <v>674</v>
      </c>
      <c r="M1" s="100" t="s">
        <v>675</v>
      </c>
      <c r="T1" s="98" t="s">
        <v>681</v>
      </c>
      <c r="U1" s="98" t="s">
        <v>682</v>
      </c>
      <c r="V1" s="98" t="s">
        <v>683</v>
      </c>
      <c r="Y1" s="107" t="s">
        <v>698</v>
      </c>
      <c r="Z1" s="107" t="s">
        <v>699</v>
      </c>
      <c r="AA1" s="107" t="s">
        <v>4</v>
      </c>
      <c r="AB1" s="107" t="s">
        <v>9</v>
      </c>
    </row>
    <row r="2" spans="1:28" hidden="1">
      <c r="A2" s="108">
        <v>1</v>
      </c>
      <c r="B2" s="109" t="str">
        <f t="shared" ref="B2:B65" si="0">TEXT(T2,"mmm yyyy")</f>
        <v>Jan 2016</v>
      </c>
      <c r="C2" s="110" t="str">
        <f t="shared" ref="C2:C65" si="1">AB2</f>
        <v>RLS</v>
      </c>
      <c r="D2" s="110" t="str">
        <f t="shared" ref="D2:D65" si="2">AA2</f>
        <v>LE_900POLE</v>
      </c>
      <c r="E2" s="569">
        <f t="shared" ref="E2:E33" si="3">SUMIFS(L_1051_Count_Total,L_1051_Revenue_Month,$B2,L_1051_RateCategory,$D2,L_1051_Light_Category,C2)</f>
        <v>1675</v>
      </c>
      <c r="F2" s="116">
        <f>SUMIF(PoleRates!$E$4:$E$131,$U2,PoleRates!$F$4:$F$131)</f>
        <v>2.06</v>
      </c>
      <c r="G2" s="118">
        <f>ROUND($E2*$F2,2)</f>
        <v>3450.5</v>
      </c>
      <c r="H2" s="118">
        <f>G2</f>
        <v>3450.5</v>
      </c>
      <c r="I2" s="570">
        <f t="shared" ref="I2:I65" si="4">SUMIFS(L_1051_Revenue_Total,L_1051_Revenue_Month,$B2,L_1051_RateCategory,$D2,L_1051_Light_Category,C2)</f>
        <v>0</v>
      </c>
      <c r="J2" s="121">
        <f t="shared" ref="J2:J44" si="5">IF(AND(H2=0,I2=0),1,IF(H2=0,0,I2/H2))</f>
        <v>0</v>
      </c>
      <c r="K2" s="122">
        <f t="shared" ref="K2:K65" si="6">SUMIFS(L_1051_Revenue_Total,L_1051_Revenue_Month,$B2,L_1051_RateCategory,$D2,L_1051_Light_Category,C2)</f>
        <v>0</v>
      </c>
      <c r="L2" s="123">
        <f>H2</f>
        <v>3450.5</v>
      </c>
      <c r="M2" s="123">
        <f>ROUND(K2-L2,2)</f>
        <v>-3450.5</v>
      </c>
      <c r="T2" s="109">
        <f>MiscData!$A$5</f>
        <v>42400</v>
      </c>
      <c r="U2" s="108" t="str">
        <f t="shared" ref="U2:U31" si="7">CONCATENATE(Y2&amp;AA2)</f>
        <v>20140101LE_900POLE</v>
      </c>
      <c r="V2" s="126" t="str">
        <f t="shared" ref="V2:V31" si="8">CONCATENATE(Y2&amp;AB2)</f>
        <v>20140101RLS</v>
      </c>
      <c r="Y2" s="98">
        <f>MiscData!$X$5</f>
        <v>20140101</v>
      </c>
      <c r="Z2" s="98">
        <v>1</v>
      </c>
      <c r="AA2" s="98" t="str">
        <f>VLOOKUP(Z2,MiscData!$AF$5:$AG$22,2,FALSE)</f>
        <v>LE_900POLE</v>
      </c>
      <c r="AB2" s="98" t="str">
        <f>VLOOKUP(Z2,MiscData!$AF$5:$AH$22,3,FALSE)</f>
        <v>RLS</v>
      </c>
    </row>
    <row r="3" spans="1:28" hidden="1">
      <c r="A3" s="108">
        <f>A2+1</f>
        <v>2</v>
      </c>
      <c r="B3" s="109" t="str">
        <f t="shared" si="0"/>
        <v>Jan 2016</v>
      </c>
      <c r="C3" s="110" t="str">
        <f t="shared" si="1"/>
        <v xml:space="preserve">LS </v>
      </c>
      <c r="D3" s="110" t="str">
        <f t="shared" si="2"/>
        <v>LE_900POLE</v>
      </c>
      <c r="E3" s="569">
        <f t="shared" si="3"/>
        <v>5267</v>
      </c>
      <c r="F3" s="116">
        <f>SUMIF(PoleRates!$E$4:$E$131,$U3,PoleRates!$F$4:$F$131)</f>
        <v>2.06</v>
      </c>
      <c r="G3" s="118">
        <f t="shared" ref="G3:G66" si="9">ROUND($E3*$F3,2)</f>
        <v>10850.02</v>
      </c>
      <c r="H3" s="118">
        <f t="shared" ref="H3:H66" si="10">G3</f>
        <v>10850.02</v>
      </c>
      <c r="I3" s="570">
        <f t="shared" si="4"/>
        <v>0</v>
      </c>
      <c r="J3" s="121">
        <f t="shared" si="5"/>
        <v>0</v>
      </c>
      <c r="K3" s="122">
        <f t="shared" si="6"/>
        <v>0</v>
      </c>
      <c r="L3" s="123">
        <f t="shared" ref="L3:L67" si="11">H3</f>
        <v>10850.02</v>
      </c>
      <c r="M3" s="123">
        <f t="shared" ref="M3:M66" si="12">ROUND(K3-L3,2)</f>
        <v>-10850.02</v>
      </c>
      <c r="T3" s="109">
        <f>IF(Z3=1,IF(T2=MiscData!$F$1,EOMONTH(T2,-11),EOMONTH(T2,1)),T2)</f>
        <v>42400</v>
      </c>
      <c r="U3" s="108" t="str">
        <f t="shared" si="7"/>
        <v>20140101LE_900POLE</v>
      </c>
      <c r="V3" s="126" t="str">
        <f t="shared" si="8"/>
        <v xml:space="preserve">20140101LS </v>
      </c>
      <c r="Y3" s="98">
        <f>MiscData!$X$5</f>
        <v>20140101</v>
      </c>
      <c r="Z3" s="98">
        <f>IF(Z2+1&gt;MiscData!$AF$28,1,Z2+1)</f>
        <v>2</v>
      </c>
      <c r="AA3" s="98" t="str">
        <f>VLOOKUP(Z3,MiscData!$AF$5:$AG$28,2,FALSE)</f>
        <v>LE_900POLE</v>
      </c>
      <c r="AB3" s="98" t="str">
        <f>VLOOKUP(Z3,MiscData!$AF$5:$AH$28,3,FALSE)</f>
        <v xml:space="preserve">LS </v>
      </c>
    </row>
    <row r="4" spans="1:28" hidden="1">
      <c r="A4" s="108">
        <f t="shared" ref="A4:A66" si="13">A3+1</f>
        <v>3</v>
      </c>
      <c r="B4" s="109" t="str">
        <f t="shared" si="0"/>
        <v>Jan 2016</v>
      </c>
      <c r="C4" s="110" t="str">
        <f t="shared" si="1"/>
        <v>RLS</v>
      </c>
      <c r="D4" s="110" t="str">
        <f t="shared" si="2"/>
        <v>LE_901POLE</v>
      </c>
      <c r="E4" s="569">
        <f t="shared" si="3"/>
        <v>157</v>
      </c>
      <c r="F4" s="116">
        <f>SUMIF(PoleRates!$E$4:$E$131,$U4,PoleRates!$F$4:$F$131)</f>
        <v>10.81</v>
      </c>
      <c r="G4" s="118">
        <f t="shared" si="9"/>
        <v>1697.17</v>
      </c>
      <c r="H4" s="118">
        <f t="shared" si="10"/>
        <v>1697.17</v>
      </c>
      <c r="I4" s="570">
        <f t="shared" si="4"/>
        <v>0</v>
      </c>
      <c r="J4" s="121">
        <f t="shared" si="5"/>
        <v>0</v>
      </c>
      <c r="K4" s="122">
        <f t="shared" si="6"/>
        <v>0</v>
      </c>
      <c r="L4" s="123">
        <f t="shared" si="11"/>
        <v>1697.17</v>
      </c>
      <c r="M4" s="123">
        <f t="shared" si="12"/>
        <v>-1697.17</v>
      </c>
      <c r="T4" s="109">
        <f>IF(Z4=1,IF(T3=MiscData!$F$1,EOMONTH(T3,-11),EOMONTH(T3,1)),T3)</f>
        <v>42400</v>
      </c>
      <c r="U4" s="108" t="str">
        <f t="shared" si="7"/>
        <v>20140101LE_901POLE</v>
      </c>
      <c r="V4" s="126" t="str">
        <f t="shared" si="8"/>
        <v>20140101RLS</v>
      </c>
      <c r="Y4" s="98">
        <f>MiscData!$X$5</f>
        <v>20140101</v>
      </c>
      <c r="Z4" s="98">
        <f>IF(Z3+1&gt;MiscData!$AF$28,1,Z3+1)</f>
        <v>3</v>
      </c>
      <c r="AA4" s="98" t="str">
        <f>VLOOKUP(Z4,MiscData!$AF$5:$AG$28,2,FALSE)</f>
        <v>LE_901POLE</v>
      </c>
      <c r="AB4" s="98" t="str">
        <f>VLOOKUP(Z4,MiscData!$AF$5:$AH$28,3,FALSE)</f>
        <v>RLS</v>
      </c>
    </row>
    <row r="5" spans="1:28" hidden="1">
      <c r="A5" s="108">
        <f t="shared" si="13"/>
        <v>4</v>
      </c>
      <c r="B5" s="109" t="str">
        <f t="shared" si="0"/>
        <v>Jan 2016</v>
      </c>
      <c r="C5" s="110" t="str">
        <f t="shared" si="1"/>
        <v xml:space="preserve">LS </v>
      </c>
      <c r="D5" s="110" t="str">
        <f t="shared" si="2"/>
        <v>LE_901POLE</v>
      </c>
      <c r="E5" s="569">
        <f t="shared" si="3"/>
        <v>0</v>
      </c>
      <c r="F5" s="116">
        <f>SUMIF(PoleRates!$E$4:$E$131,$U5,PoleRates!$F$4:$F$131)</f>
        <v>10.81</v>
      </c>
      <c r="G5" s="118">
        <f t="shared" si="9"/>
        <v>0</v>
      </c>
      <c r="H5" s="118">
        <f t="shared" si="10"/>
        <v>0</v>
      </c>
      <c r="I5" s="570">
        <f t="shared" si="4"/>
        <v>0</v>
      </c>
      <c r="J5" s="121">
        <f t="shared" si="5"/>
        <v>1</v>
      </c>
      <c r="K5" s="122">
        <f t="shared" si="6"/>
        <v>0</v>
      </c>
      <c r="L5" s="123">
        <f t="shared" si="11"/>
        <v>0</v>
      </c>
      <c r="M5" s="123">
        <f t="shared" si="12"/>
        <v>0</v>
      </c>
      <c r="T5" s="109">
        <f>IF(Z5=1,IF(T4=MiscData!$F$1,EOMONTH(T4,-11),EOMONTH(T4,1)),T4)</f>
        <v>42400</v>
      </c>
      <c r="U5" s="108" t="str">
        <f t="shared" si="7"/>
        <v>20140101LE_901POLE</v>
      </c>
      <c r="V5" s="126" t="str">
        <f t="shared" si="8"/>
        <v xml:space="preserve">20140101LS </v>
      </c>
      <c r="Y5" s="98">
        <f>MiscData!$X$5</f>
        <v>20140101</v>
      </c>
      <c r="Z5" s="98">
        <f>IF(Z4+1&gt;MiscData!$AF$28,1,Z4+1)</f>
        <v>4</v>
      </c>
      <c r="AA5" s="98" t="str">
        <f>VLOOKUP(Z5,MiscData!$AF$5:$AG$28,2,FALSE)</f>
        <v>LE_901POLE</v>
      </c>
      <c r="AB5" s="98" t="str">
        <f>VLOOKUP(Z5,MiscData!$AF$5:$AH$28,3,FALSE)</f>
        <v xml:space="preserve">LS </v>
      </c>
    </row>
    <row r="6" spans="1:28" hidden="1">
      <c r="A6" s="108">
        <f t="shared" si="13"/>
        <v>5</v>
      </c>
      <c r="B6" s="109" t="str">
        <f t="shared" si="0"/>
        <v>Jan 2016</v>
      </c>
      <c r="C6" s="110" t="str">
        <f t="shared" si="1"/>
        <v>RLS</v>
      </c>
      <c r="D6" s="110" t="str">
        <f t="shared" si="2"/>
        <v>LE_902POLE</v>
      </c>
      <c r="E6" s="569">
        <f t="shared" si="3"/>
        <v>277</v>
      </c>
      <c r="F6" s="116">
        <f>SUMIF(PoleRates!$E$4:$E$131,$U6,PoleRates!$F$4:$F$131)</f>
        <v>12.9</v>
      </c>
      <c r="G6" s="118">
        <f t="shared" si="9"/>
        <v>3573.3</v>
      </c>
      <c r="H6" s="118">
        <f t="shared" si="10"/>
        <v>3573.3</v>
      </c>
      <c r="I6" s="570">
        <f t="shared" si="4"/>
        <v>0</v>
      </c>
      <c r="J6" s="121">
        <f t="shared" si="5"/>
        <v>0</v>
      </c>
      <c r="K6" s="122">
        <f t="shared" si="6"/>
        <v>0</v>
      </c>
      <c r="L6" s="123">
        <f t="shared" si="11"/>
        <v>3573.3</v>
      </c>
      <c r="M6" s="123">
        <f t="shared" si="12"/>
        <v>-3573.3</v>
      </c>
      <c r="T6" s="109">
        <f>IF(Z6=1,IF(T5=MiscData!$F$1,EOMONTH(T5,-11),EOMONTH(T5,1)),T5)</f>
        <v>42400</v>
      </c>
      <c r="U6" s="108" t="str">
        <f t="shared" si="7"/>
        <v>20140101LE_902POLE</v>
      </c>
      <c r="V6" s="126" t="str">
        <f t="shared" si="8"/>
        <v>20140101RLS</v>
      </c>
      <c r="Y6" s="98">
        <f>MiscData!$X$5</f>
        <v>20140101</v>
      </c>
      <c r="Z6" s="98">
        <f>IF(Z5+1&gt;MiscData!$AF$28,1,Z5+1)</f>
        <v>5</v>
      </c>
      <c r="AA6" s="98" t="str">
        <f>VLOOKUP(Z6,MiscData!$AF$5:$AG$28,2,FALSE)</f>
        <v>LE_902POLE</v>
      </c>
      <c r="AB6" s="98" t="str">
        <f>VLOOKUP(Z6,MiscData!$AF$5:$AH$28,3,FALSE)</f>
        <v>RLS</v>
      </c>
    </row>
    <row r="7" spans="1:28" hidden="1">
      <c r="A7" s="108">
        <f t="shared" si="13"/>
        <v>6</v>
      </c>
      <c r="B7" s="109" t="str">
        <f t="shared" si="0"/>
        <v>Jan 2016</v>
      </c>
      <c r="C7" s="110" t="str">
        <f t="shared" si="1"/>
        <v xml:space="preserve">LS </v>
      </c>
      <c r="D7" s="110" t="str">
        <f t="shared" si="2"/>
        <v>LE_902POLE</v>
      </c>
      <c r="E7" s="569">
        <f t="shared" si="3"/>
        <v>3</v>
      </c>
      <c r="F7" s="116">
        <f>SUMIF(PoleRates!$E$4:$E$131,$U7,PoleRates!$F$4:$F$131)</f>
        <v>12.9</v>
      </c>
      <c r="G7" s="118">
        <f t="shared" si="9"/>
        <v>38.700000000000003</v>
      </c>
      <c r="H7" s="118">
        <f t="shared" si="10"/>
        <v>38.700000000000003</v>
      </c>
      <c r="I7" s="570">
        <f t="shared" si="4"/>
        <v>0</v>
      </c>
      <c r="J7" s="121">
        <f t="shared" si="5"/>
        <v>0</v>
      </c>
      <c r="K7" s="122">
        <f t="shared" si="6"/>
        <v>0</v>
      </c>
      <c r="L7" s="123">
        <f t="shared" si="11"/>
        <v>38.700000000000003</v>
      </c>
      <c r="M7" s="123">
        <f t="shared" si="12"/>
        <v>-38.700000000000003</v>
      </c>
      <c r="T7" s="109">
        <f>IF(Z7=1,IF(T6=MiscData!$F$1,EOMONTH(T6,-11),EOMONTH(T6,1)),T6)</f>
        <v>42400</v>
      </c>
      <c r="U7" s="108" t="str">
        <f t="shared" si="7"/>
        <v>20140101LE_902POLE</v>
      </c>
      <c r="V7" s="126" t="str">
        <f t="shared" si="8"/>
        <v xml:space="preserve">20140101LS </v>
      </c>
      <c r="Y7" s="98">
        <f>MiscData!$X$5</f>
        <v>20140101</v>
      </c>
      <c r="Z7" s="98">
        <f>IF(Z6+1&gt;MiscData!$AF$28,1,Z6+1)</f>
        <v>6</v>
      </c>
      <c r="AA7" s="98" t="str">
        <f>VLOOKUP(Z7,MiscData!$AF$5:$AG$28,2,FALSE)</f>
        <v>LE_902POLE</v>
      </c>
      <c r="AB7" s="98" t="str">
        <f>VLOOKUP(Z7,MiscData!$AF$5:$AH$28,3,FALSE)</f>
        <v xml:space="preserve">LS </v>
      </c>
    </row>
    <row r="8" spans="1:28" hidden="1">
      <c r="A8" s="108">
        <f t="shared" si="13"/>
        <v>7</v>
      </c>
      <c r="B8" s="109" t="str">
        <f t="shared" si="0"/>
        <v>Jan 2016</v>
      </c>
      <c r="C8" s="110" t="str">
        <f t="shared" si="1"/>
        <v>RLS</v>
      </c>
      <c r="D8" s="110" t="str">
        <f t="shared" si="2"/>
        <v>LE_950BASE</v>
      </c>
      <c r="E8" s="569">
        <f t="shared" si="3"/>
        <v>77</v>
      </c>
      <c r="F8" s="116">
        <f>SUMIF(PoleRates!$E$4:$E$131,$U8,PoleRates!$F$4:$F$131)</f>
        <v>3.47</v>
      </c>
      <c r="G8" s="118">
        <f t="shared" si="9"/>
        <v>267.19</v>
      </c>
      <c r="H8" s="118">
        <f t="shared" si="10"/>
        <v>267.19</v>
      </c>
      <c r="I8" s="570">
        <f t="shared" si="4"/>
        <v>0</v>
      </c>
      <c r="J8" s="121">
        <f t="shared" si="5"/>
        <v>0</v>
      </c>
      <c r="K8" s="122">
        <f t="shared" si="6"/>
        <v>0</v>
      </c>
      <c r="L8" s="123">
        <f t="shared" si="11"/>
        <v>267.19</v>
      </c>
      <c r="M8" s="123">
        <f t="shared" si="12"/>
        <v>-267.19</v>
      </c>
      <c r="T8" s="109">
        <f>IF(Z8=1,IF(T7=MiscData!$F$1,EOMONTH(T7,-11),EOMONTH(T7,1)),T7)</f>
        <v>42400</v>
      </c>
      <c r="U8" s="108" t="str">
        <f t="shared" si="7"/>
        <v>20140101LE_950BASE</v>
      </c>
      <c r="V8" s="126" t="str">
        <f t="shared" si="8"/>
        <v>20140101RLS</v>
      </c>
      <c r="Y8" s="98">
        <f>MiscData!$X$5</f>
        <v>20140101</v>
      </c>
      <c r="Z8" s="98">
        <f>IF(Z7+1&gt;MiscData!$AF$28,1,Z7+1)</f>
        <v>7</v>
      </c>
      <c r="AA8" s="98" t="str">
        <f>VLOOKUP(Z8,MiscData!$AF$5:$AG$28,2,FALSE)</f>
        <v>LE_950BASE</v>
      </c>
      <c r="AB8" s="98" t="str">
        <f>VLOOKUP(Z8,MiscData!$AF$5:$AH$28,3,FALSE)</f>
        <v>RLS</v>
      </c>
    </row>
    <row r="9" spans="1:28" hidden="1">
      <c r="A9" s="108">
        <f t="shared" si="13"/>
        <v>8</v>
      </c>
      <c r="B9" s="109" t="str">
        <f t="shared" si="0"/>
        <v>Jan 2016</v>
      </c>
      <c r="C9" s="110" t="str">
        <f t="shared" si="1"/>
        <v xml:space="preserve">LS </v>
      </c>
      <c r="D9" s="110" t="str">
        <f t="shared" si="2"/>
        <v>LE_950BASE</v>
      </c>
      <c r="E9" s="569">
        <f t="shared" si="3"/>
        <v>13</v>
      </c>
      <c r="F9" s="116">
        <f>SUMIF(PoleRates!$E$4:$E$131,$U9,PoleRates!$F$4:$F$131)</f>
        <v>3.47</v>
      </c>
      <c r="G9" s="118">
        <f t="shared" si="9"/>
        <v>45.11</v>
      </c>
      <c r="H9" s="118">
        <f t="shared" si="10"/>
        <v>45.11</v>
      </c>
      <c r="I9" s="570">
        <f t="shared" si="4"/>
        <v>0</v>
      </c>
      <c r="J9" s="121">
        <f t="shared" si="5"/>
        <v>0</v>
      </c>
      <c r="K9" s="122">
        <f t="shared" si="6"/>
        <v>0</v>
      </c>
      <c r="L9" s="123">
        <f t="shared" si="11"/>
        <v>45.11</v>
      </c>
      <c r="M9" s="123">
        <f t="shared" si="12"/>
        <v>-45.11</v>
      </c>
      <c r="T9" s="109">
        <f>IF(Z9=1,IF(T8=MiscData!$F$1,EOMONTH(T8,-11),EOMONTH(T8,1)),T8)</f>
        <v>42400</v>
      </c>
      <c r="U9" s="108" t="str">
        <f t="shared" si="7"/>
        <v>20140101LE_950BASE</v>
      </c>
      <c r="V9" s="126" t="str">
        <f t="shared" si="8"/>
        <v xml:space="preserve">20140101LS </v>
      </c>
      <c r="Y9" s="98">
        <f>MiscData!$X$5</f>
        <v>20140101</v>
      </c>
      <c r="Z9" s="98">
        <f>IF(Z8+1&gt;MiscData!$AF$28,1,Z8+1)</f>
        <v>8</v>
      </c>
      <c r="AA9" s="98" t="str">
        <f>VLOOKUP(Z9,MiscData!$AF$5:$AG$28,2,FALSE)</f>
        <v>LE_950BASE</v>
      </c>
      <c r="AB9" s="98" t="str">
        <f>VLOOKUP(Z9,MiscData!$AF$5:$AH$28,3,FALSE)</f>
        <v xml:space="preserve">LS </v>
      </c>
    </row>
    <row r="10" spans="1:28" hidden="1">
      <c r="A10" s="108">
        <f t="shared" si="13"/>
        <v>9</v>
      </c>
      <c r="B10" s="109" t="str">
        <f t="shared" si="0"/>
        <v>Jan 2016</v>
      </c>
      <c r="C10" s="110" t="str">
        <f t="shared" si="1"/>
        <v>RLS</v>
      </c>
      <c r="D10" s="110" t="str">
        <f t="shared" si="2"/>
        <v>LE_951BASE</v>
      </c>
      <c r="E10" s="569">
        <f t="shared" si="3"/>
        <v>195</v>
      </c>
      <c r="F10" s="116">
        <f>SUMIF(PoleRates!$E$4:$E$131,$U10,PoleRates!$F$4:$F$131)</f>
        <v>3.73</v>
      </c>
      <c r="G10" s="118">
        <f t="shared" si="9"/>
        <v>727.35</v>
      </c>
      <c r="H10" s="118">
        <f t="shared" si="10"/>
        <v>727.35</v>
      </c>
      <c r="I10" s="570">
        <f t="shared" si="4"/>
        <v>0</v>
      </c>
      <c r="J10" s="121">
        <f t="shared" si="5"/>
        <v>0</v>
      </c>
      <c r="K10" s="122">
        <f t="shared" si="6"/>
        <v>0</v>
      </c>
      <c r="L10" s="123">
        <f t="shared" si="11"/>
        <v>727.35</v>
      </c>
      <c r="M10" s="123">
        <f t="shared" si="12"/>
        <v>-727.35</v>
      </c>
      <c r="T10" s="109">
        <f>IF(Z10=1,IF(T9=MiscData!$F$1,EOMONTH(T9,-11),EOMONTH(T9,1)),T9)</f>
        <v>42400</v>
      </c>
      <c r="U10" s="108" t="str">
        <f t="shared" si="7"/>
        <v>20140101LE_951BASE</v>
      </c>
      <c r="V10" s="126" t="str">
        <f t="shared" si="8"/>
        <v>20140101RLS</v>
      </c>
      <c r="Y10" s="98">
        <f>MiscData!$X$5</f>
        <v>20140101</v>
      </c>
      <c r="Z10" s="98">
        <f>IF(Z9+1&gt;MiscData!$AF$28,1,Z9+1)</f>
        <v>9</v>
      </c>
      <c r="AA10" s="98" t="str">
        <f>VLOOKUP(Z10,MiscData!$AF$5:$AG$28,2,FALSE)</f>
        <v>LE_951BASE</v>
      </c>
      <c r="AB10" s="98" t="str">
        <f>VLOOKUP(Z10,MiscData!$AF$5:$AH$28,3,FALSE)</f>
        <v>RLS</v>
      </c>
    </row>
    <row r="11" spans="1:28" hidden="1">
      <c r="A11" s="108">
        <f t="shared" si="13"/>
        <v>10</v>
      </c>
      <c r="B11" s="109" t="str">
        <f t="shared" si="0"/>
        <v>Jan 2016</v>
      </c>
      <c r="C11" s="110" t="str">
        <f t="shared" si="1"/>
        <v xml:space="preserve">LS </v>
      </c>
      <c r="D11" s="110" t="str">
        <f t="shared" si="2"/>
        <v>LE_951BASE</v>
      </c>
      <c r="E11" s="569">
        <f t="shared" si="3"/>
        <v>69</v>
      </c>
      <c r="F11" s="116">
        <f>SUMIF(PoleRates!$E$4:$E$131,$U11,PoleRates!$F$4:$F$131)</f>
        <v>3.73</v>
      </c>
      <c r="G11" s="118">
        <f t="shared" si="9"/>
        <v>257.37</v>
      </c>
      <c r="H11" s="118">
        <f t="shared" si="10"/>
        <v>257.37</v>
      </c>
      <c r="I11" s="570">
        <f t="shared" si="4"/>
        <v>0</v>
      </c>
      <c r="J11" s="121">
        <f t="shared" si="5"/>
        <v>0</v>
      </c>
      <c r="K11" s="122">
        <f t="shared" si="6"/>
        <v>0</v>
      </c>
      <c r="L11" s="123">
        <f t="shared" si="11"/>
        <v>257.37</v>
      </c>
      <c r="M11" s="123">
        <f t="shared" si="12"/>
        <v>-257.37</v>
      </c>
      <c r="T11" s="109">
        <f>IF(Z11=1,IF(T10=MiscData!$F$1,EOMONTH(T10,-11),EOMONTH(T10,1)),T10)</f>
        <v>42400</v>
      </c>
      <c r="U11" s="108" t="str">
        <f t="shared" si="7"/>
        <v>20140101LE_951BASE</v>
      </c>
      <c r="V11" s="126" t="str">
        <f t="shared" si="8"/>
        <v xml:space="preserve">20140101LS </v>
      </c>
      <c r="Y11" s="98">
        <f>MiscData!$X$5</f>
        <v>20140101</v>
      </c>
      <c r="Z11" s="98">
        <f>IF(Z10+1&gt;MiscData!$AF$28,1,Z10+1)</f>
        <v>10</v>
      </c>
      <c r="AA11" s="98" t="str">
        <f>VLOOKUP(Z11,MiscData!$AF$5:$AG$28,2,FALSE)</f>
        <v>LE_951BASE</v>
      </c>
      <c r="AB11" s="98" t="str">
        <f>VLOOKUP(Z11,MiscData!$AF$5:$AH$28,3,FALSE)</f>
        <v xml:space="preserve">LS </v>
      </c>
    </row>
    <row r="12" spans="1:28">
      <c r="A12" s="108">
        <f t="shared" si="13"/>
        <v>11</v>
      </c>
      <c r="B12" s="109" t="str">
        <f t="shared" si="0"/>
        <v>Jan 2016</v>
      </c>
      <c r="C12" s="110" t="str">
        <f t="shared" si="1"/>
        <v>RLS</v>
      </c>
      <c r="D12" s="110" t="str">
        <f t="shared" si="2"/>
        <v>LE_952BASE</v>
      </c>
      <c r="E12" s="569">
        <f t="shared" si="3"/>
        <v>0</v>
      </c>
      <c r="F12" s="116">
        <f>SUMIF(PoleRates!$E$4:$E$131,$U12,PoleRates!$F$4:$F$131)</f>
        <v>3.56</v>
      </c>
      <c r="G12" s="118">
        <f t="shared" si="9"/>
        <v>0</v>
      </c>
      <c r="H12" s="118">
        <f t="shared" si="10"/>
        <v>0</v>
      </c>
      <c r="I12" s="570">
        <f t="shared" si="4"/>
        <v>0</v>
      </c>
      <c r="J12" s="121">
        <f t="shared" si="5"/>
        <v>1</v>
      </c>
      <c r="K12" s="122">
        <f t="shared" si="6"/>
        <v>0</v>
      </c>
      <c r="L12" s="123">
        <f t="shared" si="11"/>
        <v>0</v>
      </c>
      <c r="M12" s="123">
        <f t="shared" si="12"/>
        <v>0</v>
      </c>
      <c r="T12" s="109">
        <f>IF(Z12=1,IF(T11=MiscData!$F$1,EOMONTH(T11,-11),EOMONTH(T11,1)),T11)</f>
        <v>42400</v>
      </c>
      <c r="U12" s="108" t="str">
        <f t="shared" si="7"/>
        <v>20140101LE_952BASE</v>
      </c>
      <c r="V12" s="126" t="str">
        <f t="shared" si="8"/>
        <v>20140101RLS</v>
      </c>
      <c r="Y12" s="98">
        <f>MiscData!$X$5</f>
        <v>20140101</v>
      </c>
      <c r="Z12" s="98">
        <f>IF(Z11+1&gt;MiscData!$AF$28,1,Z11+1)</f>
        <v>11</v>
      </c>
      <c r="AA12" s="98" t="str">
        <f>VLOOKUP(Z12,MiscData!$AF$5:$AG$28,2,FALSE)</f>
        <v>LE_952BASE</v>
      </c>
      <c r="AB12" s="98" t="str">
        <f>VLOOKUP(Z12,MiscData!$AF$5:$AH$28,3,FALSE)</f>
        <v>RLS</v>
      </c>
    </row>
    <row r="13" spans="1:28" hidden="1">
      <c r="A13" s="108">
        <f t="shared" si="13"/>
        <v>12</v>
      </c>
      <c r="B13" s="109" t="str">
        <f t="shared" si="0"/>
        <v>Jan 2016</v>
      </c>
      <c r="C13" s="110" t="str">
        <f t="shared" si="1"/>
        <v xml:space="preserve">LS </v>
      </c>
      <c r="D13" s="110" t="str">
        <f t="shared" si="2"/>
        <v>LE_952BASE</v>
      </c>
      <c r="E13" s="569">
        <f t="shared" si="3"/>
        <v>0</v>
      </c>
      <c r="F13" s="116">
        <f>SUMIF(PoleRates!$E$4:$E$131,$U13,PoleRates!$F$4:$F$131)</f>
        <v>3.56</v>
      </c>
      <c r="G13" s="118">
        <f t="shared" si="9"/>
        <v>0</v>
      </c>
      <c r="H13" s="118">
        <f t="shared" si="10"/>
        <v>0</v>
      </c>
      <c r="I13" s="570">
        <f t="shared" si="4"/>
        <v>0</v>
      </c>
      <c r="J13" s="121">
        <f t="shared" si="5"/>
        <v>1</v>
      </c>
      <c r="K13" s="122">
        <f t="shared" si="6"/>
        <v>0</v>
      </c>
      <c r="L13" s="123">
        <f t="shared" si="11"/>
        <v>0</v>
      </c>
      <c r="M13" s="123">
        <f t="shared" si="12"/>
        <v>0</v>
      </c>
      <c r="T13" s="109">
        <f>IF(Z13=1,IF(T12=MiscData!$F$1,EOMONTH(T12,-11),EOMONTH(T12,1)),T12)</f>
        <v>42400</v>
      </c>
      <c r="U13" s="108" t="str">
        <f t="shared" si="7"/>
        <v>20140101LE_952BASE</v>
      </c>
      <c r="V13" s="126" t="str">
        <f t="shared" si="8"/>
        <v xml:space="preserve">20140101LS </v>
      </c>
      <c r="Y13" s="98">
        <f>MiscData!$X$5</f>
        <v>20140101</v>
      </c>
      <c r="Z13" s="98">
        <f>IF(Z12+1&gt;MiscData!$AF$28,1,Z12+1)</f>
        <v>12</v>
      </c>
      <c r="AA13" s="98" t="str">
        <f>VLOOKUP(Z13,MiscData!$AF$5:$AG$28,2,FALSE)</f>
        <v>LE_952BASE</v>
      </c>
      <c r="AB13" s="98" t="str">
        <f>VLOOKUP(Z13,MiscData!$AF$5:$AH$28,3,FALSE)</f>
        <v xml:space="preserve">LS </v>
      </c>
    </row>
    <row r="14" spans="1:28">
      <c r="A14" s="108">
        <f t="shared" si="13"/>
        <v>13</v>
      </c>
      <c r="B14" s="109" t="str">
        <f t="shared" si="0"/>
        <v>Jan 2016</v>
      </c>
      <c r="C14" s="110" t="str">
        <f t="shared" si="1"/>
        <v>RLS</v>
      </c>
      <c r="D14" s="110" t="str">
        <f t="shared" si="2"/>
        <v>LE_953BASE</v>
      </c>
      <c r="E14" s="569">
        <f t="shared" si="3"/>
        <v>0</v>
      </c>
      <c r="F14" s="116">
        <f>SUMIF(PoleRates!$E$4:$E$131,$U14,PoleRates!$F$4:$F$131)</f>
        <v>3.73</v>
      </c>
      <c r="G14" s="118">
        <f t="shared" si="9"/>
        <v>0</v>
      </c>
      <c r="H14" s="118">
        <f t="shared" si="10"/>
        <v>0</v>
      </c>
      <c r="I14" s="570">
        <f t="shared" si="4"/>
        <v>0</v>
      </c>
      <c r="J14" s="121">
        <f>IF(AND(H14=0,I14=0),1,IF(H14=0,0,I14/H14))</f>
        <v>1</v>
      </c>
      <c r="K14" s="122">
        <f t="shared" si="6"/>
        <v>0</v>
      </c>
      <c r="L14" s="123">
        <f t="shared" si="11"/>
        <v>0</v>
      </c>
      <c r="M14" s="123">
        <f t="shared" si="12"/>
        <v>0</v>
      </c>
      <c r="O14" s="571"/>
      <c r="P14" s="572"/>
      <c r="T14" s="109">
        <f>IF(Z14=1,IF(T13=MiscData!$F$1,EOMONTH(T13,-11),EOMONTH(T13,1)),T13)</f>
        <v>42400</v>
      </c>
      <c r="U14" s="108" t="str">
        <f t="shared" si="7"/>
        <v>20140101LE_953BASE</v>
      </c>
      <c r="V14" s="126" t="str">
        <f t="shared" si="8"/>
        <v>20140101RLS</v>
      </c>
      <c r="Y14" s="98">
        <f>MiscData!$X$5</f>
        <v>20140101</v>
      </c>
      <c r="Z14" s="98">
        <f>IF(Z13+1&gt;MiscData!$AF$28,1,Z13+1)</f>
        <v>13</v>
      </c>
      <c r="AA14" s="98" t="str">
        <f>VLOOKUP(Z14,MiscData!$AF$5:$AG$28,2,FALSE)</f>
        <v>LE_953BASE</v>
      </c>
      <c r="AB14" s="98" t="str">
        <f>VLOOKUP(Z14,MiscData!$AF$5:$AH$28,3,FALSE)</f>
        <v>RLS</v>
      </c>
    </row>
    <row r="15" spans="1:28" hidden="1">
      <c r="A15" s="108">
        <f t="shared" si="13"/>
        <v>14</v>
      </c>
      <c r="B15" s="109" t="str">
        <f t="shared" si="0"/>
        <v>Jan 2016</v>
      </c>
      <c r="C15" s="110" t="str">
        <f t="shared" si="1"/>
        <v xml:space="preserve">LS </v>
      </c>
      <c r="D15" s="110" t="str">
        <f t="shared" si="2"/>
        <v>LE_953BASE</v>
      </c>
      <c r="E15" s="569">
        <f t="shared" si="3"/>
        <v>0</v>
      </c>
      <c r="F15" s="116">
        <f>SUMIF(PoleRates!$E$4:$E$131,$U15,PoleRates!$F$4:$F$131)</f>
        <v>3.73</v>
      </c>
      <c r="G15" s="118">
        <f t="shared" si="9"/>
        <v>0</v>
      </c>
      <c r="H15" s="118">
        <f t="shared" si="10"/>
        <v>0</v>
      </c>
      <c r="I15" s="570">
        <f t="shared" si="4"/>
        <v>0</v>
      </c>
      <c r="J15" s="121">
        <f t="shared" si="5"/>
        <v>1</v>
      </c>
      <c r="K15" s="122">
        <f t="shared" si="6"/>
        <v>0</v>
      </c>
      <c r="L15" s="123">
        <f t="shared" si="11"/>
        <v>0</v>
      </c>
      <c r="M15" s="123">
        <f t="shared" si="12"/>
        <v>0</v>
      </c>
      <c r="T15" s="109">
        <f>IF(Z15=1,IF(T14=MiscData!$F$1,EOMONTH(T14,-11),EOMONTH(T14,1)),T14)</f>
        <v>42400</v>
      </c>
      <c r="U15" s="108" t="str">
        <f t="shared" si="7"/>
        <v>20140101LE_953BASE</v>
      </c>
      <c r="V15" s="126" t="str">
        <f t="shared" si="8"/>
        <v xml:space="preserve">20140101LS </v>
      </c>
      <c r="Y15" s="98">
        <f>MiscData!$X$5</f>
        <v>20140101</v>
      </c>
      <c r="Z15" s="98">
        <f>IF(Z14+1&gt;MiscData!$AF$28,1,Z14+1)</f>
        <v>14</v>
      </c>
      <c r="AA15" s="98" t="str">
        <f>VLOOKUP(Z15,MiscData!$AF$5:$AG$28,2,FALSE)</f>
        <v>LE_953BASE</v>
      </c>
      <c r="AB15" s="98" t="str">
        <f>VLOOKUP(Z15,MiscData!$AF$5:$AH$28,3,FALSE)</f>
        <v xml:space="preserve">LS </v>
      </c>
    </row>
    <row r="16" spans="1:28">
      <c r="A16" s="108">
        <f t="shared" si="13"/>
        <v>15</v>
      </c>
      <c r="B16" s="109" t="str">
        <f t="shared" si="0"/>
        <v>Jan 2016</v>
      </c>
      <c r="C16" s="110" t="str">
        <f t="shared" si="1"/>
        <v>RLS</v>
      </c>
      <c r="D16" s="110" t="str">
        <f t="shared" si="2"/>
        <v>LE_954BASE</v>
      </c>
      <c r="E16" s="569">
        <f t="shared" si="3"/>
        <v>0</v>
      </c>
      <c r="F16" s="116">
        <f>SUMIF(PoleRates!$E$4:$E$131,$U16,PoleRates!$F$4:$F$131)</f>
        <v>3.47</v>
      </c>
      <c r="G16" s="118">
        <f t="shared" si="9"/>
        <v>0</v>
      </c>
      <c r="H16" s="118">
        <f t="shared" si="10"/>
        <v>0</v>
      </c>
      <c r="I16" s="570">
        <f t="shared" si="4"/>
        <v>0</v>
      </c>
      <c r="J16" s="121">
        <f t="shared" si="5"/>
        <v>1</v>
      </c>
      <c r="K16" s="122">
        <f t="shared" si="6"/>
        <v>0</v>
      </c>
      <c r="L16" s="123">
        <f t="shared" si="11"/>
        <v>0</v>
      </c>
      <c r="M16" s="123">
        <f t="shared" si="12"/>
        <v>0</v>
      </c>
      <c r="T16" s="109">
        <f>IF(Z16=1,IF(T15=MiscData!$F$1,EOMONTH(T15,-11),EOMONTH(T15,1)),T15)</f>
        <v>42400</v>
      </c>
      <c r="U16" s="108" t="str">
        <f t="shared" si="7"/>
        <v>20140101LE_954BASE</v>
      </c>
      <c r="V16" s="126" t="str">
        <f t="shared" si="8"/>
        <v>20140101RLS</v>
      </c>
      <c r="Y16" s="98">
        <f>MiscData!$X$5</f>
        <v>20140101</v>
      </c>
      <c r="Z16" s="98">
        <f>IF(Z15+1&gt;MiscData!$AF$28,1,Z15+1)</f>
        <v>15</v>
      </c>
      <c r="AA16" s="98" t="str">
        <f>VLOOKUP(Z16,MiscData!$AF$5:$AG$28,2,FALSE)</f>
        <v>LE_954BASE</v>
      </c>
      <c r="AB16" s="98" t="str">
        <f>VLOOKUP(Z16,MiscData!$AF$5:$AH$28,3,FALSE)</f>
        <v>RLS</v>
      </c>
    </row>
    <row r="17" spans="1:28" hidden="1">
      <c r="A17" s="108">
        <f t="shared" si="13"/>
        <v>16</v>
      </c>
      <c r="B17" s="109" t="str">
        <f t="shared" si="0"/>
        <v>Jan 2016</v>
      </c>
      <c r="C17" s="110" t="str">
        <f t="shared" si="1"/>
        <v xml:space="preserve">LS </v>
      </c>
      <c r="D17" s="110" t="str">
        <f t="shared" si="2"/>
        <v>LE_954BASE</v>
      </c>
      <c r="E17" s="569">
        <f t="shared" si="3"/>
        <v>0</v>
      </c>
      <c r="F17" s="116">
        <f>SUMIF(PoleRates!$E$4:$E$131,$U17,PoleRates!$F$4:$F$131)</f>
        <v>3.47</v>
      </c>
      <c r="G17" s="118">
        <f t="shared" si="9"/>
        <v>0</v>
      </c>
      <c r="H17" s="118">
        <f t="shared" si="10"/>
        <v>0</v>
      </c>
      <c r="I17" s="570">
        <f t="shared" si="4"/>
        <v>0</v>
      </c>
      <c r="J17" s="121">
        <f t="shared" si="5"/>
        <v>1</v>
      </c>
      <c r="K17" s="122">
        <f t="shared" si="6"/>
        <v>0</v>
      </c>
      <c r="L17" s="123">
        <f t="shared" si="11"/>
        <v>0</v>
      </c>
      <c r="M17" s="123">
        <f t="shared" si="12"/>
        <v>0</v>
      </c>
      <c r="T17" s="109">
        <f>IF(Z17=1,IF(T16=MiscData!$F$1,EOMONTH(T16,-11),EOMONTH(T16,1)),T16)</f>
        <v>42400</v>
      </c>
      <c r="U17" s="108" t="str">
        <f t="shared" si="7"/>
        <v>20140101LE_954BASE</v>
      </c>
      <c r="V17" s="126" t="str">
        <f t="shared" si="8"/>
        <v xml:space="preserve">20140101LS </v>
      </c>
      <c r="Y17" s="98">
        <f>MiscData!$X$5</f>
        <v>20140101</v>
      </c>
      <c r="Z17" s="98">
        <f>IF(Z16+1&gt;MiscData!$AF$28,1,Z16+1)</f>
        <v>16</v>
      </c>
      <c r="AA17" s="98" t="str">
        <f>VLOOKUP(Z17,MiscData!$AF$5:$AG$28,2,FALSE)</f>
        <v>LE_954BASE</v>
      </c>
      <c r="AB17" s="98" t="str">
        <f>VLOOKUP(Z17,MiscData!$AF$5:$AH$28,3,FALSE)</f>
        <v xml:space="preserve">LS </v>
      </c>
    </row>
    <row r="18" spans="1:28">
      <c r="A18" s="108">
        <f t="shared" si="13"/>
        <v>17</v>
      </c>
      <c r="B18" s="109" t="str">
        <f t="shared" si="0"/>
        <v>Jan 2016</v>
      </c>
      <c r="C18" s="110" t="str">
        <f t="shared" si="1"/>
        <v>RLS</v>
      </c>
      <c r="D18" s="110" t="str">
        <f t="shared" si="2"/>
        <v>LE_955BASE</v>
      </c>
      <c r="E18" s="569">
        <f t="shared" si="3"/>
        <v>0</v>
      </c>
      <c r="F18" s="116">
        <f>SUMIF(PoleRates!$E$4:$E$131,$U18,PoleRates!$F$4:$F$131)</f>
        <v>3.56</v>
      </c>
      <c r="G18" s="118">
        <f t="shared" si="9"/>
        <v>0</v>
      </c>
      <c r="H18" s="118">
        <f t="shared" si="10"/>
        <v>0</v>
      </c>
      <c r="I18" s="570">
        <f t="shared" si="4"/>
        <v>0</v>
      </c>
      <c r="J18" s="121">
        <f t="shared" si="5"/>
        <v>1</v>
      </c>
      <c r="K18" s="122">
        <f t="shared" si="6"/>
        <v>0</v>
      </c>
      <c r="L18" s="123">
        <f t="shared" si="11"/>
        <v>0</v>
      </c>
      <c r="M18" s="123">
        <f t="shared" si="12"/>
        <v>0</v>
      </c>
      <c r="T18" s="109">
        <f>IF(Z18=1,IF(T17=MiscData!$F$1,EOMONTH(T17,-11),EOMONTH(T17,1)),T17)</f>
        <v>42400</v>
      </c>
      <c r="U18" s="108" t="str">
        <f t="shared" si="7"/>
        <v>20140101LE_955BASE</v>
      </c>
      <c r="V18" s="126" t="str">
        <f t="shared" si="8"/>
        <v>20140101RLS</v>
      </c>
      <c r="Y18" s="98">
        <f>MiscData!$X$5</f>
        <v>20140101</v>
      </c>
      <c r="Z18" s="98">
        <f>IF(Z17+1&gt;MiscData!$AF$28,1,Z17+1)</f>
        <v>17</v>
      </c>
      <c r="AA18" s="98" t="str">
        <f>VLOOKUP(Z18,MiscData!$AF$5:$AG$28,2,FALSE)</f>
        <v>LE_955BASE</v>
      </c>
      <c r="AB18" s="98" t="str">
        <f>VLOOKUP(Z18,MiscData!$AF$5:$AH$28,3,FALSE)</f>
        <v>RLS</v>
      </c>
    </row>
    <row r="19" spans="1:28" hidden="1">
      <c r="A19" s="108">
        <f t="shared" si="13"/>
        <v>18</v>
      </c>
      <c r="B19" s="109" t="str">
        <f t="shared" si="0"/>
        <v>Jan 2016</v>
      </c>
      <c r="C19" s="110" t="str">
        <f t="shared" si="1"/>
        <v xml:space="preserve">LS </v>
      </c>
      <c r="D19" s="110" t="str">
        <f t="shared" si="2"/>
        <v>LE_955BASE</v>
      </c>
      <c r="E19" s="569">
        <f t="shared" si="3"/>
        <v>0</v>
      </c>
      <c r="F19" s="116">
        <f>SUMIF(PoleRates!$E$4:$E$131,$U19,PoleRates!$F$4:$F$131)</f>
        <v>3.56</v>
      </c>
      <c r="G19" s="118">
        <f t="shared" si="9"/>
        <v>0</v>
      </c>
      <c r="H19" s="118">
        <f t="shared" si="10"/>
        <v>0</v>
      </c>
      <c r="I19" s="570">
        <f t="shared" si="4"/>
        <v>0</v>
      </c>
      <c r="J19" s="121">
        <f t="shared" si="5"/>
        <v>1</v>
      </c>
      <c r="K19" s="122">
        <f t="shared" si="6"/>
        <v>0</v>
      </c>
      <c r="L19" s="123">
        <f t="shared" si="11"/>
        <v>0</v>
      </c>
      <c r="M19" s="123">
        <f t="shared" si="12"/>
        <v>0</v>
      </c>
      <c r="T19" s="109">
        <f>IF(Z19=1,IF(T18=MiscData!$F$1,EOMONTH(T18,-11),EOMONTH(T18,1)),T18)</f>
        <v>42400</v>
      </c>
      <c r="U19" s="108" t="str">
        <f t="shared" si="7"/>
        <v>20140101LE_955BASE</v>
      </c>
      <c r="V19" s="126" t="str">
        <f t="shared" si="8"/>
        <v xml:space="preserve">20140101LS </v>
      </c>
      <c r="Y19" s="98">
        <f>MiscData!$X$5</f>
        <v>20140101</v>
      </c>
      <c r="Z19" s="98">
        <f>IF(Z18+1&gt;MiscData!$AF$28,1,Z18+1)</f>
        <v>18</v>
      </c>
      <c r="AA19" s="98" t="str">
        <f>VLOOKUP(Z19,MiscData!$AF$5:$AG$28,2,FALSE)</f>
        <v>LE_955BASE</v>
      </c>
      <c r="AB19" s="98" t="str">
        <f>VLOOKUP(Z19,MiscData!$AF$5:$AH$28,3,FALSE)</f>
        <v xml:space="preserve">LS </v>
      </c>
    </row>
    <row r="20" spans="1:28" hidden="1">
      <c r="A20" s="108">
        <f t="shared" si="13"/>
        <v>19</v>
      </c>
      <c r="B20" s="109" t="str">
        <f t="shared" si="0"/>
        <v>Jan 2016</v>
      </c>
      <c r="C20" s="110" t="str">
        <f t="shared" si="1"/>
        <v>RLS</v>
      </c>
      <c r="D20" s="110" t="str">
        <f t="shared" si="2"/>
        <v>LE_956BASE</v>
      </c>
      <c r="E20" s="569">
        <f t="shared" si="3"/>
        <v>239</v>
      </c>
      <c r="F20" s="116">
        <f>SUMIF(PoleRates!$E$4:$E$131,$U20,PoleRates!$F$4:$F$131)</f>
        <v>3.56</v>
      </c>
      <c r="G20" s="118">
        <f t="shared" si="9"/>
        <v>850.84</v>
      </c>
      <c r="H20" s="118">
        <f t="shared" si="10"/>
        <v>850.84</v>
      </c>
      <c r="I20" s="570">
        <f t="shared" si="4"/>
        <v>0</v>
      </c>
      <c r="J20" s="121">
        <f t="shared" si="5"/>
        <v>0</v>
      </c>
      <c r="K20" s="122">
        <f t="shared" si="6"/>
        <v>0</v>
      </c>
      <c r="L20" s="123">
        <f t="shared" si="11"/>
        <v>850.84</v>
      </c>
      <c r="M20" s="123">
        <f t="shared" si="12"/>
        <v>-850.84</v>
      </c>
      <c r="T20" s="109">
        <f>IF(Z20=1,IF(T19=MiscData!$F$1,EOMONTH(T19,-11),EOMONTH(T19,1)),T19)</f>
        <v>42400</v>
      </c>
      <c r="U20" s="108" t="str">
        <f t="shared" si="7"/>
        <v>20140101LE_956BASE</v>
      </c>
      <c r="V20" s="126" t="str">
        <f t="shared" si="8"/>
        <v>20140101RLS</v>
      </c>
      <c r="Y20" s="98">
        <f>MiscData!$X$5</f>
        <v>20140101</v>
      </c>
      <c r="Z20" s="98">
        <f>IF(Z19+1&gt;MiscData!$AF$28,1,Z19+1)</f>
        <v>19</v>
      </c>
      <c r="AA20" s="98" t="str">
        <f>VLOOKUP(Z20,MiscData!$AF$5:$AG$28,2,FALSE)</f>
        <v>LE_956BASE</v>
      </c>
      <c r="AB20" s="98" t="str">
        <f>VLOOKUP(Z20,MiscData!$AF$5:$AH$28,3,FALSE)</f>
        <v>RLS</v>
      </c>
    </row>
    <row r="21" spans="1:28" hidden="1">
      <c r="A21" s="108">
        <f t="shared" si="13"/>
        <v>20</v>
      </c>
      <c r="B21" s="109" t="str">
        <f t="shared" si="0"/>
        <v>Jan 2016</v>
      </c>
      <c r="C21" s="110" t="str">
        <f t="shared" si="1"/>
        <v xml:space="preserve">LS </v>
      </c>
      <c r="D21" s="110" t="str">
        <f t="shared" si="2"/>
        <v>LE_956BASE</v>
      </c>
      <c r="E21" s="569">
        <f t="shared" si="3"/>
        <v>307</v>
      </c>
      <c r="F21" s="116">
        <f>SUMIF(PoleRates!$E$4:$E$131,$U21,PoleRates!$F$4:$F$131)</f>
        <v>3.56</v>
      </c>
      <c r="G21" s="118">
        <f t="shared" si="9"/>
        <v>1092.92</v>
      </c>
      <c r="H21" s="118">
        <f t="shared" si="10"/>
        <v>1092.92</v>
      </c>
      <c r="I21" s="570">
        <f t="shared" si="4"/>
        <v>0</v>
      </c>
      <c r="J21" s="121">
        <f t="shared" si="5"/>
        <v>0</v>
      </c>
      <c r="K21" s="122">
        <f t="shared" si="6"/>
        <v>0</v>
      </c>
      <c r="L21" s="123">
        <f t="shared" si="11"/>
        <v>1092.92</v>
      </c>
      <c r="M21" s="123">
        <f t="shared" si="12"/>
        <v>-1092.92</v>
      </c>
      <c r="T21" s="109">
        <f>IF(Z21=1,IF(T20=MiscData!$F$1,EOMONTH(T20,-11),EOMONTH(T20,1)),T20)</f>
        <v>42400</v>
      </c>
      <c r="U21" s="108" t="str">
        <f t="shared" si="7"/>
        <v>20140101LE_956BASE</v>
      </c>
      <c r="V21" s="126" t="str">
        <f t="shared" si="8"/>
        <v xml:space="preserve">20140101LS </v>
      </c>
      <c r="Y21" s="98">
        <f>MiscData!$X$5</f>
        <v>20140101</v>
      </c>
      <c r="Z21" s="98">
        <f>IF(Z20+1&gt;MiscData!$AF$28,1,Z20+1)</f>
        <v>20</v>
      </c>
      <c r="AA21" s="98" t="str">
        <f>VLOOKUP(Z21,MiscData!$AF$5:$AG$28,2,FALSE)</f>
        <v>LE_956BASE</v>
      </c>
      <c r="AB21" s="98" t="str">
        <f>VLOOKUP(Z21,MiscData!$AF$5:$AH$28,3,FALSE)</f>
        <v xml:space="preserve">LS </v>
      </c>
    </row>
    <row r="22" spans="1:28">
      <c r="A22" s="108">
        <f t="shared" si="13"/>
        <v>21</v>
      </c>
      <c r="B22" s="109" t="str">
        <f t="shared" si="0"/>
        <v>Jan 2016</v>
      </c>
      <c r="C22" s="110" t="str">
        <f t="shared" si="1"/>
        <v>RLS</v>
      </c>
      <c r="D22" s="110" t="str">
        <f t="shared" si="2"/>
        <v>LE_957BASE</v>
      </c>
      <c r="E22" s="569">
        <f t="shared" si="3"/>
        <v>0</v>
      </c>
      <c r="F22" s="116">
        <f>SUMIF(PoleRates!$E$4:$E$131,$U22,PoleRates!$F$4:$F$131)</f>
        <v>3.56</v>
      </c>
      <c r="G22" s="118">
        <f t="shared" si="9"/>
        <v>0</v>
      </c>
      <c r="H22" s="118">
        <f t="shared" si="10"/>
        <v>0</v>
      </c>
      <c r="I22" s="570">
        <f t="shared" si="4"/>
        <v>0</v>
      </c>
      <c r="J22" s="121">
        <f t="shared" si="5"/>
        <v>1</v>
      </c>
      <c r="K22" s="122">
        <f t="shared" si="6"/>
        <v>0</v>
      </c>
      <c r="L22" s="123">
        <f t="shared" si="11"/>
        <v>0</v>
      </c>
      <c r="M22" s="123">
        <f t="shared" si="12"/>
        <v>0</v>
      </c>
      <c r="T22" s="109">
        <f>IF(Z22=1,IF(T21=MiscData!$F$1,EOMONTH(T21,-11),EOMONTH(T21,1)),T21)</f>
        <v>42400</v>
      </c>
      <c r="U22" s="108" t="str">
        <f t="shared" si="7"/>
        <v>20140101LE_957BASE</v>
      </c>
      <c r="V22" s="126" t="str">
        <f t="shared" si="8"/>
        <v>20140101RLS</v>
      </c>
      <c r="Y22" s="98">
        <f>MiscData!$X$5</f>
        <v>20140101</v>
      </c>
      <c r="Z22" s="98">
        <f>IF(Z21+1&gt;MiscData!$AF$28,1,Z21+1)</f>
        <v>21</v>
      </c>
      <c r="AA22" s="98" t="str">
        <f>VLOOKUP(Z22,MiscData!$AF$5:$AG$28,2,FALSE)</f>
        <v>LE_957BASE</v>
      </c>
      <c r="AB22" s="98" t="str">
        <f>VLOOKUP(Z22,MiscData!$AF$5:$AH$28,3,FALSE)</f>
        <v>RLS</v>
      </c>
    </row>
    <row r="23" spans="1:28" hidden="1">
      <c r="A23" s="108">
        <f t="shared" si="13"/>
        <v>22</v>
      </c>
      <c r="B23" s="109" t="str">
        <f t="shared" si="0"/>
        <v>Jan 2016</v>
      </c>
      <c r="C23" s="110" t="str">
        <f t="shared" si="1"/>
        <v xml:space="preserve">LS </v>
      </c>
      <c r="D23" s="110" t="str">
        <f t="shared" si="2"/>
        <v>LE_957BASE</v>
      </c>
      <c r="E23" s="569">
        <f t="shared" si="3"/>
        <v>0</v>
      </c>
      <c r="F23" s="116">
        <f>SUMIF(PoleRates!$E$4:$E$131,$U23,PoleRates!$F$4:$F$131)</f>
        <v>3.56</v>
      </c>
      <c r="G23" s="118">
        <f t="shared" si="9"/>
        <v>0</v>
      </c>
      <c r="H23" s="118">
        <f t="shared" si="10"/>
        <v>0</v>
      </c>
      <c r="I23" s="570">
        <f t="shared" si="4"/>
        <v>0</v>
      </c>
      <c r="J23" s="121">
        <f t="shared" si="5"/>
        <v>1</v>
      </c>
      <c r="K23" s="122">
        <f t="shared" si="6"/>
        <v>0</v>
      </c>
      <c r="L23" s="123">
        <f t="shared" si="11"/>
        <v>0</v>
      </c>
      <c r="M23" s="123">
        <f t="shared" si="12"/>
        <v>0</v>
      </c>
      <c r="T23" s="109">
        <f>IF(Z23=1,IF(T22=MiscData!$F$1,EOMONTH(T22,-11),EOMONTH(T22,1)),T22)</f>
        <v>42400</v>
      </c>
      <c r="U23" s="108" t="str">
        <f t="shared" si="7"/>
        <v>20140101LE_957BASE</v>
      </c>
      <c r="V23" s="126" t="str">
        <f t="shared" si="8"/>
        <v xml:space="preserve">20140101LS </v>
      </c>
      <c r="Y23" s="98">
        <f>MiscData!$X$5</f>
        <v>20140101</v>
      </c>
      <c r="Z23" s="98">
        <f>IF(Z22+1&gt;MiscData!$AF$28,1,Z22+1)</f>
        <v>22</v>
      </c>
      <c r="AA23" s="98" t="str">
        <f>VLOOKUP(Z23,MiscData!$AF$5:$AG$28,2,FALSE)</f>
        <v>LE_957BASE</v>
      </c>
      <c r="AB23" s="98" t="str">
        <f>VLOOKUP(Z23,MiscData!$AF$5:$AH$28,3,FALSE)</f>
        <v xml:space="preserve">LS </v>
      </c>
    </row>
    <row r="24" spans="1:28" hidden="1">
      <c r="A24" s="108">
        <f t="shared" si="13"/>
        <v>23</v>
      </c>
      <c r="B24" s="109" t="str">
        <f t="shared" si="0"/>
        <v>Jan 2016</v>
      </c>
      <c r="C24" s="110" t="str">
        <f t="shared" si="1"/>
        <v>RLS</v>
      </c>
      <c r="D24" s="110" t="str">
        <f t="shared" si="2"/>
        <v>LE_958POLE</v>
      </c>
      <c r="E24" s="569">
        <f t="shared" si="3"/>
        <v>37</v>
      </c>
      <c r="F24" s="116">
        <f>SUMIF(PoleRates!$E$4:$E$131,$U24,PoleRates!$F$4:$F$131)</f>
        <v>11.31</v>
      </c>
      <c r="G24" s="118">
        <f t="shared" si="9"/>
        <v>418.47</v>
      </c>
      <c r="H24" s="118">
        <f t="shared" si="10"/>
        <v>418.47</v>
      </c>
      <c r="I24" s="570">
        <f t="shared" si="4"/>
        <v>0</v>
      </c>
      <c r="J24" s="121">
        <f t="shared" si="5"/>
        <v>0</v>
      </c>
      <c r="K24" s="122">
        <f t="shared" si="6"/>
        <v>0</v>
      </c>
      <c r="L24" s="123">
        <f t="shared" si="11"/>
        <v>418.47</v>
      </c>
      <c r="M24" s="123">
        <f t="shared" si="12"/>
        <v>-418.47</v>
      </c>
      <c r="T24" s="109">
        <f>IF(Z24=1,IF(T23=MiscData!$F$1,EOMONTH(T23,-11),EOMONTH(T23,1)),T23)</f>
        <v>42400</v>
      </c>
      <c r="U24" s="108" t="str">
        <f t="shared" si="7"/>
        <v>20140101LE_958POLE</v>
      </c>
      <c r="V24" s="126" t="str">
        <f t="shared" si="8"/>
        <v>20140101RLS</v>
      </c>
      <c r="Y24" s="98">
        <f>MiscData!$X$5</f>
        <v>20140101</v>
      </c>
      <c r="Z24" s="98">
        <f>IF(Z23+1&gt;MiscData!$AF$28,1,Z23+1)</f>
        <v>23</v>
      </c>
      <c r="AA24" s="98" t="str">
        <f>VLOOKUP(Z24,MiscData!$AF$5:$AG$28,2,FALSE)</f>
        <v>LE_958POLE</v>
      </c>
      <c r="AB24" s="98" t="str">
        <f>VLOOKUP(Z24,MiscData!$AF$5:$AH$28,3,FALSE)</f>
        <v>RLS</v>
      </c>
    </row>
    <row r="25" spans="1:28" hidden="1">
      <c r="A25" s="108">
        <f t="shared" si="13"/>
        <v>24</v>
      </c>
      <c r="B25" s="109" t="str">
        <f t="shared" si="0"/>
        <v>Jan 2016</v>
      </c>
      <c r="C25" s="110" t="str">
        <f t="shared" si="1"/>
        <v xml:space="preserve">LS </v>
      </c>
      <c r="D25" s="110" t="str">
        <f t="shared" si="2"/>
        <v>LE_958POLE</v>
      </c>
      <c r="E25" s="569">
        <f t="shared" si="3"/>
        <v>425</v>
      </c>
      <c r="F25" s="116">
        <f>SUMIF(PoleRates!$E$4:$E$131,$U25,PoleRates!$F$4:$F$131)</f>
        <v>11.31</v>
      </c>
      <c r="G25" s="118">
        <f t="shared" si="9"/>
        <v>4806.75</v>
      </c>
      <c r="H25" s="118">
        <f t="shared" si="10"/>
        <v>4806.75</v>
      </c>
      <c r="I25" s="570">
        <f t="shared" si="4"/>
        <v>0</v>
      </c>
      <c r="J25" s="121">
        <f t="shared" si="5"/>
        <v>0</v>
      </c>
      <c r="K25" s="122">
        <f t="shared" si="6"/>
        <v>0</v>
      </c>
      <c r="L25" s="123">
        <f t="shared" si="11"/>
        <v>4806.75</v>
      </c>
      <c r="M25" s="123">
        <f t="shared" si="12"/>
        <v>-4806.75</v>
      </c>
      <c r="T25" s="109">
        <f>IF(Z25=1,IF(T24=MiscData!$F$1,EOMONTH(T24,-11),EOMONTH(T24,1)),T24)</f>
        <v>42400</v>
      </c>
      <c r="U25" s="108" t="str">
        <f t="shared" si="7"/>
        <v>20140101LE_958POLE</v>
      </c>
      <c r="V25" s="126" t="str">
        <f t="shared" si="8"/>
        <v xml:space="preserve">20140101LS </v>
      </c>
      <c r="Y25" s="98">
        <f>MiscData!$X$5</f>
        <v>20140101</v>
      </c>
      <c r="Z25" s="98">
        <f>IF(Z24+1&gt;MiscData!$AF$28,1,Z24+1)</f>
        <v>24</v>
      </c>
      <c r="AA25" s="98" t="str">
        <f>VLOOKUP(Z25,MiscData!$AF$5:$AG$28,2,FALSE)</f>
        <v>LE_958POLE</v>
      </c>
      <c r="AB25" s="98" t="str">
        <f>VLOOKUP(Z25,MiscData!$AF$5:$AH$28,3,FALSE)</f>
        <v xml:space="preserve">LS </v>
      </c>
    </row>
    <row r="26" spans="1:28" hidden="1">
      <c r="A26" s="108">
        <f t="shared" si="13"/>
        <v>25</v>
      </c>
      <c r="B26" s="109" t="str">
        <f t="shared" si="0"/>
        <v>Feb 2016</v>
      </c>
      <c r="C26" s="110" t="str">
        <f t="shared" si="1"/>
        <v>RLS</v>
      </c>
      <c r="D26" s="110" t="str">
        <f t="shared" si="2"/>
        <v>LE_900POLE</v>
      </c>
      <c r="E26" s="569">
        <f t="shared" si="3"/>
        <v>1660</v>
      </c>
      <c r="F26" s="116">
        <f>SUMIF(PoleRates!$E$4:$E$131,$U26,PoleRates!$F$4:$F$131)</f>
        <v>2.06</v>
      </c>
      <c r="G26" s="118">
        <f t="shared" si="9"/>
        <v>3419.6</v>
      </c>
      <c r="H26" s="118">
        <f t="shared" si="10"/>
        <v>3419.6</v>
      </c>
      <c r="I26" s="570">
        <f t="shared" si="4"/>
        <v>0</v>
      </c>
      <c r="J26" s="121">
        <f t="shared" si="5"/>
        <v>0</v>
      </c>
      <c r="K26" s="122">
        <f t="shared" si="6"/>
        <v>0</v>
      </c>
      <c r="L26" s="123">
        <f t="shared" si="11"/>
        <v>3419.6</v>
      </c>
      <c r="M26" s="123">
        <f t="shared" si="12"/>
        <v>-3419.6</v>
      </c>
      <c r="T26" s="109">
        <f>IF(Z26=1,IF(T25=MiscData!$F$1,EOMONTH(T25,-11),EOMONTH(T25,1)),T25)</f>
        <v>42429</v>
      </c>
      <c r="U26" s="108" t="str">
        <f t="shared" si="7"/>
        <v>20140101LE_900POLE</v>
      </c>
      <c r="V26" s="126" t="str">
        <f t="shared" si="8"/>
        <v>20140101RLS</v>
      </c>
      <c r="Y26" s="98">
        <f>MiscData!$X$5</f>
        <v>20140101</v>
      </c>
      <c r="Z26" s="98">
        <f>IF(Z25+1&gt;MiscData!$AF$28,1,Z25+1)</f>
        <v>1</v>
      </c>
      <c r="AA26" s="98" t="str">
        <f>VLOOKUP(Z26,MiscData!$AF$5:$AG$28,2,FALSE)</f>
        <v>LE_900POLE</v>
      </c>
      <c r="AB26" s="98" t="str">
        <f>VLOOKUP(Z26,MiscData!$AF$5:$AH$28,3,FALSE)</f>
        <v>RLS</v>
      </c>
    </row>
    <row r="27" spans="1:28" hidden="1">
      <c r="A27" s="108">
        <f t="shared" si="13"/>
        <v>26</v>
      </c>
      <c r="B27" s="109" t="str">
        <f t="shared" si="0"/>
        <v>Feb 2016</v>
      </c>
      <c r="C27" s="110" t="str">
        <f t="shared" si="1"/>
        <v xml:space="preserve">LS </v>
      </c>
      <c r="D27" s="110" t="str">
        <f t="shared" si="2"/>
        <v>LE_900POLE</v>
      </c>
      <c r="E27" s="569">
        <f t="shared" si="3"/>
        <v>5183</v>
      </c>
      <c r="F27" s="116">
        <f>SUMIF(PoleRates!$E$4:$E$131,$U27,PoleRates!$F$4:$F$131)</f>
        <v>2.06</v>
      </c>
      <c r="G27" s="118">
        <f t="shared" si="9"/>
        <v>10676.98</v>
      </c>
      <c r="H27" s="118">
        <f t="shared" si="10"/>
        <v>10676.98</v>
      </c>
      <c r="I27" s="570">
        <f t="shared" si="4"/>
        <v>0</v>
      </c>
      <c r="J27" s="121">
        <f t="shared" si="5"/>
        <v>0</v>
      </c>
      <c r="K27" s="122">
        <f t="shared" si="6"/>
        <v>0</v>
      </c>
      <c r="L27" s="123">
        <f t="shared" si="11"/>
        <v>10676.98</v>
      </c>
      <c r="M27" s="123">
        <f t="shared" si="12"/>
        <v>-10676.98</v>
      </c>
      <c r="T27" s="109">
        <f>IF(Z27=1,IF(T26=MiscData!$F$1,EOMONTH(T26,-11),EOMONTH(T26,1)),T26)</f>
        <v>42429</v>
      </c>
      <c r="U27" s="108" t="str">
        <f t="shared" si="7"/>
        <v>20140101LE_900POLE</v>
      </c>
      <c r="V27" s="126" t="str">
        <f t="shared" si="8"/>
        <v xml:space="preserve">20140101LS </v>
      </c>
      <c r="Y27" s="98">
        <f>MiscData!$X$5</f>
        <v>20140101</v>
      </c>
      <c r="Z27" s="98">
        <f>IF(Z26+1&gt;MiscData!$AF$28,1,Z26+1)</f>
        <v>2</v>
      </c>
      <c r="AA27" s="98" t="str">
        <f>VLOOKUP(Z27,MiscData!$AF$5:$AG$28,2,FALSE)</f>
        <v>LE_900POLE</v>
      </c>
      <c r="AB27" s="98" t="str">
        <f>VLOOKUP(Z27,MiscData!$AF$5:$AH$28,3,FALSE)</f>
        <v xml:space="preserve">LS </v>
      </c>
    </row>
    <row r="28" spans="1:28" hidden="1">
      <c r="A28" s="108">
        <f t="shared" si="13"/>
        <v>27</v>
      </c>
      <c r="B28" s="109" t="str">
        <f t="shared" si="0"/>
        <v>Feb 2016</v>
      </c>
      <c r="C28" s="110" t="str">
        <f t="shared" si="1"/>
        <v>RLS</v>
      </c>
      <c r="D28" s="110" t="str">
        <f t="shared" si="2"/>
        <v>LE_901POLE</v>
      </c>
      <c r="E28" s="569">
        <f t="shared" si="3"/>
        <v>157</v>
      </c>
      <c r="F28" s="116">
        <f>SUMIF(PoleRates!$E$4:$E$131,$U28,PoleRates!$F$4:$F$131)</f>
        <v>10.81</v>
      </c>
      <c r="G28" s="118">
        <f t="shared" si="9"/>
        <v>1697.17</v>
      </c>
      <c r="H28" s="118">
        <f t="shared" si="10"/>
        <v>1697.17</v>
      </c>
      <c r="I28" s="570">
        <f t="shared" si="4"/>
        <v>0</v>
      </c>
      <c r="J28" s="121">
        <f t="shared" si="5"/>
        <v>0</v>
      </c>
      <c r="K28" s="122">
        <f t="shared" si="6"/>
        <v>0</v>
      </c>
      <c r="L28" s="123">
        <f t="shared" si="11"/>
        <v>1697.17</v>
      </c>
      <c r="M28" s="123">
        <f t="shared" si="12"/>
        <v>-1697.17</v>
      </c>
      <c r="T28" s="109">
        <f>IF(Z28=1,IF(T27=MiscData!$F$1,EOMONTH(T27,-11),EOMONTH(T27,1)),T27)</f>
        <v>42429</v>
      </c>
      <c r="U28" s="108" t="str">
        <f t="shared" si="7"/>
        <v>20140101LE_901POLE</v>
      </c>
      <c r="V28" s="126" t="str">
        <f t="shared" si="8"/>
        <v>20140101RLS</v>
      </c>
      <c r="Y28" s="98">
        <f>MiscData!$X$5</f>
        <v>20140101</v>
      </c>
      <c r="Z28" s="98">
        <f>IF(Z27+1&gt;MiscData!$AF$28,1,Z27+1)</f>
        <v>3</v>
      </c>
      <c r="AA28" s="98" t="str">
        <f>VLOOKUP(Z28,MiscData!$AF$5:$AG$28,2,FALSE)</f>
        <v>LE_901POLE</v>
      </c>
      <c r="AB28" s="98" t="str">
        <f>VLOOKUP(Z28,MiscData!$AF$5:$AH$28,3,FALSE)</f>
        <v>RLS</v>
      </c>
    </row>
    <row r="29" spans="1:28" hidden="1">
      <c r="A29" s="108">
        <f t="shared" si="13"/>
        <v>28</v>
      </c>
      <c r="B29" s="109" t="str">
        <f t="shared" si="0"/>
        <v>Feb 2016</v>
      </c>
      <c r="C29" s="110" t="str">
        <f t="shared" si="1"/>
        <v xml:space="preserve">LS </v>
      </c>
      <c r="D29" s="110" t="str">
        <f t="shared" si="2"/>
        <v>LE_901POLE</v>
      </c>
      <c r="E29" s="569">
        <f t="shared" si="3"/>
        <v>0</v>
      </c>
      <c r="F29" s="116">
        <f>SUMIF(PoleRates!$E$4:$E$131,$U29,PoleRates!$F$4:$F$131)</f>
        <v>10.81</v>
      </c>
      <c r="G29" s="118">
        <f t="shared" si="9"/>
        <v>0</v>
      </c>
      <c r="H29" s="118">
        <f t="shared" si="10"/>
        <v>0</v>
      </c>
      <c r="I29" s="570">
        <f t="shared" si="4"/>
        <v>0</v>
      </c>
      <c r="J29" s="121">
        <f t="shared" si="5"/>
        <v>1</v>
      </c>
      <c r="K29" s="122">
        <f t="shared" si="6"/>
        <v>0</v>
      </c>
      <c r="L29" s="123">
        <f t="shared" si="11"/>
        <v>0</v>
      </c>
      <c r="M29" s="123">
        <f t="shared" si="12"/>
        <v>0</v>
      </c>
      <c r="T29" s="109">
        <f>IF(Z29=1,IF(T28=MiscData!$F$1,EOMONTH(T28,-11),EOMONTH(T28,1)),T28)</f>
        <v>42429</v>
      </c>
      <c r="U29" s="108" t="str">
        <f t="shared" si="7"/>
        <v>20140101LE_901POLE</v>
      </c>
      <c r="V29" s="126" t="str">
        <f t="shared" si="8"/>
        <v xml:space="preserve">20140101LS </v>
      </c>
      <c r="Y29" s="98">
        <f>MiscData!$X$5</f>
        <v>20140101</v>
      </c>
      <c r="Z29" s="98">
        <f>IF(Z28+1&gt;MiscData!$AF$28,1,Z28+1)</f>
        <v>4</v>
      </c>
      <c r="AA29" s="98" t="str">
        <f>VLOOKUP(Z29,MiscData!$AF$5:$AG$28,2,FALSE)</f>
        <v>LE_901POLE</v>
      </c>
      <c r="AB29" s="98" t="str">
        <f>VLOOKUP(Z29,MiscData!$AF$5:$AH$28,3,FALSE)</f>
        <v xml:space="preserve">LS </v>
      </c>
    </row>
    <row r="30" spans="1:28" hidden="1">
      <c r="A30" s="108">
        <f t="shared" si="13"/>
        <v>29</v>
      </c>
      <c r="B30" s="109" t="str">
        <f t="shared" si="0"/>
        <v>Feb 2016</v>
      </c>
      <c r="C30" s="110" t="str">
        <f t="shared" si="1"/>
        <v>RLS</v>
      </c>
      <c r="D30" s="110" t="str">
        <f t="shared" si="2"/>
        <v>LE_902POLE</v>
      </c>
      <c r="E30" s="569">
        <f t="shared" si="3"/>
        <v>277</v>
      </c>
      <c r="F30" s="116">
        <f>SUMIF(PoleRates!$E$4:$E$131,$U30,PoleRates!$F$4:$F$131)</f>
        <v>12.9</v>
      </c>
      <c r="G30" s="118">
        <f t="shared" si="9"/>
        <v>3573.3</v>
      </c>
      <c r="H30" s="118">
        <f t="shared" si="10"/>
        <v>3573.3</v>
      </c>
      <c r="I30" s="570">
        <f t="shared" si="4"/>
        <v>0</v>
      </c>
      <c r="J30" s="121">
        <f t="shared" si="5"/>
        <v>0</v>
      </c>
      <c r="K30" s="122">
        <f t="shared" si="6"/>
        <v>0</v>
      </c>
      <c r="L30" s="123">
        <f t="shared" si="11"/>
        <v>3573.3</v>
      </c>
      <c r="M30" s="123">
        <f t="shared" si="12"/>
        <v>-3573.3</v>
      </c>
      <c r="T30" s="109">
        <f>IF(Z30=1,IF(T29=MiscData!$F$1,EOMONTH(T29,-11),EOMONTH(T29,1)),T29)</f>
        <v>42429</v>
      </c>
      <c r="U30" s="108" t="str">
        <f t="shared" si="7"/>
        <v>20140101LE_902POLE</v>
      </c>
      <c r="V30" s="126" t="str">
        <f t="shared" si="8"/>
        <v>20140101RLS</v>
      </c>
      <c r="Y30" s="98">
        <f>MiscData!$X$5</f>
        <v>20140101</v>
      </c>
      <c r="Z30" s="98">
        <f>IF(Z29+1&gt;MiscData!$AF$28,1,Z29+1)</f>
        <v>5</v>
      </c>
      <c r="AA30" s="98" t="str">
        <f>VLOOKUP(Z30,MiscData!$AF$5:$AG$28,2,FALSE)</f>
        <v>LE_902POLE</v>
      </c>
      <c r="AB30" s="98" t="str">
        <f>VLOOKUP(Z30,MiscData!$AF$5:$AH$28,3,FALSE)</f>
        <v>RLS</v>
      </c>
    </row>
    <row r="31" spans="1:28" hidden="1">
      <c r="A31" s="108">
        <f t="shared" si="13"/>
        <v>30</v>
      </c>
      <c r="B31" s="109" t="str">
        <f t="shared" si="0"/>
        <v>Feb 2016</v>
      </c>
      <c r="C31" s="110" t="str">
        <f t="shared" si="1"/>
        <v xml:space="preserve">LS </v>
      </c>
      <c r="D31" s="110" t="str">
        <f t="shared" si="2"/>
        <v>LE_902POLE</v>
      </c>
      <c r="E31" s="569">
        <f t="shared" si="3"/>
        <v>3</v>
      </c>
      <c r="F31" s="116">
        <f>SUMIF(PoleRates!$E$4:$E$131,$U31,PoleRates!$F$4:$F$131)</f>
        <v>12.9</v>
      </c>
      <c r="G31" s="118">
        <f t="shared" si="9"/>
        <v>38.700000000000003</v>
      </c>
      <c r="H31" s="118">
        <f t="shared" si="10"/>
        <v>38.700000000000003</v>
      </c>
      <c r="I31" s="570">
        <f t="shared" si="4"/>
        <v>0</v>
      </c>
      <c r="J31" s="121">
        <f t="shared" si="5"/>
        <v>0</v>
      </c>
      <c r="K31" s="122">
        <f t="shared" si="6"/>
        <v>0</v>
      </c>
      <c r="L31" s="123">
        <f t="shared" si="11"/>
        <v>38.700000000000003</v>
      </c>
      <c r="M31" s="123">
        <f t="shared" si="12"/>
        <v>-38.700000000000003</v>
      </c>
      <c r="T31" s="109">
        <f>IF(Z31=1,IF(T30=MiscData!$F$1,EOMONTH(T30,-11),EOMONTH(T30,1)),T30)</f>
        <v>42429</v>
      </c>
      <c r="U31" s="108" t="str">
        <f t="shared" si="7"/>
        <v>20140101LE_902POLE</v>
      </c>
      <c r="V31" s="126" t="str">
        <f t="shared" si="8"/>
        <v xml:space="preserve">20140101LS </v>
      </c>
      <c r="Y31" s="98">
        <f>MiscData!$X$5</f>
        <v>20140101</v>
      </c>
      <c r="Z31" s="98">
        <f>IF(Z30+1&gt;MiscData!$AF$28,1,Z30+1)</f>
        <v>6</v>
      </c>
      <c r="AA31" s="98" t="str">
        <f>VLOOKUP(Z31,MiscData!$AF$5:$AG$28,2,FALSE)</f>
        <v>LE_902POLE</v>
      </c>
      <c r="AB31" s="98" t="str">
        <f>VLOOKUP(Z31,MiscData!$AF$5:$AH$28,3,FALSE)</f>
        <v xml:space="preserve">LS </v>
      </c>
    </row>
    <row r="32" spans="1:28" hidden="1">
      <c r="A32" s="108">
        <f t="shared" si="13"/>
        <v>31</v>
      </c>
      <c r="B32" s="109" t="str">
        <f t="shared" si="0"/>
        <v>Feb 2016</v>
      </c>
      <c r="C32" s="110" t="str">
        <f t="shared" si="1"/>
        <v>RLS</v>
      </c>
      <c r="D32" s="110" t="str">
        <f t="shared" si="2"/>
        <v>LE_950BASE</v>
      </c>
      <c r="E32" s="569">
        <f t="shared" si="3"/>
        <v>77</v>
      </c>
      <c r="F32" s="116">
        <f>SUMIF(PoleRates!$E$4:$E$131,$U32,PoleRates!$F$4:$F$131)</f>
        <v>3.47</v>
      </c>
      <c r="G32" s="118">
        <f t="shared" si="9"/>
        <v>267.19</v>
      </c>
      <c r="H32" s="118">
        <f t="shared" si="10"/>
        <v>267.19</v>
      </c>
      <c r="I32" s="570">
        <f t="shared" si="4"/>
        <v>0</v>
      </c>
      <c r="J32" s="121">
        <f t="shared" si="5"/>
        <v>0</v>
      </c>
      <c r="K32" s="122">
        <f t="shared" si="6"/>
        <v>0</v>
      </c>
      <c r="L32" s="123">
        <f t="shared" si="11"/>
        <v>267.19</v>
      </c>
      <c r="M32" s="123">
        <f t="shared" si="12"/>
        <v>-267.19</v>
      </c>
      <c r="T32" s="109">
        <f>IF(Z32=1,IF(T31=MiscData!$F$1,EOMONTH(T31,-11),EOMONTH(T31,1)),T31)</f>
        <v>42429</v>
      </c>
      <c r="U32" s="108" t="str">
        <f t="shared" ref="U32:U57" si="14">CONCATENATE(Y32&amp;AA32)</f>
        <v>20140101LE_950BASE</v>
      </c>
      <c r="V32" s="126" t="str">
        <f t="shared" ref="V32:V57" si="15">CONCATENATE(Y32&amp;AB32)</f>
        <v>20140101RLS</v>
      </c>
      <c r="Y32" s="98">
        <f>MiscData!$X$5</f>
        <v>20140101</v>
      </c>
      <c r="Z32" s="98">
        <f>IF(Z31+1&gt;MiscData!$AF$28,1,Z31+1)</f>
        <v>7</v>
      </c>
      <c r="AA32" s="98" t="str">
        <f>VLOOKUP(Z32,MiscData!$AF$5:$AG$28,2,FALSE)</f>
        <v>LE_950BASE</v>
      </c>
      <c r="AB32" s="98" t="str">
        <f>VLOOKUP(Z32,MiscData!$AF$5:$AH$28,3,FALSE)</f>
        <v>RLS</v>
      </c>
    </row>
    <row r="33" spans="1:28" hidden="1">
      <c r="A33" s="108">
        <f t="shared" si="13"/>
        <v>32</v>
      </c>
      <c r="B33" s="109" t="str">
        <f t="shared" si="0"/>
        <v>Feb 2016</v>
      </c>
      <c r="C33" s="110" t="str">
        <f t="shared" si="1"/>
        <v xml:space="preserve">LS </v>
      </c>
      <c r="D33" s="110" t="str">
        <f t="shared" si="2"/>
        <v>LE_950BASE</v>
      </c>
      <c r="E33" s="569">
        <f t="shared" si="3"/>
        <v>13</v>
      </c>
      <c r="F33" s="116">
        <f>SUMIF(PoleRates!$E$4:$E$131,$U33,PoleRates!$F$4:$F$131)</f>
        <v>3.47</v>
      </c>
      <c r="G33" s="118">
        <f t="shared" si="9"/>
        <v>45.11</v>
      </c>
      <c r="H33" s="118">
        <f t="shared" si="10"/>
        <v>45.11</v>
      </c>
      <c r="I33" s="570">
        <f t="shared" si="4"/>
        <v>0</v>
      </c>
      <c r="J33" s="121">
        <f t="shared" si="5"/>
        <v>0</v>
      </c>
      <c r="K33" s="122">
        <f t="shared" si="6"/>
        <v>0</v>
      </c>
      <c r="L33" s="123">
        <f t="shared" si="11"/>
        <v>45.11</v>
      </c>
      <c r="M33" s="123">
        <f t="shared" si="12"/>
        <v>-45.11</v>
      </c>
      <c r="T33" s="109">
        <f>IF(Z33=1,IF(T32=MiscData!$F$1,EOMONTH(T32,-11),EOMONTH(T32,1)),T32)</f>
        <v>42429</v>
      </c>
      <c r="U33" s="108" t="str">
        <f t="shared" si="14"/>
        <v>20140101LE_950BASE</v>
      </c>
      <c r="V33" s="126" t="str">
        <f t="shared" si="15"/>
        <v xml:space="preserve">20140101LS </v>
      </c>
      <c r="Y33" s="98">
        <f>MiscData!$X$5</f>
        <v>20140101</v>
      </c>
      <c r="Z33" s="98">
        <f>IF(Z32+1&gt;MiscData!$AF$28,1,Z32+1)</f>
        <v>8</v>
      </c>
      <c r="AA33" s="98" t="str">
        <f>VLOOKUP(Z33,MiscData!$AF$5:$AG$28,2,FALSE)</f>
        <v>LE_950BASE</v>
      </c>
      <c r="AB33" s="98" t="str">
        <f>VLOOKUP(Z33,MiscData!$AF$5:$AH$28,3,FALSE)</f>
        <v xml:space="preserve">LS </v>
      </c>
    </row>
    <row r="34" spans="1:28" hidden="1">
      <c r="A34" s="108">
        <f t="shared" si="13"/>
        <v>33</v>
      </c>
      <c r="B34" s="109" t="str">
        <f t="shared" si="0"/>
        <v>Feb 2016</v>
      </c>
      <c r="C34" s="110" t="str">
        <f t="shared" si="1"/>
        <v>RLS</v>
      </c>
      <c r="D34" s="110" t="str">
        <f t="shared" si="2"/>
        <v>LE_951BASE</v>
      </c>
      <c r="E34" s="569">
        <f t="shared" ref="E34:E65" si="16">SUMIFS(L_1051_Count_Total,L_1051_Revenue_Month,$B34,L_1051_RateCategory,$D34,L_1051_Light_Category,C34)</f>
        <v>195</v>
      </c>
      <c r="F34" s="116">
        <f>SUMIF(PoleRates!$E$4:$E$131,$U34,PoleRates!$F$4:$F$131)</f>
        <v>3.73</v>
      </c>
      <c r="G34" s="118">
        <f t="shared" si="9"/>
        <v>727.35</v>
      </c>
      <c r="H34" s="118">
        <f t="shared" si="10"/>
        <v>727.35</v>
      </c>
      <c r="I34" s="570">
        <f t="shared" si="4"/>
        <v>0</v>
      </c>
      <c r="J34" s="121">
        <f t="shared" si="5"/>
        <v>0</v>
      </c>
      <c r="K34" s="122">
        <f t="shared" si="6"/>
        <v>0</v>
      </c>
      <c r="L34" s="123">
        <f t="shared" si="11"/>
        <v>727.35</v>
      </c>
      <c r="M34" s="123">
        <f t="shared" si="12"/>
        <v>-727.35</v>
      </c>
      <c r="T34" s="109">
        <f>IF(Z34=1,IF(T33=MiscData!$F$1,EOMONTH(T33,-11),EOMONTH(T33,1)),T33)</f>
        <v>42429</v>
      </c>
      <c r="U34" s="108" t="str">
        <f t="shared" si="14"/>
        <v>20140101LE_951BASE</v>
      </c>
      <c r="V34" s="126" t="str">
        <f t="shared" si="15"/>
        <v>20140101RLS</v>
      </c>
      <c r="Y34" s="98">
        <f>MiscData!$X$5</f>
        <v>20140101</v>
      </c>
      <c r="Z34" s="98">
        <f>IF(Z33+1&gt;MiscData!$AF$28,1,Z33+1)</f>
        <v>9</v>
      </c>
      <c r="AA34" s="98" t="str">
        <f>VLOOKUP(Z34,MiscData!$AF$5:$AG$28,2,FALSE)</f>
        <v>LE_951BASE</v>
      </c>
      <c r="AB34" s="98" t="str">
        <f>VLOOKUP(Z34,MiscData!$AF$5:$AH$28,3,FALSE)</f>
        <v>RLS</v>
      </c>
    </row>
    <row r="35" spans="1:28" hidden="1">
      <c r="A35" s="108">
        <f t="shared" si="13"/>
        <v>34</v>
      </c>
      <c r="B35" s="109" t="str">
        <f t="shared" si="0"/>
        <v>Feb 2016</v>
      </c>
      <c r="C35" s="110" t="str">
        <f t="shared" si="1"/>
        <v xml:space="preserve">LS </v>
      </c>
      <c r="D35" s="110" t="str">
        <f t="shared" si="2"/>
        <v>LE_951BASE</v>
      </c>
      <c r="E35" s="569">
        <f t="shared" si="16"/>
        <v>73</v>
      </c>
      <c r="F35" s="116">
        <f>SUMIF(PoleRates!$E$4:$E$131,$U35,PoleRates!$F$4:$F$131)</f>
        <v>3.73</v>
      </c>
      <c r="G35" s="118">
        <f t="shared" si="9"/>
        <v>272.29000000000002</v>
      </c>
      <c r="H35" s="118">
        <f t="shared" si="10"/>
        <v>272.29000000000002</v>
      </c>
      <c r="I35" s="570">
        <f t="shared" si="4"/>
        <v>0</v>
      </c>
      <c r="J35" s="121">
        <f t="shared" si="5"/>
        <v>0</v>
      </c>
      <c r="K35" s="122">
        <f t="shared" si="6"/>
        <v>0</v>
      </c>
      <c r="L35" s="123">
        <f t="shared" si="11"/>
        <v>272.29000000000002</v>
      </c>
      <c r="M35" s="123">
        <f t="shared" si="12"/>
        <v>-272.29000000000002</v>
      </c>
      <c r="T35" s="109">
        <f>IF(Z35=1,IF(T34=MiscData!$F$1,EOMONTH(T34,-11),EOMONTH(T34,1)),T34)</f>
        <v>42429</v>
      </c>
      <c r="U35" s="108" t="str">
        <f t="shared" si="14"/>
        <v>20140101LE_951BASE</v>
      </c>
      <c r="V35" s="126" t="str">
        <f t="shared" si="15"/>
        <v xml:space="preserve">20140101LS </v>
      </c>
      <c r="Y35" s="98">
        <f>MiscData!$X$5</f>
        <v>20140101</v>
      </c>
      <c r="Z35" s="98">
        <f>IF(Z34+1&gt;MiscData!$AF$28,1,Z34+1)</f>
        <v>10</v>
      </c>
      <c r="AA35" s="98" t="str">
        <f>VLOOKUP(Z35,MiscData!$AF$5:$AG$28,2,FALSE)</f>
        <v>LE_951BASE</v>
      </c>
      <c r="AB35" s="98" t="str">
        <f>VLOOKUP(Z35,MiscData!$AF$5:$AH$28,3,FALSE)</f>
        <v xml:space="preserve">LS </v>
      </c>
    </row>
    <row r="36" spans="1:28">
      <c r="A36" s="108">
        <f t="shared" si="13"/>
        <v>35</v>
      </c>
      <c r="B36" s="109" t="str">
        <f t="shared" si="0"/>
        <v>Feb 2016</v>
      </c>
      <c r="C36" s="110" t="str">
        <f t="shared" si="1"/>
        <v>RLS</v>
      </c>
      <c r="D36" s="110" t="str">
        <f t="shared" si="2"/>
        <v>LE_952BASE</v>
      </c>
      <c r="E36" s="569">
        <f t="shared" si="16"/>
        <v>0</v>
      </c>
      <c r="F36" s="116">
        <f>SUMIF(PoleRates!$E$4:$E$131,$U36,PoleRates!$F$4:$F$131)</f>
        <v>3.56</v>
      </c>
      <c r="G36" s="118">
        <f t="shared" si="9"/>
        <v>0</v>
      </c>
      <c r="H36" s="118">
        <f t="shared" si="10"/>
        <v>0</v>
      </c>
      <c r="I36" s="570">
        <f t="shared" si="4"/>
        <v>0</v>
      </c>
      <c r="J36" s="121">
        <f t="shared" si="5"/>
        <v>1</v>
      </c>
      <c r="K36" s="122">
        <f t="shared" si="6"/>
        <v>0</v>
      </c>
      <c r="L36" s="123">
        <f t="shared" si="11"/>
        <v>0</v>
      </c>
      <c r="M36" s="123">
        <f t="shared" si="12"/>
        <v>0</v>
      </c>
      <c r="T36" s="109">
        <f>IF(Z36=1,IF(T35=MiscData!$F$1,EOMONTH(T35,-11),EOMONTH(T35,1)),T35)</f>
        <v>42429</v>
      </c>
      <c r="U36" s="108" t="str">
        <f t="shared" si="14"/>
        <v>20140101LE_952BASE</v>
      </c>
      <c r="V36" s="126" t="str">
        <f t="shared" si="15"/>
        <v>20140101RLS</v>
      </c>
      <c r="Y36" s="98">
        <f>MiscData!$X$5</f>
        <v>20140101</v>
      </c>
      <c r="Z36" s="98">
        <f>IF(Z35+1&gt;MiscData!$AF$28,1,Z35+1)</f>
        <v>11</v>
      </c>
      <c r="AA36" s="98" t="str">
        <f>VLOOKUP(Z36,MiscData!$AF$5:$AG$28,2,FALSE)</f>
        <v>LE_952BASE</v>
      </c>
      <c r="AB36" s="98" t="str">
        <f>VLOOKUP(Z36,MiscData!$AF$5:$AH$28,3,FALSE)</f>
        <v>RLS</v>
      </c>
    </row>
    <row r="37" spans="1:28" hidden="1">
      <c r="A37" s="108">
        <f t="shared" si="13"/>
        <v>36</v>
      </c>
      <c r="B37" s="109" t="str">
        <f t="shared" si="0"/>
        <v>Feb 2016</v>
      </c>
      <c r="C37" s="110" t="str">
        <f t="shared" si="1"/>
        <v xml:space="preserve">LS </v>
      </c>
      <c r="D37" s="110" t="str">
        <f t="shared" si="2"/>
        <v>LE_952BASE</v>
      </c>
      <c r="E37" s="569">
        <f t="shared" si="16"/>
        <v>0</v>
      </c>
      <c r="F37" s="116">
        <f>SUMIF(PoleRates!$E$4:$E$131,$U37,PoleRates!$F$4:$F$131)</f>
        <v>3.56</v>
      </c>
      <c r="G37" s="118">
        <f t="shared" si="9"/>
        <v>0</v>
      </c>
      <c r="H37" s="118">
        <f t="shared" si="10"/>
        <v>0</v>
      </c>
      <c r="I37" s="570">
        <f t="shared" si="4"/>
        <v>0</v>
      </c>
      <c r="J37" s="121">
        <f t="shared" si="5"/>
        <v>1</v>
      </c>
      <c r="K37" s="122">
        <f t="shared" si="6"/>
        <v>0</v>
      </c>
      <c r="L37" s="123">
        <f t="shared" si="11"/>
        <v>0</v>
      </c>
      <c r="M37" s="123">
        <f t="shared" si="12"/>
        <v>0</v>
      </c>
      <c r="T37" s="109">
        <f>IF(Z37=1,IF(T36=MiscData!$F$1,EOMONTH(T36,-11),EOMONTH(T36,1)),T36)</f>
        <v>42429</v>
      </c>
      <c r="U37" s="108" t="str">
        <f t="shared" si="14"/>
        <v>20140101LE_952BASE</v>
      </c>
      <c r="V37" s="126" t="str">
        <f t="shared" si="15"/>
        <v xml:space="preserve">20140101LS </v>
      </c>
      <c r="Y37" s="98">
        <f>MiscData!$X$5</f>
        <v>20140101</v>
      </c>
      <c r="Z37" s="98">
        <f>IF(Z36+1&gt;MiscData!$AF$28,1,Z36+1)</f>
        <v>12</v>
      </c>
      <c r="AA37" s="98" t="str">
        <f>VLOOKUP(Z37,MiscData!$AF$5:$AG$28,2,FALSE)</f>
        <v>LE_952BASE</v>
      </c>
      <c r="AB37" s="98" t="str">
        <f>VLOOKUP(Z37,MiscData!$AF$5:$AH$28,3,FALSE)</f>
        <v xml:space="preserve">LS </v>
      </c>
    </row>
    <row r="38" spans="1:28">
      <c r="A38" s="108">
        <f t="shared" si="13"/>
        <v>37</v>
      </c>
      <c r="B38" s="109" t="str">
        <f t="shared" si="0"/>
        <v>Feb 2016</v>
      </c>
      <c r="C38" s="110" t="str">
        <f t="shared" si="1"/>
        <v>RLS</v>
      </c>
      <c r="D38" s="110" t="str">
        <f t="shared" si="2"/>
        <v>LE_953BASE</v>
      </c>
      <c r="E38" s="569">
        <f t="shared" si="16"/>
        <v>0</v>
      </c>
      <c r="F38" s="116">
        <f>SUMIF(PoleRates!$E$4:$E$131,$U38,PoleRates!$F$4:$F$131)</f>
        <v>3.73</v>
      </c>
      <c r="G38" s="118">
        <f t="shared" si="9"/>
        <v>0</v>
      </c>
      <c r="H38" s="118">
        <f t="shared" si="10"/>
        <v>0</v>
      </c>
      <c r="I38" s="570">
        <f t="shared" si="4"/>
        <v>0</v>
      </c>
      <c r="J38" s="121">
        <f t="shared" si="5"/>
        <v>1</v>
      </c>
      <c r="K38" s="122">
        <f t="shared" si="6"/>
        <v>0</v>
      </c>
      <c r="L38" s="123">
        <f t="shared" si="11"/>
        <v>0</v>
      </c>
      <c r="M38" s="123">
        <f t="shared" si="12"/>
        <v>0</v>
      </c>
      <c r="T38" s="109">
        <f>IF(Z38=1,IF(T37=MiscData!$F$1,EOMONTH(T37,-11),EOMONTH(T37,1)),T37)</f>
        <v>42429</v>
      </c>
      <c r="U38" s="108" t="str">
        <f t="shared" si="14"/>
        <v>20140101LE_953BASE</v>
      </c>
      <c r="V38" s="126" t="str">
        <f t="shared" si="15"/>
        <v>20140101RLS</v>
      </c>
      <c r="Y38" s="98">
        <f>MiscData!$X$5</f>
        <v>20140101</v>
      </c>
      <c r="Z38" s="98">
        <f>IF(Z37+1&gt;MiscData!$AF$28,1,Z37+1)</f>
        <v>13</v>
      </c>
      <c r="AA38" s="98" t="str">
        <f>VLOOKUP(Z38,MiscData!$AF$5:$AG$28,2,FALSE)</f>
        <v>LE_953BASE</v>
      </c>
      <c r="AB38" s="98" t="str">
        <f>VLOOKUP(Z38,MiscData!$AF$5:$AH$28,3,FALSE)</f>
        <v>RLS</v>
      </c>
    </row>
    <row r="39" spans="1:28" hidden="1">
      <c r="A39" s="108">
        <f t="shared" si="13"/>
        <v>38</v>
      </c>
      <c r="B39" s="109" t="str">
        <f t="shared" si="0"/>
        <v>Feb 2016</v>
      </c>
      <c r="C39" s="110" t="str">
        <f t="shared" si="1"/>
        <v xml:space="preserve">LS </v>
      </c>
      <c r="D39" s="110" t="str">
        <f t="shared" si="2"/>
        <v>LE_953BASE</v>
      </c>
      <c r="E39" s="569">
        <f t="shared" si="16"/>
        <v>0</v>
      </c>
      <c r="F39" s="116">
        <f>SUMIF(PoleRates!$E$4:$E$131,$U39,PoleRates!$F$4:$F$131)</f>
        <v>3.73</v>
      </c>
      <c r="G39" s="118">
        <f t="shared" si="9"/>
        <v>0</v>
      </c>
      <c r="H39" s="118">
        <f t="shared" si="10"/>
        <v>0</v>
      </c>
      <c r="I39" s="570">
        <f t="shared" si="4"/>
        <v>0</v>
      </c>
      <c r="J39" s="121">
        <f t="shared" si="5"/>
        <v>1</v>
      </c>
      <c r="K39" s="122">
        <f t="shared" si="6"/>
        <v>0</v>
      </c>
      <c r="L39" s="123">
        <f t="shared" si="11"/>
        <v>0</v>
      </c>
      <c r="M39" s="123">
        <f t="shared" si="12"/>
        <v>0</v>
      </c>
      <c r="T39" s="109">
        <f>IF(Z39=1,IF(T38=MiscData!$F$1,EOMONTH(T38,-11),EOMONTH(T38,1)),T38)</f>
        <v>42429</v>
      </c>
      <c r="U39" s="108" t="str">
        <f t="shared" si="14"/>
        <v>20140101LE_953BASE</v>
      </c>
      <c r="V39" s="126" t="str">
        <f t="shared" si="15"/>
        <v xml:space="preserve">20140101LS </v>
      </c>
      <c r="Y39" s="98">
        <f>MiscData!$X$5</f>
        <v>20140101</v>
      </c>
      <c r="Z39" s="98">
        <f>IF(Z38+1&gt;MiscData!$AF$28,1,Z38+1)</f>
        <v>14</v>
      </c>
      <c r="AA39" s="98" t="str">
        <f>VLOOKUP(Z39,MiscData!$AF$5:$AG$28,2,FALSE)</f>
        <v>LE_953BASE</v>
      </c>
      <c r="AB39" s="98" t="str">
        <f>VLOOKUP(Z39,MiscData!$AF$5:$AH$28,3,FALSE)</f>
        <v xml:space="preserve">LS </v>
      </c>
    </row>
    <row r="40" spans="1:28">
      <c r="A40" s="108">
        <f t="shared" si="13"/>
        <v>39</v>
      </c>
      <c r="B40" s="109" t="str">
        <f t="shared" si="0"/>
        <v>Feb 2016</v>
      </c>
      <c r="C40" s="110" t="str">
        <f t="shared" si="1"/>
        <v>RLS</v>
      </c>
      <c r="D40" s="110" t="str">
        <f t="shared" si="2"/>
        <v>LE_954BASE</v>
      </c>
      <c r="E40" s="569">
        <f t="shared" si="16"/>
        <v>0</v>
      </c>
      <c r="F40" s="116">
        <f>SUMIF(PoleRates!$E$4:$E$131,$U40,PoleRates!$F$4:$F$131)</f>
        <v>3.47</v>
      </c>
      <c r="G40" s="118">
        <f t="shared" si="9"/>
        <v>0</v>
      </c>
      <c r="H40" s="118">
        <f t="shared" si="10"/>
        <v>0</v>
      </c>
      <c r="I40" s="570">
        <f t="shared" si="4"/>
        <v>0</v>
      </c>
      <c r="J40" s="121">
        <f t="shared" si="5"/>
        <v>1</v>
      </c>
      <c r="K40" s="122">
        <f t="shared" si="6"/>
        <v>0</v>
      </c>
      <c r="L40" s="123">
        <f t="shared" si="11"/>
        <v>0</v>
      </c>
      <c r="M40" s="123">
        <f t="shared" si="12"/>
        <v>0</v>
      </c>
      <c r="T40" s="109">
        <f>IF(Z40=1,IF(T39=MiscData!$F$1,EOMONTH(T39,-11),EOMONTH(T39,1)),T39)</f>
        <v>42429</v>
      </c>
      <c r="U40" s="108" t="str">
        <f t="shared" si="14"/>
        <v>20140101LE_954BASE</v>
      </c>
      <c r="V40" s="126" t="str">
        <f t="shared" si="15"/>
        <v>20140101RLS</v>
      </c>
      <c r="Y40" s="98">
        <f>MiscData!$X$5</f>
        <v>20140101</v>
      </c>
      <c r="Z40" s="98">
        <f>IF(Z39+1&gt;MiscData!$AF$28,1,Z39+1)</f>
        <v>15</v>
      </c>
      <c r="AA40" s="98" t="str">
        <f>VLOOKUP(Z40,MiscData!$AF$5:$AG$28,2,FALSE)</f>
        <v>LE_954BASE</v>
      </c>
      <c r="AB40" s="98" t="str">
        <f>VLOOKUP(Z40,MiscData!$AF$5:$AH$28,3,FALSE)</f>
        <v>RLS</v>
      </c>
    </row>
    <row r="41" spans="1:28" hidden="1">
      <c r="A41" s="108">
        <f t="shared" si="13"/>
        <v>40</v>
      </c>
      <c r="B41" s="109" t="str">
        <f t="shared" si="0"/>
        <v>Feb 2016</v>
      </c>
      <c r="C41" s="110" t="str">
        <f t="shared" si="1"/>
        <v xml:space="preserve">LS </v>
      </c>
      <c r="D41" s="110" t="str">
        <f t="shared" si="2"/>
        <v>LE_954BASE</v>
      </c>
      <c r="E41" s="569">
        <f t="shared" si="16"/>
        <v>0</v>
      </c>
      <c r="F41" s="116">
        <f>SUMIF(PoleRates!$E$4:$E$131,$U41,PoleRates!$F$4:$F$131)</f>
        <v>3.47</v>
      </c>
      <c r="G41" s="118">
        <f t="shared" si="9"/>
        <v>0</v>
      </c>
      <c r="H41" s="118">
        <f t="shared" si="10"/>
        <v>0</v>
      </c>
      <c r="I41" s="570">
        <f t="shared" si="4"/>
        <v>0</v>
      </c>
      <c r="J41" s="121">
        <f t="shared" si="5"/>
        <v>1</v>
      </c>
      <c r="K41" s="122">
        <f t="shared" si="6"/>
        <v>0</v>
      </c>
      <c r="L41" s="123">
        <f t="shared" si="11"/>
        <v>0</v>
      </c>
      <c r="M41" s="123">
        <f t="shared" si="12"/>
        <v>0</v>
      </c>
      <c r="T41" s="109">
        <f>IF(Z41=1,IF(T40=MiscData!$F$1,EOMONTH(T40,-11),EOMONTH(T40,1)),T40)</f>
        <v>42429</v>
      </c>
      <c r="U41" s="108" t="str">
        <f t="shared" si="14"/>
        <v>20140101LE_954BASE</v>
      </c>
      <c r="V41" s="126" t="str">
        <f t="shared" si="15"/>
        <v xml:space="preserve">20140101LS </v>
      </c>
      <c r="Y41" s="98">
        <f>MiscData!$X$5</f>
        <v>20140101</v>
      </c>
      <c r="Z41" s="98">
        <f>IF(Z40+1&gt;MiscData!$AF$28,1,Z40+1)</f>
        <v>16</v>
      </c>
      <c r="AA41" s="98" t="str">
        <f>VLOOKUP(Z41,MiscData!$AF$5:$AG$28,2,FALSE)</f>
        <v>LE_954BASE</v>
      </c>
      <c r="AB41" s="98" t="str">
        <f>VLOOKUP(Z41,MiscData!$AF$5:$AH$28,3,FALSE)</f>
        <v xml:space="preserve">LS </v>
      </c>
    </row>
    <row r="42" spans="1:28">
      <c r="A42" s="108">
        <f t="shared" si="13"/>
        <v>41</v>
      </c>
      <c r="B42" s="109" t="str">
        <f t="shared" si="0"/>
        <v>Feb 2016</v>
      </c>
      <c r="C42" s="110" t="str">
        <f t="shared" si="1"/>
        <v>RLS</v>
      </c>
      <c r="D42" s="110" t="str">
        <f t="shared" si="2"/>
        <v>LE_955BASE</v>
      </c>
      <c r="E42" s="569">
        <f t="shared" si="16"/>
        <v>0</v>
      </c>
      <c r="F42" s="116">
        <f>SUMIF(PoleRates!$E$4:$E$131,$U42,PoleRates!$F$4:$F$131)</f>
        <v>3.56</v>
      </c>
      <c r="G42" s="118">
        <f t="shared" si="9"/>
        <v>0</v>
      </c>
      <c r="H42" s="118">
        <f t="shared" si="10"/>
        <v>0</v>
      </c>
      <c r="I42" s="570">
        <f t="shared" si="4"/>
        <v>0</v>
      </c>
      <c r="J42" s="121">
        <f t="shared" si="5"/>
        <v>1</v>
      </c>
      <c r="K42" s="122">
        <f t="shared" si="6"/>
        <v>0</v>
      </c>
      <c r="L42" s="123">
        <f t="shared" si="11"/>
        <v>0</v>
      </c>
      <c r="M42" s="123">
        <f t="shared" si="12"/>
        <v>0</v>
      </c>
      <c r="T42" s="109">
        <f>IF(Z42=1,IF(T41=MiscData!$F$1,EOMONTH(T41,-11),EOMONTH(T41,1)),T41)</f>
        <v>42429</v>
      </c>
      <c r="U42" s="108" t="str">
        <f t="shared" si="14"/>
        <v>20140101LE_955BASE</v>
      </c>
      <c r="V42" s="126" t="str">
        <f t="shared" si="15"/>
        <v>20140101RLS</v>
      </c>
      <c r="Y42" s="98">
        <f>MiscData!$X$5</f>
        <v>20140101</v>
      </c>
      <c r="Z42" s="98">
        <f>IF(Z41+1&gt;MiscData!$AF$28,1,Z41+1)</f>
        <v>17</v>
      </c>
      <c r="AA42" s="98" t="str">
        <f>VLOOKUP(Z42,MiscData!$AF$5:$AG$28,2,FALSE)</f>
        <v>LE_955BASE</v>
      </c>
      <c r="AB42" s="98" t="str">
        <f>VLOOKUP(Z42,MiscData!$AF$5:$AH$28,3,FALSE)</f>
        <v>RLS</v>
      </c>
    </row>
    <row r="43" spans="1:28" hidden="1">
      <c r="A43" s="108">
        <f t="shared" si="13"/>
        <v>42</v>
      </c>
      <c r="B43" s="109" t="str">
        <f t="shared" si="0"/>
        <v>Feb 2016</v>
      </c>
      <c r="C43" s="110" t="str">
        <f t="shared" si="1"/>
        <v xml:space="preserve">LS </v>
      </c>
      <c r="D43" s="110" t="str">
        <f t="shared" si="2"/>
        <v>LE_955BASE</v>
      </c>
      <c r="E43" s="569">
        <f t="shared" si="16"/>
        <v>0</v>
      </c>
      <c r="F43" s="116">
        <f>SUMIF(PoleRates!$E$4:$E$131,$U43,PoleRates!$F$4:$F$131)</f>
        <v>3.56</v>
      </c>
      <c r="G43" s="118">
        <f t="shared" si="9"/>
        <v>0</v>
      </c>
      <c r="H43" s="118">
        <f t="shared" si="10"/>
        <v>0</v>
      </c>
      <c r="I43" s="570">
        <f t="shared" si="4"/>
        <v>0</v>
      </c>
      <c r="J43" s="121">
        <f t="shared" si="5"/>
        <v>1</v>
      </c>
      <c r="K43" s="122">
        <f t="shared" si="6"/>
        <v>0</v>
      </c>
      <c r="L43" s="123">
        <f t="shared" si="11"/>
        <v>0</v>
      </c>
      <c r="M43" s="123">
        <f t="shared" si="12"/>
        <v>0</v>
      </c>
      <c r="T43" s="109">
        <f>IF(Z43=1,IF(T42=MiscData!$F$1,EOMONTH(T42,-11),EOMONTH(T42,1)),T42)</f>
        <v>42429</v>
      </c>
      <c r="U43" s="108" t="str">
        <f t="shared" si="14"/>
        <v>20140101LE_955BASE</v>
      </c>
      <c r="V43" s="126" t="str">
        <f t="shared" si="15"/>
        <v xml:space="preserve">20140101LS </v>
      </c>
      <c r="Y43" s="98">
        <f>MiscData!$X$5</f>
        <v>20140101</v>
      </c>
      <c r="Z43" s="98">
        <f>IF(Z42+1&gt;MiscData!$AF$28,1,Z42+1)</f>
        <v>18</v>
      </c>
      <c r="AA43" s="98" t="str">
        <f>VLOOKUP(Z43,MiscData!$AF$5:$AG$28,2,FALSE)</f>
        <v>LE_955BASE</v>
      </c>
      <c r="AB43" s="98" t="str">
        <f>VLOOKUP(Z43,MiscData!$AF$5:$AH$28,3,FALSE)</f>
        <v xml:space="preserve">LS </v>
      </c>
    </row>
    <row r="44" spans="1:28" hidden="1">
      <c r="A44" s="108">
        <f t="shared" si="13"/>
        <v>43</v>
      </c>
      <c r="B44" s="109" t="str">
        <f t="shared" si="0"/>
        <v>Feb 2016</v>
      </c>
      <c r="C44" s="110" t="str">
        <f t="shared" si="1"/>
        <v>RLS</v>
      </c>
      <c r="D44" s="110" t="str">
        <f t="shared" si="2"/>
        <v>LE_956BASE</v>
      </c>
      <c r="E44" s="569">
        <f t="shared" si="16"/>
        <v>239</v>
      </c>
      <c r="F44" s="116">
        <f>SUMIF(PoleRates!$E$4:$E$131,$U44,PoleRates!$F$4:$F$131)</f>
        <v>3.56</v>
      </c>
      <c r="G44" s="118">
        <f t="shared" si="9"/>
        <v>850.84</v>
      </c>
      <c r="H44" s="118">
        <f t="shared" si="10"/>
        <v>850.84</v>
      </c>
      <c r="I44" s="570">
        <f t="shared" si="4"/>
        <v>0</v>
      </c>
      <c r="J44" s="121">
        <f t="shared" si="5"/>
        <v>0</v>
      </c>
      <c r="K44" s="122">
        <f t="shared" si="6"/>
        <v>0</v>
      </c>
      <c r="L44" s="123">
        <f t="shared" si="11"/>
        <v>850.84</v>
      </c>
      <c r="M44" s="123">
        <f t="shared" si="12"/>
        <v>-850.84</v>
      </c>
      <c r="T44" s="109">
        <f>IF(Z44=1,IF(T43=MiscData!$F$1,EOMONTH(T43,-11),EOMONTH(T43,1)),T43)</f>
        <v>42429</v>
      </c>
      <c r="U44" s="108" t="str">
        <f t="shared" si="14"/>
        <v>20140101LE_956BASE</v>
      </c>
      <c r="V44" s="126" t="str">
        <f t="shared" si="15"/>
        <v>20140101RLS</v>
      </c>
      <c r="Y44" s="98">
        <f>MiscData!$X$5</f>
        <v>20140101</v>
      </c>
      <c r="Z44" s="98">
        <f>IF(Z43+1&gt;MiscData!$AF$28,1,Z43+1)</f>
        <v>19</v>
      </c>
      <c r="AA44" s="98" t="str">
        <f>VLOOKUP(Z44,MiscData!$AF$5:$AG$28,2,FALSE)</f>
        <v>LE_956BASE</v>
      </c>
      <c r="AB44" s="98" t="str">
        <f>VLOOKUP(Z44,MiscData!$AF$5:$AH$28,3,FALSE)</f>
        <v>RLS</v>
      </c>
    </row>
    <row r="45" spans="1:28" hidden="1">
      <c r="A45" s="108">
        <f t="shared" si="13"/>
        <v>44</v>
      </c>
      <c r="B45" s="109" t="str">
        <f t="shared" si="0"/>
        <v>Feb 2016</v>
      </c>
      <c r="C45" s="110" t="str">
        <f t="shared" si="1"/>
        <v xml:space="preserve">LS </v>
      </c>
      <c r="D45" s="110" t="str">
        <f t="shared" si="2"/>
        <v>LE_956BASE</v>
      </c>
      <c r="E45" s="569">
        <f t="shared" si="16"/>
        <v>310</v>
      </c>
      <c r="F45" s="116">
        <f>SUMIF(PoleRates!$E$4:$E$131,$U45,PoleRates!$F$4:$F$131)</f>
        <v>3.56</v>
      </c>
      <c r="G45" s="118">
        <f t="shared" si="9"/>
        <v>1103.5999999999999</v>
      </c>
      <c r="H45" s="118">
        <f t="shared" si="10"/>
        <v>1103.5999999999999</v>
      </c>
      <c r="I45" s="570">
        <f t="shared" si="4"/>
        <v>0</v>
      </c>
      <c r="J45" s="121">
        <f>IF(AND(H45=0,I45=0),1,IF(H45=0,0,I45/H45))</f>
        <v>0</v>
      </c>
      <c r="K45" s="122">
        <f t="shared" si="6"/>
        <v>0</v>
      </c>
      <c r="L45" s="123">
        <f t="shared" si="11"/>
        <v>1103.5999999999999</v>
      </c>
      <c r="M45" s="123">
        <f t="shared" si="12"/>
        <v>-1103.5999999999999</v>
      </c>
      <c r="T45" s="109">
        <f>IF(Z45=1,IF(T44=MiscData!$F$1,EOMONTH(T44,-11),EOMONTH(T44,1)),T44)</f>
        <v>42429</v>
      </c>
      <c r="U45" s="108" t="str">
        <f t="shared" si="14"/>
        <v>20140101LE_956BASE</v>
      </c>
      <c r="V45" s="126" t="str">
        <f t="shared" si="15"/>
        <v xml:space="preserve">20140101LS </v>
      </c>
      <c r="Y45" s="98">
        <f>MiscData!$X$5</f>
        <v>20140101</v>
      </c>
      <c r="Z45" s="98">
        <f>IF(Z44+1&gt;MiscData!$AF$28,1,Z44+1)</f>
        <v>20</v>
      </c>
      <c r="AA45" s="98" t="str">
        <f>VLOOKUP(Z45,MiscData!$AF$5:$AG$28,2,FALSE)</f>
        <v>LE_956BASE</v>
      </c>
      <c r="AB45" s="98" t="str">
        <f>VLOOKUP(Z45,MiscData!$AF$5:$AH$28,3,FALSE)</f>
        <v xml:space="preserve">LS </v>
      </c>
    </row>
    <row r="46" spans="1:28">
      <c r="A46" s="108">
        <f t="shared" si="13"/>
        <v>45</v>
      </c>
      <c r="B46" s="109" t="str">
        <f t="shared" si="0"/>
        <v>Feb 2016</v>
      </c>
      <c r="C46" s="110" t="str">
        <f t="shared" si="1"/>
        <v>RLS</v>
      </c>
      <c r="D46" s="110" t="str">
        <f t="shared" si="2"/>
        <v>LE_957BASE</v>
      </c>
      <c r="E46" s="569">
        <f t="shared" si="16"/>
        <v>0</v>
      </c>
      <c r="F46" s="116">
        <f>SUMIF(PoleRates!$E$4:$E$131,$U46,PoleRates!$F$4:$F$131)</f>
        <v>3.56</v>
      </c>
      <c r="G46" s="118">
        <f t="shared" si="9"/>
        <v>0</v>
      </c>
      <c r="H46" s="118">
        <f t="shared" si="10"/>
        <v>0</v>
      </c>
      <c r="I46" s="570">
        <f t="shared" si="4"/>
        <v>0</v>
      </c>
      <c r="J46" s="121">
        <f t="shared" ref="J46:J289" si="17">IF(AND(H46=0,I46=0),1,IF(H46=0,0,I46/H46))</f>
        <v>1</v>
      </c>
      <c r="K46" s="122">
        <f t="shared" si="6"/>
        <v>0</v>
      </c>
      <c r="L46" s="123">
        <f t="shared" si="11"/>
        <v>0</v>
      </c>
      <c r="M46" s="123">
        <f t="shared" si="12"/>
        <v>0</v>
      </c>
      <c r="T46" s="109">
        <f>IF(Z46=1,IF(T45=MiscData!$F$1,EOMONTH(T45,-11),EOMONTH(T45,1)),T45)</f>
        <v>42429</v>
      </c>
      <c r="U46" s="108" t="str">
        <f t="shared" si="14"/>
        <v>20140101LE_957BASE</v>
      </c>
      <c r="V46" s="126" t="str">
        <f t="shared" si="15"/>
        <v>20140101RLS</v>
      </c>
      <c r="Y46" s="98">
        <f>MiscData!$X$5</f>
        <v>20140101</v>
      </c>
      <c r="Z46" s="98">
        <f>IF(Z45+1&gt;MiscData!$AF$28,1,Z45+1)</f>
        <v>21</v>
      </c>
      <c r="AA46" s="98" t="str">
        <f>VLOOKUP(Z46,MiscData!$AF$5:$AG$28,2,FALSE)</f>
        <v>LE_957BASE</v>
      </c>
      <c r="AB46" s="98" t="str">
        <f>VLOOKUP(Z46,MiscData!$AF$5:$AH$28,3,FALSE)</f>
        <v>RLS</v>
      </c>
    </row>
    <row r="47" spans="1:28" hidden="1">
      <c r="A47" s="108">
        <f t="shared" si="13"/>
        <v>46</v>
      </c>
      <c r="B47" s="109" t="str">
        <f t="shared" si="0"/>
        <v>Feb 2016</v>
      </c>
      <c r="C47" s="110" t="str">
        <f t="shared" si="1"/>
        <v xml:space="preserve">LS </v>
      </c>
      <c r="D47" s="110" t="str">
        <f t="shared" si="2"/>
        <v>LE_957BASE</v>
      </c>
      <c r="E47" s="569">
        <f t="shared" si="16"/>
        <v>0</v>
      </c>
      <c r="F47" s="116">
        <f>SUMIF(PoleRates!$E$4:$E$131,$U47,PoleRates!$F$4:$F$131)</f>
        <v>3.56</v>
      </c>
      <c r="G47" s="118">
        <f t="shared" si="9"/>
        <v>0</v>
      </c>
      <c r="H47" s="118">
        <f t="shared" si="10"/>
        <v>0</v>
      </c>
      <c r="I47" s="570">
        <f t="shared" si="4"/>
        <v>0</v>
      </c>
      <c r="J47" s="121">
        <f t="shared" si="17"/>
        <v>1</v>
      </c>
      <c r="K47" s="122">
        <f t="shared" si="6"/>
        <v>0</v>
      </c>
      <c r="L47" s="123">
        <f t="shared" si="11"/>
        <v>0</v>
      </c>
      <c r="M47" s="123">
        <f t="shared" si="12"/>
        <v>0</v>
      </c>
      <c r="T47" s="109">
        <f>IF(Z47=1,IF(T46=MiscData!$F$1,EOMONTH(T46,-11),EOMONTH(T46,1)),T46)</f>
        <v>42429</v>
      </c>
      <c r="U47" s="108" t="str">
        <f t="shared" si="14"/>
        <v>20140101LE_957BASE</v>
      </c>
      <c r="V47" s="126" t="str">
        <f t="shared" si="15"/>
        <v xml:space="preserve">20140101LS </v>
      </c>
      <c r="Y47" s="98">
        <f>MiscData!$X$5</f>
        <v>20140101</v>
      </c>
      <c r="Z47" s="98">
        <f>IF(Z46+1&gt;MiscData!$AF$28,1,Z46+1)</f>
        <v>22</v>
      </c>
      <c r="AA47" s="98" t="str">
        <f>VLOOKUP(Z47,MiscData!$AF$5:$AG$28,2,FALSE)</f>
        <v>LE_957BASE</v>
      </c>
      <c r="AB47" s="98" t="str">
        <f>VLOOKUP(Z47,MiscData!$AF$5:$AH$28,3,FALSE)</f>
        <v xml:space="preserve">LS </v>
      </c>
    </row>
    <row r="48" spans="1:28" hidden="1">
      <c r="A48" s="108">
        <f t="shared" si="13"/>
        <v>47</v>
      </c>
      <c r="B48" s="109" t="str">
        <f t="shared" si="0"/>
        <v>Feb 2016</v>
      </c>
      <c r="C48" s="110" t="str">
        <f t="shared" si="1"/>
        <v>RLS</v>
      </c>
      <c r="D48" s="110" t="str">
        <f t="shared" si="2"/>
        <v>LE_958POLE</v>
      </c>
      <c r="E48" s="569">
        <f t="shared" si="16"/>
        <v>36</v>
      </c>
      <c r="F48" s="116">
        <f>SUMIF(PoleRates!$E$4:$E$131,$U48,PoleRates!$F$4:$F$131)</f>
        <v>11.31</v>
      </c>
      <c r="G48" s="118">
        <f t="shared" si="9"/>
        <v>407.16</v>
      </c>
      <c r="H48" s="118">
        <f t="shared" si="10"/>
        <v>407.16</v>
      </c>
      <c r="I48" s="570">
        <f t="shared" si="4"/>
        <v>0</v>
      </c>
      <c r="J48" s="121">
        <f t="shared" si="17"/>
        <v>0</v>
      </c>
      <c r="K48" s="122">
        <f t="shared" si="6"/>
        <v>0</v>
      </c>
      <c r="L48" s="123">
        <f t="shared" si="11"/>
        <v>407.16</v>
      </c>
      <c r="M48" s="123">
        <f t="shared" si="12"/>
        <v>-407.16</v>
      </c>
      <c r="T48" s="109">
        <f>IF(Z48=1,IF(T47=MiscData!$F$1,EOMONTH(T47,-11),EOMONTH(T47,1)),T47)</f>
        <v>42429</v>
      </c>
      <c r="U48" s="108" t="str">
        <f t="shared" si="14"/>
        <v>20140101LE_958POLE</v>
      </c>
      <c r="V48" s="126" t="str">
        <f t="shared" si="15"/>
        <v>20140101RLS</v>
      </c>
      <c r="Y48" s="98">
        <f>MiscData!$X$5</f>
        <v>20140101</v>
      </c>
      <c r="Z48" s="98">
        <f>IF(Z47+1&gt;MiscData!$AF$28,1,Z47+1)</f>
        <v>23</v>
      </c>
      <c r="AA48" s="98" t="str">
        <f>VLOOKUP(Z48,MiscData!$AF$5:$AG$28,2,FALSE)</f>
        <v>LE_958POLE</v>
      </c>
      <c r="AB48" s="98" t="str">
        <f>VLOOKUP(Z48,MiscData!$AF$5:$AH$28,3,FALSE)</f>
        <v>RLS</v>
      </c>
    </row>
    <row r="49" spans="1:28" hidden="1">
      <c r="A49" s="108">
        <f t="shared" si="13"/>
        <v>48</v>
      </c>
      <c r="B49" s="109" t="str">
        <f t="shared" si="0"/>
        <v>Feb 2016</v>
      </c>
      <c r="C49" s="110" t="str">
        <f t="shared" si="1"/>
        <v xml:space="preserve">LS </v>
      </c>
      <c r="D49" s="110" t="str">
        <f t="shared" si="2"/>
        <v>LE_958POLE</v>
      </c>
      <c r="E49" s="569">
        <f t="shared" si="16"/>
        <v>423</v>
      </c>
      <c r="F49" s="116">
        <f>SUMIF(PoleRates!$E$4:$E$131,$U49,PoleRates!$F$4:$F$131)</f>
        <v>11.31</v>
      </c>
      <c r="G49" s="118">
        <f t="shared" si="9"/>
        <v>4784.13</v>
      </c>
      <c r="H49" s="118">
        <f t="shared" si="10"/>
        <v>4784.13</v>
      </c>
      <c r="I49" s="570">
        <f t="shared" si="4"/>
        <v>0</v>
      </c>
      <c r="J49" s="121">
        <f t="shared" si="17"/>
        <v>0</v>
      </c>
      <c r="K49" s="122">
        <f t="shared" si="6"/>
        <v>0</v>
      </c>
      <c r="L49" s="123">
        <f t="shared" si="11"/>
        <v>4784.13</v>
      </c>
      <c r="M49" s="123">
        <f t="shared" si="12"/>
        <v>-4784.13</v>
      </c>
      <c r="T49" s="109">
        <f>IF(Z49=1,IF(T48=MiscData!$F$1,EOMONTH(T48,-11),EOMONTH(T48,1)),T48)</f>
        <v>42429</v>
      </c>
      <c r="U49" s="108" t="str">
        <f t="shared" si="14"/>
        <v>20140101LE_958POLE</v>
      </c>
      <c r="V49" s="126" t="str">
        <f t="shared" si="15"/>
        <v xml:space="preserve">20140101LS </v>
      </c>
      <c r="Y49" s="98">
        <f>MiscData!$X$5</f>
        <v>20140101</v>
      </c>
      <c r="Z49" s="98">
        <f>IF(Z48+1&gt;MiscData!$AF$28,1,Z48+1)</f>
        <v>24</v>
      </c>
      <c r="AA49" s="98" t="str">
        <f>VLOOKUP(Z49,MiscData!$AF$5:$AG$28,2,FALSE)</f>
        <v>LE_958POLE</v>
      </c>
      <c r="AB49" s="98" t="str">
        <f>VLOOKUP(Z49,MiscData!$AF$5:$AH$28,3,FALSE)</f>
        <v xml:space="preserve">LS </v>
      </c>
    </row>
    <row r="50" spans="1:28" hidden="1">
      <c r="A50" s="108">
        <f t="shared" si="13"/>
        <v>49</v>
      </c>
      <c r="B50" s="109" t="str">
        <f t="shared" si="0"/>
        <v>Mar 2016</v>
      </c>
      <c r="C50" s="110" t="str">
        <f t="shared" si="1"/>
        <v>RLS</v>
      </c>
      <c r="D50" s="110" t="str">
        <f t="shared" si="2"/>
        <v>LE_900POLE</v>
      </c>
      <c r="E50" s="569">
        <f t="shared" si="16"/>
        <v>1654</v>
      </c>
      <c r="F50" s="116">
        <f>SUMIF(PoleRates!$E$4:$E$131,$U50,PoleRates!$F$4:$F$131)</f>
        <v>2.06</v>
      </c>
      <c r="G50" s="118">
        <f t="shared" si="9"/>
        <v>3407.24</v>
      </c>
      <c r="H50" s="118">
        <f t="shared" si="10"/>
        <v>3407.24</v>
      </c>
      <c r="I50" s="570">
        <f t="shared" si="4"/>
        <v>0</v>
      </c>
      <c r="J50" s="121">
        <f t="shared" si="17"/>
        <v>0</v>
      </c>
      <c r="K50" s="122">
        <f t="shared" si="6"/>
        <v>0</v>
      </c>
      <c r="L50" s="123">
        <f t="shared" si="11"/>
        <v>3407.24</v>
      </c>
      <c r="M50" s="123">
        <f t="shared" si="12"/>
        <v>-3407.24</v>
      </c>
      <c r="T50" s="109">
        <f>IF(Z50=1,IF(T49=MiscData!$F$1,EOMONTH(T49,-11),EOMONTH(T49,1)),T49)</f>
        <v>42460</v>
      </c>
      <c r="U50" s="108" t="str">
        <f t="shared" si="14"/>
        <v>20140101LE_900POLE</v>
      </c>
      <c r="V50" s="126" t="str">
        <f t="shared" si="15"/>
        <v>20140101RLS</v>
      </c>
      <c r="Y50" s="98">
        <f>MiscData!$X$5</f>
        <v>20140101</v>
      </c>
      <c r="Z50" s="98">
        <f>IF(Z49+1&gt;MiscData!$AF$28,1,Z49+1)</f>
        <v>1</v>
      </c>
      <c r="AA50" s="98" t="str">
        <f>VLOOKUP(Z50,MiscData!$AF$5:$AG$28,2,FALSE)</f>
        <v>LE_900POLE</v>
      </c>
      <c r="AB50" s="98" t="str">
        <f>VLOOKUP(Z50,MiscData!$AF$5:$AH$28,3,FALSE)</f>
        <v>RLS</v>
      </c>
    </row>
    <row r="51" spans="1:28" hidden="1">
      <c r="A51" s="108">
        <f t="shared" si="13"/>
        <v>50</v>
      </c>
      <c r="B51" s="109" t="str">
        <f t="shared" si="0"/>
        <v>Mar 2016</v>
      </c>
      <c r="C51" s="110" t="str">
        <f t="shared" si="1"/>
        <v xml:space="preserve">LS </v>
      </c>
      <c r="D51" s="110" t="str">
        <f t="shared" si="2"/>
        <v>LE_900POLE</v>
      </c>
      <c r="E51" s="569">
        <f t="shared" si="16"/>
        <v>5204</v>
      </c>
      <c r="F51" s="116">
        <f>SUMIF(PoleRates!$E$4:$E$131,$U51,PoleRates!$F$4:$F$131)</f>
        <v>2.06</v>
      </c>
      <c r="G51" s="118">
        <f t="shared" si="9"/>
        <v>10720.24</v>
      </c>
      <c r="H51" s="118">
        <f t="shared" si="10"/>
        <v>10720.24</v>
      </c>
      <c r="I51" s="570">
        <f t="shared" si="4"/>
        <v>0</v>
      </c>
      <c r="J51" s="121">
        <f t="shared" si="17"/>
        <v>0</v>
      </c>
      <c r="K51" s="122">
        <f t="shared" si="6"/>
        <v>0</v>
      </c>
      <c r="L51" s="123">
        <f t="shared" si="11"/>
        <v>10720.24</v>
      </c>
      <c r="M51" s="123">
        <f t="shared" si="12"/>
        <v>-10720.24</v>
      </c>
      <c r="T51" s="109">
        <f>IF(Z51=1,IF(T50=MiscData!$F$1,EOMONTH(T50,-11),EOMONTH(T50,1)),T50)</f>
        <v>42460</v>
      </c>
      <c r="U51" s="108" t="str">
        <f t="shared" si="14"/>
        <v>20140101LE_900POLE</v>
      </c>
      <c r="V51" s="126" t="str">
        <f t="shared" si="15"/>
        <v xml:space="preserve">20140101LS </v>
      </c>
      <c r="Y51" s="98">
        <f>MiscData!$X$5</f>
        <v>20140101</v>
      </c>
      <c r="Z51" s="98">
        <f>IF(Z50+1&gt;MiscData!$AF$28,1,Z50+1)</f>
        <v>2</v>
      </c>
      <c r="AA51" s="98" t="str">
        <f>VLOOKUP(Z51,MiscData!$AF$5:$AG$28,2,FALSE)</f>
        <v>LE_900POLE</v>
      </c>
      <c r="AB51" s="98" t="str">
        <f>VLOOKUP(Z51,MiscData!$AF$5:$AH$28,3,FALSE)</f>
        <v xml:space="preserve">LS </v>
      </c>
    </row>
    <row r="52" spans="1:28" hidden="1">
      <c r="A52" s="108">
        <f t="shared" si="13"/>
        <v>51</v>
      </c>
      <c r="B52" s="109" t="str">
        <f t="shared" si="0"/>
        <v>Mar 2016</v>
      </c>
      <c r="C52" s="110" t="str">
        <f t="shared" si="1"/>
        <v>RLS</v>
      </c>
      <c r="D52" s="110" t="str">
        <f t="shared" si="2"/>
        <v>LE_901POLE</v>
      </c>
      <c r="E52" s="569">
        <f t="shared" si="16"/>
        <v>157</v>
      </c>
      <c r="F52" s="116">
        <f>SUMIF(PoleRates!$E$4:$E$131,$U52,PoleRates!$F$4:$F$131)</f>
        <v>10.81</v>
      </c>
      <c r="G52" s="118">
        <f t="shared" si="9"/>
        <v>1697.17</v>
      </c>
      <c r="H52" s="118">
        <f t="shared" si="10"/>
        <v>1697.17</v>
      </c>
      <c r="I52" s="570">
        <f t="shared" si="4"/>
        <v>0</v>
      </c>
      <c r="J52" s="121">
        <f t="shared" si="17"/>
        <v>0</v>
      </c>
      <c r="K52" s="122">
        <f t="shared" si="6"/>
        <v>0</v>
      </c>
      <c r="L52" s="123">
        <f t="shared" si="11"/>
        <v>1697.17</v>
      </c>
      <c r="M52" s="123">
        <f t="shared" si="12"/>
        <v>-1697.17</v>
      </c>
      <c r="T52" s="109">
        <f>IF(Z52=1,IF(T51=MiscData!$F$1,EOMONTH(T51,-11),EOMONTH(T51,1)),T51)</f>
        <v>42460</v>
      </c>
      <c r="U52" s="108" t="str">
        <f t="shared" si="14"/>
        <v>20140101LE_901POLE</v>
      </c>
      <c r="V52" s="126" t="str">
        <f t="shared" si="15"/>
        <v>20140101RLS</v>
      </c>
      <c r="Y52" s="98">
        <f>MiscData!$X$5</f>
        <v>20140101</v>
      </c>
      <c r="Z52" s="98">
        <f>IF(Z51+1&gt;MiscData!$AF$28,1,Z51+1)</f>
        <v>3</v>
      </c>
      <c r="AA52" s="98" t="str">
        <f>VLOOKUP(Z52,MiscData!$AF$5:$AG$28,2,FALSE)</f>
        <v>LE_901POLE</v>
      </c>
      <c r="AB52" s="98" t="str">
        <f>VLOOKUP(Z52,MiscData!$AF$5:$AH$28,3,FALSE)</f>
        <v>RLS</v>
      </c>
    </row>
    <row r="53" spans="1:28" hidden="1">
      <c r="A53" s="108">
        <f t="shared" si="13"/>
        <v>52</v>
      </c>
      <c r="B53" s="109" t="str">
        <f t="shared" si="0"/>
        <v>Mar 2016</v>
      </c>
      <c r="C53" s="110" t="str">
        <f t="shared" si="1"/>
        <v xml:space="preserve">LS </v>
      </c>
      <c r="D53" s="110" t="str">
        <f t="shared" si="2"/>
        <v>LE_901POLE</v>
      </c>
      <c r="E53" s="569">
        <f t="shared" si="16"/>
        <v>0</v>
      </c>
      <c r="F53" s="116">
        <f>SUMIF(PoleRates!$E$4:$E$131,$U53,PoleRates!$F$4:$F$131)</f>
        <v>10.81</v>
      </c>
      <c r="G53" s="118">
        <f t="shared" si="9"/>
        <v>0</v>
      </c>
      <c r="H53" s="118">
        <f t="shared" si="10"/>
        <v>0</v>
      </c>
      <c r="I53" s="570">
        <f t="shared" si="4"/>
        <v>0</v>
      </c>
      <c r="J53" s="121">
        <f t="shared" si="17"/>
        <v>1</v>
      </c>
      <c r="K53" s="122">
        <f t="shared" si="6"/>
        <v>0</v>
      </c>
      <c r="L53" s="123">
        <f t="shared" si="11"/>
        <v>0</v>
      </c>
      <c r="M53" s="123">
        <f t="shared" si="12"/>
        <v>0</v>
      </c>
      <c r="T53" s="109">
        <f>IF(Z53=1,IF(T52=MiscData!$F$1,EOMONTH(T52,-11),EOMONTH(T52,1)),T52)</f>
        <v>42460</v>
      </c>
      <c r="U53" s="108" t="str">
        <f t="shared" si="14"/>
        <v>20140101LE_901POLE</v>
      </c>
      <c r="V53" s="126" t="str">
        <f t="shared" si="15"/>
        <v xml:space="preserve">20140101LS </v>
      </c>
      <c r="Y53" s="98">
        <f>MiscData!$X$5</f>
        <v>20140101</v>
      </c>
      <c r="Z53" s="98">
        <f>IF(Z52+1&gt;MiscData!$AF$28,1,Z52+1)</f>
        <v>4</v>
      </c>
      <c r="AA53" s="98" t="str">
        <f>VLOOKUP(Z53,MiscData!$AF$5:$AG$28,2,FALSE)</f>
        <v>LE_901POLE</v>
      </c>
      <c r="AB53" s="98" t="str">
        <f>VLOOKUP(Z53,MiscData!$AF$5:$AH$28,3,FALSE)</f>
        <v xml:space="preserve">LS </v>
      </c>
    </row>
    <row r="54" spans="1:28" hidden="1">
      <c r="A54" s="108">
        <f t="shared" si="13"/>
        <v>53</v>
      </c>
      <c r="B54" s="109" t="str">
        <f t="shared" si="0"/>
        <v>Mar 2016</v>
      </c>
      <c r="C54" s="110" t="str">
        <f t="shared" si="1"/>
        <v>RLS</v>
      </c>
      <c r="D54" s="110" t="str">
        <f t="shared" si="2"/>
        <v>LE_902POLE</v>
      </c>
      <c r="E54" s="569">
        <f t="shared" si="16"/>
        <v>277</v>
      </c>
      <c r="F54" s="116">
        <f>SUMIF(PoleRates!$E$4:$E$131,$U54,PoleRates!$F$4:$F$131)</f>
        <v>12.9</v>
      </c>
      <c r="G54" s="118">
        <f t="shared" si="9"/>
        <v>3573.3</v>
      </c>
      <c r="H54" s="118">
        <f t="shared" si="10"/>
        <v>3573.3</v>
      </c>
      <c r="I54" s="570">
        <f t="shared" si="4"/>
        <v>0</v>
      </c>
      <c r="J54" s="121">
        <f t="shared" si="17"/>
        <v>0</v>
      </c>
      <c r="K54" s="122">
        <f t="shared" si="6"/>
        <v>0</v>
      </c>
      <c r="L54" s="123">
        <f t="shared" si="11"/>
        <v>3573.3</v>
      </c>
      <c r="M54" s="123">
        <f t="shared" si="12"/>
        <v>-3573.3</v>
      </c>
      <c r="T54" s="109">
        <f>IF(Z54=1,IF(T53=MiscData!$F$1,EOMONTH(T53,-11),EOMONTH(T53,1)),T53)</f>
        <v>42460</v>
      </c>
      <c r="U54" s="108" t="str">
        <f t="shared" si="14"/>
        <v>20140101LE_902POLE</v>
      </c>
      <c r="V54" s="126" t="str">
        <f t="shared" si="15"/>
        <v>20140101RLS</v>
      </c>
      <c r="Y54" s="98">
        <f>MiscData!$X$5</f>
        <v>20140101</v>
      </c>
      <c r="Z54" s="98">
        <f>IF(Z53+1&gt;MiscData!$AF$28,1,Z53+1)</f>
        <v>5</v>
      </c>
      <c r="AA54" s="98" t="str">
        <f>VLOOKUP(Z54,MiscData!$AF$5:$AG$28,2,FALSE)</f>
        <v>LE_902POLE</v>
      </c>
      <c r="AB54" s="98" t="str">
        <f>VLOOKUP(Z54,MiscData!$AF$5:$AH$28,3,FALSE)</f>
        <v>RLS</v>
      </c>
    </row>
    <row r="55" spans="1:28" hidden="1">
      <c r="A55" s="108">
        <f t="shared" si="13"/>
        <v>54</v>
      </c>
      <c r="B55" s="109" t="str">
        <f t="shared" si="0"/>
        <v>Mar 2016</v>
      </c>
      <c r="C55" s="110" t="str">
        <f t="shared" si="1"/>
        <v xml:space="preserve">LS </v>
      </c>
      <c r="D55" s="110" t="str">
        <f t="shared" si="2"/>
        <v>LE_902POLE</v>
      </c>
      <c r="E55" s="569">
        <f t="shared" si="16"/>
        <v>3</v>
      </c>
      <c r="F55" s="116">
        <f>SUMIF(PoleRates!$E$4:$E$131,$U55,PoleRates!$F$4:$F$131)</f>
        <v>12.9</v>
      </c>
      <c r="G55" s="118">
        <f t="shared" si="9"/>
        <v>38.700000000000003</v>
      </c>
      <c r="H55" s="118">
        <f t="shared" si="10"/>
        <v>38.700000000000003</v>
      </c>
      <c r="I55" s="570">
        <f t="shared" si="4"/>
        <v>0</v>
      </c>
      <c r="J55" s="121">
        <f t="shared" si="17"/>
        <v>0</v>
      </c>
      <c r="K55" s="122">
        <f t="shared" si="6"/>
        <v>0</v>
      </c>
      <c r="L55" s="123">
        <f t="shared" si="11"/>
        <v>38.700000000000003</v>
      </c>
      <c r="M55" s="123">
        <f t="shared" si="12"/>
        <v>-38.700000000000003</v>
      </c>
      <c r="T55" s="109">
        <f>IF(Z55=1,IF(T54=MiscData!$F$1,EOMONTH(T54,-11),EOMONTH(T54,1)),T54)</f>
        <v>42460</v>
      </c>
      <c r="U55" s="108" t="str">
        <f t="shared" si="14"/>
        <v>20140101LE_902POLE</v>
      </c>
      <c r="V55" s="126" t="str">
        <f t="shared" si="15"/>
        <v xml:space="preserve">20140101LS </v>
      </c>
      <c r="Y55" s="98">
        <f>MiscData!$X$5</f>
        <v>20140101</v>
      </c>
      <c r="Z55" s="98">
        <f>IF(Z54+1&gt;MiscData!$AF$28,1,Z54+1)</f>
        <v>6</v>
      </c>
      <c r="AA55" s="98" t="str">
        <f>VLOOKUP(Z55,MiscData!$AF$5:$AG$28,2,FALSE)</f>
        <v>LE_902POLE</v>
      </c>
      <c r="AB55" s="98" t="str">
        <f>VLOOKUP(Z55,MiscData!$AF$5:$AH$28,3,FALSE)</f>
        <v xml:space="preserve">LS </v>
      </c>
    </row>
    <row r="56" spans="1:28" hidden="1">
      <c r="A56" s="108">
        <f t="shared" si="13"/>
        <v>55</v>
      </c>
      <c r="B56" s="109" t="str">
        <f t="shared" si="0"/>
        <v>Mar 2016</v>
      </c>
      <c r="C56" s="110" t="str">
        <f t="shared" si="1"/>
        <v>RLS</v>
      </c>
      <c r="D56" s="110" t="str">
        <f t="shared" si="2"/>
        <v>LE_950BASE</v>
      </c>
      <c r="E56" s="569">
        <f t="shared" si="16"/>
        <v>77</v>
      </c>
      <c r="F56" s="116">
        <f>SUMIF(PoleRates!$E$4:$E$131,$U56,PoleRates!$F$4:$F$131)</f>
        <v>3.47</v>
      </c>
      <c r="G56" s="118">
        <f t="shared" si="9"/>
        <v>267.19</v>
      </c>
      <c r="H56" s="118">
        <f t="shared" si="10"/>
        <v>267.19</v>
      </c>
      <c r="I56" s="570">
        <f t="shared" si="4"/>
        <v>0</v>
      </c>
      <c r="J56" s="121">
        <f t="shared" si="17"/>
        <v>0</v>
      </c>
      <c r="K56" s="122">
        <f t="shared" si="6"/>
        <v>0</v>
      </c>
      <c r="L56" s="123">
        <f t="shared" si="11"/>
        <v>267.19</v>
      </c>
      <c r="M56" s="123">
        <f t="shared" si="12"/>
        <v>-267.19</v>
      </c>
      <c r="T56" s="109">
        <f>IF(Z56=1,IF(T55=MiscData!$F$1,EOMONTH(T55,-11),EOMONTH(T55,1)),T55)</f>
        <v>42460</v>
      </c>
      <c r="U56" s="108" t="str">
        <f t="shared" si="14"/>
        <v>20140101LE_950BASE</v>
      </c>
      <c r="V56" s="126" t="str">
        <f t="shared" si="15"/>
        <v>20140101RLS</v>
      </c>
      <c r="Y56" s="98">
        <f>MiscData!$X$5</f>
        <v>20140101</v>
      </c>
      <c r="Z56" s="98">
        <f>IF(Z55+1&gt;MiscData!$AF$28,1,Z55+1)</f>
        <v>7</v>
      </c>
      <c r="AA56" s="98" t="str">
        <f>VLOOKUP(Z56,MiscData!$AF$5:$AG$28,2,FALSE)</f>
        <v>LE_950BASE</v>
      </c>
      <c r="AB56" s="98" t="str">
        <f>VLOOKUP(Z56,MiscData!$AF$5:$AH$28,3,FALSE)</f>
        <v>RLS</v>
      </c>
    </row>
    <row r="57" spans="1:28" hidden="1">
      <c r="A57" s="137">
        <f t="shared" si="13"/>
        <v>56</v>
      </c>
      <c r="B57" s="138" t="str">
        <f t="shared" si="0"/>
        <v>Mar 2016</v>
      </c>
      <c r="C57" s="139" t="str">
        <f t="shared" si="1"/>
        <v xml:space="preserve">LS </v>
      </c>
      <c r="D57" s="139" t="str">
        <f t="shared" si="2"/>
        <v>LE_950BASE</v>
      </c>
      <c r="E57" s="573">
        <f t="shared" si="16"/>
        <v>13</v>
      </c>
      <c r="F57" s="142">
        <f>SUMIF(PoleRates!$E$4:$E$131,$U57,PoleRates!$F$4:$F$131)</f>
        <v>3.47</v>
      </c>
      <c r="G57" s="118">
        <f t="shared" si="9"/>
        <v>45.11</v>
      </c>
      <c r="H57" s="118">
        <f t="shared" si="10"/>
        <v>45.11</v>
      </c>
      <c r="I57" s="574">
        <f t="shared" si="4"/>
        <v>0</v>
      </c>
      <c r="J57" s="147">
        <f t="shared" si="17"/>
        <v>0</v>
      </c>
      <c r="K57" s="148">
        <f t="shared" si="6"/>
        <v>0</v>
      </c>
      <c r="L57" s="149">
        <f t="shared" si="11"/>
        <v>45.11</v>
      </c>
      <c r="M57" s="149">
        <f t="shared" si="12"/>
        <v>-45.11</v>
      </c>
      <c r="T57" s="109">
        <f>IF(Z57=1,IF(T56=MiscData!$F$1,EOMONTH(T56,-11),EOMONTH(T56,1)),T56)</f>
        <v>42460</v>
      </c>
      <c r="U57" s="108" t="str">
        <f t="shared" si="14"/>
        <v>20140101LE_950BASE</v>
      </c>
      <c r="V57" s="126" t="str">
        <f t="shared" si="15"/>
        <v xml:space="preserve">20140101LS </v>
      </c>
      <c r="Y57" s="98">
        <f>MiscData!$X$5</f>
        <v>20140101</v>
      </c>
      <c r="Z57" s="98">
        <f>IF(Z56+1&gt;MiscData!$AF$28,1,Z56+1)</f>
        <v>8</v>
      </c>
      <c r="AA57" s="98" t="str">
        <f>VLOOKUP(Z57,MiscData!$AF$5:$AG$28,2,FALSE)</f>
        <v>LE_950BASE</v>
      </c>
      <c r="AB57" s="98" t="str">
        <f>VLOOKUP(Z57,MiscData!$AF$5:$AH$28,3,FALSE)</f>
        <v xml:space="preserve">LS </v>
      </c>
    </row>
    <row r="58" spans="1:28" hidden="1">
      <c r="A58" s="108">
        <f t="shared" si="13"/>
        <v>57</v>
      </c>
      <c r="B58" s="109" t="str">
        <f t="shared" si="0"/>
        <v>Mar 2016</v>
      </c>
      <c r="C58" s="110" t="str">
        <f t="shared" si="1"/>
        <v>RLS</v>
      </c>
      <c r="D58" s="110" t="str">
        <f t="shared" si="2"/>
        <v>LE_951BASE</v>
      </c>
      <c r="E58" s="569">
        <f t="shared" si="16"/>
        <v>195</v>
      </c>
      <c r="F58" s="116">
        <f>SUMIF(PoleRates!$E$4:$E$131,$U58,PoleRates!$F$4:$F$131)</f>
        <v>3.73</v>
      </c>
      <c r="G58" s="118">
        <f t="shared" si="9"/>
        <v>727.35</v>
      </c>
      <c r="H58" s="118">
        <f t="shared" si="10"/>
        <v>727.35</v>
      </c>
      <c r="I58" s="570">
        <f t="shared" si="4"/>
        <v>0</v>
      </c>
      <c r="J58" s="121">
        <f t="shared" si="17"/>
        <v>0</v>
      </c>
      <c r="K58" s="122">
        <f t="shared" si="6"/>
        <v>0</v>
      </c>
      <c r="L58" s="123">
        <f t="shared" si="11"/>
        <v>727.35</v>
      </c>
      <c r="M58" s="123">
        <f t="shared" si="12"/>
        <v>-727.35</v>
      </c>
      <c r="T58" s="109">
        <f>IF(Z58=1,IF(T57=MiscData!$F$1,EOMONTH(T57,-11),EOMONTH(T57,1)),T57)</f>
        <v>42460</v>
      </c>
      <c r="U58" s="108" t="str">
        <f t="shared" ref="U58:U63" si="18">CONCATENATE(Y58&amp;AA58)</f>
        <v>20140101LE_951BASE</v>
      </c>
      <c r="V58" s="126" t="str">
        <f t="shared" ref="V58:V63" si="19">CONCATENATE(Y58&amp;AB58)</f>
        <v>20140101RLS</v>
      </c>
      <c r="Y58" s="98">
        <f>MiscData!$X$5</f>
        <v>20140101</v>
      </c>
      <c r="Z58" s="98">
        <f>IF(Z57+1&gt;MiscData!$AF$28,1,Z57+1)</f>
        <v>9</v>
      </c>
      <c r="AA58" s="98" t="str">
        <f>VLOOKUP(Z58,MiscData!$AF$5:$AG$28,2,FALSE)</f>
        <v>LE_951BASE</v>
      </c>
      <c r="AB58" s="98" t="str">
        <f>VLOOKUP(Z58,MiscData!$AF$5:$AH$28,3,FALSE)</f>
        <v>RLS</v>
      </c>
    </row>
    <row r="59" spans="1:28" hidden="1">
      <c r="A59" s="108">
        <f t="shared" si="13"/>
        <v>58</v>
      </c>
      <c r="B59" s="109" t="str">
        <f t="shared" si="0"/>
        <v>Mar 2016</v>
      </c>
      <c r="C59" s="110" t="str">
        <f t="shared" si="1"/>
        <v xml:space="preserve">LS </v>
      </c>
      <c r="D59" s="110" t="str">
        <f t="shared" si="2"/>
        <v>LE_951BASE</v>
      </c>
      <c r="E59" s="569">
        <f t="shared" si="16"/>
        <v>73</v>
      </c>
      <c r="F59" s="116">
        <f>SUMIF(PoleRates!$E$4:$E$131,$U59,PoleRates!$F$4:$F$131)</f>
        <v>3.73</v>
      </c>
      <c r="G59" s="118">
        <f t="shared" si="9"/>
        <v>272.29000000000002</v>
      </c>
      <c r="H59" s="118">
        <f t="shared" si="10"/>
        <v>272.29000000000002</v>
      </c>
      <c r="I59" s="570">
        <f t="shared" si="4"/>
        <v>0</v>
      </c>
      <c r="J59" s="121">
        <f t="shared" si="17"/>
        <v>0</v>
      </c>
      <c r="K59" s="122">
        <f t="shared" si="6"/>
        <v>0</v>
      </c>
      <c r="L59" s="123">
        <f t="shared" si="11"/>
        <v>272.29000000000002</v>
      </c>
      <c r="M59" s="123">
        <f t="shared" si="12"/>
        <v>-272.29000000000002</v>
      </c>
      <c r="T59" s="109">
        <f>IF(Z59=1,IF(T58=MiscData!$F$1,EOMONTH(T58,-11),EOMONTH(T58,1)),T58)</f>
        <v>42460</v>
      </c>
      <c r="U59" s="108" t="str">
        <f t="shared" si="18"/>
        <v>20140101LE_951BASE</v>
      </c>
      <c r="V59" s="126" t="str">
        <f t="shared" si="19"/>
        <v xml:space="preserve">20140101LS </v>
      </c>
      <c r="Y59" s="98">
        <f>MiscData!$X$5</f>
        <v>20140101</v>
      </c>
      <c r="Z59" s="98">
        <f>IF(Z58+1&gt;MiscData!$AF$28,1,Z58+1)</f>
        <v>10</v>
      </c>
      <c r="AA59" s="98" t="str">
        <f>VLOOKUP(Z59,MiscData!$AF$5:$AG$28,2,FALSE)</f>
        <v>LE_951BASE</v>
      </c>
      <c r="AB59" s="98" t="str">
        <f>VLOOKUP(Z59,MiscData!$AF$5:$AH$28,3,FALSE)</f>
        <v xml:space="preserve">LS </v>
      </c>
    </row>
    <row r="60" spans="1:28">
      <c r="A60" s="108">
        <f t="shared" si="13"/>
        <v>59</v>
      </c>
      <c r="B60" s="109" t="str">
        <f t="shared" si="0"/>
        <v>Mar 2016</v>
      </c>
      <c r="C60" s="110" t="str">
        <f t="shared" si="1"/>
        <v>RLS</v>
      </c>
      <c r="D60" s="110" t="str">
        <f t="shared" si="2"/>
        <v>LE_952BASE</v>
      </c>
      <c r="E60" s="569">
        <f t="shared" si="16"/>
        <v>0</v>
      </c>
      <c r="F60" s="116">
        <f>SUMIF(PoleRates!$E$4:$E$131,$U60,PoleRates!$F$4:$F$131)</f>
        <v>3.56</v>
      </c>
      <c r="G60" s="118">
        <f t="shared" si="9"/>
        <v>0</v>
      </c>
      <c r="H60" s="118">
        <f t="shared" si="10"/>
        <v>0</v>
      </c>
      <c r="I60" s="570">
        <f t="shared" si="4"/>
        <v>0</v>
      </c>
      <c r="J60" s="121">
        <f t="shared" si="17"/>
        <v>1</v>
      </c>
      <c r="K60" s="122">
        <f t="shared" si="6"/>
        <v>0</v>
      </c>
      <c r="L60" s="123">
        <f t="shared" si="11"/>
        <v>0</v>
      </c>
      <c r="M60" s="123">
        <f t="shared" si="12"/>
        <v>0</v>
      </c>
      <c r="T60" s="109">
        <f>IF(Z60=1,IF(T59=MiscData!$F$1,EOMONTH(T59,-11),EOMONTH(T59,1)),T59)</f>
        <v>42460</v>
      </c>
      <c r="U60" s="108" t="str">
        <f t="shared" si="18"/>
        <v>20140101LE_952BASE</v>
      </c>
      <c r="V60" s="126" t="str">
        <f t="shared" si="19"/>
        <v>20140101RLS</v>
      </c>
      <c r="Y60" s="98">
        <f>MiscData!$X$5</f>
        <v>20140101</v>
      </c>
      <c r="Z60" s="98">
        <f>IF(Z59+1&gt;MiscData!$AF$28,1,Z59+1)</f>
        <v>11</v>
      </c>
      <c r="AA60" s="98" t="str">
        <f>VLOOKUP(Z60,MiscData!$AF$5:$AG$28,2,FALSE)</f>
        <v>LE_952BASE</v>
      </c>
      <c r="AB60" s="98" t="str">
        <f>VLOOKUP(Z60,MiscData!$AF$5:$AH$28,3,FALSE)</f>
        <v>RLS</v>
      </c>
    </row>
    <row r="61" spans="1:28" hidden="1">
      <c r="A61" s="108">
        <f t="shared" si="13"/>
        <v>60</v>
      </c>
      <c r="B61" s="109" t="str">
        <f t="shared" si="0"/>
        <v>Mar 2016</v>
      </c>
      <c r="C61" s="110" t="str">
        <f t="shared" si="1"/>
        <v xml:space="preserve">LS </v>
      </c>
      <c r="D61" s="110" t="str">
        <f t="shared" si="2"/>
        <v>LE_952BASE</v>
      </c>
      <c r="E61" s="569">
        <f t="shared" si="16"/>
        <v>0</v>
      </c>
      <c r="F61" s="116">
        <f>SUMIF(PoleRates!$E$4:$E$131,$U61,PoleRates!$F$4:$F$131)</f>
        <v>3.56</v>
      </c>
      <c r="G61" s="118">
        <f t="shared" si="9"/>
        <v>0</v>
      </c>
      <c r="H61" s="118">
        <f t="shared" si="10"/>
        <v>0</v>
      </c>
      <c r="I61" s="570">
        <f t="shared" si="4"/>
        <v>0</v>
      </c>
      <c r="J61" s="121">
        <f t="shared" si="17"/>
        <v>1</v>
      </c>
      <c r="K61" s="122">
        <f t="shared" si="6"/>
        <v>0</v>
      </c>
      <c r="L61" s="123">
        <f t="shared" si="11"/>
        <v>0</v>
      </c>
      <c r="M61" s="123">
        <f t="shared" si="12"/>
        <v>0</v>
      </c>
      <c r="T61" s="109">
        <f>IF(Z61=1,IF(T60=MiscData!$F$1,EOMONTH(T60,-11),EOMONTH(T60,1)),T60)</f>
        <v>42460</v>
      </c>
      <c r="U61" s="108" t="str">
        <f t="shared" si="18"/>
        <v>20140101LE_952BASE</v>
      </c>
      <c r="V61" s="126" t="str">
        <f t="shared" si="19"/>
        <v xml:space="preserve">20140101LS </v>
      </c>
      <c r="Y61" s="98">
        <f>MiscData!$X$5</f>
        <v>20140101</v>
      </c>
      <c r="Z61" s="98">
        <f>IF(Z60+1&gt;MiscData!$AF$28,1,Z60+1)</f>
        <v>12</v>
      </c>
      <c r="AA61" s="98" t="str">
        <f>VLOOKUP(Z61,MiscData!$AF$5:$AG$28,2,FALSE)</f>
        <v>LE_952BASE</v>
      </c>
      <c r="AB61" s="98" t="str">
        <f>VLOOKUP(Z61,MiscData!$AF$5:$AH$28,3,FALSE)</f>
        <v xml:space="preserve">LS </v>
      </c>
    </row>
    <row r="62" spans="1:28">
      <c r="A62" s="108">
        <f t="shared" si="13"/>
        <v>61</v>
      </c>
      <c r="B62" s="109" t="str">
        <f t="shared" si="0"/>
        <v>Mar 2016</v>
      </c>
      <c r="C62" s="110" t="str">
        <f t="shared" si="1"/>
        <v>RLS</v>
      </c>
      <c r="D62" s="110" t="str">
        <f t="shared" si="2"/>
        <v>LE_953BASE</v>
      </c>
      <c r="E62" s="569">
        <f t="shared" si="16"/>
        <v>0</v>
      </c>
      <c r="F62" s="116">
        <f>SUMIF(PoleRates!$E$4:$E$131,$U62,PoleRates!$F$4:$F$131)</f>
        <v>3.73</v>
      </c>
      <c r="G62" s="118">
        <f t="shared" si="9"/>
        <v>0</v>
      </c>
      <c r="H62" s="118">
        <f t="shared" si="10"/>
        <v>0</v>
      </c>
      <c r="I62" s="570">
        <f t="shared" si="4"/>
        <v>0</v>
      </c>
      <c r="J62" s="121">
        <f t="shared" si="17"/>
        <v>1</v>
      </c>
      <c r="K62" s="122">
        <f t="shared" si="6"/>
        <v>0</v>
      </c>
      <c r="L62" s="123">
        <f t="shared" si="11"/>
        <v>0</v>
      </c>
      <c r="M62" s="123">
        <f t="shared" si="12"/>
        <v>0</v>
      </c>
      <c r="T62" s="109">
        <f>IF(Z62=1,IF(T61=MiscData!$F$1,EOMONTH(T61,-11),EOMONTH(T61,1)),T61)</f>
        <v>42460</v>
      </c>
      <c r="U62" s="108" t="str">
        <f t="shared" si="18"/>
        <v>20140101LE_953BASE</v>
      </c>
      <c r="V62" s="126" t="str">
        <f t="shared" si="19"/>
        <v>20140101RLS</v>
      </c>
      <c r="Y62" s="98">
        <f>MiscData!$X$5</f>
        <v>20140101</v>
      </c>
      <c r="Z62" s="98">
        <f>IF(Z61+1&gt;MiscData!$AF$28,1,Z61+1)</f>
        <v>13</v>
      </c>
      <c r="AA62" s="98" t="str">
        <f>VLOOKUP(Z62,MiscData!$AF$5:$AG$28,2,FALSE)</f>
        <v>LE_953BASE</v>
      </c>
      <c r="AB62" s="98" t="str">
        <f>VLOOKUP(Z62,MiscData!$AF$5:$AH$28,3,FALSE)</f>
        <v>RLS</v>
      </c>
    </row>
    <row r="63" spans="1:28" hidden="1">
      <c r="A63" s="108">
        <f t="shared" si="13"/>
        <v>62</v>
      </c>
      <c r="B63" s="109" t="str">
        <f t="shared" si="0"/>
        <v>Mar 2016</v>
      </c>
      <c r="C63" s="110" t="str">
        <f t="shared" si="1"/>
        <v xml:space="preserve">LS </v>
      </c>
      <c r="D63" s="110" t="str">
        <f t="shared" si="2"/>
        <v>LE_953BASE</v>
      </c>
      <c r="E63" s="569">
        <f t="shared" si="16"/>
        <v>0</v>
      </c>
      <c r="F63" s="116">
        <f>SUMIF(PoleRates!$E$4:$E$131,$U63,PoleRates!$F$4:$F$131)</f>
        <v>3.73</v>
      </c>
      <c r="G63" s="118">
        <f t="shared" si="9"/>
        <v>0</v>
      </c>
      <c r="H63" s="118">
        <f t="shared" si="10"/>
        <v>0</v>
      </c>
      <c r="I63" s="570">
        <f t="shared" si="4"/>
        <v>0</v>
      </c>
      <c r="J63" s="121">
        <f t="shared" si="17"/>
        <v>1</v>
      </c>
      <c r="K63" s="122">
        <f t="shared" si="6"/>
        <v>0</v>
      </c>
      <c r="L63" s="123">
        <f t="shared" si="11"/>
        <v>0</v>
      </c>
      <c r="M63" s="123">
        <f t="shared" si="12"/>
        <v>0</v>
      </c>
      <c r="T63" s="109">
        <f>IF(Z63=1,IF(T62=MiscData!$F$1,EOMONTH(T62,-11),EOMONTH(T62,1)),T62)</f>
        <v>42460</v>
      </c>
      <c r="U63" s="108" t="str">
        <f t="shared" si="18"/>
        <v>20140101LE_953BASE</v>
      </c>
      <c r="V63" s="126" t="str">
        <f t="shared" si="19"/>
        <v xml:space="preserve">20140101LS </v>
      </c>
      <c r="Y63" s="98">
        <f>MiscData!$X$5</f>
        <v>20140101</v>
      </c>
      <c r="Z63" s="98">
        <f>IF(Z62+1&gt;MiscData!$AF$28,1,Z62+1)</f>
        <v>14</v>
      </c>
      <c r="AA63" s="98" t="str">
        <f>VLOOKUP(Z63,MiscData!$AF$5:$AG$28,2,FALSE)</f>
        <v>LE_953BASE</v>
      </c>
      <c r="AB63" s="98" t="str">
        <f>VLOOKUP(Z63,MiscData!$AF$5:$AH$28,3,FALSE)</f>
        <v xml:space="preserve">LS </v>
      </c>
    </row>
    <row r="64" spans="1:28">
      <c r="A64" s="108">
        <f t="shared" si="13"/>
        <v>63</v>
      </c>
      <c r="B64" s="109" t="str">
        <f t="shared" si="0"/>
        <v>Mar 2016</v>
      </c>
      <c r="C64" s="110" t="str">
        <f t="shared" si="1"/>
        <v>RLS</v>
      </c>
      <c r="D64" s="110" t="str">
        <f t="shared" si="2"/>
        <v>LE_954BASE</v>
      </c>
      <c r="E64" s="569">
        <f t="shared" si="16"/>
        <v>0</v>
      </c>
      <c r="F64" s="116">
        <f>SUMIF(PoleRates!$E$4:$E$131,$U64,PoleRates!$F$4:$F$131)</f>
        <v>3.47</v>
      </c>
      <c r="G64" s="118">
        <f t="shared" si="9"/>
        <v>0</v>
      </c>
      <c r="H64" s="118">
        <f t="shared" si="10"/>
        <v>0</v>
      </c>
      <c r="I64" s="570">
        <f t="shared" si="4"/>
        <v>0</v>
      </c>
      <c r="J64" s="121">
        <f t="shared" si="17"/>
        <v>1</v>
      </c>
      <c r="K64" s="122">
        <f t="shared" si="6"/>
        <v>0</v>
      </c>
      <c r="L64" s="123">
        <f t="shared" si="11"/>
        <v>0</v>
      </c>
      <c r="M64" s="123">
        <f t="shared" si="12"/>
        <v>0</v>
      </c>
      <c r="T64" s="109">
        <f>IF(Z64=1,IF(T63=MiscData!$F$1,EOMONTH(T63,-11),EOMONTH(T63,1)),T63)</f>
        <v>42460</v>
      </c>
      <c r="U64" s="108" t="str">
        <f t="shared" ref="U64:U229" si="20">CONCATENATE(Y64&amp;AA64)</f>
        <v>20140101LE_954BASE</v>
      </c>
      <c r="V64" s="126" t="str">
        <f t="shared" ref="V64:V229" si="21">CONCATENATE(Y64&amp;AB64)</f>
        <v>20140101RLS</v>
      </c>
      <c r="Y64" s="98">
        <f>MiscData!$X$5</f>
        <v>20140101</v>
      </c>
      <c r="Z64" s="98">
        <f>IF(Z63+1&gt;MiscData!$AF$28,1,Z63+1)</f>
        <v>15</v>
      </c>
      <c r="AA64" s="98" t="str">
        <f>VLOOKUP(Z64,MiscData!$AF$5:$AG$28,2,FALSE)</f>
        <v>LE_954BASE</v>
      </c>
      <c r="AB64" s="98" t="str">
        <f>VLOOKUP(Z64,MiscData!$AF$5:$AH$28,3,FALSE)</f>
        <v>RLS</v>
      </c>
    </row>
    <row r="65" spans="1:32" hidden="1">
      <c r="A65" s="108">
        <f t="shared" si="13"/>
        <v>64</v>
      </c>
      <c r="B65" s="109" t="str">
        <f t="shared" si="0"/>
        <v>Mar 2016</v>
      </c>
      <c r="C65" s="110" t="str">
        <f t="shared" si="1"/>
        <v xml:space="preserve">LS </v>
      </c>
      <c r="D65" s="110" t="str">
        <f t="shared" si="2"/>
        <v>LE_954BASE</v>
      </c>
      <c r="E65" s="569">
        <f t="shared" si="16"/>
        <v>0</v>
      </c>
      <c r="F65" s="116">
        <f>SUMIF(PoleRates!$E$4:$E$131,$U65,PoleRates!$F$4:$F$131)</f>
        <v>3.47</v>
      </c>
      <c r="G65" s="118">
        <f t="shared" si="9"/>
        <v>0</v>
      </c>
      <c r="H65" s="118">
        <f t="shared" si="10"/>
        <v>0</v>
      </c>
      <c r="I65" s="570">
        <f t="shared" si="4"/>
        <v>0</v>
      </c>
      <c r="J65" s="121">
        <f t="shared" si="17"/>
        <v>1</v>
      </c>
      <c r="K65" s="122">
        <f t="shared" si="6"/>
        <v>0</v>
      </c>
      <c r="L65" s="123">
        <f t="shared" si="11"/>
        <v>0</v>
      </c>
      <c r="M65" s="123">
        <f t="shared" si="12"/>
        <v>0</v>
      </c>
      <c r="T65" s="109">
        <f>IF(Z65=1,IF(T64=MiscData!$F$1,EOMONTH(T64,-11),EOMONTH(T64,1)),T64)</f>
        <v>42460</v>
      </c>
      <c r="U65" s="108" t="str">
        <f t="shared" si="20"/>
        <v>20140101LE_954BASE</v>
      </c>
      <c r="V65" s="126" t="str">
        <f t="shared" si="21"/>
        <v xml:space="preserve">20140101LS </v>
      </c>
      <c r="Y65" s="98">
        <f>MiscData!$X$5</f>
        <v>20140101</v>
      </c>
      <c r="Z65" s="98">
        <f>IF(Z64+1&gt;MiscData!$AF$28,1,Z64+1)</f>
        <v>16</v>
      </c>
      <c r="AA65" s="98" t="str">
        <f>VLOOKUP(Z65,MiscData!$AF$5:$AG$28,2,FALSE)</f>
        <v>LE_954BASE</v>
      </c>
      <c r="AB65" s="98" t="str">
        <f>VLOOKUP(Z65,MiscData!$AF$5:$AH$28,3,FALSE)</f>
        <v xml:space="preserve">LS </v>
      </c>
    </row>
    <row r="66" spans="1:32">
      <c r="A66" s="108">
        <f t="shared" si="13"/>
        <v>65</v>
      </c>
      <c r="B66" s="109" t="str">
        <f t="shared" ref="B66:B289" si="22">TEXT(T66,"mmm yyyy")</f>
        <v>Mar 2016</v>
      </c>
      <c r="C66" s="110" t="str">
        <f>AB66</f>
        <v>RLS</v>
      </c>
      <c r="D66" s="110" t="str">
        <f>AA66</f>
        <v>LE_955BASE</v>
      </c>
      <c r="E66" s="569">
        <f t="shared" ref="E66:E97" si="23">SUMIFS(L_1051_Count_Total,L_1051_Revenue_Month,$B66,L_1051_RateCategory,$D66,L_1051_Light_Category,C66)</f>
        <v>0</v>
      </c>
      <c r="F66" s="116">
        <f>SUMIF(PoleRates!$E$4:$E$131,$U66,PoleRates!$F$4:$F$131)</f>
        <v>3.56</v>
      </c>
      <c r="G66" s="118">
        <f t="shared" si="9"/>
        <v>0</v>
      </c>
      <c r="H66" s="118">
        <f t="shared" si="10"/>
        <v>0</v>
      </c>
      <c r="I66" s="570">
        <f t="shared" ref="I66:I129" si="24">SUMIFS(L_1051_Revenue_Total,L_1051_Revenue_Month,$B66,L_1051_RateCategory,$D66,L_1051_Light_Category,C66)</f>
        <v>0</v>
      </c>
      <c r="J66" s="121">
        <f t="shared" si="17"/>
        <v>1</v>
      </c>
      <c r="K66" s="122">
        <f t="shared" ref="K66:K129" si="25">SUMIFS(L_1051_Revenue_Total,L_1051_Revenue_Month,$B66,L_1051_RateCategory,$D66,L_1051_Light_Category,C66)</f>
        <v>0</v>
      </c>
      <c r="L66" s="123">
        <f>H66</f>
        <v>0</v>
      </c>
      <c r="M66" s="123">
        <f t="shared" si="12"/>
        <v>0</v>
      </c>
      <c r="T66" s="109">
        <f>IF(Z66=1,IF(T65=MiscData!$F$1,EOMONTH(T65,-11),EOMONTH(T65,1)),T65)</f>
        <v>42460</v>
      </c>
      <c r="U66" s="108" t="str">
        <f t="shared" si="20"/>
        <v>20140101LE_955BASE</v>
      </c>
      <c r="V66" s="126" t="str">
        <f t="shared" si="21"/>
        <v>20140101RLS</v>
      </c>
      <c r="Y66" s="98">
        <f>MiscData!$X$5</f>
        <v>20140101</v>
      </c>
      <c r="Z66" s="98">
        <f>IF(Z65+1&gt;MiscData!$AF$28,1,Z65+1)</f>
        <v>17</v>
      </c>
      <c r="AA66" s="98" t="str">
        <f>VLOOKUP(Z66,MiscData!$AF$5:$AG$28,2,FALSE)</f>
        <v>LE_955BASE</v>
      </c>
      <c r="AB66" s="98" t="str">
        <f>VLOOKUP(Z66,MiscData!$AF$5:$AH$28,3,FALSE)</f>
        <v>RLS</v>
      </c>
      <c r="AE66" s="134"/>
    </row>
    <row r="67" spans="1:32" hidden="1">
      <c r="A67" s="108">
        <f>A65+1</f>
        <v>65</v>
      </c>
      <c r="B67" s="109" t="str">
        <f t="shared" si="22"/>
        <v>Mar 2016</v>
      </c>
      <c r="C67" s="110" t="str">
        <f t="shared" ref="C67:C289" si="26">AB67</f>
        <v xml:space="preserve">LS </v>
      </c>
      <c r="D67" s="110" t="str">
        <f t="shared" ref="D67:D288" si="27">AA67</f>
        <v>LE_955BASE</v>
      </c>
      <c r="E67" s="569">
        <f t="shared" si="23"/>
        <v>0</v>
      </c>
      <c r="F67" s="116">
        <f>SUMIF(PoleRates!$E$4:$E$131,$U67,PoleRates!$F$4:$F$131)</f>
        <v>3.56</v>
      </c>
      <c r="G67" s="118">
        <f t="shared" ref="G67:G130" si="28">ROUND($E67*$F67,2)</f>
        <v>0</v>
      </c>
      <c r="H67" s="118">
        <f t="shared" ref="H67:H130" si="29">G67</f>
        <v>0</v>
      </c>
      <c r="I67" s="570">
        <f t="shared" si="24"/>
        <v>0</v>
      </c>
      <c r="J67" s="121">
        <f t="shared" si="17"/>
        <v>1</v>
      </c>
      <c r="K67" s="122">
        <f t="shared" si="25"/>
        <v>0</v>
      </c>
      <c r="L67" s="123">
        <f t="shared" si="11"/>
        <v>0</v>
      </c>
      <c r="M67" s="123">
        <f t="shared" ref="M67:M289" si="30">ROUND(K67-L67,2)</f>
        <v>0</v>
      </c>
      <c r="T67" s="109">
        <f>IF(Z67=1,IF(T66=MiscData!$F$1,EOMONTH(T66,-11),EOMONTH(T66,1)),T66)</f>
        <v>42460</v>
      </c>
      <c r="U67" s="108" t="str">
        <f t="shared" si="20"/>
        <v>20140101LE_955BASE</v>
      </c>
      <c r="V67" s="126" t="str">
        <f t="shared" si="21"/>
        <v xml:space="preserve">20140101LS </v>
      </c>
      <c r="Y67" s="98">
        <f>MiscData!$X$5</f>
        <v>20140101</v>
      </c>
      <c r="Z67" s="98">
        <f>IF(Z66+1&gt;MiscData!$AF$28,1,Z66+1)</f>
        <v>18</v>
      </c>
      <c r="AA67" s="98" t="str">
        <f>VLOOKUP(Z67,MiscData!$AF$5:$AG$28,2,FALSE)</f>
        <v>LE_955BASE</v>
      </c>
      <c r="AB67" s="98" t="str">
        <f>VLOOKUP(Z67,MiscData!$AF$5:$AH$28,3,FALSE)</f>
        <v xml:space="preserve">LS </v>
      </c>
    </row>
    <row r="68" spans="1:32" hidden="1">
      <c r="A68" s="108">
        <f>A66+1</f>
        <v>66</v>
      </c>
      <c r="B68" s="109" t="str">
        <f t="shared" si="22"/>
        <v>Mar 2016</v>
      </c>
      <c r="C68" s="110" t="str">
        <f>AB68</f>
        <v>RLS</v>
      </c>
      <c r="D68" s="110" t="str">
        <f>AA68</f>
        <v>LE_956BASE</v>
      </c>
      <c r="E68" s="569">
        <f t="shared" si="23"/>
        <v>239</v>
      </c>
      <c r="F68" s="116">
        <f>SUMIF(PoleRates!$E$4:$E$131,$U68,PoleRates!$F$4:$F$131)</f>
        <v>3.56</v>
      </c>
      <c r="G68" s="118">
        <f t="shared" si="28"/>
        <v>850.84</v>
      </c>
      <c r="H68" s="118">
        <f t="shared" si="29"/>
        <v>850.84</v>
      </c>
      <c r="I68" s="570">
        <f t="shared" si="24"/>
        <v>0</v>
      </c>
      <c r="J68" s="121">
        <f t="shared" si="17"/>
        <v>0</v>
      </c>
      <c r="K68" s="122">
        <f t="shared" si="25"/>
        <v>0</v>
      </c>
      <c r="L68" s="123">
        <f>H68</f>
        <v>850.84</v>
      </c>
      <c r="M68" s="123">
        <f t="shared" si="30"/>
        <v>-850.84</v>
      </c>
      <c r="T68" s="109">
        <f>IF(Z68=1,IF(T67=MiscData!$F$1,EOMONTH(T67,-11),EOMONTH(T67,1)),T67)</f>
        <v>42460</v>
      </c>
      <c r="U68" s="108" t="str">
        <f t="shared" si="20"/>
        <v>20140101LE_956BASE</v>
      </c>
      <c r="V68" s="126" t="str">
        <f t="shared" si="21"/>
        <v>20140101RLS</v>
      </c>
      <c r="Y68" s="98">
        <f>MiscData!$X$5</f>
        <v>20140101</v>
      </c>
      <c r="Z68" s="98">
        <f>IF(Z67+1&gt;MiscData!$AF$28,1,Z67+1)</f>
        <v>19</v>
      </c>
      <c r="AA68" s="98" t="str">
        <f>VLOOKUP(Z68,MiscData!$AF$5:$AG$28,2,FALSE)</f>
        <v>LE_956BASE</v>
      </c>
      <c r="AB68" s="98" t="str">
        <f>VLOOKUP(Z68,MiscData!$AF$5:$AH$28,3,FALSE)</f>
        <v>RLS</v>
      </c>
    </row>
    <row r="69" spans="1:32" hidden="1">
      <c r="A69" s="108">
        <f>A65+1</f>
        <v>65</v>
      </c>
      <c r="B69" s="109" t="str">
        <f t="shared" si="22"/>
        <v>Mar 2016</v>
      </c>
      <c r="C69" s="110" t="str">
        <f>AB69</f>
        <v xml:space="preserve">LS </v>
      </c>
      <c r="D69" s="110" t="str">
        <f>AA69</f>
        <v>LE_956BASE</v>
      </c>
      <c r="E69" s="569">
        <f t="shared" si="23"/>
        <v>307</v>
      </c>
      <c r="F69" s="116">
        <f>SUMIF(PoleRates!$E$4:$E$131,$U69,PoleRates!$F$4:$F$131)</f>
        <v>3.56</v>
      </c>
      <c r="G69" s="118">
        <f t="shared" si="28"/>
        <v>1092.92</v>
      </c>
      <c r="H69" s="118">
        <f t="shared" si="29"/>
        <v>1092.92</v>
      </c>
      <c r="I69" s="570">
        <f t="shared" si="24"/>
        <v>0</v>
      </c>
      <c r="J69" s="121">
        <f t="shared" si="17"/>
        <v>0</v>
      </c>
      <c r="K69" s="122">
        <f t="shared" si="25"/>
        <v>0</v>
      </c>
      <c r="L69" s="123">
        <f>H69</f>
        <v>1092.92</v>
      </c>
      <c r="M69" s="123">
        <f t="shared" si="30"/>
        <v>-1092.92</v>
      </c>
      <c r="T69" s="109">
        <f>IF(Z69=1,IF(T68=MiscData!$F$1,EOMONTH(T68,-11),EOMONTH(T68,1)),T68)</f>
        <v>42460</v>
      </c>
      <c r="U69" s="108" t="str">
        <f t="shared" si="20"/>
        <v>20140101LE_956BASE</v>
      </c>
      <c r="V69" s="126" t="str">
        <f t="shared" si="21"/>
        <v xml:space="preserve">20140101LS </v>
      </c>
      <c r="Y69" s="98">
        <f>MiscData!$X$5</f>
        <v>20140101</v>
      </c>
      <c r="Z69" s="98">
        <f>IF(Z68+1&gt;MiscData!$AF$28,1,Z68+1)</f>
        <v>20</v>
      </c>
      <c r="AA69" s="98" t="str">
        <f>VLOOKUP(Z69,MiscData!$AF$5:$AG$28,2,FALSE)</f>
        <v>LE_956BASE</v>
      </c>
      <c r="AB69" s="98" t="str">
        <f>VLOOKUP(Z69,MiscData!$AF$5:$AH$28,3,FALSE)</f>
        <v xml:space="preserve">LS </v>
      </c>
    </row>
    <row r="70" spans="1:32">
      <c r="A70" s="108">
        <f>A67+1</f>
        <v>66</v>
      </c>
      <c r="B70" s="109" t="str">
        <f t="shared" si="22"/>
        <v>Mar 2016</v>
      </c>
      <c r="C70" s="110" t="str">
        <f t="shared" si="26"/>
        <v>RLS</v>
      </c>
      <c r="D70" s="110" t="str">
        <f t="shared" si="27"/>
        <v>LE_957BASE</v>
      </c>
      <c r="E70" s="569">
        <f t="shared" si="23"/>
        <v>0</v>
      </c>
      <c r="F70" s="116">
        <f>SUMIF(PoleRates!$E$4:$E$131,$U70,PoleRates!$F$4:$F$131)</f>
        <v>3.56</v>
      </c>
      <c r="G70" s="118">
        <f t="shared" si="28"/>
        <v>0</v>
      </c>
      <c r="H70" s="118">
        <f t="shared" si="29"/>
        <v>0</v>
      </c>
      <c r="I70" s="570">
        <f t="shared" si="24"/>
        <v>0</v>
      </c>
      <c r="J70" s="121">
        <f t="shared" si="17"/>
        <v>1</v>
      </c>
      <c r="K70" s="122">
        <f t="shared" si="25"/>
        <v>0</v>
      </c>
      <c r="L70" s="123">
        <f t="shared" ref="L70:L288" si="31">H70</f>
        <v>0</v>
      </c>
      <c r="M70" s="123">
        <f t="shared" si="30"/>
        <v>0</v>
      </c>
      <c r="T70" s="109">
        <f>IF(Z70=1,IF(T69=MiscData!$F$1,EOMONTH(T69,-11),EOMONTH(T69,1)),T69)</f>
        <v>42460</v>
      </c>
      <c r="U70" s="108" t="str">
        <f t="shared" si="20"/>
        <v>20140101LE_957BASE</v>
      </c>
      <c r="V70" s="126" t="str">
        <f t="shared" si="21"/>
        <v>20140101RLS</v>
      </c>
      <c r="Y70" s="98">
        <f>MiscData!$X$5</f>
        <v>20140101</v>
      </c>
      <c r="Z70" s="98">
        <f>IF(Z69+1&gt;MiscData!$AF$28,1,Z69+1)</f>
        <v>21</v>
      </c>
      <c r="AA70" s="98" t="str">
        <f>VLOOKUP(Z70,MiscData!$AF$5:$AG$28,2,FALSE)</f>
        <v>LE_957BASE</v>
      </c>
      <c r="AB70" s="98" t="str">
        <f>VLOOKUP(Z70,MiscData!$AF$5:$AH$28,3,FALSE)</f>
        <v>RLS</v>
      </c>
      <c r="AF70" s="134"/>
    </row>
    <row r="71" spans="1:32" hidden="1">
      <c r="A71" s="108">
        <f>A69+1</f>
        <v>66</v>
      </c>
      <c r="B71" s="109" t="str">
        <f t="shared" si="22"/>
        <v>Mar 2016</v>
      </c>
      <c r="C71" s="110" t="str">
        <f>AB71</f>
        <v xml:space="preserve">LS </v>
      </c>
      <c r="D71" s="110" t="str">
        <f>AA71</f>
        <v>LE_957BASE</v>
      </c>
      <c r="E71" s="569">
        <f t="shared" si="23"/>
        <v>0</v>
      </c>
      <c r="F71" s="116">
        <f>SUMIF(PoleRates!$E$4:$E$131,$U71,PoleRates!$F$4:$F$131)</f>
        <v>3.56</v>
      </c>
      <c r="G71" s="118">
        <f t="shared" si="28"/>
        <v>0</v>
      </c>
      <c r="H71" s="118">
        <f t="shared" si="29"/>
        <v>0</v>
      </c>
      <c r="I71" s="570">
        <f t="shared" si="24"/>
        <v>0</v>
      </c>
      <c r="J71" s="121">
        <f t="shared" si="17"/>
        <v>1</v>
      </c>
      <c r="K71" s="122">
        <f t="shared" si="25"/>
        <v>0</v>
      </c>
      <c r="L71" s="123">
        <f>H71</f>
        <v>0</v>
      </c>
      <c r="M71" s="123">
        <f t="shared" si="30"/>
        <v>0</v>
      </c>
      <c r="T71" s="109">
        <f>IF(Z71=1,IF(T70=MiscData!$F$1,EOMONTH(T70,-11),EOMONTH(T70,1)),T70)</f>
        <v>42460</v>
      </c>
      <c r="U71" s="108" t="str">
        <f t="shared" si="20"/>
        <v>20140101LE_957BASE</v>
      </c>
      <c r="V71" s="126" t="str">
        <f t="shared" si="21"/>
        <v xml:space="preserve">20140101LS </v>
      </c>
      <c r="Y71" s="98">
        <f>MiscData!$X$5</f>
        <v>20140101</v>
      </c>
      <c r="Z71" s="98">
        <f>IF(Z70+1&gt;MiscData!$AF$28,1,Z70+1)</f>
        <v>22</v>
      </c>
      <c r="AA71" s="98" t="str">
        <f>VLOOKUP(Z71,MiscData!$AF$5:$AG$28,2,FALSE)</f>
        <v>LE_957BASE</v>
      </c>
      <c r="AB71" s="98" t="str">
        <f>VLOOKUP(Z71,MiscData!$AF$5:$AH$28,3,FALSE)</f>
        <v xml:space="preserve">LS </v>
      </c>
    </row>
    <row r="72" spans="1:32" hidden="1">
      <c r="A72" s="108">
        <f t="shared" ref="A72:A133" si="32">A70+1</f>
        <v>67</v>
      </c>
      <c r="B72" s="109" t="str">
        <f t="shared" ref="B72:B113" si="33">TEXT(T72,"mmm yyyy")</f>
        <v>Mar 2016</v>
      </c>
      <c r="C72" s="110" t="str">
        <f t="shared" ref="C72:C113" si="34">AB72</f>
        <v>RLS</v>
      </c>
      <c r="D72" s="110" t="str">
        <f t="shared" ref="D72:D113" si="35">AA72</f>
        <v>LE_958POLE</v>
      </c>
      <c r="E72" s="569">
        <f t="shared" si="23"/>
        <v>36</v>
      </c>
      <c r="F72" s="116">
        <f>SUMIF(PoleRates!$E$4:$E$131,$U72,PoleRates!$F$4:$F$131)</f>
        <v>11.31</v>
      </c>
      <c r="G72" s="118">
        <f t="shared" si="28"/>
        <v>407.16</v>
      </c>
      <c r="H72" s="118">
        <f t="shared" si="29"/>
        <v>407.16</v>
      </c>
      <c r="I72" s="570">
        <f t="shared" si="24"/>
        <v>0</v>
      </c>
      <c r="J72" s="121">
        <f t="shared" ref="J72:J113" si="36">IF(AND(H72=0,I72=0),1,IF(H72=0,0,I72/H72))</f>
        <v>0</v>
      </c>
      <c r="K72" s="122">
        <f t="shared" si="25"/>
        <v>0</v>
      </c>
      <c r="L72" s="123">
        <f t="shared" ref="L72:L113" si="37">H72</f>
        <v>407.16</v>
      </c>
      <c r="M72" s="123">
        <f t="shared" ref="M72:M113" si="38">ROUND(K72-L72,2)</f>
        <v>-407.16</v>
      </c>
      <c r="T72" s="109">
        <f>IF(Z72=1,IF(T71=MiscData!$F$1,EOMONTH(T71,-11),EOMONTH(T71,1)),T71)</f>
        <v>42460</v>
      </c>
      <c r="U72" s="108" t="str">
        <f t="shared" ref="U72:U113" si="39">CONCATENATE(Y72&amp;AA72)</f>
        <v>20140101LE_958POLE</v>
      </c>
      <c r="V72" s="126" t="str">
        <f t="shared" ref="V72:V113" si="40">CONCATENATE(Y72&amp;AB72)</f>
        <v>20140101RLS</v>
      </c>
      <c r="Y72" s="98">
        <f>MiscData!$X$5</f>
        <v>20140101</v>
      </c>
      <c r="Z72" s="98">
        <f>IF(Z71+1&gt;MiscData!$AF$28,1,Z71+1)</f>
        <v>23</v>
      </c>
      <c r="AA72" s="98" t="str">
        <f>VLOOKUP(Z72,MiscData!$AF$5:$AG$28,2,FALSE)</f>
        <v>LE_958POLE</v>
      </c>
      <c r="AB72" s="98" t="str">
        <f>VLOOKUP(Z72,MiscData!$AF$5:$AH$28,3,FALSE)</f>
        <v>RLS</v>
      </c>
    </row>
    <row r="73" spans="1:32" hidden="1">
      <c r="A73" s="108">
        <f t="shared" si="32"/>
        <v>67</v>
      </c>
      <c r="B73" s="109" t="str">
        <f t="shared" si="33"/>
        <v>Mar 2016</v>
      </c>
      <c r="C73" s="110" t="str">
        <f t="shared" si="34"/>
        <v xml:space="preserve">LS </v>
      </c>
      <c r="D73" s="110" t="str">
        <f t="shared" si="35"/>
        <v>LE_958POLE</v>
      </c>
      <c r="E73" s="569">
        <f t="shared" si="23"/>
        <v>420</v>
      </c>
      <c r="F73" s="116">
        <f>SUMIF(PoleRates!$E$4:$E$131,$U73,PoleRates!$F$4:$F$131)</f>
        <v>11.31</v>
      </c>
      <c r="G73" s="118">
        <f t="shared" si="28"/>
        <v>4750.2</v>
      </c>
      <c r="H73" s="118">
        <f t="shared" si="29"/>
        <v>4750.2</v>
      </c>
      <c r="I73" s="570">
        <f t="shared" si="24"/>
        <v>0</v>
      </c>
      <c r="J73" s="121">
        <f t="shared" si="36"/>
        <v>0</v>
      </c>
      <c r="K73" s="122">
        <f t="shared" si="25"/>
        <v>0</v>
      </c>
      <c r="L73" s="123">
        <f t="shared" si="37"/>
        <v>4750.2</v>
      </c>
      <c r="M73" s="123">
        <f t="shared" si="38"/>
        <v>-4750.2</v>
      </c>
      <c r="T73" s="109">
        <f>IF(Z73=1,IF(T72=MiscData!$F$1,EOMONTH(T72,-11),EOMONTH(T72,1)),T72)</f>
        <v>42460</v>
      </c>
      <c r="U73" s="108" t="str">
        <f t="shared" si="39"/>
        <v>20140101LE_958POLE</v>
      </c>
      <c r="V73" s="126" t="str">
        <f t="shared" si="40"/>
        <v xml:space="preserve">20140101LS </v>
      </c>
      <c r="Y73" s="98">
        <f>MiscData!$X$5</f>
        <v>20140101</v>
      </c>
      <c r="Z73" s="98">
        <f>IF(Z72+1&gt;MiscData!$AF$28,1,Z72+1)</f>
        <v>24</v>
      </c>
      <c r="AA73" s="98" t="str">
        <f>VLOOKUP(Z73,MiscData!$AF$5:$AG$28,2,FALSE)</f>
        <v>LE_958POLE</v>
      </c>
      <c r="AB73" s="98" t="str">
        <f>VLOOKUP(Z73,MiscData!$AF$5:$AH$28,3,FALSE)</f>
        <v xml:space="preserve">LS </v>
      </c>
    </row>
    <row r="74" spans="1:32" hidden="1">
      <c r="A74" s="108">
        <f t="shared" si="32"/>
        <v>68</v>
      </c>
      <c r="B74" s="109" t="str">
        <f t="shared" si="33"/>
        <v>Apr 2016</v>
      </c>
      <c r="C74" s="110" t="str">
        <f t="shared" si="34"/>
        <v>RLS</v>
      </c>
      <c r="D74" s="110" t="str">
        <f t="shared" si="35"/>
        <v>LE_900POLE</v>
      </c>
      <c r="E74" s="569">
        <f t="shared" si="23"/>
        <v>1622</v>
      </c>
      <c r="F74" s="116">
        <f>SUMIF(PoleRates!$E$4:$E$131,$U74,PoleRates!$F$4:$F$131)</f>
        <v>2.06</v>
      </c>
      <c r="G74" s="118">
        <f t="shared" si="28"/>
        <v>3341.32</v>
      </c>
      <c r="H74" s="118">
        <f t="shared" si="29"/>
        <v>3341.32</v>
      </c>
      <c r="I74" s="570">
        <f t="shared" si="24"/>
        <v>0</v>
      </c>
      <c r="J74" s="121">
        <f t="shared" si="36"/>
        <v>0</v>
      </c>
      <c r="K74" s="122">
        <f t="shared" si="25"/>
        <v>0</v>
      </c>
      <c r="L74" s="123">
        <f t="shared" si="37"/>
        <v>3341.32</v>
      </c>
      <c r="M74" s="123">
        <f t="shared" si="38"/>
        <v>-3341.32</v>
      </c>
      <c r="T74" s="109">
        <f>IF(Z74=1,IF(T73=MiscData!$F$1,EOMONTH(T73,-11),EOMONTH(T73,1)),T73)</f>
        <v>42490</v>
      </c>
      <c r="U74" s="108" t="str">
        <f t="shared" si="39"/>
        <v>20140101LE_900POLE</v>
      </c>
      <c r="V74" s="126" t="str">
        <f t="shared" si="40"/>
        <v>20140101RLS</v>
      </c>
      <c r="Y74" s="98">
        <f>MiscData!$X$5</f>
        <v>20140101</v>
      </c>
      <c r="Z74" s="98">
        <f>IF(Z73+1&gt;MiscData!$AF$28,1,Z73+1)</f>
        <v>1</v>
      </c>
      <c r="AA74" s="98" t="str">
        <f>VLOOKUP(Z74,MiscData!$AF$5:$AG$28,2,FALSE)</f>
        <v>LE_900POLE</v>
      </c>
      <c r="AB74" s="98" t="str">
        <f>VLOOKUP(Z74,MiscData!$AF$5:$AH$28,3,FALSE)</f>
        <v>RLS</v>
      </c>
    </row>
    <row r="75" spans="1:32" hidden="1">
      <c r="A75" s="108">
        <f t="shared" si="32"/>
        <v>68</v>
      </c>
      <c r="B75" s="109" t="str">
        <f t="shared" si="33"/>
        <v>Apr 2016</v>
      </c>
      <c r="C75" s="110" t="str">
        <f t="shared" si="34"/>
        <v xml:space="preserve">LS </v>
      </c>
      <c r="D75" s="110" t="str">
        <f t="shared" si="35"/>
        <v>LE_900POLE</v>
      </c>
      <c r="E75" s="569">
        <f t="shared" si="23"/>
        <v>5141</v>
      </c>
      <c r="F75" s="116">
        <f>SUMIF(PoleRates!$E$4:$E$131,$U75,PoleRates!$F$4:$F$131)</f>
        <v>2.06</v>
      </c>
      <c r="G75" s="118">
        <f t="shared" si="28"/>
        <v>10590.46</v>
      </c>
      <c r="H75" s="118">
        <f t="shared" si="29"/>
        <v>10590.46</v>
      </c>
      <c r="I75" s="570">
        <f t="shared" si="24"/>
        <v>0</v>
      </c>
      <c r="J75" s="121">
        <f t="shared" si="36"/>
        <v>0</v>
      </c>
      <c r="K75" s="122">
        <f t="shared" si="25"/>
        <v>0</v>
      </c>
      <c r="L75" s="123">
        <f t="shared" si="37"/>
        <v>10590.46</v>
      </c>
      <c r="M75" s="123">
        <f t="shared" si="38"/>
        <v>-10590.46</v>
      </c>
      <c r="T75" s="109">
        <f>IF(Z75=1,IF(T74=MiscData!$F$1,EOMONTH(T74,-11),EOMONTH(T74,1)),T74)</f>
        <v>42490</v>
      </c>
      <c r="U75" s="108" t="str">
        <f t="shared" si="39"/>
        <v>20140101LE_900POLE</v>
      </c>
      <c r="V75" s="126" t="str">
        <f t="shared" si="40"/>
        <v xml:space="preserve">20140101LS </v>
      </c>
      <c r="Y75" s="98">
        <f>MiscData!$X$5</f>
        <v>20140101</v>
      </c>
      <c r="Z75" s="98">
        <f>IF(Z74+1&gt;MiscData!$AF$28,1,Z74+1)</f>
        <v>2</v>
      </c>
      <c r="AA75" s="98" t="str">
        <f>VLOOKUP(Z75,MiscData!$AF$5:$AG$28,2,FALSE)</f>
        <v>LE_900POLE</v>
      </c>
      <c r="AB75" s="98" t="str">
        <f>VLOOKUP(Z75,MiscData!$AF$5:$AH$28,3,FALSE)</f>
        <v xml:space="preserve">LS </v>
      </c>
    </row>
    <row r="76" spans="1:32" hidden="1">
      <c r="A76" s="108">
        <f t="shared" si="32"/>
        <v>69</v>
      </c>
      <c r="B76" s="109" t="str">
        <f t="shared" si="33"/>
        <v>Apr 2016</v>
      </c>
      <c r="C76" s="110" t="str">
        <f t="shared" si="34"/>
        <v>RLS</v>
      </c>
      <c r="D76" s="110" t="str">
        <f t="shared" si="35"/>
        <v>LE_901POLE</v>
      </c>
      <c r="E76" s="569">
        <f t="shared" si="23"/>
        <v>157</v>
      </c>
      <c r="F76" s="116">
        <f>SUMIF(PoleRates!$E$4:$E$131,$U76,PoleRates!$F$4:$F$131)</f>
        <v>10.81</v>
      </c>
      <c r="G76" s="118">
        <f t="shared" si="28"/>
        <v>1697.17</v>
      </c>
      <c r="H76" s="118">
        <f t="shared" si="29"/>
        <v>1697.17</v>
      </c>
      <c r="I76" s="570">
        <f t="shared" si="24"/>
        <v>0</v>
      </c>
      <c r="J76" s="121">
        <f t="shared" si="36"/>
        <v>0</v>
      </c>
      <c r="K76" s="122">
        <f t="shared" si="25"/>
        <v>0</v>
      </c>
      <c r="L76" s="123">
        <f t="shared" si="37"/>
        <v>1697.17</v>
      </c>
      <c r="M76" s="123">
        <f t="shared" si="38"/>
        <v>-1697.17</v>
      </c>
      <c r="T76" s="109">
        <f>IF(Z76=1,IF(T75=MiscData!$F$1,EOMONTH(T75,-11),EOMONTH(T75,1)),T75)</f>
        <v>42490</v>
      </c>
      <c r="U76" s="108" t="str">
        <f t="shared" si="39"/>
        <v>20140101LE_901POLE</v>
      </c>
      <c r="V76" s="126" t="str">
        <f t="shared" si="40"/>
        <v>20140101RLS</v>
      </c>
      <c r="Y76" s="98">
        <f>MiscData!$X$5</f>
        <v>20140101</v>
      </c>
      <c r="Z76" s="98">
        <f>IF(Z75+1&gt;MiscData!$AF$28,1,Z75+1)</f>
        <v>3</v>
      </c>
      <c r="AA76" s="98" t="str">
        <f>VLOOKUP(Z76,MiscData!$AF$5:$AG$28,2,FALSE)</f>
        <v>LE_901POLE</v>
      </c>
      <c r="AB76" s="98" t="str">
        <f>VLOOKUP(Z76,MiscData!$AF$5:$AH$28,3,FALSE)</f>
        <v>RLS</v>
      </c>
    </row>
    <row r="77" spans="1:32" hidden="1">
      <c r="A77" s="108">
        <f t="shared" si="32"/>
        <v>69</v>
      </c>
      <c r="B77" s="109" t="str">
        <f t="shared" si="33"/>
        <v>Apr 2016</v>
      </c>
      <c r="C77" s="110" t="str">
        <f t="shared" si="34"/>
        <v xml:space="preserve">LS </v>
      </c>
      <c r="D77" s="110" t="str">
        <f t="shared" si="35"/>
        <v>LE_901POLE</v>
      </c>
      <c r="E77" s="569">
        <f t="shared" si="23"/>
        <v>0</v>
      </c>
      <c r="F77" s="116">
        <f>SUMIF(PoleRates!$E$4:$E$131,$U77,PoleRates!$F$4:$F$131)</f>
        <v>10.81</v>
      </c>
      <c r="G77" s="118">
        <f t="shared" si="28"/>
        <v>0</v>
      </c>
      <c r="H77" s="118">
        <f t="shared" si="29"/>
        <v>0</v>
      </c>
      <c r="I77" s="570">
        <f t="shared" si="24"/>
        <v>0</v>
      </c>
      <c r="J77" s="121">
        <f t="shared" si="36"/>
        <v>1</v>
      </c>
      <c r="K77" s="122">
        <f t="shared" si="25"/>
        <v>0</v>
      </c>
      <c r="L77" s="123">
        <f t="shared" si="37"/>
        <v>0</v>
      </c>
      <c r="M77" s="123">
        <f t="shared" si="38"/>
        <v>0</v>
      </c>
      <c r="T77" s="109">
        <f>IF(Z77=1,IF(T76=MiscData!$F$1,EOMONTH(T76,-11),EOMONTH(T76,1)),T76)</f>
        <v>42490</v>
      </c>
      <c r="U77" s="108" t="str">
        <f t="shared" si="39"/>
        <v>20140101LE_901POLE</v>
      </c>
      <c r="V77" s="126" t="str">
        <f t="shared" si="40"/>
        <v xml:space="preserve">20140101LS </v>
      </c>
      <c r="Y77" s="98">
        <f>MiscData!$X$5</f>
        <v>20140101</v>
      </c>
      <c r="Z77" s="98">
        <f>IF(Z76+1&gt;MiscData!$AF$28,1,Z76+1)</f>
        <v>4</v>
      </c>
      <c r="AA77" s="98" t="str">
        <f>VLOOKUP(Z77,MiscData!$AF$5:$AG$28,2,FALSE)</f>
        <v>LE_901POLE</v>
      </c>
      <c r="AB77" s="98" t="str">
        <f>VLOOKUP(Z77,MiscData!$AF$5:$AH$28,3,FALSE)</f>
        <v xml:space="preserve">LS </v>
      </c>
    </row>
    <row r="78" spans="1:32" hidden="1">
      <c r="A78" s="108">
        <f t="shared" si="32"/>
        <v>70</v>
      </c>
      <c r="B78" s="109" t="str">
        <f t="shared" si="33"/>
        <v>Apr 2016</v>
      </c>
      <c r="C78" s="110" t="str">
        <f t="shared" si="34"/>
        <v>RLS</v>
      </c>
      <c r="D78" s="110" t="str">
        <f t="shared" si="35"/>
        <v>LE_902POLE</v>
      </c>
      <c r="E78" s="569">
        <f t="shared" si="23"/>
        <v>277</v>
      </c>
      <c r="F78" s="116">
        <f>SUMIF(PoleRates!$E$4:$E$131,$U78,PoleRates!$F$4:$F$131)</f>
        <v>12.9</v>
      </c>
      <c r="G78" s="118">
        <f t="shared" si="28"/>
        <v>3573.3</v>
      </c>
      <c r="H78" s="118">
        <f t="shared" si="29"/>
        <v>3573.3</v>
      </c>
      <c r="I78" s="570">
        <f t="shared" si="24"/>
        <v>0</v>
      </c>
      <c r="J78" s="121">
        <f t="shared" si="36"/>
        <v>0</v>
      </c>
      <c r="K78" s="122">
        <f t="shared" si="25"/>
        <v>0</v>
      </c>
      <c r="L78" s="123">
        <f t="shared" si="37"/>
        <v>3573.3</v>
      </c>
      <c r="M78" s="123">
        <f t="shared" si="38"/>
        <v>-3573.3</v>
      </c>
      <c r="T78" s="109">
        <f>IF(Z78=1,IF(T77=MiscData!$F$1,EOMONTH(T77,-11),EOMONTH(T77,1)),T77)</f>
        <v>42490</v>
      </c>
      <c r="U78" s="108" t="str">
        <f t="shared" si="39"/>
        <v>20140101LE_902POLE</v>
      </c>
      <c r="V78" s="126" t="str">
        <f t="shared" si="40"/>
        <v>20140101RLS</v>
      </c>
      <c r="Y78" s="98">
        <f>MiscData!$X$5</f>
        <v>20140101</v>
      </c>
      <c r="Z78" s="98">
        <f>IF(Z77+1&gt;MiscData!$AF$28,1,Z77+1)</f>
        <v>5</v>
      </c>
      <c r="AA78" s="98" t="str">
        <f>VLOOKUP(Z78,MiscData!$AF$5:$AG$28,2,FALSE)</f>
        <v>LE_902POLE</v>
      </c>
      <c r="AB78" s="98" t="str">
        <f>VLOOKUP(Z78,MiscData!$AF$5:$AH$28,3,FALSE)</f>
        <v>RLS</v>
      </c>
    </row>
    <row r="79" spans="1:32" hidden="1">
      <c r="A79" s="108">
        <f t="shared" si="32"/>
        <v>70</v>
      </c>
      <c r="B79" s="109" t="str">
        <f t="shared" si="33"/>
        <v>Apr 2016</v>
      </c>
      <c r="C79" s="110" t="str">
        <f t="shared" si="34"/>
        <v xml:space="preserve">LS </v>
      </c>
      <c r="D79" s="110" t="str">
        <f t="shared" si="35"/>
        <v>LE_902POLE</v>
      </c>
      <c r="E79" s="569">
        <f t="shared" si="23"/>
        <v>3</v>
      </c>
      <c r="F79" s="116">
        <f>SUMIF(PoleRates!$E$4:$E$131,$U79,PoleRates!$F$4:$F$131)</f>
        <v>12.9</v>
      </c>
      <c r="G79" s="118">
        <f t="shared" si="28"/>
        <v>38.700000000000003</v>
      </c>
      <c r="H79" s="118">
        <f t="shared" si="29"/>
        <v>38.700000000000003</v>
      </c>
      <c r="I79" s="570">
        <f t="shared" si="24"/>
        <v>0</v>
      </c>
      <c r="J79" s="121">
        <f t="shared" si="36"/>
        <v>0</v>
      </c>
      <c r="K79" s="122">
        <f t="shared" si="25"/>
        <v>0</v>
      </c>
      <c r="L79" s="123">
        <f t="shared" si="37"/>
        <v>38.700000000000003</v>
      </c>
      <c r="M79" s="123">
        <f t="shared" si="38"/>
        <v>-38.700000000000003</v>
      </c>
      <c r="T79" s="109">
        <f>IF(Z79=1,IF(T78=MiscData!$F$1,EOMONTH(T78,-11),EOMONTH(T78,1)),T78)</f>
        <v>42490</v>
      </c>
      <c r="U79" s="108" t="str">
        <f t="shared" si="39"/>
        <v>20140101LE_902POLE</v>
      </c>
      <c r="V79" s="126" t="str">
        <f t="shared" si="40"/>
        <v xml:space="preserve">20140101LS </v>
      </c>
      <c r="Y79" s="98">
        <f>MiscData!$X$5</f>
        <v>20140101</v>
      </c>
      <c r="Z79" s="98">
        <f>IF(Z78+1&gt;MiscData!$AF$28,1,Z78+1)</f>
        <v>6</v>
      </c>
      <c r="AA79" s="98" t="str">
        <f>VLOOKUP(Z79,MiscData!$AF$5:$AG$28,2,FALSE)</f>
        <v>LE_902POLE</v>
      </c>
      <c r="AB79" s="98" t="str">
        <f>VLOOKUP(Z79,MiscData!$AF$5:$AH$28,3,FALSE)</f>
        <v xml:space="preserve">LS </v>
      </c>
    </row>
    <row r="80" spans="1:32" hidden="1">
      <c r="A80" s="108">
        <f t="shared" si="32"/>
        <v>71</v>
      </c>
      <c r="B80" s="109" t="str">
        <f t="shared" si="33"/>
        <v>Apr 2016</v>
      </c>
      <c r="C80" s="110" t="str">
        <f t="shared" si="34"/>
        <v>RLS</v>
      </c>
      <c r="D80" s="110" t="str">
        <f t="shared" si="35"/>
        <v>LE_950BASE</v>
      </c>
      <c r="E80" s="569">
        <f t="shared" si="23"/>
        <v>77</v>
      </c>
      <c r="F80" s="116">
        <f>SUMIF(PoleRates!$E$4:$E$131,$U80,PoleRates!$F$4:$F$131)</f>
        <v>3.47</v>
      </c>
      <c r="G80" s="118">
        <f t="shared" si="28"/>
        <v>267.19</v>
      </c>
      <c r="H80" s="118">
        <f t="shared" si="29"/>
        <v>267.19</v>
      </c>
      <c r="I80" s="570">
        <f t="shared" si="24"/>
        <v>0</v>
      </c>
      <c r="J80" s="121">
        <f t="shared" si="36"/>
        <v>0</v>
      </c>
      <c r="K80" s="122">
        <f t="shared" si="25"/>
        <v>0</v>
      </c>
      <c r="L80" s="123">
        <f t="shared" si="37"/>
        <v>267.19</v>
      </c>
      <c r="M80" s="123">
        <f t="shared" si="38"/>
        <v>-267.19</v>
      </c>
      <c r="T80" s="109">
        <f>IF(Z80=1,IF(T79=MiscData!$F$1,EOMONTH(T79,-11),EOMONTH(T79,1)),T79)</f>
        <v>42490</v>
      </c>
      <c r="U80" s="108" t="str">
        <f t="shared" si="39"/>
        <v>20140101LE_950BASE</v>
      </c>
      <c r="V80" s="126" t="str">
        <f t="shared" si="40"/>
        <v>20140101RLS</v>
      </c>
      <c r="Y80" s="98">
        <f>MiscData!$X$5</f>
        <v>20140101</v>
      </c>
      <c r="Z80" s="98">
        <f>IF(Z79+1&gt;MiscData!$AF$28,1,Z79+1)</f>
        <v>7</v>
      </c>
      <c r="AA80" s="98" t="str">
        <f>VLOOKUP(Z80,MiscData!$AF$5:$AG$28,2,FALSE)</f>
        <v>LE_950BASE</v>
      </c>
      <c r="AB80" s="98" t="str">
        <f>VLOOKUP(Z80,MiscData!$AF$5:$AH$28,3,FALSE)</f>
        <v>RLS</v>
      </c>
    </row>
    <row r="81" spans="1:28" hidden="1">
      <c r="A81" s="108">
        <f t="shared" si="32"/>
        <v>71</v>
      </c>
      <c r="B81" s="109" t="str">
        <f t="shared" si="33"/>
        <v>Apr 2016</v>
      </c>
      <c r="C81" s="110" t="str">
        <f t="shared" si="34"/>
        <v xml:space="preserve">LS </v>
      </c>
      <c r="D81" s="110" t="str">
        <f t="shared" si="35"/>
        <v>LE_950BASE</v>
      </c>
      <c r="E81" s="569">
        <f t="shared" si="23"/>
        <v>13</v>
      </c>
      <c r="F81" s="116">
        <f>SUMIF(PoleRates!$E$4:$E$131,$U81,PoleRates!$F$4:$F$131)</f>
        <v>3.47</v>
      </c>
      <c r="G81" s="118">
        <f t="shared" si="28"/>
        <v>45.11</v>
      </c>
      <c r="H81" s="118">
        <f t="shared" si="29"/>
        <v>45.11</v>
      </c>
      <c r="I81" s="570">
        <f t="shared" si="24"/>
        <v>0</v>
      </c>
      <c r="J81" s="121">
        <f t="shared" si="36"/>
        <v>0</v>
      </c>
      <c r="K81" s="122">
        <f t="shared" si="25"/>
        <v>0</v>
      </c>
      <c r="L81" s="123">
        <f t="shared" si="37"/>
        <v>45.11</v>
      </c>
      <c r="M81" s="123">
        <f t="shared" si="38"/>
        <v>-45.11</v>
      </c>
      <c r="T81" s="109">
        <f>IF(Z81=1,IF(T80=MiscData!$F$1,EOMONTH(T80,-11),EOMONTH(T80,1)),T80)</f>
        <v>42490</v>
      </c>
      <c r="U81" s="108" t="str">
        <f t="shared" si="39"/>
        <v>20140101LE_950BASE</v>
      </c>
      <c r="V81" s="126" t="str">
        <f t="shared" si="40"/>
        <v xml:space="preserve">20140101LS </v>
      </c>
      <c r="Y81" s="98">
        <f>MiscData!$X$5</f>
        <v>20140101</v>
      </c>
      <c r="Z81" s="98">
        <f>IF(Z80+1&gt;MiscData!$AF$28,1,Z80+1)</f>
        <v>8</v>
      </c>
      <c r="AA81" s="98" t="str">
        <f>VLOOKUP(Z81,MiscData!$AF$5:$AG$28,2,FALSE)</f>
        <v>LE_950BASE</v>
      </c>
      <c r="AB81" s="98" t="str">
        <f>VLOOKUP(Z81,MiscData!$AF$5:$AH$28,3,FALSE)</f>
        <v xml:space="preserve">LS </v>
      </c>
    </row>
    <row r="82" spans="1:28" hidden="1">
      <c r="A82" s="108">
        <f t="shared" si="32"/>
        <v>72</v>
      </c>
      <c r="B82" s="109" t="str">
        <f t="shared" si="33"/>
        <v>Apr 2016</v>
      </c>
      <c r="C82" s="110" t="str">
        <f t="shared" si="34"/>
        <v>RLS</v>
      </c>
      <c r="D82" s="110" t="str">
        <f t="shared" si="35"/>
        <v>LE_951BASE</v>
      </c>
      <c r="E82" s="569">
        <f t="shared" si="23"/>
        <v>195</v>
      </c>
      <c r="F82" s="116">
        <f>SUMIF(PoleRates!$E$4:$E$131,$U82,PoleRates!$F$4:$F$131)</f>
        <v>3.73</v>
      </c>
      <c r="G82" s="118">
        <f t="shared" si="28"/>
        <v>727.35</v>
      </c>
      <c r="H82" s="118">
        <f t="shared" si="29"/>
        <v>727.35</v>
      </c>
      <c r="I82" s="570">
        <f t="shared" si="24"/>
        <v>0</v>
      </c>
      <c r="J82" s="121">
        <f t="shared" si="36"/>
        <v>0</v>
      </c>
      <c r="K82" s="122">
        <f t="shared" si="25"/>
        <v>0</v>
      </c>
      <c r="L82" s="123">
        <f t="shared" si="37"/>
        <v>727.35</v>
      </c>
      <c r="M82" s="123">
        <f t="shared" si="38"/>
        <v>-727.35</v>
      </c>
      <c r="T82" s="109">
        <f>IF(Z82=1,IF(T81=MiscData!$F$1,EOMONTH(T81,-11),EOMONTH(T81,1)),T81)</f>
        <v>42490</v>
      </c>
      <c r="U82" s="108" t="str">
        <f t="shared" si="39"/>
        <v>20140101LE_951BASE</v>
      </c>
      <c r="V82" s="126" t="str">
        <f t="shared" si="40"/>
        <v>20140101RLS</v>
      </c>
      <c r="Y82" s="98">
        <f>MiscData!$X$5</f>
        <v>20140101</v>
      </c>
      <c r="Z82" s="98">
        <f>IF(Z81+1&gt;MiscData!$AF$28,1,Z81+1)</f>
        <v>9</v>
      </c>
      <c r="AA82" s="98" t="str">
        <f>VLOOKUP(Z82,MiscData!$AF$5:$AG$28,2,FALSE)</f>
        <v>LE_951BASE</v>
      </c>
      <c r="AB82" s="98" t="str">
        <f>VLOOKUP(Z82,MiscData!$AF$5:$AH$28,3,FALSE)</f>
        <v>RLS</v>
      </c>
    </row>
    <row r="83" spans="1:28" hidden="1">
      <c r="A83" s="108">
        <f t="shared" si="32"/>
        <v>72</v>
      </c>
      <c r="B83" s="109" t="str">
        <f t="shared" si="33"/>
        <v>Apr 2016</v>
      </c>
      <c r="C83" s="110" t="str">
        <f t="shared" si="34"/>
        <v xml:space="preserve">LS </v>
      </c>
      <c r="D83" s="110" t="str">
        <f t="shared" si="35"/>
        <v>LE_951BASE</v>
      </c>
      <c r="E83" s="569">
        <f t="shared" si="23"/>
        <v>73</v>
      </c>
      <c r="F83" s="116">
        <f>SUMIF(PoleRates!$E$4:$E$131,$U83,PoleRates!$F$4:$F$131)</f>
        <v>3.73</v>
      </c>
      <c r="G83" s="118">
        <f t="shared" si="28"/>
        <v>272.29000000000002</v>
      </c>
      <c r="H83" s="118">
        <f t="shared" si="29"/>
        <v>272.29000000000002</v>
      </c>
      <c r="I83" s="570">
        <f t="shared" si="24"/>
        <v>0</v>
      </c>
      <c r="J83" s="121">
        <f t="shared" si="36"/>
        <v>0</v>
      </c>
      <c r="K83" s="122">
        <f t="shared" si="25"/>
        <v>0</v>
      </c>
      <c r="L83" s="123">
        <f t="shared" si="37"/>
        <v>272.29000000000002</v>
      </c>
      <c r="M83" s="123">
        <f t="shared" si="38"/>
        <v>-272.29000000000002</v>
      </c>
      <c r="T83" s="109">
        <f>IF(Z83=1,IF(T82=MiscData!$F$1,EOMONTH(T82,-11),EOMONTH(T82,1)),T82)</f>
        <v>42490</v>
      </c>
      <c r="U83" s="108" t="str">
        <f t="shared" si="39"/>
        <v>20140101LE_951BASE</v>
      </c>
      <c r="V83" s="126" t="str">
        <f t="shared" si="40"/>
        <v xml:space="preserve">20140101LS </v>
      </c>
      <c r="Y83" s="98">
        <f>MiscData!$X$5</f>
        <v>20140101</v>
      </c>
      <c r="Z83" s="98">
        <f>IF(Z82+1&gt;MiscData!$AF$28,1,Z82+1)</f>
        <v>10</v>
      </c>
      <c r="AA83" s="98" t="str">
        <f>VLOOKUP(Z83,MiscData!$AF$5:$AG$28,2,FALSE)</f>
        <v>LE_951BASE</v>
      </c>
      <c r="AB83" s="98" t="str">
        <f>VLOOKUP(Z83,MiscData!$AF$5:$AH$28,3,FALSE)</f>
        <v xml:space="preserve">LS </v>
      </c>
    </row>
    <row r="84" spans="1:28">
      <c r="A84" s="108">
        <f t="shared" si="32"/>
        <v>73</v>
      </c>
      <c r="B84" s="109" t="str">
        <f t="shared" si="33"/>
        <v>Apr 2016</v>
      </c>
      <c r="C84" s="110" t="str">
        <f t="shared" si="34"/>
        <v>RLS</v>
      </c>
      <c r="D84" s="110" t="str">
        <f t="shared" si="35"/>
        <v>LE_952BASE</v>
      </c>
      <c r="E84" s="569">
        <f t="shared" si="23"/>
        <v>0</v>
      </c>
      <c r="F84" s="116">
        <f>SUMIF(PoleRates!$E$4:$E$131,$U84,PoleRates!$F$4:$F$131)</f>
        <v>3.56</v>
      </c>
      <c r="G84" s="118">
        <f t="shared" si="28"/>
        <v>0</v>
      </c>
      <c r="H84" s="118">
        <f t="shared" si="29"/>
        <v>0</v>
      </c>
      <c r="I84" s="570">
        <f t="shared" si="24"/>
        <v>0</v>
      </c>
      <c r="J84" s="121">
        <f t="shared" si="36"/>
        <v>1</v>
      </c>
      <c r="K84" s="122">
        <f t="shared" si="25"/>
        <v>0</v>
      </c>
      <c r="L84" s="123">
        <f t="shared" si="37"/>
        <v>0</v>
      </c>
      <c r="M84" s="123">
        <f t="shared" si="38"/>
        <v>0</v>
      </c>
      <c r="T84" s="109">
        <f>IF(Z84=1,IF(T83=MiscData!$F$1,EOMONTH(T83,-11),EOMONTH(T83,1)),T83)</f>
        <v>42490</v>
      </c>
      <c r="U84" s="108" t="str">
        <f t="shared" si="39"/>
        <v>20140101LE_952BASE</v>
      </c>
      <c r="V84" s="126" t="str">
        <f t="shared" si="40"/>
        <v>20140101RLS</v>
      </c>
      <c r="Y84" s="98">
        <f>MiscData!$X$5</f>
        <v>20140101</v>
      </c>
      <c r="Z84" s="98">
        <f>IF(Z83+1&gt;MiscData!$AF$28,1,Z83+1)</f>
        <v>11</v>
      </c>
      <c r="AA84" s="98" t="str">
        <f>VLOOKUP(Z84,MiscData!$AF$5:$AG$28,2,FALSE)</f>
        <v>LE_952BASE</v>
      </c>
      <c r="AB84" s="98" t="str">
        <f>VLOOKUP(Z84,MiscData!$AF$5:$AH$28,3,FALSE)</f>
        <v>RLS</v>
      </c>
    </row>
    <row r="85" spans="1:28" hidden="1">
      <c r="A85" s="108">
        <f t="shared" si="32"/>
        <v>73</v>
      </c>
      <c r="B85" s="109" t="str">
        <f t="shared" si="33"/>
        <v>Apr 2016</v>
      </c>
      <c r="C85" s="110" t="str">
        <f t="shared" si="34"/>
        <v xml:space="preserve">LS </v>
      </c>
      <c r="D85" s="110" t="str">
        <f t="shared" si="35"/>
        <v>LE_952BASE</v>
      </c>
      <c r="E85" s="569">
        <f t="shared" si="23"/>
        <v>0</v>
      </c>
      <c r="F85" s="116">
        <f>SUMIF(PoleRates!$E$4:$E$131,$U85,PoleRates!$F$4:$F$131)</f>
        <v>3.56</v>
      </c>
      <c r="G85" s="118">
        <f t="shared" si="28"/>
        <v>0</v>
      </c>
      <c r="H85" s="118">
        <f t="shared" si="29"/>
        <v>0</v>
      </c>
      <c r="I85" s="570">
        <f t="shared" si="24"/>
        <v>0</v>
      </c>
      <c r="J85" s="121">
        <f t="shared" si="36"/>
        <v>1</v>
      </c>
      <c r="K85" s="122">
        <f t="shared" si="25"/>
        <v>0</v>
      </c>
      <c r="L85" s="123">
        <f t="shared" si="37"/>
        <v>0</v>
      </c>
      <c r="M85" s="123">
        <f t="shared" si="38"/>
        <v>0</v>
      </c>
      <c r="T85" s="109">
        <f>IF(Z85=1,IF(T84=MiscData!$F$1,EOMONTH(T84,-11),EOMONTH(T84,1)),T84)</f>
        <v>42490</v>
      </c>
      <c r="U85" s="108" t="str">
        <f t="shared" si="39"/>
        <v>20140101LE_952BASE</v>
      </c>
      <c r="V85" s="126" t="str">
        <f t="shared" si="40"/>
        <v xml:space="preserve">20140101LS </v>
      </c>
      <c r="Y85" s="98">
        <f>MiscData!$X$5</f>
        <v>20140101</v>
      </c>
      <c r="Z85" s="98">
        <f>IF(Z84+1&gt;MiscData!$AF$28,1,Z84+1)</f>
        <v>12</v>
      </c>
      <c r="AA85" s="98" t="str">
        <f>VLOOKUP(Z85,MiscData!$AF$5:$AG$28,2,FALSE)</f>
        <v>LE_952BASE</v>
      </c>
      <c r="AB85" s="98" t="str">
        <f>VLOOKUP(Z85,MiscData!$AF$5:$AH$28,3,FALSE)</f>
        <v xml:space="preserve">LS </v>
      </c>
    </row>
    <row r="86" spans="1:28">
      <c r="A86" s="108">
        <f t="shared" si="32"/>
        <v>74</v>
      </c>
      <c r="B86" s="109" t="str">
        <f t="shared" si="33"/>
        <v>Apr 2016</v>
      </c>
      <c r="C86" s="110" t="str">
        <f t="shared" si="34"/>
        <v>RLS</v>
      </c>
      <c r="D86" s="110" t="str">
        <f t="shared" si="35"/>
        <v>LE_953BASE</v>
      </c>
      <c r="E86" s="569">
        <f t="shared" si="23"/>
        <v>0</v>
      </c>
      <c r="F86" s="116">
        <f>SUMIF(PoleRates!$E$4:$E$131,$U86,PoleRates!$F$4:$F$131)</f>
        <v>3.73</v>
      </c>
      <c r="G86" s="118">
        <f t="shared" si="28"/>
        <v>0</v>
      </c>
      <c r="H86" s="118">
        <f t="shared" si="29"/>
        <v>0</v>
      </c>
      <c r="I86" s="570">
        <f t="shared" si="24"/>
        <v>0</v>
      </c>
      <c r="J86" s="121">
        <f t="shared" si="36"/>
        <v>1</v>
      </c>
      <c r="K86" s="122">
        <f t="shared" si="25"/>
        <v>0</v>
      </c>
      <c r="L86" s="123">
        <f t="shared" si="37"/>
        <v>0</v>
      </c>
      <c r="M86" s="123">
        <f t="shared" si="38"/>
        <v>0</v>
      </c>
      <c r="T86" s="109">
        <f>IF(Z86=1,IF(T85=MiscData!$F$1,EOMONTH(T85,-11),EOMONTH(T85,1)),T85)</f>
        <v>42490</v>
      </c>
      <c r="U86" s="108" t="str">
        <f t="shared" si="39"/>
        <v>20140101LE_953BASE</v>
      </c>
      <c r="V86" s="126" t="str">
        <f t="shared" si="40"/>
        <v>20140101RLS</v>
      </c>
      <c r="Y86" s="98">
        <f>MiscData!$X$5</f>
        <v>20140101</v>
      </c>
      <c r="Z86" s="98">
        <f>IF(Z85+1&gt;MiscData!$AF$28,1,Z85+1)</f>
        <v>13</v>
      </c>
      <c r="AA86" s="98" t="str">
        <f>VLOOKUP(Z86,MiscData!$AF$5:$AG$28,2,FALSE)</f>
        <v>LE_953BASE</v>
      </c>
      <c r="AB86" s="98" t="str">
        <f>VLOOKUP(Z86,MiscData!$AF$5:$AH$28,3,FALSE)</f>
        <v>RLS</v>
      </c>
    </row>
    <row r="87" spans="1:28" hidden="1">
      <c r="A87" s="108">
        <f t="shared" si="32"/>
        <v>74</v>
      </c>
      <c r="B87" s="109" t="str">
        <f t="shared" si="33"/>
        <v>Apr 2016</v>
      </c>
      <c r="C87" s="110" t="str">
        <f t="shared" si="34"/>
        <v xml:space="preserve">LS </v>
      </c>
      <c r="D87" s="110" t="str">
        <f t="shared" si="35"/>
        <v>LE_953BASE</v>
      </c>
      <c r="E87" s="569">
        <f t="shared" si="23"/>
        <v>0</v>
      </c>
      <c r="F87" s="116">
        <f>SUMIF(PoleRates!$E$4:$E$131,$U87,PoleRates!$F$4:$F$131)</f>
        <v>3.73</v>
      </c>
      <c r="G87" s="118">
        <f t="shared" si="28"/>
        <v>0</v>
      </c>
      <c r="H87" s="118">
        <f t="shared" si="29"/>
        <v>0</v>
      </c>
      <c r="I87" s="570">
        <f t="shared" si="24"/>
        <v>0</v>
      </c>
      <c r="J87" s="121">
        <f t="shared" si="36"/>
        <v>1</v>
      </c>
      <c r="K87" s="122">
        <f t="shared" si="25"/>
        <v>0</v>
      </c>
      <c r="L87" s="123">
        <f t="shared" si="37"/>
        <v>0</v>
      </c>
      <c r="M87" s="123">
        <f t="shared" si="38"/>
        <v>0</v>
      </c>
      <c r="T87" s="109">
        <f>IF(Z87=1,IF(T86=MiscData!$F$1,EOMONTH(T86,-11),EOMONTH(T86,1)),T86)</f>
        <v>42490</v>
      </c>
      <c r="U87" s="108" t="str">
        <f t="shared" si="39"/>
        <v>20140101LE_953BASE</v>
      </c>
      <c r="V87" s="126" t="str">
        <f t="shared" si="40"/>
        <v xml:space="preserve">20140101LS </v>
      </c>
      <c r="Y87" s="98">
        <f>MiscData!$X$5</f>
        <v>20140101</v>
      </c>
      <c r="Z87" s="98">
        <f>IF(Z86+1&gt;MiscData!$AF$28,1,Z86+1)</f>
        <v>14</v>
      </c>
      <c r="AA87" s="98" t="str">
        <f>VLOOKUP(Z87,MiscData!$AF$5:$AG$28,2,FALSE)</f>
        <v>LE_953BASE</v>
      </c>
      <c r="AB87" s="98" t="str">
        <f>VLOOKUP(Z87,MiscData!$AF$5:$AH$28,3,FALSE)</f>
        <v xml:space="preserve">LS </v>
      </c>
    </row>
    <row r="88" spans="1:28">
      <c r="A88" s="108">
        <f t="shared" si="32"/>
        <v>75</v>
      </c>
      <c r="B88" s="109" t="str">
        <f t="shared" si="33"/>
        <v>Apr 2016</v>
      </c>
      <c r="C88" s="110" t="str">
        <f t="shared" si="34"/>
        <v>RLS</v>
      </c>
      <c r="D88" s="110" t="str">
        <f t="shared" si="35"/>
        <v>LE_954BASE</v>
      </c>
      <c r="E88" s="569">
        <f t="shared" si="23"/>
        <v>0</v>
      </c>
      <c r="F88" s="116">
        <f>SUMIF(PoleRates!$E$4:$E$131,$U88,PoleRates!$F$4:$F$131)</f>
        <v>3.47</v>
      </c>
      <c r="G88" s="118">
        <f t="shared" si="28"/>
        <v>0</v>
      </c>
      <c r="H88" s="118">
        <f t="shared" si="29"/>
        <v>0</v>
      </c>
      <c r="I88" s="570">
        <f t="shared" si="24"/>
        <v>0</v>
      </c>
      <c r="J88" s="121">
        <f t="shared" si="36"/>
        <v>1</v>
      </c>
      <c r="K88" s="122">
        <f t="shared" si="25"/>
        <v>0</v>
      </c>
      <c r="L88" s="123">
        <f t="shared" si="37"/>
        <v>0</v>
      </c>
      <c r="M88" s="123">
        <f t="shared" si="38"/>
        <v>0</v>
      </c>
      <c r="T88" s="109">
        <f>IF(Z88=1,IF(T87=MiscData!$F$1,EOMONTH(T87,-11),EOMONTH(T87,1)),T87)</f>
        <v>42490</v>
      </c>
      <c r="U88" s="108" t="str">
        <f t="shared" si="39"/>
        <v>20140101LE_954BASE</v>
      </c>
      <c r="V88" s="126" t="str">
        <f t="shared" si="40"/>
        <v>20140101RLS</v>
      </c>
      <c r="Y88" s="98">
        <f>MiscData!$X$5</f>
        <v>20140101</v>
      </c>
      <c r="Z88" s="98">
        <f>IF(Z87+1&gt;MiscData!$AF$28,1,Z87+1)</f>
        <v>15</v>
      </c>
      <c r="AA88" s="98" t="str">
        <f>VLOOKUP(Z88,MiscData!$AF$5:$AG$28,2,FALSE)</f>
        <v>LE_954BASE</v>
      </c>
      <c r="AB88" s="98" t="str">
        <f>VLOOKUP(Z88,MiscData!$AF$5:$AH$28,3,FALSE)</f>
        <v>RLS</v>
      </c>
    </row>
    <row r="89" spans="1:28" hidden="1">
      <c r="A89" s="108">
        <f t="shared" si="32"/>
        <v>75</v>
      </c>
      <c r="B89" s="109" t="str">
        <f t="shared" si="33"/>
        <v>Apr 2016</v>
      </c>
      <c r="C89" s="110" t="str">
        <f t="shared" si="34"/>
        <v xml:space="preserve">LS </v>
      </c>
      <c r="D89" s="110" t="str">
        <f t="shared" si="35"/>
        <v>LE_954BASE</v>
      </c>
      <c r="E89" s="569">
        <f t="shared" si="23"/>
        <v>0</v>
      </c>
      <c r="F89" s="116">
        <f>SUMIF(PoleRates!$E$4:$E$131,$U89,PoleRates!$F$4:$F$131)</f>
        <v>3.47</v>
      </c>
      <c r="G89" s="118">
        <f t="shared" si="28"/>
        <v>0</v>
      </c>
      <c r="H89" s="118">
        <f t="shared" si="29"/>
        <v>0</v>
      </c>
      <c r="I89" s="570">
        <f t="shared" si="24"/>
        <v>0</v>
      </c>
      <c r="J89" s="121">
        <f t="shared" si="36"/>
        <v>1</v>
      </c>
      <c r="K89" s="122">
        <f t="shared" si="25"/>
        <v>0</v>
      </c>
      <c r="L89" s="123">
        <f t="shared" si="37"/>
        <v>0</v>
      </c>
      <c r="M89" s="123">
        <f t="shared" si="38"/>
        <v>0</v>
      </c>
      <c r="T89" s="109">
        <f>IF(Z89=1,IF(T88=MiscData!$F$1,EOMONTH(T88,-11),EOMONTH(T88,1)),T88)</f>
        <v>42490</v>
      </c>
      <c r="U89" s="108" t="str">
        <f t="shared" si="39"/>
        <v>20140101LE_954BASE</v>
      </c>
      <c r="V89" s="126" t="str">
        <f t="shared" si="40"/>
        <v xml:space="preserve">20140101LS </v>
      </c>
      <c r="Y89" s="98">
        <f>MiscData!$X$5</f>
        <v>20140101</v>
      </c>
      <c r="Z89" s="98">
        <f>IF(Z88+1&gt;MiscData!$AF$28,1,Z88+1)</f>
        <v>16</v>
      </c>
      <c r="AA89" s="98" t="str">
        <f>VLOOKUP(Z89,MiscData!$AF$5:$AG$28,2,FALSE)</f>
        <v>LE_954BASE</v>
      </c>
      <c r="AB89" s="98" t="str">
        <f>VLOOKUP(Z89,MiscData!$AF$5:$AH$28,3,FALSE)</f>
        <v xml:space="preserve">LS </v>
      </c>
    </row>
    <row r="90" spans="1:28">
      <c r="A90" s="108">
        <f t="shared" si="32"/>
        <v>76</v>
      </c>
      <c r="B90" s="109" t="str">
        <f t="shared" si="33"/>
        <v>Apr 2016</v>
      </c>
      <c r="C90" s="110" t="str">
        <f t="shared" si="34"/>
        <v>RLS</v>
      </c>
      <c r="D90" s="110" t="str">
        <f t="shared" si="35"/>
        <v>LE_955BASE</v>
      </c>
      <c r="E90" s="569">
        <f t="shared" si="23"/>
        <v>0</v>
      </c>
      <c r="F90" s="116">
        <f>SUMIF(PoleRates!$E$4:$E$131,$U90,PoleRates!$F$4:$F$131)</f>
        <v>3.56</v>
      </c>
      <c r="G90" s="118">
        <f t="shared" si="28"/>
        <v>0</v>
      </c>
      <c r="H90" s="118">
        <f t="shared" si="29"/>
        <v>0</v>
      </c>
      <c r="I90" s="570">
        <f t="shared" si="24"/>
        <v>0</v>
      </c>
      <c r="J90" s="121">
        <f t="shared" si="36"/>
        <v>1</v>
      </c>
      <c r="K90" s="122">
        <f t="shared" si="25"/>
        <v>0</v>
      </c>
      <c r="L90" s="123">
        <f t="shared" si="37"/>
        <v>0</v>
      </c>
      <c r="M90" s="123">
        <f t="shared" si="38"/>
        <v>0</v>
      </c>
      <c r="T90" s="109">
        <f>IF(Z90=1,IF(T89=MiscData!$F$1,EOMONTH(T89,-11),EOMONTH(T89,1)),T89)</f>
        <v>42490</v>
      </c>
      <c r="U90" s="108" t="str">
        <f t="shared" si="39"/>
        <v>20140101LE_955BASE</v>
      </c>
      <c r="V90" s="126" t="str">
        <f t="shared" si="40"/>
        <v>20140101RLS</v>
      </c>
      <c r="Y90" s="98">
        <f>MiscData!$X$5</f>
        <v>20140101</v>
      </c>
      <c r="Z90" s="98">
        <f>IF(Z89+1&gt;MiscData!$AF$28,1,Z89+1)</f>
        <v>17</v>
      </c>
      <c r="AA90" s="98" t="str">
        <f>VLOOKUP(Z90,MiscData!$AF$5:$AG$28,2,FALSE)</f>
        <v>LE_955BASE</v>
      </c>
      <c r="AB90" s="98" t="str">
        <f>VLOOKUP(Z90,MiscData!$AF$5:$AH$28,3,FALSE)</f>
        <v>RLS</v>
      </c>
    </row>
    <row r="91" spans="1:28" hidden="1">
      <c r="A91" s="108">
        <f t="shared" si="32"/>
        <v>76</v>
      </c>
      <c r="B91" s="109" t="str">
        <f t="shared" si="33"/>
        <v>Apr 2016</v>
      </c>
      <c r="C91" s="110" t="str">
        <f t="shared" si="34"/>
        <v xml:space="preserve">LS </v>
      </c>
      <c r="D91" s="110" t="str">
        <f t="shared" si="35"/>
        <v>LE_955BASE</v>
      </c>
      <c r="E91" s="569">
        <f t="shared" si="23"/>
        <v>0</v>
      </c>
      <c r="F91" s="116">
        <f>SUMIF(PoleRates!$E$4:$E$131,$U91,PoleRates!$F$4:$F$131)</f>
        <v>3.56</v>
      </c>
      <c r="G91" s="118">
        <f t="shared" si="28"/>
        <v>0</v>
      </c>
      <c r="H91" s="118">
        <f t="shared" si="29"/>
        <v>0</v>
      </c>
      <c r="I91" s="570">
        <f t="shared" si="24"/>
        <v>0</v>
      </c>
      <c r="J91" s="121">
        <f t="shared" si="36"/>
        <v>1</v>
      </c>
      <c r="K91" s="122">
        <f t="shared" si="25"/>
        <v>0</v>
      </c>
      <c r="L91" s="123">
        <f t="shared" si="37"/>
        <v>0</v>
      </c>
      <c r="M91" s="123">
        <f t="shared" si="38"/>
        <v>0</v>
      </c>
      <c r="T91" s="109">
        <f>IF(Z91=1,IF(T90=MiscData!$F$1,EOMONTH(T90,-11),EOMONTH(T90,1)),T90)</f>
        <v>42490</v>
      </c>
      <c r="U91" s="108" t="str">
        <f t="shared" si="39"/>
        <v>20140101LE_955BASE</v>
      </c>
      <c r="V91" s="126" t="str">
        <f t="shared" si="40"/>
        <v xml:space="preserve">20140101LS </v>
      </c>
      <c r="Y91" s="98">
        <f>MiscData!$X$5</f>
        <v>20140101</v>
      </c>
      <c r="Z91" s="98">
        <f>IF(Z90+1&gt;MiscData!$AF$28,1,Z90+1)</f>
        <v>18</v>
      </c>
      <c r="AA91" s="98" t="str">
        <f>VLOOKUP(Z91,MiscData!$AF$5:$AG$28,2,FALSE)</f>
        <v>LE_955BASE</v>
      </c>
      <c r="AB91" s="98" t="str">
        <f>VLOOKUP(Z91,MiscData!$AF$5:$AH$28,3,FALSE)</f>
        <v xml:space="preserve">LS </v>
      </c>
    </row>
    <row r="92" spans="1:28" hidden="1">
      <c r="A92" s="108">
        <f t="shared" si="32"/>
        <v>77</v>
      </c>
      <c r="B92" s="109" t="str">
        <f t="shared" si="33"/>
        <v>Apr 2016</v>
      </c>
      <c r="C92" s="110" t="str">
        <f t="shared" si="34"/>
        <v>RLS</v>
      </c>
      <c r="D92" s="110" t="str">
        <f t="shared" si="35"/>
        <v>LE_956BASE</v>
      </c>
      <c r="E92" s="569">
        <f t="shared" si="23"/>
        <v>239</v>
      </c>
      <c r="F92" s="116">
        <f>SUMIF(PoleRates!$E$4:$E$131,$U92,PoleRates!$F$4:$F$131)</f>
        <v>3.56</v>
      </c>
      <c r="G92" s="118">
        <f t="shared" si="28"/>
        <v>850.84</v>
      </c>
      <c r="H92" s="118">
        <f t="shared" si="29"/>
        <v>850.84</v>
      </c>
      <c r="I92" s="570">
        <f t="shared" si="24"/>
        <v>0</v>
      </c>
      <c r="J92" s="121">
        <f t="shared" si="36"/>
        <v>0</v>
      </c>
      <c r="K92" s="122">
        <f t="shared" si="25"/>
        <v>0</v>
      </c>
      <c r="L92" s="123">
        <f t="shared" si="37"/>
        <v>850.84</v>
      </c>
      <c r="M92" s="123">
        <f t="shared" si="38"/>
        <v>-850.84</v>
      </c>
      <c r="T92" s="109">
        <f>IF(Z92=1,IF(T91=MiscData!$F$1,EOMONTH(T91,-11),EOMONTH(T91,1)),T91)</f>
        <v>42490</v>
      </c>
      <c r="U92" s="108" t="str">
        <f t="shared" si="39"/>
        <v>20140101LE_956BASE</v>
      </c>
      <c r="V92" s="126" t="str">
        <f t="shared" si="40"/>
        <v>20140101RLS</v>
      </c>
      <c r="Y92" s="98">
        <f>MiscData!$X$5</f>
        <v>20140101</v>
      </c>
      <c r="Z92" s="98">
        <f>IF(Z91+1&gt;MiscData!$AF$28,1,Z91+1)</f>
        <v>19</v>
      </c>
      <c r="AA92" s="98" t="str">
        <f>VLOOKUP(Z92,MiscData!$AF$5:$AG$28,2,FALSE)</f>
        <v>LE_956BASE</v>
      </c>
      <c r="AB92" s="98" t="str">
        <f>VLOOKUP(Z92,MiscData!$AF$5:$AH$28,3,FALSE)</f>
        <v>RLS</v>
      </c>
    </row>
    <row r="93" spans="1:28" hidden="1">
      <c r="A93" s="108">
        <f t="shared" si="32"/>
        <v>77</v>
      </c>
      <c r="B93" s="109" t="str">
        <f t="shared" si="33"/>
        <v>Apr 2016</v>
      </c>
      <c r="C93" s="110" t="str">
        <f t="shared" si="34"/>
        <v xml:space="preserve">LS </v>
      </c>
      <c r="D93" s="110" t="str">
        <f t="shared" si="35"/>
        <v>LE_956BASE</v>
      </c>
      <c r="E93" s="569">
        <f t="shared" si="23"/>
        <v>317</v>
      </c>
      <c r="F93" s="116">
        <f>SUMIF(PoleRates!$E$4:$E$131,$U93,PoleRates!$F$4:$F$131)</f>
        <v>3.56</v>
      </c>
      <c r="G93" s="118">
        <f t="shared" si="28"/>
        <v>1128.52</v>
      </c>
      <c r="H93" s="118">
        <f t="shared" si="29"/>
        <v>1128.52</v>
      </c>
      <c r="I93" s="570">
        <f t="shared" si="24"/>
        <v>0</v>
      </c>
      <c r="J93" s="121">
        <f t="shared" si="36"/>
        <v>0</v>
      </c>
      <c r="K93" s="122">
        <f t="shared" si="25"/>
        <v>0</v>
      </c>
      <c r="L93" s="123">
        <f t="shared" si="37"/>
        <v>1128.52</v>
      </c>
      <c r="M93" s="123">
        <f t="shared" si="38"/>
        <v>-1128.52</v>
      </c>
      <c r="T93" s="109">
        <f>IF(Z93=1,IF(T92=MiscData!$F$1,EOMONTH(T92,-11),EOMONTH(T92,1)),T92)</f>
        <v>42490</v>
      </c>
      <c r="U93" s="108" t="str">
        <f t="shared" si="39"/>
        <v>20140101LE_956BASE</v>
      </c>
      <c r="V93" s="126" t="str">
        <f t="shared" si="40"/>
        <v xml:space="preserve">20140101LS </v>
      </c>
      <c r="Y93" s="98">
        <f>MiscData!$X$5</f>
        <v>20140101</v>
      </c>
      <c r="Z93" s="98">
        <f>IF(Z92+1&gt;MiscData!$AF$28,1,Z92+1)</f>
        <v>20</v>
      </c>
      <c r="AA93" s="98" t="str">
        <f>VLOOKUP(Z93,MiscData!$AF$5:$AG$28,2,FALSE)</f>
        <v>LE_956BASE</v>
      </c>
      <c r="AB93" s="98" t="str">
        <f>VLOOKUP(Z93,MiscData!$AF$5:$AH$28,3,FALSE)</f>
        <v xml:space="preserve">LS </v>
      </c>
    </row>
    <row r="94" spans="1:28">
      <c r="A94" s="108">
        <f t="shared" si="32"/>
        <v>78</v>
      </c>
      <c r="B94" s="109" t="str">
        <f t="shared" si="33"/>
        <v>Apr 2016</v>
      </c>
      <c r="C94" s="110" t="str">
        <f t="shared" si="34"/>
        <v>RLS</v>
      </c>
      <c r="D94" s="110" t="str">
        <f t="shared" si="35"/>
        <v>LE_957BASE</v>
      </c>
      <c r="E94" s="569">
        <f t="shared" si="23"/>
        <v>0</v>
      </c>
      <c r="F94" s="116">
        <f>SUMIF(PoleRates!$E$4:$E$131,$U94,PoleRates!$F$4:$F$131)</f>
        <v>3.56</v>
      </c>
      <c r="G94" s="118">
        <f t="shared" si="28"/>
        <v>0</v>
      </c>
      <c r="H94" s="118">
        <f t="shared" si="29"/>
        <v>0</v>
      </c>
      <c r="I94" s="570">
        <f t="shared" si="24"/>
        <v>0</v>
      </c>
      <c r="J94" s="121">
        <f t="shared" si="36"/>
        <v>1</v>
      </c>
      <c r="K94" s="122">
        <f t="shared" si="25"/>
        <v>0</v>
      </c>
      <c r="L94" s="123">
        <f t="shared" si="37"/>
        <v>0</v>
      </c>
      <c r="M94" s="123">
        <f t="shared" si="38"/>
        <v>0</v>
      </c>
      <c r="T94" s="109">
        <f>IF(Z94=1,IF(T93=MiscData!$F$1,EOMONTH(T93,-11),EOMONTH(T93,1)),T93)</f>
        <v>42490</v>
      </c>
      <c r="U94" s="108" t="str">
        <f t="shared" si="39"/>
        <v>20140101LE_957BASE</v>
      </c>
      <c r="V94" s="126" t="str">
        <f t="shared" si="40"/>
        <v>20140101RLS</v>
      </c>
      <c r="Y94" s="98">
        <f>MiscData!$X$5</f>
        <v>20140101</v>
      </c>
      <c r="Z94" s="98">
        <f>IF(Z93+1&gt;MiscData!$AF$28,1,Z93+1)</f>
        <v>21</v>
      </c>
      <c r="AA94" s="98" t="str">
        <f>VLOOKUP(Z94,MiscData!$AF$5:$AG$28,2,FALSE)</f>
        <v>LE_957BASE</v>
      </c>
      <c r="AB94" s="98" t="str">
        <f>VLOOKUP(Z94,MiscData!$AF$5:$AH$28,3,FALSE)</f>
        <v>RLS</v>
      </c>
    </row>
    <row r="95" spans="1:28" hidden="1">
      <c r="A95" s="108">
        <f t="shared" si="32"/>
        <v>78</v>
      </c>
      <c r="B95" s="109" t="str">
        <f t="shared" si="33"/>
        <v>Apr 2016</v>
      </c>
      <c r="C95" s="110" t="str">
        <f t="shared" si="34"/>
        <v xml:space="preserve">LS </v>
      </c>
      <c r="D95" s="110" t="str">
        <f t="shared" si="35"/>
        <v>LE_957BASE</v>
      </c>
      <c r="E95" s="569">
        <f t="shared" si="23"/>
        <v>0</v>
      </c>
      <c r="F95" s="116">
        <f>SUMIF(PoleRates!$E$4:$E$131,$U95,PoleRates!$F$4:$F$131)</f>
        <v>3.56</v>
      </c>
      <c r="G95" s="118">
        <f t="shared" si="28"/>
        <v>0</v>
      </c>
      <c r="H95" s="118">
        <f t="shared" si="29"/>
        <v>0</v>
      </c>
      <c r="I95" s="570">
        <f t="shared" si="24"/>
        <v>0</v>
      </c>
      <c r="J95" s="121">
        <f t="shared" si="36"/>
        <v>1</v>
      </c>
      <c r="K95" s="122">
        <f t="shared" si="25"/>
        <v>0</v>
      </c>
      <c r="L95" s="123">
        <f t="shared" si="37"/>
        <v>0</v>
      </c>
      <c r="M95" s="123">
        <f t="shared" si="38"/>
        <v>0</v>
      </c>
      <c r="T95" s="109">
        <f>IF(Z95=1,IF(T94=MiscData!$F$1,EOMONTH(T94,-11),EOMONTH(T94,1)),T94)</f>
        <v>42490</v>
      </c>
      <c r="U95" s="108" t="str">
        <f t="shared" si="39"/>
        <v>20140101LE_957BASE</v>
      </c>
      <c r="V95" s="126" t="str">
        <f t="shared" si="40"/>
        <v xml:space="preserve">20140101LS </v>
      </c>
      <c r="Y95" s="98">
        <f>MiscData!$X$5</f>
        <v>20140101</v>
      </c>
      <c r="Z95" s="98">
        <f>IF(Z94+1&gt;MiscData!$AF$28,1,Z94+1)</f>
        <v>22</v>
      </c>
      <c r="AA95" s="98" t="str">
        <f>VLOOKUP(Z95,MiscData!$AF$5:$AG$28,2,FALSE)</f>
        <v>LE_957BASE</v>
      </c>
      <c r="AB95" s="98" t="str">
        <f>VLOOKUP(Z95,MiscData!$AF$5:$AH$28,3,FALSE)</f>
        <v xml:space="preserve">LS </v>
      </c>
    </row>
    <row r="96" spans="1:28" hidden="1">
      <c r="A96" s="108">
        <f t="shared" si="32"/>
        <v>79</v>
      </c>
      <c r="B96" s="109" t="str">
        <f t="shared" si="33"/>
        <v>Apr 2016</v>
      </c>
      <c r="C96" s="110" t="str">
        <f t="shared" si="34"/>
        <v>RLS</v>
      </c>
      <c r="D96" s="110" t="str">
        <f t="shared" si="35"/>
        <v>LE_958POLE</v>
      </c>
      <c r="E96" s="569">
        <f t="shared" si="23"/>
        <v>35</v>
      </c>
      <c r="F96" s="116">
        <f>SUMIF(PoleRates!$E$4:$E$131,$U96,PoleRates!$F$4:$F$131)</f>
        <v>11.31</v>
      </c>
      <c r="G96" s="118">
        <f t="shared" si="28"/>
        <v>395.85</v>
      </c>
      <c r="H96" s="118">
        <f t="shared" si="29"/>
        <v>395.85</v>
      </c>
      <c r="I96" s="570">
        <f t="shared" si="24"/>
        <v>0</v>
      </c>
      <c r="J96" s="121">
        <f t="shared" si="36"/>
        <v>0</v>
      </c>
      <c r="K96" s="122">
        <f t="shared" si="25"/>
        <v>0</v>
      </c>
      <c r="L96" s="123">
        <f t="shared" si="37"/>
        <v>395.85</v>
      </c>
      <c r="M96" s="123">
        <f t="shared" si="38"/>
        <v>-395.85</v>
      </c>
      <c r="T96" s="109">
        <f>IF(Z96=1,IF(T95=MiscData!$F$1,EOMONTH(T95,-11),EOMONTH(T95,1)),T95)</f>
        <v>42490</v>
      </c>
      <c r="U96" s="108" t="str">
        <f t="shared" si="39"/>
        <v>20140101LE_958POLE</v>
      </c>
      <c r="V96" s="126" t="str">
        <f t="shared" si="40"/>
        <v>20140101RLS</v>
      </c>
      <c r="Y96" s="98">
        <f>MiscData!$X$5</f>
        <v>20140101</v>
      </c>
      <c r="Z96" s="98">
        <f>IF(Z95+1&gt;MiscData!$AF$28,1,Z95+1)</f>
        <v>23</v>
      </c>
      <c r="AA96" s="98" t="str">
        <f>VLOOKUP(Z96,MiscData!$AF$5:$AG$28,2,FALSE)</f>
        <v>LE_958POLE</v>
      </c>
      <c r="AB96" s="98" t="str">
        <f>VLOOKUP(Z96,MiscData!$AF$5:$AH$28,3,FALSE)</f>
        <v>RLS</v>
      </c>
    </row>
    <row r="97" spans="1:28" hidden="1">
      <c r="A97" s="108">
        <f t="shared" si="32"/>
        <v>79</v>
      </c>
      <c r="B97" s="109" t="str">
        <f t="shared" si="33"/>
        <v>Apr 2016</v>
      </c>
      <c r="C97" s="110" t="str">
        <f t="shared" si="34"/>
        <v xml:space="preserve">LS </v>
      </c>
      <c r="D97" s="110" t="str">
        <f t="shared" si="35"/>
        <v>LE_958POLE</v>
      </c>
      <c r="E97" s="569">
        <f t="shared" si="23"/>
        <v>418</v>
      </c>
      <c r="F97" s="116">
        <f>SUMIF(PoleRates!$E$4:$E$131,$U97,PoleRates!$F$4:$F$131)</f>
        <v>11.31</v>
      </c>
      <c r="G97" s="118">
        <f t="shared" si="28"/>
        <v>4727.58</v>
      </c>
      <c r="H97" s="118">
        <f t="shared" si="29"/>
        <v>4727.58</v>
      </c>
      <c r="I97" s="570">
        <f t="shared" si="24"/>
        <v>0</v>
      </c>
      <c r="J97" s="121">
        <f t="shared" si="36"/>
        <v>0</v>
      </c>
      <c r="K97" s="122">
        <f t="shared" si="25"/>
        <v>0</v>
      </c>
      <c r="L97" s="123">
        <f t="shared" si="37"/>
        <v>4727.58</v>
      </c>
      <c r="M97" s="123">
        <f t="shared" si="38"/>
        <v>-4727.58</v>
      </c>
      <c r="T97" s="109">
        <f>IF(Z97=1,IF(T96=MiscData!$F$1,EOMONTH(T96,-11),EOMONTH(T96,1)),T96)</f>
        <v>42490</v>
      </c>
      <c r="U97" s="108" t="str">
        <f t="shared" si="39"/>
        <v>20140101LE_958POLE</v>
      </c>
      <c r="V97" s="126" t="str">
        <f t="shared" si="40"/>
        <v xml:space="preserve">20140101LS </v>
      </c>
      <c r="Y97" s="98">
        <f>MiscData!$X$5</f>
        <v>20140101</v>
      </c>
      <c r="Z97" s="98">
        <f>IF(Z96+1&gt;MiscData!$AF$28,1,Z96+1)</f>
        <v>24</v>
      </c>
      <c r="AA97" s="98" t="str">
        <f>VLOOKUP(Z97,MiscData!$AF$5:$AG$28,2,FALSE)</f>
        <v>LE_958POLE</v>
      </c>
      <c r="AB97" s="98" t="str">
        <f>VLOOKUP(Z97,MiscData!$AF$5:$AH$28,3,FALSE)</f>
        <v xml:space="preserve">LS </v>
      </c>
    </row>
    <row r="98" spans="1:28" hidden="1">
      <c r="A98" s="108">
        <f t="shared" si="32"/>
        <v>80</v>
      </c>
      <c r="B98" s="109" t="str">
        <f t="shared" si="33"/>
        <v>May 2016</v>
      </c>
      <c r="C98" s="110" t="str">
        <f t="shared" si="34"/>
        <v>RLS</v>
      </c>
      <c r="D98" s="110" t="str">
        <f t="shared" si="35"/>
        <v>LE_900POLE</v>
      </c>
      <c r="E98" s="569">
        <f t="shared" ref="E98:E129" si="41">SUMIFS(L_1051_Count_Total,L_1051_Revenue_Month,$B98,L_1051_RateCategory,$D98,L_1051_Light_Category,C98)</f>
        <v>1655</v>
      </c>
      <c r="F98" s="116">
        <f>SUMIF(PoleRates!$E$4:$E$131,$U98,PoleRates!$F$4:$F$131)</f>
        <v>2.06</v>
      </c>
      <c r="G98" s="118">
        <f t="shared" si="28"/>
        <v>3409.3</v>
      </c>
      <c r="H98" s="118">
        <f t="shared" si="29"/>
        <v>3409.3</v>
      </c>
      <c r="I98" s="570">
        <f t="shared" si="24"/>
        <v>0</v>
      </c>
      <c r="J98" s="121">
        <f t="shared" si="36"/>
        <v>0</v>
      </c>
      <c r="K98" s="122">
        <f t="shared" si="25"/>
        <v>0</v>
      </c>
      <c r="L98" s="123">
        <f t="shared" si="37"/>
        <v>3409.3</v>
      </c>
      <c r="M98" s="123">
        <f t="shared" si="38"/>
        <v>-3409.3</v>
      </c>
      <c r="T98" s="109">
        <f>IF(Z98=1,IF(T97=MiscData!$F$1,EOMONTH(T97,-11),EOMONTH(T97,1)),T97)</f>
        <v>42521</v>
      </c>
      <c r="U98" s="108" t="str">
        <f t="shared" si="39"/>
        <v>20140101LE_900POLE</v>
      </c>
      <c r="V98" s="126" t="str">
        <f t="shared" si="40"/>
        <v>20140101RLS</v>
      </c>
      <c r="Y98" s="98">
        <f>MiscData!$X$5</f>
        <v>20140101</v>
      </c>
      <c r="Z98" s="98">
        <f>IF(Z97+1&gt;MiscData!$AF$28,1,Z97+1)</f>
        <v>1</v>
      </c>
      <c r="AA98" s="98" t="str">
        <f>VLOOKUP(Z98,MiscData!$AF$5:$AG$28,2,FALSE)</f>
        <v>LE_900POLE</v>
      </c>
      <c r="AB98" s="98" t="str">
        <f>VLOOKUP(Z98,MiscData!$AF$5:$AH$28,3,FALSE)</f>
        <v>RLS</v>
      </c>
    </row>
    <row r="99" spans="1:28" hidden="1">
      <c r="A99" s="108">
        <f t="shared" si="32"/>
        <v>80</v>
      </c>
      <c r="B99" s="109" t="str">
        <f t="shared" si="33"/>
        <v>May 2016</v>
      </c>
      <c r="C99" s="110" t="str">
        <f t="shared" si="34"/>
        <v xml:space="preserve">LS </v>
      </c>
      <c r="D99" s="110" t="str">
        <f t="shared" si="35"/>
        <v>LE_900POLE</v>
      </c>
      <c r="E99" s="569">
        <f t="shared" si="41"/>
        <v>5230</v>
      </c>
      <c r="F99" s="116">
        <f>SUMIF(PoleRates!$E$4:$E$131,$U99,PoleRates!$F$4:$F$131)</f>
        <v>2.06</v>
      </c>
      <c r="G99" s="118">
        <f t="shared" si="28"/>
        <v>10773.8</v>
      </c>
      <c r="H99" s="118">
        <f t="shared" si="29"/>
        <v>10773.8</v>
      </c>
      <c r="I99" s="570">
        <f t="shared" si="24"/>
        <v>0</v>
      </c>
      <c r="J99" s="121">
        <f t="shared" si="36"/>
        <v>0</v>
      </c>
      <c r="K99" s="122">
        <f t="shared" si="25"/>
        <v>0</v>
      </c>
      <c r="L99" s="123">
        <f t="shared" si="37"/>
        <v>10773.8</v>
      </c>
      <c r="M99" s="123">
        <f t="shared" si="38"/>
        <v>-10773.8</v>
      </c>
      <c r="T99" s="109">
        <f>IF(Z99=1,IF(T98=MiscData!$F$1,EOMONTH(T98,-11),EOMONTH(T98,1)),T98)</f>
        <v>42521</v>
      </c>
      <c r="U99" s="108" t="str">
        <f t="shared" si="39"/>
        <v>20140101LE_900POLE</v>
      </c>
      <c r="V99" s="126" t="str">
        <f t="shared" si="40"/>
        <v xml:space="preserve">20140101LS </v>
      </c>
      <c r="Y99" s="98">
        <f>MiscData!$X$5</f>
        <v>20140101</v>
      </c>
      <c r="Z99" s="98">
        <f>IF(Z98+1&gt;MiscData!$AF$28,1,Z98+1)</f>
        <v>2</v>
      </c>
      <c r="AA99" s="98" t="str">
        <f>VLOOKUP(Z99,MiscData!$AF$5:$AG$28,2,FALSE)</f>
        <v>LE_900POLE</v>
      </c>
      <c r="AB99" s="98" t="str">
        <f>VLOOKUP(Z99,MiscData!$AF$5:$AH$28,3,FALSE)</f>
        <v xml:space="preserve">LS </v>
      </c>
    </row>
    <row r="100" spans="1:28" hidden="1">
      <c r="A100" s="108">
        <f t="shared" si="32"/>
        <v>81</v>
      </c>
      <c r="B100" s="109" t="str">
        <f t="shared" si="33"/>
        <v>May 2016</v>
      </c>
      <c r="C100" s="110" t="str">
        <f t="shared" si="34"/>
        <v>RLS</v>
      </c>
      <c r="D100" s="110" t="str">
        <f t="shared" si="35"/>
        <v>LE_901POLE</v>
      </c>
      <c r="E100" s="569">
        <f t="shared" si="41"/>
        <v>157</v>
      </c>
      <c r="F100" s="116">
        <f>SUMIF(PoleRates!$E$4:$E$131,$U100,PoleRates!$F$4:$F$131)</f>
        <v>10.81</v>
      </c>
      <c r="G100" s="118">
        <f t="shared" si="28"/>
        <v>1697.17</v>
      </c>
      <c r="H100" s="118">
        <f t="shared" si="29"/>
        <v>1697.17</v>
      </c>
      <c r="I100" s="570">
        <f t="shared" si="24"/>
        <v>0</v>
      </c>
      <c r="J100" s="121">
        <f t="shared" si="36"/>
        <v>0</v>
      </c>
      <c r="K100" s="122">
        <f t="shared" si="25"/>
        <v>0</v>
      </c>
      <c r="L100" s="123">
        <f t="shared" si="37"/>
        <v>1697.17</v>
      </c>
      <c r="M100" s="123">
        <f t="shared" si="38"/>
        <v>-1697.17</v>
      </c>
      <c r="T100" s="109">
        <f>IF(Z100=1,IF(T99=MiscData!$F$1,EOMONTH(T99,-11),EOMONTH(T99,1)),T99)</f>
        <v>42521</v>
      </c>
      <c r="U100" s="108" t="str">
        <f t="shared" si="39"/>
        <v>20140101LE_901POLE</v>
      </c>
      <c r="V100" s="126" t="str">
        <f t="shared" si="40"/>
        <v>20140101RLS</v>
      </c>
      <c r="Y100" s="98">
        <f>MiscData!$X$5</f>
        <v>20140101</v>
      </c>
      <c r="Z100" s="98">
        <f>IF(Z99+1&gt;MiscData!$AF$28,1,Z99+1)</f>
        <v>3</v>
      </c>
      <c r="AA100" s="98" t="str">
        <f>VLOOKUP(Z100,MiscData!$AF$5:$AG$28,2,FALSE)</f>
        <v>LE_901POLE</v>
      </c>
      <c r="AB100" s="98" t="str">
        <f>VLOOKUP(Z100,MiscData!$AF$5:$AH$28,3,FALSE)</f>
        <v>RLS</v>
      </c>
    </row>
    <row r="101" spans="1:28" hidden="1">
      <c r="A101" s="108">
        <f t="shared" si="32"/>
        <v>81</v>
      </c>
      <c r="B101" s="109" t="str">
        <f t="shared" si="33"/>
        <v>May 2016</v>
      </c>
      <c r="C101" s="110" t="str">
        <f t="shared" si="34"/>
        <v xml:space="preserve">LS </v>
      </c>
      <c r="D101" s="110" t="str">
        <f t="shared" si="35"/>
        <v>LE_901POLE</v>
      </c>
      <c r="E101" s="569">
        <f t="shared" si="41"/>
        <v>0</v>
      </c>
      <c r="F101" s="116">
        <f>SUMIF(PoleRates!$E$4:$E$131,$U101,PoleRates!$F$4:$F$131)</f>
        <v>10.81</v>
      </c>
      <c r="G101" s="118">
        <f t="shared" si="28"/>
        <v>0</v>
      </c>
      <c r="H101" s="118">
        <f t="shared" si="29"/>
        <v>0</v>
      </c>
      <c r="I101" s="570">
        <f t="shared" si="24"/>
        <v>0</v>
      </c>
      <c r="J101" s="121">
        <f t="shared" si="36"/>
        <v>1</v>
      </c>
      <c r="K101" s="122">
        <f t="shared" si="25"/>
        <v>0</v>
      </c>
      <c r="L101" s="123">
        <f t="shared" si="37"/>
        <v>0</v>
      </c>
      <c r="M101" s="123">
        <f t="shared" si="38"/>
        <v>0</v>
      </c>
      <c r="T101" s="109">
        <f>IF(Z101=1,IF(T100=MiscData!$F$1,EOMONTH(T100,-11),EOMONTH(T100,1)),T100)</f>
        <v>42521</v>
      </c>
      <c r="U101" s="108" t="str">
        <f t="shared" si="39"/>
        <v>20140101LE_901POLE</v>
      </c>
      <c r="V101" s="126" t="str">
        <f t="shared" si="40"/>
        <v xml:space="preserve">20140101LS </v>
      </c>
      <c r="Y101" s="98">
        <f>MiscData!$X$5</f>
        <v>20140101</v>
      </c>
      <c r="Z101" s="98">
        <f>IF(Z100+1&gt;MiscData!$AF$28,1,Z100+1)</f>
        <v>4</v>
      </c>
      <c r="AA101" s="98" t="str">
        <f>VLOOKUP(Z101,MiscData!$AF$5:$AG$28,2,FALSE)</f>
        <v>LE_901POLE</v>
      </c>
      <c r="AB101" s="98" t="str">
        <f>VLOOKUP(Z101,MiscData!$AF$5:$AH$28,3,FALSE)</f>
        <v xml:space="preserve">LS </v>
      </c>
    </row>
    <row r="102" spans="1:28" hidden="1">
      <c r="A102" s="108">
        <f t="shared" si="32"/>
        <v>82</v>
      </c>
      <c r="B102" s="109" t="str">
        <f t="shared" si="33"/>
        <v>May 2016</v>
      </c>
      <c r="C102" s="110" t="str">
        <f t="shared" si="34"/>
        <v>RLS</v>
      </c>
      <c r="D102" s="110" t="str">
        <f t="shared" si="35"/>
        <v>LE_902POLE</v>
      </c>
      <c r="E102" s="569">
        <f t="shared" si="41"/>
        <v>277</v>
      </c>
      <c r="F102" s="116">
        <f>SUMIF(PoleRates!$E$4:$E$131,$U102,PoleRates!$F$4:$F$131)</f>
        <v>12.9</v>
      </c>
      <c r="G102" s="118">
        <f t="shared" si="28"/>
        <v>3573.3</v>
      </c>
      <c r="H102" s="118">
        <f t="shared" si="29"/>
        <v>3573.3</v>
      </c>
      <c r="I102" s="570">
        <f t="shared" si="24"/>
        <v>0</v>
      </c>
      <c r="J102" s="121">
        <f t="shared" si="36"/>
        <v>0</v>
      </c>
      <c r="K102" s="122">
        <f t="shared" si="25"/>
        <v>0</v>
      </c>
      <c r="L102" s="123">
        <f t="shared" si="37"/>
        <v>3573.3</v>
      </c>
      <c r="M102" s="123">
        <f t="shared" si="38"/>
        <v>-3573.3</v>
      </c>
      <c r="T102" s="109">
        <f>IF(Z102=1,IF(T101=MiscData!$F$1,EOMONTH(T101,-11),EOMONTH(T101,1)),T101)</f>
        <v>42521</v>
      </c>
      <c r="U102" s="108" t="str">
        <f t="shared" si="39"/>
        <v>20140101LE_902POLE</v>
      </c>
      <c r="V102" s="126" t="str">
        <f t="shared" si="40"/>
        <v>20140101RLS</v>
      </c>
      <c r="Y102" s="98">
        <f>MiscData!$X$5</f>
        <v>20140101</v>
      </c>
      <c r="Z102" s="98">
        <f>IF(Z101+1&gt;MiscData!$AF$28,1,Z101+1)</f>
        <v>5</v>
      </c>
      <c r="AA102" s="98" t="str">
        <f>VLOOKUP(Z102,MiscData!$AF$5:$AG$28,2,FALSE)</f>
        <v>LE_902POLE</v>
      </c>
      <c r="AB102" s="98" t="str">
        <f>VLOOKUP(Z102,MiscData!$AF$5:$AH$28,3,FALSE)</f>
        <v>RLS</v>
      </c>
    </row>
    <row r="103" spans="1:28" hidden="1">
      <c r="A103" s="108">
        <f t="shared" si="32"/>
        <v>82</v>
      </c>
      <c r="B103" s="109" t="str">
        <f t="shared" si="33"/>
        <v>May 2016</v>
      </c>
      <c r="C103" s="110" t="str">
        <f t="shared" si="34"/>
        <v xml:space="preserve">LS </v>
      </c>
      <c r="D103" s="110" t="str">
        <f t="shared" si="35"/>
        <v>LE_902POLE</v>
      </c>
      <c r="E103" s="569">
        <f t="shared" si="41"/>
        <v>3</v>
      </c>
      <c r="F103" s="116">
        <f>SUMIF(PoleRates!$E$4:$E$131,$U103,PoleRates!$F$4:$F$131)</f>
        <v>12.9</v>
      </c>
      <c r="G103" s="118">
        <f t="shared" si="28"/>
        <v>38.700000000000003</v>
      </c>
      <c r="H103" s="118">
        <f t="shared" si="29"/>
        <v>38.700000000000003</v>
      </c>
      <c r="I103" s="570">
        <f t="shared" si="24"/>
        <v>0</v>
      </c>
      <c r="J103" s="121">
        <f t="shared" si="36"/>
        <v>0</v>
      </c>
      <c r="K103" s="122">
        <f t="shared" si="25"/>
        <v>0</v>
      </c>
      <c r="L103" s="123">
        <f t="shared" si="37"/>
        <v>38.700000000000003</v>
      </c>
      <c r="M103" s="123">
        <f t="shared" si="38"/>
        <v>-38.700000000000003</v>
      </c>
      <c r="T103" s="109">
        <f>IF(Z103=1,IF(T102=MiscData!$F$1,EOMONTH(T102,-11),EOMONTH(T102,1)),T102)</f>
        <v>42521</v>
      </c>
      <c r="U103" s="108" t="str">
        <f t="shared" si="39"/>
        <v>20140101LE_902POLE</v>
      </c>
      <c r="V103" s="126" t="str">
        <f t="shared" si="40"/>
        <v xml:space="preserve">20140101LS </v>
      </c>
      <c r="Y103" s="98">
        <f>MiscData!$X$5</f>
        <v>20140101</v>
      </c>
      <c r="Z103" s="98">
        <f>IF(Z102+1&gt;MiscData!$AF$28,1,Z102+1)</f>
        <v>6</v>
      </c>
      <c r="AA103" s="98" t="str">
        <f>VLOOKUP(Z103,MiscData!$AF$5:$AG$28,2,FALSE)</f>
        <v>LE_902POLE</v>
      </c>
      <c r="AB103" s="98" t="str">
        <f>VLOOKUP(Z103,MiscData!$AF$5:$AH$28,3,FALSE)</f>
        <v xml:space="preserve">LS </v>
      </c>
    </row>
    <row r="104" spans="1:28" hidden="1">
      <c r="A104" s="108">
        <f t="shared" si="32"/>
        <v>83</v>
      </c>
      <c r="B104" s="109" t="str">
        <f t="shared" si="33"/>
        <v>May 2016</v>
      </c>
      <c r="C104" s="110" t="str">
        <f t="shared" si="34"/>
        <v>RLS</v>
      </c>
      <c r="D104" s="110" t="str">
        <f t="shared" si="35"/>
        <v>LE_950BASE</v>
      </c>
      <c r="E104" s="569">
        <f t="shared" si="41"/>
        <v>77</v>
      </c>
      <c r="F104" s="116">
        <f>SUMIF(PoleRates!$E$4:$E$131,$U104,PoleRates!$F$4:$F$131)</f>
        <v>3.47</v>
      </c>
      <c r="G104" s="118">
        <f t="shared" si="28"/>
        <v>267.19</v>
      </c>
      <c r="H104" s="118">
        <f t="shared" si="29"/>
        <v>267.19</v>
      </c>
      <c r="I104" s="570">
        <f t="shared" si="24"/>
        <v>0</v>
      </c>
      <c r="J104" s="121">
        <f t="shared" si="36"/>
        <v>0</v>
      </c>
      <c r="K104" s="122">
        <f t="shared" si="25"/>
        <v>0</v>
      </c>
      <c r="L104" s="123">
        <f t="shared" si="37"/>
        <v>267.19</v>
      </c>
      <c r="M104" s="123">
        <f t="shared" si="38"/>
        <v>-267.19</v>
      </c>
      <c r="T104" s="109">
        <f>IF(Z104=1,IF(T103=MiscData!$F$1,EOMONTH(T103,-11),EOMONTH(T103,1)),T103)</f>
        <v>42521</v>
      </c>
      <c r="U104" s="108" t="str">
        <f t="shared" si="39"/>
        <v>20140101LE_950BASE</v>
      </c>
      <c r="V104" s="126" t="str">
        <f t="shared" si="40"/>
        <v>20140101RLS</v>
      </c>
      <c r="Y104" s="98">
        <f>MiscData!$X$5</f>
        <v>20140101</v>
      </c>
      <c r="Z104" s="98">
        <f>IF(Z103+1&gt;MiscData!$AF$28,1,Z103+1)</f>
        <v>7</v>
      </c>
      <c r="AA104" s="98" t="str">
        <f>VLOOKUP(Z104,MiscData!$AF$5:$AG$28,2,FALSE)</f>
        <v>LE_950BASE</v>
      </c>
      <c r="AB104" s="98" t="str">
        <f>VLOOKUP(Z104,MiscData!$AF$5:$AH$28,3,FALSE)</f>
        <v>RLS</v>
      </c>
    </row>
    <row r="105" spans="1:28" hidden="1">
      <c r="A105" s="108">
        <f t="shared" si="32"/>
        <v>83</v>
      </c>
      <c r="B105" s="109" t="str">
        <f t="shared" si="33"/>
        <v>May 2016</v>
      </c>
      <c r="C105" s="110" t="str">
        <f t="shared" si="34"/>
        <v xml:space="preserve">LS </v>
      </c>
      <c r="D105" s="110" t="str">
        <f t="shared" si="35"/>
        <v>LE_950BASE</v>
      </c>
      <c r="E105" s="569">
        <f t="shared" si="41"/>
        <v>13</v>
      </c>
      <c r="F105" s="116">
        <f>SUMIF(PoleRates!$E$4:$E$131,$U105,PoleRates!$F$4:$F$131)</f>
        <v>3.47</v>
      </c>
      <c r="G105" s="118">
        <f t="shared" si="28"/>
        <v>45.11</v>
      </c>
      <c r="H105" s="118">
        <f t="shared" si="29"/>
        <v>45.11</v>
      </c>
      <c r="I105" s="570">
        <f t="shared" si="24"/>
        <v>0</v>
      </c>
      <c r="J105" s="121">
        <f t="shared" si="36"/>
        <v>0</v>
      </c>
      <c r="K105" s="122">
        <f t="shared" si="25"/>
        <v>0</v>
      </c>
      <c r="L105" s="123">
        <f t="shared" si="37"/>
        <v>45.11</v>
      </c>
      <c r="M105" s="123">
        <f t="shared" si="38"/>
        <v>-45.11</v>
      </c>
      <c r="T105" s="109">
        <f>IF(Z105=1,IF(T104=MiscData!$F$1,EOMONTH(T104,-11),EOMONTH(T104,1)),T104)</f>
        <v>42521</v>
      </c>
      <c r="U105" s="108" t="str">
        <f t="shared" si="39"/>
        <v>20140101LE_950BASE</v>
      </c>
      <c r="V105" s="126" t="str">
        <f t="shared" si="40"/>
        <v xml:space="preserve">20140101LS </v>
      </c>
      <c r="Y105" s="98">
        <f>MiscData!$X$5</f>
        <v>20140101</v>
      </c>
      <c r="Z105" s="98">
        <f>IF(Z104+1&gt;MiscData!$AF$28,1,Z104+1)</f>
        <v>8</v>
      </c>
      <c r="AA105" s="98" t="str">
        <f>VLOOKUP(Z105,MiscData!$AF$5:$AG$28,2,FALSE)</f>
        <v>LE_950BASE</v>
      </c>
      <c r="AB105" s="98" t="str">
        <f>VLOOKUP(Z105,MiscData!$AF$5:$AH$28,3,FALSE)</f>
        <v xml:space="preserve">LS </v>
      </c>
    </row>
    <row r="106" spans="1:28" hidden="1">
      <c r="A106" s="108">
        <f t="shared" si="32"/>
        <v>84</v>
      </c>
      <c r="B106" s="109" t="str">
        <f t="shared" si="33"/>
        <v>May 2016</v>
      </c>
      <c r="C106" s="110" t="str">
        <f t="shared" si="34"/>
        <v>RLS</v>
      </c>
      <c r="D106" s="110" t="str">
        <f t="shared" si="35"/>
        <v>LE_951BASE</v>
      </c>
      <c r="E106" s="569">
        <f t="shared" si="41"/>
        <v>195</v>
      </c>
      <c r="F106" s="116">
        <f>SUMIF(PoleRates!$E$4:$E$131,$U106,PoleRates!$F$4:$F$131)</f>
        <v>3.73</v>
      </c>
      <c r="G106" s="118">
        <f t="shared" si="28"/>
        <v>727.35</v>
      </c>
      <c r="H106" s="118">
        <f t="shared" si="29"/>
        <v>727.35</v>
      </c>
      <c r="I106" s="570">
        <f t="shared" si="24"/>
        <v>0</v>
      </c>
      <c r="J106" s="121">
        <f t="shared" si="36"/>
        <v>0</v>
      </c>
      <c r="K106" s="122">
        <f t="shared" si="25"/>
        <v>0</v>
      </c>
      <c r="L106" s="123">
        <f t="shared" si="37"/>
        <v>727.35</v>
      </c>
      <c r="M106" s="123">
        <f t="shared" si="38"/>
        <v>-727.35</v>
      </c>
      <c r="T106" s="109">
        <f>IF(Z106=1,IF(T105=MiscData!$F$1,EOMONTH(T105,-11),EOMONTH(T105,1)),T105)</f>
        <v>42521</v>
      </c>
      <c r="U106" s="108" t="str">
        <f t="shared" si="39"/>
        <v>20140101LE_951BASE</v>
      </c>
      <c r="V106" s="126" t="str">
        <f t="shared" si="40"/>
        <v>20140101RLS</v>
      </c>
      <c r="Y106" s="98">
        <f>MiscData!$X$5</f>
        <v>20140101</v>
      </c>
      <c r="Z106" s="98">
        <f>IF(Z105+1&gt;MiscData!$AF$28,1,Z105+1)</f>
        <v>9</v>
      </c>
      <c r="AA106" s="98" t="str">
        <f>VLOOKUP(Z106,MiscData!$AF$5:$AG$28,2,FALSE)</f>
        <v>LE_951BASE</v>
      </c>
      <c r="AB106" s="98" t="str">
        <f>VLOOKUP(Z106,MiscData!$AF$5:$AH$28,3,FALSE)</f>
        <v>RLS</v>
      </c>
    </row>
    <row r="107" spans="1:28" hidden="1">
      <c r="A107" s="108">
        <f t="shared" si="32"/>
        <v>84</v>
      </c>
      <c r="B107" s="109" t="str">
        <f t="shared" si="33"/>
        <v>May 2016</v>
      </c>
      <c r="C107" s="110" t="str">
        <f t="shared" si="34"/>
        <v xml:space="preserve">LS </v>
      </c>
      <c r="D107" s="110" t="str">
        <f t="shared" si="35"/>
        <v>LE_951BASE</v>
      </c>
      <c r="E107" s="569">
        <f t="shared" si="41"/>
        <v>71</v>
      </c>
      <c r="F107" s="116">
        <f>SUMIF(PoleRates!$E$4:$E$131,$U107,PoleRates!$F$4:$F$131)</f>
        <v>3.73</v>
      </c>
      <c r="G107" s="118">
        <f t="shared" si="28"/>
        <v>264.83</v>
      </c>
      <c r="H107" s="118">
        <f t="shared" si="29"/>
        <v>264.83</v>
      </c>
      <c r="I107" s="570">
        <f t="shared" si="24"/>
        <v>0</v>
      </c>
      <c r="J107" s="121">
        <f t="shared" si="36"/>
        <v>0</v>
      </c>
      <c r="K107" s="122">
        <f t="shared" si="25"/>
        <v>0</v>
      </c>
      <c r="L107" s="123">
        <f t="shared" si="37"/>
        <v>264.83</v>
      </c>
      <c r="M107" s="123">
        <f t="shared" si="38"/>
        <v>-264.83</v>
      </c>
      <c r="T107" s="109">
        <f>IF(Z107=1,IF(T106=MiscData!$F$1,EOMONTH(T106,-11),EOMONTH(T106,1)),T106)</f>
        <v>42521</v>
      </c>
      <c r="U107" s="108" t="str">
        <f t="shared" si="39"/>
        <v>20140101LE_951BASE</v>
      </c>
      <c r="V107" s="126" t="str">
        <f t="shared" si="40"/>
        <v xml:space="preserve">20140101LS </v>
      </c>
      <c r="Y107" s="98">
        <f>MiscData!$X$5</f>
        <v>20140101</v>
      </c>
      <c r="Z107" s="98">
        <f>IF(Z106+1&gt;MiscData!$AF$28,1,Z106+1)</f>
        <v>10</v>
      </c>
      <c r="AA107" s="98" t="str">
        <f>VLOOKUP(Z107,MiscData!$AF$5:$AG$28,2,FALSE)</f>
        <v>LE_951BASE</v>
      </c>
      <c r="AB107" s="98" t="str">
        <f>VLOOKUP(Z107,MiscData!$AF$5:$AH$28,3,FALSE)</f>
        <v xml:space="preserve">LS </v>
      </c>
    </row>
    <row r="108" spans="1:28">
      <c r="A108" s="108">
        <f t="shared" si="32"/>
        <v>85</v>
      </c>
      <c r="B108" s="109" t="str">
        <f t="shared" si="33"/>
        <v>May 2016</v>
      </c>
      <c r="C108" s="110" t="str">
        <f t="shared" si="34"/>
        <v>RLS</v>
      </c>
      <c r="D108" s="110" t="str">
        <f t="shared" si="35"/>
        <v>LE_952BASE</v>
      </c>
      <c r="E108" s="569">
        <f t="shared" si="41"/>
        <v>0</v>
      </c>
      <c r="F108" s="116">
        <f>SUMIF(PoleRates!$E$4:$E$131,$U108,PoleRates!$F$4:$F$131)</f>
        <v>3.56</v>
      </c>
      <c r="G108" s="118">
        <f t="shared" si="28"/>
        <v>0</v>
      </c>
      <c r="H108" s="118">
        <f t="shared" si="29"/>
        <v>0</v>
      </c>
      <c r="I108" s="570">
        <f t="shared" si="24"/>
        <v>0</v>
      </c>
      <c r="J108" s="121">
        <f t="shared" si="36"/>
        <v>1</v>
      </c>
      <c r="K108" s="122">
        <f t="shared" si="25"/>
        <v>0</v>
      </c>
      <c r="L108" s="123">
        <f t="shared" si="37"/>
        <v>0</v>
      </c>
      <c r="M108" s="123">
        <f t="shared" si="38"/>
        <v>0</v>
      </c>
      <c r="T108" s="109">
        <f>IF(Z108=1,IF(T107=MiscData!$F$1,EOMONTH(T107,-11),EOMONTH(T107,1)),T107)</f>
        <v>42521</v>
      </c>
      <c r="U108" s="108" t="str">
        <f t="shared" si="39"/>
        <v>20140101LE_952BASE</v>
      </c>
      <c r="V108" s="126" t="str">
        <f t="shared" si="40"/>
        <v>20140101RLS</v>
      </c>
      <c r="Y108" s="98">
        <f>MiscData!$X$5</f>
        <v>20140101</v>
      </c>
      <c r="Z108" s="98">
        <f>IF(Z107+1&gt;MiscData!$AF$28,1,Z107+1)</f>
        <v>11</v>
      </c>
      <c r="AA108" s="98" t="str">
        <f>VLOOKUP(Z108,MiscData!$AF$5:$AG$28,2,FALSE)</f>
        <v>LE_952BASE</v>
      </c>
      <c r="AB108" s="98" t="str">
        <f>VLOOKUP(Z108,MiscData!$AF$5:$AH$28,3,FALSE)</f>
        <v>RLS</v>
      </c>
    </row>
    <row r="109" spans="1:28" hidden="1">
      <c r="A109" s="108">
        <f t="shared" si="32"/>
        <v>85</v>
      </c>
      <c r="B109" s="109" t="str">
        <f t="shared" si="33"/>
        <v>May 2016</v>
      </c>
      <c r="C109" s="110" t="str">
        <f t="shared" si="34"/>
        <v xml:space="preserve">LS </v>
      </c>
      <c r="D109" s="110" t="str">
        <f t="shared" si="35"/>
        <v>LE_952BASE</v>
      </c>
      <c r="E109" s="569">
        <f t="shared" si="41"/>
        <v>0</v>
      </c>
      <c r="F109" s="116">
        <f>SUMIF(PoleRates!$E$4:$E$131,$U109,PoleRates!$F$4:$F$131)</f>
        <v>3.56</v>
      </c>
      <c r="G109" s="118">
        <f t="shared" si="28"/>
        <v>0</v>
      </c>
      <c r="H109" s="118">
        <f t="shared" si="29"/>
        <v>0</v>
      </c>
      <c r="I109" s="570">
        <f t="shared" si="24"/>
        <v>0</v>
      </c>
      <c r="J109" s="121">
        <f t="shared" si="36"/>
        <v>1</v>
      </c>
      <c r="K109" s="122">
        <f t="shared" si="25"/>
        <v>0</v>
      </c>
      <c r="L109" s="123">
        <f t="shared" si="37"/>
        <v>0</v>
      </c>
      <c r="M109" s="123">
        <f t="shared" si="38"/>
        <v>0</v>
      </c>
      <c r="T109" s="109">
        <f>IF(Z109=1,IF(T108=MiscData!$F$1,EOMONTH(T108,-11),EOMONTH(T108,1)),T108)</f>
        <v>42521</v>
      </c>
      <c r="U109" s="108" t="str">
        <f t="shared" si="39"/>
        <v>20140101LE_952BASE</v>
      </c>
      <c r="V109" s="126" t="str">
        <f t="shared" si="40"/>
        <v xml:space="preserve">20140101LS </v>
      </c>
      <c r="Y109" s="98">
        <f>MiscData!$X$5</f>
        <v>20140101</v>
      </c>
      <c r="Z109" s="98">
        <f>IF(Z108+1&gt;MiscData!$AF$28,1,Z108+1)</f>
        <v>12</v>
      </c>
      <c r="AA109" s="98" t="str">
        <f>VLOOKUP(Z109,MiscData!$AF$5:$AG$28,2,FALSE)</f>
        <v>LE_952BASE</v>
      </c>
      <c r="AB109" s="98" t="str">
        <f>VLOOKUP(Z109,MiscData!$AF$5:$AH$28,3,FALSE)</f>
        <v xml:space="preserve">LS </v>
      </c>
    </row>
    <row r="110" spans="1:28">
      <c r="A110" s="108">
        <f t="shared" si="32"/>
        <v>86</v>
      </c>
      <c r="B110" s="109" t="str">
        <f t="shared" si="33"/>
        <v>May 2016</v>
      </c>
      <c r="C110" s="110" t="str">
        <f t="shared" si="34"/>
        <v>RLS</v>
      </c>
      <c r="D110" s="110" t="str">
        <f t="shared" si="35"/>
        <v>LE_953BASE</v>
      </c>
      <c r="E110" s="569">
        <f t="shared" si="41"/>
        <v>0</v>
      </c>
      <c r="F110" s="116">
        <f>SUMIF(PoleRates!$E$4:$E$131,$U110,PoleRates!$F$4:$F$131)</f>
        <v>3.73</v>
      </c>
      <c r="G110" s="118">
        <f t="shared" si="28"/>
        <v>0</v>
      </c>
      <c r="H110" s="118">
        <f t="shared" si="29"/>
        <v>0</v>
      </c>
      <c r="I110" s="570">
        <f t="shared" si="24"/>
        <v>0</v>
      </c>
      <c r="J110" s="121">
        <f t="shared" si="36"/>
        <v>1</v>
      </c>
      <c r="K110" s="122">
        <f t="shared" si="25"/>
        <v>0</v>
      </c>
      <c r="L110" s="123">
        <f t="shared" si="37"/>
        <v>0</v>
      </c>
      <c r="M110" s="123">
        <f t="shared" si="38"/>
        <v>0</v>
      </c>
      <c r="T110" s="109">
        <f>IF(Z110=1,IF(T109=MiscData!$F$1,EOMONTH(T109,-11),EOMONTH(T109,1)),T109)</f>
        <v>42521</v>
      </c>
      <c r="U110" s="108" t="str">
        <f t="shared" si="39"/>
        <v>20140101LE_953BASE</v>
      </c>
      <c r="V110" s="126" t="str">
        <f t="shared" si="40"/>
        <v>20140101RLS</v>
      </c>
      <c r="Y110" s="98">
        <f>MiscData!$X$5</f>
        <v>20140101</v>
      </c>
      <c r="Z110" s="98">
        <f>IF(Z109+1&gt;MiscData!$AF$28,1,Z109+1)</f>
        <v>13</v>
      </c>
      <c r="AA110" s="98" t="str">
        <f>VLOOKUP(Z110,MiscData!$AF$5:$AG$28,2,FALSE)</f>
        <v>LE_953BASE</v>
      </c>
      <c r="AB110" s="98" t="str">
        <f>VLOOKUP(Z110,MiscData!$AF$5:$AH$28,3,FALSE)</f>
        <v>RLS</v>
      </c>
    </row>
    <row r="111" spans="1:28" hidden="1">
      <c r="A111" s="108">
        <f t="shared" si="32"/>
        <v>86</v>
      </c>
      <c r="B111" s="109" t="str">
        <f t="shared" si="33"/>
        <v>May 2016</v>
      </c>
      <c r="C111" s="110" t="str">
        <f t="shared" si="34"/>
        <v xml:space="preserve">LS </v>
      </c>
      <c r="D111" s="110" t="str">
        <f t="shared" si="35"/>
        <v>LE_953BASE</v>
      </c>
      <c r="E111" s="569">
        <f t="shared" si="41"/>
        <v>0</v>
      </c>
      <c r="F111" s="116">
        <f>SUMIF(PoleRates!$E$4:$E$131,$U111,PoleRates!$F$4:$F$131)</f>
        <v>3.73</v>
      </c>
      <c r="G111" s="118">
        <f t="shared" si="28"/>
        <v>0</v>
      </c>
      <c r="H111" s="118">
        <f t="shared" si="29"/>
        <v>0</v>
      </c>
      <c r="I111" s="570">
        <f t="shared" si="24"/>
        <v>0</v>
      </c>
      <c r="J111" s="121">
        <f t="shared" si="36"/>
        <v>1</v>
      </c>
      <c r="K111" s="122">
        <f t="shared" si="25"/>
        <v>0</v>
      </c>
      <c r="L111" s="123">
        <f t="shared" si="37"/>
        <v>0</v>
      </c>
      <c r="M111" s="123">
        <f t="shared" si="38"/>
        <v>0</v>
      </c>
      <c r="T111" s="109">
        <f>IF(Z111=1,IF(T110=MiscData!$F$1,EOMONTH(T110,-11),EOMONTH(T110,1)),T110)</f>
        <v>42521</v>
      </c>
      <c r="U111" s="108" t="str">
        <f t="shared" si="39"/>
        <v>20140101LE_953BASE</v>
      </c>
      <c r="V111" s="126" t="str">
        <f t="shared" si="40"/>
        <v xml:space="preserve">20140101LS </v>
      </c>
      <c r="Y111" s="98">
        <f>MiscData!$X$5</f>
        <v>20140101</v>
      </c>
      <c r="Z111" s="98">
        <f>IF(Z110+1&gt;MiscData!$AF$28,1,Z110+1)</f>
        <v>14</v>
      </c>
      <c r="AA111" s="98" t="str">
        <f>VLOOKUP(Z111,MiscData!$AF$5:$AG$28,2,FALSE)</f>
        <v>LE_953BASE</v>
      </c>
      <c r="AB111" s="98" t="str">
        <f>VLOOKUP(Z111,MiscData!$AF$5:$AH$28,3,FALSE)</f>
        <v xml:space="preserve">LS </v>
      </c>
    </row>
    <row r="112" spans="1:28">
      <c r="A112" s="108">
        <f t="shared" si="32"/>
        <v>87</v>
      </c>
      <c r="B112" s="109" t="str">
        <f t="shared" si="33"/>
        <v>May 2016</v>
      </c>
      <c r="C112" s="110" t="str">
        <f t="shared" si="34"/>
        <v>RLS</v>
      </c>
      <c r="D112" s="110" t="str">
        <f t="shared" si="35"/>
        <v>LE_954BASE</v>
      </c>
      <c r="E112" s="569">
        <f t="shared" si="41"/>
        <v>0</v>
      </c>
      <c r="F112" s="116">
        <f>SUMIF(PoleRates!$E$4:$E$131,$U112,PoleRates!$F$4:$F$131)</f>
        <v>3.47</v>
      </c>
      <c r="G112" s="118">
        <f t="shared" si="28"/>
        <v>0</v>
      </c>
      <c r="H112" s="118">
        <f t="shared" si="29"/>
        <v>0</v>
      </c>
      <c r="I112" s="570">
        <f t="shared" si="24"/>
        <v>0</v>
      </c>
      <c r="J112" s="121">
        <f t="shared" si="36"/>
        <v>1</v>
      </c>
      <c r="K112" s="122">
        <f t="shared" si="25"/>
        <v>0</v>
      </c>
      <c r="L112" s="123">
        <f t="shared" si="37"/>
        <v>0</v>
      </c>
      <c r="M112" s="123">
        <f t="shared" si="38"/>
        <v>0</v>
      </c>
      <c r="T112" s="109">
        <f>IF(Z112=1,IF(T111=MiscData!$F$1,EOMONTH(T111,-11),EOMONTH(T111,1)),T111)</f>
        <v>42521</v>
      </c>
      <c r="U112" s="108" t="str">
        <f t="shared" si="39"/>
        <v>20140101LE_954BASE</v>
      </c>
      <c r="V112" s="126" t="str">
        <f t="shared" si="40"/>
        <v>20140101RLS</v>
      </c>
      <c r="Y112" s="98">
        <f>MiscData!$X$5</f>
        <v>20140101</v>
      </c>
      <c r="Z112" s="98">
        <f>IF(Z111+1&gt;MiscData!$AF$28,1,Z111+1)</f>
        <v>15</v>
      </c>
      <c r="AA112" s="98" t="str">
        <f>VLOOKUP(Z112,MiscData!$AF$5:$AG$28,2,FALSE)</f>
        <v>LE_954BASE</v>
      </c>
      <c r="AB112" s="98" t="str">
        <f>VLOOKUP(Z112,MiscData!$AF$5:$AH$28,3,FALSE)</f>
        <v>RLS</v>
      </c>
    </row>
    <row r="113" spans="1:28" hidden="1">
      <c r="A113" s="108">
        <f t="shared" si="32"/>
        <v>87</v>
      </c>
      <c r="B113" s="109" t="str">
        <f t="shared" si="33"/>
        <v>May 2016</v>
      </c>
      <c r="C113" s="110" t="str">
        <f t="shared" si="34"/>
        <v xml:space="preserve">LS </v>
      </c>
      <c r="D113" s="110" t="str">
        <f t="shared" si="35"/>
        <v>LE_954BASE</v>
      </c>
      <c r="E113" s="569">
        <f t="shared" si="41"/>
        <v>0</v>
      </c>
      <c r="F113" s="116">
        <f>SUMIF(PoleRates!$E$4:$E$131,$U113,PoleRates!$F$4:$F$131)</f>
        <v>3.47</v>
      </c>
      <c r="G113" s="118">
        <f t="shared" si="28"/>
        <v>0</v>
      </c>
      <c r="H113" s="118">
        <f t="shared" si="29"/>
        <v>0</v>
      </c>
      <c r="I113" s="570">
        <f t="shared" si="24"/>
        <v>0</v>
      </c>
      <c r="J113" s="121">
        <f t="shared" si="36"/>
        <v>1</v>
      </c>
      <c r="K113" s="122">
        <f t="shared" si="25"/>
        <v>0</v>
      </c>
      <c r="L113" s="123">
        <f t="shared" si="37"/>
        <v>0</v>
      </c>
      <c r="M113" s="123">
        <f t="shared" si="38"/>
        <v>0</v>
      </c>
      <c r="T113" s="109">
        <f>IF(Z113=1,IF(T112=MiscData!$F$1,EOMONTH(T112,-11),EOMONTH(T112,1)),T112)</f>
        <v>42521</v>
      </c>
      <c r="U113" s="108" t="str">
        <f t="shared" si="39"/>
        <v>20140101LE_954BASE</v>
      </c>
      <c r="V113" s="126" t="str">
        <f t="shared" si="40"/>
        <v xml:space="preserve">20140101LS </v>
      </c>
      <c r="Y113" s="98">
        <f>MiscData!$X$5</f>
        <v>20140101</v>
      </c>
      <c r="Z113" s="98">
        <f>IF(Z112+1&gt;MiscData!$AF$28,1,Z112+1)</f>
        <v>16</v>
      </c>
      <c r="AA113" s="98" t="str">
        <f>VLOOKUP(Z113,MiscData!$AF$5:$AG$28,2,FALSE)</f>
        <v>LE_954BASE</v>
      </c>
      <c r="AB113" s="98" t="str">
        <f>VLOOKUP(Z113,MiscData!$AF$5:$AH$28,3,FALSE)</f>
        <v xml:space="preserve">LS </v>
      </c>
    </row>
    <row r="114" spans="1:28">
      <c r="A114" s="108">
        <f t="shared" si="32"/>
        <v>88</v>
      </c>
      <c r="B114" s="109" t="str">
        <f t="shared" si="22"/>
        <v>May 2016</v>
      </c>
      <c r="C114" s="110" t="str">
        <f t="shared" ref="C114:C229" si="42">AB114</f>
        <v>RLS</v>
      </c>
      <c r="D114" s="110" t="str">
        <f t="shared" ref="D114:D229" si="43">AA114</f>
        <v>LE_955BASE</v>
      </c>
      <c r="E114" s="569">
        <f t="shared" si="41"/>
        <v>0</v>
      </c>
      <c r="F114" s="116">
        <f>SUMIF(PoleRates!$E$4:$E$131,$U114,PoleRates!$F$4:$F$131)</f>
        <v>3.56</v>
      </c>
      <c r="G114" s="118">
        <f t="shared" si="28"/>
        <v>0</v>
      </c>
      <c r="H114" s="118">
        <f t="shared" si="29"/>
        <v>0</v>
      </c>
      <c r="I114" s="570">
        <f t="shared" si="24"/>
        <v>0</v>
      </c>
      <c r="J114" s="121">
        <f t="shared" si="17"/>
        <v>1</v>
      </c>
      <c r="K114" s="122">
        <f t="shared" si="25"/>
        <v>0</v>
      </c>
      <c r="L114" s="123">
        <f t="shared" ref="L114:L229" si="44">H114</f>
        <v>0</v>
      </c>
      <c r="M114" s="123">
        <f t="shared" si="30"/>
        <v>0</v>
      </c>
      <c r="T114" s="109">
        <f>IF(Z114=1,IF(T113=MiscData!$F$1,EOMONTH(T113,-11),EOMONTH(T113,1)),T113)</f>
        <v>42521</v>
      </c>
      <c r="U114" s="108" t="str">
        <f t="shared" si="20"/>
        <v>20140101LE_955BASE</v>
      </c>
      <c r="V114" s="126" t="str">
        <f t="shared" si="21"/>
        <v>20140101RLS</v>
      </c>
      <c r="Y114" s="98">
        <f>MiscData!$X$5</f>
        <v>20140101</v>
      </c>
      <c r="Z114" s="98">
        <f>IF(Z113+1&gt;MiscData!$AF$28,1,Z113+1)</f>
        <v>17</v>
      </c>
      <c r="AA114" s="98" t="str">
        <f>VLOOKUP(Z114,MiscData!$AF$5:$AG$28,2,FALSE)</f>
        <v>LE_955BASE</v>
      </c>
      <c r="AB114" s="98" t="str">
        <f>VLOOKUP(Z114,MiscData!$AF$5:$AH$28,3,FALSE)</f>
        <v>RLS</v>
      </c>
    </row>
    <row r="115" spans="1:28" hidden="1">
      <c r="A115" s="108">
        <f t="shared" si="32"/>
        <v>88</v>
      </c>
      <c r="B115" s="109" t="str">
        <f t="shared" si="22"/>
        <v>May 2016</v>
      </c>
      <c r="C115" s="110" t="str">
        <f t="shared" si="42"/>
        <v xml:space="preserve">LS </v>
      </c>
      <c r="D115" s="110" t="str">
        <f t="shared" si="43"/>
        <v>LE_955BASE</v>
      </c>
      <c r="E115" s="569">
        <f t="shared" si="41"/>
        <v>0</v>
      </c>
      <c r="F115" s="116">
        <f>SUMIF(PoleRates!$E$4:$E$131,$U115,PoleRates!$F$4:$F$131)</f>
        <v>3.56</v>
      </c>
      <c r="G115" s="118">
        <f t="shared" si="28"/>
        <v>0</v>
      </c>
      <c r="H115" s="118">
        <f t="shared" si="29"/>
        <v>0</v>
      </c>
      <c r="I115" s="570">
        <f t="shared" si="24"/>
        <v>0</v>
      </c>
      <c r="J115" s="121">
        <f t="shared" si="17"/>
        <v>1</v>
      </c>
      <c r="K115" s="122">
        <f t="shared" si="25"/>
        <v>0</v>
      </c>
      <c r="L115" s="123">
        <f t="shared" si="44"/>
        <v>0</v>
      </c>
      <c r="M115" s="123">
        <f t="shared" si="30"/>
        <v>0</v>
      </c>
      <c r="T115" s="109">
        <f>IF(Z115=1,IF(T114=MiscData!$F$1,EOMONTH(T114,-11),EOMONTH(T114,1)),T114)</f>
        <v>42521</v>
      </c>
      <c r="U115" s="108" t="str">
        <f t="shared" si="20"/>
        <v>20140101LE_955BASE</v>
      </c>
      <c r="V115" s="126" t="str">
        <f t="shared" si="21"/>
        <v xml:space="preserve">20140101LS </v>
      </c>
      <c r="Y115" s="98">
        <f>MiscData!$X$5</f>
        <v>20140101</v>
      </c>
      <c r="Z115" s="98">
        <f>IF(Z114+1&gt;MiscData!$AF$28,1,Z114+1)</f>
        <v>18</v>
      </c>
      <c r="AA115" s="98" t="str">
        <f>VLOOKUP(Z115,MiscData!$AF$5:$AG$28,2,FALSE)</f>
        <v>LE_955BASE</v>
      </c>
      <c r="AB115" s="98" t="str">
        <f>VLOOKUP(Z115,MiscData!$AF$5:$AH$28,3,FALSE)</f>
        <v xml:space="preserve">LS </v>
      </c>
    </row>
    <row r="116" spans="1:28" hidden="1">
      <c r="A116" s="108">
        <f t="shared" si="32"/>
        <v>89</v>
      </c>
      <c r="B116" s="109" t="str">
        <f t="shared" si="22"/>
        <v>May 2016</v>
      </c>
      <c r="C116" s="110" t="str">
        <f t="shared" si="42"/>
        <v>RLS</v>
      </c>
      <c r="D116" s="110" t="str">
        <f t="shared" si="43"/>
        <v>LE_956BASE</v>
      </c>
      <c r="E116" s="569">
        <f t="shared" si="41"/>
        <v>239</v>
      </c>
      <c r="F116" s="116">
        <f>SUMIF(PoleRates!$E$4:$E$131,$U116,PoleRates!$F$4:$F$131)</f>
        <v>3.56</v>
      </c>
      <c r="G116" s="118">
        <f t="shared" si="28"/>
        <v>850.84</v>
      </c>
      <c r="H116" s="118">
        <f t="shared" si="29"/>
        <v>850.84</v>
      </c>
      <c r="I116" s="570">
        <f t="shared" si="24"/>
        <v>0</v>
      </c>
      <c r="J116" s="121">
        <f t="shared" si="17"/>
        <v>0</v>
      </c>
      <c r="K116" s="122">
        <f t="shared" si="25"/>
        <v>0</v>
      </c>
      <c r="L116" s="123">
        <f t="shared" si="44"/>
        <v>850.84</v>
      </c>
      <c r="M116" s="123">
        <f t="shared" si="30"/>
        <v>-850.84</v>
      </c>
      <c r="T116" s="109">
        <f>IF(Z116=1,IF(T115=MiscData!$F$1,EOMONTH(T115,-11),EOMONTH(T115,1)),T115)</f>
        <v>42521</v>
      </c>
      <c r="U116" s="108" t="str">
        <f t="shared" si="20"/>
        <v>20140101LE_956BASE</v>
      </c>
      <c r="V116" s="126" t="str">
        <f t="shared" si="21"/>
        <v>20140101RLS</v>
      </c>
      <c r="Y116" s="98">
        <f>MiscData!$X$5</f>
        <v>20140101</v>
      </c>
      <c r="Z116" s="98">
        <f>IF(Z115+1&gt;MiscData!$AF$28,1,Z115+1)</f>
        <v>19</v>
      </c>
      <c r="AA116" s="98" t="str">
        <f>VLOOKUP(Z116,MiscData!$AF$5:$AG$28,2,FALSE)</f>
        <v>LE_956BASE</v>
      </c>
      <c r="AB116" s="98" t="str">
        <f>VLOOKUP(Z116,MiscData!$AF$5:$AH$28,3,FALSE)</f>
        <v>RLS</v>
      </c>
    </row>
    <row r="117" spans="1:28" hidden="1">
      <c r="A117" s="108">
        <f t="shared" si="32"/>
        <v>89</v>
      </c>
      <c r="B117" s="109" t="str">
        <f t="shared" si="22"/>
        <v>May 2016</v>
      </c>
      <c r="C117" s="110" t="str">
        <f t="shared" si="42"/>
        <v xml:space="preserve">LS </v>
      </c>
      <c r="D117" s="110" t="str">
        <f t="shared" si="43"/>
        <v>LE_956BASE</v>
      </c>
      <c r="E117" s="569">
        <f t="shared" si="41"/>
        <v>307</v>
      </c>
      <c r="F117" s="116">
        <f>SUMIF(PoleRates!$E$4:$E$131,$U117,PoleRates!$F$4:$F$131)</f>
        <v>3.56</v>
      </c>
      <c r="G117" s="118">
        <f t="shared" si="28"/>
        <v>1092.92</v>
      </c>
      <c r="H117" s="118">
        <f t="shared" si="29"/>
        <v>1092.92</v>
      </c>
      <c r="I117" s="570">
        <f t="shared" si="24"/>
        <v>0</v>
      </c>
      <c r="J117" s="121">
        <f t="shared" si="17"/>
        <v>0</v>
      </c>
      <c r="K117" s="122">
        <f t="shared" si="25"/>
        <v>0</v>
      </c>
      <c r="L117" s="123">
        <f t="shared" si="44"/>
        <v>1092.92</v>
      </c>
      <c r="M117" s="123">
        <f t="shared" si="30"/>
        <v>-1092.92</v>
      </c>
      <c r="T117" s="109">
        <f>IF(Z117=1,IF(T116=MiscData!$F$1,EOMONTH(T116,-11),EOMONTH(T116,1)),T116)</f>
        <v>42521</v>
      </c>
      <c r="U117" s="108" t="str">
        <f t="shared" si="20"/>
        <v>20140101LE_956BASE</v>
      </c>
      <c r="V117" s="126" t="str">
        <f t="shared" si="21"/>
        <v xml:space="preserve">20140101LS </v>
      </c>
      <c r="Y117" s="98">
        <f>MiscData!$X$5</f>
        <v>20140101</v>
      </c>
      <c r="Z117" s="98">
        <f>IF(Z116+1&gt;MiscData!$AF$28,1,Z116+1)</f>
        <v>20</v>
      </c>
      <c r="AA117" s="98" t="str">
        <f>VLOOKUP(Z117,MiscData!$AF$5:$AG$28,2,FALSE)</f>
        <v>LE_956BASE</v>
      </c>
      <c r="AB117" s="98" t="str">
        <f>VLOOKUP(Z117,MiscData!$AF$5:$AH$28,3,FALSE)</f>
        <v xml:space="preserve">LS </v>
      </c>
    </row>
    <row r="118" spans="1:28">
      <c r="A118" s="108">
        <f t="shared" si="32"/>
        <v>90</v>
      </c>
      <c r="B118" s="109" t="str">
        <f t="shared" si="22"/>
        <v>May 2016</v>
      </c>
      <c r="C118" s="110" t="str">
        <f t="shared" si="42"/>
        <v>RLS</v>
      </c>
      <c r="D118" s="110" t="str">
        <f t="shared" si="43"/>
        <v>LE_957BASE</v>
      </c>
      <c r="E118" s="569">
        <f t="shared" si="41"/>
        <v>0</v>
      </c>
      <c r="F118" s="116">
        <f>SUMIF(PoleRates!$E$4:$E$131,$U118,PoleRates!$F$4:$F$131)</f>
        <v>3.56</v>
      </c>
      <c r="G118" s="118">
        <f t="shared" si="28"/>
        <v>0</v>
      </c>
      <c r="H118" s="118">
        <f t="shared" si="29"/>
        <v>0</v>
      </c>
      <c r="I118" s="570">
        <f t="shared" si="24"/>
        <v>0</v>
      </c>
      <c r="J118" s="121">
        <f t="shared" si="17"/>
        <v>1</v>
      </c>
      <c r="K118" s="122">
        <f t="shared" si="25"/>
        <v>0</v>
      </c>
      <c r="L118" s="123">
        <f t="shared" si="44"/>
        <v>0</v>
      </c>
      <c r="M118" s="123">
        <f t="shared" si="30"/>
        <v>0</v>
      </c>
      <c r="T118" s="109">
        <f>IF(Z118=1,IF(T117=MiscData!$F$1,EOMONTH(T117,-11),EOMONTH(T117,1)),T117)</f>
        <v>42521</v>
      </c>
      <c r="U118" s="108" t="str">
        <f t="shared" si="20"/>
        <v>20140101LE_957BASE</v>
      </c>
      <c r="V118" s="126" t="str">
        <f t="shared" si="21"/>
        <v>20140101RLS</v>
      </c>
      <c r="Y118" s="98">
        <f>MiscData!$X$5</f>
        <v>20140101</v>
      </c>
      <c r="Z118" s="98">
        <f>IF(Z117+1&gt;MiscData!$AF$28,1,Z117+1)</f>
        <v>21</v>
      </c>
      <c r="AA118" s="98" t="str">
        <f>VLOOKUP(Z118,MiscData!$AF$5:$AG$28,2,FALSE)</f>
        <v>LE_957BASE</v>
      </c>
      <c r="AB118" s="98" t="str">
        <f>VLOOKUP(Z118,MiscData!$AF$5:$AH$28,3,FALSE)</f>
        <v>RLS</v>
      </c>
    </row>
    <row r="119" spans="1:28" hidden="1">
      <c r="A119" s="108">
        <f t="shared" si="32"/>
        <v>90</v>
      </c>
      <c r="B119" s="109" t="str">
        <f t="shared" si="22"/>
        <v>May 2016</v>
      </c>
      <c r="C119" s="110" t="str">
        <f t="shared" si="42"/>
        <v xml:space="preserve">LS </v>
      </c>
      <c r="D119" s="110" t="str">
        <f t="shared" si="43"/>
        <v>LE_957BASE</v>
      </c>
      <c r="E119" s="569">
        <f t="shared" si="41"/>
        <v>0</v>
      </c>
      <c r="F119" s="116">
        <f>SUMIF(PoleRates!$E$4:$E$131,$U119,PoleRates!$F$4:$F$131)</f>
        <v>3.56</v>
      </c>
      <c r="G119" s="118">
        <f t="shared" si="28"/>
        <v>0</v>
      </c>
      <c r="H119" s="118">
        <f t="shared" si="29"/>
        <v>0</v>
      </c>
      <c r="I119" s="570">
        <f t="shared" si="24"/>
        <v>0</v>
      </c>
      <c r="J119" s="121">
        <f t="shared" si="17"/>
        <v>1</v>
      </c>
      <c r="K119" s="122">
        <f t="shared" si="25"/>
        <v>0</v>
      </c>
      <c r="L119" s="123">
        <f t="shared" si="44"/>
        <v>0</v>
      </c>
      <c r="M119" s="123">
        <f t="shared" si="30"/>
        <v>0</v>
      </c>
      <c r="T119" s="109">
        <f>IF(Z119=1,IF(T118=MiscData!$F$1,EOMONTH(T118,-11),EOMONTH(T118,1)),T118)</f>
        <v>42521</v>
      </c>
      <c r="U119" s="108" t="str">
        <f t="shared" si="20"/>
        <v>20140101LE_957BASE</v>
      </c>
      <c r="V119" s="126" t="str">
        <f t="shared" si="21"/>
        <v xml:space="preserve">20140101LS </v>
      </c>
      <c r="Y119" s="98">
        <f>MiscData!$X$5</f>
        <v>20140101</v>
      </c>
      <c r="Z119" s="98">
        <f>IF(Z118+1&gt;MiscData!$AF$28,1,Z118+1)</f>
        <v>22</v>
      </c>
      <c r="AA119" s="98" t="str">
        <f>VLOOKUP(Z119,MiscData!$AF$5:$AG$28,2,FALSE)</f>
        <v>LE_957BASE</v>
      </c>
      <c r="AB119" s="98" t="str">
        <f>VLOOKUP(Z119,MiscData!$AF$5:$AH$28,3,FALSE)</f>
        <v xml:space="preserve">LS </v>
      </c>
    </row>
    <row r="120" spans="1:28" hidden="1">
      <c r="A120" s="108">
        <f t="shared" si="32"/>
        <v>91</v>
      </c>
      <c r="B120" s="109" t="str">
        <f t="shared" si="22"/>
        <v>May 2016</v>
      </c>
      <c r="C120" s="110" t="str">
        <f t="shared" si="42"/>
        <v>RLS</v>
      </c>
      <c r="D120" s="110" t="str">
        <f t="shared" si="43"/>
        <v>LE_958POLE</v>
      </c>
      <c r="E120" s="569">
        <f t="shared" si="41"/>
        <v>37</v>
      </c>
      <c r="F120" s="116">
        <f>SUMIF(PoleRates!$E$4:$E$131,$U120,PoleRates!$F$4:$F$131)</f>
        <v>11.31</v>
      </c>
      <c r="G120" s="118">
        <f t="shared" si="28"/>
        <v>418.47</v>
      </c>
      <c r="H120" s="118">
        <f t="shared" si="29"/>
        <v>418.47</v>
      </c>
      <c r="I120" s="570">
        <f t="shared" si="24"/>
        <v>0</v>
      </c>
      <c r="J120" s="121">
        <f t="shared" si="17"/>
        <v>0</v>
      </c>
      <c r="K120" s="122">
        <f t="shared" si="25"/>
        <v>0</v>
      </c>
      <c r="L120" s="123">
        <f t="shared" si="44"/>
        <v>418.47</v>
      </c>
      <c r="M120" s="123">
        <f t="shared" si="30"/>
        <v>-418.47</v>
      </c>
      <c r="T120" s="109">
        <f>IF(Z120=1,IF(T119=MiscData!$F$1,EOMONTH(T119,-11),EOMONTH(T119,1)),T119)</f>
        <v>42521</v>
      </c>
      <c r="U120" s="108" t="str">
        <f t="shared" si="20"/>
        <v>20140101LE_958POLE</v>
      </c>
      <c r="V120" s="126" t="str">
        <f t="shared" si="21"/>
        <v>20140101RLS</v>
      </c>
      <c r="Y120" s="98">
        <f>MiscData!$X$5</f>
        <v>20140101</v>
      </c>
      <c r="Z120" s="98">
        <f>IF(Z119+1&gt;MiscData!$AF$28,1,Z119+1)</f>
        <v>23</v>
      </c>
      <c r="AA120" s="98" t="str">
        <f>VLOOKUP(Z120,MiscData!$AF$5:$AG$28,2,FALSE)</f>
        <v>LE_958POLE</v>
      </c>
      <c r="AB120" s="98" t="str">
        <f>VLOOKUP(Z120,MiscData!$AF$5:$AH$28,3,FALSE)</f>
        <v>RLS</v>
      </c>
    </row>
    <row r="121" spans="1:28" hidden="1">
      <c r="A121" s="108">
        <f t="shared" si="32"/>
        <v>91</v>
      </c>
      <c r="B121" s="109" t="str">
        <f t="shared" si="22"/>
        <v>May 2016</v>
      </c>
      <c r="C121" s="110" t="str">
        <f t="shared" si="42"/>
        <v xml:space="preserve">LS </v>
      </c>
      <c r="D121" s="110" t="str">
        <f t="shared" si="43"/>
        <v>LE_958POLE</v>
      </c>
      <c r="E121" s="569">
        <f t="shared" si="41"/>
        <v>421</v>
      </c>
      <c r="F121" s="116">
        <f>SUMIF(PoleRates!$E$4:$E$131,$U121,PoleRates!$F$4:$F$131)</f>
        <v>11.31</v>
      </c>
      <c r="G121" s="118">
        <f t="shared" si="28"/>
        <v>4761.51</v>
      </c>
      <c r="H121" s="118">
        <f t="shared" si="29"/>
        <v>4761.51</v>
      </c>
      <c r="I121" s="570">
        <f t="shared" si="24"/>
        <v>0</v>
      </c>
      <c r="J121" s="121">
        <f t="shared" si="17"/>
        <v>0</v>
      </c>
      <c r="K121" s="122">
        <f t="shared" si="25"/>
        <v>0</v>
      </c>
      <c r="L121" s="123">
        <f t="shared" si="44"/>
        <v>4761.51</v>
      </c>
      <c r="M121" s="123">
        <f t="shared" si="30"/>
        <v>-4761.51</v>
      </c>
      <c r="T121" s="109">
        <f>IF(Z121=1,IF(T120=MiscData!$F$1,EOMONTH(T120,-11),EOMONTH(T120,1)),T120)</f>
        <v>42521</v>
      </c>
      <c r="U121" s="108" t="str">
        <f t="shared" si="20"/>
        <v>20140101LE_958POLE</v>
      </c>
      <c r="V121" s="126" t="str">
        <f t="shared" si="21"/>
        <v xml:space="preserve">20140101LS </v>
      </c>
      <c r="Y121" s="98">
        <f>MiscData!$X$5</f>
        <v>20140101</v>
      </c>
      <c r="Z121" s="98">
        <f>IF(Z120+1&gt;MiscData!$AF$28,1,Z120+1)</f>
        <v>24</v>
      </c>
      <c r="AA121" s="98" t="str">
        <f>VLOOKUP(Z121,MiscData!$AF$5:$AG$28,2,FALSE)</f>
        <v>LE_958POLE</v>
      </c>
      <c r="AB121" s="98" t="str">
        <f>VLOOKUP(Z121,MiscData!$AF$5:$AH$28,3,FALSE)</f>
        <v xml:space="preserve">LS </v>
      </c>
    </row>
    <row r="122" spans="1:28" hidden="1">
      <c r="A122" s="108">
        <f t="shared" si="32"/>
        <v>92</v>
      </c>
      <c r="B122" s="109" t="str">
        <f t="shared" si="22"/>
        <v>Jun 2016</v>
      </c>
      <c r="C122" s="110" t="str">
        <f t="shared" si="42"/>
        <v>RLS</v>
      </c>
      <c r="D122" s="110" t="str">
        <f t="shared" si="43"/>
        <v>LE_900POLE</v>
      </c>
      <c r="E122" s="569">
        <f t="shared" si="41"/>
        <v>1627</v>
      </c>
      <c r="F122" s="116">
        <f>SUMIF(PoleRates!$E$4:$E$131,$U122,PoleRates!$F$4:$F$131)</f>
        <v>2.06</v>
      </c>
      <c r="G122" s="118">
        <f t="shared" si="28"/>
        <v>3351.62</v>
      </c>
      <c r="H122" s="118">
        <f t="shared" si="29"/>
        <v>3351.62</v>
      </c>
      <c r="I122" s="570">
        <f t="shared" si="24"/>
        <v>0</v>
      </c>
      <c r="J122" s="121">
        <f t="shared" si="17"/>
        <v>0</v>
      </c>
      <c r="K122" s="122">
        <f t="shared" si="25"/>
        <v>0</v>
      </c>
      <c r="L122" s="123">
        <f t="shared" si="44"/>
        <v>3351.62</v>
      </c>
      <c r="M122" s="123">
        <f t="shared" si="30"/>
        <v>-3351.62</v>
      </c>
      <c r="T122" s="109">
        <f>IF(Z122=1,IF(T121=MiscData!$F$1,EOMONTH(T121,-11),EOMONTH(T121,1)),T121)</f>
        <v>42551</v>
      </c>
      <c r="U122" s="108" t="str">
        <f t="shared" si="20"/>
        <v>20140101LE_900POLE</v>
      </c>
      <c r="V122" s="126" t="str">
        <f t="shared" si="21"/>
        <v>20140101RLS</v>
      </c>
      <c r="Y122" s="98">
        <f>MiscData!$X$5</f>
        <v>20140101</v>
      </c>
      <c r="Z122" s="98">
        <f>IF(Z121+1&gt;MiscData!$AF$28,1,Z121+1)</f>
        <v>1</v>
      </c>
      <c r="AA122" s="98" t="str">
        <f>VLOOKUP(Z122,MiscData!$AF$5:$AG$28,2,FALSE)</f>
        <v>LE_900POLE</v>
      </c>
      <c r="AB122" s="98" t="str">
        <f>VLOOKUP(Z122,MiscData!$AF$5:$AH$28,3,FALSE)</f>
        <v>RLS</v>
      </c>
    </row>
    <row r="123" spans="1:28" hidden="1">
      <c r="A123" s="108">
        <f t="shared" si="32"/>
        <v>92</v>
      </c>
      <c r="B123" s="109" t="str">
        <f t="shared" si="22"/>
        <v>Jun 2016</v>
      </c>
      <c r="C123" s="110" t="str">
        <f t="shared" si="42"/>
        <v xml:space="preserve">LS </v>
      </c>
      <c r="D123" s="110" t="str">
        <f t="shared" si="43"/>
        <v>LE_900POLE</v>
      </c>
      <c r="E123" s="569">
        <f t="shared" si="41"/>
        <v>5212</v>
      </c>
      <c r="F123" s="116">
        <f>SUMIF(PoleRates!$E$4:$E$131,$U123,PoleRates!$F$4:$F$131)</f>
        <v>2.06</v>
      </c>
      <c r="G123" s="118">
        <f t="shared" si="28"/>
        <v>10736.72</v>
      </c>
      <c r="H123" s="118">
        <f t="shared" si="29"/>
        <v>10736.72</v>
      </c>
      <c r="I123" s="570">
        <f t="shared" si="24"/>
        <v>0</v>
      </c>
      <c r="J123" s="121">
        <f t="shared" si="17"/>
        <v>0</v>
      </c>
      <c r="K123" s="122">
        <f t="shared" si="25"/>
        <v>0</v>
      </c>
      <c r="L123" s="123">
        <f t="shared" si="44"/>
        <v>10736.72</v>
      </c>
      <c r="M123" s="123">
        <f t="shared" si="30"/>
        <v>-10736.72</v>
      </c>
      <c r="T123" s="109">
        <f>IF(Z123=1,IF(T122=MiscData!$F$1,EOMONTH(T122,-11),EOMONTH(T122,1)),T122)</f>
        <v>42551</v>
      </c>
      <c r="U123" s="108" t="str">
        <f t="shared" si="20"/>
        <v>20140101LE_900POLE</v>
      </c>
      <c r="V123" s="126" t="str">
        <f t="shared" si="21"/>
        <v xml:space="preserve">20140101LS </v>
      </c>
      <c r="Y123" s="98">
        <f>MiscData!$X$5</f>
        <v>20140101</v>
      </c>
      <c r="Z123" s="98">
        <f>IF(Z122+1&gt;MiscData!$AF$28,1,Z122+1)</f>
        <v>2</v>
      </c>
      <c r="AA123" s="98" t="str">
        <f>VLOOKUP(Z123,MiscData!$AF$5:$AG$28,2,FALSE)</f>
        <v>LE_900POLE</v>
      </c>
      <c r="AB123" s="98" t="str">
        <f>VLOOKUP(Z123,MiscData!$AF$5:$AH$28,3,FALSE)</f>
        <v xml:space="preserve">LS </v>
      </c>
    </row>
    <row r="124" spans="1:28" hidden="1">
      <c r="A124" s="108">
        <f t="shared" si="32"/>
        <v>93</v>
      </c>
      <c r="B124" s="109" t="str">
        <f t="shared" si="22"/>
        <v>Jun 2016</v>
      </c>
      <c r="C124" s="110" t="str">
        <f t="shared" si="42"/>
        <v>RLS</v>
      </c>
      <c r="D124" s="110" t="str">
        <f t="shared" si="43"/>
        <v>LE_901POLE</v>
      </c>
      <c r="E124" s="569">
        <f t="shared" si="41"/>
        <v>155</v>
      </c>
      <c r="F124" s="116">
        <f>SUMIF(PoleRates!$E$4:$E$131,$U124,PoleRates!$F$4:$F$131)</f>
        <v>10.81</v>
      </c>
      <c r="G124" s="118">
        <f t="shared" si="28"/>
        <v>1675.55</v>
      </c>
      <c r="H124" s="118">
        <f t="shared" si="29"/>
        <v>1675.55</v>
      </c>
      <c r="I124" s="570">
        <f t="shared" si="24"/>
        <v>0</v>
      </c>
      <c r="J124" s="121">
        <f t="shared" si="17"/>
        <v>0</v>
      </c>
      <c r="K124" s="122">
        <f t="shared" si="25"/>
        <v>0</v>
      </c>
      <c r="L124" s="123">
        <f t="shared" si="44"/>
        <v>1675.55</v>
      </c>
      <c r="M124" s="123">
        <f t="shared" si="30"/>
        <v>-1675.55</v>
      </c>
      <c r="T124" s="109">
        <f>IF(Z124=1,IF(T123=MiscData!$F$1,EOMONTH(T123,-11),EOMONTH(T123,1)),T123)</f>
        <v>42551</v>
      </c>
      <c r="U124" s="108" t="str">
        <f t="shared" si="20"/>
        <v>20140101LE_901POLE</v>
      </c>
      <c r="V124" s="126" t="str">
        <f t="shared" si="21"/>
        <v>20140101RLS</v>
      </c>
      <c r="Y124" s="98">
        <f>MiscData!$X$5</f>
        <v>20140101</v>
      </c>
      <c r="Z124" s="98">
        <f>IF(Z123+1&gt;MiscData!$AF$28,1,Z123+1)</f>
        <v>3</v>
      </c>
      <c r="AA124" s="98" t="str">
        <f>VLOOKUP(Z124,MiscData!$AF$5:$AG$28,2,FALSE)</f>
        <v>LE_901POLE</v>
      </c>
      <c r="AB124" s="98" t="str">
        <f>VLOOKUP(Z124,MiscData!$AF$5:$AH$28,3,FALSE)</f>
        <v>RLS</v>
      </c>
    </row>
    <row r="125" spans="1:28" hidden="1">
      <c r="A125" s="108">
        <f t="shared" si="32"/>
        <v>93</v>
      </c>
      <c r="B125" s="109" t="str">
        <f t="shared" si="22"/>
        <v>Jun 2016</v>
      </c>
      <c r="C125" s="110" t="str">
        <f t="shared" si="42"/>
        <v xml:space="preserve">LS </v>
      </c>
      <c r="D125" s="110" t="str">
        <f t="shared" si="43"/>
        <v>LE_901POLE</v>
      </c>
      <c r="E125" s="569">
        <f t="shared" si="41"/>
        <v>0</v>
      </c>
      <c r="F125" s="116">
        <f>SUMIF(PoleRates!$E$4:$E$131,$U125,PoleRates!$F$4:$F$131)</f>
        <v>10.81</v>
      </c>
      <c r="G125" s="118">
        <f t="shared" si="28"/>
        <v>0</v>
      </c>
      <c r="H125" s="118">
        <f t="shared" si="29"/>
        <v>0</v>
      </c>
      <c r="I125" s="570">
        <f t="shared" si="24"/>
        <v>0</v>
      </c>
      <c r="J125" s="121">
        <f t="shared" si="17"/>
        <v>1</v>
      </c>
      <c r="K125" s="122">
        <f t="shared" si="25"/>
        <v>0</v>
      </c>
      <c r="L125" s="123">
        <f t="shared" si="44"/>
        <v>0</v>
      </c>
      <c r="M125" s="123">
        <f t="shared" si="30"/>
        <v>0</v>
      </c>
      <c r="T125" s="109">
        <f>IF(Z125=1,IF(T124=MiscData!$F$1,EOMONTH(T124,-11),EOMONTH(T124,1)),T124)</f>
        <v>42551</v>
      </c>
      <c r="U125" s="108" t="str">
        <f t="shared" si="20"/>
        <v>20140101LE_901POLE</v>
      </c>
      <c r="V125" s="126" t="str">
        <f t="shared" si="21"/>
        <v xml:space="preserve">20140101LS </v>
      </c>
      <c r="Y125" s="98">
        <f>MiscData!$X$5</f>
        <v>20140101</v>
      </c>
      <c r="Z125" s="98">
        <f>IF(Z124+1&gt;MiscData!$AF$28,1,Z124+1)</f>
        <v>4</v>
      </c>
      <c r="AA125" s="98" t="str">
        <f>VLOOKUP(Z125,MiscData!$AF$5:$AG$28,2,FALSE)</f>
        <v>LE_901POLE</v>
      </c>
      <c r="AB125" s="98" t="str">
        <f>VLOOKUP(Z125,MiscData!$AF$5:$AH$28,3,FALSE)</f>
        <v xml:space="preserve">LS </v>
      </c>
    </row>
    <row r="126" spans="1:28" hidden="1">
      <c r="A126" s="108">
        <f t="shared" si="32"/>
        <v>94</v>
      </c>
      <c r="B126" s="109" t="str">
        <f t="shared" si="22"/>
        <v>Jun 2016</v>
      </c>
      <c r="C126" s="110" t="str">
        <f t="shared" si="42"/>
        <v>RLS</v>
      </c>
      <c r="D126" s="110" t="str">
        <f t="shared" si="43"/>
        <v>LE_902POLE</v>
      </c>
      <c r="E126" s="569">
        <f t="shared" si="41"/>
        <v>277</v>
      </c>
      <c r="F126" s="116">
        <f>SUMIF(PoleRates!$E$4:$E$131,$U126,PoleRates!$F$4:$F$131)</f>
        <v>12.9</v>
      </c>
      <c r="G126" s="118">
        <f t="shared" si="28"/>
        <v>3573.3</v>
      </c>
      <c r="H126" s="118">
        <f t="shared" si="29"/>
        <v>3573.3</v>
      </c>
      <c r="I126" s="570">
        <f t="shared" si="24"/>
        <v>0</v>
      </c>
      <c r="J126" s="121">
        <f t="shared" si="17"/>
        <v>0</v>
      </c>
      <c r="K126" s="122">
        <f t="shared" si="25"/>
        <v>0</v>
      </c>
      <c r="L126" s="123">
        <f t="shared" si="44"/>
        <v>3573.3</v>
      </c>
      <c r="M126" s="123">
        <f t="shared" si="30"/>
        <v>-3573.3</v>
      </c>
      <c r="T126" s="109">
        <f>IF(Z126=1,IF(T125=MiscData!$F$1,EOMONTH(T125,-11),EOMONTH(T125,1)),T125)</f>
        <v>42551</v>
      </c>
      <c r="U126" s="108" t="str">
        <f t="shared" si="20"/>
        <v>20140101LE_902POLE</v>
      </c>
      <c r="V126" s="126" t="str">
        <f t="shared" si="21"/>
        <v>20140101RLS</v>
      </c>
      <c r="Y126" s="98">
        <f>MiscData!$X$5</f>
        <v>20140101</v>
      </c>
      <c r="Z126" s="98">
        <f>IF(Z125+1&gt;MiscData!$AF$28,1,Z125+1)</f>
        <v>5</v>
      </c>
      <c r="AA126" s="98" t="str">
        <f>VLOOKUP(Z126,MiscData!$AF$5:$AG$28,2,FALSE)</f>
        <v>LE_902POLE</v>
      </c>
      <c r="AB126" s="98" t="str">
        <f>VLOOKUP(Z126,MiscData!$AF$5:$AH$28,3,FALSE)</f>
        <v>RLS</v>
      </c>
    </row>
    <row r="127" spans="1:28" hidden="1">
      <c r="A127" s="108">
        <f t="shared" si="32"/>
        <v>94</v>
      </c>
      <c r="B127" s="109" t="str">
        <f t="shared" si="22"/>
        <v>Jun 2016</v>
      </c>
      <c r="C127" s="110" t="str">
        <f t="shared" si="42"/>
        <v xml:space="preserve">LS </v>
      </c>
      <c r="D127" s="110" t="str">
        <f t="shared" si="43"/>
        <v>LE_902POLE</v>
      </c>
      <c r="E127" s="569">
        <f t="shared" si="41"/>
        <v>3</v>
      </c>
      <c r="F127" s="116">
        <f>SUMIF(PoleRates!$E$4:$E$131,$U127,PoleRates!$F$4:$F$131)</f>
        <v>12.9</v>
      </c>
      <c r="G127" s="118">
        <f t="shared" si="28"/>
        <v>38.700000000000003</v>
      </c>
      <c r="H127" s="118">
        <f t="shared" si="29"/>
        <v>38.700000000000003</v>
      </c>
      <c r="I127" s="570">
        <f t="shared" si="24"/>
        <v>0</v>
      </c>
      <c r="J127" s="121">
        <f t="shared" si="17"/>
        <v>0</v>
      </c>
      <c r="K127" s="122">
        <f t="shared" si="25"/>
        <v>0</v>
      </c>
      <c r="L127" s="123">
        <f t="shared" si="44"/>
        <v>38.700000000000003</v>
      </c>
      <c r="M127" s="123">
        <f t="shared" si="30"/>
        <v>-38.700000000000003</v>
      </c>
      <c r="T127" s="109">
        <f>IF(Z127=1,IF(T126=MiscData!$F$1,EOMONTH(T126,-11),EOMONTH(T126,1)),T126)</f>
        <v>42551</v>
      </c>
      <c r="U127" s="108" t="str">
        <f t="shared" si="20"/>
        <v>20140101LE_902POLE</v>
      </c>
      <c r="V127" s="126" t="str">
        <f t="shared" si="21"/>
        <v xml:space="preserve">20140101LS </v>
      </c>
      <c r="Y127" s="98">
        <f>MiscData!$X$5</f>
        <v>20140101</v>
      </c>
      <c r="Z127" s="98">
        <f>IF(Z126+1&gt;MiscData!$AF$28,1,Z126+1)</f>
        <v>6</v>
      </c>
      <c r="AA127" s="98" t="str">
        <f>VLOOKUP(Z127,MiscData!$AF$5:$AG$28,2,FALSE)</f>
        <v>LE_902POLE</v>
      </c>
      <c r="AB127" s="98" t="str">
        <f>VLOOKUP(Z127,MiscData!$AF$5:$AH$28,3,FALSE)</f>
        <v xml:space="preserve">LS </v>
      </c>
    </row>
    <row r="128" spans="1:28" hidden="1">
      <c r="A128" s="108">
        <f t="shared" si="32"/>
        <v>95</v>
      </c>
      <c r="B128" s="109" t="str">
        <f t="shared" si="22"/>
        <v>Jun 2016</v>
      </c>
      <c r="C128" s="110" t="str">
        <f t="shared" si="42"/>
        <v>RLS</v>
      </c>
      <c r="D128" s="110" t="str">
        <f t="shared" si="43"/>
        <v>LE_950BASE</v>
      </c>
      <c r="E128" s="569">
        <f t="shared" si="41"/>
        <v>75</v>
      </c>
      <c r="F128" s="116">
        <f>SUMIF(PoleRates!$E$4:$E$131,$U128,PoleRates!$F$4:$F$131)</f>
        <v>3.47</v>
      </c>
      <c r="G128" s="118">
        <f t="shared" si="28"/>
        <v>260.25</v>
      </c>
      <c r="H128" s="118">
        <f t="shared" si="29"/>
        <v>260.25</v>
      </c>
      <c r="I128" s="570">
        <f t="shared" si="24"/>
        <v>0</v>
      </c>
      <c r="J128" s="121">
        <f t="shared" si="17"/>
        <v>0</v>
      </c>
      <c r="K128" s="122">
        <f t="shared" si="25"/>
        <v>0</v>
      </c>
      <c r="L128" s="123">
        <f t="shared" si="44"/>
        <v>260.25</v>
      </c>
      <c r="M128" s="123">
        <f t="shared" si="30"/>
        <v>-260.25</v>
      </c>
      <c r="T128" s="109">
        <f>IF(Z128=1,IF(T127=MiscData!$F$1,EOMONTH(T127,-11),EOMONTH(T127,1)),T127)</f>
        <v>42551</v>
      </c>
      <c r="U128" s="108" t="str">
        <f t="shared" si="20"/>
        <v>20140101LE_950BASE</v>
      </c>
      <c r="V128" s="126" t="str">
        <f t="shared" si="21"/>
        <v>20140101RLS</v>
      </c>
      <c r="Y128" s="98">
        <f>MiscData!$X$5</f>
        <v>20140101</v>
      </c>
      <c r="Z128" s="98">
        <f>IF(Z127+1&gt;MiscData!$AF$28,1,Z127+1)</f>
        <v>7</v>
      </c>
      <c r="AA128" s="98" t="str">
        <f>VLOOKUP(Z128,MiscData!$AF$5:$AG$28,2,FALSE)</f>
        <v>LE_950BASE</v>
      </c>
      <c r="AB128" s="98" t="str">
        <f>VLOOKUP(Z128,MiscData!$AF$5:$AH$28,3,FALSE)</f>
        <v>RLS</v>
      </c>
    </row>
    <row r="129" spans="1:28" hidden="1">
      <c r="A129" s="108">
        <f t="shared" si="32"/>
        <v>95</v>
      </c>
      <c r="B129" s="109" t="str">
        <f t="shared" si="22"/>
        <v>Jun 2016</v>
      </c>
      <c r="C129" s="110" t="str">
        <f t="shared" si="42"/>
        <v xml:space="preserve">LS </v>
      </c>
      <c r="D129" s="110" t="str">
        <f t="shared" si="43"/>
        <v>LE_950BASE</v>
      </c>
      <c r="E129" s="569">
        <f t="shared" si="41"/>
        <v>13</v>
      </c>
      <c r="F129" s="116">
        <f>SUMIF(PoleRates!$E$4:$E$131,$U129,PoleRates!$F$4:$F$131)</f>
        <v>3.47</v>
      </c>
      <c r="G129" s="118">
        <f t="shared" si="28"/>
        <v>45.11</v>
      </c>
      <c r="H129" s="118">
        <f t="shared" si="29"/>
        <v>45.11</v>
      </c>
      <c r="I129" s="570">
        <f t="shared" si="24"/>
        <v>0</v>
      </c>
      <c r="J129" s="121">
        <f t="shared" si="17"/>
        <v>0</v>
      </c>
      <c r="K129" s="122">
        <f t="shared" si="25"/>
        <v>0</v>
      </c>
      <c r="L129" s="123">
        <f t="shared" si="44"/>
        <v>45.11</v>
      </c>
      <c r="M129" s="123">
        <f t="shared" si="30"/>
        <v>-45.11</v>
      </c>
      <c r="T129" s="109">
        <f>IF(Z129=1,IF(T128=MiscData!$F$1,EOMONTH(T128,-11),EOMONTH(T128,1)),T128)</f>
        <v>42551</v>
      </c>
      <c r="U129" s="108" t="str">
        <f t="shared" si="20"/>
        <v>20140101LE_950BASE</v>
      </c>
      <c r="V129" s="126" t="str">
        <f t="shared" si="21"/>
        <v xml:space="preserve">20140101LS </v>
      </c>
      <c r="Y129" s="98">
        <f>MiscData!$X$5</f>
        <v>20140101</v>
      </c>
      <c r="Z129" s="98">
        <f>IF(Z128+1&gt;MiscData!$AF$28,1,Z128+1)</f>
        <v>8</v>
      </c>
      <c r="AA129" s="98" t="str">
        <f>VLOOKUP(Z129,MiscData!$AF$5:$AG$28,2,FALSE)</f>
        <v>LE_950BASE</v>
      </c>
      <c r="AB129" s="98" t="str">
        <f>VLOOKUP(Z129,MiscData!$AF$5:$AH$28,3,FALSE)</f>
        <v xml:space="preserve">LS </v>
      </c>
    </row>
    <row r="130" spans="1:28" hidden="1">
      <c r="A130" s="108">
        <f t="shared" si="32"/>
        <v>96</v>
      </c>
      <c r="B130" s="109" t="str">
        <f t="shared" si="22"/>
        <v>Jun 2016</v>
      </c>
      <c r="C130" s="110" t="str">
        <f t="shared" si="42"/>
        <v>RLS</v>
      </c>
      <c r="D130" s="110" t="str">
        <f t="shared" si="43"/>
        <v>LE_951BASE</v>
      </c>
      <c r="E130" s="569">
        <f t="shared" ref="E130:E281" si="45">SUMIFS(L_1051_Count_Total,L_1051_Revenue_Month,$B130,L_1051_RateCategory,$D130,L_1051_Light_Category,C130)</f>
        <v>195</v>
      </c>
      <c r="F130" s="116">
        <f>SUMIF(PoleRates!$E$4:$E$131,$U130,PoleRates!$F$4:$F$131)</f>
        <v>3.73</v>
      </c>
      <c r="G130" s="118">
        <f t="shared" si="28"/>
        <v>727.35</v>
      </c>
      <c r="H130" s="118">
        <f t="shared" si="29"/>
        <v>727.35</v>
      </c>
      <c r="I130" s="570">
        <f t="shared" ref="I130:I193" si="46">SUMIFS(L_1051_Revenue_Total,L_1051_Revenue_Month,$B130,L_1051_RateCategory,$D130,L_1051_Light_Category,C130)</f>
        <v>0</v>
      </c>
      <c r="J130" s="121">
        <f t="shared" si="17"/>
        <v>0</v>
      </c>
      <c r="K130" s="122">
        <f t="shared" ref="K130:K193" si="47">SUMIFS(L_1051_Revenue_Total,L_1051_Revenue_Month,$B130,L_1051_RateCategory,$D130,L_1051_Light_Category,C130)</f>
        <v>0</v>
      </c>
      <c r="L130" s="123">
        <f t="shared" si="44"/>
        <v>727.35</v>
      </c>
      <c r="M130" s="123">
        <f t="shared" si="30"/>
        <v>-727.35</v>
      </c>
      <c r="T130" s="109">
        <f>IF(Z130=1,IF(T129=MiscData!$F$1,EOMONTH(T129,-11),EOMONTH(T129,1)),T129)</f>
        <v>42551</v>
      </c>
      <c r="U130" s="108" t="str">
        <f t="shared" si="20"/>
        <v>20140101LE_951BASE</v>
      </c>
      <c r="V130" s="126" t="str">
        <f t="shared" si="21"/>
        <v>20140101RLS</v>
      </c>
      <c r="Y130" s="98">
        <f>MiscData!$X$5</f>
        <v>20140101</v>
      </c>
      <c r="Z130" s="98">
        <f>IF(Z129+1&gt;MiscData!$AF$28,1,Z129+1)</f>
        <v>9</v>
      </c>
      <c r="AA130" s="98" t="str">
        <f>VLOOKUP(Z130,MiscData!$AF$5:$AG$28,2,FALSE)</f>
        <v>LE_951BASE</v>
      </c>
      <c r="AB130" s="98" t="str">
        <f>VLOOKUP(Z130,MiscData!$AF$5:$AH$28,3,FALSE)</f>
        <v>RLS</v>
      </c>
    </row>
    <row r="131" spans="1:28" hidden="1">
      <c r="A131" s="108">
        <f t="shared" si="32"/>
        <v>96</v>
      </c>
      <c r="B131" s="109" t="str">
        <f t="shared" si="22"/>
        <v>Jun 2016</v>
      </c>
      <c r="C131" s="110" t="str">
        <f t="shared" si="42"/>
        <v xml:space="preserve">LS </v>
      </c>
      <c r="D131" s="110" t="str">
        <f t="shared" si="43"/>
        <v>LE_951BASE</v>
      </c>
      <c r="E131" s="569">
        <f t="shared" si="45"/>
        <v>75</v>
      </c>
      <c r="F131" s="116">
        <f>SUMIF(PoleRates!$E$4:$E$131,$U131,PoleRates!$F$4:$F$131)</f>
        <v>3.73</v>
      </c>
      <c r="G131" s="118">
        <f t="shared" ref="G131:G194" si="48">ROUND($E131*$F131,2)</f>
        <v>279.75</v>
      </c>
      <c r="H131" s="118">
        <f t="shared" ref="H131:H194" si="49">G131</f>
        <v>279.75</v>
      </c>
      <c r="I131" s="570">
        <f t="shared" si="46"/>
        <v>0</v>
      </c>
      <c r="J131" s="121">
        <f t="shared" si="17"/>
        <v>0</v>
      </c>
      <c r="K131" s="122">
        <f t="shared" si="47"/>
        <v>0</v>
      </c>
      <c r="L131" s="123">
        <f t="shared" si="44"/>
        <v>279.75</v>
      </c>
      <c r="M131" s="123">
        <f t="shared" si="30"/>
        <v>-279.75</v>
      </c>
      <c r="T131" s="109">
        <f>IF(Z131=1,IF(T130=MiscData!$F$1,EOMONTH(T130,-11),EOMONTH(T130,1)),T130)</f>
        <v>42551</v>
      </c>
      <c r="U131" s="108" t="str">
        <f t="shared" si="20"/>
        <v>20140101LE_951BASE</v>
      </c>
      <c r="V131" s="126" t="str">
        <f t="shared" si="21"/>
        <v xml:space="preserve">20140101LS </v>
      </c>
      <c r="Y131" s="98">
        <f>MiscData!$X$5</f>
        <v>20140101</v>
      </c>
      <c r="Z131" s="98">
        <f>IF(Z130+1&gt;MiscData!$AF$28,1,Z130+1)</f>
        <v>10</v>
      </c>
      <c r="AA131" s="98" t="str">
        <f>VLOOKUP(Z131,MiscData!$AF$5:$AG$28,2,FALSE)</f>
        <v>LE_951BASE</v>
      </c>
      <c r="AB131" s="98" t="str">
        <f>VLOOKUP(Z131,MiscData!$AF$5:$AH$28,3,FALSE)</f>
        <v xml:space="preserve">LS </v>
      </c>
    </row>
    <row r="132" spans="1:28">
      <c r="A132" s="108">
        <f t="shared" si="32"/>
        <v>97</v>
      </c>
      <c r="B132" s="109" t="str">
        <f t="shared" si="22"/>
        <v>Jun 2016</v>
      </c>
      <c r="C132" s="110" t="str">
        <f t="shared" si="42"/>
        <v>RLS</v>
      </c>
      <c r="D132" s="110" t="str">
        <f t="shared" si="43"/>
        <v>LE_952BASE</v>
      </c>
      <c r="E132" s="569">
        <f t="shared" si="45"/>
        <v>0</v>
      </c>
      <c r="F132" s="116">
        <f>SUMIF(PoleRates!$E$4:$E$131,$U132,PoleRates!$F$4:$F$131)</f>
        <v>3.56</v>
      </c>
      <c r="G132" s="118">
        <f t="shared" si="48"/>
        <v>0</v>
      </c>
      <c r="H132" s="118">
        <f t="shared" si="49"/>
        <v>0</v>
      </c>
      <c r="I132" s="570">
        <f t="shared" si="46"/>
        <v>0</v>
      </c>
      <c r="J132" s="121">
        <f t="shared" si="17"/>
        <v>1</v>
      </c>
      <c r="K132" s="122">
        <f t="shared" si="47"/>
        <v>0</v>
      </c>
      <c r="L132" s="123">
        <f t="shared" si="44"/>
        <v>0</v>
      </c>
      <c r="M132" s="123">
        <f t="shared" si="30"/>
        <v>0</v>
      </c>
      <c r="T132" s="109">
        <f>IF(Z132=1,IF(T131=MiscData!$F$1,EOMONTH(T131,-11),EOMONTH(T131,1)),T131)</f>
        <v>42551</v>
      </c>
      <c r="U132" s="108" t="str">
        <f t="shared" si="20"/>
        <v>20140101LE_952BASE</v>
      </c>
      <c r="V132" s="126" t="str">
        <f t="shared" si="21"/>
        <v>20140101RLS</v>
      </c>
      <c r="Y132" s="98">
        <f>MiscData!$X$5</f>
        <v>20140101</v>
      </c>
      <c r="Z132" s="98">
        <f>IF(Z131+1&gt;MiscData!$AF$28,1,Z131+1)</f>
        <v>11</v>
      </c>
      <c r="AA132" s="98" t="str">
        <f>VLOOKUP(Z132,MiscData!$AF$5:$AG$28,2,FALSE)</f>
        <v>LE_952BASE</v>
      </c>
      <c r="AB132" s="98" t="str">
        <f>VLOOKUP(Z132,MiscData!$AF$5:$AH$28,3,FALSE)</f>
        <v>RLS</v>
      </c>
    </row>
    <row r="133" spans="1:28" hidden="1">
      <c r="A133" s="108">
        <f t="shared" si="32"/>
        <v>97</v>
      </c>
      <c r="B133" s="109" t="str">
        <f t="shared" si="22"/>
        <v>Jun 2016</v>
      </c>
      <c r="C133" s="110" t="str">
        <f t="shared" si="42"/>
        <v xml:space="preserve">LS </v>
      </c>
      <c r="D133" s="110" t="str">
        <f t="shared" si="43"/>
        <v>LE_952BASE</v>
      </c>
      <c r="E133" s="569">
        <f t="shared" si="45"/>
        <v>0</v>
      </c>
      <c r="F133" s="116">
        <f>SUMIF(PoleRates!$E$4:$E$131,$U133,PoleRates!$F$4:$F$131)</f>
        <v>3.56</v>
      </c>
      <c r="G133" s="118">
        <f t="shared" si="48"/>
        <v>0</v>
      </c>
      <c r="H133" s="118">
        <f t="shared" si="49"/>
        <v>0</v>
      </c>
      <c r="I133" s="570">
        <f t="shared" si="46"/>
        <v>0</v>
      </c>
      <c r="J133" s="121">
        <f t="shared" si="17"/>
        <v>1</v>
      </c>
      <c r="K133" s="122">
        <f t="shared" si="47"/>
        <v>0</v>
      </c>
      <c r="L133" s="123">
        <f t="shared" si="44"/>
        <v>0</v>
      </c>
      <c r="M133" s="123">
        <f t="shared" si="30"/>
        <v>0</v>
      </c>
      <c r="T133" s="109">
        <f>IF(Z133=1,IF(T132=MiscData!$F$1,EOMONTH(T132,-11),EOMONTH(T132,1)),T132)</f>
        <v>42551</v>
      </c>
      <c r="U133" s="108" t="str">
        <f t="shared" si="20"/>
        <v>20140101LE_952BASE</v>
      </c>
      <c r="V133" s="126" t="str">
        <f t="shared" si="21"/>
        <v xml:space="preserve">20140101LS </v>
      </c>
      <c r="Y133" s="98">
        <f>MiscData!$X$5</f>
        <v>20140101</v>
      </c>
      <c r="Z133" s="98">
        <f>IF(Z132+1&gt;MiscData!$AF$28,1,Z132+1)</f>
        <v>12</v>
      </c>
      <c r="AA133" s="98" t="str">
        <f>VLOOKUP(Z133,MiscData!$AF$5:$AG$28,2,FALSE)</f>
        <v>LE_952BASE</v>
      </c>
      <c r="AB133" s="98" t="str">
        <f>VLOOKUP(Z133,MiscData!$AF$5:$AH$28,3,FALSE)</f>
        <v xml:space="preserve">LS </v>
      </c>
    </row>
    <row r="134" spans="1:28">
      <c r="A134" s="108">
        <f>A110+1</f>
        <v>87</v>
      </c>
      <c r="B134" s="109" t="str">
        <f t="shared" ref="B134:B221" si="50">TEXT(T134,"mmm yyyy")</f>
        <v>Jun 2016</v>
      </c>
      <c r="C134" s="110" t="str">
        <f t="shared" ref="C134:C221" si="51">AB134</f>
        <v>RLS</v>
      </c>
      <c r="D134" s="110" t="str">
        <f t="shared" ref="D134:D221" si="52">AA134</f>
        <v>LE_953BASE</v>
      </c>
      <c r="E134" s="569">
        <f t="shared" ref="E134:E221" si="53">SUMIFS(L_1051_Count_Total,L_1051_Revenue_Month,$B134,L_1051_RateCategory,$D134,L_1051_Light_Category,C134)</f>
        <v>0</v>
      </c>
      <c r="F134" s="116">
        <f>SUMIF(PoleRates!$E$4:$E$131,$U134,PoleRates!$F$4:$F$131)</f>
        <v>3.73</v>
      </c>
      <c r="G134" s="118">
        <f t="shared" si="48"/>
        <v>0</v>
      </c>
      <c r="H134" s="118">
        <f t="shared" si="49"/>
        <v>0</v>
      </c>
      <c r="I134" s="570">
        <f t="shared" si="46"/>
        <v>0</v>
      </c>
      <c r="J134" s="121">
        <f t="shared" ref="J134:J221" si="54">IF(AND(H134=0,I134=0),1,IF(H134=0,0,I134/H134))</f>
        <v>1</v>
      </c>
      <c r="K134" s="122">
        <f t="shared" si="47"/>
        <v>0</v>
      </c>
      <c r="L134" s="123">
        <f t="shared" ref="L134:L221" si="55">H134</f>
        <v>0</v>
      </c>
      <c r="M134" s="123">
        <f t="shared" ref="M134:M221" si="56">ROUND(K134-L134,2)</f>
        <v>0</v>
      </c>
      <c r="T134" s="109">
        <f>IF(Z134=1,IF(T133=MiscData!$F$1,EOMONTH(T133,-11),EOMONTH(T133,1)),T133)</f>
        <v>42551</v>
      </c>
      <c r="U134" s="108" t="str">
        <f t="shared" ref="U134:U221" si="57">CONCATENATE(Y134&amp;AA134)</f>
        <v>20140101LE_953BASE</v>
      </c>
      <c r="V134" s="126" t="str">
        <f t="shared" ref="V134:V221" si="58">CONCATENATE(Y134&amp;AB134)</f>
        <v>20140101RLS</v>
      </c>
      <c r="Y134" s="98">
        <f>MiscData!$X$5</f>
        <v>20140101</v>
      </c>
      <c r="Z134" s="98">
        <f>IF(Z133+1&gt;MiscData!$AF$28,1,Z133+1)</f>
        <v>13</v>
      </c>
      <c r="AA134" s="98" t="str">
        <f>VLOOKUP(Z134,MiscData!$AF$5:$AG$28,2,FALSE)</f>
        <v>LE_953BASE</v>
      </c>
      <c r="AB134" s="98" t="str">
        <f>VLOOKUP(Z134,MiscData!$AF$5:$AH$28,3,FALSE)</f>
        <v>RLS</v>
      </c>
    </row>
    <row r="135" spans="1:28" hidden="1">
      <c r="A135" s="108">
        <f>A111+1</f>
        <v>87</v>
      </c>
      <c r="B135" s="109" t="str">
        <f t="shared" si="50"/>
        <v>Jun 2016</v>
      </c>
      <c r="C135" s="110" t="str">
        <f t="shared" si="51"/>
        <v xml:space="preserve">LS </v>
      </c>
      <c r="D135" s="110" t="str">
        <f t="shared" si="52"/>
        <v>LE_953BASE</v>
      </c>
      <c r="E135" s="569">
        <f t="shared" si="53"/>
        <v>0</v>
      </c>
      <c r="F135" s="116">
        <f>SUMIF(PoleRates!$E$4:$E$131,$U135,PoleRates!$F$4:$F$131)</f>
        <v>3.73</v>
      </c>
      <c r="G135" s="118">
        <f t="shared" si="48"/>
        <v>0</v>
      </c>
      <c r="H135" s="118">
        <f t="shared" si="49"/>
        <v>0</v>
      </c>
      <c r="I135" s="570">
        <f t="shared" si="46"/>
        <v>0</v>
      </c>
      <c r="J135" s="121">
        <f t="shared" si="54"/>
        <v>1</v>
      </c>
      <c r="K135" s="122">
        <f t="shared" si="47"/>
        <v>0</v>
      </c>
      <c r="L135" s="123">
        <f t="shared" si="55"/>
        <v>0</v>
      </c>
      <c r="M135" s="123">
        <f t="shared" si="56"/>
        <v>0</v>
      </c>
      <c r="T135" s="109">
        <f>IF(Z135=1,IF(T134=MiscData!$F$1,EOMONTH(T134,-11),EOMONTH(T134,1)),T134)</f>
        <v>42551</v>
      </c>
      <c r="U135" s="108" t="str">
        <f t="shared" si="57"/>
        <v>20140101LE_953BASE</v>
      </c>
      <c r="V135" s="126" t="str">
        <f t="shared" si="58"/>
        <v xml:space="preserve">20140101LS </v>
      </c>
      <c r="Y135" s="98">
        <f>MiscData!$X$5</f>
        <v>20140101</v>
      </c>
      <c r="Z135" s="98">
        <f>IF(Z134+1&gt;MiscData!$AF$28,1,Z134+1)</f>
        <v>14</v>
      </c>
      <c r="AA135" s="98" t="str">
        <f>VLOOKUP(Z135,MiscData!$AF$5:$AG$28,2,FALSE)</f>
        <v>LE_953BASE</v>
      </c>
      <c r="AB135" s="98" t="str">
        <f>VLOOKUP(Z135,MiscData!$AF$5:$AH$28,3,FALSE)</f>
        <v xml:space="preserve">LS </v>
      </c>
    </row>
    <row r="136" spans="1:28">
      <c r="A136" s="108">
        <f t="shared" ref="A136:A155" si="59">A134+1</f>
        <v>88</v>
      </c>
      <c r="B136" s="109" t="str">
        <f t="shared" si="50"/>
        <v>Jun 2016</v>
      </c>
      <c r="C136" s="110" t="str">
        <f t="shared" si="51"/>
        <v>RLS</v>
      </c>
      <c r="D136" s="110" t="str">
        <f t="shared" si="52"/>
        <v>LE_954BASE</v>
      </c>
      <c r="E136" s="569">
        <f t="shared" si="53"/>
        <v>0</v>
      </c>
      <c r="F136" s="116">
        <f>SUMIF(PoleRates!$E$4:$E$131,$U136,PoleRates!$F$4:$F$131)</f>
        <v>3.47</v>
      </c>
      <c r="G136" s="118">
        <f t="shared" si="48"/>
        <v>0</v>
      </c>
      <c r="H136" s="118">
        <f t="shared" si="49"/>
        <v>0</v>
      </c>
      <c r="I136" s="570">
        <f t="shared" si="46"/>
        <v>0</v>
      </c>
      <c r="J136" s="121">
        <f t="shared" si="54"/>
        <v>1</v>
      </c>
      <c r="K136" s="122">
        <f t="shared" si="47"/>
        <v>0</v>
      </c>
      <c r="L136" s="123">
        <f t="shared" si="55"/>
        <v>0</v>
      </c>
      <c r="M136" s="123">
        <f t="shared" si="56"/>
        <v>0</v>
      </c>
      <c r="T136" s="109">
        <f>IF(Z136=1,IF(T135=MiscData!$F$1,EOMONTH(T135,-11),EOMONTH(T135,1)),T135)</f>
        <v>42551</v>
      </c>
      <c r="U136" s="108" t="str">
        <f t="shared" si="57"/>
        <v>20140101LE_954BASE</v>
      </c>
      <c r="V136" s="126" t="str">
        <f t="shared" si="58"/>
        <v>20140101RLS</v>
      </c>
      <c r="Y136" s="98">
        <f>MiscData!$X$5</f>
        <v>20140101</v>
      </c>
      <c r="Z136" s="98">
        <f>IF(Z135+1&gt;MiscData!$AF$28,1,Z135+1)</f>
        <v>15</v>
      </c>
      <c r="AA136" s="98" t="str">
        <f>VLOOKUP(Z136,MiscData!$AF$5:$AG$28,2,FALSE)</f>
        <v>LE_954BASE</v>
      </c>
      <c r="AB136" s="98" t="str">
        <f>VLOOKUP(Z136,MiscData!$AF$5:$AH$28,3,FALSE)</f>
        <v>RLS</v>
      </c>
    </row>
    <row r="137" spans="1:28" hidden="1">
      <c r="A137" s="108">
        <f t="shared" si="59"/>
        <v>88</v>
      </c>
      <c r="B137" s="109" t="str">
        <f t="shared" si="50"/>
        <v>Jun 2016</v>
      </c>
      <c r="C137" s="110" t="str">
        <f t="shared" si="51"/>
        <v xml:space="preserve">LS </v>
      </c>
      <c r="D137" s="110" t="str">
        <f t="shared" si="52"/>
        <v>LE_954BASE</v>
      </c>
      <c r="E137" s="569">
        <f t="shared" si="53"/>
        <v>0</v>
      </c>
      <c r="F137" s="116">
        <f>SUMIF(PoleRates!$E$4:$E$131,$U137,PoleRates!$F$4:$F$131)</f>
        <v>3.47</v>
      </c>
      <c r="G137" s="118">
        <f t="shared" si="48"/>
        <v>0</v>
      </c>
      <c r="H137" s="118">
        <f t="shared" si="49"/>
        <v>0</v>
      </c>
      <c r="I137" s="570">
        <f t="shared" si="46"/>
        <v>0</v>
      </c>
      <c r="J137" s="121">
        <f t="shared" si="54"/>
        <v>1</v>
      </c>
      <c r="K137" s="122">
        <f t="shared" si="47"/>
        <v>0</v>
      </c>
      <c r="L137" s="123">
        <f t="shared" si="55"/>
        <v>0</v>
      </c>
      <c r="M137" s="123">
        <f t="shared" si="56"/>
        <v>0</v>
      </c>
      <c r="T137" s="109">
        <f>IF(Z137=1,IF(T136=MiscData!$F$1,EOMONTH(T136,-11),EOMONTH(T136,1)),T136)</f>
        <v>42551</v>
      </c>
      <c r="U137" s="108" t="str">
        <f t="shared" si="57"/>
        <v>20140101LE_954BASE</v>
      </c>
      <c r="V137" s="126" t="str">
        <f t="shared" si="58"/>
        <v xml:space="preserve">20140101LS </v>
      </c>
      <c r="Y137" s="98">
        <f>MiscData!$X$5</f>
        <v>20140101</v>
      </c>
      <c r="Z137" s="98">
        <f>IF(Z136+1&gt;MiscData!$AF$28,1,Z136+1)</f>
        <v>16</v>
      </c>
      <c r="AA137" s="98" t="str">
        <f>VLOOKUP(Z137,MiscData!$AF$5:$AG$28,2,FALSE)</f>
        <v>LE_954BASE</v>
      </c>
      <c r="AB137" s="98" t="str">
        <f>VLOOKUP(Z137,MiscData!$AF$5:$AH$28,3,FALSE)</f>
        <v xml:space="preserve">LS </v>
      </c>
    </row>
    <row r="138" spans="1:28">
      <c r="A138" s="108">
        <f t="shared" si="59"/>
        <v>89</v>
      </c>
      <c r="B138" s="109" t="str">
        <f t="shared" si="50"/>
        <v>Jun 2016</v>
      </c>
      <c r="C138" s="110" t="str">
        <f t="shared" si="51"/>
        <v>RLS</v>
      </c>
      <c r="D138" s="110" t="str">
        <f t="shared" si="52"/>
        <v>LE_955BASE</v>
      </c>
      <c r="E138" s="569">
        <f t="shared" si="53"/>
        <v>0</v>
      </c>
      <c r="F138" s="116">
        <f>SUMIF(PoleRates!$E$4:$E$131,$U138,PoleRates!$F$4:$F$131)</f>
        <v>3.56</v>
      </c>
      <c r="G138" s="118">
        <f t="shared" si="48"/>
        <v>0</v>
      </c>
      <c r="H138" s="118">
        <f t="shared" si="49"/>
        <v>0</v>
      </c>
      <c r="I138" s="570">
        <f t="shared" si="46"/>
        <v>0</v>
      </c>
      <c r="J138" s="121">
        <f t="shared" si="54"/>
        <v>1</v>
      </c>
      <c r="K138" s="122">
        <f t="shared" si="47"/>
        <v>0</v>
      </c>
      <c r="L138" s="123">
        <f t="shared" si="55"/>
        <v>0</v>
      </c>
      <c r="M138" s="123">
        <f t="shared" si="56"/>
        <v>0</v>
      </c>
      <c r="T138" s="109">
        <f>IF(Z138=1,IF(T137=MiscData!$F$1,EOMONTH(T137,-11),EOMONTH(T137,1)),T137)</f>
        <v>42551</v>
      </c>
      <c r="U138" s="108" t="str">
        <f t="shared" si="57"/>
        <v>20140101LE_955BASE</v>
      </c>
      <c r="V138" s="126" t="str">
        <f t="shared" si="58"/>
        <v>20140101RLS</v>
      </c>
      <c r="Y138" s="98">
        <f>MiscData!$X$5</f>
        <v>20140101</v>
      </c>
      <c r="Z138" s="98">
        <f>IF(Z137+1&gt;MiscData!$AF$28,1,Z137+1)</f>
        <v>17</v>
      </c>
      <c r="AA138" s="98" t="str">
        <f>VLOOKUP(Z138,MiscData!$AF$5:$AG$28,2,FALSE)</f>
        <v>LE_955BASE</v>
      </c>
      <c r="AB138" s="98" t="str">
        <f>VLOOKUP(Z138,MiscData!$AF$5:$AH$28,3,FALSE)</f>
        <v>RLS</v>
      </c>
    </row>
    <row r="139" spans="1:28" hidden="1">
      <c r="A139" s="108">
        <f t="shared" si="59"/>
        <v>89</v>
      </c>
      <c r="B139" s="109" t="str">
        <f t="shared" si="50"/>
        <v>Jun 2016</v>
      </c>
      <c r="C139" s="110" t="str">
        <f t="shared" si="51"/>
        <v xml:space="preserve">LS </v>
      </c>
      <c r="D139" s="110" t="str">
        <f t="shared" si="52"/>
        <v>LE_955BASE</v>
      </c>
      <c r="E139" s="569">
        <f t="shared" si="53"/>
        <v>0</v>
      </c>
      <c r="F139" s="116">
        <f>SUMIF(PoleRates!$E$4:$E$131,$U139,PoleRates!$F$4:$F$131)</f>
        <v>3.56</v>
      </c>
      <c r="G139" s="118">
        <f t="shared" si="48"/>
        <v>0</v>
      </c>
      <c r="H139" s="118">
        <f t="shared" si="49"/>
        <v>0</v>
      </c>
      <c r="I139" s="570">
        <f t="shared" si="46"/>
        <v>0</v>
      </c>
      <c r="J139" s="121">
        <f t="shared" si="54"/>
        <v>1</v>
      </c>
      <c r="K139" s="122">
        <f t="shared" si="47"/>
        <v>0</v>
      </c>
      <c r="L139" s="123">
        <f t="shared" si="55"/>
        <v>0</v>
      </c>
      <c r="M139" s="123">
        <f t="shared" si="56"/>
        <v>0</v>
      </c>
      <c r="T139" s="109">
        <f>IF(Z139=1,IF(T138=MiscData!$F$1,EOMONTH(T138,-11),EOMONTH(T138,1)),T138)</f>
        <v>42551</v>
      </c>
      <c r="U139" s="108" t="str">
        <f t="shared" si="57"/>
        <v>20140101LE_955BASE</v>
      </c>
      <c r="V139" s="126" t="str">
        <f t="shared" si="58"/>
        <v xml:space="preserve">20140101LS </v>
      </c>
      <c r="Y139" s="98">
        <f>MiscData!$X$5</f>
        <v>20140101</v>
      </c>
      <c r="Z139" s="98">
        <f>IF(Z138+1&gt;MiscData!$AF$28,1,Z138+1)</f>
        <v>18</v>
      </c>
      <c r="AA139" s="98" t="str">
        <f>VLOOKUP(Z139,MiscData!$AF$5:$AG$28,2,FALSE)</f>
        <v>LE_955BASE</v>
      </c>
      <c r="AB139" s="98" t="str">
        <f>VLOOKUP(Z139,MiscData!$AF$5:$AH$28,3,FALSE)</f>
        <v xml:space="preserve">LS </v>
      </c>
    </row>
    <row r="140" spans="1:28" hidden="1">
      <c r="A140" s="108">
        <f t="shared" si="59"/>
        <v>90</v>
      </c>
      <c r="B140" s="109" t="str">
        <f t="shared" si="50"/>
        <v>Jun 2016</v>
      </c>
      <c r="C140" s="110" t="str">
        <f t="shared" si="51"/>
        <v>RLS</v>
      </c>
      <c r="D140" s="110" t="str">
        <f t="shared" si="52"/>
        <v>LE_956BASE</v>
      </c>
      <c r="E140" s="569">
        <f t="shared" si="53"/>
        <v>239</v>
      </c>
      <c r="F140" s="116">
        <f>SUMIF(PoleRates!$E$4:$E$131,$U140,PoleRates!$F$4:$F$131)</f>
        <v>3.56</v>
      </c>
      <c r="G140" s="118">
        <f t="shared" si="48"/>
        <v>850.84</v>
      </c>
      <c r="H140" s="118">
        <f t="shared" si="49"/>
        <v>850.84</v>
      </c>
      <c r="I140" s="570">
        <f t="shared" si="46"/>
        <v>0</v>
      </c>
      <c r="J140" s="121">
        <f t="shared" si="54"/>
        <v>0</v>
      </c>
      <c r="K140" s="122">
        <f t="shared" si="47"/>
        <v>0</v>
      </c>
      <c r="L140" s="123">
        <f t="shared" si="55"/>
        <v>850.84</v>
      </c>
      <c r="M140" s="123">
        <f t="shared" si="56"/>
        <v>-850.84</v>
      </c>
      <c r="T140" s="109">
        <f>IF(Z140=1,IF(T139=MiscData!$F$1,EOMONTH(T139,-11),EOMONTH(T139,1)),T139)</f>
        <v>42551</v>
      </c>
      <c r="U140" s="108" t="str">
        <f t="shared" si="57"/>
        <v>20140101LE_956BASE</v>
      </c>
      <c r="V140" s="126" t="str">
        <f t="shared" si="58"/>
        <v>20140101RLS</v>
      </c>
      <c r="Y140" s="98">
        <f>MiscData!$X$5</f>
        <v>20140101</v>
      </c>
      <c r="Z140" s="98">
        <f>IF(Z139+1&gt;MiscData!$AF$28,1,Z139+1)</f>
        <v>19</v>
      </c>
      <c r="AA140" s="98" t="str">
        <f>VLOOKUP(Z140,MiscData!$AF$5:$AG$28,2,FALSE)</f>
        <v>LE_956BASE</v>
      </c>
      <c r="AB140" s="98" t="str">
        <f>VLOOKUP(Z140,MiscData!$AF$5:$AH$28,3,FALSE)</f>
        <v>RLS</v>
      </c>
    </row>
    <row r="141" spans="1:28" hidden="1">
      <c r="A141" s="108">
        <f t="shared" si="59"/>
        <v>90</v>
      </c>
      <c r="B141" s="109" t="str">
        <f t="shared" si="50"/>
        <v>Jun 2016</v>
      </c>
      <c r="C141" s="110" t="str">
        <f t="shared" si="51"/>
        <v xml:space="preserve">LS </v>
      </c>
      <c r="D141" s="110" t="str">
        <f t="shared" si="52"/>
        <v>LE_956BASE</v>
      </c>
      <c r="E141" s="569">
        <f t="shared" si="53"/>
        <v>307</v>
      </c>
      <c r="F141" s="116">
        <f>SUMIF(PoleRates!$E$4:$E$131,$U141,PoleRates!$F$4:$F$131)</f>
        <v>3.56</v>
      </c>
      <c r="G141" s="118">
        <f t="shared" si="48"/>
        <v>1092.92</v>
      </c>
      <c r="H141" s="118">
        <f t="shared" si="49"/>
        <v>1092.92</v>
      </c>
      <c r="I141" s="570">
        <f t="shared" si="46"/>
        <v>0</v>
      </c>
      <c r="J141" s="121">
        <f t="shared" si="54"/>
        <v>0</v>
      </c>
      <c r="K141" s="122">
        <f t="shared" si="47"/>
        <v>0</v>
      </c>
      <c r="L141" s="123">
        <f t="shared" si="55"/>
        <v>1092.92</v>
      </c>
      <c r="M141" s="123">
        <f t="shared" si="56"/>
        <v>-1092.92</v>
      </c>
      <c r="T141" s="109">
        <f>IF(Z141=1,IF(T140=MiscData!$F$1,EOMONTH(T140,-11),EOMONTH(T140,1)),T140)</f>
        <v>42551</v>
      </c>
      <c r="U141" s="108" t="str">
        <f t="shared" si="57"/>
        <v>20140101LE_956BASE</v>
      </c>
      <c r="V141" s="126" t="str">
        <f t="shared" si="58"/>
        <v xml:space="preserve">20140101LS </v>
      </c>
      <c r="Y141" s="98">
        <f>MiscData!$X$5</f>
        <v>20140101</v>
      </c>
      <c r="Z141" s="98">
        <f>IF(Z140+1&gt;MiscData!$AF$28,1,Z140+1)</f>
        <v>20</v>
      </c>
      <c r="AA141" s="98" t="str">
        <f>VLOOKUP(Z141,MiscData!$AF$5:$AG$28,2,FALSE)</f>
        <v>LE_956BASE</v>
      </c>
      <c r="AB141" s="98" t="str">
        <f>VLOOKUP(Z141,MiscData!$AF$5:$AH$28,3,FALSE)</f>
        <v xml:space="preserve">LS </v>
      </c>
    </row>
    <row r="142" spans="1:28">
      <c r="A142" s="108">
        <f t="shared" si="59"/>
        <v>91</v>
      </c>
      <c r="B142" s="109" t="str">
        <f t="shared" si="50"/>
        <v>Jun 2016</v>
      </c>
      <c r="C142" s="110" t="str">
        <f t="shared" si="51"/>
        <v>RLS</v>
      </c>
      <c r="D142" s="110" t="str">
        <f t="shared" si="52"/>
        <v>LE_957BASE</v>
      </c>
      <c r="E142" s="569">
        <f t="shared" si="53"/>
        <v>0</v>
      </c>
      <c r="F142" s="116">
        <f>SUMIF(PoleRates!$E$4:$E$131,$U142,PoleRates!$F$4:$F$131)</f>
        <v>3.56</v>
      </c>
      <c r="G142" s="118">
        <f t="shared" si="48"/>
        <v>0</v>
      </c>
      <c r="H142" s="118">
        <f t="shared" si="49"/>
        <v>0</v>
      </c>
      <c r="I142" s="570">
        <f t="shared" si="46"/>
        <v>0</v>
      </c>
      <c r="J142" s="121">
        <f t="shared" si="54"/>
        <v>1</v>
      </c>
      <c r="K142" s="122">
        <f t="shared" si="47"/>
        <v>0</v>
      </c>
      <c r="L142" s="123">
        <f t="shared" si="55"/>
        <v>0</v>
      </c>
      <c r="M142" s="123">
        <f t="shared" si="56"/>
        <v>0</v>
      </c>
      <c r="T142" s="109">
        <f>IF(Z142=1,IF(T141=MiscData!$F$1,EOMONTH(T141,-11),EOMONTH(T141,1)),T141)</f>
        <v>42551</v>
      </c>
      <c r="U142" s="108" t="str">
        <f t="shared" si="57"/>
        <v>20140101LE_957BASE</v>
      </c>
      <c r="V142" s="126" t="str">
        <f t="shared" si="58"/>
        <v>20140101RLS</v>
      </c>
      <c r="Y142" s="98">
        <f>MiscData!$X$5</f>
        <v>20140101</v>
      </c>
      <c r="Z142" s="98">
        <f>IF(Z141+1&gt;MiscData!$AF$28,1,Z141+1)</f>
        <v>21</v>
      </c>
      <c r="AA142" s="98" t="str">
        <f>VLOOKUP(Z142,MiscData!$AF$5:$AG$28,2,FALSE)</f>
        <v>LE_957BASE</v>
      </c>
      <c r="AB142" s="98" t="str">
        <f>VLOOKUP(Z142,MiscData!$AF$5:$AH$28,3,FALSE)</f>
        <v>RLS</v>
      </c>
    </row>
    <row r="143" spans="1:28" hidden="1">
      <c r="A143" s="108">
        <f t="shared" si="59"/>
        <v>91</v>
      </c>
      <c r="B143" s="109" t="str">
        <f t="shared" si="50"/>
        <v>Jun 2016</v>
      </c>
      <c r="C143" s="110" t="str">
        <f t="shared" si="51"/>
        <v xml:space="preserve">LS </v>
      </c>
      <c r="D143" s="110" t="str">
        <f t="shared" si="52"/>
        <v>LE_957BASE</v>
      </c>
      <c r="E143" s="569">
        <f t="shared" si="53"/>
        <v>0</v>
      </c>
      <c r="F143" s="116">
        <f>SUMIF(PoleRates!$E$4:$E$131,$U143,PoleRates!$F$4:$F$131)</f>
        <v>3.56</v>
      </c>
      <c r="G143" s="118">
        <f t="shared" si="48"/>
        <v>0</v>
      </c>
      <c r="H143" s="118">
        <f t="shared" si="49"/>
        <v>0</v>
      </c>
      <c r="I143" s="570">
        <f t="shared" si="46"/>
        <v>0</v>
      </c>
      <c r="J143" s="121">
        <f t="shared" si="54"/>
        <v>1</v>
      </c>
      <c r="K143" s="122">
        <f t="shared" si="47"/>
        <v>0</v>
      </c>
      <c r="L143" s="123">
        <f t="shared" si="55"/>
        <v>0</v>
      </c>
      <c r="M143" s="123">
        <f t="shared" si="56"/>
        <v>0</v>
      </c>
      <c r="T143" s="109">
        <f>IF(Z143=1,IF(T142=MiscData!$F$1,EOMONTH(T142,-11),EOMONTH(T142,1)),T142)</f>
        <v>42551</v>
      </c>
      <c r="U143" s="108" t="str">
        <f t="shared" si="57"/>
        <v>20140101LE_957BASE</v>
      </c>
      <c r="V143" s="126" t="str">
        <f t="shared" si="58"/>
        <v xml:space="preserve">20140101LS </v>
      </c>
      <c r="Y143" s="98">
        <f>MiscData!$X$5</f>
        <v>20140101</v>
      </c>
      <c r="Z143" s="98">
        <f>IF(Z142+1&gt;MiscData!$AF$28,1,Z142+1)</f>
        <v>22</v>
      </c>
      <c r="AA143" s="98" t="str">
        <f>VLOOKUP(Z143,MiscData!$AF$5:$AG$28,2,FALSE)</f>
        <v>LE_957BASE</v>
      </c>
      <c r="AB143" s="98" t="str">
        <f>VLOOKUP(Z143,MiscData!$AF$5:$AH$28,3,FALSE)</f>
        <v xml:space="preserve">LS </v>
      </c>
    </row>
    <row r="144" spans="1:28" hidden="1">
      <c r="A144" s="108">
        <f t="shared" si="59"/>
        <v>92</v>
      </c>
      <c r="B144" s="109" t="str">
        <f t="shared" si="50"/>
        <v>Jun 2016</v>
      </c>
      <c r="C144" s="110" t="str">
        <f t="shared" si="51"/>
        <v>RLS</v>
      </c>
      <c r="D144" s="110" t="str">
        <f t="shared" si="52"/>
        <v>LE_958POLE</v>
      </c>
      <c r="E144" s="569">
        <f t="shared" si="53"/>
        <v>36</v>
      </c>
      <c r="F144" s="116">
        <f>SUMIF(PoleRates!$E$4:$E$131,$U144,PoleRates!$F$4:$F$131)</f>
        <v>11.31</v>
      </c>
      <c r="G144" s="118">
        <f t="shared" si="48"/>
        <v>407.16</v>
      </c>
      <c r="H144" s="118">
        <f t="shared" si="49"/>
        <v>407.16</v>
      </c>
      <c r="I144" s="570">
        <f t="shared" si="46"/>
        <v>0</v>
      </c>
      <c r="J144" s="121">
        <f t="shared" si="54"/>
        <v>0</v>
      </c>
      <c r="K144" s="122">
        <f t="shared" si="47"/>
        <v>0</v>
      </c>
      <c r="L144" s="123">
        <f t="shared" si="55"/>
        <v>407.16</v>
      </c>
      <c r="M144" s="123">
        <f t="shared" si="56"/>
        <v>-407.16</v>
      </c>
      <c r="T144" s="109">
        <f>IF(Z144=1,IF(T143=MiscData!$F$1,EOMONTH(T143,-11),EOMONTH(T143,1)),T143)</f>
        <v>42551</v>
      </c>
      <c r="U144" s="108" t="str">
        <f t="shared" si="57"/>
        <v>20140101LE_958POLE</v>
      </c>
      <c r="V144" s="126" t="str">
        <f t="shared" si="58"/>
        <v>20140101RLS</v>
      </c>
      <c r="Y144" s="98">
        <f>MiscData!$X$5</f>
        <v>20140101</v>
      </c>
      <c r="Z144" s="98">
        <f>IF(Z143+1&gt;MiscData!$AF$28,1,Z143+1)</f>
        <v>23</v>
      </c>
      <c r="AA144" s="98" t="str">
        <f>VLOOKUP(Z144,MiscData!$AF$5:$AG$28,2,FALSE)</f>
        <v>LE_958POLE</v>
      </c>
      <c r="AB144" s="98" t="str">
        <f>VLOOKUP(Z144,MiscData!$AF$5:$AH$28,3,FALSE)</f>
        <v>RLS</v>
      </c>
    </row>
    <row r="145" spans="1:28" hidden="1">
      <c r="A145" s="108">
        <f t="shared" si="59"/>
        <v>92</v>
      </c>
      <c r="B145" s="109" t="str">
        <f t="shared" si="50"/>
        <v>Jun 2016</v>
      </c>
      <c r="C145" s="110" t="str">
        <f t="shared" si="51"/>
        <v xml:space="preserve">LS </v>
      </c>
      <c r="D145" s="110" t="str">
        <f t="shared" si="52"/>
        <v>LE_958POLE</v>
      </c>
      <c r="E145" s="569">
        <f t="shared" si="53"/>
        <v>416</v>
      </c>
      <c r="F145" s="116">
        <f>SUMIF(PoleRates!$E$4:$E$131,$U145,PoleRates!$F$4:$F$131)</f>
        <v>11.31</v>
      </c>
      <c r="G145" s="118">
        <f t="shared" si="48"/>
        <v>4704.96</v>
      </c>
      <c r="H145" s="118">
        <f t="shared" si="49"/>
        <v>4704.96</v>
      </c>
      <c r="I145" s="570">
        <f t="shared" si="46"/>
        <v>0</v>
      </c>
      <c r="J145" s="121">
        <f t="shared" si="54"/>
        <v>0</v>
      </c>
      <c r="K145" s="122">
        <f t="shared" si="47"/>
        <v>0</v>
      </c>
      <c r="L145" s="123">
        <f t="shared" si="55"/>
        <v>4704.96</v>
      </c>
      <c r="M145" s="123">
        <f t="shared" si="56"/>
        <v>-4704.96</v>
      </c>
      <c r="T145" s="109">
        <f>IF(Z145=1,IF(T144=MiscData!$F$1,EOMONTH(T144,-11),EOMONTH(T144,1)),T144)</f>
        <v>42551</v>
      </c>
      <c r="U145" s="108" t="str">
        <f t="shared" si="57"/>
        <v>20140101LE_958POLE</v>
      </c>
      <c r="V145" s="126" t="str">
        <f t="shared" si="58"/>
        <v xml:space="preserve">20140101LS </v>
      </c>
      <c r="Y145" s="98">
        <f>MiscData!$X$5</f>
        <v>20140101</v>
      </c>
      <c r="Z145" s="98">
        <f>IF(Z144+1&gt;MiscData!$AF$28,1,Z144+1)</f>
        <v>24</v>
      </c>
      <c r="AA145" s="98" t="str">
        <f>VLOOKUP(Z145,MiscData!$AF$5:$AG$28,2,FALSE)</f>
        <v>LE_958POLE</v>
      </c>
      <c r="AB145" s="98" t="str">
        <f>VLOOKUP(Z145,MiscData!$AF$5:$AH$28,3,FALSE)</f>
        <v xml:space="preserve">LS </v>
      </c>
    </row>
    <row r="146" spans="1:28" hidden="1">
      <c r="A146" s="108">
        <f t="shared" si="59"/>
        <v>93</v>
      </c>
      <c r="B146" s="109" t="str">
        <f t="shared" si="50"/>
        <v>Jul 2015</v>
      </c>
      <c r="C146" s="110" t="str">
        <f t="shared" si="51"/>
        <v>RLS</v>
      </c>
      <c r="D146" s="110" t="str">
        <f t="shared" si="52"/>
        <v>LE_900POLE</v>
      </c>
      <c r="E146" s="569">
        <f t="shared" si="53"/>
        <v>1627</v>
      </c>
      <c r="F146" s="116">
        <f>SUMIF(PoleRates!$E$4:$E$131,$U146,PoleRates!$F$4:$F$131)</f>
        <v>2.06</v>
      </c>
      <c r="G146" s="118">
        <f t="shared" si="48"/>
        <v>3351.62</v>
      </c>
      <c r="H146" s="118">
        <f t="shared" si="49"/>
        <v>3351.62</v>
      </c>
      <c r="I146" s="570">
        <f t="shared" si="46"/>
        <v>0</v>
      </c>
      <c r="J146" s="121">
        <f t="shared" si="54"/>
        <v>0</v>
      </c>
      <c r="K146" s="122">
        <f t="shared" si="47"/>
        <v>0</v>
      </c>
      <c r="L146" s="123">
        <f t="shared" si="55"/>
        <v>3351.62</v>
      </c>
      <c r="M146" s="123">
        <f t="shared" si="56"/>
        <v>-3351.62</v>
      </c>
      <c r="T146" s="109">
        <f>IF(Z146=1,IF(T145=MiscData!$F$1,EOMONTH(T145,-11),EOMONTH(T145,1)),T145)</f>
        <v>42216</v>
      </c>
      <c r="U146" s="108" t="str">
        <f t="shared" si="57"/>
        <v>20140101LE_900POLE</v>
      </c>
      <c r="V146" s="126" t="str">
        <f t="shared" si="58"/>
        <v>20140101RLS</v>
      </c>
      <c r="Y146" s="98">
        <f>MiscData!$X$5</f>
        <v>20140101</v>
      </c>
      <c r="Z146" s="98">
        <f>IF(Z145+1&gt;MiscData!$AF$28,1,Z145+1)</f>
        <v>1</v>
      </c>
      <c r="AA146" s="98" t="str">
        <f>VLOOKUP(Z146,MiscData!$AF$5:$AG$28,2,FALSE)</f>
        <v>LE_900POLE</v>
      </c>
      <c r="AB146" s="98" t="str">
        <f>VLOOKUP(Z146,MiscData!$AF$5:$AH$28,3,FALSE)</f>
        <v>RLS</v>
      </c>
    </row>
    <row r="147" spans="1:28" hidden="1">
      <c r="A147" s="108">
        <f t="shared" si="59"/>
        <v>93</v>
      </c>
      <c r="B147" s="109" t="str">
        <f t="shared" si="50"/>
        <v>Jul 2015</v>
      </c>
      <c r="C147" s="110" t="str">
        <f t="shared" si="51"/>
        <v xml:space="preserve">LS </v>
      </c>
      <c r="D147" s="110" t="str">
        <f t="shared" si="52"/>
        <v>LE_900POLE</v>
      </c>
      <c r="E147" s="569">
        <f t="shared" si="53"/>
        <v>5224</v>
      </c>
      <c r="F147" s="116">
        <f>SUMIF(PoleRates!$E$4:$E$131,$U147,PoleRates!$F$4:$F$131)</f>
        <v>2.06</v>
      </c>
      <c r="G147" s="118">
        <f t="shared" si="48"/>
        <v>10761.44</v>
      </c>
      <c r="H147" s="118">
        <f t="shared" si="49"/>
        <v>10761.44</v>
      </c>
      <c r="I147" s="570">
        <f t="shared" si="46"/>
        <v>0</v>
      </c>
      <c r="J147" s="121">
        <f t="shared" si="54"/>
        <v>0</v>
      </c>
      <c r="K147" s="122">
        <f t="shared" si="47"/>
        <v>0</v>
      </c>
      <c r="L147" s="123">
        <f t="shared" si="55"/>
        <v>10761.44</v>
      </c>
      <c r="M147" s="123">
        <f t="shared" si="56"/>
        <v>-10761.44</v>
      </c>
      <c r="T147" s="109">
        <f>IF(Z147=1,IF(T146=MiscData!$F$1,EOMONTH(T146,-11),EOMONTH(T146,1)),T146)</f>
        <v>42216</v>
      </c>
      <c r="U147" s="108" t="str">
        <f t="shared" si="57"/>
        <v>20140101LE_900POLE</v>
      </c>
      <c r="V147" s="126" t="str">
        <f t="shared" si="58"/>
        <v xml:space="preserve">20140101LS </v>
      </c>
      <c r="Y147" s="98">
        <f>MiscData!$X$5</f>
        <v>20140101</v>
      </c>
      <c r="Z147" s="98">
        <f>IF(Z146+1&gt;MiscData!$AF$28,1,Z146+1)</f>
        <v>2</v>
      </c>
      <c r="AA147" s="98" t="str">
        <f>VLOOKUP(Z147,MiscData!$AF$5:$AG$28,2,FALSE)</f>
        <v>LE_900POLE</v>
      </c>
      <c r="AB147" s="98" t="str">
        <f>VLOOKUP(Z147,MiscData!$AF$5:$AH$28,3,FALSE)</f>
        <v xml:space="preserve">LS </v>
      </c>
    </row>
    <row r="148" spans="1:28" hidden="1">
      <c r="A148" s="108">
        <f t="shared" si="59"/>
        <v>94</v>
      </c>
      <c r="B148" s="109" t="str">
        <f t="shared" si="50"/>
        <v>Jul 2015</v>
      </c>
      <c r="C148" s="110" t="str">
        <f t="shared" si="51"/>
        <v>RLS</v>
      </c>
      <c r="D148" s="110" t="str">
        <f t="shared" si="52"/>
        <v>LE_901POLE</v>
      </c>
      <c r="E148" s="569">
        <f t="shared" si="53"/>
        <v>155</v>
      </c>
      <c r="F148" s="116">
        <f>SUMIF(PoleRates!$E$4:$E$131,$U148,PoleRates!$F$4:$F$131)</f>
        <v>10.81</v>
      </c>
      <c r="G148" s="118">
        <f t="shared" si="48"/>
        <v>1675.55</v>
      </c>
      <c r="H148" s="118">
        <f t="shared" si="49"/>
        <v>1675.55</v>
      </c>
      <c r="I148" s="570">
        <f t="shared" si="46"/>
        <v>0</v>
      </c>
      <c r="J148" s="121">
        <f t="shared" si="54"/>
        <v>0</v>
      </c>
      <c r="K148" s="122">
        <f t="shared" si="47"/>
        <v>0</v>
      </c>
      <c r="L148" s="123">
        <f t="shared" si="55"/>
        <v>1675.55</v>
      </c>
      <c r="M148" s="123">
        <f t="shared" si="56"/>
        <v>-1675.55</v>
      </c>
      <c r="T148" s="109">
        <f>IF(Z148=1,IF(T147=MiscData!$F$1,EOMONTH(T147,-11),EOMONTH(T147,1)),T147)</f>
        <v>42216</v>
      </c>
      <c r="U148" s="108" t="str">
        <f t="shared" si="57"/>
        <v>20140101LE_901POLE</v>
      </c>
      <c r="V148" s="126" t="str">
        <f t="shared" si="58"/>
        <v>20140101RLS</v>
      </c>
      <c r="Y148" s="98">
        <f>MiscData!$X$5</f>
        <v>20140101</v>
      </c>
      <c r="Z148" s="98">
        <f>IF(Z147+1&gt;MiscData!$AF$28,1,Z147+1)</f>
        <v>3</v>
      </c>
      <c r="AA148" s="98" t="str">
        <f>VLOOKUP(Z148,MiscData!$AF$5:$AG$28,2,FALSE)</f>
        <v>LE_901POLE</v>
      </c>
      <c r="AB148" s="98" t="str">
        <f>VLOOKUP(Z148,MiscData!$AF$5:$AH$28,3,FALSE)</f>
        <v>RLS</v>
      </c>
    </row>
    <row r="149" spans="1:28" hidden="1">
      <c r="A149" s="108">
        <f t="shared" si="59"/>
        <v>94</v>
      </c>
      <c r="B149" s="109" t="str">
        <f t="shared" si="50"/>
        <v>Jul 2015</v>
      </c>
      <c r="C149" s="110" t="str">
        <f t="shared" si="51"/>
        <v xml:space="preserve">LS </v>
      </c>
      <c r="D149" s="110" t="str">
        <f t="shared" si="52"/>
        <v>LE_901POLE</v>
      </c>
      <c r="E149" s="569">
        <f t="shared" si="53"/>
        <v>0</v>
      </c>
      <c r="F149" s="116">
        <f>SUMIF(PoleRates!$E$4:$E$131,$U149,PoleRates!$F$4:$F$131)</f>
        <v>10.81</v>
      </c>
      <c r="G149" s="118">
        <f t="shared" si="48"/>
        <v>0</v>
      </c>
      <c r="H149" s="118">
        <f t="shared" si="49"/>
        <v>0</v>
      </c>
      <c r="I149" s="570">
        <f t="shared" si="46"/>
        <v>0</v>
      </c>
      <c r="J149" s="121">
        <f t="shared" si="54"/>
        <v>1</v>
      </c>
      <c r="K149" s="122">
        <f t="shared" si="47"/>
        <v>0</v>
      </c>
      <c r="L149" s="123">
        <f t="shared" si="55"/>
        <v>0</v>
      </c>
      <c r="M149" s="123">
        <f t="shared" si="56"/>
        <v>0</v>
      </c>
      <c r="T149" s="109">
        <f>IF(Z149=1,IF(T148=MiscData!$F$1,EOMONTH(T148,-11),EOMONTH(T148,1)),T148)</f>
        <v>42216</v>
      </c>
      <c r="U149" s="108" t="str">
        <f t="shared" si="57"/>
        <v>20140101LE_901POLE</v>
      </c>
      <c r="V149" s="126" t="str">
        <f t="shared" si="58"/>
        <v xml:space="preserve">20140101LS </v>
      </c>
      <c r="Y149" s="98">
        <f>MiscData!$X$5</f>
        <v>20140101</v>
      </c>
      <c r="Z149" s="98">
        <f>IF(Z148+1&gt;MiscData!$AF$28,1,Z148+1)</f>
        <v>4</v>
      </c>
      <c r="AA149" s="98" t="str">
        <f>VLOOKUP(Z149,MiscData!$AF$5:$AG$28,2,FALSE)</f>
        <v>LE_901POLE</v>
      </c>
      <c r="AB149" s="98" t="str">
        <f>VLOOKUP(Z149,MiscData!$AF$5:$AH$28,3,FALSE)</f>
        <v xml:space="preserve">LS </v>
      </c>
    </row>
    <row r="150" spans="1:28" hidden="1">
      <c r="A150" s="108">
        <f t="shared" si="59"/>
        <v>95</v>
      </c>
      <c r="B150" s="109" t="str">
        <f t="shared" si="50"/>
        <v>Jul 2015</v>
      </c>
      <c r="C150" s="110" t="str">
        <f t="shared" si="51"/>
        <v>RLS</v>
      </c>
      <c r="D150" s="110" t="str">
        <f t="shared" si="52"/>
        <v>LE_902POLE</v>
      </c>
      <c r="E150" s="569">
        <f t="shared" si="53"/>
        <v>277</v>
      </c>
      <c r="F150" s="116">
        <f>SUMIF(PoleRates!$E$4:$E$131,$U150,PoleRates!$F$4:$F$131)</f>
        <v>12.9</v>
      </c>
      <c r="G150" s="118">
        <f t="shared" si="48"/>
        <v>3573.3</v>
      </c>
      <c r="H150" s="118">
        <f t="shared" si="49"/>
        <v>3573.3</v>
      </c>
      <c r="I150" s="570">
        <f t="shared" si="46"/>
        <v>0</v>
      </c>
      <c r="J150" s="121">
        <f t="shared" si="54"/>
        <v>0</v>
      </c>
      <c r="K150" s="122">
        <f t="shared" si="47"/>
        <v>0</v>
      </c>
      <c r="L150" s="123">
        <f t="shared" si="55"/>
        <v>3573.3</v>
      </c>
      <c r="M150" s="123">
        <f t="shared" si="56"/>
        <v>-3573.3</v>
      </c>
      <c r="T150" s="109">
        <f>IF(Z150=1,IF(T149=MiscData!$F$1,EOMONTH(T149,-11),EOMONTH(T149,1)),T149)</f>
        <v>42216</v>
      </c>
      <c r="U150" s="108" t="str">
        <f t="shared" si="57"/>
        <v>20140101LE_902POLE</v>
      </c>
      <c r="V150" s="126" t="str">
        <f t="shared" si="58"/>
        <v>20140101RLS</v>
      </c>
      <c r="Y150" s="98">
        <f>MiscData!$X$5</f>
        <v>20140101</v>
      </c>
      <c r="Z150" s="98">
        <f>IF(Z149+1&gt;MiscData!$AF$28,1,Z149+1)</f>
        <v>5</v>
      </c>
      <c r="AA150" s="98" t="str">
        <f>VLOOKUP(Z150,MiscData!$AF$5:$AG$28,2,FALSE)</f>
        <v>LE_902POLE</v>
      </c>
      <c r="AB150" s="98" t="str">
        <f>VLOOKUP(Z150,MiscData!$AF$5:$AH$28,3,FALSE)</f>
        <v>RLS</v>
      </c>
    </row>
    <row r="151" spans="1:28" hidden="1">
      <c r="A151" s="108">
        <f t="shared" si="59"/>
        <v>95</v>
      </c>
      <c r="B151" s="109" t="str">
        <f t="shared" si="50"/>
        <v>Jul 2015</v>
      </c>
      <c r="C151" s="110" t="str">
        <f t="shared" si="51"/>
        <v xml:space="preserve">LS </v>
      </c>
      <c r="D151" s="110" t="str">
        <f t="shared" si="52"/>
        <v>LE_902POLE</v>
      </c>
      <c r="E151" s="569">
        <f t="shared" si="53"/>
        <v>3</v>
      </c>
      <c r="F151" s="116">
        <f>SUMIF(PoleRates!$E$4:$E$131,$U151,PoleRates!$F$4:$F$131)</f>
        <v>12.9</v>
      </c>
      <c r="G151" s="118">
        <f t="shared" si="48"/>
        <v>38.700000000000003</v>
      </c>
      <c r="H151" s="118">
        <f t="shared" si="49"/>
        <v>38.700000000000003</v>
      </c>
      <c r="I151" s="570">
        <f t="shared" si="46"/>
        <v>0</v>
      </c>
      <c r="J151" s="121">
        <f t="shared" si="54"/>
        <v>0</v>
      </c>
      <c r="K151" s="122">
        <f t="shared" si="47"/>
        <v>0</v>
      </c>
      <c r="L151" s="123">
        <f t="shared" si="55"/>
        <v>38.700000000000003</v>
      </c>
      <c r="M151" s="123">
        <f t="shared" si="56"/>
        <v>-38.700000000000003</v>
      </c>
      <c r="T151" s="109">
        <f>IF(Z151=1,IF(T150=MiscData!$F$1,EOMONTH(T150,-11),EOMONTH(T150,1)),T150)</f>
        <v>42216</v>
      </c>
      <c r="U151" s="108" t="str">
        <f t="shared" si="57"/>
        <v>20140101LE_902POLE</v>
      </c>
      <c r="V151" s="126" t="str">
        <f t="shared" si="58"/>
        <v xml:space="preserve">20140101LS </v>
      </c>
      <c r="Y151" s="98">
        <f>MiscData!$X$5</f>
        <v>20140101</v>
      </c>
      <c r="Z151" s="98">
        <f>IF(Z150+1&gt;MiscData!$AF$28,1,Z150+1)</f>
        <v>6</v>
      </c>
      <c r="AA151" s="98" t="str">
        <f>VLOOKUP(Z151,MiscData!$AF$5:$AG$28,2,FALSE)</f>
        <v>LE_902POLE</v>
      </c>
      <c r="AB151" s="98" t="str">
        <f>VLOOKUP(Z151,MiscData!$AF$5:$AH$28,3,FALSE)</f>
        <v xml:space="preserve">LS </v>
      </c>
    </row>
    <row r="152" spans="1:28" hidden="1">
      <c r="A152" s="108">
        <f t="shared" si="59"/>
        <v>96</v>
      </c>
      <c r="B152" s="109" t="str">
        <f t="shared" si="50"/>
        <v>Jul 2015</v>
      </c>
      <c r="C152" s="110" t="str">
        <f t="shared" si="51"/>
        <v>RLS</v>
      </c>
      <c r="D152" s="110" t="str">
        <f t="shared" si="52"/>
        <v>LE_950BASE</v>
      </c>
      <c r="E152" s="569">
        <f t="shared" si="53"/>
        <v>75</v>
      </c>
      <c r="F152" s="116">
        <f>SUMIF(PoleRates!$E$4:$E$131,$U152,PoleRates!$F$4:$F$131)</f>
        <v>3.47</v>
      </c>
      <c r="G152" s="118">
        <f t="shared" si="48"/>
        <v>260.25</v>
      </c>
      <c r="H152" s="118">
        <f t="shared" si="49"/>
        <v>260.25</v>
      </c>
      <c r="I152" s="570">
        <f t="shared" si="46"/>
        <v>0</v>
      </c>
      <c r="J152" s="121">
        <f t="shared" si="54"/>
        <v>0</v>
      </c>
      <c r="K152" s="122">
        <f t="shared" si="47"/>
        <v>0</v>
      </c>
      <c r="L152" s="123">
        <f t="shared" si="55"/>
        <v>260.25</v>
      </c>
      <c r="M152" s="123">
        <f t="shared" si="56"/>
        <v>-260.25</v>
      </c>
      <c r="T152" s="109">
        <f>IF(Z152=1,IF(T151=MiscData!$F$1,EOMONTH(T151,-11),EOMONTH(T151,1)),T151)</f>
        <v>42216</v>
      </c>
      <c r="U152" s="108" t="str">
        <f t="shared" si="57"/>
        <v>20140101LE_950BASE</v>
      </c>
      <c r="V152" s="126" t="str">
        <f t="shared" si="58"/>
        <v>20140101RLS</v>
      </c>
      <c r="Y152" s="98">
        <f>MiscData!$X$5</f>
        <v>20140101</v>
      </c>
      <c r="Z152" s="98">
        <f>IF(Z151+1&gt;MiscData!$AF$28,1,Z151+1)</f>
        <v>7</v>
      </c>
      <c r="AA152" s="98" t="str">
        <f>VLOOKUP(Z152,MiscData!$AF$5:$AG$28,2,FALSE)</f>
        <v>LE_950BASE</v>
      </c>
      <c r="AB152" s="98" t="str">
        <f>VLOOKUP(Z152,MiscData!$AF$5:$AH$28,3,FALSE)</f>
        <v>RLS</v>
      </c>
    </row>
    <row r="153" spans="1:28" hidden="1">
      <c r="A153" s="108">
        <f t="shared" si="59"/>
        <v>96</v>
      </c>
      <c r="B153" s="109" t="str">
        <f t="shared" si="50"/>
        <v>Jul 2015</v>
      </c>
      <c r="C153" s="110" t="str">
        <f t="shared" si="51"/>
        <v xml:space="preserve">LS </v>
      </c>
      <c r="D153" s="110" t="str">
        <f t="shared" si="52"/>
        <v>LE_950BASE</v>
      </c>
      <c r="E153" s="569">
        <f t="shared" si="53"/>
        <v>13</v>
      </c>
      <c r="F153" s="116">
        <f>SUMIF(PoleRates!$E$4:$E$131,$U153,PoleRates!$F$4:$F$131)</f>
        <v>3.47</v>
      </c>
      <c r="G153" s="118">
        <f t="shared" si="48"/>
        <v>45.11</v>
      </c>
      <c r="H153" s="118">
        <f t="shared" si="49"/>
        <v>45.11</v>
      </c>
      <c r="I153" s="570">
        <f t="shared" si="46"/>
        <v>0</v>
      </c>
      <c r="J153" s="121">
        <f t="shared" si="54"/>
        <v>0</v>
      </c>
      <c r="K153" s="122">
        <f t="shared" si="47"/>
        <v>0</v>
      </c>
      <c r="L153" s="123">
        <f t="shared" si="55"/>
        <v>45.11</v>
      </c>
      <c r="M153" s="123">
        <f t="shared" si="56"/>
        <v>-45.11</v>
      </c>
      <c r="T153" s="109">
        <f>IF(Z153=1,IF(T152=MiscData!$F$1,EOMONTH(T152,-11),EOMONTH(T152,1)),T152)</f>
        <v>42216</v>
      </c>
      <c r="U153" s="108" t="str">
        <f t="shared" si="57"/>
        <v>20140101LE_950BASE</v>
      </c>
      <c r="V153" s="126" t="str">
        <f t="shared" si="58"/>
        <v xml:space="preserve">20140101LS </v>
      </c>
      <c r="Y153" s="98">
        <f>MiscData!$X$5</f>
        <v>20140101</v>
      </c>
      <c r="Z153" s="98">
        <f>IF(Z152+1&gt;MiscData!$AF$28,1,Z152+1)</f>
        <v>8</v>
      </c>
      <c r="AA153" s="98" t="str">
        <f>VLOOKUP(Z153,MiscData!$AF$5:$AG$28,2,FALSE)</f>
        <v>LE_950BASE</v>
      </c>
      <c r="AB153" s="98" t="str">
        <f>VLOOKUP(Z153,MiscData!$AF$5:$AH$28,3,FALSE)</f>
        <v xml:space="preserve">LS </v>
      </c>
    </row>
    <row r="154" spans="1:28" hidden="1">
      <c r="A154" s="108">
        <f t="shared" si="59"/>
        <v>97</v>
      </c>
      <c r="B154" s="109" t="str">
        <f t="shared" si="50"/>
        <v>Jul 2015</v>
      </c>
      <c r="C154" s="110" t="str">
        <f t="shared" si="51"/>
        <v>RLS</v>
      </c>
      <c r="D154" s="110" t="str">
        <f t="shared" si="52"/>
        <v>LE_951BASE</v>
      </c>
      <c r="E154" s="569">
        <f t="shared" si="53"/>
        <v>195</v>
      </c>
      <c r="F154" s="116">
        <f>SUMIF(PoleRates!$E$4:$E$131,$U154,PoleRates!$F$4:$F$131)</f>
        <v>3.73</v>
      </c>
      <c r="G154" s="118">
        <f t="shared" si="48"/>
        <v>727.35</v>
      </c>
      <c r="H154" s="118">
        <f t="shared" si="49"/>
        <v>727.35</v>
      </c>
      <c r="I154" s="570">
        <f t="shared" si="46"/>
        <v>0</v>
      </c>
      <c r="J154" s="121">
        <f t="shared" si="54"/>
        <v>0</v>
      </c>
      <c r="K154" s="122">
        <f t="shared" si="47"/>
        <v>0</v>
      </c>
      <c r="L154" s="123">
        <f t="shared" si="55"/>
        <v>727.35</v>
      </c>
      <c r="M154" s="123">
        <f t="shared" si="56"/>
        <v>-727.35</v>
      </c>
      <c r="T154" s="109">
        <f>IF(Z154=1,IF(T153=MiscData!$F$1,EOMONTH(T153,-11),EOMONTH(T153,1)),T153)</f>
        <v>42216</v>
      </c>
      <c r="U154" s="108" t="str">
        <f t="shared" si="57"/>
        <v>20140101LE_951BASE</v>
      </c>
      <c r="V154" s="126" t="str">
        <f t="shared" si="58"/>
        <v>20140101RLS</v>
      </c>
      <c r="Y154" s="98">
        <f>MiscData!$X$5</f>
        <v>20140101</v>
      </c>
      <c r="Z154" s="98">
        <f>IF(Z153+1&gt;MiscData!$AF$28,1,Z153+1)</f>
        <v>9</v>
      </c>
      <c r="AA154" s="98" t="str">
        <f>VLOOKUP(Z154,MiscData!$AF$5:$AG$28,2,FALSE)</f>
        <v>LE_951BASE</v>
      </c>
      <c r="AB154" s="98" t="str">
        <f>VLOOKUP(Z154,MiscData!$AF$5:$AH$28,3,FALSE)</f>
        <v>RLS</v>
      </c>
    </row>
    <row r="155" spans="1:28" hidden="1">
      <c r="A155" s="108">
        <f t="shared" si="59"/>
        <v>97</v>
      </c>
      <c r="B155" s="109" t="str">
        <f t="shared" si="50"/>
        <v>Jul 2015</v>
      </c>
      <c r="C155" s="110" t="str">
        <f t="shared" si="51"/>
        <v xml:space="preserve">LS </v>
      </c>
      <c r="D155" s="110" t="str">
        <f t="shared" si="52"/>
        <v>LE_951BASE</v>
      </c>
      <c r="E155" s="569">
        <f t="shared" si="53"/>
        <v>73</v>
      </c>
      <c r="F155" s="116">
        <f>SUMIF(PoleRates!$E$4:$E$131,$U155,PoleRates!$F$4:$F$131)</f>
        <v>3.73</v>
      </c>
      <c r="G155" s="118">
        <f t="shared" si="48"/>
        <v>272.29000000000002</v>
      </c>
      <c r="H155" s="118">
        <f t="shared" si="49"/>
        <v>272.29000000000002</v>
      </c>
      <c r="I155" s="570">
        <f t="shared" si="46"/>
        <v>0</v>
      </c>
      <c r="J155" s="121">
        <f t="shared" si="54"/>
        <v>0</v>
      </c>
      <c r="K155" s="122">
        <f t="shared" si="47"/>
        <v>0</v>
      </c>
      <c r="L155" s="123">
        <f t="shared" si="55"/>
        <v>272.29000000000002</v>
      </c>
      <c r="M155" s="123">
        <f t="shared" si="56"/>
        <v>-272.29000000000002</v>
      </c>
      <c r="T155" s="109">
        <f>IF(Z155=1,IF(T154=MiscData!$F$1,EOMONTH(T154,-11),EOMONTH(T154,1)),T154)</f>
        <v>42216</v>
      </c>
      <c r="U155" s="108" t="str">
        <f t="shared" si="57"/>
        <v>20140101LE_951BASE</v>
      </c>
      <c r="V155" s="126" t="str">
        <f t="shared" si="58"/>
        <v xml:space="preserve">20140101LS </v>
      </c>
      <c r="Y155" s="98">
        <f>MiscData!$X$5</f>
        <v>20140101</v>
      </c>
      <c r="Z155" s="98">
        <f>IF(Z154+1&gt;MiscData!$AF$28,1,Z154+1)</f>
        <v>10</v>
      </c>
      <c r="AA155" s="98" t="str">
        <f>VLOOKUP(Z155,MiscData!$AF$5:$AG$28,2,FALSE)</f>
        <v>LE_951BASE</v>
      </c>
      <c r="AB155" s="98" t="str">
        <f>VLOOKUP(Z155,MiscData!$AF$5:$AH$28,3,FALSE)</f>
        <v xml:space="preserve">LS </v>
      </c>
    </row>
    <row r="156" spans="1:28">
      <c r="A156" s="108">
        <f>A66+1</f>
        <v>66</v>
      </c>
      <c r="B156" s="109" t="str">
        <f t="shared" si="50"/>
        <v>Jul 2015</v>
      </c>
      <c r="C156" s="110" t="str">
        <f t="shared" si="51"/>
        <v>RLS</v>
      </c>
      <c r="D156" s="110" t="str">
        <f t="shared" si="52"/>
        <v>LE_952BASE</v>
      </c>
      <c r="E156" s="569">
        <f t="shared" si="53"/>
        <v>0</v>
      </c>
      <c r="F156" s="116">
        <f>SUMIF(PoleRates!$E$4:$E$131,$U156,PoleRates!$F$4:$F$131)</f>
        <v>3.56</v>
      </c>
      <c r="G156" s="118">
        <f t="shared" si="48"/>
        <v>0</v>
      </c>
      <c r="H156" s="118">
        <f t="shared" si="49"/>
        <v>0</v>
      </c>
      <c r="I156" s="570">
        <f t="shared" si="46"/>
        <v>0</v>
      </c>
      <c r="J156" s="121">
        <f t="shared" si="54"/>
        <v>1</v>
      </c>
      <c r="K156" s="122">
        <f t="shared" si="47"/>
        <v>0</v>
      </c>
      <c r="L156" s="123">
        <f t="shared" si="55"/>
        <v>0</v>
      </c>
      <c r="M156" s="123">
        <f t="shared" si="56"/>
        <v>0</v>
      </c>
      <c r="T156" s="109">
        <f>IF(Z156=1,IF(T155=MiscData!$F$1,EOMONTH(T155,-11),EOMONTH(T155,1)),T155)</f>
        <v>42216</v>
      </c>
      <c r="U156" s="108" t="str">
        <f t="shared" si="57"/>
        <v>20140101LE_952BASE</v>
      </c>
      <c r="V156" s="126" t="str">
        <f t="shared" si="58"/>
        <v>20140101RLS</v>
      </c>
      <c r="Y156" s="98">
        <f>MiscData!$X$5</f>
        <v>20140101</v>
      </c>
      <c r="Z156" s="98">
        <f>IF(Z155+1&gt;MiscData!$AF$28,1,Z155+1)</f>
        <v>11</v>
      </c>
      <c r="AA156" s="98" t="str">
        <f>VLOOKUP(Z156,MiscData!$AF$5:$AG$28,2,FALSE)</f>
        <v>LE_952BASE</v>
      </c>
      <c r="AB156" s="98" t="str">
        <f>VLOOKUP(Z156,MiscData!$AF$5:$AH$28,3,FALSE)</f>
        <v>RLS</v>
      </c>
    </row>
    <row r="157" spans="1:28" hidden="1">
      <c r="A157" s="108">
        <f>A67+1</f>
        <v>66</v>
      </c>
      <c r="B157" s="109" t="str">
        <f t="shared" si="50"/>
        <v>Jul 2015</v>
      </c>
      <c r="C157" s="110" t="str">
        <f t="shared" si="51"/>
        <v xml:space="preserve">LS </v>
      </c>
      <c r="D157" s="110" t="str">
        <f t="shared" si="52"/>
        <v>LE_952BASE</v>
      </c>
      <c r="E157" s="569">
        <f t="shared" si="53"/>
        <v>0</v>
      </c>
      <c r="F157" s="116">
        <f>SUMIF(PoleRates!$E$4:$E$131,$U157,PoleRates!$F$4:$F$131)</f>
        <v>3.56</v>
      </c>
      <c r="G157" s="118">
        <f t="shared" si="48"/>
        <v>0</v>
      </c>
      <c r="H157" s="118">
        <f t="shared" si="49"/>
        <v>0</v>
      </c>
      <c r="I157" s="570">
        <f t="shared" si="46"/>
        <v>0</v>
      </c>
      <c r="J157" s="121">
        <f t="shared" si="54"/>
        <v>1</v>
      </c>
      <c r="K157" s="122">
        <f t="shared" si="47"/>
        <v>0</v>
      </c>
      <c r="L157" s="123">
        <f t="shared" si="55"/>
        <v>0</v>
      </c>
      <c r="M157" s="123">
        <f t="shared" si="56"/>
        <v>0</v>
      </c>
      <c r="T157" s="109">
        <f>IF(Z157=1,IF(T156=MiscData!$F$1,EOMONTH(T156,-11),EOMONTH(T156,1)),T156)</f>
        <v>42216</v>
      </c>
      <c r="U157" s="108" t="str">
        <f t="shared" si="57"/>
        <v>20140101LE_952BASE</v>
      </c>
      <c r="V157" s="126" t="str">
        <f t="shared" si="58"/>
        <v xml:space="preserve">20140101LS </v>
      </c>
      <c r="Y157" s="98">
        <f>MiscData!$X$5</f>
        <v>20140101</v>
      </c>
      <c r="Z157" s="98">
        <f>IF(Z156+1&gt;MiscData!$AF$28,1,Z156+1)</f>
        <v>12</v>
      </c>
      <c r="AA157" s="98" t="str">
        <f>VLOOKUP(Z157,MiscData!$AF$5:$AG$28,2,FALSE)</f>
        <v>LE_952BASE</v>
      </c>
      <c r="AB157" s="98" t="str">
        <f>VLOOKUP(Z157,MiscData!$AF$5:$AH$28,3,FALSE)</f>
        <v xml:space="preserve">LS </v>
      </c>
    </row>
    <row r="158" spans="1:28">
      <c r="A158" s="108">
        <f t="shared" ref="A158:A177" si="60">A156+1</f>
        <v>67</v>
      </c>
      <c r="B158" s="109" t="str">
        <f t="shared" si="50"/>
        <v>Jul 2015</v>
      </c>
      <c r="C158" s="110" t="str">
        <f t="shared" si="51"/>
        <v>RLS</v>
      </c>
      <c r="D158" s="110" t="str">
        <f t="shared" si="52"/>
        <v>LE_953BASE</v>
      </c>
      <c r="E158" s="569">
        <f t="shared" si="53"/>
        <v>0</v>
      </c>
      <c r="F158" s="116">
        <f>SUMIF(PoleRates!$E$4:$E$131,$U158,PoleRates!$F$4:$F$131)</f>
        <v>3.73</v>
      </c>
      <c r="G158" s="118">
        <f t="shared" si="48"/>
        <v>0</v>
      </c>
      <c r="H158" s="118">
        <f t="shared" si="49"/>
        <v>0</v>
      </c>
      <c r="I158" s="570">
        <f t="shared" si="46"/>
        <v>0</v>
      </c>
      <c r="J158" s="121">
        <f t="shared" si="54"/>
        <v>1</v>
      </c>
      <c r="K158" s="122">
        <f t="shared" si="47"/>
        <v>0</v>
      </c>
      <c r="L158" s="123">
        <f t="shared" si="55"/>
        <v>0</v>
      </c>
      <c r="M158" s="123">
        <f t="shared" si="56"/>
        <v>0</v>
      </c>
      <c r="T158" s="109">
        <f>IF(Z158=1,IF(T157=MiscData!$F$1,EOMONTH(T157,-11),EOMONTH(T157,1)),T157)</f>
        <v>42216</v>
      </c>
      <c r="U158" s="108" t="str">
        <f t="shared" si="57"/>
        <v>20140101LE_953BASE</v>
      </c>
      <c r="V158" s="126" t="str">
        <f t="shared" si="58"/>
        <v>20140101RLS</v>
      </c>
      <c r="Y158" s="98">
        <f>MiscData!$X$5</f>
        <v>20140101</v>
      </c>
      <c r="Z158" s="98">
        <f>IF(Z157+1&gt;MiscData!$AF$28,1,Z157+1)</f>
        <v>13</v>
      </c>
      <c r="AA158" s="98" t="str">
        <f>VLOOKUP(Z158,MiscData!$AF$5:$AG$28,2,FALSE)</f>
        <v>LE_953BASE</v>
      </c>
      <c r="AB158" s="98" t="str">
        <f>VLOOKUP(Z158,MiscData!$AF$5:$AH$28,3,FALSE)</f>
        <v>RLS</v>
      </c>
    </row>
    <row r="159" spans="1:28" hidden="1">
      <c r="A159" s="108">
        <f t="shared" si="60"/>
        <v>67</v>
      </c>
      <c r="B159" s="109" t="str">
        <f t="shared" si="50"/>
        <v>Jul 2015</v>
      </c>
      <c r="C159" s="110" t="str">
        <f t="shared" si="51"/>
        <v xml:space="preserve">LS </v>
      </c>
      <c r="D159" s="110" t="str">
        <f t="shared" si="52"/>
        <v>LE_953BASE</v>
      </c>
      <c r="E159" s="569">
        <f t="shared" si="53"/>
        <v>0</v>
      </c>
      <c r="F159" s="116">
        <f>SUMIF(PoleRates!$E$4:$E$131,$U159,PoleRates!$F$4:$F$131)</f>
        <v>3.73</v>
      </c>
      <c r="G159" s="118">
        <f t="shared" si="48"/>
        <v>0</v>
      </c>
      <c r="H159" s="118">
        <f t="shared" si="49"/>
        <v>0</v>
      </c>
      <c r="I159" s="570">
        <f t="shared" si="46"/>
        <v>0</v>
      </c>
      <c r="J159" s="121">
        <f t="shared" si="54"/>
        <v>1</v>
      </c>
      <c r="K159" s="122">
        <f t="shared" si="47"/>
        <v>0</v>
      </c>
      <c r="L159" s="123">
        <f t="shared" si="55"/>
        <v>0</v>
      </c>
      <c r="M159" s="123">
        <f t="shared" si="56"/>
        <v>0</v>
      </c>
      <c r="T159" s="109">
        <f>IF(Z159=1,IF(T158=MiscData!$F$1,EOMONTH(T158,-11),EOMONTH(T158,1)),T158)</f>
        <v>42216</v>
      </c>
      <c r="U159" s="108" t="str">
        <f t="shared" si="57"/>
        <v>20140101LE_953BASE</v>
      </c>
      <c r="V159" s="126" t="str">
        <f t="shared" si="58"/>
        <v xml:space="preserve">20140101LS </v>
      </c>
      <c r="Y159" s="98">
        <f>MiscData!$X$5</f>
        <v>20140101</v>
      </c>
      <c r="Z159" s="98">
        <f>IF(Z158+1&gt;MiscData!$AF$28,1,Z158+1)</f>
        <v>14</v>
      </c>
      <c r="AA159" s="98" t="str">
        <f>VLOOKUP(Z159,MiscData!$AF$5:$AG$28,2,FALSE)</f>
        <v>LE_953BASE</v>
      </c>
      <c r="AB159" s="98" t="str">
        <f>VLOOKUP(Z159,MiscData!$AF$5:$AH$28,3,FALSE)</f>
        <v xml:space="preserve">LS </v>
      </c>
    </row>
    <row r="160" spans="1:28">
      <c r="A160" s="108">
        <f t="shared" si="60"/>
        <v>68</v>
      </c>
      <c r="B160" s="109" t="str">
        <f t="shared" si="50"/>
        <v>Jul 2015</v>
      </c>
      <c r="C160" s="110" t="str">
        <f t="shared" si="51"/>
        <v>RLS</v>
      </c>
      <c r="D160" s="110" t="str">
        <f t="shared" si="52"/>
        <v>LE_954BASE</v>
      </c>
      <c r="E160" s="569">
        <f t="shared" si="53"/>
        <v>0</v>
      </c>
      <c r="F160" s="116">
        <f>SUMIF(PoleRates!$E$4:$E$131,$U160,PoleRates!$F$4:$F$131)</f>
        <v>3.47</v>
      </c>
      <c r="G160" s="118">
        <f t="shared" si="48"/>
        <v>0</v>
      </c>
      <c r="H160" s="118">
        <f t="shared" si="49"/>
        <v>0</v>
      </c>
      <c r="I160" s="570">
        <f t="shared" si="46"/>
        <v>0</v>
      </c>
      <c r="J160" s="121">
        <f t="shared" si="54"/>
        <v>1</v>
      </c>
      <c r="K160" s="122">
        <f t="shared" si="47"/>
        <v>0</v>
      </c>
      <c r="L160" s="123">
        <f t="shared" si="55"/>
        <v>0</v>
      </c>
      <c r="M160" s="123">
        <f t="shared" si="56"/>
        <v>0</v>
      </c>
      <c r="T160" s="109">
        <f>IF(Z160=1,IF(T159=MiscData!$F$1,EOMONTH(T159,-11),EOMONTH(T159,1)),T159)</f>
        <v>42216</v>
      </c>
      <c r="U160" s="108" t="str">
        <f t="shared" si="57"/>
        <v>20140101LE_954BASE</v>
      </c>
      <c r="V160" s="126" t="str">
        <f t="shared" si="58"/>
        <v>20140101RLS</v>
      </c>
      <c r="Y160" s="98">
        <f>MiscData!$X$5</f>
        <v>20140101</v>
      </c>
      <c r="Z160" s="98">
        <f>IF(Z159+1&gt;MiscData!$AF$28,1,Z159+1)</f>
        <v>15</v>
      </c>
      <c r="AA160" s="98" t="str">
        <f>VLOOKUP(Z160,MiscData!$AF$5:$AG$28,2,FALSE)</f>
        <v>LE_954BASE</v>
      </c>
      <c r="AB160" s="98" t="str">
        <f>VLOOKUP(Z160,MiscData!$AF$5:$AH$28,3,FALSE)</f>
        <v>RLS</v>
      </c>
    </row>
    <row r="161" spans="1:28" hidden="1">
      <c r="A161" s="108">
        <f t="shared" si="60"/>
        <v>68</v>
      </c>
      <c r="B161" s="109" t="str">
        <f t="shared" si="50"/>
        <v>Jul 2015</v>
      </c>
      <c r="C161" s="110" t="str">
        <f t="shared" si="51"/>
        <v xml:space="preserve">LS </v>
      </c>
      <c r="D161" s="110" t="str">
        <f t="shared" si="52"/>
        <v>LE_954BASE</v>
      </c>
      <c r="E161" s="569">
        <f t="shared" si="53"/>
        <v>0</v>
      </c>
      <c r="F161" s="116">
        <f>SUMIF(PoleRates!$E$4:$E$131,$U161,PoleRates!$F$4:$F$131)</f>
        <v>3.47</v>
      </c>
      <c r="G161" s="118">
        <f t="shared" si="48"/>
        <v>0</v>
      </c>
      <c r="H161" s="118">
        <f t="shared" si="49"/>
        <v>0</v>
      </c>
      <c r="I161" s="570">
        <f t="shared" si="46"/>
        <v>0</v>
      </c>
      <c r="J161" s="121">
        <f t="shared" si="54"/>
        <v>1</v>
      </c>
      <c r="K161" s="122">
        <f t="shared" si="47"/>
        <v>0</v>
      </c>
      <c r="L161" s="123">
        <f t="shared" si="55"/>
        <v>0</v>
      </c>
      <c r="M161" s="123">
        <f t="shared" si="56"/>
        <v>0</v>
      </c>
      <c r="T161" s="109">
        <f>IF(Z161=1,IF(T160=MiscData!$F$1,EOMONTH(T160,-11),EOMONTH(T160,1)),T160)</f>
        <v>42216</v>
      </c>
      <c r="U161" s="108" t="str">
        <f t="shared" si="57"/>
        <v>20140101LE_954BASE</v>
      </c>
      <c r="V161" s="126" t="str">
        <f t="shared" si="58"/>
        <v xml:space="preserve">20140101LS </v>
      </c>
      <c r="Y161" s="98">
        <f>MiscData!$X$5</f>
        <v>20140101</v>
      </c>
      <c r="Z161" s="98">
        <f>IF(Z160+1&gt;MiscData!$AF$28,1,Z160+1)</f>
        <v>16</v>
      </c>
      <c r="AA161" s="98" t="str">
        <f>VLOOKUP(Z161,MiscData!$AF$5:$AG$28,2,FALSE)</f>
        <v>LE_954BASE</v>
      </c>
      <c r="AB161" s="98" t="str">
        <f>VLOOKUP(Z161,MiscData!$AF$5:$AH$28,3,FALSE)</f>
        <v xml:space="preserve">LS </v>
      </c>
    </row>
    <row r="162" spans="1:28">
      <c r="A162" s="108">
        <f t="shared" si="60"/>
        <v>69</v>
      </c>
      <c r="B162" s="109" t="str">
        <f t="shared" si="50"/>
        <v>Jul 2015</v>
      </c>
      <c r="C162" s="110" t="str">
        <f t="shared" si="51"/>
        <v>RLS</v>
      </c>
      <c r="D162" s="110" t="str">
        <f t="shared" si="52"/>
        <v>LE_955BASE</v>
      </c>
      <c r="E162" s="569">
        <f t="shared" si="53"/>
        <v>0</v>
      </c>
      <c r="F162" s="116">
        <f>SUMIF(PoleRates!$E$4:$E$131,$U162,PoleRates!$F$4:$F$131)</f>
        <v>3.56</v>
      </c>
      <c r="G162" s="118">
        <f t="shared" si="48"/>
        <v>0</v>
      </c>
      <c r="H162" s="118">
        <f t="shared" si="49"/>
        <v>0</v>
      </c>
      <c r="I162" s="570">
        <f t="shared" si="46"/>
        <v>0</v>
      </c>
      <c r="J162" s="121">
        <f t="shared" si="54"/>
        <v>1</v>
      </c>
      <c r="K162" s="122">
        <f t="shared" si="47"/>
        <v>0</v>
      </c>
      <c r="L162" s="123">
        <f t="shared" si="55"/>
        <v>0</v>
      </c>
      <c r="M162" s="123">
        <f t="shared" si="56"/>
        <v>0</v>
      </c>
      <c r="T162" s="109">
        <f>IF(Z162=1,IF(T161=MiscData!$F$1,EOMONTH(T161,-11),EOMONTH(T161,1)),T161)</f>
        <v>42216</v>
      </c>
      <c r="U162" s="108" t="str">
        <f t="shared" si="57"/>
        <v>20140101LE_955BASE</v>
      </c>
      <c r="V162" s="126" t="str">
        <f t="shared" si="58"/>
        <v>20140101RLS</v>
      </c>
      <c r="Y162" s="98">
        <f>MiscData!$X$5</f>
        <v>20140101</v>
      </c>
      <c r="Z162" s="98">
        <f>IF(Z161+1&gt;MiscData!$AF$28,1,Z161+1)</f>
        <v>17</v>
      </c>
      <c r="AA162" s="98" t="str">
        <f>VLOOKUP(Z162,MiscData!$AF$5:$AG$28,2,FALSE)</f>
        <v>LE_955BASE</v>
      </c>
      <c r="AB162" s="98" t="str">
        <f>VLOOKUP(Z162,MiscData!$AF$5:$AH$28,3,FALSE)</f>
        <v>RLS</v>
      </c>
    </row>
    <row r="163" spans="1:28" hidden="1">
      <c r="A163" s="108">
        <f t="shared" si="60"/>
        <v>69</v>
      </c>
      <c r="B163" s="109" t="str">
        <f t="shared" si="50"/>
        <v>Jul 2015</v>
      </c>
      <c r="C163" s="110" t="str">
        <f t="shared" si="51"/>
        <v xml:space="preserve">LS </v>
      </c>
      <c r="D163" s="110" t="str">
        <f t="shared" si="52"/>
        <v>LE_955BASE</v>
      </c>
      <c r="E163" s="569">
        <f t="shared" si="53"/>
        <v>0</v>
      </c>
      <c r="F163" s="116">
        <f>SUMIF(PoleRates!$E$4:$E$131,$U163,PoleRates!$F$4:$F$131)</f>
        <v>3.56</v>
      </c>
      <c r="G163" s="118">
        <f t="shared" si="48"/>
        <v>0</v>
      </c>
      <c r="H163" s="118">
        <f t="shared" si="49"/>
        <v>0</v>
      </c>
      <c r="I163" s="570">
        <f t="shared" si="46"/>
        <v>0</v>
      </c>
      <c r="J163" s="121">
        <f t="shared" si="54"/>
        <v>1</v>
      </c>
      <c r="K163" s="122">
        <f t="shared" si="47"/>
        <v>0</v>
      </c>
      <c r="L163" s="123">
        <f t="shared" si="55"/>
        <v>0</v>
      </c>
      <c r="M163" s="123">
        <f t="shared" si="56"/>
        <v>0</v>
      </c>
      <c r="T163" s="109">
        <f>IF(Z163=1,IF(T162=MiscData!$F$1,EOMONTH(T162,-11),EOMONTH(T162,1)),T162)</f>
        <v>42216</v>
      </c>
      <c r="U163" s="108" t="str">
        <f t="shared" si="57"/>
        <v>20140101LE_955BASE</v>
      </c>
      <c r="V163" s="126" t="str">
        <f t="shared" si="58"/>
        <v xml:space="preserve">20140101LS </v>
      </c>
      <c r="Y163" s="98">
        <f>MiscData!$X$5</f>
        <v>20140101</v>
      </c>
      <c r="Z163" s="98">
        <f>IF(Z162+1&gt;MiscData!$AF$28,1,Z162+1)</f>
        <v>18</v>
      </c>
      <c r="AA163" s="98" t="str">
        <f>VLOOKUP(Z163,MiscData!$AF$5:$AG$28,2,FALSE)</f>
        <v>LE_955BASE</v>
      </c>
      <c r="AB163" s="98" t="str">
        <f>VLOOKUP(Z163,MiscData!$AF$5:$AH$28,3,FALSE)</f>
        <v xml:space="preserve">LS </v>
      </c>
    </row>
    <row r="164" spans="1:28" hidden="1">
      <c r="A164" s="108">
        <f t="shared" si="60"/>
        <v>70</v>
      </c>
      <c r="B164" s="109" t="str">
        <f t="shared" si="50"/>
        <v>Jul 2015</v>
      </c>
      <c r="C164" s="110" t="str">
        <f t="shared" si="51"/>
        <v>RLS</v>
      </c>
      <c r="D164" s="110" t="str">
        <f t="shared" si="52"/>
        <v>LE_956BASE</v>
      </c>
      <c r="E164" s="569">
        <f t="shared" si="53"/>
        <v>239</v>
      </c>
      <c r="F164" s="116">
        <f>SUMIF(PoleRates!$E$4:$E$131,$U164,PoleRates!$F$4:$F$131)</f>
        <v>3.56</v>
      </c>
      <c r="G164" s="118">
        <f t="shared" si="48"/>
        <v>850.84</v>
      </c>
      <c r="H164" s="118">
        <f t="shared" si="49"/>
        <v>850.84</v>
      </c>
      <c r="I164" s="570">
        <f t="shared" si="46"/>
        <v>0</v>
      </c>
      <c r="J164" s="121">
        <f t="shared" si="54"/>
        <v>0</v>
      </c>
      <c r="K164" s="122">
        <f t="shared" si="47"/>
        <v>0</v>
      </c>
      <c r="L164" s="123">
        <f t="shared" si="55"/>
        <v>850.84</v>
      </c>
      <c r="M164" s="123">
        <f t="shared" si="56"/>
        <v>-850.84</v>
      </c>
      <c r="T164" s="109">
        <f>IF(Z164=1,IF(T163=MiscData!$F$1,EOMONTH(T163,-11),EOMONTH(T163,1)),T163)</f>
        <v>42216</v>
      </c>
      <c r="U164" s="108" t="str">
        <f t="shared" si="57"/>
        <v>20140101LE_956BASE</v>
      </c>
      <c r="V164" s="126" t="str">
        <f t="shared" si="58"/>
        <v>20140101RLS</v>
      </c>
      <c r="Y164" s="98">
        <f>MiscData!$X$5</f>
        <v>20140101</v>
      </c>
      <c r="Z164" s="98">
        <f>IF(Z163+1&gt;MiscData!$AF$28,1,Z163+1)</f>
        <v>19</v>
      </c>
      <c r="AA164" s="98" t="str">
        <f>VLOOKUP(Z164,MiscData!$AF$5:$AG$28,2,FALSE)</f>
        <v>LE_956BASE</v>
      </c>
      <c r="AB164" s="98" t="str">
        <f>VLOOKUP(Z164,MiscData!$AF$5:$AH$28,3,FALSE)</f>
        <v>RLS</v>
      </c>
    </row>
    <row r="165" spans="1:28" hidden="1">
      <c r="A165" s="108">
        <f t="shared" si="60"/>
        <v>70</v>
      </c>
      <c r="B165" s="109" t="str">
        <f t="shared" si="50"/>
        <v>Jul 2015</v>
      </c>
      <c r="C165" s="110" t="str">
        <f t="shared" si="51"/>
        <v xml:space="preserve">LS </v>
      </c>
      <c r="D165" s="110" t="str">
        <f t="shared" si="52"/>
        <v>LE_956BASE</v>
      </c>
      <c r="E165" s="569">
        <f t="shared" si="53"/>
        <v>311</v>
      </c>
      <c r="F165" s="116">
        <f>SUMIF(PoleRates!$E$4:$E$131,$U165,PoleRates!$F$4:$F$131)</f>
        <v>3.56</v>
      </c>
      <c r="G165" s="118">
        <f t="shared" si="48"/>
        <v>1107.1600000000001</v>
      </c>
      <c r="H165" s="118">
        <f t="shared" si="49"/>
        <v>1107.1600000000001</v>
      </c>
      <c r="I165" s="570">
        <f t="shared" si="46"/>
        <v>0</v>
      </c>
      <c r="J165" s="121">
        <f t="shared" si="54"/>
        <v>0</v>
      </c>
      <c r="K165" s="122">
        <f t="shared" si="47"/>
        <v>0</v>
      </c>
      <c r="L165" s="123">
        <f t="shared" si="55"/>
        <v>1107.1600000000001</v>
      </c>
      <c r="M165" s="123">
        <f t="shared" si="56"/>
        <v>-1107.1600000000001</v>
      </c>
      <c r="T165" s="109">
        <f>IF(Z165=1,IF(T164=MiscData!$F$1,EOMONTH(T164,-11),EOMONTH(T164,1)),T164)</f>
        <v>42216</v>
      </c>
      <c r="U165" s="108" t="str">
        <f t="shared" si="57"/>
        <v>20140101LE_956BASE</v>
      </c>
      <c r="V165" s="126" t="str">
        <f t="shared" si="58"/>
        <v xml:space="preserve">20140101LS </v>
      </c>
      <c r="Y165" s="98">
        <f>MiscData!$X$5</f>
        <v>20140101</v>
      </c>
      <c r="Z165" s="98">
        <f>IF(Z164+1&gt;MiscData!$AF$28,1,Z164+1)</f>
        <v>20</v>
      </c>
      <c r="AA165" s="98" t="str">
        <f>VLOOKUP(Z165,MiscData!$AF$5:$AG$28,2,FALSE)</f>
        <v>LE_956BASE</v>
      </c>
      <c r="AB165" s="98" t="str">
        <f>VLOOKUP(Z165,MiscData!$AF$5:$AH$28,3,FALSE)</f>
        <v xml:space="preserve">LS </v>
      </c>
    </row>
    <row r="166" spans="1:28">
      <c r="A166" s="108">
        <f t="shared" si="60"/>
        <v>71</v>
      </c>
      <c r="B166" s="109" t="str">
        <f t="shared" si="50"/>
        <v>Jul 2015</v>
      </c>
      <c r="C166" s="110" t="str">
        <f t="shared" si="51"/>
        <v>RLS</v>
      </c>
      <c r="D166" s="110" t="str">
        <f t="shared" si="52"/>
        <v>LE_957BASE</v>
      </c>
      <c r="E166" s="569">
        <f t="shared" si="53"/>
        <v>0</v>
      </c>
      <c r="F166" s="116">
        <f>SUMIF(PoleRates!$E$4:$E$131,$U166,PoleRates!$F$4:$F$131)</f>
        <v>3.56</v>
      </c>
      <c r="G166" s="118">
        <f t="shared" si="48"/>
        <v>0</v>
      </c>
      <c r="H166" s="118">
        <f t="shared" si="49"/>
        <v>0</v>
      </c>
      <c r="I166" s="570">
        <f t="shared" si="46"/>
        <v>0</v>
      </c>
      <c r="J166" s="121">
        <f t="shared" si="54"/>
        <v>1</v>
      </c>
      <c r="K166" s="122">
        <f t="shared" si="47"/>
        <v>0</v>
      </c>
      <c r="L166" s="123">
        <f t="shared" si="55"/>
        <v>0</v>
      </c>
      <c r="M166" s="123">
        <f t="shared" si="56"/>
        <v>0</v>
      </c>
      <c r="T166" s="109">
        <f>IF(Z166=1,IF(T165=MiscData!$F$1,EOMONTH(T165,-11),EOMONTH(T165,1)),T165)</f>
        <v>42216</v>
      </c>
      <c r="U166" s="108" t="str">
        <f t="shared" si="57"/>
        <v>20140101LE_957BASE</v>
      </c>
      <c r="V166" s="126" t="str">
        <f t="shared" si="58"/>
        <v>20140101RLS</v>
      </c>
      <c r="Y166" s="98">
        <f>MiscData!$X$5</f>
        <v>20140101</v>
      </c>
      <c r="Z166" s="98">
        <f>IF(Z165+1&gt;MiscData!$AF$28,1,Z165+1)</f>
        <v>21</v>
      </c>
      <c r="AA166" s="98" t="str">
        <f>VLOOKUP(Z166,MiscData!$AF$5:$AG$28,2,FALSE)</f>
        <v>LE_957BASE</v>
      </c>
      <c r="AB166" s="98" t="str">
        <f>VLOOKUP(Z166,MiscData!$AF$5:$AH$28,3,FALSE)</f>
        <v>RLS</v>
      </c>
    </row>
    <row r="167" spans="1:28" hidden="1">
      <c r="A167" s="108">
        <f t="shared" si="60"/>
        <v>71</v>
      </c>
      <c r="B167" s="109" t="str">
        <f t="shared" si="50"/>
        <v>Jul 2015</v>
      </c>
      <c r="C167" s="110" t="str">
        <f t="shared" si="51"/>
        <v xml:space="preserve">LS </v>
      </c>
      <c r="D167" s="110" t="str">
        <f t="shared" si="52"/>
        <v>LE_957BASE</v>
      </c>
      <c r="E167" s="569">
        <f t="shared" si="53"/>
        <v>0</v>
      </c>
      <c r="F167" s="116">
        <f>SUMIF(PoleRates!$E$4:$E$131,$U167,PoleRates!$F$4:$F$131)</f>
        <v>3.56</v>
      </c>
      <c r="G167" s="118">
        <f t="shared" si="48"/>
        <v>0</v>
      </c>
      <c r="H167" s="118">
        <f t="shared" si="49"/>
        <v>0</v>
      </c>
      <c r="I167" s="570">
        <f t="shared" si="46"/>
        <v>0</v>
      </c>
      <c r="J167" s="121">
        <f t="shared" si="54"/>
        <v>1</v>
      </c>
      <c r="K167" s="122">
        <f t="shared" si="47"/>
        <v>0</v>
      </c>
      <c r="L167" s="123">
        <f t="shared" si="55"/>
        <v>0</v>
      </c>
      <c r="M167" s="123">
        <f t="shared" si="56"/>
        <v>0</v>
      </c>
      <c r="T167" s="109">
        <f>IF(Z167=1,IF(T166=MiscData!$F$1,EOMONTH(T166,-11),EOMONTH(T166,1)),T166)</f>
        <v>42216</v>
      </c>
      <c r="U167" s="108" t="str">
        <f t="shared" si="57"/>
        <v>20140101LE_957BASE</v>
      </c>
      <c r="V167" s="126" t="str">
        <f t="shared" si="58"/>
        <v xml:space="preserve">20140101LS </v>
      </c>
      <c r="Y167" s="98">
        <f>MiscData!$X$5</f>
        <v>20140101</v>
      </c>
      <c r="Z167" s="98">
        <f>IF(Z166+1&gt;MiscData!$AF$28,1,Z166+1)</f>
        <v>22</v>
      </c>
      <c r="AA167" s="98" t="str">
        <f>VLOOKUP(Z167,MiscData!$AF$5:$AG$28,2,FALSE)</f>
        <v>LE_957BASE</v>
      </c>
      <c r="AB167" s="98" t="str">
        <f>VLOOKUP(Z167,MiscData!$AF$5:$AH$28,3,FALSE)</f>
        <v xml:space="preserve">LS </v>
      </c>
    </row>
    <row r="168" spans="1:28" hidden="1">
      <c r="A168" s="108">
        <f t="shared" si="60"/>
        <v>72</v>
      </c>
      <c r="B168" s="109" t="str">
        <f t="shared" si="50"/>
        <v>Jul 2015</v>
      </c>
      <c r="C168" s="110" t="str">
        <f t="shared" si="51"/>
        <v>RLS</v>
      </c>
      <c r="D168" s="110" t="str">
        <f t="shared" si="52"/>
        <v>LE_958POLE</v>
      </c>
      <c r="E168" s="569">
        <f t="shared" si="53"/>
        <v>37</v>
      </c>
      <c r="F168" s="116">
        <f>SUMIF(PoleRates!$E$4:$E$131,$U168,PoleRates!$F$4:$F$131)</f>
        <v>11.31</v>
      </c>
      <c r="G168" s="118">
        <f t="shared" si="48"/>
        <v>418.47</v>
      </c>
      <c r="H168" s="118">
        <f t="shared" si="49"/>
        <v>418.47</v>
      </c>
      <c r="I168" s="570">
        <f t="shared" si="46"/>
        <v>0</v>
      </c>
      <c r="J168" s="121">
        <f t="shared" si="54"/>
        <v>0</v>
      </c>
      <c r="K168" s="122">
        <f t="shared" si="47"/>
        <v>0</v>
      </c>
      <c r="L168" s="123">
        <f t="shared" si="55"/>
        <v>418.47</v>
      </c>
      <c r="M168" s="123">
        <f t="shared" si="56"/>
        <v>-418.47</v>
      </c>
      <c r="T168" s="109">
        <f>IF(Z168=1,IF(T167=MiscData!$F$1,EOMONTH(T167,-11),EOMONTH(T167,1)),T167)</f>
        <v>42216</v>
      </c>
      <c r="U168" s="108" t="str">
        <f t="shared" si="57"/>
        <v>20140101LE_958POLE</v>
      </c>
      <c r="V168" s="126" t="str">
        <f t="shared" si="58"/>
        <v>20140101RLS</v>
      </c>
      <c r="Y168" s="98">
        <f>MiscData!$X$5</f>
        <v>20140101</v>
      </c>
      <c r="Z168" s="98">
        <f>IF(Z167+1&gt;MiscData!$AF$28,1,Z167+1)</f>
        <v>23</v>
      </c>
      <c r="AA168" s="98" t="str">
        <f>VLOOKUP(Z168,MiscData!$AF$5:$AG$28,2,FALSE)</f>
        <v>LE_958POLE</v>
      </c>
      <c r="AB168" s="98" t="str">
        <f>VLOOKUP(Z168,MiscData!$AF$5:$AH$28,3,FALSE)</f>
        <v>RLS</v>
      </c>
    </row>
    <row r="169" spans="1:28" hidden="1">
      <c r="A169" s="108">
        <f t="shared" si="60"/>
        <v>72</v>
      </c>
      <c r="B169" s="109" t="str">
        <f t="shared" si="50"/>
        <v>Jul 2015</v>
      </c>
      <c r="C169" s="110" t="str">
        <f t="shared" si="51"/>
        <v xml:space="preserve">LS </v>
      </c>
      <c r="D169" s="110" t="str">
        <f t="shared" si="52"/>
        <v>LE_958POLE</v>
      </c>
      <c r="E169" s="569">
        <f t="shared" si="53"/>
        <v>420</v>
      </c>
      <c r="F169" s="116">
        <f>SUMIF(PoleRates!$E$4:$E$131,$U169,PoleRates!$F$4:$F$131)</f>
        <v>11.31</v>
      </c>
      <c r="G169" s="118">
        <f t="shared" si="48"/>
        <v>4750.2</v>
      </c>
      <c r="H169" s="118">
        <f t="shared" si="49"/>
        <v>4750.2</v>
      </c>
      <c r="I169" s="570">
        <f t="shared" si="46"/>
        <v>0</v>
      </c>
      <c r="J169" s="121">
        <f t="shared" si="54"/>
        <v>0</v>
      </c>
      <c r="K169" s="122">
        <f t="shared" si="47"/>
        <v>0</v>
      </c>
      <c r="L169" s="123">
        <f t="shared" si="55"/>
        <v>4750.2</v>
      </c>
      <c r="M169" s="123">
        <f t="shared" si="56"/>
        <v>-4750.2</v>
      </c>
      <c r="T169" s="109">
        <f>IF(Z169=1,IF(T168=MiscData!$F$1,EOMONTH(T168,-11),EOMONTH(T168,1)),T168)</f>
        <v>42216</v>
      </c>
      <c r="U169" s="108" t="str">
        <f t="shared" si="57"/>
        <v>20140101LE_958POLE</v>
      </c>
      <c r="V169" s="126" t="str">
        <f t="shared" si="58"/>
        <v xml:space="preserve">20140101LS </v>
      </c>
      <c r="Y169" s="98">
        <f>MiscData!$X$5</f>
        <v>20140101</v>
      </c>
      <c r="Z169" s="98">
        <f>IF(Z168+1&gt;MiscData!$AF$28,1,Z168+1)</f>
        <v>24</v>
      </c>
      <c r="AA169" s="98" t="str">
        <f>VLOOKUP(Z169,MiscData!$AF$5:$AG$28,2,FALSE)</f>
        <v>LE_958POLE</v>
      </c>
      <c r="AB169" s="98" t="str">
        <f>VLOOKUP(Z169,MiscData!$AF$5:$AH$28,3,FALSE)</f>
        <v xml:space="preserve">LS </v>
      </c>
    </row>
    <row r="170" spans="1:28" hidden="1">
      <c r="A170" s="108">
        <f>A160+1</f>
        <v>69</v>
      </c>
      <c r="B170" s="109" t="str">
        <f t="shared" si="50"/>
        <v>Aug 2015</v>
      </c>
      <c r="C170" s="110" t="str">
        <f t="shared" si="51"/>
        <v>RLS</v>
      </c>
      <c r="D170" s="110" t="str">
        <f t="shared" si="52"/>
        <v>LE_900POLE</v>
      </c>
      <c r="E170" s="569">
        <f t="shared" si="53"/>
        <v>1635</v>
      </c>
      <c r="F170" s="116">
        <f>SUMIF(PoleRates!$E$4:$E$131,$U170,PoleRates!$F$4:$F$131)</f>
        <v>2.06</v>
      </c>
      <c r="G170" s="118">
        <f t="shared" si="48"/>
        <v>3368.1</v>
      </c>
      <c r="H170" s="118">
        <f t="shared" si="49"/>
        <v>3368.1</v>
      </c>
      <c r="I170" s="570">
        <f t="shared" si="46"/>
        <v>0</v>
      </c>
      <c r="J170" s="121">
        <f t="shared" si="54"/>
        <v>0</v>
      </c>
      <c r="K170" s="122">
        <f t="shared" si="47"/>
        <v>0</v>
      </c>
      <c r="L170" s="123">
        <f t="shared" si="55"/>
        <v>3368.1</v>
      </c>
      <c r="M170" s="123">
        <f t="shared" si="56"/>
        <v>-3368.1</v>
      </c>
      <c r="T170" s="109">
        <f>IF(Z170=1,IF(T169=MiscData!$F$1,EOMONTH(T169,-11),EOMONTH(T169,1)),T169)</f>
        <v>42247</v>
      </c>
      <c r="U170" s="108" t="str">
        <f t="shared" si="57"/>
        <v>20140101LE_900POLE</v>
      </c>
      <c r="V170" s="126" t="str">
        <f t="shared" si="58"/>
        <v>20140101RLS</v>
      </c>
      <c r="Y170" s="98">
        <f>MiscData!$X$5</f>
        <v>20140101</v>
      </c>
      <c r="Z170" s="98">
        <f>IF(Z169+1&gt;MiscData!$AF$28,1,Z169+1)</f>
        <v>1</v>
      </c>
      <c r="AA170" s="98" t="str">
        <f>VLOOKUP(Z170,MiscData!$AF$5:$AG$28,2,FALSE)</f>
        <v>LE_900POLE</v>
      </c>
      <c r="AB170" s="98" t="str">
        <f>VLOOKUP(Z170,MiscData!$AF$5:$AH$28,3,FALSE)</f>
        <v>RLS</v>
      </c>
    </row>
    <row r="171" spans="1:28" hidden="1">
      <c r="A171" s="108">
        <f>A161+1</f>
        <v>69</v>
      </c>
      <c r="B171" s="109" t="str">
        <f t="shared" si="50"/>
        <v>Aug 2015</v>
      </c>
      <c r="C171" s="110" t="str">
        <f t="shared" si="51"/>
        <v xml:space="preserve">LS </v>
      </c>
      <c r="D171" s="110" t="str">
        <f t="shared" si="52"/>
        <v>LE_900POLE</v>
      </c>
      <c r="E171" s="569">
        <f t="shared" si="53"/>
        <v>5150</v>
      </c>
      <c r="F171" s="116">
        <f>SUMIF(PoleRates!$E$4:$E$131,$U171,PoleRates!$F$4:$F$131)</f>
        <v>2.06</v>
      </c>
      <c r="G171" s="118">
        <f t="shared" si="48"/>
        <v>10609</v>
      </c>
      <c r="H171" s="118">
        <f t="shared" si="49"/>
        <v>10609</v>
      </c>
      <c r="I171" s="570">
        <f t="shared" si="46"/>
        <v>0</v>
      </c>
      <c r="J171" s="121">
        <f t="shared" si="54"/>
        <v>0</v>
      </c>
      <c r="K171" s="122">
        <f t="shared" si="47"/>
        <v>0</v>
      </c>
      <c r="L171" s="123">
        <f t="shared" si="55"/>
        <v>10609</v>
      </c>
      <c r="M171" s="123">
        <f t="shared" si="56"/>
        <v>-10609</v>
      </c>
      <c r="T171" s="109">
        <f>IF(Z171=1,IF(T170=MiscData!$F$1,EOMONTH(T170,-11),EOMONTH(T170,1)),T170)</f>
        <v>42247</v>
      </c>
      <c r="U171" s="108" t="str">
        <f t="shared" si="57"/>
        <v>20140101LE_900POLE</v>
      </c>
      <c r="V171" s="126" t="str">
        <f t="shared" si="58"/>
        <v xml:space="preserve">20140101LS </v>
      </c>
      <c r="Y171" s="98">
        <f>MiscData!$X$5</f>
        <v>20140101</v>
      </c>
      <c r="Z171" s="98">
        <f>IF(Z170+1&gt;MiscData!$AF$28,1,Z170+1)</f>
        <v>2</v>
      </c>
      <c r="AA171" s="98" t="str">
        <f>VLOOKUP(Z171,MiscData!$AF$5:$AG$28,2,FALSE)</f>
        <v>LE_900POLE</v>
      </c>
      <c r="AB171" s="98" t="str">
        <f>VLOOKUP(Z171,MiscData!$AF$5:$AH$28,3,FALSE)</f>
        <v xml:space="preserve">LS </v>
      </c>
    </row>
    <row r="172" spans="1:28" hidden="1">
      <c r="A172" s="108">
        <f t="shared" si="60"/>
        <v>70</v>
      </c>
      <c r="B172" s="109" t="str">
        <f t="shared" si="50"/>
        <v>Aug 2015</v>
      </c>
      <c r="C172" s="110" t="str">
        <f t="shared" si="51"/>
        <v>RLS</v>
      </c>
      <c r="D172" s="110" t="str">
        <f t="shared" si="52"/>
        <v>LE_901POLE</v>
      </c>
      <c r="E172" s="569">
        <f t="shared" si="53"/>
        <v>155</v>
      </c>
      <c r="F172" s="116">
        <f>SUMIF(PoleRates!$E$4:$E$131,$U172,PoleRates!$F$4:$F$131)</f>
        <v>10.81</v>
      </c>
      <c r="G172" s="118">
        <f t="shared" si="48"/>
        <v>1675.55</v>
      </c>
      <c r="H172" s="118">
        <f t="shared" si="49"/>
        <v>1675.55</v>
      </c>
      <c r="I172" s="570">
        <f t="shared" si="46"/>
        <v>0</v>
      </c>
      <c r="J172" s="121">
        <f t="shared" si="54"/>
        <v>0</v>
      </c>
      <c r="K172" s="122">
        <f t="shared" si="47"/>
        <v>0</v>
      </c>
      <c r="L172" s="123">
        <f t="shared" si="55"/>
        <v>1675.55</v>
      </c>
      <c r="M172" s="123">
        <f t="shared" si="56"/>
        <v>-1675.55</v>
      </c>
      <c r="T172" s="109">
        <f>IF(Z172=1,IF(T171=MiscData!$F$1,EOMONTH(T171,-11),EOMONTH(T171,1)),T171)</f>
        <v>42247</v>
      </c>
      <c r="U172" s="108" t="str">
        <f t="shared" si="57"/>
        <v>20140101LE_901POLE</v>
      </c>
      <c r="V172" s="126" t="str">
        <f t="shared" si="58"/>
        <v>20140101RLS</v>
      </c>
      <c r="Y172" s="98">
        <f>MiscData!$X$5</f>
        <v>20140101</v>
      </c>
      <c r="Z172" s="98">
        <f>IF(Z171+1&gt;MiscData!$AF$28,1,Z171+1)</f>
        <v>3</v>
      </c>
      <c r="AA172" s="98" t="str">
        <f>VLOOKUP(Z172,MiscData!$AF$5:$AG$28,2,FALSE)</f>
        <v>LE_901POLE</v>
      </c>
      <c r="AB172" s="98" t="str">
        <f>VLOOKUP(Z172,MiscData!$AF$5:$AH$28,3,FALSE)</f>
        <v>RLS</v>
      </c>
    </row>
    <row r="173" spans="1:28" hidden="1">
      <c r="A173" s="108">
        <f t="shared" si="60"/>
        <v>70</v>
      </c>
      <c r="B173" s="109" t="str">
        <f t="shared" si="50"/>
        <v>Aug 2015</v>
      </c>
      <c r="C173" s="110" t="str">
        <f t="shared" si="51"/>
        <v xml:space="preserve">LS </v>
      </c>
      <c r="D173" s="110" t="str">
        <f t="shared" si="52"/>
        <v>LE_901POLE</v>
      </c>
      <c r="E173" s="569">
        <f t="shared" si="53"/>
        <v>0</v>
      </c>
      <c r="F173" s="116">
        <f>SUMIF(PoleRates!$E$4:$E$131,$U173,PoleRates!$F$4:$F$131)</f>
        <v>10.81</v>
      </c>
      <c r="G173" s="118">
        <f t="shared" si="48"/>
        <v>0</v>
      </c>
      <c r="H173" s="118">
        <f t="shared" si="49"/>
        <v>0</v>
      </c>
      <c r="I173" s="570">
        <f t="shared" si="46"/>
        <v>0</v>
      </c>
      <c r="J173" s="121">
        <f t="shared" si="54"/>
        <v>1</v>
      </c>
      <c r="K173" s="122">
        <f t="shared" si="47"/>
        <v>0</v>
      </c>
      <c r="L173" s="123">
        <f t="shared" si="55"/>
        <v>0</v>
      </c>
      <c r="M173" s="123">
        <f t="shared" si="56"/>
        <v>0</v>
      </c>
      <c r="T173" s="109">
        <f>IF(Z173=1,IF(T172=MiscData!$F$1,EOMONTH(T172,-11),EOMONTH(T172,1)),T172)</f>
        <v>42247</v>
      </c>
      <c r="U173" s="108" t="str">
        <f t="shared" si="57"/>
        <v>20140101LE_901POLE</v>
      </c>
      <c r="V173" s="126" t="str">
        <f t="shared" si="58"/>
        <v xml:space="preserve">20140101LS </v>
      </c>
      <c r="Y173" s="98">
        <f>MiscData!$X$5</f>
        <v>20140101</v>
      </c>
      <c r="Z173" s="98">
        <f>IF(Z172+1&gt;MiscData!$AF$28,1,Z172+1)</f>
        <v>4</v>
      </c>
      <c r="AA173" s="98" t="str">
        <f>VLOOKUP(Z173,MiscData!$AF$5:$AG$28,2,FALSE)</f>
        <v>LE_901POLE</v>
      </c>
      <c r="AB173" s="98" t="str">
        <f>VLOOKUP(Z173,MiscData!$AF$5:$AH$28,3,FALSE)</f>
        <v xml:space="preserve">LS </v>
      </c>
    </row>
    <row r="174" spans="1:28" hidden="1">
      <c r="A174" s="108">
        <f t="shared" si="60"/>
        <v>71</v>
      </c>
      <c r="B174" s="109" t="str">
        <f t="shared" si="50"/>
        <v>Aug 2015</v>
      </c>
      <c r="C174" s="110" t="str">
        <f t="shared" si="51"/>
        <v>RLS</v>
      </c>
      <c r="D174" s="110" t="str">
        <f t="shared" si="52"/>
        <v>LE_902POLE</v>
      </c>
      <c r="E174" s="569">
        <f t="shared" si="53"/>
        <v>277</v>
      </c>
      <c r="F174" s="116">
        <f>SUMIF(PoleRates!$E$4:$E$131,$U174,PoleRates!$F$4:$F$131)</f>
        <v>12.9</v>
      </c>
      <c r="G174" s="118">
        <f t="shared" si="48"/>
        <v>3573.3</v>
      </c>
      <c r="H174" s="118">
        <f t="shared" si="49"/>
        <v>3573.3</v>
      </c>
      <c r="I174" s="570">
        <f t="shared" si="46"/>
        <v>0</v>
      </c>
      <c r="J174" s="121">
        <f t="shared" si="54"/>
        <v>0</v>
      </c>
      <c r="K174" s="122">
        <f t="shared" si="47"/>
        <v>0</v>
      </c>
      <c r="L174" s="123">
        <f t="shared" si="55"/>
        <v>3573.3</v>
      </c>
      <c r="M174" s="123">
        <f t="shared" si="56"/>
        <v>-3573.3</v>
      </c>
      <c r="T174" s="109">
        <f>IF(Z174=1,IF(T173=MiscData!$F$1,EOMONTH(T173,-11),EOMONTH(T173,1)),T173)</f>
        <v>42247</v>
      </c>
      <c r="U174" s="108" t="str">
        <f t="shared" si="57"/>
        <v>20140101LE_902POLE</v>
      </c>
      <c r="V174" s="126" t="str">
        <f t="shared" si="58"/>
        <v>20140101RLS</v>
      </c>
      <c r="Y174" s="98">
        <f>MiscData!$X$5</f>
        <v>20140101</v>
      </c>
      <c r="Z174" s="98">
        <f>IF(Z173+1&gt;MiscData!$AF$28,1,Z173+1)</f>
        <v>5</v>
      </c>
      <c r="AA174" s="98" t="str">
        <f>VLOOKUP(Z174,MiscData!$AF$5:$AG$28,2,FALSE)</f>
        <v>LE_902POLE</v>
      </c>
      <c r="AB174" s="98" t="str">
        <f>VLOOKUP(Z174,MiscData!$AF$5:$AH$28,3,FALSE)</f>
        <v>RLS</v>
      </c>
    </row>
    <row r="175" spans="1:28" hidden="1">
      <c r="A175" s="108">
        <f t="shared" si="60"/>
        <v>71</v>
      </c>
      <c r="B175" s="109" t="str">
        <f t="shared" si="50"/>
        <v>Aug 2015</v>
      </c>
      <c r="C175" s="110" t="str">
        <f t="shared" si="51"/>
        <v xml:space="preserve">LS </v>
      </c>
      <c r="D175" s="110" t="str">
        <f t="shared" si="52"/>
        <v>LE_902POLE</v>
      </c>
      <c r="E175" s="569">
        <f t="shared" si="53"/>
        <v>3</v>
      </c>
      <c r="F175" s="116">
        <f>SUMIF(PoleRates!$E$4:$E$131,$U175,PoleRates!$F$4:$F$131)</f>
        <v>12.9</v>
      </c>
      <c r="G175" s="118">
        <f t="shared" si="48"/>
        <v>38.700000000000003</v>
      </c>
      <c r="H175" s="118">
        <f t="shared" si="49"/>
        <v>38.700000000000003</v>
      </c>
      <c r="I175" s="570">
        <f t="shared" si="46"/>
        <v>0</v>
      </c>
      <c r="J175" s="121">
        <f t="shared" si="54"/>
        <v>0</v>
      </c>
      <c r="K175" s="122">
        <f t="shared" si="47"/>
        <v>0</v>
      </c>
      <c r="L175" s="123">
        <f t="shared" si="55"/>
        <v>38.700000000000003</v>
      </c>
      <c r="M175" s="123">
        <f t="shared" si="56"/>
        <v>-38.700000000000003</v>
      </c>
      <c r="T175" s="109">
        <f>IF(Z175=1,IF(T174=MiscData!$F$1,EOMONTH(T174,-11),EOMONTH(T174,1)),T174)</f>
        <v>42247</v>
      </c>
      <c r="U175" s="108" t="str">
        <f t="shared" si="57"/>
        <v>20140101LE_902POLE</v>
      </c>
      <c r="V175" s="126" t="str">
        <f t="shared" si="58"/>
        <v xml:space="preserve">20140101LS </v>
      </c>
      <c r="Y175" s="98">
        <f>MiscData!$X$5</f>
        <v>20140101</v>
      </c>
      <c r="Z175" s="98">
        <f>IF(Z174+1&gt;MiscData!$AF$28,1,Z174+1)</f>
        <v>6</v>
      </c>
      <c r="AA175" s="98" t="str">
        <f>VLOOKUP(Z175,MiscData!$AF$5:$AG$28,2,FALSE)</f>
        <v>LE_902POLE</v>
      </c>
      <c r="AB175" s="98" t="str">
        <f>VLOOKUP(Z175,MiscData!$AF$5:$AH$28,3,FALSE)</f>
        <v xml:space="preserve">LS </v>
      </c>
    </row>
    <row r="176" spans="1:28" hidden="1">
      <c r="A176" s="108">
        <f t="shared" si="60"/>
        <v>72</v>
      </c>
      <c r="B176" s="109" t="str">
        <f t="shared" si="50"/>
        <v>Aug 2015</v>
      </c>
      <c r="C176" s="110" t="str">
        <f t="shared" si="51"/>
        <v>RLS</v>
      </c>
      <c r="D176" s="110" t="str">
        <f t="shared" si="52"/>
        <v>LE_950BASE</v>
      </c>
      <c r="E176" s="569">
        <f t="shared" si="53"/>
        <v>75</v>
      </c>
      <c r="F176" s="116">
        <f>SUMIF(PoleRates!$E$4:$E$131,$U176,PoleRates!$F$4:$F$131)</f>
        <v>3.47</v>
      </c>
      <c r="G176" s="118">
        <f t="shared" si="48"/>
        <v>260.25</v>
      </c>
      <c r="H176" s="118">
        <f t="shared" si="49"/>
        <v>260.25</v>
      </c>
      <c r="I176" s="570">
        <f t="shared" si="46"/>
        <v>0</v>
      </c>
      <c r="J176" s="121">
        <f t="shared" si="54"/>
        <v>0</v>
      </c>
      <c r="K176" s="122">
        <f t="shared" si="47"/>
        <v>0</v>
      </c>
      <c r="L176" s="123">
        <f t="shared" si="55"/>
        <v>260.25</v>
      </c>
      <c r="M176" s="123">
        <f t="shared" si="56"/>
        <v>-260.25</v>
      </c>
      <c r="T176" s="109">
        <f>IF(Z176=1,IF(T175=MiscData!$F$1,EOMONTH(T175,-11),EOMONTH(T175,1)),T175)</f>
        <v>42247</v>
      </c>
      <c r="U176" s="108" t="str">
        <f t="shared" si="57"/>
        <v>20140101LE_950BASE</v>
      </c>
      <c r="V176" s="126" t="str">
        <f t="shared" si="58"/>
        <v>20140101RLS</v>
      </c>
      <c r="Y176" s="98">
        <f>MiscData!$X$5</f>
        <v>20140101</v>
      </c>
      <c r="Z176" s="98">
        <f>IF(Z175+1&gt;MiscData!$AF$28,1,Z175+1)</f>
        <v>7</v>
      </c>
      <c r="AA176" s="98" t="str">
        <f>VLOOKUP(Z176,MiscData!$AF$5:$AG$28,2,FALSE)</f>
        <v>LE_950BASE</v>
      </c>
      <c r="AB176" s="98" t="str">
        <f>VLOOKUP(Z176,MiscData!$AF$5:$AH$28,3,FALSE)</f>
        <v>RLS</v>
      </c>
    </row>
    <row r="177" spans="1:28" hidden="1">
      <c r="A177" s="108">
        <f t="shared" si="60"/>
        <v>72</v>
      </c>
      <c r="B177" s="109" t="str">
        <f t="shared" si="50"/>
        <v>Aug 2015</v>
      </c>
      <c r="C177" s="110" t="str">
        <f t="shared" si="51"/>
        <v xml:space="preserve">LS </v>
      </c>
      <c r="D177" s="110" t="str">
        <f t="shared" si="52"/>
        <v>LE_950BASE</v>
      </c>
      <c r="E177" s="569">
        <f t="shared" si="53"/>
        <v>13</v>
      </c>
      <c r="F177" s="116">
        <f>SUMIF(PoleRates!$E$4:$E$131,$U177,PoleRates!$F$4:$F$131)</f>
        <v>3.47</v>
      </c>
      <c r="G177" s="118">
        <f t="shared" si="48"/>
        <v>45.11</v>
      </c>
      <c r="H177" s="118">
        <f t="shared" si="49"/>
        <v>45.11</v>
      </c>
      <c r="I177" s="570">
        <f t="shared" si="46"/>
        <v>0</v>
      </c>
      <c r="J177" s="121">
        <f t="shared" si="54"/>
        <v>0</v>
      </c>
      <c r="K177" s="122">
        <f t="shared" si="47"/>
        <v>0</v>
      </c>
      <c r="L177" s="123">
        <f t="shared" si="55"/>
        <v>45.11</v>
      </c>
      <c r="M177" s="123">
        <f t="shared" si="56"/>
        <v>-45.11</v>
      </c>
      <c r="T177" s="109">
        <f>IF(Z177=1,IF(T176=MiscData!$F$1,EOMONTH(T176,-11),EOMONTH(T176,1)),T176)</f>
        <v>42247</v>
      </c>
      <c r="U177" s="108" t="str">
        <f t="shared" si="57"/>
        <v>20140101LE_950BASE</v>
      </c>
      <c r="V177" s="126" t="str">
        <f t="shared" si="58"/>
        <v xml:space="preserve">20140101LS </v>
      </c>
      <c r="Y177" s="98">
        <f>MiscData!$X$5</f>
        <v>20140101</v>
      </c>
      <c r="Z177" s="98">
        <f>IF(Z176+1&gt;MiscData!$AF$28,1,Z176+1)</f>
        <v>8</v>
      </c>
      <c r="AA177" s="98" t="str">
        <f>VLOOKUP(Z177,MiscData!$AF$5:$AG$28,2,FALSE)</f>
        <v>LE_950BASE</v>
      </c>
      <c r="AB177" s="98" t="str">
        <f>VLOOKUP(Z177,MiscData!$AF$5:$AH$28,3,FALSE)</f>
        <v xml:space="preserve">LS </v>
      </c>
    </row>
    <row r="178" spans="1:28" hidden="1">
      <c r="A178" s="108">
        <f>A88+1</f>
        <v>76</v>
      </c>
      <c r="B178" s="109" t="str">
        <f t="shared" ref="B178:B199" si="61">TEXT(T178,"mmm yyyy")</f>
        <v>Aug 2015</v>
      </c>
      <c r="C178" s="110" t="str">
        <f t="shared" ref="C178:C199" si="62">AB178</f>
        <v>RLS</v>
      </c>
      <c r="D178" s="110" t="str">
        <f t="shared" ref="D178:D199" si="63">AA178</f>
        <v>LE_951BASE</v>
      </c>
      <c r="E178" s="569">
        <f t="shared" ref="E178:E199" si="64">SUMIFS(L_1051_Count_Total,L_1051_Revenue_Month,$B178,L_1051_RateCategory,$D178,L_1051_Light_Category,C178)</f>
        <v>195</v>
      </c>
      <c r="F178" s="116">
        <f>SUMIF(PoleRates!$E$4:$E$131,$U178,PoleRates!$F$4:$F$131)</f>
        <v>3.73</v>
      </c>
      <c r="G178" s="118">
        <f t="shared" si="48"/>
        <v>727.35</v>
      </c>
      <c r="H178" s="118">
        <f t="shared" si="49"/>
        <v>727.35</v>
      </c>
      <c r="I178" s="570">
        <f t="shared" si="46"/>
        <v>0</v>
      </c>
      <c r="J178" s="121">
        <f t="shared" ref="J178:J199" si="65">IF(AND(H178=0,I178=0),1,IF(H178=0,0,I178/H178))</f>
        <v>0</v>
      </c>
      <c r="K178" s="122">
        <f t="shared" si="47"/>
        <v>0</v>
      </c>
      <c r="L178" s="123">
        <f t="shared" ref="L178:L199" si="66">H178</f>
        <v>727.35</v>
      </c>
      <c r="M178" s="123">
        <f t="shared" ref="M178:M199" si="67">ROUND(K178-L178,2)</f>
        <v>-727.35</v>
      </c>
      <c r="T178" s="109">
        <f>IF(Z178=1,IF(T177=MiscData!$F$1,EOMONTH(T177,-11),EOMONTH(T177,1)),T177)</f>
        <v>42247</v>
      </c>
      <c r="U178" s="108" t="str">
        <f t="shared" ref="U178:U199" si="68">CONCATENATE(Y178&amp;AA178)</f>
        <v>20140101LE_951BASE</v>
      </c>
      <c r="V178" s="126" t="str">
        <f t="shared" ref="V178:V199" si="69">CONCATENATE(Y178&amp;AB178)</f>
        <v>20140101RLS</v>
      </c>
      <c r="Y178" s="98">
        <f>MiscData!$X$5</f>
        <v>20140101</v>
      </c>
      <c r="Z178" s="98">
        <f>IF(Z177+1&gt;MiscData!$AF$28,1,Z177+1)</f>
        <v>9</v>
      </c>
      <c r="AA178" s="98" t="str">
        <f>VLOOKUP(Z178,MiscData!$AF$5:$AG$28,2,FALSE)</f>
        <v>LE_951BASE</v>
      </c>
      <c r="AB178" s="98" t="str">
        <f>VLOOKUP(Z178,MiscData!$AF$5:$AH$28,3,FALSE)</f>
        <v>RLS</v>
      </c>
    </row>
    <row r="179" spans="1:28" hidden="1">
      <c r="A179" s="108">
        <f>A89+1</f>
        <v>76</v>
      </c>
      <c r="B179" s="109" t="str">
        <f t="shared" si="61"/>
        <v>Aug 2015</v>
      </c>
      <c r="C179" s="110" t="str">
        <f t="shared" si="62"/>
        <v xml:space="preserve">LS </v>
      </c>
      <c r="D179" s="110" t="str">
        <f t="shared" si="63"/>
        <v>LE_951BASE</v>
      </c>
      <c r="E179" s="569">
        <f t="shared" si="64"/>
        <v>73</v>
      </c>
      <c r="F179" s="116">
        <f>SUMIF(PoleRates!$E$4:$E$131,$U179,PoleRates!$F$4:$F$131)</f>
        <v>3.73</v>
      </c>
      <c r="G179" s="118">
        <f t="shared" si="48"/>
        <v>272.29000000000002</v>
      </c>
      <c r="H179" s="118">
        <f t="shared" si="49"/>
        <v>272.29000000000002</v>
      </c>
      <c r="I179" s="570">
        <f t="shared" si="46"/>
        <v>0</v>
      </c>
      <c r="J179" s="121">
        <f t="shared" si="65"/>
        <v>0</v>
      </c>
      <c r="K179" s="122">
        <f t="shared" si="47"/>
        <v>0</v>
      </c>
      <c r="L179" s="123">
        <f t="shared" si="66"/>
        <v>272.29000000000002</v>
      </c>
      <c r="M179" s="123">
        <f t="shared" si="67"/>
        <v>-272.29000000000002</v>
      </c>
      <c r="T179" s="109">
        <f>IF(Z179=1,IF(T178=MiscData!$F$1,EOMONTH(T178,-11),EOMONTH(T178,1)),T178)</f>
        <v>42247</v>
      </c>
      <c r="U179" s="108" t="str">
        <f t="shared" si="68"/>
        <v>20140101LE_951BASE</v>
      </c>
      <c r="V179" s="126" t="str">
        <f t="shared" si="69"/>
        <v xml:space="preserve">20140101LS </v>
      </c>
      <c r="Y179" s="98">
        <f>MiscData!$X$5</f>
        <v>20140101</v>
      </c>
      <c r="Z179" s="98">
        <f>IF(Z178+1&gt;MiscData!$AF$28,1,Z178+1)</f>
        <v>10</v>
      </c>
      <c r="AA179" s="98" t="str">
        <f>VLOOKUP(Z179,MiscData!$AF$5:$AG$28,2,FALSE)</f>
        <v>LE_951BASE</v>
      </c>
      <c r="AB179" s="98" t="str">
        <f>VLOOKUP(Z179,MiscData!$AF$5:$AH$28,3,FALSE)</f>
        <v xml:space="preserve">LS </v>
      </c>
    </row>
    <row r="180" spans="1:28">
      <c r="A180" s="108">
        <f t="shared" ref="A180:A199" si="70">A178+1</f>
        <v>77</v>
      </c>
      <c r="B180" s="109" t="str">
        <f t="shared" si="61"/>
        <v>Aug 2015</v>
      </c>
      <c r="C180" s="110" t="str">
        <f t="shared" si="62"/>
        <v>RLS</v>
      </c>
      <c r="D180" s="110" t="str">
        <f t="shared" si="63"/>
        <v>LE_952BASE</v>
      </c>
      <c r="E180" s="569">
        <f t="shared" si="64"/>
        <v>0</v>
      </c>
      <c r="F180" s="116">
        <f>SUMIF(PoleRates!$E$4:$E$131,$U180,PoleRates!$F$4:$F$131)</f>
        <v>3.56</v>
      </c>
      <c r="G180" s="118">
        <f t="shared" si="48"/>
        <v>0</v>
      </c>
      <c r="H180" s="118">
        <f t="shared" si="49"/>
        <v>0</v>
      </c>
      <c r="I180" s="570">
        <f t="shared" si="46"/>
        <v>0</v>
      </c>
      <c r="J180" s="121">
        <f t="shared" si="65"/>
        <v>1</v>
      </c>
      <c r="K180" s="122">
        <f t="shared" si="47"/>
        <v>0</v>
      </c>
      <c r="L180" s="123">
        <f t="shared" si="66"/>
        <v>0</v>
      </c>
      <c r="M180" s="123">
        <f t="shared" si="67"/>
        <v>0</v>
      </c>
      <c r="T180" s="109">
        <f>IF(Z180=1,IF(T179=MiscData!$F$1,EOMONTH(T179,-11),EOMONTH(T179,1)),T179)</f>
        <v>42247</v>
      </c>
      <c r="U180" s="108" t="str">
        <f t="shared" si="68"/>
        <v>20140101LE_952BASE</v>
      </c>
      <c r="V180" s="126" t="str">
        <f t="shared" si="69"/>
        <v>20140101RLS</v>
      </c>
      <c r="Y180" s="98">
        <f>MiscData!$X$5</f>
        <v>20140101</v>
      </c>
      <c r="Z180" s="98">
        <f>IF(Z179+1&gt;MiscData!$AF$28,1,Z179+1)</f>
        <v>11</v>
      </c>
      <c r="AA180" s="98" t="str">
        <f>VLOOKUP(Z180,MiscData!$AF$5:$AG$28,2,FALSE)</f>
        <v>LE_952BASE</v>
      </c>
      <c r="AB180" s="98" t="str">
        <f>VLOOKUP(Z180,MiscData!$AF$5:$AH$28,3,FALSE)</f>
        <v>RLS</v>
      </c>
    </row>
    <row r="181" spans="1:28" hidden="1">
      <c r="A181" s="108">
        <f t="shared" si="70"/>
        <v>77</v>
      </c>
      <c r="B181" s="109" t="str">
        <f t="shared" si="61"/>
        <v>Aug 2015</v>
      </c>
      <c r="C181" s="110" t="str">
        <f t="shared" si="62"/>
        <v xml:space="preserve">LS </v>
      </c>
      <c r="D181" s="110" t="str">
        <f t="shared" si="63"/>
        <v>LE_952BASE</v>
      </c>
      <c r="E181" s="569">
        <f t="shared" si="64"/>
        <v>0</v>
      </c>
      <c r="F181" s="116">
        <f>SUMIF(PoleRates!$E$4:$E$131,$U181,PoleRates!$F$4:$F$131)</f>
        <v>3.56</v>
      </c>
      <c r="G181" s="118">
        <f t="shared" si="48"/>
        <v>0</v>
      </c>
      <c r="H181" s="118">
        <f t="shared" si="49"/>
        <v>0</v>
      </c>
      <c r="I181" s="570">
        <f t="shared" si="46"/>
        <v>0</v>
      </c>
      <c r="J181" s="121">
        <f t="shared" si="65"/>
        <v>1</v>
      </c>
      <c r="K181" s="122">
        <f t="shared" si="47"/>
        <v>0</v>
      </c>
      <c r="L181" s="123">
        <f t="shared" si="66"/>
        <v>0</v>
      </c>
      <c r="M181" s="123">
        <f t="shared" si="67"/>
        <v>0</v>
      </c>
      <c r="T181" s="109">
        <f>IF(Z181=1,IF(T180=MiscData!$F$1,EOMONTH(T180,-11),EOMONTH(T180,1)),T180)</f>
        <v>42247</v>
      </c>
      <c r="U181" s="108" t="str">
        <f t="shared" si="68"/>
        <v>20140101LE_952BASE</v>
      </c>
      <c r="V181" s="126" t="str">
        <f t="shared" si="69"/>
        <v xml:space="preserve">20140101LS </v>
      </c>
      <c r="Y181" s="98">
        <f>MiscData!$X$5</f>
        <v>20140101</v>
      </c>
      <c r="Z181" s="98">
        <f>IF(Z180+1&gt;MiscData!$AF$28,1,Z180+1)</f>
        <v>12</v>
      </c>
      <c r="AA181" s="98" t="str">
        <f>VLOOKUP(Z181,MiscData!$AF$5:$AG$28,2,FALSE)</f>
        <v>LE_952BASE</v>
      </c>
      <c r="AB181" s="98" t="str">
        <f>VLOOKUP(Z181,MiscData!$AF$5:$AH$28,3,FALSE)</f>
        <v xml:space="preserve">LS </v>
      </c>
    </row>
    <row r="182" spans="1:28">
      <c r="A182" s="108">
        <f t="shared" si="70"/>
        <v>78</v>
      </c>
      <c r="B182" s="109" t="str">
        <f t="shared" si="61"/>
        <v>Aug 2015</v>
      </c>
      <c r="C182" s="110" t="str">
        <f t="shared" si="62"/>
        <v>RLS</v>
      </c>
      <c r="D182" s="110" t="str">
        <f t="shared" si="63"/>
        <v>LE_953BASE</v>
      </c>
      <c r="E182" s="569">
        <f t="shared" si="64"/>
        <v>0</v>
      </c>
      <c r="F182" s="116">
        <f>SUMIF(PoleRates!$E$4:$E$131,$U182,PoleRates!$F$4:$F$131)</f>
        <v>3.73</v>
      </c>
      <c r="G182" s="118">
        <f t="shared" si="48"/>
        <v>0</v>
      </c>
      <c r="H182" s="118">
        <f t="shared" si="49"/>
        <v>0</v>
      </c>
      <c r="I182" s="570">
        <f t="shared" si="46"/>
        <v>0</v>
      </c>
      <c r="J182" s="121">
        <f t="shared" si="65"/>
        <v>1</v>
      </c>
      <c r="K182" s="122">
        <f t="shared" si="47"/>
        <v>0</v>
      </c>
      <c r="L182" s="123">
        <f t="shared" si="66"/>
        <v>0</v>
      </c>
      <c r="M182" s="123">
        <f t="shared" si="67"/>
        <v>0</v>
      </c>
      <c r="T182" s="109">
        <f>IF(Z182=1,IF(T181=MiscData!$F$1,EOMONTH(T181,-11),EOMONTH(T181,1)),T181)</f>
        <v>42247</v>
      </c>
      <c r="U182" s="108" t="str">
        <f t="shared" si="68"/>
        <v>20140101LE_953BASE</v>
      </c>
      <c r="V182" s="126" t="str">
        <f t="shared" si="69"/>
        <v>20140101RLS</v>
      </c>
      <c r="Y182" s="98">
        <f>MiscData!$X$5</f>
        <v>20140101</v>
      </c>
      <c r="Z182" s="98">
        <f>IF(Z181+1&gt;MiscData!$AF$28,1,Z181+1)</f>
        <v>13</v>
      </c>
      <c r="AA182" s="98" t="str">
        <f>VLOOKUP(Z182,MiscData!$AF$5:$AG$28,2,FALSE)</f>
        <v>LE_953BASE</v>
      </c>
      <c r="AB182" s="98" t="str">
        <f>VLOOKUP(Z182,MiscData!$AF$5:$AH$28,3,FALSE)</f>
        <v>RLS</v>
      </c>
    </row>
    <row r="183" spans="1:28" hidden="1">
      <c r="A183" s="108">
        <f t="shared" si="70"/>
        <v>78</v>
      </c>
      <c r="B183" s="109" t="str">
        <f t="shared" si="61"/>
        <v>Aug 2015</v>
      </c>
      <c r="C183" s="110" t="str">
        <f t="shared" si="62"/>
        <v xml:space="preserve">LS </v>
      </c>
      <c r="D183" s="110" t="str">
        <f t="shared" si="63"/>
        <v>LE_953BASE</v>
      </c>
      <c r="E183" s="569">
        <f t="shared" si="64"/>
        <v>0</v>
      </c>
      <c r="F183" s="116">
        <f>SUMIF(PoleRates!$E$4:$E$131,$U183,PoleRates!$F$4:$F$131)</f>
        <v>3.73</v>
      </c>
      <c r="G183" s="118">
        <f t="shared" si="48"/>
        <v>0</v>
      </c>
      <c r="H183" s="118">
        <f t="shared" si="49"/>
        <v>0</v>
      </c>
      <c r="I183" s="570">
        <f t="shared" si="46"/>
        <v>0</v>
      </c>
      <c r="J183" s="121">
        <f t="shared" si="65"/>
        <v>1</v>
      </c>
      <c r="K183" s="122">
        <f t="shared" si="47"/>
        <v>0</v>
      </c>
      <c r="L183" s="123">
        <f t="shared" si="66"/>
        <v>0</v>
      </c>
      <c r="M183" s="123">
        <f t="shared" si="67"/>
        <v>0</v>
      </c>
      <c r="T183" s="109">
        <f>IF(Z183=1,IF(T182=MiscData!$F$1,EOMONTH(T182,-11),EOMONTH(T182,1)),T182)</f>
        <v>42247</v>
      </c>
      <c r="U183" s="108" t="str">
        <f t="shared" si="68"/>
        <v>20140101LE_953BASE</v>
      </c>
      <c r="V183" s="126" t="str">
        <f t="shared" si="69"/>
        <v xml:space="preserve">20140101LS </v>
      </c>
      <c r="Y183" s="98">
        <f>MiscData!$X$5</f>
        <v>20140101</v>
      </c>
      <c r="Z183" s="98">
        <f>IF(Z182+1&gt;MiscData!$AF$28,1,Z182+1)</f>
        <v>14</v>
      </c>
      <c r="AA183" s="98" t="str">
        <f>VLOOKUP(Z183,MiscData!$AF$5:$AG$28,2,FALSE)</f>
        <v>LE_953BASE</v>
      </c>
      <c r="AB183" s="98" t="str">
        <f>VLOOKUP(Z183,MiscData!$AF$5:$AH$28,3,FALSE)</f>
        <v xml:space="preserve">LS </v>
      </c>
    </row>
    <row r="184" spans="1:28">
      <c r="A184" s="108">
        <f t="shared" si="70"/>
        <v>79</v>
      </c>
      <c r="B184" s="109" t="str">
        <f t="shared" si="61"/>
        <v>Aug 2015</v>
      </c>
      <c r="C184" s="110" t="str">
        <f t="shared" si="62"/>
        <v>RLS</v>
      </c>
      <c r="D184" s="110" t="str">
        <f t="shared" si="63"/>
        <v>LE_954BASE</v>
      </c>
      <c r="E184" s="569">
        <f t="shared" si="64"/>
        <v>0</v>
      </c>
      <c r="F184" s="116">
        <f>SUMIF(PoleRates!$E$4:$E$131,$U184,PoleRates!$F$4:$F$131)</f>
        <v>3.47</v>
      </c>
      <c r="G184" s="118">
        <f t="shared" si="48"/>
        <v>0</v>
      </c>
      <c r="H184" s="118">
        <f t="shared" si="49"/>
        <v>0</v>
      </c>
      <c r="I184" s="570">
        <f t="shared" si="46"/>
        <v>0</v>
      </c>
      <c r="J184" s="121">
        <f t="shared" si="65"/>
        <v>1</v>
      </c>
      <c r="K184" s="122">
        <f t="shared" si="47"/>
        <v>0</v>
      </c>
      <c r="L184" s="123">
        <f t="shared" si="66"/>
        <v>0</v>
      </c>
      <c r="M184" s="123">
        <f t="shared" si="67"/>
        <v>0</v>
      </c>
      <c r="T184" s="109">
        <f>IF(Z184=1,IF(T183=MiscData!$F$1,EOMONTH(T183,-11),EOMONTH(T183,1)),T183)</f>
        <v>42247</v>
      </c>
      <c r="U184" s="108" t="str">
        <f t="shared" si="68"/>
        <v>20140101LE_954BASE</v>
      </c>
      <c r="V184" s="126" t="str">
        <f t="shared" si="69"/>
        <v>20140101RLS</v>
      </c>
      <c r="Y184" s="98">
        <f>MiscData!$X$5</f>
        <v>20140101</v>
      </c>
      <c r="Z184" s="98">
        <f>IF(Z183+1&gt;MiscData!$AF$28,1,Z183+1)</f>
        <v>15</v>
      </c>
      <c r="AA184" s="98" t="str">
        <f>VLOOKUP(Z184,MiscData!$AF$5:$AG$28,2,FALSE)</f>
        <v>LE_954BASE</v>
      </c>
      <c r="AB184" s="98" t="str">
        <f>VLOOKUP(Z184,MiscData!$AF$5:$AH$28,3,FALSE)</f>
        <v>RLS</v>
      </c>
    </row>
    <row r="185" spans="1:28" hidden="1">
      <c r="A185" s="108">
        <f t="shared" si="70"/>
        <v>79</v>
      </c>
      <c r="B185" s="109" t="str">
        <f t="shared" si="61"/>
        <v>Aug 2015</v>
      </c>
      <c r="C185" s="110" t="str">
        <f t="shared" si="62"/>
        <v xml:space="preserve">LS </v>
      </c>
      <c r="D185" s="110" t="str">
        <f t="shared" si="63"/>
        <v>LE_954BASE</v>
      </c>
      <c r="E185" s="569">
        <f t="shared" si="64"/>
        <v>0</v>
      </c>
      <c r="F185" s="116">
        <f>SUMIF(PoleRates!$E$4:$E$131,$U185,PoleRates!$F$4:$F$131)</f>
        <v>3.47</v>
      </c>
      <c r="G185" s="118">
        <f t="shared" si="48"/>
        <v>0</v>
      </c>
      <c r="H185" s="118">
        <f t="shared" si="49"/>
        <v>0</v>
      </c>
      <c r="I185" s="570">
        <f t="shared" si="46"/>
        <v>0</v>
      </c>
      <c r="J185" s="121">
        <f t="shared" si="65"/>
        <v>1</v>
      </c>
      <c r="K185" s="122">
        <f t="shared" si="47"/>
        <v>0</v>
      </c>
      <c r="L185" s="123">
        <f t="shared" si="66"/>
        <v>0</v>
      </c>
      <c r="M185" s="123">
        <f t="shared" si="67"/>
        <v>0</v>
      </c>
      <c r="T185" s="109">
        <f>IF(Z185=1,IF(T184=MiscData!$F$1,EOMONTH(T184,-11),EOMONTH(T184,1)),T184)</f>
        <v>42247</v>
      </c>
      <c r="U185" s="108" t="str">
        <f t="shared" si="68"/>
        <v>20140101LE_954BASE</v>
      </c>
      <c r="V185" s="126" t="str">
        <f t="shared" si="69"/>
        <v xml:space="preserve">20140101LS </v>
      </c>
      <c r="Y185" s="98">
        <f>MiscData!$X$5</f>
        <v>20140101</v>
      </c>
      <c r="Z185" s="98">
        <f>IF(Z184+1&gt;MiscData!$AF$28,1,Z184+1)</f>
        <v>16</v>
      </c>
      <c r="AA185" s="98" t="str">
        <f>VLOOKUP(Z185,MiscData!$AF$5:$AG$28,2,FALSE)</f>
        <v>LE_954BASE</v>
      </c>
      <c r="AB185" s="98" t="str">
        <f>VLOOKUP(Z185,MiscData!$AF$5:$AH$28,3,FALSE)</f>
        <v xml:space="preserve">LS </v>
      </c>
    </row>
    <row r="186" spans="1:28">
      <c r="A186" s="108">
        <f t="shared" si="70"/>
        <v>80</v>
      </c>
      <c r="B186" s="109" t="str">
        <f t="shared" si="61"/>
        <v>Aug 2015</v>
      </c>
      <c r="C186" s="110" t="str">
        <f t="shared" si="62"/>
        <v>RLS</v>
      </c>
      <c r="D186" s="110" t="str">
        <f t="shared" si="63"/>
        <v>LE_955BASE</v>
      </c>
      <c r="E186" s="569">
        <f t="shared" si="64"/>
        <v>0</v>
      </c>
      <c r="F186" s="116">
        <f>SUMIF(PoleRates!$E$4:$E$131,$U186,PoleRates!$F$4:$F$131)</f>
        <v>3.56</v>
      </c>
      <c r="G186" s="118">
        <f t="shared" si="48"/>
        <v>0</v>
      </c>
      <c r="H186" s="118">
        <f t="shared" si="49"/>
        <v>0</v>
      </c>
      <c r="I186" s="570">
        <f t="shared" si="46"/>
        <v>0</v>
      </c>
      <c r="J186" s="121">
        <f t="shared" si="65"/>
        <v>1</v>
      </c>
      <c r="K186" s="122">
        <f t="shared" si="47"/>
        <v>0</v>
      </c>
      <c r="L186" s="123">
        <f t="shared" si="66"/>
        <v>0</v>
      </c>
      <c r="M186" s="123">
        <f t="shared" si="67"/>
        <v>0</v>
      </c>
      <c r="T186" s="109">
        <f>IF(Z186=1,IF(T185=MiscData!$F$1,EOMONTH(T185,-11),EOMONTH(T185,1)),T185)</f>
        <v>42247</v>
      </c>
      <c r="U186" s="108" t="str">
        <f t="shared" si="68"/>
        <v>20140101LE_955BASE</v>
      </c>
      <c r="V186" s="126" t="str">
        <f t="shared" si="69"/>
        <v>20140101RLS</v>
      </c>
      <c r="Y186" s="98">
        <f>MiscData!$X$5</f>
        <v>20140101</v>
      </c>
      <c r="Z186" s="98">
        <f>IF(Z185+1&gt;MiscData!$AF$28,1,Z185+1)</f>
        <v>17</v>
      </c>
      <c r="AA186" s="98" t="str">
        <f>VLOOKUP(Z186,MiscData!$AF$5:$AG$28,2,FALSE)</f>
        <v>LE_955BASE</v>
      </c>
      <c r="AB186" s="98" t="str">
        <f>VLOOKUP(Z186,MiscData!$AF$5:$AH$28,3,FALSE)</f>
        <v>RLS</v>
      </c>
    </row>
    <row r="187" spans="1:28" hidden="1">
      <c r="A187" s="108">
        <f t="shared" si="70"/>
        <v>80</v>
      </c>
      <c r="B187" s="109" t="str">
        <f t="shared" si="61"/>
        <v>Aug 2015</v>
      </c>
      <c r="C187" s="110" t="str">
        <f t="shared" si="62"/>
        <v xml:space="preserve">LS </v>
      </c>
      <c r="D187" s="110" t="str">
        <f t="shared" si="63"/>
        <v>LE_955BASE</v>
      </c>
      <c r="E187" s="569">
        <f t="shared" si="64"/>
        <v>0</v>
      </c>
      <c r="F187" s="116">
        <f>SUMIF(PoleRates!$E$4:$E$131,$U187,PoleRates!$F$4:$F$131)</f>
        <v>3.56</v>
      </c>
      <c r="G187" s="118">
        <f t="shared" si="48"/>
        <v>0</v>
      </c>
      <c r="H187" s="118">
        <f t="shared" si="49"/>
        <v>0</v>
      </c>
      <c r="I187" s="570">
        <f t="shared" si="46"/>
        <v>0</v>
      </c>
      <c r="J187" s="121">
        <f t="shared" si="65"/>
        <v>1</v>
      </c>
      <c r="K187" s="122">
        <f t="shared" si="47"/>
        <v>0</v>
      </c>
      <c r="L187" s="123">
        <f t="shared" si="66"/>
        <v>0</v>
      </c>
      <c r="M187" s="123">
        <f t="shared" si="67"/>
        <v>0</v>
      </c>
      <c r="T187" s="109">
        <f>IF(Z187=1,IF(T186=MiscData!$F$1,EOMONTH(T186,-11),EOMONTH(T186,1)),T186)</f>
        <v>42247</v>
      </c>
      <c r="U187" s="108" t="str">
        <f t="shared" si="68"/>
        <v>20140101LE_955BASE</v>
      </c>
      <c r="V187" s="126" t="str">
        <f t="shared" si="69"/>
        <v xml:space="preserve">20140101LS </v>
      </c>
      <c r="Y187" s="98">
        <f>MiscData!$X$5</f>
        <v>20140101</v>
      </c>
      <c r="Z187" s="98">
        <f>IF(Z186+1&gt;MiscData!$AF$28,1,Z186+1)</f>
        <v>18</v>
      </c>
      <c r="AA187" s="98" t="str">
        <f>VLOOKUP(Z187,MiscData!$AF$5:$AG$28,2,FALSE)</f>
        <v>LE_955BASE</v>
      </c>
      <c r="AB187" s="98" t="str">
        <f>VLOOKUP(Z187,MiscData!$AF$5:$AH$28,3,FALSE)</f>
        <v xml:space="preserve">LS </v>
      </c>
    </row>
    <row r="188" spans="1:28" hidden="1">
      <c r="A188" s="108">
        <f t="shared" si="70"/>
        <v>81</v>
      </c>
      <c r="B188" s="109" t="str">
        <f t="shared" si="61"/>
        <v>Aug 2015</v>
      </c>
      <c r="C188" s="110" t="str">
        <f t="shared" si="62"/>
        <v>RLS</v>
      </c>
      <c r="D188" s="110" t="str">
        <f t="shared" si="63"/>
        <v>LE_956BASE</v>
      </c>
      <c r="E188" s="569">
        <f t="shared" si="64"/>
        <v>239</v>
      </c>
      <c r="F188" s="116">
        <f>SUMIF(PoleRates!$E$4:$E$131,$U188,PoleRates!$F$4:$F$131)</f>
        <v>3.56</v>
      </c>
      <c r="G188" s="118">
        <f t="shared" si="48"/>
        <v>850.84</v>
      </c>
      <c r="H188" s="118">
        <f t="shared" si="49"/>
        <v>850.84</v>
      </c>
      <c r="I188" s="570">
        <f t="shared" si="46"/>
        <v>0</v>
      </c>
      <c r="J188" s="121">
        <f t="shared" si="65"/>
        <v>0</v>
      </c>
      <c r="K188" s="122">
        <f t="shared" si="47"/>
        <v>0</v>
      </c>
      <c r="L188" s="123">
        <f t="shared" si="66"/>
        <v>850.84</v>
      </c>
      <c r="M188" s="123">
        <f t="shared" si="67"/>
        <v>-850.84</v>
      </c>
      <c r="T188" s="109">
        <f>IF(Z188=1,IF(T187=MiscData!$F$1,EOMONTH(T187,-11),EOMONTH(T187,1)),T187)</f>
        <v>42247</v>
      </c>
      <c r="U188" s="108" t="str">
        <f t="shared" si="68"/>
        <v>20140101LE_956BASE</v>
      </c>
      <c r="V188" s="126" t="str">
        <f t="shared" si="69"/>
        <v>20140101RLS</v>
      </c>
      <c r="Y188" s="98">
        <f>MiscData!$X$5</f>
        <v>20140101</v>
      </c>
      <c r="Z188" s="98">
        <f>IF(Z187+1&gt;MiscData!$AF$28,1,Z187+1)</f>
        <v>19</v>
      </c>
      <c r="AA188" s="98" t="str">
        <f>VLOOKUP(Z188,MiscData!$AF$5:$AG$28,2,FALSE)</f>
        <v>LE_956BASE</v>
      </c>
      <c r="AB188" s="98" t="str">
        <f>VLOOKUP(Z188,MiscData!$AF$5:$AH$28,3,FALSE)</f>
        <v>RLS</v>
      </c>
    </row>
    <row r="189" spans="1:28" hidden="1">
      <c r="A189" s="108">
        <f t="shared" si="70"/>
        <v>81</v>
      </c>
      <c r="B189" s="109" t="str">
        <f t="shared" si="61"/>
        <v>Aug 2015</v>
      </c>
      <c r="C189" s="110" t="str">
        <f t="shared" si="62"/>
        <v xml:space="preserve">LS </v>
      </c>
      <c r="D189" s="110" t="str">
        <f t="shared" si="63"/>
        <v>LE_956BASE</v>
      </c>
      <c r="E189" s="569">
        <f t="shared" si="64"/>
        <v>300</v>
      </c>
      <c r="F189" s="116">
        <f>SUMIF(PoleRates!$E$4:$E$131,$U189,PoleRates!$F$4:$F$131)</f>
        <v>3.56</v>
      </c>
      <c r="G189" s="118">
        <f t="shared" si="48"/>
        <v>1068</v>
      </c>
      <c r="H189" s="118">
        <f t="shared" si="49"/>
        <v>1068</v>
      </c>
      <c r="I189" s="570">
        <f t="shared" si="46"/>
        <v>0</v>
      </c>
      <c r="J189" s="121">
        <f t="shared" si="65"/>
        <v>0</v>
      </c>
      <c r="K189" s="122">
        <f t="shared" si="47"/>
        <v>0</v>
      </c>
      <c r="L189" s="123">
        <f t="shared" si="66"/>
        <v>1068</v>
      </c>
      <c r="M189" s="123">
        <f t="shared" si="67"/>
        <v>-1068</v>
      </c>
      <c r="T189" s="109">
        <f>IF(Z189=1,IF(T188=MiscData!$F$1,EOMONTH(T188,-11),EOMONTH(T188,1)),T188)</f>
        <v>42247</v>
      </c>
      <c r="U189" s="108" t="str">
        <f t="shared" si="68"/>
        <v>20140101LE_956BASE</v>
      </c>
      <c r="V189" s="126" t="str">
        <f t="shared" si="69"/>
        <v xml:space="preserve">20140101LS </v>
      </c>
      <c r="Y189" s="98">
        <f>MiscData!$X$5</f>
        <v>20140101</v>
      </c>
      <c r="Z189" s="98">
        <f>IF(Z188+1&gt;MiscData!$AF$28,1,Z188+1)</f>
        <v>20</v>
      </c>
      <c r="AA189" s="98" t="str">
        <f>VLOOKUP(Z189,MiscData!$AF$5:$AG$28,2,FALSE)</f>
        <v>LE_956BASE</v>
      </c>
      <c r="AB189" s="98" t="str">
        <f>VLOOKUP(Z189,MiscData!$AF$5:$AH$28,3,FALSE)</f>
        <v xml:space="preserve">LS </v>
      </c>
    </row>
    <row r="190" spans="1:28">
      <c r="A190" s="108">
        <f t="shared" si="70"/>
        <v>82</v>
      </c>
      <c r="B190" s="109" t="str">
        <f t="shared" si="61"/>
        <v>Aug 2015</v>
      </c>
      <c r="C190" s="110" t="str">
        <f t="shared" si="62"/>
        <v>RLS</v>
      </c>
      <c r="D190" s="110" t="str">
        <f t="shared" si="63"/>
        <v>LE_957BASE</v>
      </c>
      <c r="E190" s="569">
        <f t="shared" si="64"/>
        <v>0</v>
      </c>
      <c r="F190" s="116">
        <f>SUMIF(PoleRates!$E$4:$E$131,$U190,PoleRates!$F$4:$F$131)</f>
        <v>3.56</v>
      </c>
      <c r="G190" s="118">
        <f t="shared" si="48"/>
        <v>0</v>
      </c>
      <c r="H190" s="118">
        <f t="shared" si="49"/>
        <v>0</v>
      </c>
      <c r="I190" s="570">
        <f t="shared" si="46"/>
        <v>0</v>
      </c>
      <c r="J190" s="121">
        <f t="shared" si="65"/>
        <v>1</v>
      </c>
      <c r="K190" s="122">
        <f t="shared" si="47"/>
        <v>0</v>
      </c>
      <c r="L190" s="123">
        <f t="shared" si="66"/>
        <v>0</v>
      </c>
      <c r="M190" s="123">
        <f t="shared" si="67"/>
        <v>0</v>
      </c>
      <c r="T190" s="109">
        <f>IF(Z190=1,IF(T189=MiscData!$F$1,EOMONTH(T189,-11),EOMONTH(T189,1)),T189)</f>
        <v>42247</v>
      </c>
      <c r="U190" s="108" t="str">
        <f t="shared" si="68"/>
        <v>20140101LE_957BASE</v>
      </c>
      <c r="V190" s="126" t="str">
        <f t="shared" si="69"/>
        <v>20140101RLS</v>
      </c>
      <c r="Y190" s="98">
        <f>MiscData!$X$5</f>
        <v>20140101</v>
      </c>
      <c r="Z190" s="98">
        <f>IF(Z189+1&gt;MiscData!$AF$28,1,Z189+1)</f>
        <v>21</v>
      </c>
      <c r="AA190" s="98" t="str">
        <f>VLOOKUP(Z190,MiscData!$AF$5:$AG$28,2,FALSE)</f>
        <v>LE_957BASE</v>
      </c>
      <c r="AB190" s="98" t="str">
        <f>VLOOKUP(Z190,MiscData!$AF$5:$AH$28,3,FALSE)</f>
        <v>RLS</v>
      </c>
    </row>
    <row r="191" spans="1:28" hidden="1">
      <c r="A191" s="108">
        <f t="shared" si="70"/>
        <v>82</v>
      </c>
      <c r="B191" s="109" t="str">
        <f t="shared" si="61"/>
        <v>Aug 2015</v>
      </c>
      <c r="C191" s="110" t="str">
        <f t="shared" si="62"/>
        <v xml:space="preserve">LS </v>
      </c>
      <c r="D191" s="110" t="str">
        <f t="shared" si="63"/>
        <v>LE_957BASE</v>
      </c>
      <c r="E191" s="569">
        <f t="shared" si="64"/>
        <v>0</v>
      </c>
      <c r="F191" s="116">
        <f>SUMIF(PoleRates!$E$4:$E$131,$U191,PoleRates!$F$4:$F$131)</f>
        <v>3.56</v>
      </c>
      <c r="G191" s="118">
        <f t="shared" si="48"/>
        <v>0</v>
      </c>
      <c r="H191" s="118">
        <f t="shared" si="49"/>
        <v>0</v>
      </c>
      <c r="I191" s="570">
        <f t="shared" si="46"/>
        <v>0</v>
      </c>
      <c r="J191" s="121">
        <f t="shared" si="65"/>
        <v>1</v>
      </c>
      <c r="K191" s="122">
        <f t="shared" si="47"/>
        <v>0</v>
      </c>
      <c r="L191" s="123">
        <f t="shared" si="66"/>
        <v>0</v>
      </c>
      <c r="M191" s="123">
        <f t="shared" si="67"/>
        <v>0</v>
      </c>
      <c r="T191" s="109">
        <f>IF(Z191=1,IF(T190=MiscData!$F$1,EOMONTH(T190,-11),EOMONTH(T190,1)),T190)</f>
        <v>42247</v>
      </c>
      <c r="U191" s="108" t="str">
        <f t="shared" si="68"/>
        <v>20140101LE_957BASE</v>
      </c>
      <c r="V191" s="126" t="str">
        <f t="shared" si="69"/>
        <v xml:space="preserve">20140101LS </v>
      </c>
      <c r="Y191" s="98">
        <f>MiscData!$X$5</f>
        <v>20140101</v>
      </c>
      <c r="Z191" s="98">
        <f>IF(Z190+1&gt;MiscData!$AF$28,1,Z190+1)</f>
        <v>22</v>
      </c>
      <c r="AA191" s="98" t="str">
        <f>VLOOKUP(Z191,MiscData!$AF$5:$AG$28,2,FALSE)</f>
        <v>LE_957BASE</v>
      </c>
      <c r="AB191" s="98" t="str">
        <f>VLOOKUP(Z191,MiscData!$AF$5:$AH$28,3,FALSE)</f>
        <v xml:space="preserve">LS </v>
      </c>
    </row>
    <row r="192" spans="1:28" hidden="1">
      <c r="A192" s="108">
        <f>A182+1</f>
        <v>79</v>
      </c>
      <c r="B192" s="109" t="str">
        <f t="shared" si="61"/>
        <v>Aug 2015</v>
      </c>
      <c r="C192" s="110" t="str">
        <f t="shared" si="62"/>
        <v>RLS</v>
      </c>
      <c r="D192" s="110" t="str">
        <f t="shared" si="63"/>
        <v>LE_958POLE</v>
      </c>
      <c r="E192" s="569">
        <f t="shared" si="64"/>
        <v>37</v>
      </c>
      <c r="F192" s="116">
        <f>SUMIF(PoleRates!$E$4:$E$131,$U192,PoleRates!$F$4:$F$131)</f>
        <v>11.31</v>
      </c>
      <c r="G192" s="118">
        <f t="shared" si="48"/>
        <v>418.47</v>
      </c>
      <c r="H192" s="118">
        <f t="shared" si="49"/>
        <v>418.47</v>
      </c>
      <c r="I192" s="570">
        <f t="shared" si="46"/>
        <v>0</v>
      </c>
      <c r="J192" s="121">
        <f t="shared" si="65"/>
        <v>0</v>
      </c>
      <c r="K192" s="122">
        <f t="shared" si="47"/>
        <v>0</v>
      </c>
      <c r="L192" s="123">
        <f t="shared" si="66"/>
        <v>418.47</v>
      </c>
      <c r="M192" s="123">
        <f t="shared" si="67"/>
        <v>-418.47</v>
      </c>
      <c r="T192" s="109">
        <f>IF(Z192=1,IF(T191=MiscData!$F$1,EOMONTH(T191,-11),EOMONTH(T191,1)),T191)</f>
        <v>42247</v>
      </c>
      <c r="U192" s="108" t="str">
        <f t="shared" si="68"/>
        <v>20140101LE_958POLE</v>
      </c>
      <c r="V192" s="126" t="str">
        <f t="shared" si="69"/>
        <v>20140101RLS</v>
      </c>
      <c r="Y192" s="98">
        <f>MiscData!$X$5</f>
        <v>20140101</v>
      </c>
      <c r="Z192" s="98">
        <f>IF(Z191+1&gt;MiscData!$AF$28,1,Z191+1)</f>
        <v>23</v>
      </c>
      <c r="AA192" s="98" t="str">
        <f>VLOOKUP(Z192,MiscData!$AF$5:$AG$28,2,FALSE)</f>
        <v>LE_958POLE</v>
      </c>
      <c r="AB192" s="98" t="str">
        <f>VLOOKUP(Z192,MiscData!$AF$5:$AH$28,3,FALSE)</f>
        <v>RLS</v>
      </c>
    </row>
    <row r="193" spans="1:28" hidden="1">
      <c r="A193" s="108">
        <f>A183+1</f>
        <v>79</v>
      </c>
      <c r="B193" s="109" t="str">
        <f t="shared" si="61"/>
        <v>Aug 2015</v>
      </c>
      <c r="C193" s="110" t="str">
        <f t="shared" si="62"/>
        <v xml:space="preserve">LS </v>
      </c>
      <c r="D193" s="110" t="str">
        <f t="shared" si="63"/>
        <v>LE_958POLE</v>
      </c>
      <c r="E193" s="569">
        <f t="shared" si="64"/>
        <v>409</v>
      </c>
      <c r="F193" s="116">
        <f>SUMIF(PoleRates!$E$4:$E$131,$U193,PoleRates!$F$4:$F$131)</f>
        <v>11.31</v>
      </c>
      <c r="G193" s="118">
        <f t="shared" si="48"/>
        <v>4625.79</v>
      </c>
      <c r="H193" s="118">
        <f t="shared" si="49"/>
        <v>4625.79</v>
      </c>
      <c r="I193" s="570">
        <f t="shared" si="46"/>
        <v>0</v>
      </c>
      <c r="J193" s="121">
        <f t="shared" si="65"/>
        <v>0</v>
      </c>
      <c r="K193" s="122">
        <f t="shared" si="47"/>
        <v>0</v>
      </c>
      <c r="L193" s="123">
        <f t="shared" si="66"/>
        <v>4625.79</v>
      </c>
      <c r="M193" s="123">
        <f t="shared" si="67"/>
        <v>-4625.79</v>
      </c>
      <c r="T193" s="109">
        <f>IF(Z193=1,IF(T192=MiscData!$F$1,EOMONTH(T192,-11),EOMONTH(T192,1)),T192)</f>
        <v>42247</v>
      </c>
      <c r="U193" s="108" t="str">
        <f t="shared" si="68"/>
        <v>20140101LE_958POLE</v>
      </c>
      <c r="V193" s="126" t="str">
        <f t="shared" si="69"/>
        <v xml:space="preserve">20140101LS </v>
      </c>
      <c r="Y193" s="98">
        <f>MiscData!$X$5</f>
        <v>20140101</v>
      </c>
      <c r="Z193" s="98">
        <f>IF(Z192+1&gt;MiscData!$AF$28,1,Z192+1)</f>
        <v>24</v>
      </c>
      <c r="AA193" s="98" t="str">
        <f>VLOOKUP(Z193,MiscData!$AF$5:$AG$28,2,FALSE)</f>
        <v>LE_958POLE</v>
      </c>
      <c r="AB193" s="98" t="str">
        <f>VLOOKUP(Z193,MiscData!$AF$5:$AH$28,3,FALSE)</f>
        <v xml:space="preserve">LS </v>
      </c>
    </row>
    <row r="194" spans="1:28" hidden="1">
      <c r="A194" s="108">
        <f t="shared" si="70"/>
        <v>80</v>
      </c>
      <c r="B194" s="109" t="str">
        <f t="shared" si="61"/>
        <v>Sep 2015</v>
      </c>
      <c r="C194" s="110" t="str">
        <f t="shared" si="62"/>
        <v>RLS</v>
      </c>
      <c r="D194" s="110" t="str">
        <f t="shared" si="63"/>
        <v>LE_900POLE</v>
      </c>
      <c r="E194" s="569">
        <f t="shared" si="64"/>
        <v>1723</v>
      </c>
      <c r="F194" s="116">
        <f>SUMIF(PoleRates!$E$4:$E$131,$U194,PoleRates!$F$4:$F$131)</f>
        <v>2.06</v>
      </c>
      <c r="G194" s="118">
        <f t="shared" si="48"/>
        <v>3549.38</v>
      </c>
      <c r="H194" s="118">
        <f t="shared" si="49"/>
        <v>3549.38</v>
      </c>
      <c r="I194" s="570">
        <f t="shared" ref="I194:I257" si="71">SUMIFS(L_1051_Revenue_Total,L_1051_Revenue_Month,$B194,L_1051_RateCategory,$D194,L_1051_Light_Category,C194)</f>
        <v>0</v>
      </c>
      <c r="J194" s="121">
        <f t="shared" si="65"/>
        <v>0</v>
      </c>
      <c r="K194" s="122">
        <f t="shared" ref="K194:K257" si="72">SUMIFS(L_1051_Revenue_Total,L_1051_Revenue_Month,$B194,L_1051_RateCategory,$D194,L_1051_Light_Category,C194)</f>
        <v>0</v>
      </c>
      <c r="L194" s="123">
        <f t="shared" si="66"/>
        <v>3549.38</v>
      </c>
      <c r="M194" s="123">
        <f t="shared" si="67"/>
        <v>-3549.38</v>
      </c>
      <c r="T194" s="109">
        <f>IF(Z194=1,IF(T193=MiscData!$F$1,EOMONTH(T193,-11),EOMONTH(T193,1)),T193)</f>
        <v>42277</v>
      </c>
      <c r="U194" s="108" t="str">
        <f t="shared" si="68"/>
        <v>20140101LE_900POLE</v>
      </c>
      <c r="V194" s="126" t="str">
        <f t="shared" si="69"/>
        <v>20140101RLS</v>
      </c>
      <c r="Y194" s="98">
        <f>MiscData!$X$5</f>
        <v>20140101</v>
      </c>
      <c r="Z194" s="98">
        <f>IF(Z193+1&gt;MiscData!$AF$28,1,Z193+1)</f>
        <v>1</v>
      </c>
      <c r="AA194" s="98" t="str">
        <f>VLOOKUP(Z194,MiscData!$AF$5:$AG$28,2,FALSE)</f>
        <v>LE_900POLE</v>
      </c>
      <c r="AB194" s="98" t="str">
        <f>VLOOKUP(Z194,MiscData!$AF$5:$AH$28,3,FALSE)</f>
        <v>RLS</v>
      </c>
    </row>
    <row r="195" spans="1:28" hidden="1">
      <c r="A195" s="108">
        <f t="shared" si="70"/>
        <v>80</v>
      </c>
      <c r="B195" s="109" t="str">
        <f t="shared" si="61"/>
        <v>Sep 2015</v>
      </c>
      <c r="C195" s="110" t="str">
        <f t="shared" si="62"/>
        <v xml:space="preserve">LS </v>
      </c>
      <c r="D195" s="110" t="str">
        <f t="shared" si="63"/>
        <v>LE_900POLE</v>
      </c>
      <c r="E195" s="569">
        <f t="shared" si="64"/>
        <v>5243</v>
      </c>
      <c r="F195" s="116">
        <f>SUMIF(PoleRates!$E$4:$E$131,$U195,PoleRates!$F$4:$F$131)</f>
        <v>2.06</v>
      </c>
      <c r="G195" s="118">
        <f t="shared" ref="G195:G258" si="73">ROUND($E195*$F195,2)</f>
        <v>10800.58</v>
      </c>
      <c r="H195" s="118">
        <f t="shared" ref="H195:H258" si="74">G195</f>
        <v>10800.58</v>
      </c>
      <c r="I195" s="570">
        <f t="shared" si="71"/>
        <v>0</v>
      </c>
      <c r="J195" s="121">
        <f t="shared" si="65"/>
        <v>0</v>
      </c>
      <c r="K195" s="122">
        <f t="shared" si="72"/>
        <v>0</v>
      </c>
      <c r="L195" s="123">
        <f t="shared" si="66"/>
        <v>10800.58</v>
      </c>
      <c r="M195" s="123">
        <f t="shared" si="67"/>
        <v>-10800.58</v>
      </c>
      <c r="T195" s="109">
        <f>IF(Z195=1,IF(T194=MiscData!$F$1,EOMONTH(T194,-11),EOMONTH(T194,1)),T194)</f>
        <v>42277</v>
      </c>
      <c r="U195" s="108" t="str">
        <f t="shared" si="68"/>
        <v>20140101LE_900POLE</v>
      </c>
      <c r="V195" s="126" t="str">
        <f t="shared" si="69"/>
        <v xml:space="preserve">20140101LS </v>
      </c>
      <c r="Y195" s="98">
        <f>MiscData!$X$5</f>
        <v>20140101</v>
      </c>
      <c r="Z195" s="98">
        <f>IF(Z194+1&gt;MiscData!$AF$28,1,Z194+1)</f>
        <v>2</v>
      </c>
      <c r="AA195" s="98" t="str">
        <f>VLOOKUP(Z195,MiscData!$AF$5:$AG$28,2,FALSE)</f>
        <v>LE_900POLE</v>
      </c>
      <c r="AB195" s="98" t="str">
        <f>VLOOKUP(Z195,MiscData!$AF$5:$AH$28,3,FALSE)</f>
        <v xml:space="preserve">LS </v>
      </c>
    </row>
    <row r="196" spans="1:28" hidden="1">
      <c r="A196" s="108">
        <f t="shared" si="70"/>
        <v>81</v>
      </c>
      <c r="B196" s="109" t="str">
        <f t="shared" si="61"/>
        <v>Sep 2015</v>
      </c>
      <c r="C196" s="110" t="str">
        <f t="shared" si="62"/>
        <v>RLS</v>
      </c>
      <c r="D196" s="110" t="str">
        <f t="shared" si="63"/>
        <v>LE_901POLE</v>
      </c>
      <c r="E196" s="569">
        <f t="shared" si="64"/>
        <v>157</v>
      </c>
      <c r="F196" s="116">
        <f>SUMIF(PoleRates!$E$4:$E$131,$U196,PoleRates!$F$4:$F$131)</f>
        <v>10.81</v>
      </c>
      <c r="G196" s="118">
        <f t="shared" si="73"/>
        <v>1697.17</v>
      </c>
      <c r="H196" s="118">
        <f t="shared" si="74"/>
        <v>1697.17</v>
      </c>
      <c r="I196" s="570">
        <f t="shared" si="71"/>
        <v>0</v>
      </c>
      <c r="J196" s="121">
        <f t="shared" si="65"/>
        <v>0</v>
      </c>
      <c r="K196" s="122">
        <f t="shared" si="72"/>
        <v>0</v>
      </c>
      <c r="L196" s="123">
        <f t="shared" si="66"/>
        <v>1697.17</v>
      </c>
      <c r="M196" s="123">
        <f t="shared" si="67"/>
        <v>-1697.17</v>
      </c>
      <c r="T196" s="109">
        <f>IF(Z196=1,IF(T195=MiscData!$F$1,EOMONTH(T195,-11),EOMONTH(T195,1)),T195)</f>
        <v>42277</v>
      </c>
      <c r="U196" s="108" t="str">
        <f t="shared" si="68"/>
        <v>20140101LE_901POLE</v>
      </c>
      <c r="V196" s="126" t="str">
        <f t="shared" si="69"/>
        <v>20140101RLS</v>
      </c>
      <c r="Y196" s="98">
        <f>MiscData!$X$5</f>
        <v>20140101</v>
      </c>
      <c r="Z196" s="98">
        <f>IF(Z195+1&gt;MiscData!$AF$28,1,Z195+1)</f>
        <v>3</v>
      </c>
      <c r="AA196" s="98" t="str">
        <f>VLOOKUP(Z196,MiscData!$AF$5:$AG$28,2,FALSE)</f>
        <v>LE_901POLE</v>
      </c>
      <c r="AB196" s="98" t="str">
        <f>VLOOKUP(Z196,MiscData!$AF$5:$AH$28,3,FALSE)</f>
        <v>RLS</v>
      </c>
    </row>
    <row r="197" spans="1:28" hidden="1">
      <c r="A197" s="108">
        <f t="shared" si="70"/>
        <v>81</v>
      </c>
      <c r="B197" s="109" t="str">
        <f t="shared" si="61"/>
        <v>Sep 2015</v>
      </c>
      <c r="C197" s="110" t="str">
        <f t="shared" si="62"/>
        <v xml:space="preserve">LS </v>
      </c>
      <c r="D197" s="110" t="str">
        <f t="shared" si="63"/>
        <v>LE_901POLE</v>
      </c>
      <c r="E197" s="569">
        <f t="shared" si="64"/>
        <v>0</v>
      </c>
      <c r="F197" s="116">
        <f>SUMIF(PoleRates!$E$4:$E$131,$U197,PoleRates!$F$4:$F$131)</f>
        <v>10.81</v>
      </c>
      <c r="G197" s="118">
        <f t="shared" si="73"/>
        <v>0</v>
      </c>
      <c r="H197" s="118">
        <f t="shared" si="74"/>
        <v>0</v>
      </c>
      <c r="I197" s="570">
        <f t="shared" si="71"/>
        <v>0</v>
      </c>
      <c r="J197" s="121">
        <f t="shared" si="65"/>
        <v>1</v>
      </c>
      <c r="K197" s="122">
        <f t="shared" si="72"/>
        <v>0</v>
      </c>
      <c r="L197" s="123">
        <f t="shared" si="66"/>
        <v>0</v>
      </c>
      <c r="M197" s="123">
        <f t="shared" si="67"/>
        <v>0</v>
      </c>
      <c r="T197" s="109">
        <f>IF(Z197=1,IF(T196=MiscData!$F$1,EOMONTH(T196,-11),EOMONTH(T196,1)),T196)</f>
        <v>42277</v>
      </c>
      <c r="U197" s="108" t="str">
        <f t="shared" si="68"/>
        <v>20140101LE_901POLE</v>
      </c>
      <c r="V197" s="126" t="str">
        <f t="shared" si="69"/>
        <v xml:space="preserve">20140101LS </v>
      </c>
      <c r="Y197" s="98">
        <f>MiscData!$X$5</f>
        <v>20140101</v>
      </c>
      <c r="Z197" s="98">
        <f>IF(Z196+1&gt;MiscData!$AF$28,1,Z196+1)</f>
        <v>4</v>
      </c>
      <c r="AA197" s="98" t="str">
        <f>VLOOKUP(Z197,MiscData!$AF$5:$AG$28,2,FALSE)</f>
        <v>LE_901POLE</v>
      </c>
      <c r="AB197" s="98" t="str">
        <f>VLOOKUP(Z197,MiscData!$AF$5:$AH$28,3,FALSE)</f>
        <v xml:space="preserve">LS </v>
      </c>
    </row>
    <row r="198" spans="1:28" hidden="1">
      <c r="A198" s="108">
        <f t="shared" si="70"/>
        <v>82</v>
      </c>
      <c r="B198" s="109" t="str">
        <f t="shared" si="61"/>
        <v>Sep 2015</v>
      </c>
      <c r="C198" s="110" t="str">
        <f t="shared" si="62"/>
        <v>RLS</v>
      </c>
      <c r="D198" s="110" t="str">
        <f t="shared" si="63"/>
        <v>LE_902POLE</v>
      </c>
      <c r="E198" s="569">
        <f t="shared" si="64"/>
        <v>277</v>
      </c>
      <c r="F198" s="116">
        <f>SUMIF(PoleRates!$E$4:$E$131,$U198,PoleRates!$F$4:$F$131)</f>
        <v>12.9</v>
      </c>
      <c r="G198" s="118">
        <f t="shared" si="73"/>
        <v>3573.3</v>
      </c>
      <c r="H198" s="118">
        <f t="shared" si="74"/>
        <v>3573.3</v>
      </c>
      <c r="I198" s="570">
        <f t="shared" si="71"/>
        <v>0</v>
      </c>
      <c r="J198" s="121">
        <f t="shared" si="65"/>
        <v>0</v>
      </c>
      <c r="K198" s="122">
        <f t="shared" si="72"/>
        <v>0</v>
      </c>
      <c r="L198" s="123">
        <f t="shared" si="66"/>
        <v>3573.3</v>
      </c>
      <c r="M198" s="123">
        <f t="shared" si="67"/>
        <v>-3573.3</v>
      </c>
      <c r="T198" s="109">
        <f>IF(Z198=1,IF(T197=MiscData!$F$1,EOMONTH(T197,-11),EOMONTH(T197,1)),T197)</f>
        <v>42277</v>
      </c>
      <c r="U198" s="108" t="str">
        <f t="shared" si="68"/>
        <v>20140101LE_902POLE</v>
      </c>
      <c r="V198" s="126" t="str">
        <f t="shared" si="69"/>
        <v>20140101RLS</v>
      </c>
      <c r="Y198" s="98">
        <f>MiscData!$X$5</f>
        <v>20140101</v>
      </c>
      <c r="Z198" s="98">
        <f>IF(Z197+1&gt;MiscData!$AF$28,1,Z197+1)</f>
        <v>5</v>
      </c>
      <c r="AA198" s="98" t="str">
        <f>VLOOKUP(Z198,MiscData!$AF$5:$AG$28,2,FALSE)</f>
        <v>LE_902POLE</v>
      </c>
      <c r="AB198" s="98" t="str">
        <f>VLOOKUP(Z198,MiscData!$AF$5:$AH$28,3,FALSE)</f>
        <v>RLS</v>
      </c>
    </row>
    <row r="199" spans="1:28" hidden="1">
      <c r="A199" s="108">
        <f t="shared" si="70"/>
        <v>82</v>
      </c>
      <c r="B199" s="109" t="str">
        <f t="shared" si="61"/>
        <v>Sep 2015</v>
      </c>
      <c r="C199" s="110" t="str">
        <f t="shared" si="62"/>
        <v xml:space="preserve">LS </v>
      </c>
      <c r="D199" s="110" t="str">
        <f t="shared" si="63"/>
        <v>LE_902POLE</v>
      </c>
      <c r="E199" s="569">
        <f t="shared" si="64"/>
        <v>3</v>
      </c>
      <c r="F199" s="116">
        <f>SUMIF(PoleRates!$E$4:$E$131,$U199,PoleRates!$F$4:$F$131)</f>
        <v>12.9</v>
      </c>
      <c r="G199" s="118">
        <f t="shared" si="73"/>
        <v>38.700000000000003</v>
      </c>
      <c r="H199" s="118">
        <f t="shared" si="74"/>
        <v>38.700000000000003</v>
      </c>
      <c r="I199" s="570">
        <f t="shared" si="71"/>
        <v>0</v>
      </c>
      <c r="J199" s="121">
        <f t="shared" si="65"/>
        <v>0</v>
      </c>
      <c r="K199" s="122">
        <f t="shared" si="72"/>
        <v>0</v>
      </c>
      <c r="L199" s="123">
        <f t="shared" si="66"/>
        <v>38.700000000000003</v>
      </c>
      <c r="M199" s="123">
        <f t="shared" si="67"/>
        <v>-38.700000000000003</v>
      </c>
      <c r="T199" s="109">
        <f>IF(Z199=1,IF(T198=MiscData!$F$1,EOMONTH(T198,-11),EOMONTH(T198,1)),T198)</f>
        <v>42277</v>
      </c>
      <c r="U199" s="108" t="str">
        <f t="shared" si="68"/>
        <v>20140101LE_902POLE</v>
      </c>
      <c r="V199" s="126" t="str">
        <f t="shared" si="69"/>
        <v xml:space="preserve">20140101LS </v>
      </c>
      <c r="Y199" s="98">
        <f>MiscData!$X$5</f>
        <v>20140101</v>
      </c>
      <c r="Z199" s="98">
        <f>IF(Z198+1&gt;MiscData!$AF$28,1,Z198+1)</f>
        <v>6</v>
      </c>
      <c r="AA199" s="98" t="str">
        <f>VLOOKUP(Z199,MiscData!$AF$5:$AG$28,2,FALSE)</f>
        <v>LE_902POLE</v>
      </c>
      <c r="AB199" s="98" t="str">
        <f>VLOOKUP(Z199,MiscData!$AF$5:$AH$28,3,FALSE)</f>
        <v xml:space="preserve">LS </v>
      </c>
    </row>
    <row r="200" spans="1:28" hidden="1">
      <c r="A200" s="108">
        <f>A110+1</f>
        <v>87</v>
      </c>
      <c r="B200" s="109" t="str">
        <f t="shared" si="50"/>
        <v>Sep 2015</v>
      </c>
      <c r="C200" s="110" t="str">
        <f t="shared" si="51"/>
        <v>RLS</v>
      </c>
      <c r="D200" s="110" t="str">
        <f t="shared" si="52"/>
        <v>LE_950BASE</v>
      </c>
      <c r="E200" s="569">
        <f t="shared" si="53"/>
        <v>32</v>
      </c>
      <c r="F200" s="116">
        <f>SUMIF(PoleRates!$E$4:$E$131,$U200,PoleRates!$F$4:$F$131)</f>
        <v>3.47</v>
      </c>
      <c r="G200" s="118">
        <f t="shared" si="73"/>
        <v>111.04</v>
      </c>
      <c r="H200" s="118">
        <f t="shared" si="74"/>
        <v>111.04</v>
      </c>
      <c r="I200" s="570">
        <f t="shared" si="71"/>
        <v>0</v>
      </c>
      <c r="J200" s="121">
        <f t="shared" si="54"/>
        <v>0</v>
      </c>
      <c r="K200" s="122">
        <f t="shared" si="72"/>
        <v>0</v>
      </c>
      <c r="L200" s="123">
        <f t="shared" si="55"/>
        <v>111.04</v>
      </c>
      <c r="M200" s="123">
        <f t="shared" si="56"/>
        <v>-111.04</v>
      </c>
      <c r="T200" s="109">
        <f>IF(Z200=1,IF(T199=MiscData!$F$1,EOMONTH(T199,-11),EOMONTH(T199,1)),T199)</f>
        <v>42277</v>
      </c>
      <c r="U200" s="108" t="str">
        <f t="shared" si="57"/>
        <v>20140101LE_950BASE</v>
      </c>
      <c r="V200" s="126" t="str">
        <f t="shared" si="58"/>
        <v>20140101RLS</v>
      </c>
      <c r="Y200" s="98">
        <f>MiscData!$X$5</f>
        <v>20140101</v>
      </c>
      <c r="Z200" s="98">
        <f>IF(Z199+1&gt;MiscData!$AF$28,1,Z199+1)</f>
        <v>7</v>
      </c>
      <c r="AA200" s="98" t="str">
        <f>VLOOKUP(Z200,MiscData!$AF$5:$AG$28,2,FALSE)</f>
        <v>LE_950BASE</v>
      </c>
      <c r="AB200" s="98" t="str">
        <f>VLOOKUP(Z200,MiscData!$AF$5:$AH$28,3,FALSE)</f>
        <v>RLS</v>
      </c>
    </row>
    <row r="201" spans="1:28" hidden="1">
      <c r="A201" s="108">
        <f>A111+1</f>
        <v>87</v>
      </c>
      <c r="B201" s="109" t="str">
        <f t="shared" si="50"/>
        <v>Sep 2015</v>
      </c>
      <c r="C201" s="110" t="str">
        <f t="shared" si="51"/>
        <v xml:space="preserve">LS </v>
      </c>
      <c r="D201" s="110" t="str">
        <f t="shared" si="52"/>
        <v>LE_950BASE</v>
      </c>
      <c r="E201" s="569">
        <f t="shared" si="53"/>
        <v>10</v>
      </c>
      <c r="F201" s="116">
        <f>SUMIF(PoleRates!$E$4:$E$131,$U201,PoleRates!$F$4:$F$131)</f>
        <v>3.47</v>
      </c>
      <c r="G201" s="118">
        <f t="shared" si="73"/>
        <v>34.700000000000003</v>
      </c>
      <c r="H201" s="118">
        <f t="shared" si="74"/>
        <v>34.700000000000003</v>
      </c>
      <c r="I201" s="570">
        <f t="shared" si="71"/>
        <v>0</v>
      </c>
      <c r="J201" s="121">
        <f t="shared" si="54"/>
        <v>0</v>
      </c>
      <c r="K201" s="122">
        <f t="shared" si="72"/>
        <v>0</v>
      </c>
      <c r="L201" s="123">
        <f t="shared" si="55"/>
        <v>34.700000000000003</v>
      </c>
      <c r="M201" s="123">
        <f t="shared" si="56"/>
        <v>-34.700000000000003</v>
      </c>
      <c r="T201" s="109">
        <f>IF(Z201=1,IF(T200=MiscData!$F$1,EOMONTH(T200,-11),EOMONTH(T200,1)),T200)</f>
        <v>42277</v>
      </c>
      <c r="U201" s="108" t="str">
        <f t="shared" si="57"/>
        <v>20140101LE_950BASE</v>
      </c>
      <c r="V201" s="126" t="str">
        <f t="shared" si="58"/>
        <v xml:space="preserve">20140101LS </v>
      </c>
      <c r="Y201" s="98">
        <f>MiscData!$X$5</f>
        <v>20140101</v>
      </c>
      <c r="Z201" s="98">
        <f>IF(Z200+1&gt;MiscData!$AF$28,1,Z200+1)</f>
        <v>8</v>
      </c>
      <c r="AA201" s="98" t="str">
        <f>VLOOKUP(Z201,MiscData!$AF$5:$AG$28,2,FALSE)</f>
        <v>LE_950BASE</v>
      </c>
      <c r="AB201" s="98" t="str">
        <f>VLOOKUP(Z201,MiscData!$AF$5:$AH$28,3,FALSE)</f>
        <v xml:space="preserve">LS </v>
      </c>
    </row>
    <row r="202" spans="1:28" hidden="1">
      <c r="A202" s="108">
        <f t="shared" ref="A202:A221" si="75">A200+1</f>
        <v>88</v>
      </c>
      <c r="B202" s="109" t="str">
        <f t="shared" si="50"/>
        <v>Sep 2015</v>
      </c>
      <c r="C202" s="110" t="str">
        <f t="shared" si="51"/>
        <v>RLS</v>
      </c>
      <c r="D202" s="110" t="str">
        <f t="shared" si="52"/>
        <v>LE_951BASE</v>
      </c>
      <c r="E202" s="569">
        <f t="shared" si="53"/>
        <v>175</v>
      </c>
      <c r="F202" s="116">
        <f>SUMIF(PoleRates!$E$4:$E$131,$U202,PoleRates!$F$4:$F$131)</f>
        <v>3.73</v>
      </c>
      <c r="G202" s="118">
        <f t="shared" si="73"/>
        <v>652.75</v>
      </c>
      <c r="H202" s="118">
        <f t="shared" si="74"/>
        <v>652.75</v>
      </c>
      <c r="I202" s="570">
        <f t="shared" si="71"/>
        <v>0</v>
      </c>
      <c r="J202" s="121">
        <f t="shared" si="54"/>
        <v>0</v>
      </c>
      <c r="K202" s="122">
        <f t="shared" si="72"/>
        <v>0</v>
      </c>
      <c r="L202" s="123">
        <f t="shared" si="55"/>
        <v>652.75</v>
      </c>
      <c r="M202" s="123">
        <f t="shared" si="56"/>
        <v>-652.75</v>
      </c>
      <c r="T202" s="109">
        <f>IF(Z202=1,IF(T201=MiscData!$F$1,EOMONTH(T201,-11),EOMONTH(T201,1)),T201)</f>
        <v>42277</v>
      </c>
      <c r="U202" s="108" t="str">
        <f t="shared" si="57"/>
        <v>20140101LE_951BASE</v>
      </c>
      <c r="V202" s="126" t="str">
        <f t="shared" si="58"/>
        <v>20140101RLS</v>
      </c>
      <c r="Y202" s="98">
        <f>MiscData!$X$5</f>
        <v>20140101</v>
      </c>
      <c r="Z202" s="98">
        <f>IF(Z201+1&gt;MiscData!$AF$28,1,Z201+1)</f>
        <v>9</v>
      </c>
      <c r="AA202" s="98" t="str">
        <f>VLOOKUP(Z202,MiscData!$AF$5:$AG$28,2,FALSE)</f>
        <v>LE_951BASE</v>
      </c>
      <c r="AB202" s="98" t="str">
        <f>VLOOKUP(Z202,MiscData!$AF$5:$AH$28,3,FALSE)</f>
        <v>RLS</v>
      </c>
    </row>
    <row r="203" spans="1:28" hidden="1">
      <c r="A203" s="108">
        <f t="shared" si="75"/>
        <v>88</v>
      </c>
      <c r="B203" s="109" t="str">
        <f t="shared" si="50"/>
        <v>Sep 2015</v>
      </c>
      <c r="C203" s="110" t="str">
        <f t="shared" si="51"/>
        <v xml:space="preserve">LS </v>
      </c>
      <c r="D203" s="110" t="str">
        <f t="shared" si="52"/>
        <v>LE_951BASE</v>
      </c>
      <c r="E203" s="569">
        <f t="shared" si="53"/>
        <v>3</v>
      </c>
      <c r="F203" s="116">
        <f>SUMIF(PoleRates!$E$4:$E$131,$U203,PoleRates!$F$4:$F$131)</f>
        <v>3.73</v>
      </c>
      <c r="G203" s="118">
        <f t="shared" si="73"/>
        <v>11.19</v>
      </c>
      <c r="H203" s="118">
        <f t="shared" si="74"/>
        <v>11.19</v>
      </c>
      <c r="I203" s="570">
        <f t="shared" si="71"/>
        <v>0</v>
      </c>
      <c r="J203" s="121">
        <f t="shared" si="54"/>
        <v>0</v>
      </c>
      <c r="K203" s="122">
        <f t="shared" si="72"/>
        <v>0</v>
      </c>
      <c r="L203" s="123">
        <f t="shared" si="55"/>
        <v>11.19</v>
      </c>
      <c r="M203" s="123">
        <f t="shared" si="56"/>
        <v>-11.19</v>
      </c>
      <c r="T203" s="109">
        <f>IF(Z203=1,IF(T202=MiscData!$F$1,EOMONTH(T202,-11),EOMONTH(T202,1)),T202)</f>
        <v>42277</v>
      </c>
      <c r="U203" s="108" t="str">
        <f t="shared" si="57"/>
        <v>20140101LE_951BASE</v>
      </c>
      <c r="V203" s="126" t="str">
        <f t="shared" si="58"/>
        <v xml:space="preserve">20140101LS </v>
      </c>
      <c r="Y203" s="98">
        <f>MiscData!$X$5</f>
        <v>20140101</v>
      </c>
      <c r="Z203" s="98">
        <f>IF(Z202+1&gt;MiscData!$AF$28,1,Z202+1)</f>
        <v>10</v>
      </c>
      <c r="AA203" s="98" t="str">
        <f>VLOOKUP(Z203,MiscData!$AF$5:$AG$28,2,FALSE)</f>
        <v>LE_951BASE</v>
      </c>
      <c r="AB203" s="98" t="str">
        <f>VLOOKUP(Z203,MiscData!$AF$5:$AH$28,3,FALSE)</f>
        <v xml:space="preserve">LS </v>
      </c>
    </row>
    <row r="204" spans="1:28">
      <c r="A204" s="108">
        <f t="shared" si="75"/>
        <v>89</v>
      </c>
      <c r="B204" s="109" t="str">
        <f t="shared" si="50"/>
        <v>Sep 2015</v>
      </c>
      <c r="C204" s="110" t="str">
        <f t="shared" si="51"/>
        <v>RLS</v>
      </c>
      <c r="D204" s="110" t="str">
        <f t="shared" si="52"/>
        <v>LE_952BASE</v>
      </c>
      <c r="E204" s="569">
        <f t="shared" si="53"/>
        <v>0</v>
      </c>
      <c r="F204" s="116">
        <f>SUMIF(PoleRates!$E$4:$E$131,$U204,PoleRates!$F$4:$F$131)</f>
        <v>3.56</v>
      </c>
      <c r="G204" s="118">
        <f t="shared" si="73"/>
        <v>0</v>
      </c>
      <c r="H204" s="118">
        <f t="shared" si="74"/>
        <v>0</v>
      </c>
      <c r="I204" s="570">
        <f t="shared" si="71"/>
        <v>0</v>
      </c>
      <c r="J204" s="121">
        <f t="shared" si="54"/>
        <v>1</v>
      </c>
      <c r="K204" s="122">
        <f t="shared" si="72"/>
        <v>0</v>
      </c>
      <c r="L204" s="123">
        <f t="shared" si="55"/>
        <v>0</v>
      </c>
      <c r="M204" s="123">
        <f t="shared" si="56"/>
        <v>0</v>
      </c>
      <c r="T204" s="109">
        <f>IF(Z204=1,IF(T203=MiscData!$F$1,EOMONTH(T203,-11),EOMONTH(T203,1)),T203)</f>
        <v>42277</v>
      </c>
      <c r="U204" s="108" t="str">
        <f t="shared" si="57"/>
        <v>20140101LE_952BASE</v>
      </c>
      <c r="V204" s="126" t="str">
        <f t="shared" si="58"/>
        <v>20140101RLS</v>
      </c>
      <c r="Y204" s="98">
        <f>MiscData!$X$5</f>
        <v>20140101</v>
      </c>
      <c r="Z204" s="98">
        <f>IF(Z203+1&gt;MiscData!$AF$28,1,Z203+1)</f>
        <v>11</v>
      </c>
      <c r="AA204" s="98" t="str">
        <f>VLOOKUP(Z204,MiscData!$AF$5:$AG$28,2,FALSE)</f>
        <v>LE_952BASE</v>
      </c>
      <c r="AB204" s="98" t="str">
        <f>VLOOKUP(Z204,MiscData!$AF$5:$AH$28,3,FALSE)</f>
        <v>RLS</v>
      </c>
    </row>
    <row r="205" spans="1:28" hidden="1">
      <c r="A205" s="108">
        <f t="shared" si="75"/>
        <v>89</v>
      </c>
      <c r="B205" s="109" t="str">
        <f t="shared" si="50"/>
        <v>Sep 2015</v>
      </c>
      <c r="C205" s="110" t="str">
        <f t="shared" si="51"/>
        <v xml:space="preserve">LS </v>
      </c>
      <c r="D205" s="110" t="str">
        <f t="shared" si="52"/>
        <v>LE_952BASE</v>
      </c>
      <c r="E205" s="569">
        <f t="shared" si="53"/>
        <v>0</v>
      </c>
      <c r="F205" s="116">
        <f>SUMIF(PoleRates!$E$4:$E$131,$U205,PoleRates!$F$4:$F$131)</f>
        <v>3.56</v>
      </c>
      <c r="G205" s="118">
        <f t="shared" si="73"/>
        <v>0</v>
      </c>
      <c r="H205" s="118">
        <f t="shared" si="74"/>
        <v>0</v>
      </c>
      <c r="I205" s="570">
        <f t="shared" si="71"/>
        <v>0</v>
      </c>
      <c r="J205" s="121">
        <f t="shared" si="54"/>
        <v>1</v>
      </c>
      <c r="K205" s="122">
        <f t="shared" si="72"/>
        <v>0</v>
      </c>
      <c r="L205" s="123">
        <f t="shared" si="55"/>
        <v>0</v>
      </c>
      <c r="M205" s="123">
        <f t="shared" si="56"/>
        <v>0</v>
      </c>
      <c r="T205" s="109">
        <f>IF(Z205=1,IF(T204=MiscData!$F$1,EOMONTH(T204,-11),EOMONTH(T204,1)),T204)</f>
        <v>42277</v>
      </c>
      <c r="U205" s="108" t="str">
        <f t="shared" si="57"/>
        <v>20140101LE_952BASE</v>
      </c>
      <c r="V205" s="126" t="str">
        <f t="shared" si="58"/>
        <v xml:space="preserve">20140101LS </v>
      </c>
      <c r="Y205" s="98">
        <f>MiscData!$X$5</f>
        <v>20140101</v>
      </c>
      <c r="Z205" s="98">
        <f>IF(Z204+1&gt;MiscData!$AF$28,1,Z204+1)</f>
        <v>12</v>
      </c>
      <c r="AA205" s="98" t="str">
        <f>VLOOKUP(Z205,MiscData!$AF$5:$AG$28,2,FALSE)</f>
        <v>LE_952BASE</v>
      </c>
      <c r="AB205" s="98" t="str">
        <f>VLOOKUP(Z205,MiscData!$AF$5:$AH$28,3,FALSE)</f>
        <v xml:space="preserve">LS </v>
      </c>
    </row>
    <row r="206" spans="1:28">
      <c r="A206" s="108">
        <f t="shared" si="75"/>
        <v>90</v>
      </c>
      <c r="B206" s="109" t="str">
        <f t="shared" si="50"/>
        <v>Sep 2015</v>
      </c>
      <c r="C206" s="110" t="str">
        <f t="shared" si="51"/>
        <v>RLS</v>
      </c>
      <c r="D206" s="110" t="str">
        <f t="shared" si="52"/>
        <v>LE_953BASE</v>
      </c>
      <c r="E206" s="569">
        <f t="shared" si="53"/>
        <v>0</v>
      </c>
      <c r="F206" s="116">
        <f>SUMIF(PoleRates!$E$4:$E$131,$U206,PoleRates!$F$4:$F$131)</f>
        <v>3.73</v>
      </c>
      <c r="G206" s="118">
        <f t="shared" si="73"/>
        <v>0</v>
      </c>
      <c r="H206" s="118">
        <f t="shared" si="74"/>
        <v>0</v>
      </c>
      <c r="I206" s="570">
        <f t="shared" si="71"/>
        <v>0</v>
      </c>
      <c r="J206" s="121">
        <f t="shared" si="54"/>
        <v>1</v>
      </c>
      <c r="K206" s="122">
        <f t="shared" si="72"/>
        <v>0</v>
      </c>
      <c r="L206" s="123">
        <f t="shared" si="55"/>
        <v>0</v>
      </c>
      <c r="M206" s="123">
        <f t="shared" si="56"/>
        <v>0</v>
      </c>
      <c r="T206" s="109">
        <f>IF(Z206=1,IF(T205=MiscData!$F$1,EOMONTH(T205,-11),EOMONTH(T205,1)),T205)</f>
        <v>42277</v>
      </c>
      <c r="U206" s="108" t="str">
        <f t="shared" si="57"/>
        <v>20140101LE_953BASE</v>
      </c>
      <c r="V206" s="126" t="str">
        <f t="shared" si="58"/>
        <v>20140101RLS</v>
      </c>
      <c r="Y206" s="98">
        <f>MiscData!$X$5</f>
        <v>20140101</v>
      </c>
      <c r="Z206" s="98">
        <f>IF(Z205+1&gt;MiscData!$AF$28,1,Z205+1)</f>
        <v>13</v>
      </c>
      <c r="AA206" s="98" t="str">
        <f>VLOOKUP(Z206,MiscData!$AF$5:$AG$28,2,FALSE)</f>
        <v>LE_953BASE</v>
      </c>
      <c r="AB206" s="98" t="str">
        <f>VLOOKUP(Z206,MiscData!$AF$5:$AH$28,3,FALSE)</f>
        <v>RLS</v>
      </c>
    </row>
    <row r="207" spans="1:28" hidden="1">
      <c r="A207" s="108">
        <f t="shared" si="75"/>
        <v>90</v>
      </c>
      <c r="B207" s="109" t="str">
        <f t="shared" si="50"/>
        <v>Sep 2015</v>
      </c>
      <c r="C207" s="110" t="str">
        <f t="shared" si="51"/>
        <v xml:space="preserve">LS </v>
      </c>
      <c r="D207" s="110" t="str">
        <f t="shared" si="52"/>
        <v>LE_953BASE</v>
      </c>
      <c r="E207" s="569">
        <f t="shared" si="53"/>
        <v>0</v>
      </c>
      <c r="F207" s="116">
        <f>SUMIF(PoleRates!$E$4:$E$131,$U207,PoleRates!$F$4:$F$131)</f>
        <v>3.73</v>
      </c>
      <c r="G207" s="118">
        <f t="shared" si="73"/>
        <v>0</v>
      </c>
      <c r="H207" s="118">
        <f t="shared" si="74"/>
        <v>0</v>
      </c>
      <c r="I207" s="570">
        <f t="shared" si="71"/>
        <v>0</v>
      </c>
      <c r="J207" s="121">
        <f t="shared" si="54"/>
        <v>1</v>
      </c>
      <c r="K207" s="122">
        <f t="shared" si="72"/>
        <v>0</v>
      </c>
      <c r="L207" s="123">
        <f t="shared" si="55"/>
        <v>0</v>
      </c>
      <c r="M207" s="123">
        <f t="shared" si="56"/>
        <v>0</v>
      </c>
      <c r="T207" s="109">
        <f>IF(Z207=1,IF(T206=MiscData!$F$1,EOMONTH(T206,-11),EOMONTH(T206,1)),T206)</f>
        <v>42277</v>
      </c>
      <c r="U207" s="108" t="str">
        <f t="shared" si="57"/>
        <v>20140101LE_953BASE</v>
      </c>
      <c r="V207" s="126" t="str">
        <f t="shared" si="58"/>
        <v xml:space="preserve">20140101LS </v>
      </c>
      <c r="Y207" s="98">
        <f>MiscData!$X$5</f>
        <v>20140101</v>
      </c>
      <c r="Z207" s="98">
        <f>IF(Z206+1&gt;MiscData!$AF$28,1,Z206+1)</f>
        <v>14</v>
      </c>
      <c r="AA207" s="98" t="str">
        <f>VLOOKUP(Z207,MiscData!$AF$5:$AG$28,2,FALSE)</f>
        <v>LE_953BASE</v>
      </c>
      <c r="AB207" s="98" t="str">
        <f>VLOOKUP(Z207,MiscData!$AF$5:$AH$28,3,FALSE)</f>
        <v xml:space="preserve">LS </v>
      </c>
    </row>
    <row r="208" spans="1:28">
      <c r="A208" s="108">
        <f t="shared" si="75"/>
        <v>91</v>
      </c>
      <c r="B208" s="109" t="str">
        <f t="shared" si="50"/>
        <v>Sep 2015</v>
      </c>
      <c r="C208" s="110" t="str">
        <f t="shared" si="51"/>
        <v>RLS</v>
      </c>
      <c r="D208" s="110" t="str">
        <f t="shared" si="52"/>
        <v>LE_954BASE</v>
      </c>
      <c r="E208" s="569">
        <f t="shared" si="53"/>
        <v>0</v>
      </c>
      <c r="F208" s="116">
        <f>SUMIF(PoleRates!$E$4:$E$131,$U208,PoleRates!$F$4:$F$131)</f>
        <v>3.47</v>
      </c>
      <c r="G208" s="118">
        <f t="shared" si="73"/>
        <v>0</v>
      </c>
      <c r="H208" s="118">
        <f t="shared" si="74"/>
        <v>0</v>
      </c>
      <c r="I208" s="570">
        <f t="shared" si="71"/>
        <v>0</v>
      </c>
      <c r="J208" s="121">
        <f t="shared" si="54"/>
        <v>1</v>
      </c>
      <c r="K208" s="122">
        <f t="shared" si="72"/>
        <v>0</v>
      </c>
      <c r="L208" s="123">
        <f t="shared" si="55"/>
        <v>0</v>
      </c>
      <c r="M208" s="123">
        <f t="shared" si="56"/>
        <v>0</v>
      </c>
      <c r="T208" s="109">
        <f>IF(Z208=1,IF(T207=MiscData!$F$1,EOMONTH(T207,-11),EOMONTH(T207,1)),T207)</f>
        <v>42277</v>
      </c>
      <c r="U208" s="108" t="str">
        <f t="shared" si="57"/>
        <v>20140101LE_954BASE</v>
      </c>
      <c r="V208" s="126" t="str">
        <f t="shared" si="58"/>
        <v>20140101RLS</v>
      </c>
      <c r="Y208" s="98">
        <f>MiscData!$X$5</f>
        <v>20140101</v>
      </c>
      <c r="Z208" s="98">
        <f>IF(Z207+1&gt;MiscData!$AF$28,1,Z207+1)</f>
        <v>15</v>
      </c>
      <c r="AA208" s="98" t="str">
        <f>VLOOKUP(Z208,MiscData!$AF$5:$AG$28,2,FALSE)</f>
        <v>LE_954BASE</v>
      </c>
      <c r="AB208" s="98" t="str">
        <f>VLOOKUP(Z208,MiscData!$AF$5:$AH$28,3,FALSE)</f>
        <v>RLS</v>
      </c>
    </row>
    <row r="209" spans="1:28" hidden="1">
      <c r="A209" s="108">
        <f t="shared" si="75"/>
        <v>91</v>
      </c>
      <c r="B209" s="109" t="str">
        <f t="shared" si="50"/>
        <v>Sep 2015</v>
      </c>
      <c r="C209" s="110" t="str">
        <f t="shared" si="51"/>
        <v xml:space="preserve">LS </v>
      </c>
      <c r="D209" s="110" t="str">
        <f t="shared" si="52"/>
        <v>LE_954BASE</v>
      </c>
      <c r="E209" s="569">
        <f t="shared" si="53"/>
        <v>0</v>
      </c>
      <c r="F209" s="116">
        <f>SUMIF(PoleRates!$E$4:$E$131,$U209,PoleRates!$F$4:$F$131)</f>
        <v>3.47</v>
      </c>
      <c r="G209" s="118">
        <f t="shared" si="73"/>
        <v>0</v>
      </c>
      <c r="H209" s="118">
        <f t="shared" si="74"/>
        <v>0</v>
      </c>
      <c r="I209" s="570">
        <f t="shared" si="71"/>
        <v>0</v>
      </c>
      <c r="J209" s="121">
        <f t="shared" si="54"/>
        <v>1</v>
      </c>
      <c r="K209" s="122">
        <f t="shared" si="72"/>
        <v>0</v>
      </c>
      <c r="L209" s="123">
        <f t="shared" si="55"/>
        <v>0</v>
      </c>
      <c r="M209" s="123">
        <f t="shared" si="56"/>
        <v>0</v>
      </c>
      <c r="T209" s="109">
        <f>IF(Z209=1,IF(T208=MiscData!$F$1,EOMONTH(T208,-11),EOMONTH(T208,1)),T208)</f>
        <v>42277</v>
      </c>
      <c r="U209" s="108" t="str">
        <f t="shared" si="57"/>
        <v>20140101LE_954BASE</v>
      </c>
      <c r="V209" s="126" t="str">
        <f t="shared" si="58"/>
        <v xml:space="preserve">20140101LS </v>
      </c>
      <c r="Y209" s="98">
        <f>MiscData!$X$5</f>
        <v>20140101</v>
      </c>
      <c r="Z209" s="98">
        <f>IF(Z208+1&gt;MiscData!$AF$28,1,Z208+1)</f>
        <v>16</v>
      </c>
      <c r="AA209" s="98" t="str">
        <f>VLOOKUP(Z209,MiscData!$AF$5:$AG$28,2,FALSE)</f>
        <v>LE_954BASE</v>
      </c>
      <c r="AB209" s="98" t="str">
        <f>VLOOKUP(Z209,MiscData!$AF$5:$AH$28,3,FALSE)</f>
        <v xml:space="preserve">LS </v>
      </c>
    </row>
    <row r="210" spans="1:28">
      <c r="A210" s="108">
        <f t="shared" si="75"/>
        <v>92</v>
      </c>
      <c r="B210" s="109" t="str">
        <f t="shared" si="50"/>
        <v>Sep 2015</v>
      </c>
      <c r="C210" s="110" t="str">
        <f t="shared" si="51"/>
        <v>RLS</v>
      </c>
      <c r="D210" s="110" t="str">
        <f t="shared" si="52"/>
        <v>LE_955BASE</v>
      </c>
      <c r="E210" s="569">
        <f t="shared" si="53"/>
        <v>0</v>
      </c>
      <c r="F210" s="116">
        <f>SUMIF(PoleRates!$E$4:$E$131,$U210,PoleRates!$F$4:$F$131)</f>
        <v>3.56</v>
      </c>
      <c r="G210" s="118">
        <f t="shared" si="73"/>
        <v>0</v>
      </c>
      <c r="H210" s="118">
        <f t="shared" si="74"/>
        <v>0</v>
      </c>
      <c r="I210" s="570">
        <f t="shared" si="71"/>
        <v>0</v>
      </c>
      <c r="J210" s="121">
        <f t="shared" si="54"/>
        <v>1</v>
      </c>
      <c r="K210" s="122">
        <f t="shared" si="72"/>
        <v>0</v>
      </c>
      <c r="L210" s="123">
        <f t="shared" si="55"/>
        <v>0</v>
      </c>
      <c r="M210" s="123">
        <f t="shared" si="56"/>
        <v>0</v>
      </c>
      <c r="T210" s="109">
        <f>IF(Z210=1,IF(T209=MiscData!$F$1,EOMONTH(T209,-11),EOMONTH(T209,1)),T209)</f>
        <v>42277</v>
      </c>
      <c r="U210" s="108" t="str">
        <f t="shared" si="57"/>
        <v>20140101LE_955BASE</v>
      </c>
      <c r="V210" s="126" t="str">
        <f t="shared" si="58"/>
        <v>20140101RLS</v>
      </c>
      <c r="Y210" s="98">
        <f>MiscData!$X$5</f>
        <v>20140101</v>
      </c>
      <c r="Z210" s="98">
        <f>IF(Z209+1&gt;MiscData!$AF$28,1,Z209+1)</f>
        <v>17</v>
      </c>
      <c r="AA210" s="98" t="str">
        <f>VLOOKUP(Z210,MiscData!$AF$5:$AG$28,2,FALSE)</f>
        <v>LE_955BASE</v>
      </c>
      <c r="AB210" s="98" t="str">
        <f>VLOOKUP(Z210,MiscData!$AF$5:$AH$28,3,FALSE)</f>
        <v>RLS</v>
      </c>
    </row>
    <row r="211" spans="1:28" hidden="1">
      <c r="A211" s="108">
        <f t="shared" si="75"/>
        <v>92</v>
      </c>
      <c r="B211" s="109" t="str">
        <f t="shared" si="50"/>
        <v>Sep 2015</v>
      </c>
      <c r="C211" s="110" t="str">
        <f t="shared" si="51"/>
        <v xml:space="preserve">LS </v>
      </c>
      <c r="D211" s="110" t="str">
        <f t="shared" si="52"/>
        <v>LE_955BASE</v>
      </c>
      <c r="E211" s="569">
        <f t="shared" si="53"/>
        <v>0</v>
      </c>
      <c r="F211" s="116">
        <f>SUMIF(PoleRates!$E$4:$E$131,$U211,PoleRates!$F$4:$F$131)</f>
        <v>3.56</v>
      </c>
      <c r="G211" s="118">
        <f t="shared" si="73"/>
        <v>0</v>
      </c>
      <c r="H211" s="118">
        <f t="shared" si="74"/>
        <v>0</v>
      </c>
      <c r="I211" s="570">
        <f t="shared" si="71"/>
        <v>0</v>
      </c>
      <c r="J211" s="121">
        <f t="shared" si="54"/>
        <v>1</v>
      </c>
      <c r="K211" s="122">
        <f t="shared" si="72"/>
        <v>0</v>
      </c>
      <c r="L211" s="123">
        <f t="shared" si="55"/>
        <v>0</v>
      </c>
      <c r="M211" s="123">
        <f t="shared" si="56"/>
        <v>0</v>
      </c>
      <c r="T211" s="109">
        <f>IF(Z211=1,IF(T210=MiscData!$F$1,EOMONTH(T210,-11),EOMONTH(T210,1)),T210)</f>
        <v>42277</v>
      </c>
      <c r="U211" s="108" t="str">
        <f t="shared" si="57"/>
        <v>20140101LE_955BASE</v>
      </c>
      <c r="V211" s="126" t="str">
        <f t="shared" si="58"/>
        <v xml:space="preserve">20140101LS </v>
      </c>
      <c r="Y211" s="98">
        <f>MiscData!$X$5</f>
        <v>20140101</v>
      </c>
      <c r="Z211" s="98">
        <f>IF(Z210+1&gt;MiscData!$AF$28,1,Z210+1)</f>
        <v>18</v>
      </c>
      <c r="AA211" s="98" t="str">
        <f>VLOOKUP(Z211,MiscData!$AF$5:$AG$28,2,FALSE)</f>
        <v>LE_955BASE</v>
      </c>
      <c r="AB211" s="98" t="str">
        <f>VLOOKUP(Z211,MiscData!$AF$5:$AH$28,3,FALSE)</f>
        <v xml:space="preserve">LS </v>
      </c>
    </row>
    <row r="212" spans="1:28" hidden="1">
      <c r="A212" s="108">
        <f t="shared" si="75"/>
        <v>93</v>
      </c>
      <c r="B212" s="109" t="str">
        <f t="shared" si="50"/>
        <v>Sep 2015</v>
      </c>
      <c r="C212" s="110" t="str">
        <f t="shared" si="51"/>
        <v>RLS</v>
      </c>
      <c r="D212" s="110" t="str">
        <f t="shared" si="52"/>
        <v>LE_956BASE</v>
      </c>
      <c r="E212" s="569">
        <f t="shared" si="53"/>
        <v>304</v>
      </c>
      <c r="F212" s="116">
        <f>SUMIF(PoleRates!$E$4:$E$131,$U212,PoleRates!$F$4:$F$131)</f>
        <v>3.56</v>
      </c>
      <c r="G212" s="118">
        <f t="shared" si="73"/>
        <v>1082.24</v>
      </c>
      <c r="H212" s="118">
        <f t="shared" si="74"/>
        <v>1082.24</v>
      </c>
      <c r="I212" s="570">
        <f t="shared" si="71"/>
        <v>0</v>
      </c>
      <c r="J212" s="121">
        <f t="shared" si="54"/>
        <v>0</v>
      </c>
      <c r="K212" s="122">
        <f t="shared" si="72"/>
        <v>0</v>
      </c>
      <c r="L212" s="123">
        <f t="shared" si="55"/>
        <v>1082.24</v>
      </c>
      <c r="M212" s="123">
        <f t="shared" si="56"/>
        <v>-1082.24</v>
      </c>
      <c r="T212" s="109">
        <f>IF(Z212=1,IF(T211=MiscData!$F$1,EOMONTH(T211,-11),EOMONTH(T211,1)),T211)</f>
        <v>42277</v>
      </c>
      <c r="U212" s="108" t="str">
        <f t="shared" si="57"/>
        <v>20140101LE_956BASE</v>
      </c>
      <c r="V212" s="126" t="str">
        <f t="shared" si="58"/>
        <v>20140101RLS</v>
      </c>
      <c r="Y212" s="98">
        <f>MiscData!$X$5</f>
        <v>20140101</v>
      </c>
      <c r="Z212" s="98">
        <f>IF(Z211+1&gt;MiscData!$AF$28,1,Z211+1)</f>
        <v>19</v>
      </c>
      <c r="AA212" s="98" t="str">
        <f>VLOOKUP(Z212,MiscData!$AF$5:$AG$28,2,FALSE)</f>
        <v>LE_956BASE</v>
      </c>
      <c r="AB212" s="98" t="str">
        <f>VLOOKUP(Z212,MiscData!$AF$5:$AH$28,3,FALSE)</f>
        <v>RLS</v>
      </c>
    </row>
    <row r="213" spans="1:28" hidden="1">
      <c r="A213" s="108">
        <f t="shared" si="75"/>
        <v>93</v>
      </c>
      <c r="B213" s="109" t="str">
        <f t="shared" si="50"/>
        <v>Sep 2015</v>
      </c>
      <c r="C213" s="110" t="str">
        <f t="shared" si="51"/>
        <v xml:space="preserve">LS </v>
      </c>
      <c r="D213" s="110" t="str">
        <f t="shared" si="52"/>
        <v>LE_956BASE</v>
      </c>
      <c r="E213" s="569">
        <f t="shared" si="53"/>
        <v>365</v>
      </c>
      <c r="F213" s="116">
        <f>SUMIF(PoleRates!$E$4:$E$131,$U213,PoleRates!$F$4:$F$131)</f>
        <v>3.56</v>
      </c>
      <c r="G213" s="118">
        <f t="shared" si="73"/>
        <v>1299.4000000000001</v>
      </c>
      <c r="H213" s="118">
        <f t="shared" si="74"/>
        <v>1299.4000000000001</v>
      </c>
      <c r="I213" s="570">
        <f t="shared" si="71"/>
        <v>0</v>
      </c>
      <c r="J213" s="121">
        <f t="shared" si="54"/>
        <v>0</v>
      </c>
      <c r="K213" s="122">
        <f t="shared" si="72"/>
        <v>0</v>
      </c>
      <c r="L213" s="123">
        <f t="shared" si="55"/>
        <v>1299.4000000000001</v>
      </c>
      <c r="M213" s="123">
        <f t="shared" si="56"/>
        <v>-1299.4000000000001</v>
      </c>
      <c r="T213" s="109">
        <f>IF(Z213=1,IF(T212=MiscData!$F$1,EOMONTH(T212,-11),EOMONTH(T212,1)),T212)</f>
        <v>42277</v>
      </c>
      <c r="U213" s="108" t="str">
        <f t="shared" si="57"/>
        <v>20140101LE_956BASE</v>
      </c>
      <c r="V213" s="126" t="str">
        <f t="shared" si="58"/>
        <v xml:space="preserve">20140101LS </v>
      </c>
      <c r="Y213" s="98">
        <f>MiscData!$X$5</f>
        <v>20140101</v>
      </c>
      <c r="Z213" s="98">
        <f>IF(Z212+1&gt;MiscData!$AF$28,1,Z212+1)</f>
        <v>20</v>
      </c>
      <c r="AA213" s="98" t="str">
        <f>VLOOKUP(Z213,MiscData!$AF$5:$AG$28,2,FALSE)</f>
        <v>LE_956BASE</v>
      </c>
      <c r="AB213" s="98" t="str">
        <f>VLOOKUP(Z213,MiscData!$AF$5:$AH$28,3,FALSE)</f>
        <v xml:space="preserve">LS </v>
      </c>
    </row>
    <row r="214" spans="1:28">
      <c r="A214" s="108">
        <f>A204+1</f>
        <v>90</v>
      </c>
      <c r="B214" s="109" t="str">
        <f t="shared" si="50"/>
        <v>Sep 2015</v>
      </c>
      <c r="C214" s="110" t="str">
        <f t="shared" si="51"/>
        <v>RLS</v>
      </c>
      <c r="D214" s="110" t="str">
        <f t="shared" si="52"/>
        <v>LE_957BASE</v>
      </c>
      <c r="E214" s="569">
        <f t="shared" si="53"/>
        <v>0</v>
      </c>
      <c r="F214" s="116">
        <f>SUMIF(PoleRates!$E$4:$E$131,$U214,PoleRates!$F$4:$F$131)</f>
        <v>3.56</v>
      </c>
      <c r="G214" s="118">
        <f t="shared" si="73"/>
        <v>0</v>
      </c>
      <c r="H214" s="118">
        <f t="shared" si="74"/>
        <v>0</v>
      </c>
      <c r="I214" s="570">
        <f t="shared" si="71"/>
        <v>0</v>
      </c>
      <c r="J214" s="121">
        <f t="shared" si="54"/>
        <v>1</v>
      </c>
      <c r="K214" s="122">
        <f t="shared" si="72"/>
        <v>0</v>
      </c>
      <c r="L214" s="123">
        <f t="shared" si="55"/>
        <v>0</v>
      </c>
      <c r="M214" s="123">
        <f t="shared" si="56"/>
        <v>0</v>
      </c>
      <c r="T214" s="109">
        <f>IF(Z214=1,IF(T213=MiscData!$F$1,EOMONTH(T213,-11),EOMONTH(T213,1)),T213)</f>
        <v>42277</v>
      </c>
      <c r="U214" s="108" t="str">
        <f t="shared" si="57"/>
        <v>20140101LE_957BASE</v>
      </c>
      <c r="V214" s="126" t="str">
        <f t="shared" si="58"/>
        <v>20140101RLS</v>
      </c>
      <c r="Y214" s="98">
        <f>MiscData!$X$5</f>
        <v>20140101</v>
      </c>
      <c r="Z214" s="98">
        <f>IF(Z213+1&gt;MiscData!$AF$28,1,Z213+1)</f>
        <v>21</v>
      </c>
      <c r="AA214" s="98" t="str">
        <f>VLOOKUP(Z214,MiscData!$AF$5:$AG$28,2,FALSE)</f>
        <v>LE_957BASE</v>
      </c>
      <c r="AB214" s="98" t="str">
        <f>VLOOKUP(Z214,MiscData!$AF$5:$AH$28,3,FALSE)</f>
        <v>RLS</v>
      </c>
    </row>
    <row r="215" spans="1:28" hidden="1">
      <c r="A215" s="108">
        <f>A205+1</f>
        <v>90</v>
      </c>
      <c r="B215" s="109" t="str">
        <f t="shared" si="50"/>
        <v>Sep 2015</v>
      </c>
      <c r="C215" s="110" t="str">
        <f t="shared" si="51"/>
        <v xml:space="preserve">LS </v>
      </c>
      <c r="D215" s="110" t="str">
        <f t="shared" si="52"/>
        <v>LE_957BASE</v>
      </c>
      <c r="E215" s="569">
        <f t="shared" si="53"/>
        <v>0</v>
      </c>
      <c r="F215" s="116">
        <f>SUMIF(PoleRates!$E$4:$E$131,$U215,PoleRates!$F$4:$F$131)</f>
        <v>3.56</v>
      </c>
      <c r="G215" s="118">
        <f t="shared" si="73"/>
        <v>0</v>
      </c>
      <c r="H215" s="118">
        <f t="shared" si="74"/>
        <v>0</v>
      </c>
      <c r="I215" s="570">
        <f t="shared" si="71"/>
        <v>0</v>
      </c>
      <c r="J215" s="121">
        <f t="shared" si="54"/>
        <v>1</v>
      </c>
      <c r="K215" s="122">
        <f t="shared" si="72"/>
        <v>0</v>
      </c>
      <c r="L215" s="123">
        <f t="shared" si="55"/>
        <v>0</v>
      </c>
      <c r="M215" s="123">
        <f t="shared" si="56"/>
        <v>0</v>
      </c>
      <c r="T215" s="109">
        <f>IF(Z215=1,IF(T214=MiscData!$F$1,EOMONTH(T214,-11),EOMONTH(T214,1)),T214)</f>
        <v>42277</v>
      </c>
      <c r="U215" s="108" t="str">
        <f t="shared" si="57"/>
        <v>20140101LE_957BASE</v>
      </c>
      <c r="V215" s="126" t="str">
        <f t="shared" si="58"/>
        <v xml:space="preserve">20140101LS </v>
      </c>
      <c r="Y215" s="98">
        <f>MiscData!$X$5</f>
        <v>20140101</v>
      </c>
      <c r="Z215" s="98">
        <f>IF(Z214+1&gt;MiscData!$AF$28,1,Z214+1)</f>
        <v>22</v>
      </c>
      <c r="AA215" s="98" t="str">
        <f>VLOOKUP(Z215,MiscData!$AF$5:$AG$28,2,FALSE)</f>
        <v>LE_957BASE</v>
      </c>
      <c r="AB215" s="98" t="str">
        <f>VLOOKUP(Z215,MiscData!$AF$5:$AH$28,3,FALSE)</f>
        <v xml:space="preserve">LS </v>
      </c>
    </row>
    <row r="216" spans="1:28" hidden="1">
      <c r="A216" s="108">
        <f t="shared" si="75"/>
        <v>91</v>
      </c>
      <c r="B216" s="109" t="str">
        <f t="shared" si="50"/>
        <v>Sep 2015</v>
      </c>
      <c r="C216" s="110" t="str">
        <f t="shared" si="51"/>
        <v>RLS</v>
      </c>
      <c r="D216" s="110" t="str">
        <f t="shared" si="52"/>
        <v>LE_958POLE</v>
      </c>
      <c r="E216" s="569">
        <f t="shared" si="53"/>
        <v>37</v>
      </c>
      <c r="F216" s="116">
        <f>SUMIF(PoleRates!$E$4:$E$131,$U216,PoleRates!$F$4:$F$131)</f>
        <v>11.31</v>
      </c>
      <c r="G216" s="118">
        <f t="shared" si="73"/>
        <v>418.47</v>
      </c>
      <c r="H216" s="118">
        <f t="shared" si="74"/>
        <v>418.47</v>
      </c>
      <c r="I216" s="570">
        <f t="shared" si="71"/>
        <v>0</v>
      </c>
      <c r="J216" s="121">
        <f t="shared" si="54"/>
        <v>0</v>
      </c>
      <c r="K216" s="122">
        <f t="shared" si="72"/>
        <v>0</v>
      </c>
      <c r="L216" s="123">
        <f t="shared" si="55"/>
        <v>418.47</v>
      </c>
      <c r="M216" s="123">
        <f t="shared" si="56"/>
        <v>-418.47</v>
      </c>
      <c r="T216" s="109">
        <f>IF(Z216=1,IF(T215=MiscData!$F$1,EOMONTH(T215,-11),EOMONTH(T215,1)),T215)</f>
        <v>42277</v>
      </c>
      <c r="U216" s="108" t="str">
        <f t="shared" si="57"/>
        <v>20140101LE_958POLE</v>
      </c>
      <c r="V216" s="126" t="str">
        <f t="shared" si="58"/>
        <v>20140101RLS</v>
      </c>
      <c r="Y216" s="98">
        <f>MiscData!$X$5</f>
        <v>20140101</v>
      </c>
      <c r="Z216" s="98">
        <f>IF(Z215+1&gt;MiscData!$AF$28,1,Z215+1)</f>
        <v>23</v>
      </c>
      <c r="AA216" s="98" t="str">
        <f>VLOOKUP(Z216,MiscData!$AF$5:$AG$28,2,FALSE)</f>
        <v>LE_958POLE</v>
      </c>
      <c r="AB216" s="98" t="str">
        <f>VLOOKUP(Z216,MiscData!$AF$5:$AH$28,3,FALSE)</f>
        <v>RLS</v>
      </c>
    </row>
    <row r="217" spans="1:28" hidden="1">
      <c r="A217" s="108">
        <f t="shared" si="75"/>
        <v>91</v>
      </c>
      <c r="B217" s="109" t="str">
        <f t="shared" si="50"/>
        <v>Sep 2015</v>
      </c>
      <c r="C217" s="110" t="str">
        <f t="shared" si="51"/>
        <v xml:space="preserve">LS </v>
      </c>
      <c r="D217" s="110" t="str">
        <f t="shared" si="52"/>
        <v>LE_958POLE</v>
      </c>
      <c r="E217" s="569">
        <f t="shared" si="53"/>
        <v>432</v>
      </c>
      <c r="F217" s="116">
        <f>SUMIF(PoleRates!$E$4:$E$131,$U217,PoleRates!$F$4:$F$131)</f>
        <v>11.31</v>
      </c>
      <c r="G217" s="118">
        <f t="shared" si="73"/>
        <v>4885.92</v>
      </c>
      <c r="H217" s="118">
        <f t="shared" si="74"/>
        <v>4885.92</v>
      </c>
      <c r="I217" s="570">
        <f t="shared" si="71"/>
        <v>0</v>
      </c>
      <c r="J217" s="121">
        <f t="shared" si="54"/>
        <v>0</v>
      </c>
      <c r="K217" s="122">
        <f t="shared" si="72"/>
        <v>0</v>
      </c>
      <c r="L217" s="123">
        <f t="shared" si="55"/>
        <v>4885.92</v>
      </c>
      <c r="M217" s="123">
        <f t="shared" si="56"/>
        <v>-4885.92</v>
      </c>
      <c r="T217" s="109">
        <f>IF(Z217=1,IF(T216=MiscData!$F$1,EOMONTH(T216,-11),EOMONTH(T216,1)),T216)</f>
        <v>42277</v>
      </c>
      <c r="U217" s="108" t="str">
        <f t="shared" si="57"/>
        <v>20140101LE_958POLE</v>
      </c>
      <c r="V217" s="126" t="str">
        <f t="shared" si="58"/>
        <v xml:space="preserve">20140101LS </v>
      </c>
      <c r="Y217" s="98">
        <f>MiscData!$X$5</f>
        <v>20140101</v>
      </c>
      <c r="Z217" s="98">
        <f>IF(Z216+1&gt;MiscData!$AF$28,1,Z216+1)</f>
        <v>24</v>
      </c>
      <c r="AA217" s="98" t="str">
        <f>VLOOKUP(Z217,MiscData!$AF$5:$AG$28,2,FALSE)</f>
        <v>LE_958POLE</v>
      </c>
      <c r="AB217" s="98" t="str">
        <f>VLOOKUP(Z217,MiscData!$AF$5:$AH$28,3,FALSE)</f>
        <v xml:space="preserve">LS </v>
      </c>
    </row>
    <row r="218" spans="1:28" hidden="1">
      <c r="A218" s="108">
        <f t="shared" si="75"/>
        <v>92</v>
      </c>
      <c r="B218" s="109" t="str">
        <f t="shared" si="50"/>
        <v>Oct 2015</v>
      </c>
      <c r="C218" s="110" t="str">
        <f t="shared" si="51"/>
        <v>RLS</v>
      </c>
      <c r="D218" s="110" t="str">
        <f t="shared" si="52"/>
        <v>LE_900POLE</v>
      </c>
      <c r="E218" s="569">
        <f t="shared" si="53"/>
        <v>1702</v>
      </c>
      <c r="F218" s="116">
        <f>SUMIF(PoleRates!$E$4:$E$131,$U218,PoleRates!$F$4:$F$131)</f>
        <v>2.06</v>
      </c>
      <c r="G218" s="118">
        <f t="shared" si="73"/>
        <v>3506.12</v>
      </c>
      <c r="H218" s="118">
        <f t="shared" si="74"/>
        <v>3506.12</v>
      </c>
      <c r="I218" s="570">
        <f t="shared" si="71"/>
        <v>0</v>
      </c>
      <c r="J218" s="121">
        <f t="shared" si="54"/>
        <v>0</v>
      </c>
      <c r="K218" s="122">
        <f t="shared" si="72"/>
        <v>0</v>
      </c>
      <c r="L218" s="123">
        <f t="shared" si="55"/>
        <v>3506.12</v>
      </c>
      <c r="M218" s="123">
        <f t="shared" si="56"/>
        <v>-3506.12</v>
      </c>
      <c r="T218" s="109">
        <f>IF(Z218=1,IF(T217=MiscData!$F$1,EOMONTH(T217,-11),EOMONTH(T217,1)),T217)</f>
        <v>42308</v>
      </c>
      <c r="U218" s="108" t="str">
        <f t="shared" si="57"/>
        <v>20140101LE_900POLE</v>
      </c>
      <c r="V218" s="126" t="str">
        <f t="shared" si="58"/>
        <v>20140101RLS</v>
      </c>
      <c r="Y218" s="98">
        <f>MiscData!$X$5</f>
        <v>20140101</v>
      </c>
      <c r="Z218" s="98">
        <f>IF(Z217+1&gt;MiscData!$AF$28,1,Z217+1)</f>
        <v>1</v>
      </c>
      <c r="AA218" s="98" t="str">
        <f>VLOOKUP(Z218,MiscData!$AF$5:$AG$28,2,FALSE)</f>
        <v>LE_900POLE</v>
      </c>
      <c r="AB218" s="98" t="str">
        <f>VLOOKUP(Z218,MiscData!$AF$5:$AH$28,3,FALSE)</f>
        <v>RLS</v>
      </c>
    </row>
    <row r="219" spans="1:28" hidden="1">
      <c r="A219" s="108">
        <f t="shared" si="75"/>
        <v>92</v>
      </c>
      <c r="B219" s="109" t="str">
        <f t="shared" si="50"/>
        <v>Oct 2015</v>
      </c>
      <c r="C219" s="110" t="str">
        <f t="shared" si="51"/>
        <v xml:space="preserve">LS </v>
      </c>
      <c r="D219" s="110" t="str">
        <f t="shared" si="52"/>
        <v>LE_900POLE</v>
      </c>
      <c r="E219" s="569">
        <f t="shared" si="53"/>
        <v>5261</v>
      </c>
      <c r="F219" s="116">
        <f>SUMIF(PoleRates!$E$4:$E$131,$U219,PoleRates!$F$4:$F$131)</f>
        <v>2.06</v>
      </c>
      <c r="G219" s="118">
        <f t="shared" si="73"/>
        <v>10837.66</v>
      </c>
      <c r="H219" s="118">
        <f t="shared" si="74"/>
        <v>10837.66</v>
      </c>
      <c r="I219" s="570">
        <f t="shared" si="71"/>
        <v>0</v>
      </c>
      <c r="J219" s="121">
        <f t="shared" si="54"/>
        <v>0</v>
      </c>
      <c r="K219" s="122">
        <f t="shared" si="72"/>
        <v>0</v>
      </c>
      <c r="L219" s="123">
        <f t="shared" si="55"/>
        <v>10837.66</v>
      </c>
      <c r="M219" s="123">
        <f t="shared" si="56"/>
        <v>-10837.66</v>
      </c>
      <c r="T219" s="109">
        <f>IF(Z219=1,IF(T218=MiscData!$F$1,EOMONTH(T218,-11),EOMONTH(T218,1)),T218)</f>
        <v>42308</v>
      </c>
      <c r="U219" s="108" t="str">
        <f t="shared" si="57"/>
        <v>20140101LE_900POLE</v>
      </c>
      <c r="V219" s="126" t="str">
        <f t="shared" si="58"/>
        <v xml:space="preserve">20140101LS </v>
      </c>
      <c r="Y219" s="98">
        <f>MiscData!$X$5</f>
        <v>20140101</v>
      </c>
      <c r="Z219" s="98">
        <f>IF(Z218+1&gt;MiscData!$AF$28,1,Z218+1)</f>
        <v>2</v>
      </c>
      <c r="AA219" s="98" t="str">
        <f>VLOOKUP(Z219,MiscData!$AF$5:$AG$28,2,FALSE)</f>
        <v>LE_900POLE</v>
      </c>
      <c r="AB219" s="98" t="str">
        <f>VLOOKUP(Z219,MiscData!$AF$5:$AH$28,3,FALSE)</f>
        <v xml:space="preserve">LS </v>
      </c>
    </row>
    <row r="220" spans="1:28" hidden="1">
      <c r="A220" s="108">
        <f t="shared" si="75"/>
        <v>93</v>
      </c>
      <c r="B220" s="109" t="str">
        <f t="shared" si="50"/>
        <v>Oct 2015</v>
      </c>
      <c r="C220" s="110" t="str">
        <f t="shared" si="51"/>
        <v>RLS</v>
      </c>
      <c r="D220" s="110" t="str">
        <f t="shared" si="52"/>
        <v>LE_901POLE</v>
      </c>
      <c r="E220" s="569">
        <f t="shared" si="53"/>
        <v>157</v>
      </c>
      <c r="F220" s="116">
        <f>SUMIF(PoleRates!$E$4:$E$131,$U220,PoleRates!$F$4:$F$131)</f>
        <v>10.81</v>
      </c>
      <c r="G220" s="118">
        <f t="shared" si="73"/>
        <v>1697.17</v>
      </c>
      <c r="H220" s="118">
        <f t="shared" si="74"/>
        <v>1697.17</v>
      </c>
      <c r="I220" s="570">
        <f t="shared" si="71"/>
        <v>0</v>
      </c>
      <c r="J220" s="121">
        <f t="shared" si="54"/>
        <v>0</v>
      </c>
      <c r="K220" s="122">
        <f t="shared" si="72"/>
        <v>0</v>
      </c>
      <c r="L220" s="123">
        <f t="shared" si="55"/>
        <v>1697.17</v>
      </c>
      <c r="M220" s="123">
        <f t="shared" si="56"/>
        <v>-1697.17</v>
      </c>
      <c r="T220" s="109">
        <f>IF(Z220=1,IF(T219=MiscData!$F$1,EOMONTH(T219,-11),EOMONTH(T219,1)),T219)</f>
        <v>42308</v>
      </c>
      <c r="U220" s="108" t="str">
        <f t="shared" si="57"/>
        <v>20140101LE_901POLE</v>
      </c>
      <c r="V220" s="126" t="str">
        <f t="shared" si="58"/>
        <v>20140101RLS</v>
      </c>
      <c r="Y220" s="98">
        <f>MiscData!$X$5</f>
        <v>20140101</v>
      </c>
      <c r="Z220" s="98">
        <f>IF(Z219+1&gt;MiscData!$AF$28,1,Z219+1)</f>
        <v>3</v>
      </c>
      <c r="AA220" s="98" t="str">
        <f>VLOOKUP(Z220,MiscData!$AF$5:$AG$28,2,FALSE)</f>
        <v>LE_901POLE</v>
      </c>
      <c r="AB220" s="98" t="str">
        <f>VLOOKUP(Z220,MiscData!$AF$5:$AH$28,3,FALSE)</f>
        <v>RLS</v>
      </c>
    </row>
    <row r="221" spans="1:28" hidden="1">
      <c r="A221" s="108">
        <f t="shared" si="75"/>
        <v>93</v>
      </c>
      <c r="B221" s="109" t="str">
        <f t="shared" si="50"/>
        <v>Oct 2015</v>
      </c>
      <c r="C221" s="110" t="str">
        <f t="shared" si="51"/>
        <v xml:space="preserve">LS </v>
      </c>
      <c r="D221" s="110" t="str">
        <f t="shared" si="52"/>
        <v>LE_901POLE</v>
      </c>
      <c r="E221" s="569">
        <f t="shared" si="53"/>
        <v>0</v>
      </c>
      <c r="F221" s="116">
        <f>SUMIF(PoleRates!$E$4:$E$131,$U221,PoleRates!$F$4:$F$131)</f>
        <v>10.81</v>
      </c>
      <c r="G221" s="118">
        <f t="shared" si="73"/>
        <v>0</v>
      </c>
      <c r="H221" s="118">
        <f t="shared" si="74"/>
        <v>0</v>
      </c>
      <c r="I221" s="570">
        <f t="shared" si="71"/>
        <v>0</v>
      </c>
      <c r="J221" s="121">
        <f t="shared" si="54"/>
        <v>1</v>
      </c>
      <c r="K221" s="122">
        <f t="shared" si="72"/>
        <v>0</v>
      </c>
      <c r="L221" s="123">
        <f t="shared" si="55"/>
        <v>0</v>
      </c>
      <c r="M221" s="123">
        <f t="shared" si="56"/>
        <v>0</v>
      </c>
      <c r="T221" s="109">
        <f>IF(Z221=1,IF(T220=MiscData!$F$1,EOMONTH(T220,-11),EOMONTH(T220,1)),T220)</f>
        <v>42308</v>
      </c>
      <c r="U221" s="108" t="str">
        <f t="shared" si="57"/>
        <v>20140101LE_901POLE</v>
      </c>
      <c r="V221" s="126" t="str">
        <f t="shared" si="58"/>
        <v xml:space="preserve">20140101LS </v>
      </c>
      <c r="Y221" s="98">
        <f>MiscData!$X$5</f>
        <v>20140101</v>
      </c>
      <c r="Z221" s="98">
        <f>IF(Z220+1&gt;MiscData!$AF$28,1,Z220+1)</f>
        <v>4</v>
      </c>
      <c r="AA221" s="98" t="str">
        <f>VLOOKUP(Z221,MiscData!$AF$5:$AG$28,2,FALSE)</f>
        <v>LE_901POLE</v>
      </c>
      <c r="AB221" s="98" t="str">
        <f>VLOOKUP(Z221,MiscData!$AF$5:$AH$28,3,FALSE)</f>
        <v xml:space="preserve">LS </v>
      </c>
    </row>
    <row r="222" spans="1:28" hidden="1">
      <c r="A222" s="108">
        <f>A132+1</f>
        <v>98</v>
      </c>
      <c r="B222" s="109" t="str">
        <f t="shared" si="22"/>
        <v>Oct 2015</v>
      </c>
      <c r="C222" s="110" t="str">
        <f t="shared" si="42"/>
        <v>RLS</v>
      </c>
      <c r="D222" s="110" t="str">
        <f t="shared" si="43"/>
        <v>LE_902POLE</v>
      </c>
      <c r="E222" s="569">
        <f t="shared" si="45"/>
        <v>277</v>
      </c>
      <c r="F222" s="116">
        <f>SUMIF(PoleRates!$E$4:$E$131,$U222,PoleRates!$F$4:$F$131)</f>
        <v>12.9</v>
      </c>
      <c r="G222" s="118">
        <f t="shared" si="73"/>
        <v>3573.3</v>
      </c>
      <c r="H222" s="118">
        <f t="shared" si="74"/>
        <v>3573.3</v>
      </c>
      <c r="I222" s="570">
        <f t="shared" si="71"/>
        <v>0</v>
      </c>
      <c r="J222" s="121">
        <f t="shared" si="17"/>
        <v>0</v>
      </c>
      <c r="K222" s="122">
        <f t="shared" si="72"/>
        <v>0</v>
      </c>
      <c r="L222" s="123">
        <f t="shared" si="44"/>
        <v>3573.3</v>
      </c>
      <c r="M222" s="123">
        <f t="shared" si="30"/>
        <v>-3573.3</v>
      </c>
      <c r="T222" s="109">
        <f>IF(Z222=1,IF(T221=MiscData!$F$1,EOMONTH(T221,-11),EOMONTH(T221,1)),T221)</f>
        <v>42308</v>
      </c>
      <c r="U222" s="108" t="str">
        <f t="shared" si="20"/>
        <v>20140101LE_902POLE</v>
      </c>
      <c r="V222" s="126" t="str">
        <f t="shared" si="21"/>
        <v>20140101RLS</v>
      </c>
      <c r="Y222" s="98">
        <f>MiscData!$X$5</f>
        <v>20140101</v>
      </c>
      <c r="Z222" s="98">
        <f>IF(Z221+1&gt;MiscData!$AF$28,1,Z221+1)</f>
        <v>5</v>
      </c>
      <c r="AA222" s="98" t="str">
        <f>VLOOKUP(Z222,MiscData!$AF$5:$AG$28,2,FALSE)</f>
        <v>LE_902POLE</v>
      </c>
      <c r="AB222" s="98" t="str">
        <f>VLOOKUP(Z222,MiscData!$AF$5:$AH$28,3,FALSE)</f>
        <v>RLS</v>
      </c>
    </row>
    <row r="223" spans="1:28" hidden="1">
      <c r="A223" s="108">
        <f>A133+1</f>
        <v>98</v>
      </c>
      <c r="B223" s="109" t="str">
        <f t="shared" si="22"/>
        <v>Oct 2015</v>
      </c>
      <c r="C223" s="110" t="str">
        <f t="shared" si="42"/>
        <v xml:space="preserve">LS </v>
      </c>
      <c r="D223" s="110" t="str">
        <f t="shared" si="43"/>
        <v>LE_902POLE</v>
      </c>
      <c r="E223" s="569">
        <f t="shared" si="45"/>
        <v>3</v>
      </c>
      <c r="F223" s="116">
        <f>SUMIF(PoleRates!$E$4:$E$131,$U223,PoleRates!$F$4:$F$131)</f>
        <v>12.9</v>
      </c>
      <c r="G223" s="118">
        <f t="shared" si="73"/>
        <v>38.700000000000003</v>
      </c>
      <c r="H223" s="118">
        <f t="shared" si="74"/>
        <v>38.700000000000003</v>
      </c>
      <c r="I223" s="570">
        <f t="shared" si="71"/>
        <v>0</v>
      </c>
      <c r="J223" s="121">
        <f t="shared" si="17"/>
        <v>0</v>
      </c>
      <c r="K223" s="122">
        <f t="shared" si="72"/>
        <v>0</v>
      </c>
      <c r="L223" s="123">
        <f t="shared" si="44"/>
        <v>38.700000000000003</v>
      </c>
      <c r="M223" s="123">
        <f t="shared" si="30"/>
        <v>-38.700000000000003</v>
      </c>
      <c r="T223" s="109">
        <f>IF(Z223=1,IF(T222=MiscData!$F$1,EOMONTH(T222,-11),EOMONTH(T222,1)),T222)</f>
        <v>42308</v>
      </c>
      <c r="U223" s="108" t="str">
        <f t="shared" si="20"/>
        <v>20140101LE_902POLE</v>
      </c>
      <c r="V223" s="126" t="str">
        <f t="shared" si="21"/>
        <v xml:space="preserve">20140101LS </v>
      </c>
      <c r="Y223" s="98">
        <f>MiscData!$X$5</f>
        <v>20140101</v>
      </c>
      <c r="Z223" s="98">
        <f>IF(Z222+1&gt;MiscData!$AF$28,1,Z222+1)</f>
        <v>6</v>
      </c>
      <c r="AA223" s="98" t="str">
        <f>VLOOKUP(Z223,MiscData!$AF$5:$AG$28,2,FALSE)</f>
        <v>LE_902POLE</v>
      </c>
      <c r="AB223" s="98" t="str">
        <f>VLOOKUP(Z223,MiscData!$AF$5:$AH$28,3,FALSE)</f>
        <v xml:space="preserve">LS </v>
      </c>
    </row>
    <row r="224" spans="1:28" hidden="1">
      <c r="A224" s="108">
        <f t="shared" ref="A224:A289" si="76">A222+1</f>
        <v>99</v>
      </c>
      <c r="B224" s="109" t="str">
        <f t="shared" si="22"/>
        <v>Oct 2015</v>
      </c>
      <c r="C224" s="110" t="str">
        <f t="shared" si="42"/>
        <v>RLS</v>
      </c>
      <c r="D224" s="110" t="str">
        <f t="shared" si="43"/>
        <v>LE_950BASE</v>
      </c>
      <c r="E224" s="569">
        <f t="shared" si="45"/>
        <v>32</v>
      </c>
      <c r="F224" s="116">
        <f>SUMIF(PoleRates!$E$4:$E$131,$U224,PoleRates!$F$4:$F$131)</f>
        <v>3.47</v>
      </c>
      <c r="G224" s="118">
        <f t="shared" si="73"/>
        <v>111.04</v>
      </c>
      <c r="H224" s="118">
        <f t="shared" si="74"/>
        <v>111.04</v>
      </c>
      <c r="I224" s="570">
        <f t="shared" si="71"/>
        <v>0</v>
      </c>
      <c r="J224" s="121">
        <f t="shared" si="17"/>
        <v>0</v>
      </c>
      <c r="K224" s="122">
        <f t="shared" si="72"/>
        <v>0</v>
      </c>
      <c r="L224" s="123">
        <f t="shared" si="44"/>
        <v>111.04</v>
      </c>
      <c r="M224" s="123">
        <f t="shared" si="30"/>
        <v>-111.04</v>
      </c>
      <c r="T224" s="109">
        <f>IF(Z224=1,IF(T223=MiscData!$F$1,EOMONTH(T223,-11),EOMONTH(T223,1)),T223)</f>
        <v>42308</v>
      </c>
      <c r="U224" s="108" t="str">
        <f t="shared" si="20"/>
        <v>20140101LE_950BASE</v>
      </c>
      <c r="V224" s="126" t="str">
        <f t="shared" si="21"/>
        <v>20140101RLS</v>
      </c>
      <c r="Y224" s="98">
        <f>MiscData!$X$5</f>
        <v>20140101</v>
      </c>
      <c r="Z224" s="98">
        <f>IF(Z223+1&gt;MiscData!$AF$28,1,Z223+1)</f>
        <v>7</v>
      </c>
      <c r="AA224" s="98" t="str">
        <f>VLOOKUP(Z224,MiscData!$AF$5:$AG$28,2,FALSE)</f>
        <v>LE_950BASE</v>
      </c>
      <c r="AB224" s="98" t="str">
        <f>VLOOKUP(Z224,MiscData!$AF$5:$AH$28,3,FALSE)</f>
        <v>RLS</v>
      </c>
    </row>
    <row r="225" spans="1:28" hidden="1">
      <c r="A225" s="108">
        <f t="shared" si="76"/>
        <v>99</v>
      </c>
      <c r="B225" s="109" t="str">
        <f t="shared" si="22"/>
        <v>Oct 2015</v>
      </c>
      <c r="C225" s="110" t="str">
        <f t="shared" si="42"/>
        <v xml:space="preserve">LS </v>
      </c>
      <c r="D225" s="110" t="str">
        <f t="shared" si="43"/>
        <v>LE_950BASE</v>
      </c>
      <c r="E225" s="569">
        <f t="shared" si="45"/>
        <v>10</v>
      </c>
      <c r="F225" s="116">
        <f>SUMIF(PoleRates!$E$4:$E$131,$U225,PoleRates!$F$4:$F$131)</f>
        <v>3.47</v>
      </c>
      <c r="G225" s="118">
        <f t="shared" si="73"/>
        <v>34.700000000000003</v>
      </c>
      <c r="H225" s="118">
        <f t="shared" si="74"/>
        <v>34.700000000000003</v>
      </c>
      <c r="I225" s="570">
        <f t="shared" si="71"/>
        <v>0</v>
      </c>
      <c r="J225" s="121">
        <f t="shared" si="17"/>
        <v>0</v>
      </c>
      <c r="K225" s="122">
        <f t="shared" si="72"/>
        <v>0</v>
      </c>
      <c r="L225" s="123">
        <f t="shared" si="44"/>
        <v>34.700000000000003</v>
      </c>
      <c r="M225" s="123">
        <f t="shared" si="30"/>
        <v>-34.700000000000003</v>
      </c>
      <c r="T225" s="109">
        <f>IF(Z225=1,IF(T224=MiscData!$F$1,EOMONTH(T224,-11),EOMONTH(T224,1)),T224)</f>
        <v>42308</v>
      </c>
      <c r="U225" s="108" t="str">
        <f t="shared" si="20"/>
        <v>20140101LE_950BASE</v>
      </c>
      <c r="V225" s="126" t="str">
        <f t="shared" si="21"/>
        <v xml:space="preserve">20140101LS </v>
      </c>
      <c r="Y225" s="98">
        <f>MiscData!$X$5</f>
        <v>20140101</v>
      </c>
      <c r="Z225" s="98">
        <f>IF(Z224+1&gt;MiscData!$AF$28,1,Z224+1)</f>
        <v>8</v>
      </c>
      <c r="AA225" s="98" t="str">
        <f>VLOOKUP(Z225,MiscData!$AF$5:$AG$28,2,FALSE)</f>
        <v>LE_950BASE</v>
      </c>
      <c r="AB225" s="98" t="str">
        <f>VLOOKUP(Z225,MiscData!$AF$5:$AH$28,3,FALSE)</f>
        <v xml:space="preserve">LS </v>
      </c>
    </row>
    <row r="226" spans="1:28" hidden="1">
      <c r="A226" s="108">
        <f t="shared" si="76"/>
        <v>100</v>
      </c>
      <c r="B226" s="109" t="str">
        <f t="shared" si="22"/>
        <v>Oct 2015</v>
      </c>
      <c r="C226" s="110" t="str">
        <f t="shared" si="42"/>
        <v>RLS</v>
      </c>
      <c r="D226" s="110" t="str">
        <f t="shared" si="43"/>
        <v>LE_951BASE</v>
      </c>
      <c r="E226" s="569">
        <f t="shared" si="45"/>
        <v>175</v>
      </c>
      <c r="F226" s="116">
        <f>SUMIF(PoleRates!$E$4:$E$131,$U226,PoleRates!$F$4:$F$131)</f>
        <v>3.73</v>
      </c>
      <c r="G226" s="118">
        <f t="shared" si="73"/>
        <v>652.75</v>
      </c>
      <c r="H226" s="118">
        <f t="shared" si="74"/>
        <v>652.75</v>
      </c>
      <c r="I226" s="570">
        <f t="shared" si="71"/>
        <v>0</v>
      </c>
      <c r="J226" s="121">
        <f t="shared" si="17"/>
        <v>0</v>
      </c>
      <c r="K226" s="122">
        <f t="shared" si="72"/>
        <v>0</v>
      </c>
      <c r="L226" s="123">
        <f t="shared" si="44"/>
        <v>652.75</v>
      </c>
      <c r="M226" s="123">
        <f t="shared" si="30"/>
        <v>-652.75</v>
      </c>
      <c r="T226" s="109">
        <f>IF(Z226=1,IF(T225=MiscData!$F$1,EOMONTH(T225,-11),EOMONTH(T225,1)),T225)</f>
        <v>42308</v>
      </c>
      <c r="U226" s="108" t="str">
        <f t="shared" si="20"/>
        <v>20140101LE_951BASE</v>
      </c>
      <c r="V226" s="126" t="str">
        <f t="shared" si="21"/>
        <v>20140101RLS</v>
      </c>
      <c r="Y226" s="98">
        <f>MiscData!$X$5</f>
        <v>20140101</v>
      </c>
      <c r="Z226" s="98">
        <f>IF(Z225+1&gt;MiscData!$AF$28,1,Z225+1)</f>
        <v>9</v>
      </c>
      <c r="AA226" s="98" t="str">
        <f>VLOOKUP(Z226,MiscData!$AF$5:$AG$28,2,FALSE)</f>
        <v>LE_951BASE</v>
      </c>
      <c r="AB226" s="98" t="str">
        <f>VLOOKUP(Z226,MiscData!$AF$5:$AH$28,3,FALSE)</f>
        <v>RLS</v>
      </c>
    </row>
    <row r="227" spans="1:28" hidden="1">
      <c r="A227" s="108">
        <f t="shared" si="76"/>
        <v>100</v>
      </c>
      <c r="B227" s="109" t="str">
        <f t="shared" si="22"/>
        <v>Oct 2015</v>
      </c>
      <c r="C227" s="110" t="str">
        <f t="shared" si="42"/>
        <v xml:space="preserve">LS </v>
      </c>
      <c r="D227" s="110" t="str">
        <f t="shared" si="43"/>
        <v>LE_951BASE</v>
      </c>
      <c r="E227" s="569">
        <f t="shared" si="45"/>
        <v>3</v>
      </c>
      <c r="F227" s="116">
        <f>SUMIF(PoleRates!$E$4:$E$131,$U227,PoleRates!$F$4:$F$131)</f>
        <v>3.73</v>
      </c>
      <c r="G227" s="118">
        <f t="shared" si="73"/>
        <v>11.19</v>
      </c>
      <c r="H227" s="118">
        <f t="shared" si="74"/>
        <v>11.19</v>
      </c>
      <c r="I227" s="570">
        <f t="shared" si="71"/>
        <v>0</v>
      </c>
      <c r="J227" s="121">
        <f t="shared" si="17"/>
        <v>0</v>
      </c>
      <c r="K227" s="122">
        <f t="shared" si="72"/>
        <v>0</v>
      </c>
      <c r="L227" s="123">
        <f t="shared" si="44"/>
        <v>11.19</v>
      </c>
      <c r="M227" s="123">
        <f t="shared" si="30"/>
        <v>-11.19</v>
      </c>
      <c r="T227" s="109">
        <f>IF(Z227=1,IF(T226=MiscData!$F$1,EOMONTH(T226,-11),EOMONTH(T226,1)),T226)</f>
        <v>42308</v>
      </c>
      <c r="U227" s="108" t="str">
        <f t="shared" si="20"/>
        <v>20140101LE_951BASE</v>
      </c>
      <c r="V227" s="126" t="str">
        <f t="shared" si="21"/>
        <v xml:space="preserve">20140101LS </v>
      </c>
      <c r="Y227" s="98">
        <f>MiscData!$X$5</f>
        <v>20140101</v>
      </c>
      <c r="Z227" s="98">
        <f>IF(Z226+1&gt;MiscData!$AF$28,1,Z226+1)</f>
        <v>10</v>
      </c>
      <c r="AA227" s="98" t="str">
        <f>VLOOKUP(Z227,MiscData!$AF$5:$AG$28,2,FALSE)</f>
        <v>LE_951BASE</v>
      </c>
      <c r="AB227" s="98" t="str">
        <f>VLOOKUP(Z227,MiscData!$AF$5:$AH$28,3,FALSE)</f>
        <v xml:space="preserve">LS </v>
      </c>
    </row>
    <row r="228" spans="1:28">
      <c r="A228" s="108">
        <f t="shared" si="76"/>
        <v>101</v>
      </c>
      <c r="B228" s="109" t="str">
        <f t="shared" si="22"/>
        <v>Oct 2015</v>
      </c>
      <c r="C228" s="110" t="str">
        <f t="shared" si="42"/>
        <v>RLS</v>
      </c>
      <c r="D228" s="110" t="str">
        <f t="shared" si="43"/>
        <v>LE_952BASE</v>
      </c>
      <c r="E228" s="569">
        <f t="shared" si="45"/>
        <v>0</v>
      </c>
      <c r="F228" s="116">
        <f>SUMIF(PoleRates!$E$4:$E$131,$U228,PoleRates!$F$4:$F$131)</f>
        <v>3.56</v>
      </c>
      <c r="G228" s="118">
        <f t="shared" si="73"/>
        <v>0</v>
      </c>
      <c r="H228" s="118">
        <f t="shared" si="74"/>
        <v>0</v>
      </c>
      <c r="I228" s="570">
        <f t="shared" si="71"/>
        <v>0</v>
      </c>
      <c r="J228" s="121">
        <f t="shared" si="17"/>
        <v>1</v>
      </c>
      <c r="K228" s="122">
        <f t="shared" si="72"/>
        <v>0</v>
      </c>
      <c r="L228" s="123">
        <f t="shared" si="44"/>
        <v>0</v>
      </c>
      <c r="M228" s="123">
        <f t="shared" si="30"/>
        <v>0</v>
      </c>
      <c r="T228" s="109">
        <f>IF(Z228=1,IF(T227=MiscData!$F$1,EOMONTH(T227,-11),EOMONTH(T227,1)),T227)</f>
        <v>42308</v>
      </c>
      <c r="U228" s="108" t="str">
        <f t="shared" si="20"/>
        <v>20140101LE_952BASE</v>
      </c>
      <c r="V228" s="126" t="str">
        <f t="shared" si="21"/>
        <v>20140101RLS</v>
      </c>
      <c r="Y228" s="98">
        <f>MiscData!$X$5</f>
        <v>20140101</v>
      </c>
      <c r="Z228" s="98">
        <f>IF(Z227+1&gt;MiscData!$AF$28,1,Z227+1)</f>
        <v>11</v>
      </c>
      <c r="AA228" s="98" t="str">
        <f>VLOOKUP(Z228,MiscData!$AF$5:$AG$28,2,FALSE)</f>
        <v>LE_952BASE</v>
      </c>
      <c r="AB228" s="98" t="str">
        <f>VLOOKUP(Z228,MiscData!$AF$5:$AH$28,3,FALSE)</f>
        <v>RLS</v>
      </c>
    </row>
    <row r="229" spans="1:28" hidden="1">
      <c r="A229" s="108">
        <f t="shared" si="76"/>
        <v>101</v>
      </c>
      <c r="B229" s="109" t="str">
        <f t="shared" si="22"/>
        <v>Oct 2015</v>
      </c>
      <c r="C229" s="110" t="str">
        <f t="shared" si="42"/>
        <v xml:space="preserve">LS </v>
      </c>
      <c r="D229" s="110" t="str">
        <f t="shared" si="43"/>
        <v>LE_952BASE</v>
      </c>
      <c r="E229" s="569">
        <f t="shared" si="45"/>
        <v>0</v>
      </c>
      <c r="F229" s="116">
        <f>SUMIF(PoleRates!$E$4:$E$131,$U229,PoleRates!$F$4:$F$131)</f>
        <v>3.56</v>
      </c>
      <c r="G229" s="118">
        <f t="shared" si="73"/>
        <v>0</v>
      </c>
      <c r="H229" s="118">
        <f t="shared" si="74"/>
        <v>0</v>
      </c>
      <c r="I229" s="570">
        <f t="shared" si="71"/>
        <v>0</v>
      </c>
      <c r="J229" s="121">
        <f t="shared" si="17"/>
        <v>1</v>
      </c>
      <c r="K229" s="122">
        <f t="shared" si="72"/>
        <v>0</v>
      </c>
      <c r="L229" s="123">
        <f t="shared" si="44"/>
        <v>0</v>
      </c>
      <c r="M229" s="123">
        <f t="shared" si="30"/>
        <v>0</v>
      </c>
      <c r="T229" s="109">
        <f>IF(Z229=1,IF(T228=MiscData!$F$1,EOMONTH(T228,-11),EOMONTH(T228,1)),T228)</f>
        <v>42308</v>
      </c>
      <c r="U229" s="108" t="str">
        <f t="shared" si="20"/>
        <v>20140101LE_952BASE</v>
      </c>
      <c r="V229" s="126" t="str">
        <f t="shared" si="21"/>
        <v xml:space="preserve">20140101LS </v>
      </c>
      <c r="Y229" s="98">
        <f>MiscData!$X$5</f>
        <v>20140101</v>
      </c>
      <c r="Z229" s="98">
        <f>IF(Z228+1&gt;MiscData!$AF$28,1,Z228+1)</f>
        <v>12</v>
      </c>
      <c r="AA229" s="98" t="str">
        <f>VLOOKUP(Z229,MiscData!$AF$5:$AG$28,2,FALSE)</f>
        <v>LE_952BASE</v>
      </c>
      <c r="AB229" s="98" t="str">
        <f>VLOOKUP(Z229,MiscData!$AF$5:$AH$28,3,FALSE)</f>
        <v xml:space="preserve">LS </v>
      </c>
    </row>
    <row r="230" spans="1:28">
      <c r="A230" s="108">
        <f t="shared" si="76"/>
        <v>102</v>
      </c>
      <c r="B230" s="109" t="str">
        <f t="shared" ref="B230:B275" si="77">TEXT(T230,"mmm yyyy")</f>
        <v>Oct 2015</v>
      </c>
      <c r="C230" s="110" t="str">
        <f t="shared" ref="C230:C275" si="78">AB230</f>
        <v>RLS</v>
      </c>
      <c r="D230" s="110" t="str">
        <f t="shared" ref="D230:D275" si="79">AA230</f>
        <v>LE_953BASE</v>
      </c>
      <c r="E230" s="569">
        <f t="shared" si="45"/>
        <v>0</v>
      </c>
      <c r="F230" s="116">
        <f>SUMIF(PoleRates!$E$4:$E$131,$U230,PoleRates!$F$4:$F$131)</f>
        <v>3.73</v>
      </c>
      <c r="G230" s="118">
        <f t="shared" si="73"/>
        <v>0</v>
      </c>
      <c r="H230" s="118">
        <f t="shared" si="74"/>
        <v>0</v>
      </c>
      <c r="I230" s="570">
        <f t="shared" si="71"/>
        <v>0</v>
      </c>
      <c r="J230" s="121">
        <f t="shared" ref="J230:J275" si="80">IF(AND(H230=0,I230=0),1,IF(H230=0,0,I230/H230))</f>
        <v>1</v>
      </c>
      <c r="K230" s="122">
        <f t="shared" si="72"/>
        <v>0</v>
      </c>
      <c r="L230" s="123">
        <f t="shared" ref="L230:L275" si="81">H230</f>
        <v>0</v>
      </c>
      <c r="M230" s="123">
        <f t="shared" ref="M230:M275" si="82">ROUND(K230-L230,2)</f>
        <v>0</v>
      </c>
      <c r="T230" s="109">
        <f>IF(Z230=1,IF(T229=MiscData!$F$1,EOMONTH(T229,-11),EOMONTH(T229,1)),T229)</f>
        <v>42308</v>
      </c>
      <c r="U230" s="108" t="str">
        <f t="shared" ref="U230:U235" si="83">CONCATENATE(Y230&amp;AA230)</f>
        <v>20140101LE_953BASE</v>
      </c>
      <c r="V230" s="126" t="str">
        <f t="shared" ref="V230:V235" si="84">CONCATENATE(Y230&amp;AB230)</f>
        <v>20140101RLS</v>
      </c>
      <c r="Y230" s="98">
        <f>MiscData!$X$5</f>
        <v>20140101</v>
      </c>
      <c r="Z230" s="98">
        <f>IF(Z229+1&gt;MiscData!$AF$28,1,Z229+1)</f>
        <v>13</v>
      </c>
      <c r="AA230" s="98" t="str">
        <f>VLOOKUP(Z230,MiscData!$AF$5:$AG$28,2,FALSE)</f>
        <v>LE_953BASE</v>
      </c>
      <c r="AB230" s="98" t="str">
        <f>VLOOKUP(Z230,MiscData!$AF$5:$AH$28,3,FALSE)</f>
        <v>RLS</v>
      </c>
    </row>
    <row r="231" spans="1:28" hidden="1">
      <c r="A231" s="108">
        <f t="shared" si="76"/>
        <v>102</v>
      </c>
      <c r="B231" s="109" t="str">
        <f t="shared" si="77"/>
        <v>Oct 2015</v>
      </c>
      <c r="C231" s="110" t="str">
        <f t="shared" si="78"/>
        <v xml:space="preserve">LS </v>
      </c>
      <c r="D231" s="110" t="str">
        <f t="shared" si="79"/>
        <v>LE_953BASE</v>
      </c>
      <c r="E231" s="569">
        <f t="shared" si="45"/>
        <v>0</v>
      </c>
      <c r="F231" s="116">
        <f>SUMIF(PoleRates!$E$4:$E$131,$U231,PoleRates!$F$4:$F$131)</f>
        <v>3.73</v>
      </c>
      <c r="G231" s="118">
        <f t="shared" si="73"/>
        <v>0</v>
      </c>
      <c r="H231" s="118">
        <f t="shared" si="74"/>
        <v>0</v>
      </c>
      <c r="I231" s="570">
        <f t="shared" si="71"/>
        <v>0</v>
      </c>
      <c r="J231" s="121">
        <f t="shared" si="80"/>
        <v>1</v>
      </c>
      <c r="K231" s="122">
        <f t="shared" si="72"/>
        <v>0</v>
      </c>
      <c r="L231" s="123">
        <f t="shared" si="81"/>
        <v>0</v>
      </c>
      <c r="M231" s="123">
        <f t="shared" si="82"/>
        <v>0</v>
      </c>
      <c r="T231" s="109">
        <f>IF(Z231=1,IF(T230=MiscData!$F$1,EOMONTH(T230,-11),EOMONTH(T230,1)),T230)</f>
        <v>42308</v>
      </c>
      <c r="U231" s="108" t="str">
        <f t="shared" si="83"/>
        <v>20140101LE_953BASE</v>
      </c>
      <c r="V231" s="126" t="str">
        <f t="shared" si="84"/>
        <v xml:space="preserve">20140101LS </v>
      </c>
      <c r="Y231" s="98">
        <f>MiscData!$X$5</f>
        <v>20140101</v>
      </c>
      <c r="Z231" s="98">
        <f>IF(Z230+1&gt;MiscData!$AF$28,1,Z230+1)</f>
        <v>14</v>
      </c>
      <c r="AA231" s="98" t="str">
        <f>VLOOKUP(Z231,MiscData!$AF$5:$AG$28,2,FALSE)</f>
        <v>LE_953BASE</v>
      </c>
      <c r="AB231" s="98" t="str">
        <f>VLOOKUP(Z231,MiscData!$AF$5:$AH$28,3,FALSE)</f>
        <v xml:space="preserve">LS </v>
      </c>
    </row>
    <row r="232" spans="1:28">
      <c r="A232" s="108">
        <f t="shared" si="76"/>
        <v>103</v>
      </c>
      <c r="B232" s="109" t="str">
        <f t="shared" si="77"/>
        <v>Oct 2015</v>
      </c>
      <c r="C232" s="110" t="str">
        <f t="shared" si="78"/>
        <v>RLS</v>
      </c>
      <c r="D232" s="110" t="str">
        <f t="shared" si="79"/>
        <v>LE_954BASE</v>
      </c>
      <c r="E232" s="569">
        <f t="shared" si="45"/>
        <v>0</v>
      </c>
      <c r="F232" s="116">
        <f>SUMIF(PoleRates!$E$4:$E$131,$U232,PoleRates!$F$4:$F$131)</f>
        <v>3.47</v>
      </c>
      <c r="G232" s="118">
        <f t="shared" si="73"/>
        <v>0</v>
      </c>
      <c r="H232" s="118">
        <f t="shared" si="74"/>
        <v>0</v>
      </c>
      <c r="I232" s="570">
        <f t="shared" si="71"/>
        <v>0</v>
      </c>
      <c r="J232" s="121">
        <f t="shared" si="80"/>
        <v>1</v>
      </c>
      <c r="K232" s="122">
        <f t="shared" si="72"/>
        <v>0</v>
      </c>
      <c r="L232" s="123">
        <f t="shared" si="81"/>
        <v>0</v>
      </c>
      <c r="M232" s="123">
        <f t="shared" si="82"/>
        <v>0</v>
      </c>
      <c r="T232" s="109">
        <f>IF(Z232=1,IF(T231=MiscData!$F$1,EOMONTH(T231,-11),EOMONTH(T231,1)),T231)</f>
        <v>42308</v>
      </c>
      <c r="U232" s="108" t="str">
        <f t="shared" si="83"/>
        <v>20140101LE_954BASE</v>
      </c>
      <c r="V232" s="126" t="str">
        <f t="shared" si="84"/>
        <v>20140101RLS</v>
      </c>
      <c r="Y232" s="98">
        <f>MiscData!$X$5</f>
        <v>20140101</v>
      </c>
      <c r="Z232" s="98">
        <f>IF(Z231+1&gt;MiscData!$AF$28,1,Z231+1)</f>
        <v>15</v>
      </c>
      <c r="AA232" s="98" t="str">
        <f>VLOOKUP(Z232,MiscData!$AF$5:$AG$28,2,FALSE)</f>
        <v>LE_954BASE</v>
      </c>
      <c r="AB232" s="98" t="str">
        <f>VLOOKUP(Z232,MiscData!$AF$5:$AH$28,3,FALSE)</f>
        <v>RLS</v>
      </c>
    </row>
    <row r="233" spans="1:28" hidden="1">
      <c r="A233" s="108">
        <f t="shared" si="76"/>
        <v>103</v>
      </c>
      <c r="B233" s="109" t="str">
        <f t="shared" si="77"/>
        <v>Oct 2015</v>
      </c>
      <c r="C233" s="110" t="str">
        <f t="shared" si="78"/>
        <v xml:space="preserve">LS </v>
      </c>
      <c r="D233" s="110" t="str">
        <f t="shared" si="79"/>
        <v>LE_954BASE</v>
      </c>
      <c r="E233" s="569">
        <f t="shared" si="45"/>
        <v>0</v>
      </c>
      <c r="F233" s="116">
        <f>SUMIF(PoleRates!$E$4:$E$131,$U233,PoleRates!$F$4:$F$131)</f>
        <v>3.47</v>
      </c>
      <c r="G233" s="118">
        <f t="shared" si="73"/>
        <v>0</v>
      </c>
      <c r="H233" s="118">
        <f t="shared" si="74"/>
        <v>0</v>
      </c>
      <c r="I233" s="570">
        <f t="shared" si="71"/>
        <v>0</v>
      </c>
      <c r="J233" s="121">
        <f t="shared" si="80"/>
        <v>1</v>
      </c>
      <c r="K233" s="122">
        <f t="shared" si="72"/>
        <v>0</v>
      </c>
      <c r="L233" s="123">
        <f t="shared" si="81"/>
        <v>0</v>
      </c>
      <c r="M233" s="123">
        <f t="shared" si="82"/>
        <v>0</v>
      </c>
      <c r="T233" s="109">
        <f>IF(Z233=1,IF(T232=MiscData!$F$1,EOMONTH(T232,-11),EOMONTH(T232,1)),T232)</f>
        <v>42308</v>
      </c>
      <c r="U233" s="108" t="str">
        <f t="shared" si="83"/>
        <v>20140101LE_954BASE</v>
      </c>
      <c r="V233" s="126" t="str">
        <f t="shared" si="84"/>
        <v xml:space="preserve">20140101LS </v>
      </c>
      <c r="Y233" s="98">
        <f>MiscData!$X$5</f>
        <v>20140101</v>
      </c>
      <c r="Z233" s="98">
        <f>IF(Z232+1&gt;MiscData!$AF$28,1,Z232+1)</f>
        <v>16</v>
      </c>
      <c r="AA233" s="98" t="str">
        <f>VLOOKUP(Z233,MiscData!$AF$5:$AG$28,2,FALSE)</f>
        <v>LE_954BASE</v>
      </c>
      <c r="AB233" s="98" t="str">
        <f>VLOOKUP(Z233,MiscData!$AF$5:$AH$28,3,FALSE)</f>
        <v xml:space="preserve">LS </v>
      </c>
    </row>
    <row r="234" spans="1:28">
      <c r="A234" s="108">
        <f t="shared" si="76"/>
        <v>104</v>
      </c>
      <c r="B234" s="109" t="str">
        <f t="shared" si="77"/>
        <v>Oct 2015</v>
      </c>
      <c r="C234" s="110" t="str">
        <f t="shared" si="78"/>
        <v>RLS</v>
      </c>
      <c r="D234" s="110" t="str">
        <f t="shared" si="79"/>
        <v>LE_955BASE</v>
      </c>
      <c r="E234" s="569">
        <f t="shared" si="45"/>
        <v>0</v>
      </c>
      <c r="F234" s="116">
        <f>SUMIF(PoleRates!$E$4:$E$131,$U234,PoleRates!$F$4:$F$131)</f>
        <v>3.56</v>
      </c>
      <c r="G234" s="118">
        <f t="shared" si="73"/>
        <v>0</v>
      </c>
      <c r="H234" s="118">
        <f t="shared" si="74"/>
        <v>0</v>
      </c>
      <c r="I234" s="570">
        <f t="shared" si="71"/>
        <v>0</v>
      </c>
      <c r="J234" s="121">
        <f t="shared" si="80"/>
        <v>1</v>
      </c>
      <c r="K234" s="122">
        <f t="shared" si="72"/>
        <v>0</v>
      </c>
      <c r="L234" s="123">
        <f t="shared" si="81"/>
        <v>0</v>
      </c>
      <c r="M234" s="123">
        <f t="shared" si="82"/>
        <v>0</v>
      </c>
      <c r="T234" s="109">
        <f>IF(Z234=1,IF(T233=MiscData!$F$1,EOMONTH(T233,-11),EOMONTH(T233,1)),T233)</f>
        <v>42308</v>
      </c>
      <c r="U234" s="108" t="str">
        <f t="shared" si="83"/>
        <v>20140101LE_955BASE</v>
      </c>
      <c r="V234" s="126" t="str">
        <f t="shared" si="84"/>
        <v>20140101RLS</v>
      </c>
      <c r="Y234" s="98">
        <f>MiscData!$X$5</f>
        <v>20140101</v>
      </c>
      <c r="Z234" s="98">
        <f>IF(Z233+1&gt;MiscData!$AF$28,1,Z233+1)</f>
        <v>17</v>
      </c>
      <c r="AA234" s="98" t="str">
        <f>VLOOKUP(Z234,MiscData!$AF$5:$AG$28,2,FALSE)</f>
        <v>LE_955BASE</v>
      </c>
      <c r="AB234" s="98" t="str">
        <f>VLOOKUP(Z234,MiscData!$AF$5:$AH$28,3,FALSE)</f>
        <v>RLS</v>
      </c>
    </row>
    <row r="235" spans="1:28" hidden="1">
      <c r="A235" s="108">
        <f t="shared" si="76"/>
        <v>104</v>
      </c>
      <c r="B235" s="109" t="str">
        <f t="shared" si="77"/>
        <v>Oct 2015</v>
      </c>
      <c r="C235" s="110" t="str">
        <f t="shared" si="78"/>
        <v xml:space="preserve">LS </v>
      </c>
      <c r="D235" s="110" t="str">
        <f t="shared" si="79"/>
        <v>LE_955BASE</v>
      </c>
      <c r="E235" s="569">
        <f t="shared" si="45"/>
        <v>0</v>
      </c>
      <c r="F235" s="116">
        <f>SUMIF(PoleRates!$E$4:$E$131,$U235,PoleRates!$F$4:$F$131)</f>
        <v>3.56</v>
      </c>
      <c r="G235" s="118">
        <f t="shared" si="73"/>
        <v>0</v>
      </c>
      <c r="H235" s="118">
        <f t="shared" si="74"/>
        <v>0</v>
      </c>
      <c r="I235" s="570">
        <f t="shared" si="71"/>
        <v>0</v>
      </c>
      <c r="J235" s="121">
        <f t="shared" si="80"/>
        <v>1</v>
      </c>
      <c r="K235" s="122">
        <f t="shared" si="72"/>
        <v>0</v>
      </c>
      <c r="L235" s="123">
        <f t="shared" si="81"/>
        <v>0</v>
      </c>
      <c r="M235" s="123">
        <f t="shared" si="82"/>
        <v>0</v>
      </c>
      <c r="T235" s="109">
        <f>IF(Z235=1,IF(T234=MiscData!$F$1,EOMONTH(T234,-11),EOMONTH(T234,1)),T234)</f>
        <v>42308</v>
      </c>
      <c r="U235" s="108" t="str">
        <f t="shared" si="83"/>
        <v>20140101LE_955BASE</v>
      </c>
      <c r="V235" s="126" t="str">
        <f t="shared" si="84"/>
        <v xml:space="preserve">20140101LS </v>
      </c>
      <c r="Y235" s="98">
        <f>MiscData!$X$5</f>
        <v>20140101</v>
      </c>
      <c r="Z235" s="98">
        <f>IF(Z234+1&gt;MiscData!$AF$28,1,Z234+1)</f>
        <v>18</v>
      </c>
      <c r="AA235" s="98" t="str">
        <f>VLOOKUP(Z235,MiscData!$AF$5:$AG$28,2,FALSE)</f>
        <v>LE_955BASE</v>
      </c>
      <c r="AB235" s="98" t="str">
        <f>VLOOKUP(Z235,MiscData!$AF$5:$AH$28,3,FALSE)</f>
        <v xml:space="preserve">LS </v>
      </c>
    </row>
    <row r="236" spans="1:28" hidden="1">
      <c r="A236" s="108">
        <f>A226+1</f>
        <v>101</v>
      </c>
      <c r="B236" s="109" t="str">
        <f t="shared" ref="B236:B267" si="85">TEXT(T236,"mmm yyyy")</f>
        <v>Oct 2015</v>
      </c>
      <c r="C236" s="110" t="str">
        <f t="shared" ref="C236:C267" si="86">AB236</f>
        <v>RLS</v>
      </c>
      <c r="D236" s="110" t="str">
        <f t="shared" ref="D236:D267" si="87">AA236</f>
        <v>LE_956BASE</v>
      </c>
      <c r="E236" s="569">
        <f t="shared" ref="E236:E267" si="88">SUMIFS(L_1051_Count_Total,L_1051_Revenue_Month,$B236,L_1051_RateCategory,$D236,L_1051_Light_Category,C236)</f>
        <v>304</v>
      </c>
      <c r="F236" s="116">
        <f>SUMIF(PoleRates!$E$4:$E$131,$U236,PoleRates!$F$4:$F$131)</f>
        <v>3.56</v>
      </c>
      <c r="G236" s="118">
        <f t="shared" si="73"/>
        <v>1082.24</v>
      </c>
      <c r="H236" s="118">
        <f t="shared" si="74"/>
        <v>1082.24</v>
      </c>
      <c r="I236" s="570">
        <f t="shared" si="71"/>
        <v>0</v>
      </c>
      <c r="J236" s="121">
        <f t="shared" ref="J236:J267" si="89">IF(AND(H236=0,I236=0),1,IF(H236=0,0,I236/H236))</f>
        <v>0</v>
      </c>
      <c r="K236" s="122">
        <f t="shared" si="72"/>
        <v>0</v>
      </c>
      <c r="L236" s="123">
        <f t="shared" ref="L236:L267" si="90">H236</f>
        <v>1082.24</v>
      </c>
      <c r="M236" s="123">
        <f t="shared" ref="M236:M267" si="91">ROUND(K236-L236,2)</f>
        <v>-1082.24</v>
      </c>
      <c r="T236" s="109">
        <f>IF(Z236=1,IF(T235=MiscData!$F$1,EOMONTH(T235,-11),EOMONTH(T235,1)),T235)</f>
        <v>42308</v>
      </c>
      <c r="U236" s="108" t="str">
        <f t="shared" ref="U236:U241" si="92">CONCATENATE(Y236&amp;AA236)</f>
        <v>20140101LE_956BASE</v>
      </c>
      <c r="V236" s="126" t="str">
        <f t="shared" ref="V236:V241" si="93">CONCATENATE(Y236&amp;AB236)</f>
        <v>20140101RLS</v>
      </c>
      <c r="Y236" s="98">
        <f>MiscData!$X$5</f>
        <v>20140101</v>
      </c>
      <c r="Z236" s="98">
        <f>IF(Z235+1&gt;MiscData!$AF$28,1,Z235+1)</f>
        <v>19</v>
      </c>
      <c r="AA236" s="98" t="str">
        <f>VLOOKUP(Z236,MiscData!$AF$5:$AG$28,2,FALSE)</f>
        <v>LE_956BASE</v>
      </c>
      <c r="AB236" s="98" t="str">
        <f>VLOOKUP(Z236,MiscData!$AF$5:$AH$28,3,FALSE)</f>
        <v>RLS</v>
      </c>
    </row>
    <row r="237" spans="1:28" hidden="1">
      <c r="A237" s="108">
        <f>A227+1</f>
        <v>101</v>
      </c>
      <c r="B237" s="109" t="str">
        <f t="shared" si="85"/>
        <v>Oct 2015</v>
      </c>
      <c r="C237" s="110" t="str">
        <f t="shared" si="86"/>
        <v xml:space="preserve">LS </v>
      </c>
      <c r="D237" s="110" t="str">
        <f t="shared" si="87"/>
        <v>LE_956BASE</v>
      </c>
      <c r="E237" s="569">
        <f t="shared" si="88"/>
        <v>552</v>
      </c>
      <c r="F237" s="116">
        <f>SUMIF(PoleRates!$E$4:$E$131,$U237,PoleRates!$F$4:$F$131)</f>
        <v>3.56</v>
      </c>
      <c r="G237" s="118">
        <f t="shared" si="73"/>
        <v>1965.12</v>
      </c>
      <c r="H237" s="118">
        <f t="shared" si="74"/>
        <v>1965.12</v>
      </c>
      <c r="I237" s="570">
        <f t="shared" si="71"/>
        <v>0</v>
      </c>
      <c r="J237" s="121">
        <f t="shared" si="89"/>
        <v>0</v>
      </c>
      <c r="K237" s="122">
        <f t="shared" si="72"/>
        <v>0</v>
      </c>
      <c r="L237" s="123">
        <f t="shared" si="90"/>
        <v>1965.12</v>
      </c>
      <c r="M237" s="123">
        <f t="shared" si="91"/>
        <v>-1965.12</v>
      </c>
      <c r="T237" s="109">
        <f>IF(Z237=1,IF(T236=MiscData!$F$1,EOMONTH(T236,-11),EOMONTH(T236,1)),T236)</f>
        <v>42308</v>
      </c>
      <c r="U237" s="108" t="str">
        <f t="shared" si="92"/>
        <v>20140101LE_956BASE</v>
      </c>
      <c r="V237" s="126" t="str">
        <f t="shared" si="93"/>
        <v xml:space="preserve">20140101LS </v>
      </c>
      <c r="Y237" s="98">
        <f>MiscData!$X$5</f>
        <v>20140101</v>
      </c>
      <c r="Z237" s="98">
        <f>IF(Z236+1&gt;MiscData!$AF$28,1,Z236+1)</f>
        <v>20</v>
      </c>
      <c r="AA237" s="98" t="str">
        <f>VLOOKUP(Z237,MiscData!$AF$5:$AG$28,2,FALSE)</f>
        <v>LE_956BASE</v>
      </c>
      <c r="AB237" s="98" t="str">
        <f>VLOOKUP(Z237,MiscData!$AF$5:$AH$28,3,FALSE)</f>
        <v xml:space="preserve">LS </v>
      </c>
    </row>
    <row r="238" spans="1:28">
      <c r="A238" s="108">
        <f t="shared" si="76"/>
        <v>102</v>
      </c>
      <c r="B238" s="109" t="str">
        <f t="shared" si="85"/>
        <v>Oct 2015</v>
      </c>
      <c r="C238" s="110" t="str">
        <f t="shared" si="86"/>
        <v>RLS</v>
      </c>
      <c r="D238" s="110" t="str">
        <f t="shared" si="87"/>
        <v>LE_957BASE</v>
      </c>
      <c r="E238" s="569">
        <f t="shared" si="88"/>
        <v>0</v>
      </c>
      <c r="F238" s="116">
        <f>SUMIF(PoleRates!$E$4:$E$131,$U238,PoleRates!$F$4:$F$131)</f>
        <v>3.56</v>
      </c>
      <c r="G238" s="118">
        <f t="shared" si="73"/>
        <v>0</v>
      </c>
      <c r="H238" s="118">
        <f t="shared" si="74"/>
        <v>0</v>
      </c>
      <c r="I238" s="570">
        <f t="shared" si="71"/>
        <v>0</v>
      </c>
      <c r="J238" s="121">
        <f t="shared" si="89"/>
        <v>1</v>
      </c>
      <c r="K238" s="122">
        <f t="shared" si="72"/>
        <v>0</v>
      </c>
      <c r="L238" s="123">
        <f t="shared" si="90"/>
        <v>0</v>
      </c>
      <c r="M238" s="123">
        <f t="shared" si="91"/>
        <v>0</v>
      </c>
      <c r="T238" s="109">
        <f>IF(Z238=1,IF(T237=MiscData!$F$1,EOMONTH(T237,-11),EOMONTH(T237,1)),T237)</f>
        <v>42308</v>
      </c>
      <c r="U238" s="108" t="str">
        <f t="shared" si="92"/>
        <v>20140101LE_957BASE</v>
      </c>
      <c r="V238" s="126" t="str">
        <f t="shared" si="93"/>
        <v>20140101RLS</v>
      </c>
      <c r="Y238" s="98">
        <f>MiscData!$X$5</f>
        <v>20140101</v>
      </c>
      <c r="Z238" s="98">
        <f>IF(Z237+1&gt;MiscData!$AF$28,1,Z237+1)</f>
        <v>21</v>
      </c>
      <c r="AA238" s="98" t="str">
        <f>VLOOKUP(Z238,MiscData!$AF$5:$AG$28,2,FALSE)</f>
        <v>LE_957BASE</v>
      </c>
      <c r="AB238" s="98" t="str">
        <f>VLOOKUP(Z238,MiscData!$AF$5:$AH$28,3,FALSE)</f>
        <v>RLS</v>
      </c>
    </row>
    <row r="239" spans="1:28" hidden="1">
      <c r="A239" s="108">
        <f t="shared" si="76"/>
        <v>102</v>
      </c>
      <c r="B239" s="109" t="str">
        <f t="shared" si="85"/>
        <v>Oct 2015</v>
      </c>
      <c r="C239" s="110" t="str">
        <f t="shared" si="86"/>
        <v xml:space="preserve">LS </v>
      </c>
      <c r="D239" s="110" t="str">
        <f t="shared" si="87"/>
        <v>LE_957BASE</v>
      </c>
      <c r="E239" s="569">
        <f t="shared" si="88"/>
        <v>0</v>
      </c>
      <c r="F239" s="116">
        <f>SUMIF(PoleRates!$E$4:$E$131,$U239,PoleRates!$F$4:$F$131)</f>
        <v>3.56</v>
      </c>
      <c r="G239" s="118">
        <f t="shared" si="73"/>
        <v>0</v>
      </c>
      <c r="H239" s="118">
        <f t="shared" si="74"/>
        <v>0</v>
      </c>
      <c r="I239" s="570">
        <f t="shared" si="71"/>
        <v>0</v>
      </c>
      <c r="J239" s="121">
        <f t="shared" si="89"/>
        <v>1</v>
      </c>
      <c r="K239" s="122">
        <f t="shared" si="72"/>
        <v>0</v>
      </c>
      <c r="L239" s="123">
        <f t="shared" si="90"/>
        <v>0</v>
      </c>
      <c r="M239" s="123">
        <f t="shared" si="91"/>
        <v>0</v>
      </c>
      <c r="T239" s="109">
        <f>IF(Z239=1,IF(T238=MiscData!$F$1,EOMONTH(T238,-11),EOMONTH(T238,1)),T238)</f>
        <v>42308</v>
      </c>
      <c r="U239" s="108" t="str">
        <f t="shared" si="92"/>
        <v>20140101LE_957BASE</v>
      </c>
      <c r="V239" s="126" t="str">
        <f t="shared" si="93"/>
        <v xml:space="preserve">20140101LS </v>
      </c>
      <c r="Y239" s="98">
        <f>MiscData!$X$5</f>
        <v>20140101</v>
      </c>
      <c r="Z239" s="98">
        <f>IF(Z238+1&gt;MiscData!$AF$28,1,Z238+1)</f>
        <v>22</v>
      </c>
      <c r="AA239" s="98" t="str">
        <f>VLOOKUP(Z239,MiscData!$AF$5:$AG$28,2,FALSE)</f>
        <v>LE_957BASE</v>
      </c>
      <c r="AB239" s="98" t="str">
        <f>VLOOKUP(Z239,MiscData!$AF$5:$AH$28,3,FALSE)</f>
        <v xml:space="preserve">LS </v>
      </c>
    </row>
    <row r="240" spans="1:28" hidden="1">
      <c r="A240" s="108">
        <f t="shared" si="76"/>
        <v>103</v>
      </c>
      <c r="B240" s="109" t="str">
        <f t="shared" si="85"/>
        <v>Oct 2015</v>
      </c>
      <c r="C240" s="110" t="str">
        <f t="shared" si="86"/>
        <v>RLS</v>
      </c>
      <c r="D240" s="110" t="str">
        <f t="shared" si="87"/>
        <v>LE_958POLE</v>
      </c>
      <c r="E240" s="569">
        <f t="shared" si="88"/>
        <v>39</v>
      </c>
      <c r="F240" s="116">
        <f>SUMIF(PoleRates!$E$4:$E$131,$U240,PoleRates!$F$4:$F$131)</f>
        <v>11.31</v>
      </c>
      <c r="G240" s="118">
        <f t="shared" si="73"/>
        <v>441.09</v>
      </c>
      <c r="H240" s="118">
        <f t="shared" si="74"/>
        <v>441.09</v>
      </c>
      <c r="I240" s="570">
        <f t="shared" si="71"/>
        <v>0</v>
      </c>
      <c r="J240" s="121">
        <f t="shared" si="89"/>
        <v>0</v>
      </c>
      <c r="K240" s="122">
        <f t="shared" si="72"/>
        <v>0</v>
      </c>
      <c r="L240" s="123">
        <f t="shared" si="90"/>
        <v>441.09</v>
      </c>
      <c r="M240" s="123">
        <f t="shared" si="91"/>
        <v>-441.09</v>
      </c>
      <c r="T240" s="109">
        <f>IF(Z240=1,IF(T239=MiscData!$F$1,EOMONTH(T239,-11),EOMONTH(T239,1)),T239)</f>
        <v>42308</v>
      </c>
      <c r="U240" s="108" t="str">
        <f t="shared" si="92"/>
        <v>20140101LE_958POLE</v>
      </c>
      <c r="V240" s="126" t="str">
        <f t="shared" si="93"/>
        <v>20140101RLS</v>
      </c>
      <c r="Y240" s="98">
        <f>MiscData!$X$5</f>
        <v>20140101</v>
      </c>
      <c r="Z240" s="98">
        <f>IF(Z239+1&gt;MiscData!$AF$28,1,Z239+1)</f>
        <v>23</v>
      </c>
      <c r="AA240" s="98" t="str">
        <f>VLOOKUP(Z240,MiscData!$AF$5:$AG$28,2,FALSE)</f>
        <v>LE_958POLE</v>
      </c>
      <c r="AB240" s="98" t="str">
        <f>VLOOKUP(Z240,MiscData!$AF$5:$AH$28,3,FALSE)</f>
        <v>RLS</v>
      </c>
    </row>
    <row r="241" spans="1:28" hidden="1">
      <c r="A241" s="108">
        <f t="shared" si="76"/>
        <v>103</v>
      </c>
      <c r="B241" s="109" t="str">
        <f t="shared" si="85"/>
        <v>Oct 2015</v>
      </c>
      <c r="C241" s="110" t="str">
        <f t="shared" si="86"/>
        <v xml:space="preserve">LS </v>
      </c>
      <c r="D241" s="110" t="str">
        <f t="shared" si="87"/>
        <v>LE_958POLE</v>
      </c>
      <c r="E241" s="569">
        <f t="shared" si="88"/>
        <v>432</v>
      </c>
      <c r="F241" s="116">
        <f>SUMIF(PoleRates!$E$4:$E$131,$U241,PoleRates!$F$4:$F$131)</f>
        <v>11.31</v>
      </c>
      <c r="G241" s="118">
        <f t="shared" si="73"/>
        <v>4885.92</v>
      </c>
      <c r="H241" s="118">
        <f t="shared" si="74"/>
        <v>4885.92</v>
      </c>
      <c r="I241" s="570">
        <f t="shared" si="71"/>
        <v>0</v>
      </c>
      <c r="J241" s="121">
        <f t="shared" si="89"/>
        <v>0</v>
      </c>
      <c r="K241" s="122">
        <f t="shared" si="72"/>
        <v>0</v>
      </c>
      <c r="L241" s="123">
        <f t="shared" si="90"/>
        <v>4885.92</v>
      </c>
      <c r="M241" s="123">
        <f t="shared" si="91"/>
        <v>-4885.92</v>
      </c>
      <c r="T241" s="109">
        <f>IF(Z241=1,IF(T240=MiscData!$F$1,EOMONTH(T240,-11),EOMONTH(T240,1)),T240)</f>
        <v>42308</v>
      </c>
      <c r="U241" s="108" t="str">
        <f t="shared" si="92"/>
        <v>20140101LE_958POLE</v>
      </c>
      <c r="V241" s="126" t="str">
        <f t="shared" si="93"/>
        <v xml:space="preserve">20140101LS </v>
      </c>
      <c r="Y241" s="98">
        <f>MiscData!$X$5</f>
        <v>20140101</v>
      </c>
      <c r="Z241" s="98">
        <f>IF(Z240+1&gt;MiscData!$AF$28,1,Z240+1)</f>
        <v>24</v>
      </c>
      <c r="AA241" s="98" t="str">
        <f>VLOOKUP(Z241,MiscData!$AF$5:$AG$28,2,FALSE)</f>
        <v>LE_958POLE</v>
      </c>
      <c r="AB241" s="98" t="str">
        <f>VLOOKUP(Z241,MiscData!$AF$5:$AH$28,3,FALSE)</f>
        <v xml:space="preserve">LS </v>
      </c>
    </row>
    <row r="242" spans="1:28" hidden="1">
      <c r="A242" s="108">
        <f>A224+1</f>
        <v>100</v>
      </c>
      <c r="B242" s="109" t="str">
        <f t="shared" ref="B242:B265" si="94">TEXT(T242,"mmm yyyy")</f>
        <v>Nov 2015</v>
      </c>
      <c r="C242" s="110" t="str">
        <f t="shared" ref="C242:C265" si="95">AB242</f>
        <v>RLS</v>
      </c>
      <c r="D242" s="110" t="str">
        <f t="shared" ref="D242:D265" si="96">AA242</f>
        <v>LE_900POLE</v>
      </c>
      <c r="E242" s="569">
        <f t="shared" ref="E242:E265" si="97">SUMIFS(L_1051_Count_Total,L_1051_Revenue_Month,$B242,L_1051_RateCategory,$D242,L_1051_Light_Category,C242)</f>
        <v>1686</v>
      </c>
      <c r="F242" s="116">
        <f>SUMIF(PoleRates!$E$4:$E$131,$U242,PoleRates!$F$4:$F$131)</f>
        <v>2.06</v>
      </c>
      <c r="G242" s="118">
        <f t="shared" si="73"/>
        <v>3473.16</v>
      </c>
      <c r="H242" s="118">
        <f t="shared" si="74"/>
        <v>3473.16</v>
      </c>
      <c r="I242" s="570">
        <f t="shared" si="71"/>
        <v>0</v>
      </c>
      <c r="J242" s="121">
        <f t="shared" ref="J242:J265" si="98">IF(AND(H242=0,I242=0),1,IF(H242=0,0,I242/H242))</f>
        <v>0</v>
      </c>
      <c r="K242" s="122">
        <f t="shared" si="72"/>
        <v>0</v>
      </c>
      <c r="L242" s="123">
        <f t="shared" ref="L242:L265" si="99">H242</f>
        <v>3473.16</v>
      </c>
      <c r="M242" s="123">
        <f t="shared" ref="M242:M265" si="100">ROUND(K242-L242,2)</f>
        <v>-3473.16</v>
      </c>
      <c r="T242" s="109">
        <f>IF(Z242=1,IF(T241=MiscData!$F$1,EOMONTH(T241,-11),EOMONTH(T241,1)),T241)</f>
        <v>42338</v>
      </c>
      <c r="U242" s="108" t="str">
        <f t="shared" ref="U242:U289" si="101">CONCATENATE(Y242&amp;AA242)</f>
        <v>20140101LE_900POLE</v>
      </c>
      <c r="V242" s="126" t="str">
        <f t="shared" ref="V242:V289" si="102">CONCATENATE(Y242&amp;AB242)</f>
        <v>20140101RLS</v>
      </c>
      <c r="Y242" s="98">
        <f>MiscData!$X$5</f>
        <v>20140101</v>
      </c>
      <c r="Z242" s="98">
        <f>IF(Z241+1&gt;MiscData!$AF$28,1,Z241+1)</f>
        <v>1</v>
      </c>
      <c r="AA242" s="98" t="str">
        <f>VLOOKUP(Z242,MiscData!$AF$5:$AG$28,2,FALSE)</f>
        <v>LE_900POLE</v>
      </c>
      <c r="AB242" s="98" t="str">
        <f>VLOOKUP(Z242,MiscData!$AF$5:$AH$28,3,FALSE)</f>
        <v>RLS</v>
      </c>
    </row>
    <row r="243" spans="1:28" hidden="1">
      <c r="A243" s="108">
        <f>A225+1</f>
        <v>100</v>
      </c>
      <c r="B243" s="109" t="str">
        <f t="shared" si="94"/>
        <v>Nov 2015</v>
      </c>
      <c r="C243" s="110" t="str">
        <f t="shared" si="95"/>
        <v xml:space="preserve">LS </v>
      </c>
      <c r="D243" s="110" t="str">
        <f t="shared" si="96"/>
        <v>LE_900POLE</v>
      </c>
      <c r="E243" s="569">
        <f t="shared" si="97"/>
        <v>5194</v>
      </c>
      <c r="F243" s="116">
        <f>SUMIF(PoleRates!$E$4:$E$131,$U243,PoleRates!$F$4:$F$131)</f>
        <v>2.06</v>
      </c>
      <c r="G243" s="118">
        <f t="shared" si="73"/>
        <v>10699.64</v>
      </c>
      <c r="H243" s="118">
        <f t="shared" si="74"/>
        <v>10699.64</v>
      </c>
      <c r="I243" s="570">
        <f t="shared" si="71"/>
        <v>0</v>
      </c>
      <c r="J243" s="121">
        <f t="shared" si="98"/>
        <v>0</v>
      </c>
      <c r="K243" s="122">
        <f t="shared" si="72"/>
        <v>0</v>
      </c>
      <c r="L243" s="123">
        <f t="shared" si="99"/>
        <v>10699.64</v>
      </c>
      <c r="M243" s="123">
        <f t="shared" si="100"/>
        <v>-10699.64</v>
      </c>
      <c r="T243" s="109">
        <f>IF(Z243=1,IF(T242=MiscData!$F$1,EOMONTH(T242,-11),EOMONTH(T242,1)),T242)</f>
        <v>42338</v>
      </c>
      <c r="U243" s="108" t="str">
        <f t="shared" si="101"/>
        <v>20140101LE_900POLE</v>
      </c>
      <c r="V243" s="126" t="str">
        <f t="shared" si="102"/>
        <v xml:space="preserve">20140101LS </v>
      </c>
      <c r="Y243" s="98">
        <f>MiscData!$X$5</f>
        <v>20140101</v>
      </c>
      <c r="Z243" s="98">
        <f>IF(Z242+1&gt;MiscData!$AF$28,1,Z242+1)</f>
        <v>2</v>
      </c>
      <c r="AA243" s="98" t="str">
        <f>VLOOKUP(Z243,MiscData!$AF$5:$AG$28,2,FALSE)</f>
        <v>LE_900POLE</v>
      </c>
      <c r="AB243" s="98" t="str">
        <f>VLOOKUP(Z243,MiscData!$AF$5:$AH$28,3,FALSE)</f>
        <v xml:space="preserve">LS </v>
      </c>
    </row>
    <row r="244" spans="1:28" hidden="1">
      <c r="A244" s="108">
        <f>A218+1</f>
        <v>93</v>
      </c>
      <c r="B244" s="109" t="str">
        <f t="shared" si="94"/>
        <v>Nov 2015</v>
      </c>
      <c r="C244" s="110" t="str">
        <f t="shared" si="95"/>
        <v>RLS</v>
      </c>
      <c r="D244" s="110" t="str">
        <f t="shared" si="96"/>
        <v>LE_901POLE</v>
      </c>
      <c r="E244" s="569">
        <f t="shared" si="97"/>
        <v>157</v>
      </c>
      <c r="F244" s="116">
        <f>SUMIF(PoleRates!$E$4:$E$131,$U244,PoleRates!$F$4:$F$131)</f>
        <v>10.81</v>
      </c>
      <c r="G244" s="118">
        <f t="shared" si="73"/>
        <v>1697.17</v>
      </c>
      <c r="H244" s="118">
        <f t="shared" si="74"/>
        <v>1697.17</v>
      </c>
      <c r="I244" s="570">
        <f t="shared" si="71"/>
        <v>0</v>
      </c>
      <c r="J244" s="121">
        <f t="shared" si="98"/>
        <v>0</v>
      </c>
      <c r="K244" s="122">
        <f t="shared" si="72"/>
        <v>0</v>
      </c>
      <c r="L244" s="123">
        <f t="shared" si="99"/>
        <v>1697.17</v>
      </c>
      <c r="M244" s="123">
        <f t="shared" si="100"/>
        <v>-1697.17</v>
      </c>
      <c r="T244" s="109">
        <f>IF(Z244=1,IF(T243=MiscData!$F$1,EOMONTH(T243,-11),EOMONTH(T243,1)),T243)</f>
        <v>42338</v>
      </c>
      <c r="U244" s="108" t="str">
        <f t="shared" si="101"/>
        <v>20140101LE_901POLE</v>
      </c>
      <c r="V244" s="126" t="str">
        <f t="shared" si="102"/>
        <v>20140101RLS</v>
      </c>
      <c r="Y244" s="98">
        <f>MiscData!$X$5</f>
        <v>20140101</v>
      </c>
      <c r="Z244" s="98">
        <f>IF(Z243+1&gt;MiscData!$AF$28,1,Z243+1)</f>
        <v>3</v>
      </c>
      <c r="AA244" s="98" t="str">
        <f>VLOOKUP(Z244,MiscData!$AF$5:$AG$28,2,FALSE)</f>
        <v>LE_901POLE</v>
      </c>
      <c r="AB244" s="98" t="str">
        <f>VLOOKUP(Z244,MiscData!$AF$5:$AH$28,3,FALSE)</f>
        <v>RLS</v>
      </c>
    </row>
    <row r="245" spans="1:28" hidden="1">
      <c r="A245" s="108">
        <f>A219+1</f>
        <v>93</v>
      </c>
      <c r="B245" s="109" t="str">
        <f t="shared" si="94"/>
        <v>Nov 2015</v>
      </c>
      <c r="C245" s="110" t="str">
        <f t="shared" si="95"/>
        <v xml:space="preserve">LS </v>
      </c>
      <c r="D245" s="110" t="str">
        <f t="shared" si="96"/>
        <v>LE_901POLE</v>
      </c>
      <c r="E245" s="569">
        <f t="shared" si="97"/>
        <v>0</v>
      </c>
      <c r="F245" s="116">
        <f>SUMIF(PoleRates!$E$4:$E$131,$U245,PoleRates!$F$4:$F$131)</f>
        <v>10.81</v>
      </c>
      <c r="G245" s="118">
        <f t="shared" si="73"/>
        <v>0</v>
      </c>
      <c r="H245" s="118">
        <f t="shared" si="74"/>
        <v>0</v>
      </c>
      <c r="I245" s="570">
        <f t="shared" si="71"/>
        <v>0</v>
      </c>
      <c r="J245" s="121">
        <f t="shared" si="98"/>
        <v>1</v>
      </c>
      <c r="K245" s="122">
        <f t="shared" si="72"/>
        <v>0</v>
      </c>
      <c r="L245" s="123">
        <f t="shared" si="99"/>
        <v>0</v>
      </c>
      <c r="M245" s="123">
        <f t="shared" si="100"/>
        <v>0</v>
      </c>
      <c r="T245" s="109">
        <f>IF(Z245=1,IF(T244=MiscData!$F$1,EOMONTH(T244,-11),EOMONTH(T244,1)),T244)</f>
        <v>42338</v>
      </c>
      <c r="U245" s="108" t="str">
        <f t="shared" si="101"/>
        <v>20140101LE_901POLE</v>
      </c>
      <c r="V245" s="126" t="str">
        <f t="shared" si="102"/>
        <v xml:space="preserve">20140101LS </v>
      </c>
      <c r="Y245" s="98">
        <f>MiscData!$X$5</f>
        <v>20140101</v>
      </c>
      <c r="Z245" s="98">
        <f>IF(Z244+1&gt;MiscData!$AF$28,1,Z244+1)</f>
        <v>4</v>
      </c>
      <c r="AA245" s="98" t="str">
        <f>VLOOKUP(Z245,MiscData!$AF$5:$AG$28,2,FALSE)</f>
        <v>LE_901POLE</v>
      </c>
      <c r="AB245" s="98" t="str">
        <f>VLOOKUP(Z245,MiscData!$AF$5:$AH$28,3,FALSE)</f>
        <v xml:space="preserve">LS </v>
      </c>
    </row>
    <row r="246" spans="1:28" hidden="1">
      <c r="A246" s="108">
        <f t="shared" si="76"/>
        <v>94</v>
      </c>
      <c r="B246" s="109" t="str">
        <f t="shared" si="94"/>
        <v>Nov 2015</v>
      </c>
      <c r="C246" s="110" t="str">
        <f t="shared" si="95"/>
        <v>RLS</v>
      </c>
      <c r="D246" s="110" t="str">
        <f t="shared" si="96"/>
        <v>LE_902POLE</v>
      </c>
      <c r="E246" s="569">
        <f t="shared" si="97"/>
        <v>277</v>
      </c>
      <c r="F246" s="116">
        <f>SUMIF(PoleRates!$E$4:$E$131,$U246,PoleRates!$F$4:$F$131)</f>
        <v>12.9</v>
      </c>
      <c r="G246" s="118">
        <f t="shared" si="73"/>
        <v>3573.3</v>
      </c>
      <c r="H246" s="118">
        <f t="shared" si="74"/>
        <v>3573.3</v>
      </c>
      <c r="I246" s="570">
        <f t="shared" si="71"/>
        <v>0</v>
      </c>
      <c r="J246" s="121">
        <f t="shared" si="98"/>
        <v>0</v>
      </c>
      <c r="K246" s="122">
        <f t="shared" si="72"/>
        <v>0</v>
      </c>
      <c r="L246" s="123">
        <f t="shared" si="99"/>
        <v>3573.3</v>
      </c>
      <c r="M246" s="123">
        <f t="shared" si="100"/>
        <v>-3573.3</v>
      </c>
      <c r="T246" s="109">
        <f>IF(Z246=1,IF(T245=MiscData!$F$1,EOMONTH(T245,-11),EOMONTH(T245,1)),T245)</f>
        <v>42338</v>
      </c>
      <c r="U246" s="108" t="str">
        <f t="shared" si="101"/>
        <v>20140101LE_902POLE</v>
      </c>
      <c r="V246" s="126" t="str">
        <f t="shared" si="102"/>
        <v>20140101RLS</v>
      </c>
      <c r="Y246" s="98">
        <f>MiscData!$X$5</f>
        <v>20140101</v>
      </c>
      <c r="Z246" s="98">
        <f>IF(Z245+1&gt;MiscData!$AF$28,1,Z245+1)</f>
        <v>5</v>
      </c>
      <c r="AA246" s="98" t="str">
        <f>VLOOKUP(Z246,MiscData!$AF$5:$AG$28,2,FALSE)</f>
        <v>LE_902POLE</v>
      </c>
      <c r="AB246" s="98" t="str">
        <f>VLOOKUP(Z246,MiscData!$AF$5:$AH$28,3,FALSE)</f>
        <v>RLS</v>
      </c>
    </row>
    <row r="247" spans="1:28" hidden="1">
      <c r="A247" s="108">
        <f t="shared" si="76"/>
        <v>94</v>
      </c>
      <c r="B247" s="109" t="str">
        <f t="shared" si="94"/>
        <v>Nov 2015</v>
      </c>
      <c r="C247" s="110" t="str">
        <f t="shared" si="95"/>
        <v xml:space="preserve">LS </v>
      </c>
      <c r="D247" s="110" t="str">
        <f t="shared" si="96"/>
        <v>LE_902POLE</v>
      </c>
      <c r="E247" s="569">
        <f t="shared" si="97"/>
        <v>3</v>
      </c>
      <c r="F247" s="116">
        <f>SUMIF(PoleRates!$E$4:$E$131,$U247,PoleRates!$F$4:$F$131)</f>
        <v>12.9</v>
      </c>
      <c r="G247" s="118">
        <f t="shared" si="73"/>
        <v>38.700000000000003</v>
      </c>
      <c r="H247" s="118">
        <f t="shared" si="74"/>
        <v>38.700000000000003</v>
      </c>
      <c r="I247" s="570">
        <f t="shared" si="71"/>
        <v>0</v>
      </c>
      <c r="J247" s="121">
        <f t="shared" si="98"/>
        <v>0</v>
      </c>
      <c r="K247" s="122">
        <f t="shared" si="72"/>
        <v>0</v>
      </c>
      <c r="L247" s="123">
        <f t="shared" si="99"/>
        <v>38.700000000000003</v>
      </c>
      <c r="M247" s="123">
        <f t="shared" si="100"/>
        <v>-38.700000000000003</v>
      </c>
      <c r="T247" s="109">
        <f>IF(Z247=1,IF(T246=MiscData!$F$1,EOMONTH(T246,-11),EOMONTH(T246,1)),T246)</f>
        <v>42338</v>
      </c>
      <c r="U247" s="108" t="str">
        <f t="shared" si="101"/>
        <v>20140101LE_902POLE</v>
      </c>
      <c r="V247" s="126" t="str">
        <f t="shared" si="102"/>
        <v xml:space="preserve">20140101LS </v>
      </c>
      <c r="Y247" s="98">
        <f>MiscData!$X$5</f>
        <v>20140101</v>
      </c>
      <c r="Z247" s="98">
        <f>IF(Z246+1&gt;MiscData!$AF$28,1,Z246+1)</f>
        <v>6</v>
      </c>
      <c r="AA247" s="98" t="str">
        <f>VLOOKUP(Z247,MiscData!$AF$5:$AG$28,2,FALSE)</f>
        <v>LE_902POLE</v>
      </c>
      <c r="AB247" s="98" t="str">
        <f>VLOOKUP(Z247,MiscData!$AF$5:$AH$28,3,FALSE)</f>
        <v xml:space="preserve">LS </v>
      </c>
    </row>
    <row r="248" spans="1:28" hidden="1">
      <c r="A248" s="108">
        <f t="shared" si="76"/>
        <v>95</v>
      </c>
      <c r="B248" s="109" t="str">
        <f t="shared" si="94"/>
        <v>Nov 2015</v>
      </c>
      <c r="C248" s="110" t="str">
        <f t="shared" si="95"/>
        <v>RLS</v>
      </c>
      <c r="D248" s="110" t="str">
        <f t="shared" si="96"/>
        <v>LE_950BASE</v>
      </c>
      <c r="E248" s="569">
        <f t="shared" si="97"/>
        <v>32</v>
      </c>
      <c r="F248" s="116">
        <f>SUMIF(PoleRates!$E$4:$E$131,$U248,PoleRates!$F$4:$F$131)</f>
        <v>3.47</v>
      </c>
      <c r="G248" s="118">
        <f t="shared" si="73"/>
        <v>111.04</v>
      </c>
      <c r="H248" s="118">
        <f t="shared" si="74"/>
        <v>111.04</v>
      </c>
      <c r="I248" s="570">
        <f t="shared" si="71"/>
        <v>0</v>
      </c>
      <c r="J248" s="121">
        <f t="shared" si="98"/>
        <v>0</v>
      </c>
      <c r="K248" s="122">
        <f t="shared" si="72"/>
        <v>0</v>
      </c>
      <c r="L248" s="123">
        <f t="shared" si="99"/>
        <v>111.04</v>
      </c>
      <c r="M248" s="123">
        <f t="shared" si="100"/>
        <v>-111.04</v>
      </c>
      <c r="T248" s="109">
        <f>IF(Z248=1,IF(T247=MiscData!$F$1,EOMONTH(T247,-11),EOMONTH(T247,1)),T247)</f>
        <v>42338</v>
      </c>
      <c r="U248" s="108" t="str">
        <f t="shared" si="101"/>
        <v>20140101LE_950BASE</v>
      </c>
      <c r="V248" s="126" t="str">
        <f t="shared" si="102"/>
        <v>20140101RLS</v>
      </c>
      <c r="Y248" s="98">
        <f>MiscData!$X$5</f>
        <v>20140101</v>
      </c>
      <c r="Z248" s="98">
        <f>IF(Z247+1&gt;MiscData!$AF$28,1,Z247+1)</f>
        <v>7</v>
      </c>
      <c r="AA248" s="98" t="str">
        <f>VLOOKUP(Z248,MiscData!$AF$5:$AG$28,2,FALSE)</f>
        <v>LE_950BASE</v>
      </c>
      <c r="AB248" s="98" t="str">
        <f>VLOOKUP(Z248,MiscData!$AF$5:$AH$28,3,FALSE)</f>
        <v>RLS</v>
      </c>
    </row>
    <row r="249" spans="1:28" hidden="1">
      <c r="A249" s="108">
        <f t="shared" si="76"/>
        <v>95</v>
      </c>
      <c r="B249" s="109" t="str">
        <f t="shared" si="94"/>
        <v>Nov 2015</v>
      </c>
      <c r="C249" s="110" t="str">
        <f t="shared" si="95"/>
        <v xml:space="preserve">LS </v>
      </c>
      <c r="D249" s="110" t="str">
        <f t="shared" si="96"/>
        <v>LE_950BASE</v>
      </c>
      <c r="E249" s="569">
        <f t="shared" si="97"/>
        <v>10</v>
      </c>
      <c r="F249" s="116">
        <f>SUMIF(PoleRates!$E$4:$E$131,$U249,PoleRates!$F$4:$F$131)</f>
        <v>3.47</v>
      </c>
      <c r="G249" s="118">
        <f t="shared" si="73"/>
        <v>34.700000000000003</v>
      </c>
      <c r="H249" s="118">
        <f t="shared" si="74"/>
        <v>34.700000000000003</v>
      </c>
      <c r="I249" s="570">
        <f t="shared" si="71"/>
        <v>0</v>
      </c>
      <c r="J249" s="121">
        <f t="shared" si="98"/>
        <v>0</v>
      </c>
      <c r="K249" s="122">
        <f t="shared" si="72"/>
        <v>0</v>
      </c>
      <c r="L249" s="123">
        <f t="shared" si="99"/>
        <v>34.700000000000003</v>
      </c>
      <c r="M249" s="123">
        <f t="shared" si="100"/>
        <v>-34.700000000000003</v>
      </c>
      <c r="T249" s="109">
        <f>IF(Z249=1,IF(T248=MiscData!$F$1,EOMONTH(T248,-11),EOMONTH(T248,1)),T248)</f>
        <v>42338</v>
      </c>
      <c r="U249" s="108" t="str">
        <f t="shared" si="101"/>
        <v>20140101LE_950BASE</v>
      </c>
      <c r="V249" s="126" t="str">
        <f t="shared" si="102"/>
        <v xml:space="preserve">20140101LS </v>
      </c>
      <c r="Y249" s="98">
        <f>MiscData!$X$5</f>
        <v>20140101</v>
      </c>
      <c r="Z249" s="98">
        <f>IF(Z248+1&gt;MiscData!$AF$28,1,Z248+1)</f>
        <v>8</v>
      </c>
      <c r="AA249" s="98" t="str">
        <f>VLOOKUP(Z249,MiscData!$AF$5:$AG$28,2,FALSE)</f>
        <v>LE_950BASE</v>
      </c>
      <c r="AB249" s="98" t="str">
        <f>VLOOKUP(Z249,MiscData!$AF$5:$AH$28,3,FALSE)</f>
        <v xml:space="preserve">LS </v>
      </c>
    </row>
    <row r="250" spans="1:28" hidden="1">
      <c r="A250" s="108">
        <f t="shared" si="76"/>
        <v>96</v>
      </c>
      <c r="B250" s="109" t="str">
        <f t="shared" si="94"/>
        <v>Nov 2015</v>
      </c>
      <c r="C250" s="110" t="str">
        <f t="shared" si="95"/>
        <v>RLS</v>
      </c>
      <c r="D250" s="110" t="str">
        <f t="shared" si="96"/>
        <v>LE_951BASE</v>
      </c>
      <c r="E250" s="569">
        <f t="shared" si="97"/>
        <v>175</v>
      </c>
      <c r="F250" s="116">
        <f>SUMIF(PoleRates!$E$4:$E$131,$U250,PoleRates!$F$4:$F$131)</f>
        <v>3.73</v>
      </c>
      <c r="G250" s="118">
        <f t="shared" si="73"/>
        <v>652.75</v>
      </c>
      <c r="H250" s="118">
        <f t="shared" si="74"/>
        <v>652.75</v>
      </c>
      <c r="I250" s="570">
        <f t="shared" si="71"/>
        <v>0</v>
      </c>
      <c r="J250" s="121">
        <f t="shared" si="98"/>
        <v>0</v>
      </c>
      <c r="K250" s="122">
        <f t="shared" si="72"/>
        <v>0</v>
      </c>
      <c r="L250" s="123">
        <f t="shared" si="99"/>
        <v>652.75</v>
      </c>
      <c r="M250" s="123">
        <f t="shared" si="100"/>
        <v>-652.75</v>
      </c>
      <c r="T250" s="109">
        <f>IF(Z250=1,IF(T249=MiscData!$F$1,EOMONTH(T249,-11),EOMONTH(T249,1)),T249)</f>
        <v>42338</v>
      </c>
      <c r="U250" s="108" t="str">
        <f t="shared" si="101"/>
        <v>20140101LE_951BASE</v>
      </c>
      <c r="V250" s="126" t="str">
        <f t="shared" si="102"/>
        <v>20140101RLS</v>
      </c>
      <c r="Y250" s="98">
        <f>MiscData!$X$5</f>
        <v>20140101</v>
      </c>
      <c r="Z250" s="98">
        <f>IF(Z249+1&gt;MiscData!$AF$28,1,Z249+1)</f>
        <v>9</v>
      </c>
      <c r="AA250" s="98" t="str">
        <f>VLOOKUP(Z250,MiscData!$AF$5:$AG$28,2,FALSE)</f>
        <v>LE_951BASE</v>
      </c>
      <c r="AB250" s="98" t="str">
        <f>VLOOKUP(Z250,MiscData!$AF$5:$AH$28,3,FALSE)</f>
        <v>RLS</v>
      </c>
    </row>
    <row r="251" spans="1:28" hidden="1">
      <c r="A251" s="108">
        <f t="shared" si="76"/>
        <v>96</v>
      </c>
      <c r="B251" s="109" t="str">
        <f t="shared" si="94"/>
        <v>Nov 2015</v>
      </c>
      <c r="C251" s="110" t="str">
        <f t="shared" si="95"/>
        <v xml:space="preserve">LS </v>
      </c>
      <c r="D251" s="110" t="str">
        <f t="shared" si="96"/>
        <v>LE_951BASE</v>
      </c>
      <c r="E251" s="569">
        <f t="shared" si="97"/>
        <v>3</v>
      </c>
      <c r="F251" s="116">
        <f>SUMIF(PoleRates!$E$4:$E$131,$U251,PoleRates!$F$4:$F$131)</f>
        <v>3.73</v>
      </c>
      <c r="G251" s="118">
        <f t="shared" si="73"/>
        <v>11.19</v>
      </c>
      <c r="H251" s="118">
        <f t="shared" si="74"/>
        <v>11.19</v>
      </c>
      <c r="I251" s="570">
        <f t="shared" si="71"/>
        <v>0</v>
      </c>
      <c r="J251" s="121">
        <f t="shared" si="98"/>
        <v>0</v>
      </c>
      <c r="K251" s="122">
        <f t="shared" si="72"/>
        <v>0</v>
      </c>
      <c r="L251" s="123">
        <f t="shared" si="99"/>
        <v>11.19</v>
      </c>
      <c r="M251" s="123">
        <f t="shared" si="100"/>
        <v>-11.19</v>
      </c>
      <c r="T251" s="109">
        <f>IF(Z251=1,IF(T250=MiscData!$F$1,EOMONTH(T250,-11),EOMONTH(T250,1)),T250)</f>
        <v>42338</v>
      </c>
      <c r="U251" s="108" t="str">
        <f t="shared" si="101"/>
        <v>20140101LE_951BASE</v>
      </c>
      <c r="V251" s="126" t="str">
        <f t="shared" si="102"/>
        <v xml:space="preserve">20140101LS </v>
      </c>
      <c r="Y251" s="98">
        <f>MiscData!$X$5</f>
        <v>20140101</v>
      </c>
      <c r="Z251" s="98">
        <f>IF(Z250+1&gt;MiscData!$AF$28,1,Z250+1)</f>
        <v>10</v>
      </c>
      <c r="AA251" s="98" t="str">
        <f>VLOOKUP(Z251,MiscData!$AF$5:$AG$28,2,FALSE)</f>
        <v>LE_951BASE</v>
      </c>
      <c r="AB251" s="98" t="str">
        <f>VLOOKUP(Z251,MiscData!$AF$5:$AH$28,3,FALSE)</f>
        <v xml:space="preserve">LS </v>
      </c>
    </row>
    <row r="252" spans="1:28">
      <c r="A252" s="108">
        <f t="shared" si="76"/>
        <v>97</v>
      </c>
      <c r="B252" s="109" t="str">
        <f t="shared" si="94"/>
        <v>Nov 2015</v>
      </c>
      <c r="C252" s="110" t="str">
        <f t="shared" si="95"/>
        <v>RLS</v>
      </c>
      <c r="D252" s="110" t="str">
        <f t="shared" si="96"/>
        <v>LE_952BASE</v>
      </c>
      <c r="E252" s="569">
        <f t="shared" si="97"/>
        <v>0</v>
      </c>
      <c r="F252" s="116">
        <f>SUMIF(PoleRates!$E$4:$E$131,$U252,PoleRates!$F$4:$F$131)</f>
        <v>3.56</v>
      </c>
      <c r="G252" s="118">
        <f t="shared" si="73"/>
        <v>0</v>
      </c>
      <c r="H252" s="118">
        <f t="shared" si="74"/>
        <v>0</v>
      </c>
      <c r="I252" s="570">
        <f t="shared" si="71"/>
        <v>0</v>
      </c>
      <c r="J252" s="121">
        <f t="shared" si="98"/>
        <v>1</v>
      </c>
      <c r="K252" s="122">
        <f t="shared" si="72"/>
        <v>0</v>
      </c>
      <c r="L252" s="123">
        <f t="shared" si="99"/>
        <v>0</v>
      </c>
      <c r="M252" s="123">
        <f t="shared" si="100"/>
        <v>0</v>
      </c>
      <c r="T252" s="109">
        <f>IF(Z252=1,IF(T251=MiscData!$F$1,EOMONTH(T251,-11),EOMONTH(T251,1)),T251)</f>
        <v>42338</v>
      </c>
      <c r="U252" s="108" t="str">
        <f t="shared" si="101"/>
        <v>20140101LE_952BASE</v>
      </c>
      <c r="V252" s="126" t="str">
        <f t="shared" si="102"/>
        <v>20140101RLS</v>
      </c>
      <c r="Y252" s="98">
        <f>MiscData!$X$5</f>
        <v>20140101</v>
      </c>
      <c r="Z252" s="98">
        <f>IF(Z251+1&gt;MiscData!$AF$28,1,Z251+1)</f>
        <v>11</v>
      </c>
      <c r="AA252" s="98" t="str">
        <f>VLOOKUP(Z252,MiscData!$AF$5:$AG$28,2,FALSE)</f>
        <v>LE_952BASE</v>
      </c>
      <c r="AB252" s="98" t="str">
        <f>VLOOKUP(Z252,MiscData!$AF$5:$AH$28,3,FALSE)</f>
        <v>RLS</v>
      </c>
    </row>
    <row r="253" spans="1:28" hidden="1">
      <c r="A253" s="108">
        <f t="shared" si="76"/>
        <v>97</v>
      </c>
      <c r="B253" s="109" t="str">
        <f t="shared" si="94"/>
        <v>Nov 2015</v>
      </c>
      <c r="C253" s="110" t="str">
        <f t="shared" si="95"/>
        <v xml:space="preserve">LS </v>
      </c>
      <c r="D253" s="110" t="str">
        <f t="shared" si="96"/>
        <v>LE_952BASE</v>
      </c>
      <c r="E253" s="569">
        <f t="shared" si="97"/>
        <v>0</v>
      </c>
      <c r="F253" s="116">
        <f>SUMIF(PoleRates!$E$4:$E$131,$U253,PoleRates!$F$4:$F$131)</f>
        <v>3.56</v>
      </c>
      <c r="G253" s="118">
        <f t="shared" si="73"/>
        <v>0</v>
      </c>
      <c r="H253" s="118">
        <f t="shared" si="74"/>
        <v>0</v>
      </c>
      <c r="I253" s="570">
        <f t="shared" si="71"/>
        <v>0</v>
      </c>
      <c r="J253" s="121">
        <f t="shared" si="98"/>
        <v>1</v>
      </c>
      <c r="K253" s="122">
        <f t="shared" si="72"/>
        <v>0</v>
      </c>
      <c r="L253" s="123">
        <f t="shared" si="99"/>
        <v>0</v>
      </c>
      <c r="M253" s="123">
        <f t="shared" si="100"/>
        <v>0</v>
      </c>
      <c r="T253" s="109">
        <f>IF(Z253=1,IF(T252=MiscData!$F$1,EOMONTH(T252,-11),EOMONTH(T252,1)),T252)</f>
        <v>42338</v>
      </c>
      <c r="U253" s="108" t="str">
        <f t="shared" si="101"/>
        <v>20140101LE_952BASE</v>
      </c>
      <c r="V253" s="126" t="str">
        <f t="shared" si="102"/>
        <v xml:space="preserve">20140101LS </v>
      </c>
      <c r="Y253" s="98">
        <f>MiscData!$X$5</f>
        <v>20140101</v>
      </c>
      <c r="Z253" s="98">
        <f>IF(Z252+1&gt;MiscData!$AF$28,1,Z252+1)</f>
        <v>12</v>
      </c>
      <c r="AA253" s="98" t="str">
        <f>VLOOKUP(Z253,MiscData!$AF$5:$AG$28,2,FALSE)</f>
        <v>LE_952BASE</v>
      </c>
      <c r="AB253" s="98" t="str">
        <f>VLOOKUP(Z253,MiscData!$AF$5:$AH$28,3,FALSE)</f>
        <v xml:space="preserve">LS </v>
      </c>
    </row>
    <row r="254" spans="1:28">
      <c r="A254" s="108">
        <f t="shared" si="76"/>
        <v>98</v>
      </c>
      <c r="B254" s="109" t="str">
        <f t="shared" si="94"/>
        <v>Nov 2015</v>
      </c>
      <c r="C254" s="110" t="str">
        <f t="shared" si="95"/>
        <v>RLS</v>
      </c>
      <c r="D254" s="110" t="str">
        <f t="shared" si="96"/>
        <v>LE_953BASE</v>
      </c>
      <c r="E254" s="569">
        <f t="shared" si="97"/>
        <v>0</v>
      </c>
      <c r="F254" s="116">
        <f>SUMIF(PoleRates!$E$4:$E$131,$U254,PoleRates!$F$4:$F$131)</f>
        <v>3.73</v>
      </c>
      <c r="G254" s="118">
        <f t="shared" si="73"/>
        <v>0</v>
      </c>
      <c r="H254" s="118">
        <f t="shared" si="74"/>
        <v>0</v>
      </c>
      <c r="I254" s="570">
        <f t="shared" si="71"/>
        <v>0</v>
      </c>
      <c r="J254" s="121">
        <f t="shared" si="98"/>
        <v>1</v>
      </c>
      <c r="K254" s="122">
        <f t="shared" si="72"/>
        <v>0</v>
      </c>
      <c r="L254" s="123">
        <f t="shared" si="99"/>
        <v>0</v>
      </c>
      <c r="M254" s="123">
        <f t="shared" si="100"/>
        <v>0</v>
      </c>
      <c r="T254" s="109">
        <f>IF(Z254=1,IF(T253=MiscData!$F$1,EOMONTH(T253,-11),EOMONTH(T253,1)),T253)</f>
        <v>42338</v>
      </c>
      <c r="U254" s="108" t="str">
        <f t="shared" si="101"/>
        <v>20140101LE_953BASE</v>
      </c>
      <c r="V254" s="126" t="str">
        <f t="shared" si="102"/>
        <v>20140101RLS</v>
      </c>
      <c r="Y254" s="98">
        <f>MiscData!$X$5</f>
        <v>20140101</v>
      </c>
      <c r="Z254" s="98">
        <f>IF(Z253+1&gt;MiscData!$AF$28,1,Z253+1)</f>
        <v>13</v>
      </c>
      <c r="AA254" s="98" t="str">
        <f>VLOOKUP(Z254,MiscData!$AF$5:$AG$28,2,FALSE)</f>
        <v>LE_953BASE</v>
      </c>
      <c r="AB254" s="98" t="str">
        <f>VLOOKUP(Z254,MiscData!$AF$5:$AH$28,3,FALSE)</f>
        <v>RLS</v>
      </c>
    </row>
    <row r="255" spans="1:28" hidden="1">
      <c r="A255" s="108">
        <f t="shared" si="76"/>
        <v>98</v>
      </c>
      <c r="B255" s="109" t="str">
        <f t="shared" si="94"/>
        <v>Nov 2015</v>
      </c>
      <c r="C255" s="110" t="str">
        <f t="shared" si="95"/>
        <v xml:space="preserve">LS </v>
      </c>
      <c r="D255" s="110" t="str">
        <f t="shared" si="96"/>
        <v>LE_953BASE</v>
      </c>
      <c r="E255" s="569">
        <f t="shared" si="97"/>
        <v>0</v>
      </c>
      <c r="F255" s="116">
        <f>SUMIF(PoleRates!$E$4:$E$131,$U255,PoleRates!$F$4:$F$131)</f>
        <v>3.73</v>
      </c>
      <c r="G255" s="118">
        <f t="shared" si="73"/>
        <v>0</v>
      </c>
      <c r="H255" s="118">
        <f t="shared" si="74"/>
        <v>0</v>
      </c>
      <c r="I255" s="570">
        <f t="shared" si="71"/>
        <v>0</v>
      </c>
      <c r="J255" s="121">
        <f t="shared" si="98"/>
        <v>1</v>
      </c>
      <c r="K255" s="122">
        <f t="shared" si="72"/>
        <v>0</v>
      </c>
      <c r="L255" s="123">
        <f t="shared" si="99"/>
        <v>0</v>
      </c>
      <c r="M255" s="123">
        <f t="shared" si="100"/>
        <v>0</v>
      </c>
      <c r="T255" s="109">
        <f>IF(Z255=1,IF(T254=MiscData!$F$1,EOMONTH(T254,-11),EOMONTH(T254,1)),T254)</f>
        <v>42338</v>
      </c>
      <c r="U255" s="108" t="str">
        <f t="shared" si="101"/>
        <v>20140101LE_953BASE</v>
      </c>
      <c r="V255" s="126" t="str">
        <f t="shared" si="102"/>
        <v xml:space="preserve">20140101LS </v>
      </c>
      <c r="Y255" s="98">
        <f>MiscData!$X$5</f>
        <v>20140101</v>
      </c>
      <c r="Z255" s="98">
        <f>IF(Z254+1&gt;MiscData!$AF$28,1,Z254+1)</f>
        <v>14</v>
      </c>
      <c r="AA255" s="98" t="str">
        <f>VLOOKUP(Z255,MiscData!$AF$5:$AG$28,2,FALSE)</f>
        <v>LE_953BASE</v>
      </c>
      <c r="AB255" s="98" t="str">
        <f>VLOOKUP(Z255,MiscData!$AF$5:$AH$28,3,FALSE)</f>
        <v xml:space="preserve">LS </v>
      </c>
    </row>
    <row r="256" spans="1:28">
      <c r="A256" s="108">
        <f t="shared" si="76"/>
        <v>99</v>
      </c>
      <c r="B256" s="109" t="str">
        <f t="shared" si="94"/>
        <v>Nov 2015</v>
      </c>
      <c r="C256" s="110" t="str">
        <f t="shared" si="95"/>
        <v>RLS</v>
      </c>
      <c r="D256" s="110" t="str">
        <f t="shared" si="96"/>
        <v>LE_954BASE</v>
      </c>
      <c r="E256" s="569">
        <f t="shared" si="97"/>
        <v>0</v>
      </c>
      <c r="F256" s="116">
        <f>SUMIF(PoleRates!$E$4:$E$131,$U256,PoleRates!$F$4:$F$131)</f>
        <v>3.47</v>
      </c>
      <c r="G256" s="118">
        <f t="shared" si="73"/>
        <v>0</v>
      </c>
      <c r="H256" s="118">
        <f t="shared" si="74"/>
        <v>0</v>
      </c>
      <c r="I256" s="570">
        <f t="shared" si="71"/>
        <v>0</v>
      </c>
      <c r="J256" s="121">
        <f t="shared" si="98"/>
        <v>1</v>
      </c>
      <c r="K256" s="122">
        <f t="shared" si="72"/>
        <v>0</v>
      </c>
      <c r="L256" s="123">
        <f t="shared" si="99"/>
        <v>0</v>
      </c>
      <c r="M256" s="123">
        <f t="shared" si="100"/>
        <v>0</v>
      </c>
      <c r="T256" s="109">
        <f>IF(Z256=1,IF(T255=MiscData!$F$1,EOMONTH(T255,-11),EOMONTH(T255,1)),T255)</f>
        <v>42338</v>
      </c>
      <c r="U256" s="108" t="str">
        <f t="shared" si="101"/>
        <v>20140101LE_954BASE</v>
      </c>
      <c r="V256" s="126" t="str">
        <f t="shared" si="102"/>
        <v>20140101RLS</v>
      </c>
      <c r="Y256" s="98">
        <f>MiscData!$X$5</f>
        <v>20140101</v>
      </c>
      <c r="Z256" s="98">
        <f>IF(Z255+1&gt;MiscData!$AF$28,1,Z255+1)</f>
        <v>15</v>
      </c>
      <c r="AA256" s="98" t="str">
        <f>VLOOKUP(Z256,MiscData!$AF$5:$AG$28,2,FALSE)</f>
        <v>LE_954BASE</v>
      </c>
      <c r="AB256" s="98" t="str">
        <f>VLOOKUP(Z256,MiscData!$AF$5:$AH$28,3,FALSE)</f>
        <v>RLS</v>
      </c>
    </row>
    <row r="257" spans="1:28" hidden="1">
      <c r="A257" s="108">
        <f t="shared" si="76"/>
        <v>99</v>
      </c>
      <c r="B257" s="109" t="str">
        <f t="shared" si="94"/>
        <v>Nov 2015</v>
      </c>
      <c r="C257" s="110" t="str">
        <f t="shared" si="95"/>
        <v xml:space="preserve">LS </v>
      </c>
      <c r="D257" s="110" t="str">
        <f t="shared" si="96"/>
        <v>LE_954BASE</v>
      </c>
      <c r="E257" s="569">
        <f t="shared" si="97"/>
        <v>0</v>
      </c>
      <c r="F257" s="116">
        <f>SUMIF(PoleRates!$E$4:$E$131,$U257,PoleRates!$F$4:$F$131)</f>
        <v>3.47</v>
      </c>
      <c r="G257" s="118">
        <f t="shared" si="73"/>
        <v>0</v>
      </c>
      <c r="H257" s="118">
        <f t="shared" si="74"/>
        <v>0</v>
      </c>
      <c r="I257" s="570">
        <f t="shared" si="71"/>
        <v>0</v>
      </c>
      <c r="J257" s="121">
        <f t="shared" si="98"/>
        <v>1</v>
      </c>
      <c r="K257" s="122">
        <f t="shared" si="72"/>
        <v>0</v>
      </c>
      <c r="L257" s="123">
        <f t="shared" si="99"/>
        <v>0</v>
      </c>
      <c r="M257" s="123">
        <f t="shared" si="100"/>
        <v>0</v>
      </c>
      <c r="T257" s="109">
        <f>IF(Z257=1,IF(T256=MiscData!$F$1,EOMONTH(T256,-11),EOMONTH(T256,1)),T256)</f>
        <v>42338</v>
      </c>
      <c r="U257" s="108" t="str">
        <f t="shared" si="101"/>
        <v>20140101LE_954BASE</v>
      </c>
      <c r="V257" s="126" t="str">
        <f t="shared" si="102"/>
        <v xml:space="preserve">20140101LS </v>
      </c>
      <c r="Y257" s="98">
        <f>MiscData!$X$5</f>
        <v>20140101</v>
      </c>
      <c r="Z257" s="98">
        <f>IF(Z256+1&gt;MiscData!$AF$28,1,Z256+1)</f>
        <v>16</v>
      </c>
      <c r="AA257" s="98" t="str">
        <f>VLOOKUP(Z257,MiscData!$AF$5:$AG$28,2,FALSE)</f>
        <v>LE_954BASE</v>
      </c>
      <c r="AB257" s="98" t="str">
        <f>VLOOKUP(Z257,MiscData!$AF$5:$AH$28,3,FALSE)</f>
        <v xml:space="preserve">LS </v>
      </c>
    </row>
    <row r="258" spans="1:28">
      <c r="A258" s="108">
        <f>A232+1</f>
        <v>104</v>
      </c>
      <c r="B258" s="109" t="str">
        <f t="shared" si="94"/>
        <v>Nov 2015</v>
      </c>
      <c r="C258" s="110" t="str">
        <f t="shared" si="95"/>
        <v>RLS</v>
      </c>
      <c r="D258" s="110" t="str">
        <f t="shared" si="96"/>
        <v>LE_955BASE</v>
      </c>
      <c r="E258" s="569">
        <f t="shared" si="97"/>
        <v>0</v>
      </c>
      <c r="F258" s="116">
        <f>SUMIF(PoleRates!$E$4:$E$131,$U258,PoleRates!$F$4:$F$131)</f>
        <v>3.56</v>
      </c>
      <c r="G258" s="118">
        <f t="shared" si="73"/>
        <v>0</v>
      </c>
      <c r="H258" s="118">
        <f t="shared" si="74"/>
        <v>0</v>
      </c>
      <c r="I258" s="570">
        <f t="shared" ref="I258:I289" si="103">SUMIFS(L_1051_Revenue_Total,L_1051_Revenue_Month,$B258,L_1051_RateCategory,$D258,L_1051_Light_Category,C258)</f>
        <v>0</v>
      </c>
      <c r="J258" s="121">
        <f t="shared" si="98"/>
        <v>1</v>
      </c>
      <c r="K258" s="122">
        <f t="shared" ref="K258:K289" si="104">SUMIFS(L_1051_Revenue_Total,L_1051_Revenue_Month,$B258,L_1051_RateCategory,$D258,L_1051_Light_Category,C258)</f>
        <v>0</v>
      </c>
      <c r="L258" s="123">
        <f t="shared" si="99"/>
        <v>0</v>
      </c>
      <c r="M258" s="123">
        <f t="shared" si="100"/>
        <v>0</v>
      </c>
      <c r="T258" s="109">
        <f>IF(Z258=1,IF(T249=MiscData!$F$1,EOMONTH(T249,-11),EOMONTH(T249,1)),T249)</f>
        <v>42338</v>
      </c>
      <c r="U258" s="108" t="str">
        <f t="shared" ref="U258:U265" si="105">CONCATENATE(Y258&amp;AA258)</f>
        <v>20140101LE_955BASE</v>
      </c>
      <c r="V258" s="126" t="str">
        <f t="shared" ref="V258:V265" si="106">CONCATENATE(Y258&amp;AB258)</f>
        <v>20140101RLS</v>
      </c>
      <c r="Y258" s="98">
        <f>MiscData!$X$5</f>
        <v>20140101</v>
      </c>
      <c r="Z258" s="98">
        <f>IF(Z257+1&gt;MiscData!$AF$28,1,Z257+1)</f>
        <v>17</v>
      </c>
      <c r="AA258" s="98" t="str">
        <f>VLOOKUP(Z258,MiscData!$AF$5:$AG$28,2,FALSE)</f>
        <v>LE_955BASE</v>
      </c>
      <c r="AB258" s="98" t="str">
        <f>VLOOKUP(Z258,MiscData!$AF$5:$AH$28,3,FALSE)</f>
        <v>RLS</v>
      </c>
    </row>
    <row r="259" spans="1:28" hidden="1">
      <c r="A259" s="108">
        <f>A233+1</f>
        <v>104</v>
      </c>
      <c r="B259" s="109" t="str">
        <f t="shared" si="94"/>
        <v>Nov 2015</v>
      </c>
      <c r="C259" s="110" t="str">
        <f t="shared" si="95"/>
        <v xml:space="preserve">LS </v>
      </c>
      <c r="D259" s="110" t="str">
        <f t="shared" si="96"/>
        <v>LE_955BASE</v>
      </c>
      <c r="E259" s="569">
        <f t="shared" si="97"/>
        <v>0</v>
      </c>
      <c r="F259" s="116">
        <f>SUMIF(PoleRates!$E$4:$E$131,$U259,PoleRates!$F$4:$F$131)</f>
        <v>3.56</v>
      </c>
      <c r="G259" s="118">
        <f t="shared" ref="G259:G289" si="107">ROUND($E259*$F259,2)</f>
        <v>0</v>
      </c>
      <c r="H259" s="118">
        <f t="shared" ref="H259:H289" si="108">G259</f>
        <v>0</v>
      </c>
      <c r="I259" s="570">
        <f t="shared" si="103"/>
        <v>0</v>
      </c>
      <c r="J259" s="121">
        <f t="shared" si="98"/>
        <v>1</v>
      </c>
      <c r="K259" s="122">
        <f t="shared" si="104"/>
        <v>0</v>
      </c>
      <c r="L259" s="123">
        <f t="shared" si="99"/>
        <v>0</v>
      </c>
      <c r="M259" s="123">
        <f t="shared" si="100"/>
        <v>0</v>
      </c>
      <c r="T259" s="109">
        <f>IF(Z259=1,IF(T258=MiscData!$F$1,EOMONTH(T258,-11),EOMONTH(T258,1)),T258)</f>
        <v>42338</v>
      </c>
      <c r="U259" s="108" t="str">
        <f t="shared" si="105"/>
        <v>20140101LE_955BASE</v>
      </c>
      <c r="V259" s="126" t="str">
        <f t="shared" si="106"/>
        <v xml:space="preserve">20140101LS </v>
      </c>
      <c r="Y259" s="98">
        <f>MiscData!$X$5</f>
        <v>20140101</v>
      </c>
      <c r="Z259" s="98">
        <f>IF(Z258+1&gt;MiscData!$AF$28,1,Z258+1)</f>
        <v>18</v>
      </c>
      <c r="AA259" s="98" t="str">
        <f>VLOOKUP(Z259,MiscData!$AF$5:$AG$28,2,FALSE)</f>
        <v>LE_955BASE</v>
      </c>
      <c r="AB259" s="98" t="str">
        <f>VLOOKUP(Z259,MiscData!$AF$5:$AH$28,3,FALSE)</f>
        <v xml:space="preserve">LS </v>
      </c>
    </row>
    <row r="260" spans="1:28" hidden="1">
      <c r="A260" s="108">
        <f>A226+1</f>
        <v>101</v>
      </c>
      <c r="B260" s="109" t="str">
        <f t="shared" si="94"/>
        <v>Nov 2015</v>
      </c>
      <c r="C260" s="110" t="str">
        <f t="shared" si="95"/>
        <v>RLS</v>
      </c>
      <c r="D260" s="110" t="str">
        <f t="shared" si="96"/>
        <v>LE_956BASE</v>
      </c>
      <c r="E260" s="569">
        <f t="shared" si="97"/>
        <v>304</v>
      </c>
      <c r="F260" s="116">
        <f>SUMIF(PoleRates!$E$4:$E$131,$U260,PoleRates!$F$4:$F$131)</f>
        <v>3.56</v>
      </c>
      <c r="G260" s="118">
        <f t="shared" si="107"/>
        <v>1082.24</v>
      </c>
      <c r="H260" s="118">
        <f t="shared" si="108"/>
        <v>1082.24</v>
      </c>
      <c r="I260" s="570">
        <f t="shared" si="103"/>
        <v>0</v>
      </c>
      <c r="J260" s="121">
        <f t="shared" si="98"/>
        <v>0</v>
      </c>
      <c r="K260" s="122">
        <f t="shared" si="104"/>
        <v>0</v>
      </c>
      <c r="L260" s="123">
        <f t="shared" si="99"/>
        <v>1082.24</v>
      </c>
      <c r="M260" s="123">
        <f t="shared" si="100"/>
        <v>-1082.24</v>
      </c>
      <c r="T260" s="109">
        <f>IF(Z260=1,IF(T259=MiscData!$F$1,EOMONTH(T259,-11),EOMONTH(T259,1)),T259)</f>
        <v>42338</v>
      </c>
      <c r="U260" s="108" t="str">
        <f t="shared" si="105"/>
        <v>20140101LE_956BASE</v>
      </c>
      <c r="V260" s="126" t="str">
        <f t="shared" si="106"/>
        <v>20140101RLS</v>
      </c>
      <c r="Y260" s="98">
        <f>MiscData!$X$5</f>
        <v>20140101</v>
      </c>
      <c r="Z260" s="98">
        <f>IF(Z259+1&gt;MiscData!$AF$28,1,Z259+1)</f>
        <v>19</v>
      </c>
      <c r="AA260" s="98" t="str">
        <f>VLOOKUP(Z260,MiscData!$AF$5:$AG$28,2,FALSE)</f>
        <v>LE_956BASE</v>
      </c>
      <c r="AB260" s="98" t="str">
        <f>VLOOKUP(Z260,MiscData!$AF$5:$AH$28,3,FALSE)</f>
        <v>RLS</v>
      </c>
    </row>
    <row r="261" spans="1:28" hidden="1">
      <c r="A261" s="108">
        <f>A227+1</f>
        <v>101</v>
      </c>
      <c r="B261" s="109" t="str">
        <f t="shared" si="94"/>
        <v>Nov 2015</v>
      </c>
      <c r="C261" s="110" t="str">
        <f t="shared" si="95"/>
        <v xml:space="preserve">LS </v>
      </c>
      <c r="D261" s="110" t="str">
        <f t="shared" si="96"/>
        <v>LE_956BASE</v>
      </c>
      <c r="E261" s="569">
        <f t="shared" si="97"/>
        <v>360</v>
      </c>
      <c r="F261" s="116">
        <f>SUMIF(PoleRates!$E$4:$E$131,$U261,PoleRates!$F$4:$F$131)</f>
        <v>3.56</v>
      </c>
      <c r="G261" s="118">
        <f t="shared" si="107"/>
        <v>1281.5999999999999</v>
      </c>
      <c r="H261" s="118">
        <f t="shared" si="108"/>
        <v>1281.5999999999999</v>
      </c>
      <c r="I261" s="570">
        <f t="shared" si="103"/>
        <v>0</v>
      </c>
      <c r="J261" s="121">
        <f t="shared" si="98"/>
        <v>0</v>
      </c>
      <c r="K261" s="122">
        <f t="shared" si="104"/>
        <v>0</v>
      </c>
      <c r="L261" s="123">
        <f t="shared" si="99"/>
        <v>1281.5999999999999</v>
      </c>
      <c r="M261" s="123">
        <f t="shared" si="100"/>
        <v>-1281.5999999999999</v>
      </c>
      <c r="T261" s="109">
        <f>IF(Z261=1,IF(T260=MiscData!$F$1,EOMONTH(T260,-11),EOMONTH(T260,1)),T260)</f>
        <v>42338</v>
      </c>
      <c r="U261" s="108" t="str">
        <f t="shared" si="105"/>
        <v>20140101LE_956BASE</v>
      </c>
      <c r="V261" s="126" t="str">
        <f t="shared" si="106"/>
        <v xml:space="preserve">20140101LS </v>
      </c>
      <c r="Y261" s="98">
        <f>MiscData!$X$5</f>
        <v>20140101</v>
      </c>
      <c r="Z261" s="98">
        <f>IF(Z260+1&gt;MiscData!$AF$28,1,Z260+1)</f>
        <v>20</v>
      </c>
      <c r="AA261" s="98" t="str">
        <f>VLOOKUP(Z261,MiscData!$AF$5:$AG$28,2,FALSE)</f>
        <v>LE_956BASE</v>
      </c>
      <c r="AB261" s="98" t="str">
        <f>VLOOKUP(Z261,MiscData!$AF$5:$AH$28,3,FALSE)</f>
        <v xml:space="preserve">LS </v>
      </c>
    </row>
    <row r="262" spans="1:28">
      <c r="A262" s="108">
        <f t="shared" si="76"/>
        <v>102</v>
      </c>
      <c r="B262" s="109" t="str">
        <f t="shared" si="94"/>
        <v>Nov 2015</v>
      </c>
      <c r="C262" s="110" t="str">
        <f t="shared" si="95"/>
        <v>RLS</v>
      </c>
      <c r="D262" s="110" t="str">
        <f t="shared" si="96"/>
        <v>LE_957BASE</v>
      </c>
      <c r="E262" s="569">
        <f t="shared" si="97"/>
        <v>0</v>
      </c>
      <c r="F262" s="116">
        <f>SUMIF(PoleRates!$E$4:$E$131,$U262,PoleRates!$F$4:$F$131)</f>
        <v>3.56</v>
      </c>
      <c r="G262" s="118">
        <f t="shared" si="107"/>
        <v>0</v>
      </c>
      <c r="H262" s="118">
        <f t="shared" si="108"/>
        <v>0</v>
      </c>
      <c r="I262" s="570">
        <f t="shared" si="103"/>
        <v>0</v>
      </c>
      <c r="J262" s="121">
        <f t="shared" si="98"/>
        <v>1</v>
      </c>
      <c r="K262" s="122">
        <f t="shared" si="104"/>
        <v>0</v>
      </c>
      <c r="L262" s="123">
        <f t="shared" si="99"/>
        <v>0</v>
      </c>
      <c r="M262" s="123">
        <f t="shared" si="100"/>
        <v>0</v>
      </c>
      <c r="T262" s="109">
        <f>IF(Z262=1,IF(T261=MiscData!$F$1,EOMONTH(T261,-11),EOMONTH(T261,1)),T261)</f>
        <v>42338</v>
      </c>
      <c r="U262" s="108" t="str">
        <f t="shared" si="105"/>
        <v>20140101LE_957BASE</v>
      </c>
      <c r="V262" s="126" t="str">
        <f t="shared" si="106"/>
        <v>20140101RLS</v>
      </c>
      <c r="Y262" s="98">
        <f>MiscData!$X$5</f>
        <v>20140101</v>
      </c>
      <c r="Z262" s="98">
        <f>IF(Z261+1&gt;MiscData!$AF$28,1,Z261+1)</f>
        <v>21</v>
      </c>
      <c r="AA262" s="98" t="str">
        <f>VLOOKUP(Z262,MiscData!$AF$5:$AG$28,2,FALSE)</f>
        <v>LE_957BASE</v>
      </c>
      <c r="AB262" s="98" t="str">
        <f>VLOOKUP(Z262,MiscData!$AF$5:$AH$28,3,FALSE)</f>
        <v>RLS</v>
      </c>
    </row>
    <row r="263" spans="1:28" hidden="1">
      <c r="A263" s="108">
        <f t="shared" si="76"/>
        <v>102</v>
      </c>
      <c r="B263" s="109" t="str">
        <f t="shared" si="94"/>
        <v>Nov 2015</v>
      </c>
      <c r="C263" s="110" t="str">
        <f t="shared" si="95"/>
        <v xml:space="preserve">LS </v>
      </c>
      <c r="D263" s="110" t="str">
        <f t="shared" si="96"/>
        <v>LE_957BASE</v>
      </c>
      <c r="E263" s="569">
        <f t="shared" si="97"/>
        <v>0</v>
      </c>
      <c r="F263" s="116">
        <f>SUMIF(PoleRates!$E$4:$E$131,$U263,PoleRates!$F$4:$F$131)</f>
        <v>3.56</v>
      </c>
      <c r="G263" s="118">
        <f t="shared" si="107"/>
        <v>0</v>
      </c>
      <c r="H263" s="118">
        <f t="shared" si="108"/>
        <v>0</v>
      </c>
      <c r="I263" s="570">
        <f t="shared" si="103"/>
        <v>0</v>
      </c>
      <c r="J263" s="121">
        <f t="shared" si="98"/>
        <v>1</v>
      </c>
      <c r="K263" s="122">
        <f t="shared" si="104"/>
        <v>0</v>
      </c>
      <c r="L263" s="123">
        <f t="shared" si="99"/>
        <v>0</v>
      </c>
      <c r="M263" s="123">
        <f t="shared" si="100"/>
        <v>0</v>
      </c>
      <c r="T263" s="109">
        <f>IF(Z263=1,IF(T262=MiscData!$F$1,EOMONTH(T262,-11),EOMONTH(T262,1)),T262)</f>
        <v>42338</v>
      </c>
      <c r="U263" s="108" t="str">
        <f t="shared" si="105"/>
        <v>20140101LE_957BASE</v>
      </c>
      <c r="V263" s="126" t="str">
        <f t="shared" si="106"/>
        <v xml:space="preserve">20140101LS </v>
      </c>
      <c r="Y263" s="98">
        <f>MiscData!$X$5</f>
        <v>20140101</v>
      </c>
      <c r="Z263" s="98">
        <f>IF(Z262+1&gt;MiscData!$AF$28,1,Z262+1)</f>
        <v>22</v>
      </c>
      <c r="AA263" s="98" t="str">
        <f>VLOOKUP(Z263,MiscData!$AF$5:$AG$28,2,FALSE)</f>
        <v>LE_957BASE</v>
      </c>
      <c r="AB263" s="98" t="str">
        <f>VLOOKUP(Z263,MiscData!$AF$5:$AH$28,3,FALSE)</f>
        <v xml:space="preserve">LS </v>
      </c>
    </row>
    <row r="264" spans="1:28" hidden="1">
      <c r="A264" s="108">
        <f t="shared" si="76"/>
        <v>103</v>
      </c>
      <c r="B264" s="109" t="str">
        <f t="shared" si="94"/>
        <v>Nov 2015</v>
      </c>
      <c r="C264" s="110" t="str">
        <f t="shared" si="95"/>
        <v>RLS</v>
      </c>
      <c r="D264" s="110" t="str">
        <f t="shared" si="96"/>
        <v>LE_958POLE</v>
      </c>
      <c r="E264" s="569">
        <f t="shared" si="97"/>
        <v>37</v>
      </c>
      <c r="F264" s="116">
        <f>SUMIF(PoleRates!$E$4:$E$131,$U264,PoleRates!$F$4:$F$131)</f>
        <v>11.31</v>
      </c>
      <c r="G264" s="118">
        <f t="shared" si="107"/>
        <v>418.47</v>
      </c>
      <c r="H264" s="118">
        <f t="shared" si="108"/>
        <v>418.47</v>
      </c>
      <c r="I264" s="570">
        <f t="shared" si="103"/>
        <v>0</v>
      </c>
      <c r="J264" s="121">
        <f t="shared" si="98"/>
        <v>0</v>
      </c>
      <c r="K264" s="122">
        <f t="shared" si="104"/>
        <v>0</v>
      </c>
      <c r="L264" s="123">
        <f t="shared" si="99"/>
        <v>418.47</v>
      </c>
      <c r="M264" s="123">
        <f t="shared" si="100"/>
        <v>-418.47</v>
      </c>
      <c r="T264" s="109">
        <f>IF(Z264=1,IF(T263=MiscData!$F$1,EOMONTH(T263,-11),EOMONTH(T263,1)),T263)</f>
        <v>42338</v>
      </c>
      <c r="U264" s="108" t="str">
        <f t="shared" si="105"/>
        <v>20140101LE_958POLE</v>
      </c>
      <c r="V264" s="126" t="str">
        <f t="shared" si="106"/>
        <v>20140101RLS</v>
      </c>
      <c r="Y264" s="98">
        <f>MiscData!$X$5</f>
        <v>20140101</v>
      </c>
      <c r="Z264" s="98">
        <f>IF(Z263+1&gt;MiscData!$AF$28,1,Z263+1)</f>
        <v>23</v>
      </c>
      <c r="AA264" s="98" t="str">
        <f>VLOOKUP(Z264,MiscData!$AF$5:$AG$28,2,FALSE)</f>
        <v>LE_958POLE</v>
      </c>
      <c r="AB264" s="98" t="str">
        <f>VLOOKUP(Z264,MiscData!$AF$5:$AH$28,3,FALSE)</f>
        <v>RLS</v>
      </c>
    </row>
    <row r="265" spans="1:28" hidden="1">
      <c r="A265" s="108">
        <f t="shared" si="76"/>
        <v>103</v>
      </c>
      <c r="B265" s="109" t="str">
        <f t="shared" si="94"/>
        <v>Nov 2015</v>
      </c>
      <c r="C265" s="110" t="str">
        <f t="shared" si="95"/>
        <v xml:space="preserve">LS </v>
      </c>
      <c r="D265" s="110" t="str">
        <f t="shared" si="96"/>
        <v>LE_958POLE</v>
      </c>
      <c r="E265" s="569">
        <f t="shared" si="97"/>
        <v>426</v>
      </c>
      <c r="F265" s="116">
        <f>SUMIF(PoleRates!$E$4:$E$131,$U265,PoleRates!$F$4:$F$131)</f>
        <v>11.31</v>
      </c>
      <c r="G265" s="118">
        <f t="shared" si="107"/>
        <v>4818.0600000000004</v>
      </c>
      <c r="H265" s="118">
        <f t="shared" si="108"/>
        <v>4818.0600000000004</v>
      </c>
      <c r="I265" s="570">
        <f t="shared" si="103"/>
        <v>0</v>
      </c>
      <c r="J265" s="121">
        <f t="shared" si="98"/>
        <v>0</v>
      </c>
      <c r="K265" s="122">
        <f t="shared" si="104"/>
        <v>0</v>
      </c>
      <c r="L265" s="123">
        <f t="shared" si="99"/>
        <v>4818.0600000000004</v>
      </c>
      <c r="M265" s="123">
        <f t="shared" si="100"/>
        <v>-4818.0600000000004</v>
      </c>
      <c r="T265" s="109">
        <f>IF(Z265=1,IF(T264=MiscData!$F$1,EOMONTH(T264,-11),EOMONTH(T264,1)),T264)</f>
        <v>42338</v>
      </c>
      <c r="U265" s="108" t="str">
        <f t="shared" si="105"/>
        <v>20140101LE_958POLE</v>
      </c>
      <c r="V265" s="126" t="str">
        <f t="shared" si="106"/>
        <v xml:space="preserve">20140101LS </v>
      </c>
      <c r="Y265" s="98">
        <f>MiscData!$X$5</f>
        <v>20140101</v>
      </c>
      <c r="Z265" s="98">
        <f>IF(Z264+1&gt;MiscData!$AF$28,1,Z264+1)</f>
        <v>24</v>
      </c>
      <c r="AA265" s="98" t="str">
        <f>VLOOKUP(Z265,MiscData!$AF$5:$AG$28,2,FALSE)</f>
        <v>LE_958POLE</v>
      </c>
      <c r="AB265" s="98" t="str">
        <f>VLOOKUP(Z265,MiscData!$AF$5:$AH$28,3,FALSE)</f>
        <v xml:space="preserve">LS </v>
      </c>
    </row>
    <row r="266" spans="1:28" hidden="1">
      <c r="A266" s="108">
        <f>A240+1</f>
        <v>104</v>
      </c>
      <c r="B266" s="109" t="str">
        <f t="shared" si="85"/>
        <v>Dec 2015</v>
      </c>
      <c r="C266" s="110" t="str">
        <f t="shared" si="86"/>
        <v>RLS</v>
      </c>
      <c r="D266" s="110" t="str">
        <f t="shared" si="87"/>
        <v>LE_900POLE</v>
      </c>
      <c r="E266" s="569">
        <f t="shared" si="88"/>
        <v>1677</v>
      </c>
      <c r="F266" s="116">
        <f>SUMIF(PoleRates!$E$4:$E$131,$U266,PoleRates!$F$4:$F$131)</f>
        <v>2.06</v>
      </c>
      <c r="G266" s="118">
        <f t="shared" si="107"/>
        <v>3454.62</v>
      </c>
      <c r="H266" s="118">
        <f t="shared" si="108"/>
        <v>3454.62</v>
      </c>
      <c r="I266" s="570">
        <f t="shared" si="103"/>
        <v>0</v>
      </c>
      <c r="J266" s="121">
        <f t="shared" si="89"/>
        <v>0</v>
      </c>
      <c r="K266" s="122">
        <f t="shared" si="104"/>
        <v>0</v>
      </c>
      <c r="L266" s="123">
        <f t="shared" si="90"/>
        <v>3454.62</v>
      </c>
      <c r="M266" s="123">
        <f t="shared" si="91"/>
        <v>-3454.62</v>
      </c>
      <c r="T266" s="109">
        <f>IF(Z266=1,IF(T257=MiscData!$F$1,EOMONTH(T257,-11),EOMONTH(T257,1)),T257)</f>
        <v>42369</v>
      </c>
      <c r="U266" s="108" t="str">
        <f t="shared" si="101"/>
        <v>20140101LE_900POLE</v>
      </c>
      <c r="V266" s="126" t="str">
        <f t="shared" si="102"/>
        <v>20140101RLS</v>
      </c>
      <c r="Y266" s="98">
        <f>MiscData!$X$5</f>
        <v>20140101</v>
      </c>
      <c r="Z266" s="98">
        <f>IF(Z265+1&gt;MiscData!$AF$28,1,Z265+1)</f>
        <v>1</v>
      </c>
      <c r="AA266" s="98" t="str">
        <f>VLOOKUP(Z266,MiscData!$AF$5:$AG$28,2,FALSE)</f>
        <v>LE_900POLE</v>
      </c>
      <c r="AB266" s="98" t="str">
        <f>VLOOKUP(Z266,MiscData!$AF$5:$AH$28,3,FALSE)</f>
        <v>RLS</v>
      </c>
    </row>
    <row r="267" spans="1:28" hidden="1">
      <c r="A267" s="108">
        <f>A241+1</f>
        <v>104</v>
      </c>
      <c r="B267" s="109" t="str">
        <f t="shared" si="85"/>
        <v>Dec 2015</v>
      </c>
      <c r="C267" s="110" t="str">
        <f t="shared" si="86"/>
        <v xml:space="preserve">LS </v>
      </c>
      <c r="D267" s="110" t="str">
        <f t="shared" si="87"/>
        <v>LE_900POLE</v>
      </c>
      <c r="E267" s="569">
        <f t="shared" si="88"/>
        <v>5238</v>
      </c>
      <c r="F267" s="116">
        <f>SUMIF(PoleRates!$E$4:$E$131,$U267,PoleRates!$F$4:$F$131)</f>
        <v>2.06</v>
      </c>
      <c r="G267" s="118">
        <f t="shared" si="107"/>
        <v>10790.28</v>
      </c>
      <c r="H267" s="118">
        <f t="shared" si="108"/>
        <v>10790.28</v>
      </c>
      <c r="I267" s="570">
        <f t="shared" si="103"/>
        <v>0</v>
      </c>
      <c r="J267" s="121">
        <f t="shared" si="89"/>
        <v>0</v>
      </c>
      <c r="K267" s="122">
        <f t="shared" si="104"/>
        <v>0</v>
      </c>
      <c r="L267" s="123">
        <f t="shared" si="90"/>
        <v>10790.28</v>
      </c>
      <c r="M267" s="123">
        <f t="shared" si="91"/>
        <v>-10790.28</v>
      </c>
      <c r="T267" s="109">
        <f>IF(Z267=1,IF(T266=MiscData!$F$1,EOMONTH(T266,-11),EOMONTH(T266,1)),T266)</f>
        <v>42369</v>
      </c>
      <c r="U267" s="108" t="str">
        <f t="shared" si="101"/>
        <v>20140101LE_900POLE</v>
      </c>
      <c r="V267" s="126" t="str">
        <f t="shared" si="102"/>
        <v xml:space="preserve">20140101LS </v>
      </c>
      <c r="Y267" s="98">
        <f>MiscData!$X$5</f>
        <v>20140101</v>
      </c>
      <c r="Z267" s="98">
        <f>IF(Z266+1&gt;MiscData!$AF$28,1,Z266+1)</f>
        <v>2</v>
      </c>
      <c r="AA267" s="98" t="str">
        <f>VLOOKUP(Z267,MiscData!$AF$5:$AG$28,2,FALSE)</f>
        <v>LE_900POLE</v>
      </c>
      <c r="AB267" s="98" t="str">
        <f>VLOOKUP(Z267,MiscData!$AF$5:$AH$28,3,FALSE)</f>
        <v xml:space="preserve">LS </v>
      </c>
    </row>
    <row r="268" spans="1:28" hidden="1">
      <c r="A268" s="108">
        <f>A234+1</f>
        <v>105</v>
      </c>
      <c r="B268" s="109" t="str">
        <f t="shared" si="77"/>
        <v>Dec 2015</v>
      </c>
      <c r="C268" s="110" t="str">
        <f t="shared" si="78"/>
        <v>RLS</v>
      </c>
      <c r="D268" s="110" t="str">
        <f t="shared" si="79"/>
        <v>LE_901POLE</v>
      </c>
      <c r="E268" s="569">
        <f t="shared" si="45"/>
        <v>157</v>
      </c>
      <c r="F268" s="116">
        <f>SUMIF(PoleRates!$E$4:$E$131,$U268,PoleRates!$F$4:$F$131)</f>
        <v>10.81</v>
      </c>
      <c r="G268" s="118">
        <f t="shared" si="107"/>
        <v>1697.17</v>
      </c>
      <c r="H268" s="118">
        <f t="shared" si="108"/>
        <v>1697.17</v>
      </c>
      <c r="I268" s="570">
        <f t="shared" si="103"/>
        <v>0</v>
      </c>
      <c r="J268" s="121">
        <f t="shared" si="80"/>
        <v>0</v>
      </c>
      <c r="K268" s="122">
        <f t="shared" si="104"/>
        <v>0</v>
      </c>
      <c r="L268" s="123">
        <f t="shared" si="81"/>
        <v>1697.17</v>
      </c>
      <c r="M268" s="123">
        <f t="shared" si="82"/>
        <v>-1697.17</v>
      </c>
      <c r="T268" s="109">
        <f>IF(Z268=1,IF(T267=MiscData!$F$1,EOMONTH(T267,-11),EOMONTH(T267,1)),T267)</f>
        <v>42369</v>
      </c>
      <c r="U268" s="108" t="str">
        <f t="shared" si="101"/>
        <v>20140101LE_901POLE</v>
      </c>
      <c r="V268" s="126" t="str">
        <f t="shared" si="102"/>
        <v>20140101RLS</v>
      </c>
      <c r="Y268" s="98">
        <f>MiscData!$X$5</f>
        <v>20140101</v>
      </c>
      <c r="Z268" s="98">
        <f>IF(Z267+1&gt;MiscData!$AF$28,1,Z267+1)</f>
        <v>3</v>
      </c>
      <c r="AA268" s="98" t="str">
        <f>VLOOKUP(Z268,MiscData!$AF$5:$AG$28,2,FALSE)</f>
        <v>LE_901POLE</v>
      </c>
      <c r="AB268" s="98" t="str">
        <f>VLOOKUP(Z268,MiscData!$AF$5:$AH$28,3,FALSE)</f>
        <v>RLS</v>
      </c>
    </row>
    <row r="269" spans="1:28" hidden="1">
      <c r="A269" s="108">
        <f>A235+1</f>
        <v>105</v>
      </c>
      <c r="B269" s="109" t="str">
        <f t="shared" si="77"/>
        <v>Dec 2015</v>
      </c>
      <c r="C269" s="110" t="str">
        <f t="shared" si="78"/>
        <v xml:space="preserve">LS </v>
      </c>
      <c r="D269" s="110" t="str">
        <f t="shared" si="79"/>
        <v>LE_901POLE</v>
      </c>
      <c r="E269" s="569">
        <f t="shared" si="45"/>
        <v>0</v>
      </c>
      <c r="F269" s="116">
        <f>SUMIF(PoleRates!$E$4:$E$131,$U269,PoleRates!$F$4:$F$131)</f>
        <v>10.81</v>
      </c>
      <c r="G269" s="118">
        <f t="shared" si="107"/>
        <v>0</v>
      </c>
      <c r="H269" s="118">
        <f t="shared" si="108"/>
        <v>0</v>
      </c>
      <c r="I269" s="570">
        <f t="shared" si="103"/>
        <v>0</v>
      </c>
      <c r="J269" s="121">
        <f t="shared" si="80"/>
        <v>1</v>
      </c>
      <c r="K269" s="122">
        <f t="shared" si="104"/>
        <v>0</v>
      </c>
      <c r="L269" s="123">
        <f t="shared" si="81"/>
        <v>0</v>
      </c>
      <c r="M269" s="123">
        <f t="shared" si="82"/>
        <v>0</v>
      </c>
      <c r="T269" s="109">
        <f>IF(Z269=1,IF(T268=MiscData!$F$1,EOMONTH(T268,-11),EOMONTH(T268,1)),T268)</f>
        <v>42369</v>
      </c>
      <c r="U269" s="108" t="str">
        <f t="shared" si="101"/>
        <v>20140101LE_901POLE</v>
      </c>
      <c r="V269" s="126" t="str">
        <f t="shared" si="102"/>
        <v xml:space="preserve">20140101LS </v>
      </c>
      <c r="Y269" s="98">
        <f>MiscData!$X$5</f>
        <v>20140101</v>
      </c>
      <c r="Z269" s="98">
        <f>IF(Z268+1&gt;MiscData!$AF$28,1,Z268+1)</f>
        <v>4</v>
      </c>
      <c r="AA269" s="98" t="str">
        <f>VLOOKUP(Z269,MiscData!$AF$5:$AG$28,2,FALSE)</f>
        <v>LE_901POLE</v>
      </c>
      <c r="AB269" s="98" t="str">
        <f>VLOOKUP(Z269,MiscData!$AF$5:$AH$28,3,FALSE)</f>
        <v xml:space="preserve">LS </v>
      </c>
    </row>
    <row r="270" spans="1:28" hidden="1">
      <c r="A270" s="108">
        <f t="shared" si="76"/>
        <v>106</v>
      </c>
      <c r="B270" s="109" t="str">
        <f t="shared" si="77"/>
        <v>Dec 2015</v>
      </c>
      <c r="C270" s="110" t="str">
        <f t="shared" si="78"/>
        <v>RLS</v>
      </c>
      <c r="D270" s="110" t="str">
        <f t="shared" si="79"/>
        <v>LE_902POLE</v>
      </c>
      <c r="E270" s="569">
        <f t="shared" si="45"/>
        <v>277</v>
      </c>
      <c r="F270" s="116">
        <f>SUMIF(PoleRates!$E$4:$E$131,$U270,PoleRates!$F$4:$F$131)</f>
        <v>12.9</v>
      </c>
      <c r="G270" s="118">
        <f t="shared" si="107"/>
        <v>3573.3</v>
      </c>
      <c r="H270" s="118">
        <f t="shared" si="108"/>
        <v>3573.3</v>
      </c>
      <c r="I270" s="570">
        <f t="shared" si="103"/>
        <v>0</v>
      </c>
      <c r="J270" s="121">
        <f t="shared" si="80"/>
        <v>0</v>
      </c>
      <c r="K270" s="122">
        <f t="shared" si="104"/>
        <v>0</v>
      </c>
      <c r="L270" s="123">
        <f t="shared" si="81"/>
        <v>3573.3</v>
      </c>
      <c r="M270" s="123">
        <f t="shared" si="82"/>
        <v>-3573.3</v>
      </c>
      <c r="T270" s="109">
        <f>IF(Z270=1,IF(T269=MiscData!$F$1,EOMONTH(T269,-11),EOMONTH(T269,1)),T269)</f>
        <v>42369</v>
      </c>
      <c r="U270" s="108" t="str">
        <f t="shared" si="101"/>
        <v>20140101LE_902POLE</v>
      </c>
      <c r="V270" s="126" t="str">
        <f t="shared" si="102"/>
        <v>20140101RLS</v>
      </c>
      <c r="Y270" s="98">
        <f>MiscData!$X$5</f>
        <v>20140101</v>
      </c>
      <c r="Z270" s="98">
        <f>IF(Z269+1&gt;MiscData!$AF$28,1,Z269+1)</f>
        <v>5</v>
      </c>
      <c r="AA270" s="98" t="str">
        <f>VLOOKUP(Z270,MiscData!$AF$5:$AG$28,2,FALSE)</f>
        <v>LE_902POLE</v>
      </c>
      <c r="AB270" s="98" t="str">
        <f>VLOOKUP(Z270,MiscData!$AF$5:$AH$28,3,FALSE)</f>
        <v>RLS</v>
      </c>
    </row>
    <row r="271" spans="1:28" hidden="1">
      <c r="A271" s="108">
        <f t="shared" si="76"/>
        <v>106</v>
      </c>
      <c r="B271" s="109" t="str">
        <f t="shared" si="77"/>
        <v>Dec 2015</v>
      </c>
      <c r="C271" s="110" t="str">
        <f t="shared" si="78"/>
        <v xml:space="preserve">LS </v>
      </c>
      <c r="D271" s="110" t="str">
        <f t="shared" si="79"/>
        <v>LE_902POLE</v>
      </c>
      <c r="E271" s="569">
        <f t="shared" si="45"/>
        <v>3</v>
      </c>
      <c r="F271" s="116">
        <f>SUMIF(PoleRates!$E$4:$E$131,$U271,PoleRates!$F$4:$F$131)</f>
        <v>12.9</v>
      </c>
      <c r="G271" s="118">
        <f t="shared" si="107"/>
        <v>38.700000000000003</v>
      </c>
      <c r="H271" s="118">
        <f t="shared" si="108"/>
        <v>38.700000000000003</v>
      </c>
      <c r="I271" s="570">
        <f t="shared" si="103"/>
        <v>0</v>
      </c>
      <c r="J271" s="121">
        <f t="shared" si="80"/>
        <v>0</v>
      </c>
      <c r="K271" s="122">
        <f t="shared" si="104"/>
        <v>0</v>
      </c>
      <c r="L271" s="123">
        <f t="shared" si="81"/>
        <v>38.700000000000003</v>
      </c>
      <c r="M271" s="123">
        <f t="shared" si="82"/>
        <v>-38.700000000000003</v>
      </c>
      <c r="T271" s="109">
        <f>IF(Z271=1,IF(T270=MiscData!$F$1,EOMONTH(T270,-11),EOMONTH(T270,1)),T270)</f>
        <v>42369</v>
      </c>
      <c r="U271" s="108" t="str">
        <f t="shared" si="101"/>
        <v>20140101LE_902POLE</v>
      </c>
      <c r="V271" s="126" t="str">
        <f t="shared" si="102"/>
        <v xml:space="preserve">20140101LS </v>
      </c>
      <c r="Y271" s="98">
        <f>MiscData!$X$5</f>
        <v>20140101</v>
      </c>
      <c r="Z271" s="98">
        <f>IF(Z270+1&gt;MiscData!$AF$28,1,Z270+1)</f>
        <v>6</v>
      </c>
      <c r="AA271" s="98" t="str">
        <f>VLOOKUP(Z271,MiscData!$AF$5:$AG$28,2,FALSE)</f>
        <v>LE_902POLE</v>
      </c>
      <c r="AB271" s="98" t="str">
        <f>VLOOKUP(Z271,MiscData!$AF$5:$AH$28,3,FALSE)</f>
        <v xml:space="preserve">LS </v>
      </c>
    </row>
    <row r="272" spans="1:28" hidden="1">
      <c r="A272" s="108">
        <f t="shared" si="76"/>
        <v>107</v>
      </c>
      <c r="B272" s="109" t="str">
        <f t="shared" si="77"/>
        <v>Dec 2015</v>
      </c>
      <c r="C272" s="110" t="str">
        <f t="shared" si="78"/>
        <v>RLS</v>
      </c>
      <c r="D272" s="110" t="str">
        <f t="shared" si="79"/>
        <v>LE_950BASE</v>
      </c>
      <c r="E272" s="569">
        <f t="shared" si="45"/>
        <v>77</v>
      </c>
      <c r="F272" s="116">
        <f>SUMIF(PoleRates!$E$4:$E$131,$U272,PoleRates!$F$4:$F$131)</f>
        <v>3.47</v>
      </c>
      <c r="G272" s="118">
        <f t="shared" si="107"/>
        <v>267.19</v>
      </c>
      <c r="H272" s="118">
        <f t="shared" si="108"/>
        <v>267.19</v>
      </c>
      <c r="I272" s="570">
        <f t="shared" si="103"/>
        <v>0</v>
      </c>
      <c r="J272" s="121">
        <f t="shared" si="80"/>
        <v>0</v>
      </c>
      <c r="K272" s="122">
        <f t="shared" si="104"/>
        <v>0</v>
      </c>
      <c r="L272" s="123">
        <f t="shared" si="81"/>
        <v>267.19</v>
      </c>
      <c r="M272" s="123">
        <f t="shared" si="82"/>
        <v>-267.19</v>
      </c>
      <c r="T272" s="109">
        <f>IF(Z272=1,IF(T271=MiscData!$F$1,EOMONTH(T271,-11),EOMONTH(T271,1)),T271)</f>
        <v>42369</v>
      </c>
      <c r="U272" s="108" t="str">
        <f t="shared" si="101"/>
        <v>20140101LE_950BASE</v>
      </c>
      <c r="V272" s="126" t="str">
        <f t="shared" si="102"/>
        <v>20140101RLS</v>
      </c>
      <c r="Y272" s="98">
        <f>MiscData!$X$5</f>
        <v>20140101</v>
      </c>
      <c r="Z272" s="98">
        <f>IF(Z271+1&gt;MiscData!$AF$28,1,Z271+1)</f>
        <v>7</v>
      </c>
      <c r="AA272" s="98" t="str">
        <f>VLOOKUP(Z272,MiscData!$AF$5:$AG$28,2,FALSE)</f>
        <v>LE_950BASE</v>
      </c>
      <c r="AB272" s="98" t="str">
        <f>VLOOKUP(Z272,MiscData!$AF$5:$AH$28,3,FALSE)</f>
        <v>RLS</v>
      </c>
    </row>
    <row r="273" spans="1:28" hidden="1">
      <c r="A273" s="108">
        <f t="shared" si="76"/>
        <v>107</v>
      </c>
      <c r="B273" s="109" t="str">
        <f t="shared" si="77"/>
        <v>Dec 2015</v>
      </c>
      <c r="C273" s="110" t="str">
        <f t="shared" si="78"/>
        <v xml:space="preserve">LS </v>
      </c>
      <c r="D273" s="110" t="str">
        <f t="shared" si="79"/>
        <v>LE_950BASE</v>
      </c>
      <c r="E273" s="569">
        <f t="shared" si="45"/>
        <v>13</v>
      </c>
      <c r="F273" s="116">
        <f>SUMIF(PoleRates!$E$4:$E$131,$U273,PoleRates!$F$4:$F$131)</f>
        <v>3.47</v>
      </c>
      <c r="G273" s="118">
        <f t="shared" si="107"/>
        <v>45.11</v>
      </c>
      <c r="H273" s="118">
        <f t="shared" si="108"/>
        <v>45.11</v>
      </c>
      <c r="I273" s="570">
        <f t="shared" si="103"/>
        <v>0</v>
      </c>
      <c r="J273" s="121">
        <f t="shared" si="80"/>
        <v>0</v>
      </c>
      <c r="K273" s="122">
        <f t="shared" si="104"/>
        <v>0</v>
      </c>
      <c r="L273" s="123">
        <f t="shared" si="81"/>
        <v>45.11</v>
      </c>
      <c r="M273" s="123">
        <f t="shared" si="82"/>
        <v>-45.11</v>
      </c>
      <c r="T273" s="109">
        <f>IF(Z273=1,IF(T272=MiscData!$F$1,EOMONTH(T272,-11),EOMONTH(T272,1)),T272)</f>
        <v>42369</v>
      </c>
      <c r="U273" s="108" t="str">
        <f t="shared" si="101"/>
        <v>20140101LE_950BASE</v>
      </c>
      <c r="V273" s="126" t="str">
        <f t="shared" si="102"/>
        <v xml:space="preserve">20140101LS </v>
      </c>
      <c r="Y273" s="98">
        <f>MiscData!$X$5</f>
        <v>20140101</v>
      </c>
      <c r="Z273" s="98">
        <f>IF(Z272+1&gt;MiscData!$AF$28,1,Z272+1)</f>
        <v>8</v>
      </c>
      <c r="AA273" s="98" t="str">
        <f>VLOOKUP(Z273,MiscData!$AF$5:$AG$28,2,FALSE)</f>
        <v>LE_950BASE</v>
      </c>
      <c r="AB273" s="98" t="str">
        <f>VLOOKUP(Z273,MiscData!$AF$5:$AH$28,3,FALSE)</f>
        <v xml:space="preserve">LS </v>
      </c>
    </row>
    <row r="274" spans="1:28" hidden="1">
      <c r="A274" s="108">
        <f t="shared" si="76"/>
        <v>108</v>
      </c>
      <c r="B274" s="109" t="str">
        <f t="shared" si="77"/>
        <v>Dec 2015</v>
      </c>
      <c r="C274" s="110" t="str">
        <f t="shared" si="78"/>
        <v>RLS</v>
      </c>
      <c r="D274" s="110" t="str">
        <f t="shared" si="79"/>
        <v>LE_951BASE</v>
      </c>
      <c r="E274" s="569">
        <f t="shared" si="45"/>
        <v>195</v>
      </c>
      <c r="F274" s="116">
        <f>SUMIF(PoleRates!$E$4:$E$131,$U274,PoleRates!$F$4:$F$131)</f>
        <v>3.73</v>
      </c>
      <c r="G274" s="118">
        <f t="shared" si="107"/>
        <v>727.35</v>
      </c>
      <c r="H274" s="118">
        <f t="shared" si="108"/>
        <v>727.35</v>
      </c>
      <c r="I274" s="570">
        <f t="shared" si="103"/>
        <v>0</v>
      </c>
      <c r="J274" s="121">
        <f t="shared" si="80"/>
        <v>0</v>
      </c>
      <c r="K274" s="122">
        <f t="shared" si="104"/>
        <v>0</v>
      </c>
      <c r="L274" s="123">
        <f t="shared" si="81"/>
        <v>727.35</v>
      </c>
      <c r="M274" s="123">
        <f t="shared" si="82"/>
        <v>-727.35</v>
      </c>
      <c r="T274" s="109">
        <f>IF(Z274=1,IF(T273=MiscData!$F$1,EOMONTH(T273,-11),EOMONTH(T273,1)),T273)</f>
        <v>42369</v>
      </c>
      <c r="U274" s="108" t="str">
        <f t="shared" si="101"/>
        <v>20140101LE_951BASE</v>
      </c>
      <c r="V274" s="126" t="str">
        <f t="shared" si="102"/>
        <v>20140101RLS</v>
      </c>
      <c r="Y274" s="98">
        <f>MiscData!$X$5</f>
        <v>20140101</v>
      </c>
      <c r="Z274" s="98">
        <f>IF(Z273+1&gt;MiscData!$AF$28,1,Z273+1)</f>
        <v>9</v>
      </c>
      <c r="AA274" s="98" t="str">
        <f>VLOOKUP(Z274,MiscData!$AF$5:$AG$28,2,FALSE)</f>
        <v>LE_951BASE</v>
      </c>
      <c r="AB274" s="98" t="str">
        <f>VLOOKUP(Z274,MiscData!$AF$5:$AH$28,3,FALSE)</f>
        <v>RLS</v>
      </c>
    </row>
    <row r="275" spans="1:28" hidden="1">
      <c r="A275" s="108">
        <f t="shared" si="76"/>
        <v>108</v>
      </c>
      <c r="B275" s="109" t="str">
        <f t="shared" si="77"/>
        <v>Dec 2015</v>
      </c>
      <c r="C275" s="110" t="str">
        <f t="shared" si="78"/>
        <v xml:space="preserve">LS </v>
      </c>
      <c r="D275" s="110" t="str">
        <f t="shared" si="79"/>
        <v>LE_951BASE</v>
      </c>
      <c r="E275" s="569">
        <f t="shared" si="45"/>
        <v>73</v>
      </c>
      <c r="F275" s="116">
        <f>SUMIF(PoleRates!$E$4:$E$131,$U275,PoleRates!$F$4:$F$131)</f>
        <v>3.73</v>
      </c>
      <c r="G275" s="118">
        <f t="shared" si="107"/>
        <v>272.29000000000002</v>
      </c>
      <c r="H275" s="118">
        <f t="shared" si="108"/>
        <v>272.29000000000002</v>
      </c>
      <c r="I275" s="570">
        <f t="shared" si="103"/>
        <v>0</v>
      </c>
      <c r="J275" s="121">
        <f t="shared" si="80"/>
        <v>0</v>
      </c>
      <c r="K275" s="122">
        <f t="shared" si="104"/>
        <v>0</v>
      </c>
      <c r="L275" s="123">
        <f t="shared" si="81"/>
        <v>272.29000000000002</v>
      </c>
      <c r="M275" s="123">
        <f t="shared" si="82"/>
        <v>-272.29000000000002</v>
      </c>
      <c r="T275" s="109">
        <f>IF(Z275=1,IF(T274=MiscData!$F$1,EOMONTH(T274,-11),EOMONTH(T274,1)),T274)</f>
        <v>42369</v>
      </c>
      <c r="U275" s="108" t="str">
        <f t="shared" si="101"/>
        <v>20140101LE_951BASE</v>
      </c>
      <c r="V275" s="126" t="str">
        <f t="shared" si="102"/>
        <v xml:space="preserve">20140101LS </v>
      </c>
      <c r="Y275" s="98">
        <f>MiscData!$X$5</f>
        <v>20140101</v>
      </c>
      <c r="Z275" s="98">
        <f>IF(Z274+1&gt;MiscData!$AF$28,1,Z274+1)</f>
        <v>10</v>
      </c>
      <c r="AA275" s="98" t="str">
        <f>VLOOKUP(Z275,MiscData!$AF$5:$AG$28,2,FALSE)</f>
        <v>LE_951BASE</v>
      </c>
      <c r="AB275" s="98" t="str">
        <f>VLOOKUP(Z275,MiscData!$AF$5:$AH$28,3,FALSE)</f>
        <v xml:space="preserve">LS </v>
      </c>
    </row>
    <row r="276" spans="1:28">
      <c r="A276" s="108">
        <f t="shared" si="76"/>
        <v>109</v>
      </c>
      <c r="B276" s="109" t="str">
        <f t="shared" si="22"/>
        <v>Dec 2015</v>
      </c>
      <c r="C276" s="110" t="str">
        <f t="shared" si="26"/>
        <v>RLS</v>
      </c>
      <c r="D276" s="110" t="str">
        <f t="shared" si="27"/>
        <v>LE_952BASE</v>
      </c>
      <c r="E276" s="569">
        <f t="shared" si="45"/>
        <v>0</v>
      </c>
      <c r="F276" s="116">
        <f>SUMIF(PoleRates!$E$4:$E$131,$U276,PoleRates!$F$4:$F$131)</f>
        <v>3.56</v>
      </c>
      <c r="G276" s="118">
        <f t="shared" si="107"/>
        <v>0</v>
      </c>
      <c r="H276" s="118">
        <f t="shared" si="108"/>
        <v>0</v>
      </c>
      <c r="I276" s="570">
        <f t="shared" si="103"/>
        <v>0</v>
      </c>
      <c r="J276" s="121">
        <f t="shared" si="17"/>
        <v>1</v>
      </c>
      <c r="K276" s="122">
        <f t="shared" si="104"/>
        <v>0</v>
      </c>
      <c r="L276" s="123">
        <f t="shared" si="31"/>
        <v>0</v>
      </c>
      <c r="M276" s="123">
        <f t="shared" si="30"/>
        <v>0</v>
      </c>
      <c r="T276" s="109">
        <f>IF(Z276=1,IF(T275=MiscData!$F$1,EOMONTH(T275,-11),EOMONTH(T275,1)),T275)</f>
        <v>42369</v>
      </c>
      <c r="U276" s="108" t="str">
        <f t="shared" si="101"/>
        <v>20140101LE_952BASE</v>
      </c>
      <c r="V276" s="126" t="str">
        <f t="shared" si="102"/>
        <v>20140101RLS</v>
      </c>
      <c r="Y276" s="98">
        <f>MiscData!$X$5</f>
        <v>20140101</v>
      </c>
      <c r="Z276" s="98">
        <f>IF(Z275+1&gt;MiscData!$AF$28,1,Z275+1)</f>
        <v>11</v>
      </c>
      <c r="AA276" s="98" t="str">
        <f>VLOOKUP(Z276,MiscData!$AF$5:$AG$28,2,FALSE)</f>
        <v>LE_952BASE</v>
      </c>
      <c r="AB276" s="98" t="str">
        <f>VLOOKUP(Z276,MiscData!$AF$5:$AH$28,3,FALSE)</f>
        <v>RLS</v>
      </c>
    </row>
    <row r="277" spans="1:28" hidden="1">
      <c r="A277" s="108">
        <f t="shared" si="76"/>
        <v>109</v>
      </c>
      <c r="B277" s="109" t="str">
        <f t="shared" si="22"/>
        <v>Dec 2015</v>
      </c>
      <c r="C277" s="110" t="str">
        <f t="shared" si="26"/>
        <v xml:space="preserve">LS </v>
      </c>
      <c r="D277" s="110" t="str">
        <f t="shared" si="27"/>
        <v>LE_952BASE</v>
      </c>
      <c r="E277" s="569">
        <f t="shared" si="45"/>
        <v>0</v>
      </c>
      <c r="F277" s="116">
        <f>SUMIF(PoleRates!$E$4:$E$131,$U277,PoleRates!$F$4:$F$131)</f>
        <v>3.56</v>
      </c>
      <c r="G277" s="118">
        <f t="shared" si="107"/>
        <v>0</v>
      </c>
      <c r="H277" s="118">
        <f t="shared" si="108"/>
        <v>0</v>
      </c>
      <c r="I277" s="570">
        <f t="shared" si="103"/>
        <v>0</v>
      </c>
      <c r="J277" s="121">
        <f t="shared" si="17"/>
        <v>1</v>
      </c>
      <c r="K277" s="122">
        <f t="shared" si="104"/>
        <v>0</v>
      </c>
      <c r="L277" s="123">
        <f t="shared" si="31"/>
        <v>0</v>
      </c>
      <c r="M277" s="123">
        <f t="shared" si="30"/>
        <v>0</v>
      </c>
      <c r="T277" s="109">
        <f>IF(Z277=1,IF(T276=MiscData!$F$1,EOMONTH(T276,-11),EOMONTH(T276,1)),T276)</f>
        <v>42369</v>
      </c>
      <c r="U277" s="108" t="str">
        <f t="shared" si="101"/>
        <v>20140101LE_952BASE</v>
      </c>
      <c r="V277" s="126" t="str">
        <f t="shared" si="102"/>
        <v xml:space="preserve">20140101LS </v>
      </c>
      <c r="Y277" s="98">
        <f>MiscData!$X$5</f>
        <v>20140101</v>
      </c>
      <c r="Z277" s="98">
        <f>IF(Z276+1&gt;MiscData!$AF$28,1,Z276+1)</f>
        <v>12</v>
      </c>
      <c r="AA277" s="98" t="str">
        <f>VLOOKUP(Z277,MiscData!$AF$5:$AG$28,2,FALSE)</f>
        <v>LE_952BASE</v>
      </c>
      <c r="AB277" s="98" t="str">
        <f>VLOOKUP(Z277,MiscData!$AF$5:$AH$28,3,FALSE)</f>
        <v xml:space="preserve">LS </v>
      </c>
    </row>
    <row r="278" spans="1:28">
      <c r="A278" s="108">
        <f t="shared" si="76"/>
        <v>110</v>
      </c>
      <c r="B278" s="109" t="str">
        <f t="shared" si="22"/>
        <v>Dec 2015</v>
      </c>
      <c r="C278" s="110" t="str">
        <f t="shared" si="26"/>
        <v>RLS</v>
      </c>
      <c r="D278" s="110" t="str">
        <f t="shared" si="27"/>
        <v>LE_953BASE</v>
      </c>
      <c r="E278" s="569">
        <f t="shared" si="45"/>
        <v>0</v>
      </c>
      <c r="F278" s="116">
        <f>SUMIF(PoleRates!$E$4:$E$131,$U278,PoleRates!$F$4:$F$131)</f>
        <v>3.73</v>
      </c>
      <c r="G278" s="118">
        <f t="shared" si="107"/>
        <v>0</v>
      </c>
      <c r="H278" s="118">
        <f t="shared" si="108"/>
        <v>0</v>
      </c>
      <c r="I278" s="570">
        <f t="shared" si="103"/>
        <v>0</v>
      </c>
      <c r="J278" s="121">
        <f t="shared" si="17"/>
        <v>1</v>
      </c>
      <c r="K278" s="122">
        <f t="shared" si="104"/>
        <v>0</v>
      </c>
      <c r="L278" s="123">
        <f t="shared" si="31"/>
        <v>0</v>
      </c>
      <c r="M278" s="123">
        <f t="shared" si="30"/>
        <v>0</v>
      </c>
      <c r="T278" s="109">
        <f>IF(Z278=1,IF(T277=MiscData!$F$1,EOMONTH(T277,-11),EOMONTH(T277,1)),T277)</f>
        <v>42369</v>
      </c>
      <c r="U278" s="108" t="str">
        <f t="shared" si="101"/>
        <v>20140101LE_953BASE</v>
      </c>
      <c r="V278" s="126" t="str">
        <f t="shared" si="102"/>
        <v>20140101RLS</v>
      </c>
      <c r="Y278" s="98">
        <f>MiscData!$X$5</f>
        <v>20140101</v>
      </c>
      <c r="Z278" s="98">
        <f>IF(Z277+1&gt;MiscData!$AF$28,1,Z277+1)</f>
        <v>13</v>
      </c>
      <c r="AA278" s="98" t="str">
        <f>VLOOKUP(Z278,MiscData!$AF$5:$AG$28,2,FALSE)</f>
        <v>LE_953BASE</v>
      </c>
      <c r="AB278" s="98" t="str">
        <f>VLOOKUP(Z278,MiscData!$AF$5:$AH$28,3,FALSE)</f>
        <v>RLS</v>
      </c>
    </row>
    <row r="279" spans="1:28" hidden="1">
      <c r="A279" s="108">
        <f t="shared" si="76"/>
        <v>110</v>
      </c>
      <c r="B279" s="109" t="str">
        <f t="shared" si="22"/>
        <v>Dec 2015</v>
      </c>
      <c r="C279" s="110" t="str">
        <f t="shared" si="26"/>
        <v xml:space="preserve">LS </v>
      </c>
      <c r="D279" s="110" t="str">
        <f t="shared" si="27"/>
        <v>LE_953BASE</v>
      </c>
      <c r="E279" s="569">
        <f t="shared" si="45"/>
        <v>0</v>
      </c>
      <c r="F279" s="116">
        <f>SUMIF(PoleRates!$E$4:$E$131,$U279,PoleRates!$F$4:$F$131)</f>
        <v>3.73</v>
      </c>
      <c r="G279" s="118">
        <f t="shared" si="107"/>
        <v>0</v>
      </c>
      <c r="H279" s="118">
        <f t="shared" si="108"/>
        <v>0</v>
      </c>
      <c r="I279" s="570">
        <f t="shared" si="103"/>
        <v>0</v>
      </c>
      <c r="J279" s="121">
        <f t="shared" si="17"/>
        <v>1</v>
      </c>
      <c r="K279" s="122">
        <f t="shared" si="104"/>
        <v>0</v>
      </c>
      <c r="L279" s="123">
        <f t="shared" si="31"/>
        <v>0</v>
      </c>
      <c r="M279" s="123">
        <f t="shared" si="30"/>
        <v>0</v>
      </c>
      <c r="T279" s="109">
        <f>IF(Z279=1,IF(T278=MiscData!$F$1,EOMONTH(T278,-11),EOMONTH(T278,1)),T278)</f>
        <v>42369</v>
      </c>
      <c r="U279" s="108" t="str">
        <f t="shared" si="101"/>
        <v>20140101LE_953BASE</v>
      </c>
      <c r="V279" s="126" t="str">
        <f t="shared" si="102"/>
        <v xml:space="preserve">20140101LS </v>
      </c>
      <c r="Y279" s="98">
        <f>MiscData!$X$5</f>
        <v>20140101</v>
      </c>
      <c r="Z279" s="98">
        <f>IF(Z278+1&gt;MiscData!$AF$28,1,Z278+1)</f>
        <v>14</v>
      </c>
      <c r="AA279" s="98" t="str">
        <f>VLOOKUP(Z279,MiscData!$AF$5:$AG$28,2,FALSE)</f>
        <v>LE_953BASE</v>
      </c>
      <c r="AB279" s="98" t="str">
        <f>VLOOKUP(Z279,MiscData!$AF$5:$AH$28,3,FALSE)</f>
        <v xml:space="preserve">LS </v>
      </c>
    </row>
    <row r="280" spans="1:28">
      <c r="A280" s="108">
        <f t="shared" si="76"/>
        <v>111</v>
      </c>
      <c r="B280" s="109" t="str">
        <f t="shared" si="22"/>
        <v>Dec 2015</v>
      </c>
      <c r="C280" s="110" t="str">
        <f t="shared" si="26"/>
        <v>RLS</v>
      </c>
      <c r="D280" s="110" t="str">
        <f t="shared" si="27"/>
        <v>LE_954BASE</v>
      </c>
      <c r="E280" s="569">
        <f t="shared" si="45"/>
        <v>0</v>
      </c>
      <c r="F280" s="116">
        <f>SUMIF(PoleRates!$E$4:$E$131,$U280,PoleRates!$F$4:$F$131)</f>
        <v>3.47</v>
      </c>
      <c r="G280" s="118">
        <f t="shared" si="107"/>
        <v>0</v>
      </c>
      <c r="H280" s="118">
        <f t="shared" si="108"/>
        <v>0</v>
      </c>
      <c r="I280" s="570">
        <f t="shared" si="103"/>
        <v>0</v>
      </c>
      <c r="J280" s="121">
        <f t="shared" si="17"/>
        <v>1</v>
      </c>
      <c r="K280" s="122">
        <f t="shared" si="104"/>
        <v>0</v>
      </c>
      <c r="L280" s="123">
        <f t="shared" si="31"/>
        <v>0</v>
      </c>
      <c r="M280" s="123">
        <f t="shared" si="30"/>
        <v>0</v>
      </c>
      <c r="T280" s="109">
        <f>IF(Z280=1,IF(T279=MiscData!$F$1,EOMONTH(T279,-11),EOMONTH(T279,1)),T279)</f>
        <v>42369</v>
      </c>
      <c r="U280" s="108" t="str">
        <f t="shared" si="101"/>
        <v>20140101LE_954BASE</v>
      </c>
      <c r="V280" s="126" t="str">
        <f t="shared" si="102"/>
        <v>20140101RLS</v>
      </c>
      <c r="Y280" s="98">
        <f>MiscData!$X$5</f>
        <v>20140101</v>
      </c>
      <c r="Z280" s="98">
        <f>IF(Z279+1&gt;MiscData!$AF$28,1,Z279+1)</f>
        <v>15</v>
      </c>
      <c r="AA280" s="98" t="str">
        <f>VLOOKUP(Z280,MiscData!$AF$5:$AG$28,2,FALSE)</f>
        <v>LE_954BASE</v>
      </c>
      <c r="AB280" s="98" t="str">
        <f>VLOOKUP(Z280,MiscData!$AF$5:$AH$28,3,FALSE)</f>
        <v>RLS</v>
      </c>
    </row>
    <row r="281" spans="1:28" hidden="1">
      <c r="A281" s="108">
        <f t="shared" si="76"/>
        <v>111</v>
      </c>
      <c r="B281" s="109" t="str">
        <f t="shared" si="22"/>
        <v>Dec 2015</v>
      </c>
      <c r="C281" s="110" t="str">
        <f t="shared" si="26"/>
        <v xml:space="preserve">LS </v>
      </c>
      <c r="D281" s="110" t="str">
        <f t="shared" si="27"/>
        <v>LE_954BASE</v>
      </c>
      <c r="E281" s="569">
        <f t="shared" si="45"/>
        <v>0</v>
      </c>
      <c r="F281" s="116">
        <f>SUMIF(PoleRates!$E$4:$E$131,$U281,PoleRates!$F$4:$F$131)</f>
        <v>3.47</v>
      </c>
      <c r="G281" s="118">
        <f t="shared" si="107"/>
        <v>0</v>
      </c>
      <c r="H281" s="118">
        <f t="shared" si="108"/>
        <v>0</v>
      </c>
      <c r="I281" s="570">
        <f t="shared" si="103"/>
        <v>0</v>
      </c>
      <c r="J281" s="121">
        <f t="shared" si="17"/>
        <v>1</v>
      </c>
      <c r="K281" s="122">
        <f t="shared" si="104"/>
        <v>0</v>
      </c>
      <c r="L281" s="123">
        <f t="shared" si="31"/>
        <v>0</v>
      </c>
      <c r="M281" s="123">
        <f t="shared" si="30"/>
        <v>0</v>
      </c>
      <c r="T281" s="109">
        <f>IF(Z281=1,IF(T280=MiscData!$F$1,EOMONTH(T280,-11),EOMONTH(T280,1)),T280)</f>
        <v>42369</v>
      </c>
      <c r="U281" s="108" t="str">
        <f t="shared" si="101"/>
        <v>20140101LE_954BASE</v>
      </c>
      <c r="V281" s="126" t="str">
        <f t="shared" si="102"/>
        <v xml:space="preserve">20140101LS </v>
      </c>
      <c r="Y281" s="98">
        <f>MiscData!$X$5</f>
        <v>20140101</v>
      </c>
      <c r="Z281" s="98">
        <f>IF(Z280+1&gt;MiscData!$AF$28,1,Z280+1)</f>
        <v>16</v>
      </c>
      <c r="AA281" s="98" t="str">
        <f>VLOOKUP(Z281,MiscData!$AF$5:$AG$28,2,FALSE)</f>
        <v>LE_954BASE</v>
      </c>
      <c r="AB281" s="98" t="str">
        <f>VLOOKUP(Z281,MiscData!$AF$5:$AH$28,3,FALSE)</f>
        <v xml:space="preserve">LS </v>
      </c>
    </row>
    <row r="282" spans="1:28">
      <c r="A282" s="108">
        <f t="shared" si="76"/>
        <v>112</v>
      </c>
      <c r="B282" s="109" t="str">
        <f t="shared" si="22"/>
        <v>Dec 2015</v>
      </c>
      <c r="C282" s="110" t="str">
        <f t="shared" si="26"/>
        <v>RLS</v>
      </c>
      <c r="D282" s="110" t="str">
        <f t="shared" si="27"/>
        <v>LE_955BASE</v>
      </c>
      <c r="E282" s="569">
        <f t="shared" ref="E282:E289" si="109">SUMIFS(L_1051_Count_Total,L_1051_Revenue_Month,$B282,L_1051_RateCategory,$D282,L_1051_Light_Category,C282)</f>
        <v>0</v>
      </c>
      <c r="F282" s="116">
        <f>SUMIF(PoleRates!$E$4:$E$131,$U282,PoleRates!$F$4:$F$131)</f>
        <v>3.56</v>
      </c>
      <c r="G282" s="118">
        <f t="shared" si="107"/>
        <v>0</v>
      </c>
      <c r="H282" s="118">
        <f t="shared" si="108"/>
        <v>0</v>
      </c>
      <c r="I282" s="570">
        <f t="shared" si="103"/>
        <v>0</v>
      </c>
      <c r="J282" s="121">
        <f t="shared" si="17"/>
        <v>1</v>
      </c>
      <c r="K282" s="122">
        <f t="shared" si="104"/>
        <v>0</v>
      </c>
      <c r="L282" s="123">
        <f t="shared" si="31"/>
        <v>0</v>
      </c>
      <c r="M282" s="123">
        <f t="shared" si="30"/>
        <v>0</v>
      </c>
      <c r="T282" s="109">
        <f>IF(Z282=1,IF(T281=MiscData!$F$1,EOMONTH(T281,-11),EOMONTH(T281,1)),T281)</f>
        <v>42369</v>
      </c>
      <c r="U282" s="108" t="str">
        <f t="shared" si="101"/>
        <v>20140101LE_955BASE</v>
      </c>
      <c r="V282" s="126" t="str">
        <f t="shared" si="102"/>
        <v>20140101RLS</v>
      </c>
      <c r="Y282" s="98">
        <f>MiscData!$X$5</f>
        <v>20140101</v>
      </c>
      <c r="Z282" s="98">
        <f>IF(Z281+1&gt;MiscData!$AF$28,1,Z281+1)</f>
        <v>17</v>
      </c>
      <c r="AA282" s="98" t="str">
        <f>VLOOKUP(Z282,MiscData!$AF$5:$AG$28,2,FALSE)</f>
        <v>LE_955BASE</v>
      </c>
      <c r="AB282" s="98" t="str">
        <f>VLOOKUP(Z282,MiscData!$AF$5:$AH$28,3,FALSE)</f>
        <v>RLS</v>
      </c>
    </row>
    <row r="283" spans="1:28" hidden="1">
      <c r="A283" s="108">
        <f t="shared" si="76"/>
        <v>112</v>
      </c>
      <c r="B283" s="109" t="str">
        <f t="shared" si="22"/>
        <v>Dec 2015</v>
      </c>
      <c r="C283" s="110" t="str">
        <f t="shared" si="26"/>
        <v xml:space="preserve">LS </v>
      </c>
      <c r="D283" s="110" t="str">
        <f t="shared" si="27"/>
        <v>LE_955BASE</v>
      </c>
      <c r="E283" s="569">
        <f t="shared" si="109"/>
        <v>0</v>
      </c>
      <c r="F283" s="116">
        <f>SUMIF(PoleRates!$E$4:$E$131,$U283,PoleRates!$F$4:$F$131)</f>
        <v>3.56</v>
      </c>
      <c r="G283" s="118">
        <f t="shared" si="107"/>
        <v>0</v>
      </c>
      <c r="H283" s="118">
        <f t="shared" si="108"/>
        <v>0</v>
      </c>
      <c r="I283" s="570">
        <f t="shared" si="103"/>
        <v>0</v>
      </c>
      <c r="J283" s="121">
        <f t="shared" si="17"/>
        <v>1</v>
      </c>
      <c r="K283" s="122">
        <f t="shared" si="104"/>
        <v>0</v>
      </c>
      <c r="L283" s="123">
        <f t="shared" si="31"/>
        <v>0</v>
      </c>
      <c r="M283" s="123">
        <f t="shared" si="30"/>
        <v>0</v>
      </c>
      <c r="T283" s="109">
        <f>IF(Z283=1,IF(T282=MiscData!$F$1,EOMONTH(T282,-11),EOMONTH(T282,1)),T282)</f>
        <v>42369</v>
      </c>
      <c r="U283" s="108" t="str">
        <f t="shared" si="101"/>
        <v>20140101LE_955BASE</v>
      </c>
      <c r="V283" s="126" t="str">
        <f t="shared" si="102"/>
        <v xml:space="preserve">20140101LS </v>
      </c>
      <c r="Y283" s="98">
        <f>MiscData!$X$5</f>
        <v>20140101</v>
      </c>
      <c r="Z283" s="98">
        <f>IF(Z282+1&gt;MiscData!$AF$28,1,Z282+1)</f>
        <v>18</v>
      </c>
      <c r="AA283" s="98" t="str">
        <f>VLOOKUP(Z283,MiscData!$AF$5:$AG$28,2,FALSE)</f>
        <v>LE_955BASE</v>
      </c>
      <c r="AB283" s="98" t="str">
        <f>VLOOKUP(Z283,MiscData!$AF$5:$AH$28,3,FALSE)</f>
        <v xml:space="preserve">LS </v>
      </c>
    </row>
    <row r="284" spans="1:28" hidden="1">
      <c r="A284" s="108">
        <f t="shared" si="76"/>
        <v>113</v>
      </c>
      <c r="B284" s="109" t="str">
        <f t="shared" si="22"/>
        <v>Dec 2015</v>
      </c>
      <c r="C284" s="110" t="str">
        <f t="shared" si="26"/>
        <v>RLS</v>
      </c>
      <c r="D284" s="110" t="str">
        <f t="shared" si="27"/>
        <v>LE_956BASE</v>
      </c>
      <c r="E284" s="569">
        <f t="shared" si="109"/>
        <v>239</v>
      </c>
      <c r="F284" s="116">
        <f>SUMIF(PoleRates!$E$4:$E$131,$U284,PoleRates!$F$4:$F$131)</f>
        <v>3.56</v>
      </c>
      <c r="G284" s="118">
        <f t="shared" si="107"/>
        <v>850.84</v>
      </c>
      <c r="H284" s="118">
        <f t="shared" si="108"/>
        <v>850.84</v>
      </c>
      <c r="I284" s="570">
        <f t="shared" si="103"/>
        <v>0</v>
      </c>
      <c r="J284" s="121">
        <f t="shared" si="17"/>
        <v>0</v>
      </c>
      <c r="K284" s="122">
        <f t="shared" si="104"/>
        <v>0</v>
      </c>
      <c r="L284" s="123">
        <f t="shared" si="31"/>
        <v>850.84</v>
      </c>
      <c r="M284" s="123">
        <f t="shared" si="30"/>
        <v>-850.84</v>
      </c>
      <c r="T284" s="109">
        <f>IF(Z284=1,IF(T283=MiscData!$F$1,EOMONTH(T283,-11),EOMONTH(T283,1)),T283)</f>
        <v>42369</v>
      </c>
      <c r="U284" s="108" t="str">
        <f t="shared" si="101"/>
        <v>20140101LE_956BASE</v>
      </c>
      <c r="V284" s="126" t="str">
        <f t="shared" si="102"/>
        <v>20140101RLS</v>
      </c>
      <c r="Y284" s="98">
        <f>MiscData!$X$5</f>
        <v>20140101</v>
      </c>
      <c r="Z284" s="98">
        <f>IF(Z283+1&gt;MiscData!$AF$28,1,Z283+1)</f>
        <v>19</v>
      </c>
      <c r="AA284" s="98" t="str">
        <f>VLOOKUP(Z284,MiscData!$AF$5:$AG$28,2,FALSE)</f>
        <v>LE_956BASE</v>
      </c>
      <c r="AB284" s="98" t="str">
        <f>VLOOKUP(Z284,MiscData!$AF$5:$AH$28,3,FALSE)</f>
        <v>RLS</v>
      </c>
    </row>
    <row r="285" spans="1:28" hidden="1">
      <c r="A285" s="108">
        <f t="shared" si="76"/>
        <v>113</v>
      </c>
      <c r="B285" s="109" t="str">
        <f t="shared" si="22"/>
        <v>Dec 2015</v>
      </c>
      <c r="C285" s="110" t="str">
        <f t="shared" si="26"/>
        <v xml:space="preserve">LS </v>
      </c>
      <c r="D285" s="110" t="str">
        <f t="shared" si="27"/>
        <v>LE_956BASE</v>
      </c>
      <c r="E285" s="569">
        <f t="shared" si="109"/>
        <v>307</v>
      </c>
      <c r="F285" s="116">
        <f>SUMIF(PoleRates!$E$4:$E$131,$U285,PoleRates!$F$4:$F$131)</f>
        <v>3.56</v>
      </c>
      <c r="G285" s="118">
        <f t="shared" si="107"/>
        <v>1092.92</v>
      </c>
      <c r="H285" s="118">
        <f t="shared" si="108"/>
        <v>1092.92</v>
      </c>
      <c r="I285" s="570">
        <f t="shared" si="103"/>
        <v>0</v>
      </c>
      <c r="J285" s="121">
        <f t="shared" si="17"/>
        <v>0</v>
      </c>
      <c r="K285" s="122">
        <f t="shared" si="104"/>
        <v>0</v>
      </c>
      <c r="L285" s="123">
        <f t="shared" si="31"/>
        <v>1092.92</v>
      </c>
      <c r="M285" s="123">
        <f t="shared" si="30"/>
        <v>-1092.92</v>
      </c>
      <c r="T285" s="109">
        <f>IF(Z285=1,IF(T284=MiscData!$F$1,EOMONTH(T284,-11),EOMONTH(T284,1)),T284)</f>
        <v>42369</v>
      </c>
      <c r="U285" s="108" t="str">
        <f t="shared" si="101"/>
        <v>20140101LE_956BASE</v>
      </c>
      <c r="V285" s="126" t="str">
        <f t="shared" si="102"/>
        <v xml:space="preserve">20140101LS </v>
      </c>
      <c r="Y285" s="98">
        <f>MiscData!$X$5</f>
        <v>20140101</v>
      </c>
      <c r="Z285" s="98">
        <f>IF(Z284+1&gt;MiscData!$AF$28,1,Z284+1)</f>
        <v>20</v>
      </c>
      <c r="AA285" s="98" t="str">
        <f>VLOOKUP(Z285,MiscData!$AF$5:$AG$28,2,FALSE)</f>
        <v>LE_956BASE</v>
      </c>
      <c r="AB285" s="98" t="str">
        <f>VLOOKUP(Z285,MiscData!$AF$5:$AH$28,3,FALSE)</f>
        <v xml:space="preserve">LS </v>
      </c>
    </row>
    <row r="286" spans="1:28">
      <c r="A286" s="108">
        <f t="shared" si="76"/>
        <v>114</v>
      </c>
      <c r="B286" s="109" t="str">
        <f t="shared" si="22"/>
        <v>Dec 2015</v>
      </c>
      <c r="C286" s="110" t="str">
        <f t="shared" si="26"/>
        <v>RLS</v>
      </c>
      <c r="D286" s="110" t="str">
        <f t="shared" si="27"/>
        <v>LE_957BASE</v>
      </c>
      <c r="E286" s="569">
        <f t="shared" si="109"/>
        <v>0</v>
      </c>
      <c r="F286" s="116">
        <f>SUMIF(PoleRates!$E$4:$E$131,$U286,PoleRates!$F$4:$F$131)</f>
        <v>3.56</v>
      </c>
      <c r="G286" s="118">
        <f t="shared" si="107"/>
        <v>0</v>
      </c>
      <c r="H286" s="118">
        <f t="shared" si="108"/>
        <v>0</v>
      </c>
      <c r="I286" s="570">
        <f t="shared" si="103"/>
        <v>0</v>
      </c>
      <c r="J286" s="121">
        <f t="shared" si="17"/>
        <v>1</v>
      </c>
      <c r="K286" s="122">
        <f t="shared" si="104"/>
        <v>0</v>
      </c>
      <c r="L286" s="123">
        <f t="shared" si="31"/>
        <v>0</v>
      </c>
      <c r="M286" s="123">
        <f t="shared" si="30"/>
        <v>0</v>
      </c>
      <c r="T286" s="109">
        <f>IF(Z286=1,IF(T285=MiscData!$F$1,EOMONTH(T285,-11),EOMONTH(T285,1)),T285)</f>
        <v>42369</v>
      </c>
      <c r="U286" s="108" t="str">
        <f t="shared" si="101"/>
        <v>20140101LE_957BASE</v>
      </c>
      <c r="V286" s="126" t="str">
        <f t="shared" si="102"/>
        <v>20140101RLS</v>
      </c>
      <c r="Y286" s="98">
        <f>MiscData!$X$5</f>
        <v>20140101</v>
      </c>
      <c r="Z286" s="98">
        <f>IF(Z285+1&gt;MiscData!$AF$28,1,Z285+1)</f>
        <v>21</v>
      </c>
      <c r="AA286" s="98" t="str">
        <f>VLOOKUP(Z286,MiscData!$AF$5:$AG$28,2,FALSE)</f>
        <v>LE_957BASE</v>
      </c>
      <c r="AB286" s="98" t="str">
        <f>VLOOKUP(Z286,MiscData!$AF$5:$AH$28,3,FALSE)</f>
        <v>RLS</v>
      </c>
    </row>
    <row r="287" spans="1:28" hidden="1">
      <c r="A287" s="108">
        <f t="shared" si="76"/>
        <v>114</v>
      </c>
      <c r="B287" s="109" t="str">
        <f t="shared" si="22"/>
        <v>Dec 2015</v>
      </c>
      <c r="C287" s="110" t="str">
        <f t="shared" si="26"/>
        <v xml:space="preserve">LS </v>
      </c>
      <c r="D287" s="110" t="str">
        <f t="shared" si="27"/>
        <v>LE_957BASE</v>
      </c>
      <c r="E287" s="569">
        <f t="shared" si="109"/>
        <v>0</v>
      </c>
      <c r="F287" s="116">
        <f>SUMIF(PoleRates!$E$4:$E$131,$U287,PoleRates!$F$4:$F$131)</f>
        <v>3.56</v>
      </c>
      <c r="G287" s="118">
        <f t="shared" si="107"/>
        <v>0</v>
      </c>
      <c r="H287" s="118">
        <f t="shared" si="108"/>
        <v>0</v>
      </c>
      <c r="I287" s="570">
        <f t="shared" si="103"/>
        <v>0</v>
      </c>
      <c r="J287" s="121">
        <f t="shared" si="17"/>
        <v>1</v>
      </c>
      <c r="K287" s="122">
        <f t="shared" si="104"/>
        <v>0</v>
      </c>
      <c r="L287" s="123">
        <f t="shared" si="31"/>
        <v>0</v>
      </c>
      <c r="M287" s="123">
        <f t="shared" si="30"/>
        <v>0</v>
      </c>
      <c r="T287" s="109">
        <f>IF(Z287=1,IF(T286=MiscData!$F$1,EOMONTH(T286,-11),EOMONTH(T286,1)),T286)</f>
        <v>42369</v>
      </c>
      <c r="U287" s="108" t="str">
        <f t="shared" si="101"/>
        <v>20140101LE_957BASE</v>
      </c>
      <c r="V287" s="126" t="str">
        <f t="shared" si="102"/>
        <v xml:space="preserve">20140101LS </v>
      </c>
      <c r="Y287" s="98">
        <f>MiscData!$X$5</f>
        <v>20140101</v>
      </c>
      <c r="Z287" s="98">
        <f>IF(Z286+1&gt;MiscData!$AF$28,1,Z286+1)</f>
        <v>22</v>
      </c>
      <c r="AA287" s="98" t="str">
        <f>VLOOKUP(Z287,MiscData!$AF$5:$AG$28,2,FALSE)</f>
        <v>LE_957BASE</v>
      </c>
      <c r="AB287" s="98" t="str">
        <f>VLOOKUP(Z287,MiscData!$AF$5:$AH$28,3,FALSE)</f>
        <v xml:space="preserve">LS </v>
      </c>
    </row>
    <row r="288" spans="1:28" hidden="1">
      <c r="A288" s="108">
        <f t="shared" si="76"/>
        <v>115</v>
      </c>
      <c r="B288" s="109" t="str">
        <f t="shared" si="22"/>
        <v>Dec 2015</v>
      </c>
      <c r="C288" s="110" t="str">
        <f t="shared" si="26"/>
        <v>RLS</v>
      </c>
      <c r="D288" s="110" t="str">
        <f t="shared" si="27"/>
        <v>LE_958POLE</v>
      </c>
      <c r="E288" s="569">
        <f t="shared" si="109"/>
        <v>37</v>
      </c>
      <c r="F288" s="116">
        <f>SUMIF(PoleRates!$E$4:$E$131,$U288,PoleRates!$F$4:$F$131)</f>
        <v>11.31</v>
      </c>
      <c r="G288" s="118">
        <f t="shared" si="107"/>
        <v>418.47</v>
      </c>
      <c r="H288" s="118">
        <f t="shared" si="108"/>
        <v>418.47</v>
      </c>
      <c r="I288" s="570">
        <f t="shared" si="103"/>
        <v>0</v>
      </c>
      <c r="J288" s="121">
        <f t="shared" si="17"/>
        <v>0</v>
      </c>
      <c r="K288" s="122">
        <f t="shared" si="104"/>
        <v>0</v>
      </c>
      <c r="L288" s="123">
        <f t="shared" si="31"/>
        <v>418.47</v>
      </c>
      <c r="M288" s="123">
        <f t="shared" si="30"/>
        <v>-418.47</v>
      </c>
      <c r="T288" s="109">
        <f>IF(Z288=1,IF(T287=MiscData!$F$1,EOMONTH(T287,-11),EOMONTH(T287,1)),T287)</f>
        <v>42369</v>
      </c>
      <c r="U288" s="108" t="str">
        <f t="shared" si="101"/>
        <v>20140101LE_958POLE</v>
      </c>
      <c r="V288" s="126" t="str">
        <f t="shared" si="102"/>
        <v>20140101RLS</v>
      </c>
      <c r="Y288" s="98">
        <f>MiscData!$X$5</f>
        <v>20140101</v>
      </c>
      <c r="Z288" s="98">
        <f>IF(Z287+1&gt;MiscData!$AF$28,1,Z287+1)</f>
        <v>23</v>
      </c>
      <c r="AA288" s="98" t="str">
        <f>VLOOKUP(Z288,MiscData!$AF$5:$AG$28,2,FALSE)</f>
        <v>LE_958POLE</v>
      </c>
      <c r="AB288" s="98" t="str">
        <f>VLOOKUP(Z288,MiscData!$AF$5:$AH$28,3,FALSE)</f>
        <v>RLS</v>
      </c>
    </row>
    <row r="289" spans="1:28" hidden="1">
      <c r="A289" s="108">
        <f t="shared" si="76"/>
        <v>115</v>
      </c>
      <c r="B289" s="109" t="str">
        <f t="shared" si="22"/>
        <v>Dec 2015</v>
      </c>
      <c r="C289" s="110" t="str">
        <f t="shared" si="26"/>
        <v xml:space="preserve">LS </v>
      </c>
      <c r="D289" s="110" t="str">
        <f t="shared" ref="D289" si="110">AA289</f>
        <v>LE_958POLE</v>
      </c>
      <c r="E289" s="569">
        <f t="shared" si="109"/>
        <v>431</v>
      </c>
      <c r="F289" s="116">
        <f>SUMIF(PoleRates!$E$4:$E$131,$U289,PoleRates!$F$4:$F$131)</f>
        <v>11.31</v>
      </c>
      <c r="G289" s="118">
        <f t="shared" si="107"/>
        <v>4874.6099999999997</v>
      </c>
      <c r="H289" s="118">
        <f t="shared" si="108"/>
        <v>4874.6099999999997</v>
      </c>
      <c r="I289" s="570">
        <f t="shared" si="103"/>
        <v>0</v>
      </c>
      <c r="J289" s="121">
        <f t="shared" si="17"/>
        <v>0</v>
      </c>
      <c r="K289" s="122">
        <f t="shared" si="104"/>
        <v>0</v>
      </c>
      <c r="L289" s="123">
        <f t="shared" ref="L289" si="111">H289</f>
        <v>4874.6099999999997</v>
      </c>
      <c r="M289" s="123">
        <f t="shared" si="30"/>
        <v>-4874.6099999999997</v>
      </c>
      <c r="T289" s="109">
        <f>IF(Z289=1,IF(T288=MiscData!$F$1,EOMONTH(T288,-11),EOMONTH(T288,1)),T288)</f>
        <v>42369</v>
      </c>
      <c r="U289" s="108" t="str">
        <f t="shared" si="101"/>
        <v>20140101LE_958POLE</v>
      </c>
      <c r="V289" s="126" t="str">
        <f t="shared" si="102"/>
        <v xml:space="preserve">20140101LS </v>
      </c>
      <c r="Y289" s="98">
        <f>MiscData!$X$5</f>
        <v>20140101</v>
      </c>
      <c r="Z289" s="98">
        <f>IF(Z288+1&gt;MiscData!$AF$28,1,Z288+1)</f>
        <v>24</v>
      </c>
      <c r="AA289" s="98" t="str">
        <f>VLOOKUP(Z289,MiscData!$AF$5:$AG$28,2,FALSE)</f>
        <v>LE_958POLE</v>
      </c>
      <c r="AB289" s="98" t="str">
        <f>VLOOKUP(Z289,MiscData!$AF$5:$AH$28,3,FALSE)</f>
        <v xml:space="preserve">LS </v>
      </c>
    </row>
    <row r="290" spans="1:28">
      <c r="E290" s="128"/>
      <c r="F290" s="128"/>
      <c r="G290" s="128"/>
      <c r="H290" s="128"/>
      <c r="I290" s="128"/>
      <c r="J290" s="128"/>
      <c r="K290" s="128"/>
      <c r="L290" s="128"/>
      <c r="M290" s="128"/>
      <c r="T290" s="109"/>
      <c r="U290" s="108"/>
      <c r="V290" s="126"/>
    </row>
    <row r="291" spans="1:28">
      <c r="T291" s="109"/>
      <c r="U291" s="108"/>
      <c r="V291" s="126"/>
    </row>
    <row r="292" spans="1:28">
      <c r="T292" s="109"/>
      <c r="U292" s="108"/>
      <c r="V292" s="126"/>
    </row>
    <row r="293" spans="1:28">
      <c r="C293" s="134" t="s">
        <v>1197</v>
      </c>
      <c r="E293" s="13">
        <f>SUMIF(L_12MonPoles_RateClass,$C293,L_12MonPoles_Count)</f>
        <v>72515</v>
      </c>
      <c r="G293" s="13">
        <f>SUMIF(L_12MonPoles_RateClass,$C293,L_12MonPoles_Revenue_Base)</f>
        <v>204084.20000000007</v>
      </c>
      <c r="H293" s="13">
        <f>SUMIF(L_12MonPoles_RateClass,$C293,L_12MonPoles_Revenue_Total_Calc)</f>
        <v>204084.20000000007</v>
      </c>
      <c r="I293" s="13">
        <f>SUMIF(L_12MonPoles_RateClass,$C293,L_12MonPoles_Revenue_Actual)</f>
        <v>0</v>
      </c>
      <c r="U293" s="108"/>
      <c r="V293" s="126"/>
    </row>
    <row r="294" spans="1:28">
      <c r="C294" s="98" t="s">
        <v>459</v>
      </c>
      <c r="E294" s="13">
        <f>SUMIF(L_12MonPoles_RateClass,$C294,L_12MonPoles_Count)</f>
        <v>31712</v>
      </c>
      <c r="G294" s="13">
        <f>SUMIF(L_12MonPoles_RateClass,$C294,L_12MonPoles_Revenue_Base)</f>
        <v>131376.76</v>
      </c>
      <c r="H294" s="13">
        <f>SUMIF(L_12MonPoles_RateClass,$C294,L_12MonPoles_Revenue_Total_Calc)</f>
        <v>131376.76</v>
      </c>
      <c r="I294" s="13">
        <f>SUMIF(L_12MonPoles_RateClass,$C294,L_12MonPoles_Revenue_Actual)</f>
        <v>0</v>
      </c>
      <c r="T294" s="109"/>
      <c r="U294" s="108"/>
      <c r="V294" s="126"/>
    </row>
    <row r="295" spans="1:28">
      <c r="T295" s="109"/>
      <c r="U295" s="108"/>
      <c r="V295" s="126"/>
    </row>
    <row r="296" spans="1:28">
      <c r="T296" s="109"/>
      <c r="U296" s="108"/>
      <c r="V296" s="126"/>
    </row>
    <row r="297" spans="1:28">
      <c r="U297" s="108"/>
      <c r="V297" s="126"/>
    </row>
    <row r="298" spans="1:28">
      <c r="T298" s="109"/>
      <c r="U298" s="108"/>
      <c r="V298" s="126"/>
    </row>
    <row r="299" spans="1:28">
      <c r="T299" s="109"/>
      <c r="U299" s="108"/>
      <c r="V299" s="126"/>
    </row>
    <row r="300" spans="1:28">
      <c r="T300" s="109"/>
      <c r="U300" s="108"/>
      <c r="V300" s="126"/>
    </row>
    <row r="301" spans="1:28">
      <c r="U301" s="108"/>
      <c r="V301" s="126"/>
    </row>
    <row r="302" spans="1:28">
      <c r="U302" s="108"/>
      <c r="V302" s="126"/>
    </row>
    <row r="303" spans="1:28">
      <c r="U303" s="108"/>
      <c r="V303" s="126"/>
    </row>
    <row r="304" spans="1:28">
      <c r="U304" s="108"/>
      <c r="V304" s="126"/>
    </row>
    <row r="305" spans="21:22">
      <c r="U305" s="108"/>
      <c r="V305" s="126"/>
    </row>
    <row r="306" spans="21:22">
      <c r="U306" s="108"/>
      <c r="V306" s="126"/>
    </row>
    <row r="307" spans="21:22">
      <c r="U307" s="108"/>
      <c r="V307" s="126"/>
    </row>
    <row r="308" spans="21:22">
      <c r="U308" s="108"/>
      <c r="V308" s="126"/>
    </row>
    <row r="309" spans="21:22">
      <c r="U309" s="108"/>
      <c r="V309" s="126"/>
    </row>
    <row r="310" spans="21:22">
      <c r="U310" s="108"/>
      <c r="V310" s="126"/>
    </row>
    <row r="311" spans="21:22">
      <c r="U311" s="108"/>
      <c r="V311" s="126"/>
    </row>
    <row r="312" spans="21:22">
      <c r="U312" s="108"/>
      <c r="V312" s="126"/>
    </row>
    <row r="313" spans="21:22">
      <c r="U313" s="108"/>
      <c r="V313" s="126"/>
    </row>
    <row r="314" spans="21:22">
      <c r="U314" s="108"/>
      <c r="V314" s="126"/>
    </row>
    <row r="315" spans="21:22">
      <c r="U315" s="108"/>
      <c r="V315" s="126"/>
    </row>
    <row r="316" spans="21:22">
      <c r="U316" s="108"/>
      <c r="V316" s="126"/>
    </row>
    <row r="317" spans="21:22">
      <c r="U317" s="108"/>
      <c r="V317" s="126"/>
    </row>
    <row r="318" spans="21:22">
      <c r="U318" s="108"/>
      <c r="V318" s="126"/>
    </row>
    <row r="319" spans="21:22">
      <c r="U319" s="108"/>
      <c r="V319" s="126"/>
    </row>
    <row r="320" spans="21:22">
      <c r="U320" s="108"/>
      <c r="V320" s="126"/>
    </row>
    <row r="321" spans="21:22">
      <c r="U321" s="108"/>
      <c r="V321" s="126"/>
    </row>
    <row r="322" spans="21:22">
      <c r="U322" s="108"/>
      <c r="V322" s="126"/>
    </row>
    <row r="323" spans="21:22">
      <c r="U323" s="108"/>
      <c r="V323" s="126"/>
    </row>
    <row r="324" spans="21:22">
      <c r="U324" s="108"/>
      <c r="V324" s="126"/>
    </row>
    <row r="325" spans="21:22">
      <c r="U325" s="108"/>
      <c r="V325" s="126"/>
    </row>
    <row r="326" spans="21:22">
      <c r="U326" s="108"/>
      <c r="V326" s="126"/>
    </row>
    <row r="327" spans="21:22">
      <c r="U327" s="108"/>
      <c r="V327" s="126"/>
    </row>
    <row r="328" spans="21:22">
      <c r="U328" s="108"/>
      <c r="V328" s="126"/>
    </row>
    <row r="329" spans="21:22">
      <c r="U329" s="108"/>
      <c r="V329" s="126"/>
    </row>
    <row r="330" spans="21:22">
      <c r="U330" s="108"/>
      <c r="V330" s="126"/>
    </row>
    <row r="331" spans="21:22">
      <c r="U331" s="108"/>
      <c r="V331" s="126"/>
    </row>
    <row r="332" spans="21:22">
      <c r="U332" s="108"/>
      <c r="V332" s="126"/>
    </row>
    <row r="333" spans="21:22">
      <c r="U333" s="108"/>
      <c r="V333" s="126"/>
    </row>
    <row r="334" spans="21:22">
      <c r="U334" s="108"/>
      <c r="V334" s="126"/>
    </row>
    <row r="335" spans="21:22">
      <c r="U335" s="108"/>
      <c r="V335" s="126"/>
    </row>
    <row r="336" spans="21:22">
      <c r="U336" s="108"/>
      <c r="V336" s="126"/>
    </row>
    <row r="337" spans="21:22">
      <c r="U337" s="108"/>
      <c r="V337" s="126"/>
    </row>
    <row r="338" spans="21:22">
      <c r="U338" s="108"/>
      <c r="V338" s="126"/>
    </row>
    <row r="339" spans="21:22">
      <c r="U339" s="108"/>
      <c r="V339" s="126"/>
    </row>
    <row r="340" spans="21:22">
      <c r="U340" s="108"/>
      <c r="V340" s="126"/>
    </row>
    <row r="341" spans="21:22">
      <c r="U341" s="108"/>
      <c r="V341" s="126"/>
    </row>
    <row r="342" spans="21:22">
      <c r="U342" s="108"/>
      <c r="V342" s="126"/>
    </row>
    <row r="343" spans="21:22">
      <c r="U343" s="108"/>
      <c r="V343" s="126"/>
    </row>
    <row r="344" spans="21:22">
      <c r="U344" s="108"/>
      <c r="V344" s="126"/>
    </row>
    <row r="345" spans="21:22">
      <c r="U345" s="108"/>
      <c r="V345" s="126"/>
    </row>
    <row r="346" spans="21:22">
      <c r="U346" s="108"/>
      <c r="V346" s="126"/>
    </row>
    <row r="347" spans="21:22">
      <c r="U347" s="108"/>
      <c r="V347" s="126"/>
    </row>
    <row r="348" spans="21:22">
      <c r="U348" s="108"/>
      <c r="V348" s="126"/>
    </row>
    <row r="349" spans="21:22">
      <c r="U349" s="108"/>
      <c r="V349" s="126"/>
    </row>
    <row r="350" spans="21:22">
      <c r="U350" s="108"/>
      <c r="V350" s="126"/>
    </row>
    <row r="351" spans="21:22">
      <c r="U351" s="108"/>
      <c r="V351" s="126"/>
    </row>
    <row r="352" spans="21:22">
      <c r="U352" s="108"/>
      <c r="V352" s="126"/>
    </row>
    <row r="353" spans="21:22">
      <c r="U353" s="108"/>
      <c r="V353" s="126"/>
    </row>
    <row r="354" spans="21:22">
      <c r="U354" s="108"/>
      <c r="V354" s="126"/>
    </row>
    <row r="355" spans="21:22">
      <c r="U355" s="108"/>
      <c r="V355" s="126"/>
    </row>
    <row r="356" spans="21:22">
      <c r="U356" s="108"/>
      <c r="V356" s="126"/>
    </row>
    <row r="357" spans="21:22">
      <c r="U357" s="108"/>
      <c r="V357" s="126"/>
    </row>
    <row r="358" spans="21:22">
      <c r="U358" s="108"/>
      <c r="V358" s="126"/>
    </row>
    <row r="359" spans="21:22">
      <c r="U359" s="108"/>
      <c r="V359" s="126"/>
    </row>
    <row r="360" spans="21:22">
      <c r="U360" s="108"/>
      <c r="V360" s="126"/>
    </row>
    <row r="361" spans="21:22">
      <c r="U361" s="108"/>
      <c r="V361" s="126"/>
    </row>
    <row r="362" spans="21:22">
      <c r="U362" s="108"/>
      <c r="V362" s="126"/>
    </row>
    <row r="363" spans="21:22">
      <c r="U363" s="108"/>
      <c r="V363" s="126"/>
    </row>
    <row r="364" spans="21:22">
      <c r="U364" s="108"/>
      <c r="V364" s="126"/>
    </row>
    <row r="365" spans="21:22">
      <c r="U365" s="108"/>
      <c r="V365" s="126"/>
    </row>
    <row r="366" spans="21:22">
      <c r="U366" s="108"/>
      <c r="V366" s="126"/>
    </row>
    <row r="367" spans="21:22">
      <c r="U367" s="108"/>
      <c r="V367" s="126"/>
    </row>
    <row r="368" spans="21:22">
      <c r="U368" s="108"/>
      <c r="V368" s="126"/>
    </row>
    <row r="369" spans="21:22">
      <c r="U369" s="108"/>
      <c r="V369" s="126"/>
    </row>
    <row r="370" spans="21:22">
      <c r="U370" s="108"/>
      <c r="V370" s="126"/>
    </row>
    <row r="371" spans="21:22">
      <c r="U371" s="108"/>
      <c r="V371" s="126"/>
    </row>
    <row r="372" spans="21:22">
      <c r="U372" s="108"/>
      <c r="V372" s="126"/>
    </row>
    <row r="373" spans="21:22">
      <c r="U373" s="108"/>
      <c r="V373" s="126"/>
    </row>
    <row r="374" spans="21:22">
      <c r="U374" s="108"/>
      <c r="V374" s="126"/>
    </row>
    <row r="375" spans="21:22">
      <c r="U375" s="108"/>
      <c r="V375" s="126"/>
    </row>
    <row r="376" spans="21:22">
      <c r="U376" s="108"/>
      <c r="V376" s="126"/>
    </row>
    <row r="377" spans="21:22">
      <c r="U377" s="108"/>
      <c r="V377" s="126"/>
    </row>
    <row r="378" spans="21:22">
      <c r="U378" s="108"/>
      <c r="V378" s="126"/>
    </row>
    <row r="379" spans="21:22">
      <c r="U379" s="108"/>
      <c r="V379" s="126"/>
    </row>
    <row r="380" spans="21:22">
      <c r="U380" s="108"/>
      <c r="V380" s="126"/>
    </row>
    <row r="381" spans="21:22">
      <c r="U381" s="108"/>
      <c r="V381" s="126"/>
    </row>
    <row r="382" spans="21:22">
      <c r="U382" s="108"/>
      <c r="V382" s="126"/>
    </row>
    <row r="383" spans="21:22">
      <c r="U383" s="108"/>
      <c r="V383" s="126"/>
    </row>
    <row r="384" spans="21:22">
      <c r="U384" s="108"/>
      <c r="V384" s="126"/>
    </row>
    <row r="385" spans="21:22">
      <c r="U385" s="108"/>
      <c r="V385" s="126"/>
    </row>
    <row r="386" spans="21:22">
      <c r="U386" s="108"/>
      <c r="V386" s="126"/>
    </row>
    <row r="387" spans="21:22">
      <c r="U387" s="108"/>
      <c r="V387" s="126"/>
    </row>
    <row r="388" spans="21:22">
      <c r="U388" s="108"/>
      <c r="V388" s="126"/>
    </row>
    <row r="389" spans="21:22">
      <c r="U389" s="108"/>
      <c r="V389" s="126"/>
    </row>
    <row r="390" spans="21:22">
      <c r="U390" s="108"/>
      <c r="V390" s="126"/>
    </row>
    <row r="391" spans="21:22">
      <c r="U391" s="108"/>
      <c r="V391" s="126"/>
    </row>
    <row r="392" spans="21:22">
      <c r="U392" s="108"/>
      <c r="V392" s="126"/>
    </row>
    <row r="393" spans="21:22">
      <c r="U393" s="108"/>
      <c r="V393" s="126"/>
    </row>
    <row r="394" spans="21:22">
      <c r="U394" s="108"/>
      <c r="V394" s="126"/>
    </row>
    <row r="395" spans="21:22">
      <c r="U395" s="108"/>
      <c r="V395" s="126"/>
    </row>
    <row r="396" spans="21:22">
      <c r="U396" s="108"/>
      <c r="V396" s="126"/>
    </row>
    <row r="397" spans="21:22">
      <c r="U397" s="108"/>
      <c r="V397" s="126"/>
    </row>
    <row r="398" spans="21:22">
      <c r="U398" s="108"/>
      <c r="V398" s="126"/>
    </row>
    <row r="399" spans="21:22">
      <c r="U399" s="108"/>
      <c r="V399" s="126"/>
    </row>
    <row r="400" spans="21:22">
      <c r="U400" s="108"/>
      <c r="V400" s="126"/>
    </row>
    <row r="401" spans="21:22">
      <c r="U401" s="108"/>
      <c r="V401" s="126"/>
    </row>
    <row r="402" spans="21:22">
      <c r="U402" s="108"/>
      <c r="V402" s="126"/>
    </row>
    <row r="403" spans="21:22">
      <c r="U403" s="108"/>
      <c r="V403" s="126"/>
    </row>
    <row r="404" spans="21:22">
      <c r="U404" s="108"/>
      <c r="V404" s="126"/>
    </row>
    <row r="405" spans="21:22">
      <c r="U405" s="108"/>
      <c r="V405" s="126"/>
    </row>
    <row r="406" spans="21:22">
      <c r="U406" s="108"/>
      <c r="V406" s="126"/>
    </row>
    <row r="407" spans="21:22">
      <c r="U407" s="108"/>
      <c r="V407" s="126"/>
    </row>
    <row r="408" spans="21:22">
      <c r="U408" s="108"/>
      <c r="V408" s="126"/>
    </row>
    <row r="409" spans="21:22">
      <c r="U409" s="108"/>
      <c r="V409" s="126"/>
    </row>
    <row r="410" spans="21:22">
      <c r="U410" s="108"/>
      <c r="V410" s="126"/>
    </row>
    <row r="411" spans="21:22">
      <c r="U411" s="108"/>
      <c r="V411" s="126"/>
    </row>
    <row r="412" spans="21:22">
      <c r="U412" s="108"/>
      <c r="V412" s="126"/>
    </row>
    <row r="413" spans="21:22">
      <c r="U413" s="108"/>
      <c r="V413" s="126"/>
    </row>
    <row r="414" spans="21:22">
      <c r="U414" s="108"/>
      <c r="V414" s="126"/>
    </row>
  </sheetData>
  <autoFilter ref="A1:AC289">
    <filterColumn colId="2">
      <filters>
        <filter val="RLS"/>
      </filters>
    </filterColumn>
    <filterColumn colId="3">
      <filters>
        <filter val="LE_952BASE"/>
        <filter val="LE_953BASE"/>
        <filter val="LE_954BASE"/>
        <filter val="LE_955BASE"/>
        <filter val="LE_957BASE"/>
      </filters>
    </filterColumn>
  </autoFilter>
  <sortState ref="Y66:AB84">
    <sortCondition ref="AA66:AA84"/>
  </sortState>
  <conditionalFormatting sqref="J2:J71 J276:J289">
    <cfRule type="cellIs" dxfId="23" priority="42" operator="notEqual">
      <formula>1</formula>
    </cfRule>
  </conditionalFormatting>
  <conditionalFormatting sqref="J230:J235 J268:J275">
    <cfRule type="cellIs" dxfId="22" priority="23" operator="notEqual">
      <formula>1</formula>
    </cfRule>
  </conditionalFormatting>
  <conditionalFormatting sqref="J114:J127">
    <cfRule type="cellIs" dxfId="21" priority="22" operator="notEqual">
      <formula>1</formula>
    </cfRule>
  </conditionalFormatting>
  <conditionalFormatting sqref="J100:J113">
    <cfRule type="cellIs" dxfId="20" priority="21" operator="notEqual">
      <formula>1</formula>
    </cfRule>
  </conditionalFormatting>
  <conditionalFormatting sqref="J86:J99">
    <cfRule type="cellIs" dxfId="19" priority="20" operator="notEqual">
      <formula>1</formula>
    </cfRule>
  </conditionalFormatting>
  <conditionalFormatting sqref="J72:J85">
    <cfRule type="cellIs" dxfId="18" priority="19" operator="notEqual">
      <formula>1</formula>
    </cfRule>
  </conditionalFormatting>
  <conditionalFormatting sqref="J128:J133 J222:J229">
    <cfRule type="cellIs" dxfId="17" priority="18" operator="notEqual">
      <formula>1</formula>
    </cfRule>
  </conditionalFormatting>
  <conditionalFormatting sqref="J142:J155">
    <cfRule type="cellIs" dxfId="16" priority="17" operator="notEqual">
      <formula>1</formula>
    </cfRule>
  </conditionalFormatting>
  <conditionalFormatting sqref="J134:J141">
    <cfRule type="cellIs" dxfId="15" priority="16" operator="notEqual">
      <formula>1</formula>
    </cfRule>
  </conditionalFormatting>
  <conditionalFormatting sqref="J236:J241 J266:J267">
    <cfRule type="cellIs" dxfId="14" priority="15" operator="notEqual">
      <formula>1</formula>
    </cfRule>
  </conditionalFormatting>
  <conditionalFormatting sqref="J208:J213">
    <cfRule type="cellIs" dxfId="13" priority="14" operator="notEqual">
      <formula>1</formula>
    </cfRule>
  </conditionalFormatting>
  <conditionalFormatting sqref="J200:J207">
    <cfRule type="cellIs" dxfId="12" priority="13" operator="notEqual">
      <formula>1</formula>
    </cfRule>
  </conditionalFormatting>
  <conditionalFormatting sqref="J214:J221">
    <cfRule type="cellIs" dxfId="11" priority="12" operator="notEqual">
      <formula>1</formula>
    </cfRule>
  </conditionalFormatting>
  <conditionalFormatting sqref="J186:J191">
    <cfRule type="cellIs" dxfId="10" priority="11" operator="notEqual">
      <formula>1</formula>
    </cfRule>
  </conditionalFormatting>
  <conditionalFormatting sqref="J178:J185">
    <cfRule type="cellIs" dxfId="9" priority="10" operator="notEqual">
      <formula>1</formula>
    </cfRule>
  </conditionalFormatting>
  <conditionalFormatting sqref="J192:J199">
    <cfRule type="cellIs" dxfId="8" priority="9" operator="notEqual">
      <formula>1</formula>
    </cfRule>
  </conditionalFormatting>
  <conditionalFormatting sqref="J164:J169">
    <cfRule type="cellIs" dxfId="7" priority="8" operator="notEqual">
      <formula>1</formula>
    </cfRule>
  </conditionalFormatting>
  <conditionalFormatting sqref="J156:J163">
    <cfRule type="cellIs" dxfId="6" priority="7" operator="notEqual">
      <formula>1</formula>
    </cfRule>
  </conditionalFormatting>
  <conditionalFormatting sqref="J170:J177">
    <cfRule type="cellIs" dxfId="5" priority="6" operator="notEqual">
      <formula>1</formula>
    </cfRule>
  </conditionalFormatting>
  <conditionalFormatting sqref="J252:J257">
    <cfRule type="cellIs" dxfId="4" priority="5" operator="notEqual">
      <formula>1</formula>
    </cfRule>
  </conditionalFormatting>
  <conditionalFormatting sqref="J244:J251">
    <cfRule type="cellIs" dxfId="3" priority="4" operator="notEqual">
      <formula>1</formula>
    </cfRule>
  </conditionalFormatting>
  <conditionalFormatting sqref="J242:J243">
    <cfRule type="cellIs" dxfId="2" priority="3" operator="notEqual">
      <formula>1</formula>
    </cfRule>
  </conditionalFormatting>
  <conditionalFormatting sqref="J260:J265">
    <cfRule type="cellIs" dxfId="1" priority="2" operator="notEqual">
      <formula>1</formula>
    </cfRule>
  </conditionalFormatting>
  <conditionalFormatting sqref="J258:J259">
    <cfRule type="cellIs" dxfId="0" priority="1" operator="notEqual">
      <formula>1</formula>
    </cfRule>
  </conditionalFormatting>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D155"/>
  <sheetViews>
    <sheetView workbookViewId="0"/>
  </sheetViews>
  <sheetFormatPr defaultColWidth="9.33203125" defaultRowHeight="12.75"/>
  <cols>
    <col min="1" max="1" width="9.5" style="265" bestFit="1" customWidth="1"/>
    <col min="2" max="2" width="58.1640625" style="57" customWidth="1"/>
    <col min="3" max="3" width="17.5" style="57" customWidth="1"/>
    <col min="4" max="4" width="21.1640625" style="57" customWidth="1"/>
    <col min="5" max="5" width="14.1640625" style="57" customWidth="1"/>
    <col min="6" max="6" width="12.33203125" style="57" customWidth="1"/>
    <col min="7" max="7" width="15" style="57" customWidth="1"/>
    <col min="8" max="8" width="21.1640625" style="57" customWidth="1"/>
    <col min="9" max="9" width="23.1640625" style="57" customWidth="1"/>
    <col min="10" max="11" width="18.5" style="57" customWidth="1"/>
    <col min="12" max="12" width="19.5" style="57" customWidth="1"/>
    <col min="13" max="13" width="19.6640625" style="57" customWidth="1"/>
    <col min="14" max="14" width="19.1640625" style="57" customWidth="1"/>
    <col min="15" max="15" width="24" style="57" customWidth="1"/>
    <col min="16" max="17" width="10.1640625" style="57" bestFit="1" customWidth="1"/>
    <col min="18" max="21" width="9.83203125" style="57" bestFit="1" customWidth="1"/>
    <col min="22" max="25" width="10.83203125" style="57" bestFit="1" customWidth="1"/>
    <col min="26" max="29" width="9.5" style="57" bestFit="1" customWidth="1"/>
    <col min="30" max="16384" width="9.33203125" style="57"/>
  </cols>
  <sheetData>
    <row r="1" spans="1:30">
      <c r="A1" s="225">
        <v>-1</v>
      </c>
      <c r="B1" s="225">
        <f t="shared" ref="B1:G1" si="0">A1-1</f>
        <v>-2</v>
      </c>
      <c r="C1" s="225">
        <f t="shared" si="0"/>
        <v>-3</v>
      </c>
      <c r="D1" s="225">
        <f t="shared" si="0"/>
        <v>-4</v>
      </c>
      <c r="E1" s="225">
        <f t="shared" si="0"/>
        <v>-5</v>
      </c>
      <c r="F1" s="225">
        <f t="shared" si="0"/>
        <v>-6</v>
      </c>
      <c r="G1" s="225">
        <f t="shared" si="0"/>
        <v>-7</v>
      </c>
      <c r="H1" s="225"/>
      <c r="I1" s="225"/>
      <c r="J1" s="225"/>
      <c r="K1" s="225"/>
      <c r="L1" s="225"/>
      <c r="M1" s="225"/>
      <c r="N1" s="225"/>
      <c r="O1" s="225"/>
    </row>
    <row r="2" spans="1:30" s="159" customFormat="1" ht="48">
      <c r="A2" s="226" t="s">
        <v>713</v>
      </c>
      <c r="B2" s="227" t="s">
        <v>74</v>
      </c>
      <c r="C2" s="228" t="s">
        <v>714</v>
      </c>
      <c r="D2" s="204" t="s">
        <v>906</v>
      </c>
      <c r="E2" s="204" t="s">
        <v>907</v>
      </c>
      <c r="F2" s="229" t="s">
        <v>905</v>
      </c>
      <c r="G2" s="229" t="s">
        <v>908</v>
      </c>
      <c r="H2" s="204"/>
      <c r="I2" s="230"/>
      <c r="J2" s="231"/>
      <c r="K2" s="231"/>
      <c r="L2" s="232"/>
      <c r="M2" s="233"/>
      <c r="N2" s="233"/>
    </row>
    <row r="3" spans="1:30" s="235" customFormat="1" ht="22.5" customHeight="1">
      <c r="A3" s="234"/>
      <c r="C3" s="865"/>
      <c r="D3" s="866"/>
      <c r="E3" s="866"/>
      <c r="F3" s="236"/>
      <c r="G3" s="237"/>
      <c r="H3" s="237"/>
      <c r="I3" s="238"/>
      <c r="J3" s="237"/>
      <c r="K3" s="237"/>
      <c r="L3" s="237"/>
      <c r="M3" s="237"/>
      <c r="N3" s="237"/>
      <c r="P3" s="57"/>
      <c r="Q3" s="56"/>
      <c r="R3" s="58"/>
      <c r="S3" s="58"/>
      <c r="T3" s="58"/>
      <c r="U3" s="58"/>
      <c r="V3" s="58"/>
      <c r="W3" s="58"/>
      <c r="X3" s="58"/>
      <c r="Y3" s="58"/>
      <c r="Z3" s="58"/>
      <c r="AA3" s="58"/>
      <c r="AB3" s="58"/>
      <c r="AC3" s="58"/>
      <c r="AD3" s="271"/>
    </row>
    <row r="4" spans="1:30" s="245" customFormat="1" ht="22.5" customHeight="1">
      <c r="A4" s="239"/>
      <c r="B4" s="240" t="s">
        <v>81</v>
      </c>
      <c r="C4" s="241"/>
      <c r="D4" s="242"/>
      <c r="E4" s="242"/>
      <c r="F4" s="241"/>
      <c r="G4" s="243"/>
      <c r="H4" s="243"/>
      <c r="I4" s="244"/>
      <c r="J4" s="243"/>
      <c r="K4" s="243"/>
      <c r="L4" s="243"/>
      <c r="M4" s="243"/>
      <c r="N4" s="243"/>
      <c r="P4" s="57"/>
      <c r="Q4" s="56"/>
      <c r="R4" s="58"/>
      <c r="S4" s="58"/>
      <c r="T4" s="58"/>
      <c r="U4" s="58"/>
      <c r="V4" s="58"/>
      <c r="W4" s="58"/>
      <c r="X4" s="58"/>
      <c r="Y4" s="58"/>
      <c r="Z4" s="58"/>
      <c r="AA4" s="58"/>
      <c r="AB4" s="58"/>
      <c r="AC4" s="58"/>
      <c r="AD4" s="272"/>
    </row>
    <row r="5" spans="1:30">
      <c r="A5" s="246" t="s">
        <v>13</v>
      </c>
      <c r="B5" s="247" t="s">
        <v>1252</v>
      </c>
      <c r="D5" s="58">
        <f>SUMIF(L_12MonResults_RateClass,$A5,L_12MonResults_KWH_Total)</f>
        <v>4266714109</v>
      </c>
      <c r="E5" s="57">
        <v>0</v>
      </c>
      <c r="F5" s="248">
        <f>Rates!$K$242</f>
        <v>1.34E-3</v>
      </c>
      <c r="G5" s="66">
        <f>ROUND(D5*F5,0)</f>
        <v>5717397</v>
      </c>
      <c r="H5" s="249"/>
      <c r="I5" s="249"/>
      <c r="L5" s="249"/>
      <c r="M5" s="249"/>
      <c r="N5" s="248"/>
      <c r="Q5" s="58"/>
      <c r="R5" s="58"/>
      <c r="S5" s="58"/>
      <c r="T5" s="58"/>
      <c r="U5" s="58"/>
      <c r="V5" s="58"/>
      <c r="W5" s="58"/>
      <c r="X5" s="58"/>
      <c r="Y5" s="58"/>
      <c r="Z5" s="58"/>
      <c r="AA5" s="58"/>
      <c r="AB5" s="58"/>
      <c r="AC5" s="58"/>
      <c r="AD5" s="58"/>
    </row>
    <row r="6" spans="1:30" ht="15">
      <c r="A6" s="250" t="s">
        <v>641</v>
      </c>
      <c r="B6" s="251" t="s">
        <v>909</v>
      </c>
      <c r="D6" s="252">
        <f>SUMIF(L_12MonResults_RateClass,$A6,L_12MonResults_KWH_Total)</f>
        <v>331353</v>
      </c>
      <c r="F6" s="248">
        <f>Rates!$K$277</f>
        <v>1.34E-3</v>
      </c>
      <c r="G6" s="68">
        <f>ROUND(D6*F6,0)</f>
        <v>444</v>
      </c>
      <c r="H6" s="249"/>
      <c r="I6" s="249"/>
      <c r="L6" s="249"/>
      <c r="M6" s="249"/>
      <c r="N6" s="248"/>
      <c r="Q6" s="95"/>
      <c r="R6" s="273"/>
      <c r="S6" s="273"/>
      <c r="T6" s="273"/>
      <c r="U6" s="273"/>
      <c r="V6" s="273"/>
      <c r="W6" s="273"/>
      <c r="X6" s="273"/>
      <c r="Y6" s="273"/>
      <c r="Z6" s="273"/>
      <c r="AA6" s="273"/>
      <c r="AB6" s="273"/>
      <c r="AC6" s="273"/>
      <c r="AD6" s="58"/>
    </row>
    <row r="7" spans="1:30">
      <c r="A7" s="250"/>
      <c r="B7" s="161" t="s">
        <v>82</v>
      </c>
      <c r="D7" s="58">
        <f>D5+D6</f>
        <v>4267045462</v>
      </c>
      <c r="F7" s="248"/>
      <c r="G7" s="58">
        <f>G5+G6</f>
        <v>5717841</v>
      </c>
      <c r="H7" s="249"/>
      <c r="I7" s="249"/>
      <c r="L7" s="249"/>
      <c r="M7" s="249"/>
      <c r="N7" s="248"/>
      <c r="Q7" s="95"/>
      <c r="R7" s="95"/>
      <c r="S7" s="95"/>
      <c r="T7" s="95"/>
      <c r="U7" s="95"/>
      <c r="V7" s="95"/>
      <c r="W7" s="95"/>
      <c r="X7" s="95"/>
      <c r="Y7" s="95"/>
      <c r="Z7" s="95"/>
      <c r="AA7" s="95"/>
      <c r="AB7" s="95"/>
      <c r="AC7" s="95"/>
      <c r="AD7" s="58"/>
    </row>
    <row r="8" spans="1:30">
      <c r="A8" s="253"/>
      <c r="D8" s="58"/>
      <c r="F8" s="248"/>
      <c r="G8" s="249"/>
      <c r="H8" s="249"/>
      <c r="I8" s="249"/>
      <c r="L8" s="249"/>
      <c r="M8" s="249"/>
      <c r="N8" s="248"/>
      <c r="Q8" s="99"/>
      <c r="R8" s="95"/>
      <c r="S8" s="95"/>
      <c r="T8" s="95"/>
      <c r="U8" s="95"/>
      <c r="V8" s="95"/>
      <c r="W8" s="95"/>
      <c r="X8" s="95"/>
      <c r="Y8" s="95"/>
      <c r="Z8" s="95"/>
      <c r="AA8" s="95"/>
      <c r="AB8" s="95"/>
      <c r="AC8" s="95"/>
      <c r="AD8" s="58"/>
    </row>
    <row r="9" spans="1:30">
      <c r="A9" s="246"/>
      <c r="B9" s="155" t="s">
        <v>84</v>
      </c>
      <c r="D9" s="58"/>
      <c r="F9" s="248"/>
      <c r="G9" s="66"/>
      <c r="H9" s="249"/>
      <c r="I9" s="249"/>
      <c r="L9" s="249"/>
      <c r="M9" s="249"/>
      <c r="N9" s="248"/>
      <c r="Q9" s="95"/>
      <c r="R9" s="273"/>
      <c r="S9" s="273"/>
      <c r="T9" s="273"/>
      <c r="U9" s="273"/>
      <c r="V9" s="273"/>
      <c r="W9" s="95"/>
      <c r="X9" s="95"/>
      <c r="Y9" s="95"/>
      <c r="Z9" s="95"/>
      <c r="AA9" s="95"/>
      <c r="AB9" s="95"/>
      <c r="AC9" s="95"/>
      <c r="AD9" s="58"/>
    </row>
    <row r="10" spans="1:30">
      <c r="A10" s="253" t="s">
        <v>902</v>
      </c>
      <c r="B10" s="251" t="s">
        <v>85</v>
      </c>
      <c r="D10" s="58">
        <f>SUMIF(L_12MonResults_RateClass,$A10,L_12MonResults_KWH_Total)</f>
        <v>389930533</v>
      </c>
      <c r="E10" s="57">
        <v>0</v>
      </c>
      <c r="F10" s="248">
        <f>Rates!$K$245</f>
        <v>1.67E-3</v>
      </c>
      <c r="G10" s="66">
        <f>ROUND(D10*F10,0)</f>
        <v>651184</v>
      </c>
      <c r="H10" s="249"/>
      <c r="I10" s="249"/>
      <c r="L10" s="249"/>
      <c r="M10" s="249"/>
      <c r="N10" s="248"/>
      <c r="Q10" s="95"/>
      <c r="R10" s="95"/>
      <c r="S10" s="95"/>
      <c r="T10" s="95"/>
      <c r="U10" s="95"/>
      <c r="V10" s="95"/>
      <c r="W10" s="95"/>
      <c r="X10" s="95"/>
      <c r="Y10" s="95"/>
      <c r="Z10" s="95"/>
      <c r="AA10" s="95"/>
      <c r="AB10" s="95"/>
      <c r="AC10" s="95"/>
      <c r="AD10" s="58"/>
    </row>
    <row r="11" spans="1:30" ht="15">
      <c r="A11" s="253" t="s">
        <v>14</v>
      </c>
      <c r="B11" s="251" t="s">
        <v>59</v>
      </c>
      <c r="D11" s="252">
        <f>SUMIF(L_12MonResults_RateClass,$A11,L_12MonResults_KWH_Total)</f>
        <v>994912174</v>
      </c>
      <c r="E11" s="57">
        <v>0</v>
      </c>
      <c r="F11" s="248">
        <f>Rates!$K$251</f>
        <v>1.67E-3</v>
      </c>
      <c r="G11" s="68">
        <f>ROUND(D11*F11,0)</f>
        <v>1661503</v>
      </c>
      <c r="H11" s="249"/>
      <c r="I11" s="249"/>
      <c r="L11" s="249"/>
      <c r="M11" s="249"/>
      <c r="N11" s="248"/>
      <c r="Q11" s="95"/>
      <c r="R11" s="273"/>
      <c r="S11" s="273"/>
      <c r="T11" s="273"/>
      <c r="U11" s="273"/>
      <c r="V11" s="273"/>
      <c r="W11" s="273"/>
      <c r="X11" s="273"/>
      <c r="Y11" s="95"/>
      <c r="Z11" s="95"/>
      <c r="AA11" s="95"/>
      <c r="AB11" s="95"/>
      <c r="AC11" s="95"/>
      <c r="AD11" s="58"/>
    </row>
    <row r="12" spans="1:30">
      <c r="A12" s="246"/>
      <c r="B12" s="57" t="s">
        <v>910</v>
      </c>
      <c r="D12" s="58">
        <f>D10+D11</f>
        <v>1384842707</v>
      </c>
      <c r="F12" s="248"/>
      <c r="G12" s="72">
        <f>G10+G11</f>
        <v>2312687</v>
      </c>
      <c r="H12" s="249"/>
      <c r="I12" s="249"/>
      <c r="L12" s="249"/>
      <c r="M12" s="249"/>
      <c r="N12" s="248"/>
      <c r="Q12" s="95"/>
      <c r="R12" s="95"/>
      <c r="S12" s="95"/>
      <c r="T12" s="95"/>
      <c r="U12" s="95"/>
      <c r="V12" s="95"/>
      <c r="W12" s="95"/>
      <c r="X12" s="95"/>
      <c r="Y12" s="95"/>
      <c r="Z12" s="95"/>
      <c r="AA12" s="95"/>
      <c r="AB12" s="95"/>
      <c r="AC12" s="95"/>
      <c r="AD12" s="58"/>
    </row>
    <row r="13" spans="1:30">
      <c r="A13" s="246"/>
      <c r="D13" s="58"/>
      <c r="F13" s="248"/>
      <c r="G13" s="249"/>
      <c r="H13" s="249"/>
      <c r="I13" s="249"/>
      <c r="L13" s="249"/>
      <c r="M13" s="249"/>
      <c r="N13" s="248"/>
      <c r="Q13" s="95"/>
      <c r="R13" s="273"/>
      <c r="S13" s="273"/>
      <c r="T13" s="273"/>
      <c r="U13" s="273"/>
      <c r="V13" s="95"/>
      <c r="W13" s="95"/>
      <c r="X13" s="95"/>
      <c r="Y13" s="95"/>
      <c r="Z13" s="95"/>
      <c r="AA13" s="95"/>
      <c r="AB13" s="95"/>
      <c r="AC13" s="95"/>
      <c r="AD13" s="58"/>
    </row>
    <row r="14" spans="1:30">
      <c r="A14" s="57"/>
      <c r="H14" s="249"/>
      <c r="I14" s="249"/>
      <c r="L14" s="249"/>
      <c r="M14" s="249"/>
      <c r="N14" s="248"/>
      <c r="Q14" s="95"/>
      <c r="R14" s="95"/>
      <c r="S14" s="95"/>
      <c r="T14" s="95"/>
      <c r="U14" s="95"/>
      <c r="V14" s="95"/>
      <c r="W14" s="95"/>
      <c r="X14" s="95"/>
      <c r="Y14" s="95"/>
      <c r="Z14" s="95"/>
      <c r="AA14" s="95"/>
      <c r="AB14" s="95"/>
      <c r="AC14" s="95"/>
      <c r="AD14" s="58"/>
    </row>
    <row r="15" spans="1:30">
      <c r="A15" s="253"/>
      <c r="B15" s="155" t="s">
        <v>86</v>
      </c>
      <c r="F15" s="248"/>
      <c r="G15" s="249"/>
      <c r="H15" s="249"/>
      <c r="I15" s="249"/>
      <c r="L15" s="249"/>
      <c r="M15" s="249"/>
      <c r="N15" s="248"/>
      <c r="Q15" s="95"/>
      <c r="R15" s="273"/>
      <c r="S15" s="273"/>
      <c r="T15" s="273"/>
      <c r="U15" s="273"/>
      <c r="V15" s="273"/>
      <c r="W15" s="273"/>
      <c r="X15" s="273"/>
      <c r="Y15" s="273"/>
      <c r="Z15" s="95"/>
      <c r="AA15" s="95"/>
      <c r="AB15" s="95"/>
      <c r="AC15" s="95"/>
      <c r="AD15" s="58"/>
    </row>
    <row r="16" spans="1:30">
      <c r="A16" s="253" t="s">
        <v>20</v>
      </c>
      <c r="B16" s="155" t="s">
        <v>906</v>
      </c>
      <c r="D16" s="58">
        <f>SUMIF(L_12MonResults_RateClass,$A16,L_12MonResults_KWH_Total)</f>
        <v>1965916065</v>
      </c>
      <c r="H16" s="249"/>
      <c r="I16" s="249"/>
      <c r="L16" s="249"/>
      <c r="M16" s="249"/>
      <c r="N16" s="248"/>
      <c r="Q16" s="95"/>
      <c r="R16" s="273"/>
      <c r="S16" s="273"/>
      <c r="T16" s="273"/>
      <c r="U16" s="273"/>
      <c r="V16" s="273"/>
      <c r="W16" s="273"/>
      <c r="X16" s="273"/>
      <c r="Y16" s="273"/>
      <c r="Z16" s="95"/>
      <c r="AA16" s="95"/>
      <c r="AB16" s="95"/>
      <c r="AC16" s="95"/>
      <c r="AD16" s="58"/>
    </row>
    <row r="17" spans="1:30">
      <c r="A17" s="253" t="s">
        <v>20</v>
      </c>
      <c r="B17" s="155" t="s">
        <v>896</v>
      </c>
      <c r="D17" s="58"/>
      <c r="E17" s="57">
        <f>SUMIF(L_12MonResults_RateClass,$A17,L_12MonResults_Demand_Measured_Inter)</f>
        <v>2753649</v>
      </c>
      <c r="F17" s="249">
        <f>Rates!$U$260</f>
        <v>0.48</v>
      </c>
      <c r="G17" s="66">
        <f>ROUND(E17*F17,0)</f>
        <v>1321752</v>
      </c>
      <c r="H17" s="249"/>
      <c r="I17" s="249"/>
      <c r="L17" s="249"/>
      <c r="M17" s="249"/>
      <c r="N17" s="248"/>
      <c r="Q17" s="58"/>
      <c r="R17" s="58"/>
      <c r="S17" s="58"/>
      <c r="T17" s="58"/>
      <c r="U17" s="58"/>
      <c r="V17" s="58"/>
      <c r="W17" s="58"/>
      <c r="X17" s="58"/>
      <c r="Y17" s="58"/>
      <c r="Z17" s="58"/>
      <c r="AA17" s="58"/>
      <c r="AB17" s="58"/>
      <c r="AC17" s="58"/>
      <c r="AD17" s="58"/>
    </row>
    <row r="18" spans="1:30" ht="15">
      <c r="A18" s="253" t="s">
        <v>20</v>
      </c>
      <c r="B18" s="155" t="s">
        <v>895</v>
      </c>
      <c r="D18" s="58"/>
      <c r="E18" s="254">
        <f>SUMIF(L_12MonResults_RateClass,$A18,L_12MonResults_Demand_Measured_Peak)</f>
        <v>2288587</v>
      </c>
      <c r="F18" s="249">
        <f>Rates!$V$260</f>
        <v>0.48</v>
      </c>
      <c r="G18" s="254">
        <f>ROUND(E18*F18,0)</f>
        <v>1098522</v>
      </c>
      <c r="H18" s="249"/>
      <c r="I18" s="249"/>
      <c r="L18" s="249"/>
      <c r="M18" s="249"/>
      <c r="N18" s="248"/>
      <c r="Q18" s="58"/>
      <c r="R18" s="95"/>
      <c r="S18" s="95"/>
      <c r="T18" s="95"/>
      <c r="U18" s="95"/>
      <c r="V18" s="95"/>
      <c r="W18" s="95"/>
      <c r="X18" s="95"/>
      <c r="Y18" s="58"/>
      <c r="Z18" s="58"/>
      <c r="AA18" s="58"/>
      <c r="AB18" s="58"/>
      <c r="AC18" s="58"/>
      <c r="AD18" s="58"/>
    </row>
    <row r="19" spans="1:30">
      <c r="A19" s="253"/>
      <c r="B19" s="155" t="s">
        <v>67</v>
      </c>
      <c r="D19" s="58"/>
      <c r="E19" s="57">
        <f>E17+E18</f>
        <v>5042236</v>
      </c>
      <c r="F19" s="249"/>
      <c r="G19" s="66">
        <f>G17+G18</f>
        <v>2420274</v>
      </c>
      <c r="H19" s="249"/>
      <c r="I19" s="249"/>
      <c r="L19" s="249"/>
      <c r="M19" s="249"/>
      <c r="N19" s="248"/>
      <c r="Q19" s="58"/>
      <c r="R19" s="95"/>
      <c r="S19" s="95"/>
      <c r="T19" s="95"/>
      <c r="U19" s="95"/>
      <c r="V19" s="95"/>
      <c r="W19" s="95"/>
      <c r="X19" s="95"/>
      <c r="Y19" s="58"/>
      <c r="Z19" s="58"/>
      <c r="AA19" s="58"/>
      <c r="AB19" s="58"/>
      <c r="AC19" s="58"/>
      <c r="AD19" s="58"/>
    </row>
    <row r="20" spans="1:30" ht="15">
      <c r="A20" s="253"/>
      <c r="B20" s="161"/>
      <c r="D20" s="252"/>
      <c r="F20" s="248"/>
      <c r="G20" s="68"/>
      <c r="H20" s="249"/>
      <c r="I20" s="249"/>
      <c r="L20" s="249"/>
      <c r="M20" s="249"/>
      <c r="N20" s="248"/>
      <c r="Q20" s="58"/>
      <c r="R20" s="95"/>
      <c r="S20" s="95"/>
      <c r="T20" s="95"/>
      <c r="U20" s="95"/>
      <c r="V20" s="95"/>
      <c r="W20" s="95"/>
      <c r="X20" s="95"/>
      <c r="Y20" s="58"/>
      <c r="Z20" s="58"/>
      <c r="AA20" s="58"/>
      <c r="AB20" s="58"/>
      <c r="AC20" s="58"/>
      <c r="AD20" s="58"/>
    </row>
    <row r="21" spans="1:30">
      <c r="A21" s="253" t="s">
        <v>21</v>
      </c>
      <c r="B21" s="155" t="s">
        <v>906</v>
      </c>
      <c r="D21" s="58">
        <f>SUMIF(L_12MonResults_RateClass,$A21,L_12MonResults_KWH_Total)</f>
        <v>162948372</v>
      </c>
      <c r="F21" s="248"/>
      <c r="G21" s="249"/>
      <c r="H21" s="249"/>
      <c r="I21" s="249"/>
      <c r="L21" s="249"/>
      <c r="M21" s="249"/>
      <c r="N21" s="248"/>
      <c r="Q21" s="58"/>
      <c r="R21" s="95"/>
      <c r="S21" s="95"/>
      <c r="T21" s="95"/>
      <c r="U21" s="95"/>
      <c r="V21" s="95"/>
      <c r="W21" s="95"/>
      <c r="X21" s="95"/>
      <c r="Y21" s="58"/>
      <c r="Z21" s="58"/>
      <c r="AA21" s="58"/>
      <c r="AB21" s="58"/>
      <c r="AC21" s="58"/>
      <c r="AD21" s="58"/>
    </row>
    <row r="22" spans="1:30">
      <c r="A22" s="253" t="s">
        <v>21</v>
      </c>
      <c r="B22" s="155" t="s">
        <v>896</v>
      </c>
      <c r="D22" s="58"/>
      <c r="E22" s="57">
        <f>SUMIF(L_12MonResults_RateClass,$A22,L_12MonResults_Demand_Measured_Inter)</f>
        <v>222744</v>
      </c>
      <c r="F22" s="249">
        <f>Rates!$U$261</f>
        <v>0.48</v>
      </c>
      <c r="G22" s="255">
        <f>ROUND(E22*F22,0)</f>
        <v>106917</v>
      </c>
      <c r="H22" s="249"/>
      <c r="I22" s="249"/>
      <c r="L22" s="249"/>
      <c r="M22" s="249"/>
      <c r="N22" s="248"/>
      <c r="Q22" s="58"/>
      <c r="R22" s="95"/>
      <c r="S22" s="95"/>
      <c r="T22" s="95"/>
      <c r="U22" s="95"/>
      <c r="V22" s="95"/>
      <c r="W22" s="95"/>
      <c r="X22" s="95"/>
      <c r="Y22" s="58"/>
      <c r="Z22" s="58"/>
      <c r="AA22" s="58"/>
      <c r="AB22" s="58"/>
      <c r="AC22" s="58"/>
      <c r="AD22" s="58"/>
    </row>
    <row r="23" spans="1:30" ht="15">
      <c r="A23" s="253" t="s">
        <v>21</v>
      </c>
      <c r="B23" s="155" t="s">
        <v>895</v>
      </c>
      <c r="D23" s="58"/>
      <c r="E23" s="254">
        <f>SUMIF(L_12MonResults_RateClass,$A23,L_12MonResults_Demand_Measured_Peak)</f>
        <v>188585</v>
      </c>
      <c r="F23" s="249">
        <f>Rates!$V$261</f>
        <v>0.48</v>
      </c>
      <c r="G23" s="256">
        <f>ROUND(E23*F23,0)</f>
        <v>90521</v>
      </c>
      <c r="H23" s="249"/>
      <c r="I23" s="249"/>
      <c r="L23" s="249"/>
      <c r="M23" s="249"/>
      <c r="N23" s="248"/>
      <c r="Q23" s="58"/>
      <c r="R23" s="95"/>
      <c r="S23" s="95"/>
      <c r="T23" s="95"/>
      <c r="U23" s="95"/>
      <c r="V23" s="95"/>
      <c r="W23" s="95"/>
      <c r="X23" s="95"/>
      <c r="Y23" s="58"/>
      <c r="Z23" s="58"/>
      <c r="AA23" s="58"/>
      <c r="AB23" s="58"/>
      <c r="AC23" s="58"/>
      <c r="AD23" s="58"/>
    </row>
    <row r="24" spans="1:30">
      <c r="A24" s="253"/>
      <c r="B24" s="161"/>
      <c r="D24" s="58"/>
      <c r="E24" s="57">
        <f>E22+E23</f>
        <v>411329</v>
      </c>
      <c r="F24" s="248"/>
      <c r="G24" s="66">
        <f>G22+G23</f>
        <v>197438</v>
      </c>
      <c r="H24" s="249"/>
      <c r="I24" s="249"/>
      <c r="L24" s="249"/>
      <c r="M24" s="249"/>
      <c r="N24" s="248"/>
      <c r="Q24" s="58"/>
      <c r="R24" s="58"/>
      <c r="S24" s="58"/>
      <c r="T24" s="58"/>
      <c r="U24" s="58"/>
      <c r="V24" s="58"/>
      <c r="W24" s="58"/>
      <c r="X24" s="58"/>
      <c r="Y24" s="58"/>
      <c r="Z24" s="58"/>
      <c r="AA24" s="58"/>
      <c r="AB24" s="58"/>
      <c r="AC24" s="58"/>
      <c r="AD24" s="58"/>
    </row>
    <row r="25" spans="1:30" ht="15">
      <c r="A25" s="253"/>
      <c r="B25" s="161"/>
      <c r="D25" s="252"/>
      <c r="F25" s="248"/>
      <c r="G25" s="257"/>
      <c r="H25" s="249"/>
      <c r="I25" s="249"/>
      <c r="L25" s="249"/>
      <c r="M25" s="249"/>
      <c r="N25" s="248"/>
      <c r="Q25" s="58"/>
      <c r="R25" s="58"/>
      <c r="S25" s="58"/>
      <c r="T25" s="58"/>
      <c r="U25" s="58"/>
      <c r="V25" s="58"/>
      <c r="W25" s="58"/>
      <c r="X25" s="58"/>
      <c r="Y25" s="58"/>
      <c r="Z25" s="58"/>
      <c r="AA25" s="58"/>
      <c r="AB25" s="58"/>
      <c r="AC25" s="58"/>
      <c r="AD25" s="58"/>
    </row>
    <row r="26" spans="1:30">
      <c r="A26" s="253"/>
      <c r="B26" s="161" t="s">
        <v>1207</v>
      </c>
      <c r="F26" s="248"/>
      <c r="G26" s="249"/>
      <c r="H26" s="249"/>
      <c r="I26" s="249"/>
      <c r="J26" s="248"/>
      <c r="L26" s="249"/>
      <c r="M26" s="249"/>
      <c r="N26" s="248"/>
      <c r="Q26" s="58"/>
      <c r="R26" s="58"/>
      <c r="S26" s="58"/>
      <c r="T26" s="58"/>
      <c r="U26" s="58"/>
      <c r="V26" s="58"/>
      <c r="W26" s="58"/>
      <c r="X26" s="58"/>
      <c r="Y26" s="58"/>
      <c r="Z26" s="58"/>
      <c r="AA26" s="58"/>
      <c r="AB26" s="58"/>
      <c r="AC26" s="58"/>
      <c r="AD26" s="58"/>
    </row>
    <row r="27" spans="1:30">
      <c r="A27" s="253" t="s">
        <v>1006</v>
      </c>
      <c r="B27" s="98" t="s">
        <v>906</v>
      </c>
      <c r="D27" s="57">
        <f>SUMIF(L_12MonResults_RateClass,$A27,L_12MonResults_KWH_Total)</f>
        <v>1040406894</v>
      </c>
      <c r="H27" s="249"/>
      <c r="I27" s="249"/>
      <c r="J27" s="248"/>
      <c r="L27" s="249"/>
      <c r="M27" s="249"/>
      <c r="N27" s="248"/>
    </row>
    <row r="28" spans="1:30">
      <c r="A28" s="253" t="s">
        <v>1006</v>
      </c>
      <c r="B28" s="98" t="s">
        <v>911</v>
      </c>
      <c r="E28" s="57">
        <f>SUMIF(L_12MonResults_RateClass,$A28,L_12MonResults_Demand_Measured_Base)</f>
        <v>2364364</v>
      </c>
      <c r="F28" s="249">
        <f>Rates!$T$258</f>
        <v>0.16</v>
      </c>
      <c r="G28" s="66">
        <f>ROUND(E28*F28,0)</f>
        <v>378298</v>
      </c>
      <c r="H28" s="249"/>
      <c r="I28" s="249"/>
      <c r="L28" s="249"/>
      <c r="M28" s="249"/>
      <c r="N28" s="258"/>
    </row>
    <row r="29" spans="1:30">
      <c r="A29" s="253" t="s">
        <v>1006</v>
      </c>
      <c r="B29" s="98" t="s">
        <v>912</v>
      </c>
      <c r="E29" s="57">
        <f>SUMIF(L_12MonResults_RateClass,$A29,L_12MonResults_Demand_Measured_Inter)</f>
        <v>2229605</v>
      </c>
      <c r="F29" s="249">
        <f>Rates!$U$258</f>
        <v>0.16</v>
      </c>
      <c r="G29" s="66">
        <f>ROUND(E29*F29,0)</f>
        <v>356737</v>
      </c>
      <c r="H29" s="249"/>
      <c r="I29" s="249"/>
      <c r="L29" s="249"/>
      <c r="M29" s="249"/>
      <c r="N29" s="258"/>
    </row>
    <row r="30" spans="1:30" ht="15">
      <c r="A30" s="253" t="s">
        <v>1006</v>
      </c>
      <c r="B30" s="98" t="s">
        <v>19</v>
      </c>
      <c r="E30" s="254">
        <f>SUMIF(L_12MonResults_RateClass,$A30,L_12MonResults_Demand_Measured_Peak)</f>
        <v>2182615</v>
      </c>
      <c r="F30" s="249">
        <f>Rates!$V$258</f>
        <v>0.16</v>
      </c>
      <c r="G30" s="68">
        <f>ROUND(E30*F30,0)</f>
        <v>349218</v>
      </c>
      <c r="H30" s="249"/>
      <c r="I30" s="249"/>
      <c r="L30" s="249"/>
      <c r="M30" s="249"/>
      <c r="N30" s="258"/>
    </row>
    <row r="31" spans="1:30">
      <c r="A31" s="57"/>
      <c r="B31" s="259" t="s">
        <v>67</v>
      </c>
      <c r="E31" s="57">
        <f>SUM(E28:E30)</f>
        <v>6776584</v>
      </c>
      <c r="G31" s="66">
        <f>SUM(G28:G30)</f>
        <v>1084253</v>
      </c>
      <c r="H31" s="249"/>
      <c r="I31" s="249"/>
      <c r="L31" s="249"/>
      <c r="M31" s="249"/>
      <c r="N31" s="258"/>
    </row>
    <row r="32" spans="1:30">
      <c r="A32" s="253"/>
      <c r="B32" s="161"/>
      <c r="D32" s="58"/>
      <c r="F32" s="249"/>
      <c r="H32" s="249"/>
      <c r="I32" s="249"/>
      <c r="L32" s="249"/>
      <c r="M32" s="249"/>
      <c r="N32" s="258"/>
    </row>
    <row r="33" spans="1:25">
      <c r="A33" s="253"/>
      <c r="B33" s="161" t="s">
        <v>1208</v>
      </c>
      <c r="D33" s="58"/>
      <c r="F33" s="249"/>
      <c r="H33" s="249"/>
      <c r="I33" s="249"/>
      <c r="L33" s="249"/>
      <c r="M33" s="249"/>
      <c r="N33" s="258"/>
    </row>
    <row r="34" spans="1:25">
      <c r="A34" s="253" t="s">
        <v>409</v>
      </c>
      <c r="B34" s="98" t="s">
        <v>906</v>
      </c>
      <c r="D34" s="57">
        <f>SUMIF(L_12MonResults_RateClass,$A34,L_12MonResults_KWH_Total)</f>
        <v>372651050</v>
      </c>
      <c r="F34" s="249"/>
      <c r="H34" s="249"/>
      <c r="I34" s="249"/>
      <c r="L34" s="249"/>
      <c r="M34" s="249"/>
      <c r="N34" s="258"/>
    </row>
    <row r="35" spans="1:25">
      <c r="A35" s="253" t="s">
        <v>409</v>
      </c>
      <c r="B35" s="98" t="s">
        <v>911</v>
      </c>
      <c r="E35" s="57">
        <f>SUMIF(L_12MonResults_RateClass,$A35,L_12MonResults_Demand_Measured_Base)</f>
        <v>886968</v>
      </c>
      <c r="F35" s="249">
        <f>Rates!$T$259</f>
        <v>0.14000000000000001</v>
      </c>
      <c r="G35" s="66">
        <f>ROUND(E35*F35,0)</f>
        <v>124176</v>
      </c>
      <c r="H35" s="249"/>
      <c r="I35" s="249"/>
      <c r="L35" s="249"/>
      <c r="M35" s="249"/>
      <c r="N35" s="258"/>
    </row>
    <row r="36" spans="1:25">
      <c r="A36" s="253" t="s">
        <v>409</v>
      </c>
      <c r="B36" s="98" t="s">
        <v>912</v>
      </c>
      <c r="E36" s="57">
        <f>SUMIF(L_12MonResults_RateClass,$A36,L_12MonResults_Demand_Measured_Inter)</f>
        <v>822075</v>
      </c>
      <c r="F36" s="249">
        <f>Rates!$U$259</f>
        <v>0.14000000000000001</v>
      </c>
      <c r="G36" s="66">
        <f>ROUND(E36*F36,0)</f>
        <v>115091</v>
      </c>
      <c r="H36" s="249"/>
      <c r="I36" s="249"/>
      <c r="L36" s="249"/>
      <c r="M36" s="249"/>
      <c r="N36" s="258"/>
      <c r="R36" s="98"/>
      <c r="S36" s="98"/>
      <c r="T36" s="98"/>
      <c r="U36" s="98"/>
      <c r="V36" s="98"/>
      <c r="W36" s="98"/>
      <c r="X36" s="98"/>
      <c r="Y36" s="98"/>
    </row>
    <row r="37" spans="1:25" ht="15">
      <c r="A37" s="253" t="s">
        <v>409</v>
      </c>
      <c r="B37" s="98" t="s">
        <v>19</v>
      </c>
      <c r="E37" s="254">
        <f>SUMIF(L_12MonResults_RateClass,$A37,L_12MonResults_Demand_Measured_Peak)</f>
        <v>804117</v>
      </c>
      <c r="F37" s="249">
        <f>Rates!$V$259</f>
        <v>0.14000000000000001</v>
      </c>
      <c r="G37" s="68">
        <f>ROUND(E37*F37,0)</f>
        <v>112576</v>
      </c>
      <c r="H37" s="249"/>
      <c r="I37" s="249"/>
      <c r="L37" s="249"/>
      <c r="M37" s="249"/>
      <c r="N37" s="258"/>
      <c r="R37" s="98"/>
      <c r="S37" s="98"/>
      <c r="T37" s="98"/>
      <c r="U37" s="98"/>
      <c r="V37" s="98"/>
      <c r="W37" s="98"/>
      <c r="X37" s="98"/>
      <c r="Y37" s="98"/>
    </row>
    <row r="38" spans="1:25">
      <c r="A38" s="246"/>
      <c r="B38" s="259" t="s">
        <v>677</v>
      </c>
      <c r="E38" s="57">
        <f>SUM(E35:E37)</f>
        <v>2513160</v>
      </c>
      <c r="F38" s="249"/>
      <c r="G38" s="66">
        <f>SUM(G35:G37)</f>
        <v>351843</v>
      </c>
      <c r="H38" s="249"/>
      <c r="I38" s="249"/>
      <c r="L38" s="249"/>
      <c r="M38" s="249"/>
      <c r="N38" s="258"/>
    </row>
    <row r="39" spans="1:25">
      <c r="A39" s="246"/>
      <c r="F39" s="249"/>
      <c r="H39" s="249"/>
      <c r="I39" s="249"/>
      <c r="L39" s="249"/>
      <c r="M39" s="249"/>
      <c r="N39" s="258"/>
    </row>
    <row r="40" spans="1:25">
      <c r="A40" s="246"/>
      <c r="B40" s="57" t="s">
        <v>1209</v>
      </c>
      <c r="F40" s="249"/>
      <c r="H40" s="249"/>
      <c r="I40" s="249"/>
      <c r="L40" s="249"/>
      <c r="M40" s="249"/>
      <c r="N40" s="258"/>
    </row>
    <row r="41" spans="1:25">
      <c r="A41" s="246" t="s">
        <v>421</v>
      </c>
      <c r="B41" s="98" t="s">
        <v>906</v>
      </c>
      <c r="D41" s="58">
        <f>SUMIF(L_12MonResults_RateClass,$A41,L_12MonResults_KWH_Total)</f>
        <v>1670443749</v>
      </c>
      <c r="F41" s="249"/>
      <c r="H41" s="249"/>
      <c r="I41" s="249"/>
      <c r="L41" s="249"/>
      <c r="M41" s="249"/>
      <c r="N41" s="258"/>
    </row>
    <row r="42" spans="1:25">
      <c r="A42" s="246" t="s">
        <v>421</v>
      </c>
      <c r="B42" s="98" t="s">
        <v>911</v>
      </c>
      <c r="E42" s="57">
        <f>SUMIF(L_12MonResults_RateClass,$A42,L_12MonResults_Demand_Measured_Base)</f>
        <v>4104101</v>
      </c>
      <c r="F42" s="249">
        <f>Rates!$T$263</f>
        <v>0.14000000000000001</v>
      </c>
      <c r="G42" s="66">
        <f>ROUND(E42*F42,0)</f>
        <v>574574</v>
      </c>
      <c r="H42" s="249"/>
      <c r="I42" s="249"/>
      <c r="L42" s="249"/>
      <c r="M42" s="249"/>
      <c r="N42" s="258"/>
    </row>
    <row r="43" spans="1:25">
      <c r="A43" s="246" t="s">
        <v>421</v>
      </c>
      <c r="B43" s="98" t="s">
        <v>912</v>
      </c>
      <c r="E43" s="57">
        <f>SUMIF(L_12MonResults_RateClass,$A43,L_12MonResults_Demand_Measured_Inter)</f>
        <v>3725959</v>
      </c>
      <c r="F43" s="249">
        <f>Rates!$U$263</f>
        <v>0.14000000000000001</v>
      </c>
      <c r="G43" s="66">
        <f>ROUND(E43*F43,0)</f>
        <v>521634</v>
      </c>
      <c r="H43" s="249"/>
      <c r="I43" s="249"/>
      <c r="L43" s="249"/>
      <c r="M43" s="249"/>
      <c r="N43" s="258"/>
    </row>
    <row r="44" spans="1:25" ht="15">
      <c r="A44" s="246" t="s">
        <v>421</v>
      </c>
      <c r="B44" s="98" t="s">
        <v>19</v>
      </c>
      <c r="E44" s="254">
        <f>SUMIF(L_12MonResults_RateClass,$A44,L_12MonResults_Demand_Measured_Peak)</f>
        <v>3676463</v>
      </c>
      <c r="F44" s="249">
        <f>Rates!$V$263</f>
        <v>0.14000000000000001</v>
      </c>
      <c r="G44" s="68">
        <f>ROUND(E44*F44,0)</f>
        <v>514705</v>
      </c>
      <c r="H44" s="249"/>
      <c r="I44" s="249"/>
      <c r="L44" s="249"/>
      <c r="M44" s="249"/>
      <c r="N44" s="258"/>
    </row>
    <row r="45" spans="1:25">
      <c r="A45" s="246"/>
      <c r="B45" s="259" t="s">
        <v>678</v>
      </c>
      <c r="E45" s="57">
        <f>SUM(E42:E44)</f>
        <v>11506523</v>
      </c>
      <c r="F45" s="249"/>
      <c r="G45" s="66">
        <f>SUM(G42:G44)</f>
        <v>1610913</v>
      </c>
      <c r="H45" s="249"/>
      <c r="I45" s="249"/>
      <c r="L45" s="249"/>
      <c r="M45" s="249"/>
      <c r="N45" s="258"/>
    </row>
    <row r="46" spans="1:25">
      <c r="A46" s="246"/>
      <c r="B46" s="161"/>
      <c r="E46" s="57">
        <f>E45+E38</f>
        <v>14019683</v>
      </c>
      <c r="F46" s="249"/>
      <c r="G46" s="66">
        <f>G45+G38</f>
        <v>1962756</v>
      </c>
      <c r="H46" s="249"/>
      <c r="I46" s="249"/>
      <c r="L46" s="249"/>
      <c r="M46" s="249"/>
      <c r="N46" s="258"/>
    </row>
    <row r="47" spans="1:25">
      <c r="A47" s="253"/>
      <c r="B47" s="155" t="s">
        <v>69</v>
      </c>
      <c r="F47" s="249"/>
      <c r="H47" s="249"/>
      <c r="I47" s="249"/>
      <c r="L47" s="249"/>
      <c r="M47" s="249"/>
      <c r="N47" s="258"/>
    </row>
    <row r="48" spans="1:25">
      <c r="A48" s="246" t="s">
        <v>15</v>
      </c>
      <c r="B48" s="98" t="s">
        <v>906</v>
      </c>
      <c r="D48" s="58">
        <f>SUMIF(L_12MonResults_RateClass,$A48,L_12MonResults_KWH_Total)</f>
        <v>876840985</v>
      </c>
      <c r="F48" s="249"/>
      <c r="H48" s="249"/>
      <c r="I48" s="249"/>
      <c r="L48" s="249"/>
      <c r="M48" s="249"/>
      <c r="N48" s="258"/>
    </row>
    <row r="49" spans="1:25">
      <c r="A49" s="246" t="s">
        <v>15</v>
      </c>
      <c r="B49" s="98" t="s">
        <v>911</v>
      </c>
      <c r="D49" s="58"/>
      <c r="E49" s="57">
        <f>SUMIF(L_12MonResults_RateClass,$A49,L_12MonResults_Demand_Measured_Base)</f>
        <v>1917694</v>
      </c>
      <c r="F49" s="249">
        <f>Rates!$T$265</f>
        <v>0.11</v>
      </c>
      <c r="G49" s="66">
        <f>ROUND(E49*F49,0)</f>
        <v>210946</v>
      </c>
      <c r="H49" s="249"/>
      <c r="I49" s="249"/>
      <c r="L49" s="249"/>
      <c r="M49" s="249"/>
      <c r="N49" s="258"/>
    </row>
    <row r="50" spans="1:25">
      <c r="A50" s="246" t="s">
        <v>15</v>
      </c>
      <c r="B50" s="98" t="s">
        <v>912</v>
      </c>
      <c r="E50" s="57">
        <f>SUMIF(L_12MonResults_RateClass,$A50,L_12MonResults_Demand_Measured_Inter)</f>
        <v>1844434</v>
      </c>
      <c r="F50" s="249">
        <f>Rates!$U$265</f>
        <v>0.11</v>
      </c>
      <c r="G50" s="66">
        <f>ROUND(E50*F50,0)</f>
        <v>202888</v>
      </c>
      <c r="H50" s="249"/>
      <c r="I50" s="249"/>
      <c r="L50" s="249"/>
      <c r="M50" s="249"/>
      <c r="N50" s="258"/>
    </row>
    <row r="51" spans="1:25" ht="15">
      <c r="A51" s="246" t="s">
        <v>15</v>
      </c>
      <c r="B51" s="98" t="s">
        <v>19</v>
      </c>
      <c r="E51" s="254">
        <f>SUMIF(L_12MonResults_RateClass,$A51,L_12MonResults_Demand_Measured_Peak)</f>
        <v>1158118</v>
      </c>
      <c r="F51" s="249">
        <f>Rates!$V$265</f>
        <v>0.11</v>
      </c>
      <c r="G51" s="68">
        <f>ROUND(E51*F51,0)</f>
        <v>127393</v>
      </c>
      <c r="H51" s="249"/>
      <c r="I51" s="249"/>
      <c r="L51" s="249"/>
      <c r="M51" s="249"/>
      <c r="N51" s="258"/>
    </row>
    <row r="52" spans="1:25">
      <c r="A52" s="246"/>
      <c r="B52" s="57" t="s">
        <v>913</v>
      </c>
      <c r="E52" s="57">
        <f>SUM(E49:E51)</f>
        <v>4920246</v>
      </c>
      <c r="F52" s="249"/>
      <c r="G52" s="66">
        <f>SUM(G49:G51)</f>
        <v>541227</v>
      </c>
      <c r="H52" s="249"/>
      <c r="I52" s="249"/>
      <c r="L52" s="249"/>
      <c r="M52" s="249"/>
      <c r="N52" s="258"/>
    </row>
    <row r="53" spans="1:25">
      <c r="A53" s="246"/>
      <c r="F53" s="249"/>
      <c r="G53" s="66"/>
      <c r="H53" s="249"/>
      <c r="I53" s="249"/>
      <c r="L53" s="249"/>
      <c r="M53" s="249"/>
      <c r="N53" s="258"/>
    </row>
    <row r="54" spans="1:25">
      <c r="A54" s="246"/>
      <c r="B54" s="57" t="s">
        <v>785</v>
      </c>
      <c r="H54" s="249"/>
      <c r="I54" s="249"/>
      <c r="L54" s="249"/>
      <c r="M54" s="249"/>
      <c r="N54" s="248"/>
      <c r="O54" s="260"/>
    </row>
    <row r="55" spans="1:25">
      <c r="A55" s="261" t="s">
        <v>412</v>
      </c>
      <c r="B55" s="155" t="s">
        <v>906</v>
      </c>
      <c r="D55" s="58">
        <f>SUMIF(L_12MonResults_RateClass,$A55,L_12MonResults_KWH_Total)</f>
        <v>109874900</v>
      </c>
      <c r="H55" s="249"/>
      <c r="I55" s="249"/>
      <c r="L55" s="249"/>
      <c r="M55" s="249"/>
      <c r="N55" s="248"/>
      <c r="O55" s="260"/>
    </row>
    <row r="56" spans="1:25">
      <c r="A56" s="261" t="s">
        <v>412</v>
      </c>
      <c r="B56" s="155" t="s">
        <v>896</v>
      </c>
      <c r="D56" s="58"/>
      <c r="E56" s="57">
        <f>SUMIF(L_12MonResults_RateClass,$A56,L_12MonResults_Demand_Measured_Inter)</f>
        <v>92834</v>
      </c>
      <c r="F56" s="249">
        <f>Rates!$U$275</f>
        <v>0.39</v>
      </c>
      <c r="G56" s="66">
        <f>ROUND(E56*F56,0)</f>
        <v>36205</v>
      </c>
      <c r="H56" s="249"/>
      <c r="I56" s="249"/>
      <c r="L56" s="249"/>
      <c r="M56" s="249"/>
      <c r="N56" s="258"/>
      <c r="O56" s="260"/>
      <c r="R56" s="98" t="e">
        <f t="shared" ref="R56:X56" si="1">SUMIFS(L_12MonResults_Demand_Measured_Inter,L_12MonResults_Revenue_Month,TEXT(R$11,"mmm yyyy"),L_12MonResults_RateClass,$A57)+SUMIFS(L_12MonResults_Demand_Minimum_Inter,L_12MonResults_Revenue_Month,TEXT(R$11,"mmm yyyy"),L_12MonResults_RateClass,$A57)</f>
        <v>#REF!</v>
      </c>
      <c r="S56" s="98" t="e">
        <f t="shared" si="1"/>
        <v>#REF!</v>
      </c>
      <c r="T56" s="98" t="e">
        <f t="shared" si="1"/>
        <v>#REF!</v>
      </c>
      <c r="U56" s="98" t="e">
        <f t="shared" si="1"/>
        <v>#REF!</v>
      </c>
      <c r="V56" s="98" t="e">
        <f t="shared" si="1"/>
        <v>#REF!</v>
      </c>
      <c r="W56" s="98" t="e">
        <f t="shared" si="1"/>
        <v>#REF!</v>
      </c>
      <c r="X56" s="98" t="e">
        <f t="shared" si="1"/>
        <v>#REF!</v>
      </c>
      <c r="Y56" s="98"/>
    </row>
    <row r="57" spans="1:25" ht="15">
      <c r="A57" s="261" t="s">
        <v>412</v>
      </c>
      <c r="B57" s="155" t="s">
        <v>895</v>
      </c>
      <c r="D57" s="58"/>
      <c r="E57" s="254">
        <f>SUMIF(L_12MonResults_RateClass,$A57,L_12MonResults_Demand_Measured_Peak)</f>
        <v>66832</v>
      </c>
      <c r="F57" s="249">
        <f>Rates!$V$275</f>
        <v>0.39</v>
      </c>
      <c r="G57" s="254">
        <f>ROUND(E57*F57,0)</f>
        <v>26064</v>
      </c>
      <c r="H57" s="249"/>
      <c r="I57" s="249"/>
      <c r="L57" s="249"/>
      <c r="M57" s="249"/>
      <c r="N57" s="258"/>
      <c r="O57" s="260"/>
      <c r="R57" s="98" t="e">
        <f>SUMIFS(L_12MonResults_Demand_Measured_Peak,L_12MonResults_Revenue_Month,TEXT(R$9,"mmm yyyy"),L_12MonResults_RateClass,$A56)+SUMIFS(L_12MonResults_Demand_Minimum_Peak,L_12MonResults_Revenue_Month,TEXT(R$9,"mmm yyyy"),L_12MonResults_RateClass,$A56)</f>
        <v>#REF!</v>
      </c>
      <c r="S57" s="98" t="e">
        <f>SUMIFS(L_12MonResults_Demand_Measured_Peak,L_12MonResults_Revenue_Month,TEXT(S$9,"mmm yyyy"),L_12MonResults_RateClass,$A56)+SUMIFS(L_12MonResults_Demand_Minimum_Peak,L_12MonResults_Revenue_Month,TEXT(S$9,"mmm yyyy"),L_12MonResults_RateClass,$A56)</f>
        <v>#REF!</v>
      </c>
      <c r="T57" s="98" t="e">
        <f>SUMIFS(L_12MonResults_Demand_Measured_Peak,L_12MonResults_Revenue_Month,TEXT(T$9,"mmm yyyy"),L_12MonResults_RateClass,$A56)+SUMIFS(L_12MonResults_Demand_Minimum_Peak,L_12MonResults_Revenue_Month,TEXT(T$9,"mmm yyyy"),L_12MonResults_RateClass,$A56)</f>
        <v>#REF!</v>
      </c>
      <c r="U57" s="98" t="e">
        <f>SUMIFS(L_12MonResults_Demand_Measured_Peak,L_12MonResults_Revenue_Month,TEXT(U$9,"mmm yyyy"),L_12MonResults_RateClass,$A56)+SUMIFS(L_12MonResults_Demand_Minimum_Peak,L_12MonResults_Revenue_Month,TEXT(U$9,"mmm yyyy"),L_12MonResults_RateClass,$A56)</f>
        <v>#REF!</v>
      </c>
      <c r="V57" s="98" t="e">
        <f>SUMIFS(L_12MonResults_Demand_Measured_Peak,L_12MonResults_Revenue_Month,TEXT(V$9,"mmm yyyy"),L_12MonResults_RateClass,$A56)+SUMIFS(L_12MonResults_Demand_Minimum_Peak,L_12MonResults_Revenue_Month,TEXT(V$9,"mmm yyyy"),L_12MonResults_RateClass,$A56)</f>
        <v>#REF!</v>
      </c>
      <c r="W57" s="98"/>
      <c r="X57" s="98"/>
      <c r="Y57" s="98"/>
    </row>
    <row r="58" spans="1:25">
      <c r="A58" s="261"/>
      <c r="B58" s="155" t="s">
        <v>914</v>
      </c>
      <c r="D58" s="58"/>
      <c r="E58" s="57">
        <f>E56+E57</f>
        <v>159666</v>
      </c>
      <c r="F58" s="249"/>
      <c r="G58" s="66">
        <f>G56+G57</f>
        <v>62269</v>
      </c>
      <c r="H58" s="249"/>
      <c r="I58" s="249"/>
      <c r="L58" s="249"/>
      <c r="M58" s="249"/>
      <c r="N58" s="258"/>
      <c r="O58" s="260"/>
      <c r="R58" s="98"/>
      <c r="S58" s="98"/>
      <c r="T58" s="98"/>
      <c r="U58" s="98"/>
      <c r="V58" s="98"/>
      <c r="W58" s="98"/>
      <c r="X58" s="98"/>
      <c r="Y58" s="98"/>
    </row>
    <row r="59" spans="1:25">
      <c r="A59" s="261"/>
      <c r="F59" s="249"/>
      <c r="H59" s="249"/>
      <c r="I59" s="249"/>
      <c r="L59" s="249"/>
      <c r="M59" s="249"/>
      <c r="N59" s="258"/>
      <c r="O59" s="260"/>
    </row>
    <row r="60" spans="1:25">
      <c r="A60" s="57"/>
      <c r="B60" s="57" t="s">
        <v>716</v>
      </c>
      <c r="D60" s="58"/>
      <c r="F60" s="249"/>
      <c r="H60" s="249"/>
      <c r="I60" s="249"/>
      <c r="L60" s="249"/>
      <c r="M60" s="249"/>
      <c r="N60" s="258"/>
      <c r="O60" s="260"/>
    </row>
    <row r="61" spans="1:25">
      <c r="A61" s="246" t="s">
        <v>425</v>
      </c>
      <c r="B61" s="57" t="s">
        <v>906</v>
      </c>
      <c r="D61" s="58">
        <f>SUMIF(L_12MonResults_RateClass,$A61,L_12MonResults_KWH_Total)</f>
        <v>57572100</v>
      </c>
      <c r="F61" s="249"/>
      <c r="H61" s="249"/>
      <c r="I61" s="249"/>
      <c r="L61" s="249"/>
      <c r="M61" s="249"/>
      <c r="N61" s="258"/>
      <c r="O61" s="260"/>
    </row>
    <row r="62" spans="1:25">
      <c r="A62" s="246" t="s">
        <v>425</v>
      </c>
      <c r="B62" s="57" t="s">
        <v>106</v>
      </c>
      <c r="D62" s="58"/>
      <c r="E62" s="57">
        <f>SUMIF(L_12MonResults_RateClass,$A62,L_12MonResults_Demand_Measured_Peak)</f>
        <v>47214</v>
      </c>
      <c r="F62" s="249">
        <f>Rates!$U$276</f>
        <v>0.37</v>
      </c>
      <c r="G62" s="66">
        <f>ROUND(E62*F62,0)</f>
        <v>17469</v>
      </c>
      <c r="H62" s="249"/>
      <c r="I62" s="249"/>
      <c r="L62" s="249"/>
      <c r="M62" s="249"/>
      <c r="N62" s="258"/>
      <c r="O62" s="260"/>
    </row>
    <row r="63" spans="1:25">
      <c r="A63" s="246"/>
      <c r="H63" s="249"/>
      <c r="I63" s="249"/>
      <c r="K63" s="249"/>
      <c r="L63" s="249"/>
      <c r="M63" s="249"/>
      <c r="N63" s="258"/>
      <c r="O63" s="260"/>
    </row>
    <row r="64" spans="1:25">
      <c r="A64" s="246" t="s">
        <v>17</v>
      </c>
      <c r="B64" s="57" t="s">
        <v>71</v>
      </c>
      <c r="D64" s="58">
        <f>SUMIF(L_12MonResults_RateClass,$A64,L_12MonResults_KWH_Total)</f>
        <v>3442738</v>
      </c>
      <c r="F64" s="248">
        <f>Rates!$K$268</f>
        <v>1.1000000000000001E-3</v>
      </c>
      <c r="G64" s="66">
        <f>ROUND(D64*F64,0)</f>
        <v>3787</v>
      </c>
      <c r="H64" s="249"/>
      <c r="I64" s="249"/>
      <c r="L64" s="249"/>
      <c r="M64" s="249"/>
      <c r="N64" s="248"/>
      <c r="O64" s="260"/>
    </row>
    <row r="65" spans="1:15">
      <c r="A65" s="246" t="s">
        <v>18</v>
      </c>
      <c r="B65" s="58" t="s">
        <v>717</v>
      </c>
      <c r="D65" s="58">
        <f>SUMIF(L_12MonResults_RateClass,$A65,L_12MonResults_KWH_Total)</f>
        <v>3103723</v>
      </c>
      <c r="F65" s="248">
        <f>Rates!$K$271</f>
        <v>1.1000000000000001E-3</v>
      </c>
      <c r="G65" s="66">
        <f>ROUND(D65*F65,0)</f>
        <v>3414</v>
      </c>
      <c r="H65" s="249"/>
      <c r="I65" s="249"/>
      <c r="L65" s="249"/>
      <c r="M65" s="249"/>
      <c r="N65" s="248"/>
      <c r="O65" s="260"/>
    </row>
    <row r="66" spans="1:15">
      <c r="A66" s="246"/>
      <c r="B66" s="58"/>
      <c r="F66" s="248"/>
      <c r="G66" s="249"/>
      <c r="H66" s="249"/>
      <c r="I66" s="249"/>
      <c r="L66" s="249"/>
      <c r="M66" s="249"/>
      <c r="N66" s="248"/>
      <c r="O66" s="260"/>
    </row>
    <row r="67" spans="1:15">
      <c r="A67" s="262">
        <v>201</v>
      </c>
      <c r="B67" s="58" t="s">
        <v>718</v>
      </c>
      <c r="C67" s="57">
        <f t="shared" ref="C67:C98" si="2">SUMIF(L_12MonthLights_3_Digit_Code,$A67,L_12MonLights_Count_Total)</f>
        <v>898</v>
      </c>
      <c r="D67" s="57">
        <f t="shared" ref="D67:D98" si="3">SUMIF(L_12MonthLights_3_Digit_Code,$A67,L_12MonLights_KWH_Total)</f>
        <v>0</v>
      </c>
      <c r="F67" s="249">
        <f>SUMIF(LightingRates!$D$1375:$D$1446,"LGUM_"&amp;A67,LightingRates!$G$1375:$G$1446)</f>
        <v>0.16</v>
      </c>
      <c r="G67" s="255">
        <f>ROUND(C67*F67,0)</f>
        <v>144</v>
      </c>
      <c r="H67" s="249"/>
      <c r="I67" s="249"/>
      <c r="L67" s="249"/>
      <c r="M67" s="249"/>
      <c r="N67" s="249"/>
      <c r="O67" s="260"/>
    </row>
    <row r="68" spans="1:15">
      <c r="A68" s="262">
        <v>203</v>
      </c>
      <c r="B68" s="58" t="s">
        <v>720</v>
      </c>
      <c r="C68" s="57">
        <f t="shared" si="2"/>
        <v>46852</v>
      </c>
      <c r="D68" s="57">
        <f t="shared" si="3"/>
        <v>0</v>
      </c>
      <c r="F68" s="249">
        <f>SUMIF(LightingRates!$D$1375:$D$1446,"LGUM_"&amp;A68,LightingRates!$G$1375:$G$1446)</f>
        <v>0.18</v>
      </c>
      <c r="G68" s="255">
        <f t="shared" ref="G68:G90" si="4">ROUND(C68*F68,0)</f>
        <v>8433</v>
      </c>
      <c r="H68" s="249"/>
      <c r="I68" s="249"/>
      <c r="L68" s="249"/>
      <c r="M68" s="249"/>
      <c r="N68" s="249"/>
      <c r="O68" s="260"/>
    </row>
    <row r="69" spans="1:15">
      <c r="A69" s="262">
        <v>204</v>
      </c>
      <c r="B69" s="58" t="s">
        <v>721</v>
      </c>
      <c r="C69" s="57">
        <f t="shared" si="2"/>
        <v>45423</v>
      </c>
      <c r="D69" s="57">
        <f t="shared" si="3"/>
        <v>0</v>
      </c>
      <c r="F69" s="249">
        <f>SUMIF(LightingRates!$D$1375:$D$1446,"LGUM_"&amp;A69,LightingRates!$G$1375:$G$1446)</f>
        <v>0.22</v>
      </c>
      <c r="G69" s="255">
        <f t="shared" si="4"/>
        <v>9993</v>
      </c>
      <c r="H69" s="249"/>
      <c r="I69" s="249"/>
      <c r="L69" s="249"/>
      <c r="M69" s="249"/>
      <c r="N69" s="249"/>
      <c r="O69" s="260"/>
    </row>
    <row r="70" spans="1:15">
      <c r="A70" s="262">
        <v>206</v>
      </c>
      <c r="B70" s="58" t="s">
        <v>722</v>
      </c>
      <c r="C70" s="57">
        <f t="shared" si="2"/>
        <v>1145</v>
      </c>
      <c r="D70" s="57">
        <f t="shared" si="3"/>
        <v>0</v>
      </c>
      <c r="F70" s="249">
        <f>SUMIF(LightingRates!$D$1375:$D$1446,"LGUM_"&amp;A70,LightingRates!$G$1375:$G$1446)</f>
        <v>0.16</v>
      </c>
      <c r="G70" s="255">
        <f t="shared" si="4"/>
        <v>183</v>
      </c>
      <c r="H70" s="249"/>
      <c r="I70" s="249"/>
      <c r="L70" s="249"/>
      <c r="M70" s="249"/>
      <c r="N70" s="249"/>
      <c r="O70" s="249"/>
    </row>
    <row r="71" spans="1:15">
      <c r="A71" s="262">
        <v>207</v>
      </c>
      <c r="B71" s="58" t="s">
        <v>723</v>
      </c>
      <c r="C71" s="57">
        <f t="shared" si="2"/>
        <v>9061</v>
      </c>
      <c r="D71" s="57">
        <f t="shared" si="3"/>
        <v>0</v>
      </c>
      <c r="F71" s="249">
        <f>SUMIF(LightingRates!$D$1375:$D$1446,"LGUM_"&amp;A71,LightingRates!$G$1375:$G$1446)</f>
        <v>0.22</v>
      </c>
      <c r="G71" s="255">
        <f t="shared" si="4"/>
        <v>1993</v>
      </c>
      <c r="H71" s="249"/>
      <c r="I71" s="249"/>
      <c r="L71" s="249"/>
      <c r="M71" s="249"/>
      <c r="N71" s="249"/>
      <c r="O71" s="249"/>
    </row>
    <row r="72" spans="1:15">
      <c r="A72" s="262">
        <v>208</v>
      </c>
      <c r="B72" s="58" t="s">
        <v>724</v>
      </c>
      <c r="C72" s="57">
        <f t="shared" si="2"/>
        <v>16800</v>
      </c>
      <c r="D72" s="57">
        <f t="shared" si="3"/>
        <v>0</v>
      </c>
      <c r="F72" s="249">
        <f>SUMIF(LightingRates!$D$1375:$D$1446,"LGUM_"&amp;A72,LightingRates!$G$1375:$G$1446)</f>
        <v>0.16</v>
      </c>
      <c r="G72" s="255">
        <f t="shared" si="4"/>
        <v>2688</v>
      </c>
      <c r="H72" s="249"/>
      <c r="I72" s="249"/>
      <c r="L72" s="249"/>
      <c r="M72" s="249"/>
      <c r="N72" s="249"/>
      <c r="O72" s="249"/>
    </row>
    <row r="73" spans="1:15">
      <c r="A73" s="262">
        <v>209</v>
      </c>
      <c r="B73" s="58" t="s">
        <v>725</v>
      </c>
      <c r="C73" s="57">
        <f t="shared" si="2"/>
        <v>529</v>
      </c>
      <c r="D73" s="57">
        <f t="shared" si="3"/>
        <v>0</v>
      </c>
      <c r="F73" s="249">
        <f>SUMIF(LightingRates!$D$1375:$D$1446,"LGUM_"&amp;A73,LightingRates!$G$1375:$G$1446)</f>
        <v>0.41</v>
      </c>
      <c r="G73" s="255">
        <f t="shared" si="4"/>
        <v>217</v>
      </c>
      <c r="H73" s="249"/>
      <c r="I73" s="249"/>
      <c r="L73" s="249"/>
      <c r="M73" s="249"/>
      <c r="N73" s="249"/>
      <c r="O73" s="249"/>
    </row>
    <row r="74" spans="1:15">
      <c r="A74" s="262">
        <v>210</v>
      </c>
      <c r="B74" s="58" t="s">
        <v>726</v>
      </c>
      <c r="C74" s="57">
        <f t="shared" si="2"/>
        <v>4224</v>
      </c>
      <c r="D74" s="57">
        <f t="shared" si="3"/>
        <v>0</v>
      </c>
      <c r="F74" s="249">
        <f>SUMIF(LightingRates!$D$1375:$D$1446,"LGUM_"&amp;A74,LightingRates!$G$1375:$G$1446)</f>
        <v>0.41</v>
      </c>
      <c r="G74" s="255">
        <f t="shared" si="4"/>
        <v>1732</v>
      </c>
      <c r="H74" s="249"/>
      <c r="I74" s="249"/>
      <c r="L74" s="249"/>
      <c r="M74" s="249"/>
      <c r="N74" s="249"/>
      <c r="O74" s="249"/>
    </row>
    <row r="75" spans="1:15">
      <c r="A75" s="262">
        <v>252</v>
      </c>
      <c r="B75" s="58" t="s">
        <v>719</v>
      </c>
      <c r="C75" s="57">
        <f t="shared" si="2"/>
        <v>47768</v>
      </c>
      <c r="D75" s="57">
        <f t="shared" si="3"/>
        <v>0</v>
      </c>
      <c r="F75" s="249">
        <f>SUMIF(LightingRates!$D$1375:$D$1446,"LGUM_"&amp;A75,LightingRates!$G$1375:$G$1446)</f>
        <v>0.16</v>
      </c>
      <c r="G75" s="255">
        <f t="shared" si="4"/>
        <v>7643</v>
      </c>
      <c r="H75" s="249"/>
      <c r="I75" s="249"/>
      <c r="L75" s="249"/>
      <c r="M75" s="249"/>
      <c r="N75" s="249"/>
      <c r="O75" s="249"/>
    </row>
    <row r="76" spans="1:15">
      <c r="A76" s="262">
        <v>266</v>
      </c>
      <c r="B76" s="58" t="s">
        <v>727</v>
      </c>
      <c r="C76" s="57">
        <f t="shared" si="2"/>
        <v>24215</v>
      </c>
      <c r="D76" s="57">
        <f t="shared" si="3"/>
        <v>0</v>
      </c>
      <c r="F76" s="249">
        <f>SUMIF(LightingRates!$D$1375:$D$1446,"LGUM_"&amp;A76,LightingRates!$G$1375:$G$1446)</f>
        <v>0.27</v>
      </c>
      <c r="G76" s="255">
        <f t="shared" si="4"/>
        <v>6538</v>
      </c>
      <c r="H76" s="249"/>
      <c r="I76" s="249"/>
      <c r="L76" s="249"/>
      <c r="M76" s="249"/>
      <c r="N76" s="249"/>
      <c r="O76" s="249"/>
    </row>
    <row r="77" spans="1:15">
      <c r="A77" s="262">
        <v>267</v>
      </c>
      <c r="B77" s="58" t="s">
        <v>728</v>
      </c>
      <c r="C77" s="57">
        <f t="shared" si="2"/>
        <v>26827</v>
      </c>
      <c r="D77" s="57">
        <f t="shared" si="3"/>
        <v>0</v>
      </c>
      <c r="F77" s="249">
        <f>SUMIF(LightingRates!$D$1375:$D$1446,"LGUM_"&amp;A77,LightingRates!$G$1375:$G$1446)</f>
        <v>0.28999999999999998</v>
      </c>
      <c r="G77" s="255">
        <f t="shared" si="4"/>
        <v>7780</v>
      </c>
      <c r="H77" s="249"/>
      <c r="I77" s="249"/>
      <c r="L77" s="249"/>
      <c r="M77" s="249"/>
      <c r="N77" s="249"/>
      <c r="O77" s="249"/>
    </row>
    <row r="78" spans="1:15">
      <c r="A78" s="262">
        <v>274</v>
      </c>
      <c r="B78" s="58" t="s">
        <v>730</v>
      </c>
      <c r="C78" s="57">
        <f t="shared" si="2"/>
        <v>200840</v>
      </c>
      <c r="D78" s="57">
        <f t="shared" si="3"/>
        <v>0</v>
      </c>
      <c r="F78" s="249">
        <f>SUMIF(LightingRates!$D$1375:$D$1446,"LGUM_"&amp;A78,LightingRates!$G$1375:$G$1446)</f>
        <v>0.27</v>
      </c>
      <c r="G78" s="255">
        <f t="shared" si="4"/>
        <v>54227</v>
      </c>
      <c r="H78" s="249"/>
      <c r="I78" s="249"/>
      <c r="L78" s="249"/>
      <c r="M78" s="249"/>
      <c r="N78" s="249"/>
      <c r="O78" s="249"/>
    </row>
    <row r="79" spans="1:15">
      <c r="A79" s="262">
        <v>275</v>
      </c>
      <c r="B79" s="58" t="s">
        <v>729</v>
      </c>
      <c r="C79" s="57">
        <f t="shared" si="2"/>
        <v>6209</v>
      </c>
      <c r="D79" s="57">
        <f t="shared" si="3"/>
        <v>0</v>
      </c>
      <c r="F79" s="249">
        <f>SUMIF(LightingRates!$D$1375:$D$1446,"LGUM_"&amp;A79,LightingRates!$G$1375:$G$1446)</f>
        <v>0.24</v>
      </c>
      <c r="G79" s="255">
        <f t="shared" si="4"/>
        <v>1490</v>
      </c>
      <c r="H79" s="249"/>
      <c r="I79" s="249"/>
      <c r="L79" s="249"/>
      <c r="M79" s="249"/>
      <c r="N79" s="249"/>
      <c r="O79" s="249"/>
    </row>
    <row r="80" spans="1:15">
      <c r="A80" s="262">
        <v>276</v>
      </c>
      <c r="B80" s="58" t="s">
        <v>731</v>
      </c>
      <c r="C80" s="57">
        <f t="shared" si="2"/>
        <v>15784</v>
      </c>
      <c r="D80" s="57">
        <f t="shared" si="3"/>
        <v>0</v>
      </c>
      <c r="F80" s="249">
        <f>SUMIF(LightingRates!$D$1375:$D$1446,"LGUM_"&amp;A80,LightingRates!$G$1375:$G$1446)</f>
        <v>0.26</v>
      </c>
      <c r="G80" s="255">
        <f t="shared" si="4"/>
        <v>4104</v>
      </c>
      <c r="H80" s="249"/>
      <c r="I80" s="249"/>
      <c r="L80" s="249"/>
      <c r="M80" s="249"/>
      <c r="N80" s="249"/>
      <c r="O80" s="249"/>
    </row>
    <row r="81" spans="1:15">
      <c r="A81" s="262">
        <v>277</v>
      </c>
      <c r="B81" s="58" t="s">
        <v>732</v>
      </c>
      <c r="C81" s="57">
        <f t="shared" si="2"/>
        <v>27123</v>
      </c>
      <c r="D81" s="57">
        <f t="shared" si="3"/>
        <v>0</v>
      </c>
      <c r="F81" s="249">
        <f>SUMIF(LightingRates!$D$1375:$D$1446,"LGUM_"&amp;A81,LightingRates!$G$1375:$G$1446)</f>
        <v>0.24</v>
      </c>
      <c r="G81" s="255">
        <f t="shared" si="4"/>
        <v>6510</v>
      </c>
      <c r="H81" s="249"/>
      <c r="I81" s="249"/>
      <c r="L81" s="249"/>
      <c r="M81" s="249"/>
      <c r="N81" s="249"/>
      <c r="O81" s="249"/>
    </row>
    <row r="82" spans="1:15">
      <c r="A82" s="262">
        <v>278</v>
      </c>
      <c r="B82" s="58" t="s">
        <v>733</v>
      </c>
      <c r="C82" s="57">
        <f t="shared" si="2"/>
        <v>201</v>
      </c>
      <c r="D82" s="57">
        <f t="shared" si="3"/>
        <v>0</v>
      </c>
      <c r="F82" s="249">
        <f>SUMIF(LightingRates!$D$1375:$D$1446,"LGUM_"&amp;A82,LightingRates!$G$1375:$G$1446)</f>
        <v>0.9</v>
      </c>
      <c r="G82" s="255">
        <f t="shared" si="4"/>
        <v>181</v>
      </c>
      <c r="H82" s="249"/>
      <c r="I82" s="249"/>
      <c r="L82" s="249"/>
      <c r="M82" s="249"/>
      <c r="N82" s="249"/>
      <c r="O82" s="249"/>
    </row>
    <row r="83" spans="1:15">
      <c r="A83" s="262">
        <v>279</v>
      </c>
      <c r="B83" s="58" t="s">
        <v>734</v>
      </c>
      <c r="C83" s="57">
        <f t="shared" si="2"/>
        <v>132</v>
      </c>
      <c r="D83" s="57">
        <f t="shared" si="3"/>
        <v>0</v>
      </c>
      <c r="F83" s="249">
        <f>SUMIF(LightingRates!$D$1375:$D$1446,"LGUM_"&amp;A83,LightingRates!$G$1375:$G$1446)</f>
        <v>0.9</v>
      </c>
      <c r="G83" s="255">
        <f t="shared" si="4"/>
        <v>119</v>
      </c>
      <c r="H83" s="249"/>
      <c r="I83" s="249"/>
      <c r="L83" s="249"/>
      <c r="M83" s="249"/>
      <c r="N83" s="249"/>
      <c r="O83" s="249"/>
    </row>
    <row r="84" spans="1:15">
      <c r="A84" s="262">
        <v>280</v>
      </c>
      <c r="B84" s="58" t="s">
        <v>735</v>
      </c>
      <c r="C84" s="57">
        <f t="shared" si="2"/>
        <v>539</v>
      </c>
      <c r="D84" s="57">
        <f t="shared" si="3"/>
        <v>0</v>
      </c>
      <c r="F84" s="249">
        <f>SUMIF(LightingRates!$D$1375:$D$1446,"LGUM_"&amp;A84,LightingRates!$G$1375:$G$1446)</f>
        <v>0.26</v>
      </c>
      <c r="G84" s="255">
        <f t="shared" si="4"/>
        <v>140</v>
      </c>
      <c r="H84" s="249"/>
      <c r="I84" s="249"/>
      <c r="L84" s="249"/>
      <c r="M84" s="249"/>
      <c r="N84" s="249"/>
      <c r="O84" s="249"/>
    </row>
    <row r="85" spans="1:15">
      <c r="A85" s="262">
        <v>281</v>
      </c>
      <c r="B85" s="58" t="s">
        <v>736</v>
      </c>
      <c r="C85" s="57">
        <f t="shared" si="2"/>
        <v>2887</v>
      </c>
      <c r="D85" s="57">
        <f t="shared" si="3"/>
        <v>0</v>
      </c>
      <c r="F85" s="249">
        <f>SUMIF(LightingRates!$D$1375:$D$1446,"LGUM_"&amp;A85,LightingRates!$G$1375:$G$1446)</f>
        <v>0.27</v>
      </c>
      <c r="G85" s="255">
        <f t="shared" si="4"/>
        <v>779</v>
      </c>
      <c r="H85" s="249"/>
      <c r="I85" s="249"/>
      <c r="L85" s="249"/>
      <c r="M85" s="249"/>
      <c r="N85" s="249"/>
      <c r="O85" s="249"/>
    </row>
    <row r="86" spans="1:15">
      <c r="A86" s="262">
        <v>282</v>
      </c>
      <c r="B86" s="58" t="s">
        <v>737</v>
      </c>
      <c r="C86" s="57">
        <f t="shared" si="2"/>
        <v>1241</v>
      </c>
      <c r="D86" s="57">
        <f t="shared" si="3"/>
        <v>0</v>
      </c>
      <c r="F86" s="249">
        <f>SUMIF(LightingRates!$D$1375:$D$1446,"LGUM_"&amp;A86,LightingRates!$G$1375:$G$1446)</f>
        <v>0.26</v>
      </c>
      <c r="G86" s="255">
        <f t="shared" si="4"/>
        <v>323</v>
      </c>
      <c r="H86" s="249"/>
      <c r="I86" s="249"/>
      <c r="L86" s="249"/>
      <c r="M86" s="249"/>
      <c r="N86" s="249"/>
      <c r="O86" s="249"/>
    </row>
    <row r="87" spans="1:15">
      <c r="A87" s="262">
        <v>283</v>
      </c>
      <c r="B87" s="58" t="s">
        <v>738</v>
      </c>
      <c r="C87" s="57">
        <f t="shared" si="2"/>
        <v>961</v>
      </c>
      <c r="D87" s="57">
        <f t="shared" si="3"/>
        <v>0</v>
      </c>
      <c r="F87" s="249">
        <f>SUMIF(LightingRates!$D$1375:$D$1446,"LGUM_"&amp;A87,LightingRates!$G$1375:$G$1446)</f>
        <v>0.27</v>
      </c>
      <c r="G87" s="255">
        <f t="shared" si="4"/>
        <v>259</v>
      </c>
      <c r="H87" s="249"/>
      <c r="I87" s="249"/>
      <c r="L87" s="249"/>
      <c r="M87" s="249"/>
      <c r="N87" s="249"/>
      <c r="O87" s="249"/>
    </row>
    <row r="88" spans="1:15">
      <c r="A88" s="262">
        <v>314</v>
      </c>
      <c r="B88" s="58" t="s">
        <v>739</v>
      </c>
      <c r="C88" s="57">
        <f t="shared" si="2"/>
        <v>6428</v>
      </c>
      <c r="D88" s="57">
        <f t="shared" si="3"/>
        <v>0</v>
      </c>
      <c r="F88" s="249">
        <f>SUMIF(LightingRates!$D$1375:$D$1446,"LGUM_"&amp;A88,LightingRates!$G$1375:$G$1446)</f>
        <v>0.18</v>
      </c>
      <c r="G88" s="255">
        <f t="shared" si="4"/>
        <v>1157</v>
      </c>
      <c r="H88" s="249"/>
      <c r="I88" s="249"/>
      <c r="L88" s="249"/>
      <c r="M88" s="249"/>
      <c r="N88" s="249"/>
      <c r="O88" s="249"/>
    </row>
    <row r="89" spans="1:15">
      <c r="A89" s="262">
        <v>315</v>
      </c>
      <c r="B89" s="58" t="s">
        <v>740</v>
      </c>
      <c r="C89" s="57">
        <f t="shared" si="2"/>
        <v>6191</v>
      </c>
      <c r="D89" s="57">
        <f t="shared" si="3"/>
        <v>0</v>
      </c>
      <c r="F89" s="249">
        <f>SUMIF(LightingRates!$D$1375:$D$1446,"LGUM_"&amp;A89,LightingRates!$G$1375:$G$1446)</f>
        <v>0.22</v>
      </c>
      <c r="G89" s="255">
        <f t="shared" si="4"/>
        <v>1362</v>
      </c>
      <c r="H89" s="249"/>
      <c r="I89" s="249"/>
      <c r="L89" s="249"/>
      <c r="M89" s="249"/>
      <c r="N89" s="249"/>
      <c r="O89" s="249"/>
    </row>
    <row r="90" spans="1:15">
      <c r="A90" s="262">
        <v>318</v>
      </c>
      <c r="B90" s="58" t="s">
        <v>741</v>
      </c>
      <c r="C90" s="57">
        <f t="shared" si="2"/>
        <v>687</v>
      </c>
      <c r="D90" s="57">
        <f t="shared" si="3"/>
        <v>0</v>
      </c>
      <c r="F90" s="249">
        <f>SUMIF(LightingRates!$D$1375:$D$1446,"LGUM_"&amp;A90,LightingRates!$G$1375:$G$1446)</f>
        <v>0.16</v>
      </c>
      <c r="G90" s="255">
        <f t="shared" si="4"/>
        <v>110</v>
      </c>
      <c r="H90" s="249"/>
      <c r="I90" s="249"/>
      <c r="L90" s="249"/>
      <c r="M90" s="249"/>
      <c r="N90" s="249"/>
      <c r="O90" s="249"/>
    </row>
    <row r="91" spans="1:15">
      <c r="A91" s="262">
        <v>347</v>
      </c>
      <c r="B91" s="58" t="s">
        <v>742</v>
      </c>
      <c r="C91" s="57">
        <f t="shared" si="2"/>
        <v>0</v>
      </c>
      <c r="D91" s="57">
        <f t="shared" si="3"/>
        <v>0</v>
      </c>
      <c r="F91" s="249">
        <f>SUMIF(LightingRates!$D$1375:$D$1446,"LGUM_"&amp;A91,LightingRates!$G$1375:$G$1446)</f>
        <v>0.22</v>
      </c>
      <c r="G91" s="255">
        <f t="shared" ref="G91:G117" si="5">ROUND(C91*F91,0)</f>
        <v>0</v>
      </c>
      <c r="H91" s="249"/>
      <c r="I91" s="249"/>
      <c r="L91" s="249"/>
      <c r="M91" s="249"/>
      <c r="N91" s="249"/>
      <c r="O91" s="249"/>
    </row>
    <row r="92" spans="1:15">
      <c r="A92" s="262">
        <v>348</v>
      </c>
      <c r="B92" s="58" t="s">
        <v>261</v>
      </c>
      <c r="C92" s="57">
        <f t="shared" si="2"/>
        <v>476</v>
      </c>
      <c r="D92" s="57">
        <f t="shared" si="3"/>
        <v>0</v>
      </c>
      <c r="F92" s="249">
        <f>SUMIF(LightingRates!$D$1375:$D$1446,"LGUM_"&amp;A92,LightingRates!$G$1375:$G$1446)</f>
        <v>0.19</v>
      </c>
      <c r="G92" s="255">
        <f t="shared" si="5"/>
        <v>90</v>
      </c>
      <c r="H92" s="249"/>
      <c r="I92" s="249"/>
      <c r="L92" s="249"/>
      <c r="M92" s="249"/>
      <c r="N92" s="249"/>
      <c r="O92" s="249"/>
    </row>
    <row r="93" spans="1:15">
      <c r="A93" s="262">
        <v>349</v>
      </c>
      <c r="B93" s="58" t="s">
        <v>263</v>
      </c>
      <c r="C93" s="57">
        <f t="shared" si="2"/>
        <v>679</v>
      </c>
      <c r="D93" s="57">
        <f t="shared" si="3"/>
        <v>0</v>
      </c>
      <c r="F93" s="249">
        <f>SUMIF(LightingRates!$D$1375:$D$1446,"LGUM_"&amp;A93,LightingRates!$G$1375:$G$1446)</f>
        <v>0.14000000000000001</v>
      </c>
      <c r="G93" s="255">
        <f t="shared" si="5"/>
        <v>95</v>
      </c>
      <c r="H93" s="249"/>
      <c r="I93" s="249"/>
      <c r="L93" s="249"/>
      <c r="M93" s="249"/>
      <c r="N93" s="249"/>
      <c r="O93" s="249"/>
    </row>
    <row r="94" spans="1:15">
      <c r="A94" s="262">
        <v>400</v>
      </c>
      <c r="B94" s="263" t="s">
        <v>685</v>
      </c>
      <c r="C94" s="57">
        <f t="shared" si="2"/>
        <v>2077</v>
      </c>
      <c r="D94" s="57">
        <f t="shared" si="3"/>
        <v>0</v>
      </c>
      <c r="F94" s="249">
        <f>SUMIF(LightingRates!$D$1375:$D$1446,"LGUM_"&amp;A94,LightingRates!$G$1375:$G$1446)</f>
        <v>0.37</v>
      </c>
      <c r="G94" s="255">
        <f t="shared" si="5"/>
        <v>768</v>
      </c>
      <c r="H94" s="249"/>
      <c r="I94" s="249"/>
      <c r="L94" s="249"/>
      <c r="M94" s="249"/>
      <c r="N94" s="249"/>
      <c r="O94" s="249"/>
    </row>
    <row r="95" spans="1:15">
      <c r="A95" s="262">
        <v>401</v>
      </c>
      <c r="B95" s="263" t="s">
        <v>693</v>
      </c>
      <c r="C95" s="57">
        <f t="shared" si="2"/>
        <v>74</v>
      </c>
      <c r="D95" s="57">
        <f t="shared" si="3"/>
        <v>0</v>
      </c>
      <c r="F95" s="249">
        <f>SUMIF(LightingRates!$D$1375:$D$1446,"LGUM_"&amp;A95,LightingRates!$G$1375:$G$1446)</f>
        <v>0.27</v>
      </c>
      <c r="G95" s="255">
        <f t="shared" si="5"/>
        <v>20</v>
      </c>
      <c r="H95" s="249"/>
      <c r="I95" s="249"/>
      <c r="L95" s="249"/>
      <c r="M95" s="249"/>
      <c r="N95" s="249"/>
      <c r="O95" s="249"/>
    </row>
    <row r="96" spans="1:15">
      <c r="A96" s="262">
        <v>412</v>
      </c>
      <c r="B96" s="58" t="s">
        <v>743</v>
      </c>
      <c r="C96" s="57">
        <f t="shared" si="2"/>
        <v>4482</v>
      </c>
      <c r="D96" s="57">
        <f t="shared" si="3"/>
        <v>0</v>
      </c>
      <c r="F96" s="249">
        <f>SUMIF(LightingRates!$D$1375:$D$1446,"LGUM_"&amp;A96,LightingRates!$G$1375:$G$1446)</f>
        <v>0.26</v>
      </c>
      <c r="G96" s="255">
        <f t="shared" si="5"/>
        <v>1165</v>
      </c>
      <c r="H96" s="249"/>
      <c r="I96" s="249"/>
      <c r="L96" s="249"/>
      <c r="M96" s="249"/>
      <c r="N96" s="249"/>
      <c r="O96" s="249"/>
    </row>
    <row r="97" spans="1:15">
      <c r="A97" s="262">
        <v>413</v>
      </c>
      <c r="B97" s="58" t="s">
        <v>744</v>
      </c>
      <c r="C97" s="57">
        <f t="shared" si="2"/>
        <v>22746</v>
      </c>
      <c r="D97" s="57">
        <f t="shared" si="3"/>
        <v>0</v>
      </c>
      <c r="F97" s="249">
        <f>SUMIF(LightingRates!$D$1375:$D$1446,"LGUM_"&amp;A97,LightingRates!$G$1375:$G$1446)</f>
        <v>0.27</v>
      </c>
      <c r="G97" s="255">
        <f t="shared" si="5"/>
        <v>6141</v>
      </c>
      <c r="H97" s="249"/>
      <c r="I97" s="249"/>
      <c r="L97" s="249"/>
      <c r="M97" s="249"/>
      <c r="N97" s="249"/>
      <c r="O97" s="249"/>
    </row>
    <row r="98" spans="1:15">
      <c r="A98" s="262">
        <v>414</v>
      </c>
      <c r="B98" s="58" t="s">
        <v>745</v>
      </c>
      <c r="C98" s="57">
        <f t="shared" si="2"/>
        <v>0</v>
      </c>
      <c r="D98" s="57">
        <f t="shared" si="3"/>
        <v>0</v>
      </c>
      <c r="F98" s="249">
        <f>SUMIF(LightingRates!$D$1375:$D$1446,"LGUM_"&amp;A98,LightingRates!$G$1375:$G$1446)</f>
        <v>0</v>
      </c>
      <c r="G98" s="255">
        <f t="shared" si="5"/>
        <v>0</v>
      </c>
      <c r="H98" s="249"/>
      <c r="I98" s="249"/>
      <c r="L98" s="249"/>
      <c r="M98" s="249"/>
      <c r="N98" s="249"/>
      <c r="O98" s="249"/>
    </row>
    <row r="99" spans="1:15">
      <c r="A99" s="262">
        <v>415</v>
      </c>
      <c r="B99" s="58" t="s">
        <v>746</v>
      </c>
      <c r="C99" s="57">
        <f t="shared" ref="C99:C130" si="6">SUMIF(L_12MonthLights_3_Digit_Code,$A99,L_12MonLights_Count_Total)</f>
        <v>478</v>
      </c>
      <c r="D99" s="57">
        <f t="shared" ref="D99:D130" si="7">SUMIF(L_12MonthLights_3_Digit_Code,$A99,L_12MonLights_KWH_Total)</f>
        <v>0</v>
      </c>
      <c r="F99" s="249">
        <f>SUMIF(LightingRates!$D$1375:$D$1446,"LGUM_"&amp;A99,LightingRates!$G$1375:$G$1446)</f>
        <v>0.26</v>
      </c>
      <c r="G99" s="255">
        <f t="shared" si="5"/>
        <v>124</v>
      </c>
      <c r="H99" s="249"/>
      <c r="I99" s="249"/>
      <c r="L99" s="249"/>
      <c r="M99" s="249"/>
      <c r="N99" s="249"/>
      <c r="O99" s="249"/>
    </row>
    <row r="100" spans="1:15">
      <c r="A100" s="262">
        <v>416</v>
      </c>
      <c r="B100" s="58" t="s">
        <v>747</v>
      </c>
      <c r="C100" s="57">
        <f t="shared" si="6"/>
        <v>19957</v>
      </c>
      <c r="D100" s="57">
        <f t="shared" si="7"/>
        <v>0</v>
      </c>
      <c r="F100" s="249">
        <f>SUMIF(LightingRates!$D$1375:$D$1446,"LGUM_"&amp;A100,LightingRates!$G$1375:$G$1446)</f>
        <v>0.27</v>
      </c>
      <c r="G100" s="255">
        <f t="shared" si="5"/>
        <v>5388</v>
      </c>
      <c r="H100" s="249"/>
      <c r="I100" s="249"/>
      <c r="L100" s="249"/>
      <c r="M100" s="249"/>
      <c r="N100" s="249"/>
      <c r="O100" s="249"/>
    </row>
    <row r="101" spans="1:15">
      <c r="A101" s="262">
        <v>417</v>
      </c>
      <c r="B101" s="58" t="s">
        <v>748</v>
      </c>
      <c r="C101" s="57">
        <f t="shared" si="6"/>
        <v>636</v>
      </c>
      <c r="D101" s="57">
        <f t="shared" si="7"/>
        <v>0</v>
      </c>
      <c r="F101" s="249">
        <f>SUMIF(LightingRates!$D$1375:$D$1446,"LGUM_"&amp;A101,LightingRates!$G$1375:$G$1446)</f>
        <v>0.27</v>
      </c>
      <c r="G101" s="255">
        <f t="shared" si="5"/>
        <v>172</v>
      </c>
      <c r="H101" s="249"/>
      <c r="I101" s="249"/>
      <c r="L101" s="249"/>
      <c r="M101" s="249"/>
      <c r="N101" s="249"/>
      <c r="O101" s="249"/>
    </row>
    <row r="102" spans="1:15">
      <c r="A102" s="262">
        <v>418</v>
      </c>
      <c r="B102" s="58" t="s">
        <v>749</v>
      </c>
      <c r="C102" s="57">
        <f t="shared" si="6"/>
        <v>0</v>
      </c>
      <c r="D102" s="57">
        <f t="shared" si="7"/>
        <v>0</v>
      </c>
      <c r="F102" s="249">
        <f>SUMIF(LightingRates!$D$1375:$D$1446,"LGUM_"&amp;A102,LightingRates!$G$1375:$G$1446)</f>
        <v>0</v>
      </c>
      <c r="G102" s="255">
        <f t="shared" si="5"/>
        <v>0</v>
      </c>
      <c r="H102" s="249"/>
      <c r="I102" s="249"/>
      <c r="L102" s="249"/>
      <c r="M102" s="249"/>
      <c r="N102" s="249"/>
      <c r="O102" s="249"/>
    </row>
    <row r="103" spans="1:15">
      <c r="A103" s="262">
        <v>419</v>
      </c>
      <c r="B103" s="58" t="s">
        <v>750</v>
      </c>
      <c r="C103" s="57">
        <f t="shared" si="6"/>
        <v>1801</v>
      </c>
      <c r="D103" s="57">
        <f t="shared" si="7"/>
        <v>0</v>
      </c>
      <c r="F103" s="249">
        <f>SUMIF(LightingRates!$D$1375:$D$1446,"LGUM_"&amp;A103,LightingRates!$G$1375:$G$1446)</f>
        <v>0.37</v>
      </c>
      <c r="G103" s="255">
        <f t="shared" si="5"/>
        <v>666</v>
      </c>
      <c r="H103" s="249"/>
      <c r="I103" s="249"/>
      <c r="L103" s="249"/>
      <c r="M103" s="249"/>
      <c r="N103" s="249"/>
      <c r="O103" s="249"/>
    </row>
    <row r="104" spans="1:15">
      <c r="A104" s="262">
        <v>420</v>
      </c>
      <c r="B104" s="58" t="s">
        <v>751</v>
      </c>
      <c r="C104" s="57">
        <f t="shared" si="6"/>
        <v>595</v>
      </c>
      <c r="D104" s="57">
        <f t="shared" si="7"/>
        <v>0</v>
      </c>
      <c r="F104" s="249">
        <f>SUMIF(LightingRates!$D$1375:$D$1446,"LGUM_"&amp;A104,LightingRates!$G$1375:$G$1446)</f>
        <v>0.24</v>
      </c>
      <c r="G104" s="255">
        <f t="shared" si="5"/>
        <v>143</v>
      </c>
      <c r="H104" s="249"/>
      <c r="I104" s="249"/>
      <c r="L104" s="249"/>
      <c r="M104" s="249"/>
      <c r="N104" s="249"/>
      <c r="O104" s="249"/>
    </row>
    <row r="105" spans="1:15">
      <c r="A105" s="262">
        <v>421</v>
      </c>
      <c r="B105" s="58" t="s">
        <v>752</v>
      </c>
      <c r="C105" s="57">
        <f t="shared" si="6"/>
        <v>1973</v>
      </c>
      <c r="D105" s="57">
        <f t="shared" si="7"/>
        <v>0</v>
      </c>
      <c r="F105" s="249">
        <f>SUMIF(LightingRates!$D$1375:$D$1446,"LGUM_"&amp;A105,LightingRates!$G$1375:$G$1446)</f>
        <v>0.27</v>
      </c>
      <c r="G105" s="255">
        <f t="shared" si="5"/>
        <v>533</v>
      </c>
      <c r="H105" s="249"/>
      <c r="I105" s="249"/>
      <c r="L105" s="249"/>
      <c r="M105" s="249"/>
      <c r="N105" s="249"/>
      <c r="O105" s="249"/>
    </row>
    <row r="106" spans="1:15">
      <c r="A106" s="262">
        <v>422</v>
      </c>
      <c r="B106" s="58" t="s">
        <v>753</v>
      </c>
      <c r="C106" s="57">
        <f t="shared" si="6"/>
        <v>4123</v>
      </c>
      <c r="D106" s="57">
        <f t="shared" si="7"/>
        <v>0</v>
      </c>
      <c r="F106" s="249">
        <f>SUMIF(LightingRates!$D$1375:$D$1446,"LGUM_"&amp;A106,LightingRates!$G$1375:$G$1446)</f>
        <v>0.28999999999999998</v>
      </c>
      <c r="G106" s="255">
        <f t="shared" si="5"/>
        <v>1196</v>
      </c>
      <c r="H106" s="249"/>
      <c r="I106" s="249"/>
      <c r="L106" s="249"/>
      <c r="M106" s="249"/>
      <c r="N106" s="249"/>
      <c r="O106" s="249"/>
    </row>
    <row r="107" spans="1:15">
      <c r="A107" s="262">
        <v>423</v>
      </c>
      <c r="B107" s="58" t="s">
        <v>754</v>
      </c>
      <c r="C107" s="57">
        <f t="shared" si="6"/>
        <v>258</v>
      </c>
      <c r="D107" s="57">
        <f t="shared" si="7"/>
        <v>0</v>
      </c>
      <c r="F107" s="249">
        <f>SUMIF(LightingRates!$D$1375:$D$1446,"LGUM_"&amp;A107,LightingRates!$G$1375:$G$1446)</f>
        <v>0.24</v>
      </c>
      <c r="G107" s="255">
        <f t="shared" si="5"/>
        <v>62</v>
      </c>
      <c r="H107" s="249"/>
      <c r="I107" s="249"/>
      <c r="L107" s="249"/>
      <c r="M107" s="249"/>
      <c r="N107" s="249"/>
      <c r="O107" s="249"/>
    </row>
    <row r="108" spans="1:15">
      <c r="A108" s="262">
        <v>424</v>
      </c>
      <c r="B108" s="58" t="s">
        <v>755</v>
      </c>
      <c r="C108" s="57">
        <f t="shared" si="6"/>
        <v>4882</v>
      </c>
      <c r="D108" s="57">
        <f t="shared" si="7"/>
        <v>0</v>
      </c>
      <c r="F108" s="249">
        <f>SUMIF(LightingRates!$D$1375:$D$1446,"LGUM_"&amp;A108,LightingRates!$G$1375:$G$1446)</f>
        <v>0.27</v>
      </c>
      <c r="G108" s="255">
        <f t="shared" si="5"/>
        <v>1318</v>
      </c>
      <c r="H108" s="249"/>
      <c r="I108" s="249"/>
      <c r="L108" s="249"/>
      <c r="M108" s="249"/>
      <c r="N108" s="249"/>
      <c r="O108" s="249"/>
    </row>
    <row r="109" spans="1:15">
      <c r="A109" s="262">
        <v>425</v>
      </c>
      <c r="B109" s="58" t="s">
        <v>756</v>
      </c>
      <c r="C109" s="57">
        <f t="shared" si="6"/>
        <v>576</v>
      </c>
      <c r="D109" s="57">
        <f t="shared" si="7"/>
        <v>0</v>
      </c>
      <c r="F109" s="249">
        <f>SUMIF(LightingRates!$D$1375:$D$1446,"LGUM_"&amp;A109,LightingRates!$G$1375:$G$1446)</f>
        <v>0.28999999999999998</v>
      </c>
      <c r="G109" s="255">
        <f t="shared" si="5"/>
        <v>167</v>
      </c>
      <c r="H109" s="249"/>
      <c r="I109" s="249"/>
      <c r="L109" s="249"/>
      <c r="M109" s="249"/>
      <c r="N109" s="249"/>
      <c r="O109" s="249"/>
    </row>
    <row r="110" spans="1:15">
      <c r="A110" s="262">
        <v>426</v>
      </c>
      <c r="B110" s="58" t="s">
        <v>757</v>
      </c>
      <c r="C110" s="57">
        <f t="shared" si="6"/>
        <v>645</v>
      </c>
      <c r="D110" s="57">
        <f t="shared" si="7"/>
        <v>0</v>
      </c>
      <c r="F110" s="249">
        <f>SUMIF(LightingRates!$D$1375:$D$1446,"LGUM_"&amp;A110,LightingRates!$G$1375:$G$1446)</f>
        <v>0.26</v>
      </c>
      <c r="G110" s="255">
        <f t="shared" si="5"/>
        <v>168</v>
      </c>
      <c r="H110" s="249"/>
      <c r="I110" s="249"/>
      <c r="L110" s="249"/>
      <c r="M110" s="249"/>
      <c r="N110" s="249"/>
      <c r="O110" s="249"/>
    </row>
    <row r="111" spans="1:15">
      <c r="A111" s="262">
        <v>427</v>
      </c>
      <c r="B111" s="58" t="s">
        <v>758</v>
      </c>
      <c r="C111" s="57">
        <f t="shared" si="6"/>
        <v>575</v>
      </c>
      <c r="D111" s="57">
        <f t="shared" si="7"/>
        <v>0</v>
      </c>
      <c r="F111" s="249">
        <f>SUMIF(LightingRates!$D$1375:$D$1446,"LGUM_"&amp;A111,LightingRates!$G$1375:$G$1446)</f>
        <v>0.26</v>
      </c>
      <c r="G111" s="255">
        <f t="shared" si="5"/>
        <v>150</v>
      </c>
      <c r="H111" s="249"/>
      <c r="I111" s="249"/>
      <c r="L111" s="249"/>
      <c r="M111" s="249"/>
      <c r="N111" s="249"/>
      <c r="O111" s="249"/>
    </row>
    <row r="112" spans="1:15">
      <c r="A112" s="262">
        <v>428</v>
      </c>
      <c r="B112" s="58" t="s">
        <v>759</v>
      </c>
      <c r="C112" s="57">
        <f t="shared" si="6"/>
        <v>2360</v>
      </c>
      <c r="D112" s="57">
        <f t="shared" si="7"/>
        <v>0</v>
      </c>
      <c r="F112" s="249">
        <f>SUMIF(LightingRates!$D$1375:$D$1446,"LGUM_"&amp;A112,LightingRates!$G$1375:$G$1446)</f>
        <v>0.27</v>
      </c>
      <c r="G112" s="255">
        <f t="shared" si="5"/>
        <v>637</v>
      </c>
      <c r="H112" s="249"/>
      <c r="I112" s="249"/>
      <c r="L112" s="249"/>
      <c r="M112" s="249"/>
      <c r="N112" s="249"/>
      <c r="O112" s="249"/>
    </row>
    <row r="113" spans="1:15">
      <c r="A113" s="262">
        <v>429</v>
      </c>
      <c r="B113" s="58" t="s">
        <v>760</v>
      </c>
      <c r="C113" s="57">
        <f t="shared" si="6"/>
        <v>2160</v>
      </c>
      <c r="D113" s="57">
        <f t="shared" si="7"/>
        <v>0</v>
      </c>
      <c r="F113" s="249">
        <f>SUMIF(LightingRates!$D$1375:$D$1446,"LGUM_"&amp;A113,LightingRates!$G$1375:$G$1446)</f>
        <v>0.27</v>
      </c>
      <c r="G113" s="255">
        <f t="shared" si="5"/>
        <v>583</v>
      </c>
      <c r="H113" s="249"/>
      <c r="I113" s="249"/>
      <c r="L113" s="249"/>
      <c r="M113" s="249"/>
      <c r="N113" s="249"/>
      <c r="O113" s="249"/>
    </row>
    <row r="114" spans="1:15">
      <c r="A114" s="262">
        <v>430</v>
      </c>
      <c r="B114" s="58" t="s">
        <v>761</v>
      </c>
      <c r="C114" s="57">
        <f t="shared" si="6"/>
        <v>358</v>
      </c>
      <c r="D114" s="57">
        <f t="shared" si="7"/>
        <v>0</v>
      </c>
      <c r="F114" s="249">
        <f>SUMIF(LightingRates!$D$1375:$D$1446,"LGUM_"&amp;A114,LightingRates!$G$1375:$G$1446)</f>
        <v>0.26</v>
      </c>
      <c r="G114" s="255">
        <f t="shared" si="5"/>
        <v>93</v>
      </c>
      <c r="H114" s="249"/>
      <c r="I114" s="249"/>
      <c r="L114" s="249"/>
      <c r="M114" s="249"/>
      <c r="N114" s="249"/>
      <c r="O114" s="249"/>
    </row>
    <row r="115" spans="1:15">
      <c r="A115" s="262">
        <v>431</v>
      </c>
      <c r="B115" s="58" t="s">
        <v>762</v>
      </c>
      <c r="C115" s="57">
        <f t="shared" si="6"/>
        <v>485</v>
      </c>
      <c r="D115" s="57">
        <f t="shared" si="7"/>
        <v>0</v>
      </c>
      <c r="F115" s="249">
        <f>SUMIF(LightingRates!$D$1375:$D$1446,"LGUM_"&amp;A115,LightingRates!$G$1375:$G$1446)</f>
        <v>0.26</v>
      </c>
      <c r="G115" s="255">
        <f t="shared" si="5"/>
        <v>126</v>
      </c>
      <c r="H115" s="249"/>
      <c r="I115" s="249"/>
      <c r="L115" s="249"/>
      <c r="M115" s="249"/>
      <c r="N115" s="249"/>
      <c r="O115" s="249"/>
    </row>
    <row r="116" spans="1:15">
      <c r="A116" s="262">
        <v>432</v>
      </c>
      <c r="B116" s="58" t="s">
        <v>763</v>
      </c>
      <c r="C116" s="57">
        <f t="shared" si="6"/>
        <v>119</v>
      </c>
      <c r="D116" s="57">
        <f t="shared" si="7"/>
        <v>0</v>
      </c>
      <c r="F116" s="249">
        <f>SUMIF(LightingRates!$D$1375:$D$1446,"LGUM_"&amp;A116,LightingRates!$G$1375:$G$1446)</f>
        <v>0.27</v>
      </c>
      <c r="G116" s="255">
        <f t="shared" si="5"/>
        <v>32</v>
      </c>
      <c r="H116" s="249"/>
      <c r="I116" s="249"/>
      <c r="L116" s="249"/>
      <c r="M116" s="249"/>
      <c r="N116" s="249"/>
      <c r="O116" s="249"/>
    </row>
    <row r="117" spans="1:15">
      <c r="A117" s="262">
        <v>433</v>
      </c>
      <c r="B117" s="58" t="s">
        <v>764</v>
      </c>
      <c r="C117" s="57">
        <f t="shared" si="6"/>
        <v>3281</v>
      </c>
      <c r="D117" s="57">
        <f t="shared" si="7"/>
        <v>0</v>
      </c>
      <c r="F117" s="249">
        <f>SUMIF(LightingRates!$D$1375:$D$1446,"LGUM_"&amp;A117,LightingRates!$G$1375:$G$1446)</f>
        <v>0.27</v>
      </c>
      <c r="G117" s="255">
        <f t="shared" si="5"/>
        <v>886</v>
      </c>
      <c r="H117" s="249"/>
      <c r="I117" s="249"/>
      <c r="L117" s="249"/>
      <c r="M117" s="249"/>
      <c r="N117" s="249"/>
      <c r="O117" s="249"/>
    </row>
    <row r="118" spans="1:15">
      <c r="A118" s="262">
        <v>439</v>
      </c>
      <c r="B118" s="173" t="s">
        <v>661</v>
      </c>
      <c r="C118" s="57">
        <f t="shared" si="6"/>
        <v>0</v>
      </c>
      <c r="D118" s="57">
        <f t="shared" si="7"/>
        <v>0</v>
      </c>
      <c r="F118" s="249">
        <f>SUMIF(LightingRates!$D$1375:$D$1446,"LGUM_"&amp;A118,LightingRates!$G$1375:$G$1446)</f>
        <v>0.24</v>
      </c>
      <c r="G118" s="255">
        <f t="shared" ref="G118:G140" si="8">ROUND(C118*F118,0)</f>
        <v>0</v>
      </c>
      <c r="H118" s="249"/>
      <c r="I118" s="249"/>
      <c r="L118" s="249"/>
      <c r="M118" s="249"/>
      <c r="N118" s="249"/>
      <c r="O118" s="249"/>
    </row>
    <row r="119" spans="1:15">
      <c r="A119" s="262">
        <v>440</v>
      </c>
      <c r="B119" s="173" t="s">
        <v>662</v>
      </c>
      <c r="C119" s="57">
        <f t="shared" si="6"/>
        <v>1791</v>
      </c>
      <c r="D119" s="57">
        <f t="shared" si="7"/>
        <v>0</v>
      </c>
      <c r="F119" s="249">
        <f>SUMIF(LightingRates!$D$1375:$D$1446,"LGUM_"&amp;A119,LightingRates!$G$1375:$G$1446)</f>
        <v>0.27</v>
      </c>
      <c r="G119" s="255">
        <f t="shared" si="8"/>
        <v>484</v>
      </c>
      <c r="H119" s="249"/>
      <c r="I119" s="249"/>
      <c r="L119" s="249"/>
      <c r="M119" s="249"/>
      <c r="N119" s="249"/>
      <c r="O119" s="249"/>
    </row>
    <row r="120" spans="1:15">
      <c r="A120" s="262">
        <v>441</v>
      </c>
      <c r="B120" s="173" t="s">
        <v>697</v>
      </c>
      <c r="C120" s="57">
        <f t="shared" si="6"/>
        <v>2775</v>
      </c>
      <c r="D120" s="57">
        <f t="shared" si="7"/>
        <v>0</v>
      </c>
      <c r="F120" s="249">
        <f>SUMIF(LightingRates!$D$1375:$D$1446,"LGUM_"&amp;A120,LightingRates!$G$1375:$G$1446)</f>
        <v>0.28999999999999998</v>
      </c>
      <c r="G120" s="255">
        <f t="shared" si="8"/>
        <v>805</v>
      </c>
      <c r="H120" s="249"/>
      <c r="I120" s="249"/>
      <c r="L120" s="249"/>
      <c r="M120" s="249"/>
      <c r="N120" s="249"/>
      <c r="O120" s="249"/>
    </row>
    <row r="121" spans="1:15">
      <c r="A121" s="262">
        <v>452</v>
      </c>
      <c r="B121" s="58" t="s">
        <v>765</v>
      </c>
      <c r="C121" s="57">
        <f t="shared" si="6"/>
        <v>73273</v>
      </c>
      <c r="D121" s="57">
        <f t="shared" si="7"/>
        <v>0</v>
      </c>
      <c r="F121" s="249">
        <f>SUMIF(LightingRates!$D$1375:$D$1446,"LGUM_"&amp;A121,LightingRates!$G$1375:$G$1446)</f>
        <v>0.24</v>
      </c>
      <c r="G121" s="255">
        <f t="shared" si="8"/>
        <v>17586</v>
      </c>
      <c r="H121" s="249"/>
      <c r="I121" s="249"/>
      <c r="L121" s="249"/>
      <c r="M121" s="249"/>
      <c r="N121" s="249"/>
      <c r="O121" s="249"/>
    </row>
    <row r="122" spans="1:15">
      <c r="A122" s="262">
        <v>453</v>
      </c>
      <c r="B122" s="58" t="s">
        <v>766</v>
      </c>
      <c r="C122" s="57">
        <f t="shared" si="6"/>
        <v>119571</v>
      </c>
      <c r="D122" s="57">
        <f t="shared" si="7"/>
        <v>0</v>
      </c>
      <c r="F122" s="249">
        <f>SUMIF(LightingRates!$D$1375:$D$1446,"LGUM_"&amp;A122,LightingRates!$G$1375:$G$1446)</f>
        <v>0.27</v>
      </c>
      <c r="G122" s="255">
        <f t="shared" si="8"/>
        <v>32284</v>
      </c>
      <c r="H122" s="249"/>
      <c r="I122" s="249"/>
      <c r="L122" s="249"/>
      <c r="M122" s="249"/>
      <c r="N122" s="249"/>
      <c r="O122" s="249"/>
    </row>
    <row r="123" spans="1:15">
      <c r="A123" s="262">
        <v>454</v>
      </c>
      <c r="B123" s="58" t="s">
        <v>767</v>
      </c>
      <c r="C123" s="57">
        <f t="shared" si="6"/>
        <v>64813</v>
      </c>
      <c r="D123" s="57">
        <f t="shared" si="7"/>
        <v>0</v>
      </c>
      <c r="F123" s="249">
        <f>SUMIF(LightingRates!$D$1375:$D$1446,"LGUM_"&amp;A123,LightingRates!$G$1375:$G$1446)</f>
        <v>0.28999999999999998</v>
      </c>
      <c r="G123" s="255">
        <f t="shared" si="8"/>
        <v>18796</v>
      </c>
      <c r="H123" s="249"/>
      <c r="I123" s="249"/>
      <c r="L123" s="249"/>
      <c r="M123" s="249"/>
      <c r="N123" s="249"/>
      <c r="O123" s="249"/>
    </row>
    <row r="124" spans="1:15">
      <c r="A124" s="262">
        <v>455</v>
      </c>
      <c r="B124" s="58" t="s">
        <v>768</v>
      </c>
      <c r="C124" s="57">
        <f t="shared" si="6"/>
        <v>4447</v>
      </c>
      <c r="D124" s="57">
        <f t="shared" si="7"/>
        <v>0</v>
      </c>
      <c r="F124" s="249">
        <f>SUMIF(LightingRates!$D$1375:$D$1446,"LGUM_"&amp;A124,LightingRates!$G$1375:$G$1446)</f>
        <v>0.24</v>
      </c>
      <c r="G124" s="255">
        <f t="shared" si="8"/>
        <v>1067</v>
      </c>
      <c r="H124" s="249"/>
      <c r="I124" s="249"/>
      <c r="L124" s="249"/>
      <c r="M124" s="249"/>
      <c r="N124" s="249"/>
      <c r="O124" s="249"/>
    </row>
    <row r="125" spans="1:15">
      <c r="A125" s="262">
        <v>456</v>
      </c>
      <c r="B125" s="58" t="s">
        <v>769</v>
      </c>
      <c r="C125" s="57">
        <f t="shared" si="6"/>
        <v>141112</v>
      </c>
      <c r="D125" s="57">
        <f t="shared" si="7"/>
        <v>0</v>
      </c>
      <c r="F125" s="249">
        <f>SUMIF(LightingRates!$D$1375:$D$1446,"LGUM_"&amp;A125,LightingRates!$G$1375:$G$1446)</f>
        <v>0.28999999999999998</v>
      </c>
      <c r="G125" s="255">
        <f t="shared" si="8"/>
        <v>40922</v>
      </c>
      <c r="H125" s="249"/>
      <c r="I125" s="249"/>
      <c r="L125" s="249"/>
      <c r="M125" s="249"/>
      <c r="N125" s="249"/>
      <c r="O125" s="249"/>
    </row>
    <row r="126" spans="1:15">
      <c r="A126" s="262">
        <v>457</v>
      </c>
      <c r="B126" s="58" t="s">
        <v>770</v>
      </c>
      <c r="C126" s="57">
        <f t="shared" si="6"/>
        <v>35830</v>
      </c>
      <c r="D126" s="57">
        <f t="shared" si="7"/>
        <v>0</v>
      </c>
      <c r="F126" s="249">
        <f>SUMIF(LightingRates!$D$1375:$D$1446,"LGUM_"&amp;A126,LightingRates!$G$1375:$G$1446)</f>
        <v>0.27</v>
      </c>
      <c r="G126" s="255">
        <f t="shared" si="8"/>
        <v>9674</v>
      </c>
      <c r="H126" s="249"/>
      <c r="I126" s="249"/>
      <c r="L126" s="249"/>
      <c r="M126" s="249"/>
      <c r="N126" s="249"/>
      <c r="O126" s="249"/>
    </row>
    <row r="127" spans="1:15">
      <c r="A127" s="262">
        <v>458</v>
      </c>
      <c r="B127" s="58" t="s">
        <v>771</v>
      </c>
      <c r="C127" s="57">
        <f t="shared" si="6"/>
        <v>727</v>
      </c>
      <c r="D127" s="57">
        <f t="shared" si="7"/>
        <v>0</v>
      </c>
      <c r="F127" s="249">
        <f>SUMIF(LightingRates!$D$1375:$D$1446,"LGUM_"&amp;A127,LightingRates!$G$1375:$G$1446)</f>
        <v>0.16</v>
      </c>
      <c r="G127" s="255">
        <f t="shared" si="8"/>
        <v>116</v>
      </c>
      <c r="H127" s="249"/>
      <c r="I127" s="249"/>
      <c r="L127" s="249"/>
      <c r="M127" s="249"/>
      <c r="N127" s="249"/>
      <c r="O127" s="249"/>
    </row>
    <row r="128" spans="1:15">
      <c r="A128" s="262">
        <v>470</v>
      </c>
      <c r="B128" s="264" t="s">
        <v>772</v>
      </c>
      <c r="C128" s="57">
        <f t="shared" si="6"/>
        <v>309</v>
      </c>
      <c r="D128" s="57">
        <f t="shared" si="7"/>
        <v>0</v>
      </c>
      <c r="F128" s="249">
        <f>SUMIF(LightingRates!$D$1375:$D$1446,"LGUM_"&amp;A128,LightingRates!$G$1375:$G$1446)</f>
        <v>0.27</v>
      </c>
      <c r="G128" s="255">
        <f t="shared" si="8"/>
        <v>83</v>
      </c>
      <c r="H128" s="249"/>
      <c r="I128" s="249"/>
      <c r="L128" s="249"/>
      <c r="M128" s="249"/>
      <c r="N128" s="249"/>
      <c r="O128" s="249"/>
    </row>
    <row r="129" spans="1:15">
      <c r="A129" s="262">
        <v>471</v>
      </c>
      <c r="B129" s="264" t="s">
        <v>773</v>
      </c>
      <c r="C129" s="57">
        <f t="shared" si="6"/>
        <v>26</v>
      </c>
      <c r="D129" s="57">
        <f t="shared" si="7"/>
        <v>0</v>
      </c>
      <c r="F129" s="249">
        <f>SUMIF(LightingRates!$D$1375:$D$1446,"LGUM_"&amp;A129,LightingRates!$G$1375:$G$1446)</f>
        <v>0.27</v>
      </c>
      <c r="G129" s="255">
        <f t="shared" si="8"/>
        <v>7</v>
      </c>
      <c r="H129" s="249"/>
      <c r="I129" s="249"/>
      <c r="L129" s="249"/>
      <c r="M129" s="249"/>
      <c r="N129" s="249"/>
      <c r="O129" s="249"/>
    </row>
    <row r="130" spans="1:15">
      <c r="A130" s="262">
        <v>473</v>
      </c>
      <c r="B130" s="264" t="s">
        <v>774</v>
      </c>
      <c r="C130" s="57">
        <f t="shared" si="6"/>
        <v>4685</v>
      </c>
      <c r="D130" s="57">
        <f t="shared" si="7"/>
        <v>0</v>
      </c>
      <c r="F130" s="249">
        <f>SUMIF(LightingRates!$D$1375:$D$1446,"LGUM_"&amp;A130,LightingRates!$G$1375:$G$1446)</f>
        <v>0.3</v>
      </c>
      <c r="G130" s="255">
        <f t="shared" si="8"/>
        <v>1406</v>
      </c>
      <c r="H130" s="249"/>
      <c r="I130" s="249"/>
      <c r="L130" s="249"/>
      <c r="M130" s="249"/>
      <c r="N130" s="249"/>
      <c r="O130" s="249"/>
    </row>
    <row r="131" spans="1:15">
      <c r="A131" s="262">
        <v>474</v>
      </c>
      <c r="B131" s="264" t="s">
        <v>775</v>
      </c>
      <c r="C131" s="57">
        <f t="shared" ref="C131:C140" si="9">SUMIF(L_12MonthLights_3_Digit_Code,$A131,L_12MonLights_Count_Total)</f>
        <v>708</v>
      </c>
      <c r="D131" s="57">
        <f t="shared" ref="D131:D140" si="10">SUMIF(L_12MonthLights_3_Digit_Code,$A131,L_12MonLights_KWH_Total)</f>
        <v>0</v>
      </c>
      <c r="F131" s="249">
        <f>SUMIF(LightingRates!$D$1375:$D$1446,"LGUM_"&amp;A131,LightingRates!$G$1375:$G$1446)</f>
        <v>0.3</v>
      </c>
      <c r="G131" s="255">
        <f t="shared" si="8"/>
        <v>212</v>
      </c>
      <c r="H131" s="249"/>
      <c r="I131" s="249"/>
      <c r="L131" s="249"/>
      <c r="M131" s="249"/>
      <c r="N131" s="249"/>
      <c r="O131" s="249"/>
    </row>
    <row r="132" spans="1:15">
      <c r="A132" s="262">
        <v>475</v>
      </c>
      <c r="B132" s="264" t="s">
        <v>776</v>
      </c>
      <c r="C132" s="57">
        <f t="shared" si="9"/>
        <v>37</v>
      </c>
      <c r="D132" s="57">
        <f t="shared" si="10"/>
        <v>0</v>
      </c>
      <c r="F132" s="249">
        <f>SUMIF(LightingRates!$D$1375:$D$1446,"LGUM_"&amp;A132,LightingRates!$G$1375:$G$1446)</f>
        <v>0.3</v>
      </c>
      <c r="G132" s="255">
        <f t="shared" si="8"/>
        <v>11</v>
      </c>
      <c r="H132" s="249"/>
      <c r="I132" s="249"/>
      <c r="L132" s="249"/>
      <c r="M132" s="249"/>
      <c r="N132" s="249"/>
      <c r="O132" s="249"/>
    </row>
    <row r="133" spans="1:15">
      <c r="A133" s="262">
        <v>476</v>
      </c>
      <c r="B133" s="264" t="s">
        <v>777</v>
      </c>
      <c r="C133" s="57">
        <f t="shared" si="9"/>
        <v>4069</v>
      </c>
      <c r="D133" s="57">
        <f t="shared" si="10"/>
        <v>0</v>
      </c>
      <c r="F133" s="249">
        <f>SUMIF(LightingRates!$D$1375:$D$1446,"LGUM_"&amp;A133,LightingRates!$G$1375:$G$1446)</f>
        <v>0.61</v>
      </c>
      <c r="G133" s="255">
        <f t="shared" si="8"/>
        <v>2482</v>
      </c>
      <c r="H133" s="249"/>
      <c r="I133" s="249"/>
      <c r="L133" s="249"/>
      <c r="M133" s="249"/>
      <c r="N133" s="249"/>
      <c r="O133" s="249"/>
    </row>
    <row r="134" spans="1:15">
      <c r="A134" s="262">
        <v>477</v>
      </c>
      <c r="B134" s="264" t="s">
        <v>778</v>
      </c>
      <c r="C134" s="57">
        <f t="shared" si="9"/>
        <v>682</v>
      </c>
      <c r="D134" s="57">
        <f t="shared" si="10"/>
        <v>0</v>
      </c>
      <c r="F134" s="249">
        <f>SUMIF(LightingRates!$D$1375:$D$1446,"LGUM_"&amp;A134,LightingRates!$G$1375:$G$1446)</f>
        <v>0.61</v>
      </c>
      <c r="G134" s="255">
        <f t="shared" si="8"/>
        <v>416</v>
      </c>
      <c r="H134" s="249"/>
      <c r="I134" s="249"/>
      <c r="L134" s="249"/>
      <c r="M134" s="249"/>
      <c r="N134" s="249"/>
      <c r="O134" s="249"/>
    </row>
    <row r="135" spans="1:15">
      <c r="A135" s="262">
        <v>479</v>
      </c>
      <c r="B135" s="264" t="s">
        <v>779</v>
      </c>
      <c r="C135" s="57">
        <f t="shared" si="9"/>
        <v>0</v>
      </c>
      <c r="D135" s="57">
        <f t="shared" si="10"/>
        <v>0</v>
      </c>
      <c r="F135" s="249">
        <f>SUMIF(LightingRates!$D$1375:$D$1446,"LGUM_"&amp;A135,LightingRates!$G$1375:$G$1446)</f>
        <v>0.27</v>
      </c>
      <c r="G135" s="255">
        <f t="shared" si="8"/>
        <v>0</v>
      </c>
      <c r="H135" s="249"/>
      <c r="I135" s="249"/>
      <c r="L135" s="249"/>
      <c r="M135" s="249"/>
      <c r="N135" s="249"/>
      <c r="O135" s="249"/>
    </row>
    <row r="136" spans="1:15">
      <c r="A136" s="262">
        <v>480</v>
      </c>
      <c r="B136" s="264" t="s">
        <v>780</v>
      </c>
      <c r="C136" s="57">
        <f t="shared" si="9"/>
        <v>199</v>
      </c>
      <c r="D136" s="57">
        <f t="shared" si="10"/>
        <v>0</v>
      </c>
      <c r="F136" s="249">
        <f>SUMIF(LightingRates!$D$1375:$D$1446,"LGUM_"&amp;A136,LightingRates!$G$1375:$G$1446)</f>
        <v>0.27</v>
      </c>
      <c r="G136" s="255">
        <f t="shared" si="8"/>
        <v>54</v>
      </c>
      <c r="H136" s="249"/>
      <c r="I136" s="249"/>
      <c r="L136" s="249"/>
      <c r="M136" s="249"/>
      <c r="N136" s="249"/>
      <c r="O136" s="249"/>
    </row>
    <row r="137" spans="1:15">
      <c r="A137" s="262">
        <v>481</v>
      </c>
      <c r="B137" s="264" t="s">
        <v>781</v>
      </c>
      <c r="C137" s="57">
        <f t="shared" si="9"/>
        <v>76</v>
      </c>
      <c r="D137" s="57">
        <f t="shared" si="10"/>
        <v>0</v>
      </c>
      <c r="F137" s="249">
        <f>SUMIF(LightingRates!$D$1375:$D$1446,"LGUM_"&amp;A137,LightingRates!$G$1375:$G$1446)</f>
        <v>0.3</v>
      </c>
      <c r="G137" s="255">
        <f t="shared" si="8"/>
        <v>23</v>
      </c>
      <c r="H137" s="249"/>
      <c r="I137" s="249"/>
      <c r="L137" s="249"/>
      <c r="M137" s="249"/>
      <c r="N137" s="249"/>
      <c r="O137" s="249"/>
    </row>
    <row r="138" spans="1:15">
      <c r="A138" s="262">
        <v>482</v>
      </c>
      <c r="B138" s="264" t="s">
        <v>782</v>
      </c>
      <c r="C138" s="57">
        <f t="shared" si="9"/>
        <v>485</v>
      </c>
      <c r="D138" s="57">
        <f t="shared" si="10"/>
        <v>0</v>
      </c>
      <c r="F138" s="249">
        <f>SUMIF(LightingRates!$D$1375:$D$1446,"LGUM_"&amp;A138,LightingRates!$G$1375:$G$1446)</f>
        <v>0.3</v>
      </c>
      <c r="G138" s="255">
        <f t="shared" si="8"/>
        <v>146</v>
      </c>
      <c r="H138" s="249"/>
      <c r="I138" s="249"/>
      <c r="L138" s="249"/>
      <c r="M138" s="249"/>
      <c r="N138" s="249"/>
      <c r="O138" s="249"/>
    </row>
    <row r="139" spans="1:15">
      <c r="A139" s="262">
        <v>483</v>
      </c>
      <c r="B139" s="264" t="s">
        <v>783</v>
      </c>
      <c r="C139" s="57">
        <f t="shared" si="9"/>
        <v>24</v>
      </c>
      <c r="D139" s="57">
        <f t="shared" si="10"/>
        <v>0</v>
      </c>
      <c r="F139" s="249">
        <f>SUMIF(LightingRates!$D$1375:$D$1446,"LGUM_"&amp;A139,LightingRates!$G$1375:$G$1446)</f>
        <v>0.61</v>
      </c>
      <c r="G139" s="255">
        <f t="shared" si="8"/>
        <v>15</v>
      </c>
      <c r="H139" s="249"/>
      <c r="I139" s="249"/>
      <c r="L139" s="249"/>
      <c r="M139" s="249"/>
      <c r="N139" s="249"/>
      <c r="O139" s="249"/>
    </row>
    <row r="140" spans="1:15" ht="25.5">
      <c r="A140" s="262">
        <v>484</v>
      </c>
      <c r="B140" s="264" t="s">
        <v>784</v>
      </c>
      <c r="C140" s="57">
        <f t="shared" si="9"/>
        <v>156</v>
      </c>
      <c r="D140" s="57">
        <f t="shared" si="10"/>
        <v>0</v>
      </c>
      <c r="F140" s="249">
        <f>SUMIF(LightingRates!$D$1375:$D$1446,"LGUM_"&amp;A140,LightingRates!$G$1375:$G$1446)</f>
        <v>0.61</v>
      </c>
      <c r="G140" s="255">
        <f t="shared" si="8"/>
        <v>95</v>
      </c>
      <c r="H140" s="249"/>
      <c r="I140" s="249"/>
      <c r="L140" s="249"/>
      <c r="M140" s="249"/>
      <c r="N140" s="249"/>
      <c r="O140" s="249"/>
    </row>
    <row r="142" spans="1:15">
      <c r="G142" s="57">
        <f>SUM(G7,G12,G19,G24,G31,G38,G45,G52,G58,G62:G140)</f>
        <v>14588927</v>
      </c>
    </row>
    <row r="143" spans="1:15">
      <c r="D143" s="266"/>
      <c r="E143" s="266"/>
      <c r="H143" s="249"/>
      <c r="I143" s="249"/>
      <c r="L143" s="249"/>
      <c r="M143" s="249"/>
    </row>
    <row r="144" spans="1:15">
      <c r="H144" s="267"/>
    </row>
    <row r="145" spans="1:9">
      <c r="H145" s="268"/>
      <c r="I145" s="249"/>
    </row>
    <row r="148" spans="1:9">
      <c r="A148" s="57"/>
      <c r="F148" s="161"/>
    </row>
    <row r="149" spans="1:9">
      <c r="A149" s="57"/>
      <c r="B149" s="161"/>
    </row>
    <row r="151" spans="1:9" ht="15">
      <c r="A151" s="57"/>
      <c r="H151" s="254"/>
    </row>
    <row r="154" spans="1:9">
      <c r="A154" s="57"/>
    </row>
    <row r="155" spans="1:9">
      <c r="A155" s="57"/>
    </row>
  </sheetData>
  <autoFilter ref="B66:B140"/>
  <mergeCells count="1">
    <mergeCell ref="C3:E3"/>
  </mergeCells>
  <printOptions headings="1"/>
  <pageMargins left="0.7" right="0.7" top="1" bottom="0.75" header="0.3" footer="0.3"/>
  <pageSetup scale="78" fitToWidth="2" fitToHeight="0" pageOrder="overThenDown" orientation="landscape" r:id="rId1"/>
  <headerFooter>
    <oddFooter>&amp;RPage &amp;P of &amp;N</oddFooter>
  </headerFooter>
  <rowBreaks count="3" manualBreakCount="3">
    <brk id="32" max="6" man="1"/>
    <brk id="66" max="6" man="1"/>
    <brk id="10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14"/>
  <sheetViews>
    <sheetView workbookViewId="0"/>
  </sheetViews>
  <sheetFormatPr defaultRowHeight="12"/>
  <cols>
    <col min="1" max="1" width="12.5" style="98" bestFit="1" customWidth="1"/>
    <col min="2" max="16384" width="9.33203125" style="98"/>
  </cols>
  <sheetData>
    <row r="1" spans="1:2">
      <c r="A1" s="98">
        <v>1022</v>
      </c>
      <c r="B1" s="134" t="s">
        <v>92</v>
      </c>
    </row>
    <row r="2" spans="1:2">
      <c r="A2" s="98">
        <v>1055</v>
      </c>
      <c r="B2" s="134" t="s">
        <v>91</v>
      </c>
    </row>
    <row r="3" spans="1:2">
      <c r="A3" s="98">
        <v>1051</v>
      </c>
      <c r="B3" s="134" t="s">
        <v>90</v>
      </c>
    </row>
    <row r="5" spans="1:2">
      <c r="A5" s="98" t="s">
        <v>93</v>
      </c>
      <c r="B5" s="98" t="s">
        <v>94</v>
      </c>
    </row>
    <row r="7" spans="1:2">
      <c r="A7" s="98" t="s">
        <v>95</v>
      </c>
      <c r="B7" s="98" t="s">
        <v>96</v>
      </c>
    </row>
    <row r="8" spans="1:2">
      <c r="B8" s="134" t="s">
        <v>97</v>
      </c>
    </row>
    <row r="9" spans="1:2">
      <c r="B9" s="259" t="s">
        <v>98</v>
      </c>
    </row>
    <row r="10" spans="1:2">
      <c r="B10" s="98" t="s">
        <v>99</v>
      </c>
    </row>
    <row r="11" spans="1:2">
      <c r="B11" s="98" t="s">
        <v>100</v>
      </c>
    </row>
    <row r="12" spans="1:2">
      <c r="B12" s="98" t="s">
        <v>101</v>
      </c>
    </row>
    <row r="13" spans="1:2">
      <c r="B13" s="259" t="s">
        <v>102</v>
      </c>
    </row>
    <row r="14" spans="1:2">
      <c r="B14" s="98" t="s">
        <v>103</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78"/>
  <sheetViews>
    <sheetView workbookViewId="0"/>
  </sheetViews>
  <sheetFormatPr defaultColWidth="9.33203125" defaultRowHeight="12"/>
  <cols>
    <col min="1" max="1" width="9.1640625" style="98" customWidth="1"/>
    <col min="2" max="2" width="9.33203125" style="9"/>
    <col min="3" max="3" width="16.1640625" style="9" bestFit="1" customWidth="1"/>
    <col min="4" max="4" width="15" style="9" bestFit="1" customWidth="1"/>
    <col min="5" max="5" width="23.33203125" style="9" bestFit="1" customWidth="1"/>
    <col min="6" max="6" width="15.1640625" style="98" bestFit="1" customWidth="1"/>
    <col min="7" max="8" width="14.33203125" style="98" customWidth="1"/>
    <col min="9" max="9" width="12" style="98" customWidth="1"/>
    <col min="10" max="10" width="9.33203125" style="95"/>
    <col min="11" max="15" width="9.1640625" style="98"/>
    <col min="16" max="16" width="11.1640625" style="98" customWidth="1"/>
    <col min="17" max="18" width="11.5" style="98" customWidth="1"/>
    <col min="19" max="20" width="9.1640625" style="98" customWidth="1"/>
    <col min="21" max="16384" width="9.33203125" style="9"/>
  </cols>
  <sheetData>
    <row r="1" spans="1:29">
      <c r="A1" s="9"/>
      <c r="F1" s="9"/>
      <c r="G1" s="9"/>
      <c r="H1" s="9"/>
      <c r="I1" s="9"/>
      <c r="J1" s="9"/>
      <c r="K1" s="9"/>
      <c r="L1" s="9"/>
      <c r="M1" s="9"/>
      <c r="N1" s="9"/>
      <c r="O1" s="9"/>
      <c r="P1" s="9"/>
      <c r="Q1" s="9"/>
      <c r="R1" s="9"/>
      <c r="S1" s="9"/>
      <c r="T1" s="9"/>
    </row>
    <row r="2" spans="1:29" ht="72">
      <c r="A2" s="98" t="s">
        <v>8</v>
      </c>
      <c r="B2" s="504" t="s">
        <v>9</v>
      </c>
      <c r="C2" s="504"/>
      <c r="D2" s="504" t="s">
        <v>4</v>
      </c>
      <c r="E2" s="504" t="s">
        <v>10</v>
      </c>
      <c r="F2" s="505" t="s">
        <v>24</v>
      </c>
      <c r="G2" s="505" t="s">
        <v>431</v>
      </c>
      <c r="H2" s="506" t="s">
        <v>432</v>
      </c>
      <c r="I2" s="506" t="s">
        <v>433</v>
      </c>
      <c r="J2" s="506" t="s">
        <v>434</v>
      </c>
      <c r="K2" s="505" t="s">
        <v>11</v>
      </c>
      <c r="L2" s="505" t="s">
        <v>12</v>
      </c>
      <c r="M2" s="505" t="s">
        <v>435</v>
      </c>
      <c r="N2" s="505" t="s">
        <v>436</v>
      </c>
      <c r="O2" s="505" t="s">
        <v>437</v>
      </c>
      <c r="P2" s="505" t="s">
        <v>438</v>
      </c>
      <c r="Q2" s="506" t="s">
        <v>439</v>
      </c>
      <c r="R2" s="506" t="s">
        <v>440</v>
      </c>
      <c r="S2" s="506" t="s">
        <v>441</v>
      </c>
      <c r="T2" s="505" t="s">
        <v>445</v>
      </c>
      <c r="U2" s="505" t="s">
        <v>446</v>
      </c>
      <c r="V2" s="505" t="s">
        <v>447</v>
      </c>
      <c r="W2" s="505" t="s">
        <v>448</v>
      </c>
      <c r="X2" s="505" t="s">
        <v>449</v>
      </c>
      <c r="Y2" s="505" t="s">
        <v>450</v>
      </c>
      <c r="Z2" s="504"/>
      <c r="AA2" s="504"/>
      <c r="AB2" s="504"/>
      <c r="AC2" s="504"/>
    </row>
    <row r="3" spans="1:29">
      <c r="A3" s="98">
        <v>1</v>
      </c>
      <c r="B3" s="9">
        <f>A3+1</f>
        <v>2</v>
      </c>
      <c r="D3" s="9">
        <f>B3+1</f>
        <v>3</v>
      </c>
      <c r="E3" s="9">
        <f t="shared" ref="E3:Y3" si="0">D3+1</f>
        <v>4</v>
      </c>
      <c r="F3" s="9">
        <f t="shared" si="0"/>
        <v>5</v>
      </c>
      <c r="G3" s="9">
        <f t="shared" si="0"/>
        <v>6</v>
      </c>
      <c r="H3" s="9">
        <f t="shared" si="0"/>
        <v>7</v>
      </c>
      <c r="I3" s="9">
        <f t="shared" si="0"/>
        <v>8</v>
      </c>
      <c r="J3" s="9">
        <f t="shared" si="0"/>
        <v>9</v>
      </c>
      <c r="K3" s="9">
        <f t="shared" si="0"/>
        <v>10</v>
      </c>
      <c r="L3" s="9">
        <f t="shared" si="0"/>
        <v>11</v>
      </c>
      <c r="M3" s="9">
        <f t="shared" si="0"/>
        <v>12</v>
      </c>
      <c r="N3" s="9">
        <f t="shared" si="0"/>
        <v>13</v>
      </c>
      <c r="O3" s="9">
        <f t="shared" si="0"/>
        <v>14</v>
      </c>
      <c r="P3" s="9">
        <f t="shared" si="0"/>
        <v>15</v>
      </c>
      <c r="Q3" s="9">
        <f t="shared" si="0"/>
        <v>16</v>
      </c>
      <c r="R3" s="9">
        <f t="shared" si="0"/>
        <v>17</v>
      </c>
      <c r="S3" s="9">
        <f t="shared" si="0"/>
        <v>18</v>
      </c>
      <c r="T3" s="9">
        <f>S3+1</f>
        <v>19</v>
      </c>
      <c r="U3" s="9">
        <f t="shared" si="0"/>
        <v>20</v>
      </c>
      <c r="V3" s="9">
        <f t="shared" si="0"/>
        <v>21</v>
      </c>
      <c r="W3" s="9">
        <f t="shared" si="0"/>
        <v>22</v>
      </c>
      <c r="X3" s="9">
        <f t="shared" si="0"/>
        <v>23</v>
      </c>
      <c r="Y3" s="9">
        <f t="shared" si="0"/>
        <v>24</v>
      </c>
    </row>
    <row r="4" spans="1:29">
      <c r="A4" s="507">
        <v>20100128</v>
      </c>
      <c r="B4" s="508" t="s">
        <v>13</v>
      </c>
      <c r="C4" s="508" t="str">
        <f>A4&amp;B4</f>
        <v>20100128RS</v>
      </c>
      <c r="D4" s="508" t="s">
        <v>399</v>
      </c>
      <c r="E4" s="508" t="str">
        <f>A4&amp;D4</f>
        <v>20100128LGRSE411</v>
      </c>
      <c r="F4" s="509">
        <v>0</v>
      </c>
      <c r="G4" s="510">
        <v>6.7140000000000005E-2</v>
      </c>
      <c r="H4" s="510">
        <v>0</v>
      </c>
      <c r="I4" s="510">
        <v>0</v>
      </c>
      <c r="J4" s="510">
        <v>0</v>
      </c>
      <c r="K4" s="510">
        <v>3.0000000000000001E-3</v>
      </c>
      <c r="L4" s="510">
        <v>2.0580000000000001E-2</v>
      </c>
      <c r="M4" s="510">
        <f>G4-$K4-$L4</f>
        <v>4.3560000000000001E-2</v>
      </c>
      <c r="N4" s="510">
        <f>IF(H4=0,0,H4-$K4-$L4)</f>
        <v>0</v>
      </c>
      <c r="O4" s="510">
        <f>IF(I4=0,0,I4-$K4-$L4)</f>
        <v>0</v>
      </c>
      <c r="P4" s="510">
        <f>IF(J4=0,0,J4-$K4-$L4)</f>
        <v>0</v>
      </c>
      <c r="Q4" s="509">
        <v>0</v>
      </c>
      <c r="R4" s="509">
        <v>0</v>
      </c>
      <c r="S4" s="509">
        <v>0</v>
      </c>
      <c r="T4" s="509">
        <v>0</v>
      </c>
      <c r="U4" s="509">
        <v>0</v>
      </c>
      <c r="V4" s="509">
        <v>0</v>
      </c>
      <c r="W4" s="509">
        <v>0</v>
      </c>
      <c r="X4" s="509">
        <v>0</v>
      </c>
      <c r="Y4" s="509">
        <v>0</v>
      </c>
    </row>
    <row r="5" spans="1:29">
      <c r="A5" s="507">
        <v>20100128</v>
      </c>
      <c r="B5" s="521" t="s">
        <v>417</v>
      </c>
      <c r="C5" s="508" t="str">
        <f t="shared" ref="C5:C42" si="1">A5&amp;B5</f>
        <v>20100128GSWH</v>
      </c>
      <c r="D5" s="508" t="s">
        <v>368</v>
      </c>
      <c r="E5" s="508" t="str">
        <f t="shared" ref="E5:E42" si="2">A5&amp;D5</f>
        <v>20100128LGCME451</v>
      </c>
      <c r="F5" s="509">
        <v>0</v>
      </c>
      <c r="G5" s="510">
        <v>7.5789999999999996E-2</v>
      </c>
      <c r="H5" s="510">
        <v>0</v>
      </c>
      <c r="I5" s="510">
        <v>0</v>
      </c>
      <c r="J5" s="510">
        <v>0</v>
      </c>
      <c r="K5" s="510">
        <v>3.29E-3</v>
      </c>
      <c r="L5" s="510">
        <v>2.0580000000000001E-2</v>
      </c>
      <c r="M5" s="510">
        <v>5.1919999999999994E-2</v>
      </c>
      <c r="N5" s="510">
        <f t="shared" ref="N5:P42" si="3">IF(H5=0,0,H5-$K5-$L5)</f>
        <v>0</v>
      </c>
      <c r="O5" s="510">
        <f t="shared" si="3"/>
        <v>0</v>
      </c>
      <c r="P5" s="510">
        <f t="shared" si="3"/>
        <v>0</v>
      </c>
      <c r="Q5" s="509">
        <v>0</v>
      </c>
      <c r="R5" s="509">
        <v>0</v>
      </c>
      <c r="S5" s="509">
        <v>0</v>
      </c>
      <c r="T5" s="509">
        <v>0</v>
      </c>
      <c r="U5" s="509">
        <v>0</v>
      </c>
      <c r="V5" s="509">
        <v>0</v>
      </c>
      <c r="W5" s="509">
        <v>0</v>
      </c>
      <c r="X5" s="509">
        <v>0</v>
      </c>
      <c r="Y5" s="509">
        <v>0</v>
      </c>
    </row>
    <row r="6" spans="1:29">
      <c r="A6" s="507">
        <v>20100128</v>
      </c>
      <c r="B6" s="508" t="s">
        <v>13</v>
      </c>
      <c r="C6" s="508" t="str">
        <f t="shared" si="1"/>
        <v>20100128RS</v>
      </c>
      <c r="D6" s="508" t="s">
        <v>400</v>
      </c>
      <c r="E6" s="508" t="str">
        <f t="shared" si="2"/>
        <v>20100128LGRSE511</v>
      </c>
      <c r="F6" s="509">
        <v>5</v>
      </c>
      <c r="G6" s="510">
        <v>6.7140000000000005E-2</v>
      </c>
      <c r="H6" s="510">
        <v>0</v>
      </c>
      <c r="I6" s="510">
        <v>0</v>
      </c>
      <c r="J6" s="510">
        <v>0</v>
      </c>
      <c r="K6" s="510">
        <v>3.0000000000000001E-3</v>
      </c>
      <c r="L6" s="510">
        <v>2.0580000000000001E-2</v>
      </c>
      <c r="M6" s="510">
        <v>4.3560000000000001E-2</v>
      </c>
      <c r="N6" s="510">
        <f t="shared" si="3"/>
        <v>0</v>
      </c>
      <c r="O6" s="510">
        <f t="shared" si="3"/>
        <v>0</v>
      </c>
      <c r="P6" s="510">
        <f t="shared" si="3"/>
        <v>0</v>
      </c>
      <c r="Q6" s="509">
        <v>0</v>
      </c>
      <c r="R6" s="509">
        <v>0</v>
      </c>
      <c r="S6" s="509">
        <v>0</v>
      </c>
      <c r="T6" s="509">
        <v>0</v>
      </c>
      <c r="U6" s="509">
        <v>0</v>
      </c>
      <c r="V6" s="509">
        <v>0</v>
      </c>
      <c r="W6" s="509">
        <v>0</v>
      </c>
      <c r="X6" s="509">
        <v>0</v>
      </c>
      <c r="Y6" s="509">
        <v>0</v>
      </c>
    </row>
    <row r="7" spans="1:29">
      <c r="A7" s="507">
        <v>20100128</v>
      </c>
      <c r="B7" s="508" t="s">
        <v>13</v>
      </c>
      <c r="C7" s="508" t="str">
        <f t="shared" si="1"/>
        <v>20100128RS</v>
      </c>
      <c r="D7" s="508" t="s">
        <v>401</v>
      </c>
      <c r="E7" s="508" t="str">
        <f t="shared" si="2"/>
        <v>20100128LGRSE519</v>
      </c>
      <c r="F7" s="509">
        <v>5</v>
      </c>
      <c r="G7" s="510">
        <v>6.7140000000000005E-2</v>
      </c>
      <c r="H7" s="510">
        <v>0</v>
      </c>
      <c r="I7" s="510">
        <v>0</v>
      </c>
      <c r="J7" s="510">
        <v>0</v>
      </c>
      <c r="K7" s="510">
        <v>3.0000000000000001E-3</v>
      </c>
      <c r="L7" s="510">
        <v>2.0580000000000001E-2</v>
      </c>
      <c r="M7" s="510">
        <v>4.3560000000000001E-2</v>
      </c>
      <c r="N7" s="510">
        <f t="shared" si="3"/>
        <v>0</v>
      </c>
      <c r="O7" s="510">
        <f t="shared" si="3"/>
        <v>0</v>
      </c>
      <c r="P7" s="510">
        <f t="shared" si="3"/>
        <v>0</v>
      </c>
      <c r="Q7" s="509">
        <v>0</v>
      </c>
      <c r="R7" s="509">
        <v>0</v>
      </c>
      <c r="S7" s="509">
        <v>0</v>
      </c>
      <c r="T7" s="509">
        <v>0</v>
      </c>
      <c r="U7" s="509">
        <v>0</v>
      </c>
      <c r="V7" s="509">
        <v>0</v>
      </c>
      <c r="W7" s="509">
        <v>0</v>
      </c>
      <c r="X7" s="509">
        <v>0</v>
      </c>
      <c r="Y7" s="509">
        <v>0</v>
      </c>
    </row>
    <row r="8" spans="1:29">
      <c r="A8" s="507">
        <v>20100128</v>
      </c>
      <c r="B8" s="508" t="s">
        <v>700</v>
      </c>
      <c r="C8" s="508" t="str">
        <f t="shared" si="1"/>
        <v>20100128VFD</v>
      </c>
      <c r="D8" s="508" t="s">
        <v>402</v>
      </c>
      <c r="E8" s="508" t="str">
        <f t="shared" si="2"/>
        <v>20100128LGRSE540</v>
      </c>
      <c r="F8" s="509">
        <v>5</v>
      </c>
      <c r="G8" s="510">
        <v>6.7140000000000005E-2</v>
      </c>
      <c r="H8" s="510">
        <v>0</v>
      </c>
      <c r="I8" s="510">
        <v>0</v>
      </c>
      <c r="J8" s="510">
        <v>0</v>
      </c>
      <c r="K8" s="510">
        <v>3.0000000000000001E-3</v>
      </c>
      <c r="L8" s="510">
        <v>2.0580000000000001E-2</v>
      </c>
      <c r="M8" s="510">
        <v>4.3560000000000001E-2</v>
      </c>
      <c r="N8" s="510">
        <f t="shared" si="3"/>
        <v>0</v>
      </c>
      <c r="O8" s="510">
        <f t="shared" si="3"/>
        <v>0</v>
      </c>
      <c r="P8" s="510">
        <f t="shared" si="3"/>
        <v>0</v>
      </c>
      <c r="Q8" s="509">
        <v>0</v>
      </c>
      <c r="R8" s="509">
        <v>0</v>
      </c>
      <c r="S8" s="509">
        <v>0</v>
      </c>
      <c r="T8" s="509">
        <v>0</v>
      </c>
      <c r="U8" s="509">
        <v>0</v>
      </c>
      <c r="V8" s="509">
        <v>0</v>
      </c>
      <c r="W8" s="509">
        <v>0</v>
      </c>
      <c r="X8" s="509">
        <v>0</v>
      </c>
      <c r="Y8" s="509">
        <v>0</v>
      </c>
    </row>
    <row r="9" spans="1:29">
      <c r="A9" s="507">
        <v>20100128</v>
      </c>
      <c r="B9" s="508" t="s">
        <v>641</v>
      </c>
      <c r="C9" s="508" t="str">
        <f t="shared" si="1"/>
        <v>20100128LEV</v>
      </c>
      <c r="D9" s="521" t="s">
        <v>706</v>
      </c>
      <c r="E9" s="508" t="str">
        <f t="shared" si="2"/>
        <v>20100128LGRSE543</v>
      </c>
      <c r="F9" s="510">
        <v>0</v>
      </c>
      <c r="G9" s="510">
        <v>0</v>
      </c>
      <c r="H9" s="510">
        <v>0</v>
      </c>
      <c r="I9" s="510">
        <v>0</v>
      </c>
      <c r="J9" s="510">
        <v>0</v>
      </c>
      <c r="K9" s="510">
        <v>0</v>
      </c>
      <c r="L9" s="510">
        <v>0</v>
      </c>
      <c r="M9" s="510">
        <v>0</v>
      </c>
      <c r="N9" s="510">
        <f>IF(H9=0,0,H9-$K9-$L9)</f>
        <v>0</v>
      </c>
      <c r="O9" s="510">
        <f>IF(I9=0,0,I9-$K9-$L9)</f>
        <v>0</v>
      </c>
      <c r="P9" s="510">
        <f>IF(J9=0,0,J9-$K9-$L9)</f>
        <v>0</v>
      </c>
      <c r="Q9" s="509">
        <v>0</v>
      </c>
      <c r="R9" s="509">
        <v>0</v>
      </c>
      <c r="S9" s="509">
        <v>0</v>
      </c>
      <c r="T9" s="509">
        <v>0</v>
      </c>
      <c r="U9" s="509">
        <v>0</v>
      </c>
      <c r="V9" s="509">
        <v>0</v>
      </c>
      <c r="W9" s="509">
        <v>0</v>
      </c>
      <c r="X9" s="509">
        <v>0</v>
      </c>
      <c r="Y9" s="509">
        <v>0</v>
      </c>
    </row>
    <row r="10" spans="1:29">
      <c r="A10" s="507">
        <v>20100128</v>
      </c>
      <c r="B10" s="521" t="s">
        <v>426</v>
      </c>
      <c r="C10" s="508" t="str">
        <f t="shared" si="1"/>
        <v>20100128RRP</v>
      </c>
      <c r="D10" s="521" t="s">
        <v>403</v>
      </c>
      <c r="E10" s="508" t="str">
        <f t="shared" si="2"/>
        <v>20100128LGRSE541</v>
      </c>
      <c r="F10" s="509">
        <v>10</v>
      </c>
      <c r="G10" s="510">
        <v>4.6280000000000002E-2</v>
      </c>
      <c r="H10" s="510">
        <v>5.8590000000000003E-2</v>
      </c>
      <c r="I10" s="510">
        <v>0.11278000000000001</v>
      </c>
      <c r="J10" s="510">
        <v>0.32136999999999999</v>
      </c>
      <c r="K10" s="510">
        <v>3.0000000000000001E-3</v>
      </c>
      <c r="L10" s="510">
        <v>2.0580000000000001E-2</v>
      </c>
      <c r="M10" s="510">
        <v>2.2699999999999998E-2</v>
      </c>
      <c r="N10" s="510">
        <v>3.5009999999999999E-2</v>
      </c>
      <c r="O10" s="510">
        <v>8.9200000000000002E-2</v>
      </c>
      <c r="P10" s="510">
        <v>0.29779</v>
      </c>
      <c r="Q10" s="509">
        <v>0</v>
      </c>
      <c r="R10" s="509">
        <v>0</v>
      </c>
      <c r="S10" s="509">
        <v>0</v>
      </c>
      <c r="T10" s="509">
        <v>0</v>
      </c>
      <c r="U10" s="509">
        <v>0</v>
      </c>
      <c r="V10" s="509">
        <v>0</v>
      </c>
      <c r="W10" s="509">
        <v>0</v>
      </c>
      <c r="X10" s="509">
        <v>0</v>
      </c>
      <c r="Y10" s="509">
        <v>0</v>
      </c>
    </row>
    <row r="11" spans="1:29">
      <c r="A11" s="507">
        <v>20100128</v>
      </c>
      <c r="B11" s="521" t="s">
        <v>833</v>
      </c>
      <c r="C11" s="508" t="str">
        <f t="shared" si="1"/>
        <v>20100128GSP</v>
      </c>
      <c r="D11" s="508" t="s">
        <v>369</v>
      </c>
      <c r="E11" s="508" t="str">
        <f t="shared" si="2"/>
        <v>20100128LGCME550</v>
      </c>
      <c r="F11" s="509">
        <v>10</v>
      </c>
      <c r="G11" s="510">
        <v>7.5789999999999996E-2</v>
      </c>
      <c r="H11" s="510">
        <v>0</v>
      </c>
      <c r="I11" s="510">
        <v>0</v>
      </c>
      <c r="J11" s="510">
        <v>0</v>
      </c>
      <c r="K11" s="510">
        <v>3.29E-3</v>
      </c>
      <c r="L11" s="510">
        <v>2.0580000000000001E-2</v>
      </c>
      <c r="M11" s="510">
        <v>5.1919999999999994E-2</v>
      </c>
      <c r="N11" s="510">
        <f t="shared" si="3"/>
        <v>0</v>
      </c>
      <c r="O11" s="510">
        <f t="shared" si="3"/>
        <v>0</v>
      </c>
      <c r="P11" s="510">
        <f t="shared" si="3"/>
        <v>0</v>
      </c>
      <c r="Q11" s="509">
        <v>0</v>
      </c>
      <c r="R11" s="509">
        <v>0</v>
      </c>
      <c r="S11" s="509">
        <v>0</v>
      </c>
      <c r="T11" s="509">
        <v>0</v>
      </c>
      <c r="U11" s="509">
        <v>0</v>
      </c>
      <c r="V11" s="509">
        <v>0</v>
      </c>
      <c r="W11" s="509">
        <v>0</v>
      </c>
      <c r="X11" s="509">
        <v>0</v>
      </c>
      <c r="Y11" s="509">
        <v>0</v>
      </c>
    </row>
    <row r="12" spans="1:29">
      <c r="A12" s="507">
        <v>20100128</v>
      </c>
      <c r="B12" s="508" t="s">
        <v>414</v>
      </c>
      <c r="C12" s="508" t="str">
        <f t="shared" si="1"/>
        <v>20100128GSS</v>
      </c>
      <c r="D12" s="508" t="s">
        <v>370</v>
      </c>
      <c r="E12" s="508" t="str">
        <f t="shared" si="2"/>
        <v>20100128LGCME551</v>
      </c>
      <c r="F12" s="509">
        <v>10</v>
      </c>
      <c r="G12" s="510">
        <v>7.5789999999999996E-2</v>
      </c>
      <c r="H12" s="510">
        <v>0</v>
      </c>
      <c r="I12" s="510">
        <v>0</v>
      </c>
      <c r="J12" s="510">
        <v>0</v>
      </c>
      <c r="K12" s="510">
        <v>3.29E-3</v>
      </c>
      <c r="L12" s="510">
        <v>2.0580000000000001E-2</v>
      </c>
      <c r="M12" s="510">
        <v>5.1919999999999994E-2</v>
      </c>
      <c r="N12" s="510">
        <f t="shared" si="3"/>
        <v>0</v>
      </c>
      <c r="O12" s="510">
        <f t="shared" si="3"/>
        <v>0</v>
      </c>
      <c r="P12" s="510">
        <f t="shared" si="3"/>
        <v>0</v>
      </c>
      <c r="Q12" s="509">
        <v>0</v>
      </c>
      <c r="R12" s="509">
        <v>0</v>
      </c>
      <c r="S12" s="509">
        <v>0</v>
      </c>
      <c r="T12" s="509">
        <v>0</v>
      </c>
      <c r="U12" s="509">
        <v>0</v>
      </c>
      <c r="V12" s="509">
        <v>0</v>
      </c>
      <c r="W12" s="509">
        <v>0</v>
      </c>
      <c r="X12" s="509">
        <v>0</v>
      </c>
      <c r="Y12" s="509">
        <v>0</v>
      </c>
    </row>
    <row r="13" spans="1:29">
      <c r="A13" s="507">
        <v>20100128</v>
      </c>
      <c r="B13" s="521" t="s">
        <v>832</v>
      </c>
      <c r="C13" s="508" t="str">
        <f t="shared" si="1"/>
        <v>20100128GSUM</v>
      </c>
      <c r="D13" s="508" t="s">
        <v>371</v>
      </c>
      <c r="E13" s="508" t="str">
        <f t="shared" si="2"/>
        <v>20100128LGCME551UM</v>
      </c>
      <c r="F13" s="509">
        <v>10</v>
      </c>
      <c r="G13" s="510">
        <v>7.5789999999999996E-2</v>
      </c>
      <c r="H13" s="510">
        <v>0</v>
      </c>
      <c r="I13" s="510">
        <v>0</v>
      </c>
      <c r="J13" s="510">
        <v>0</v>
      </c>
      <c r="K13" s="510">
        <v>3.29E-3</v>
      </c>
      <c r="L13" s="510">
        <v>2.0580000000000001E-2</v>
      </c>
      <c r="M13" s="510">
        <v>5.1919999999999994E-2</v>
      </c>
      <c r="N13" s="510">
        <f t="shared" si="3"/>
        <v>0</v>
      </c>
      <c r="O13" s="510">
        <f t="shared" si="3"/>
        <v>0</v>
      </c>
      <c r="P13" s="510">
        <f t="shared" si="3"/>
        <v>0</v>
      </c>
      <c r="Q13" s="509">
        <v>0</v>
      </c>
      <c r="R13" s="509">
        <v>0</v>
      </c>
      <c r="S13" s="509">
        <v>0</v>
      </c>
      <c r="T13" s="509">
        <v>0</v>
      </c>
      <c r="U13" s="509">
        <v>0</v>
      </c>
      <c r="V13" s="509">
        <v>0</v>
      </c>
      <c r="W13" s="509">
        <v>0</v>
      </c>
      <c r="X13" s="509">
        <v>0</v>
      </c>
      <c r="Y13" s="509">
        <v>0</v>
      </c>
    </row>
    <row r="14" spans="1:29">
      <c r="A14" s="507">
        <v>20100128</v>
      </c>
      <c r="B14" s="521" t="s">
        <v>826</v>
      </c>
      <c r="C14" s="508" t="str">
        <f t="shared" si="1"/>
        <v>20100128GSNM</v>
      </c>
      <c r="D14" s="508" t="s">
        <v>374</v>
      </c>
      <c r="E14" s="508" t="str">
        <f t="shared" si="2"/>
        <v>20100128LGCME557</v>
      </c>
      <c r="F14" s="509">
        <v>10</v>
      </c>
      <c r="G14" s="510">
        <v>7.5789999999999996E-2</v>
      </c>
      <c r="H14" s="510">
        <v>0</v>
      </c>
      <c r="I14" s="510">
        <v>0</v>
      </c>
      <c r="J14" s="510">
        <v>0</v>
      </c>
      <c r="K14" s="510">
        <v>3.29E-3</v>
      </c>
      <c r="L14" s="510">
        <v>2.0580000000000001E-2</v>
      </c>
      <c r="M14" s="510">
        <v>5.1919999999999994E-2</v>
      </c>
      <c r="N14" s="510">
        <f t="shared" si="3"/>
        <v>0</v>
      </c>
      <c r="O14" s="510">
        <f t="shared" si="3"/>
        <v>0</v>
      </c>
      <c r="P14" s="510">
        <f t="shared" si="3"/>
        <v>0</v>
      </c>
      <c r="Q14" s="509">
        <v>0</v>
      </c>
      <c r="R14" s="509">
        <v>0</v>
      </c>
      <c r="S14" s="509">
        <v>0</v>
      </c>
      <c r="T14" s="509">
        <v>0</v>
      </c>
      <c r="U14" s="509">
        <v>0</v>
      </c>
      <c r="V14" s="509">
        <v>0</v>
      </c>
      <c r="W14" s="509">
        <v>0</v>
      </c>
      <c r="X14" s="509">
        <v>0</v>
      </c>
      <c r="Y14" s="509">
        <v>0</v>
      </c>
    </row>
    <row r="15" spans="1:29">
      <c r="A15" s="507">
        <v>20100128</v>
      </c>
      <c r="B15" s="521" t="s">
        <v>416</v>
      </c>
      <c r="C15" s="508" t="str">
        <f t="shared" si="1"/>
        <v>20100128GSSH</v>
      </c>
      <c r="D15" s="508" t="s">
        <v>372</v>
      </c>
      <c r="E15" s="508" t="str">
        <f t="shared" si="2"/>
        <v>20100128LGCME552</v>
      </c>
      <c r="F15" s="509">
        <v>0</v>
      </c>
      <c r="G15" s="510">
        <v>7.5789999999999996E-2</v>
      </c>
      <c r="H15" s="510">
        <v>0</v>
      </c>
      <c r="I15" s="510">
        <v>0</v>
      </c>
      <c r="J15" s="510">
        <v>0</v>
      </c>
      <c r="K15" s="510">
        <v>3.29E-3</v>
      </c>
      <c r="L15" s="510">
        <v>2.0580000000000001E-2</v>
      </c>
      <c r="M15" s="510">
        <v>5.1919999999999994E-2</v>
      </c>
      <c r="N15" s="510">
        <f t="shared" si="3"/>
        <v>0</v>
      </c>
      <c r="O15" s="510">
        <f t="shared" si="3"/>
        <v>0</v>
      </c>
      <c r="P15" s="510">
        <f t="shared" si="3"/>
        <v>0</v>
      </c>
      <c r="Q15" s="509">
        <v>0</v>
      </c>
      <c r="R15" s="509">
        <v>0</v>
      </c>
      <c r="S15" s="509">
        <v>0</v>
      </c>
      <c r="T15" s="509">
        <v>0</v>
      </c>
      <c r="U15" s="509">
        <v>0</v>
      </c>
      <c r="V15" s="509">
        <v>0</v>
      </c>
      <c r="W15" s="509">
        <v>0</v>
      </c>
      <c r="X15" s="509">
        <v>0</v>
      </c>
      <c r="Y15" s="509">
        <v>0</v>
      </c>
    </row>
    <row r="16" spans="1:29">
      <c r="A16" s="507">
        <v>20100128</v>
      </c>
      <c r="B16" s="521" t="s">
        <v>828</v>
      </c>
      <c r="C16" s="508" t="str">
        <f t="shared" si="1"/>
        <v>20100128GSRP</v>
      </c>
      <c r="D16" s="521" t="s">
        <v>373</v>
      </c>
      <c r="E16" s="508" t="str">
        <f t="shared" si="2"/>
        <v>20100128LGCME555</v>
      </c>
      <c r="F16" s="509">
        <v>20</v>
      </c>
      <c r="G16" s="510">
        <v>5.3179999999999998E-2</v>
      </c>
      <c r="H16" s="510">
        <v>6.8080000000000002E-2</v>
      </c>
      <c r="I16" s="510">
        <v>0.14247000000000001</v>
      </c>
      <c r="J16" s="510">
        <v>0.30861</v>
      </c>
      <c r="K16" s="510">
        <v>3.29E-3</v>
      </c>
      <c r="L16" s="510">
        <v>2.0580000000000001E-2</v>
      </c>
      <c r="M16" s="510">
        <v>2.9309999999999996E-2</v>
      </c>
      <c r="N16" s="510">
        <v>4.4209999999999999E-2</v>
      </c>
      <c r="O16" s="510">
        <v>0.11860000000000002</v>
      </c>
      <c r="P16" s="510">
        <v>0.28473999999999999</v>
      </c>
      <c r="Q16" s="509">
        <v>0</v>
      </c>
      <c r="R16" s="509">
        <v>0</v>
      </c>
      <c r="S16" s="509">
        <v>0</v>
      </c>
      <c r="T16" s="509">
        <v>0</v>
      </c>
      <c r="U16" s="509">
        <v>0</v>
      </c>
      <c r="V16" s="509">
        <v>0</v>
      </c>
      <c r="W16" s="509">
        <v>0</v>
      </c>
      <c r="X16" s="509">
        <v>0</v>
      </c>
      <c r="Y16" s="509">
        <v>0</v>
      </c>
    </row>
    <row r="17" spans="1:25">
      <c r="A17" s="507">
        <v>20100128</v>
      </c>
      <c r="B17" s="521" t="s">
        <v>715</v>
      </c>
      <c r="C17" s="508" t="str">
        <f t="shared" si="1"/>
        <v>20100128GS3P</v>
      </c>
      <c r="D17" s="508" t="s">
        <v>380</v>
      </c>
      <c r="E17" s="508" t="str">
        <f t="shared" si="2"/>
        <v>20100128LGCME650</v>
      </c>
      <c r="F17" s="509">
        <v>15</v>
      </c>
      <c r="G17" s="510">
        <v>7.5789999999999996E-2</v>
      </c>
      <c r="H17" s="510">
        <v>0</v>
      </c>
      <c r="I17" s="510">
        <v>0</v>
      </c>
      <c r="J17" s="510">
        <v>0</v>
      </c>
      <c r="K17" s="510">
        <v>3.29E-3</v>
      </c>
      <c r="L17" s="510">
        <v>2.0580000000000001E-2</v>
      </c>
      <c r="M17" s="510">
        <v>5.1919999999999994E-2</v>
      </c>
      <c r="N17" s="510">
        <f t="shared" si="3"/>
        <v>0</v>
      </c>
      <c r="O17" s="510">
        <f t="shared" si="3"/>
        <v>0</v>
      </c>
      <c r="P17" s="510">
        <f t="shared" si="3"/>
        <v>0</v>
      </c>
      <c r="Q17" s="509">
        <v>0</v>
      </c>
      <c r="R17" s="509">
        <v>0</v>
      </c>
      <c r="S17" s="509">
        <v>0</v>
      </c>
      <c r="T17" s="509">
        <v>0</v>
      </c>
      <c r="U17" s="509">
        <v>0</v>
      </c>
      <c r="V17" s="509">
        <v>0</v>
      </c>
      <c r="W17" s="509">
        <v>0</v>
      </c>
      <c r="X17" s="509">
        <v>0</v>
      </c>
      <c r="Y17" s="509">
        <v>0</v>
      </c>
    </row>
    <row r="18" spans="1:25">
      <c r="A18" s="507">
        <v>20100128</v>
      </c>
      <c r="B18" s="521" t="s">
        <v>14</v>
      </c>
      <c r="C18" s="508" t="str">
        <f t="shared" si="1"/>
        <v>20100128GS3</v>
      </c>
      <c r="D18" s="508" t="s">
        <v>381</v>
      </c>
      <c r="E18" s="508" t="str">
        <f t="shared" si="2"/>
        <v>20100128LGCME651</v>
      </c>
      <c r="F18" s="509">
        <v>15</v>
      </c>
      <c r="G18" s="510">
        <v>7.5789999999999996E-2</v>
      </c>
      <c r="H18" s="510">
        <v>0</v>
      </c>
      <c r="I18" s="510">
        <v>0</v>
      </c>
      <c r="J18" s="510">
        <v>0</v>
      </c>
      <c r="K18" s="510">
        <v>3.29E-3</v>
      </c>
      <c r="L18" s="510">
        <v>2.0580000000000001E-2</v>
      </c>
      <c r="M18" s="510">
        <v>5.1919999999999994E-2</v>
      </c>
      <c r="N18" s="510">
        <f t="shared" si="3"/>
        <v>0</v>
      </c>
      <c r="O18" s="510">
        <f t="shared" si="3"/>
        <v>0</v>
      </c>
      <c r="P18" s="510">
        <f t="shared" si="3"/>
        <v>0</v>
      </c>
      <c r="Q18" s="509">
        <v>0</v>
      </c>
      <c r="R18" s="509">
        <v>0</v>
      </c>
      <c r="S18" s="509">
        <v>0</v>
      </c>
      <c r="T18" s="509">
        <v>0</v>
      </c>
      <c r="U18" s="509">
        <v>0</v>
      </c>
      <c r="V18" s="509">
        <v>0</v>
      </c>
      <c r="W18" s="509">
        <v>0</v>
      </c>
      <c r="X18" s="509">
        <v>0</v>
      </c>
      <c r="Y18" s="509">
        <v>0</v>
      </c>
    </row>
    <row r="19" spans="1:25">
      <c r="A19" s="507">
        <v>20100128</v>
      </c>
      <c r="B19" s="521" t="s">
        <v>808</v>
      </c>
      <c r="C19" s="508" t="str">
        <f t="shared" si="1"/>
        <v>20100128GS3NM</v>
      </c>
      <c r="D19" s="508" t="s">
        <v>384</v>
      </c>
      <c r="E19" s="508" t="str">
        <f t="shared" si="2"/>
        <v>20100128LGCME657</v>
      </c>
      <c r="F19" s="509">
        <v>15</v>
      </c>
      <c r="G19" s="510">
        <v>7.5789999999999996E-2</v>
      </c>
      <c r="H19" s="510">
        <v>0</v>
      </c>
      <c r="I19" s="510">
        <v>0</v>
      </c>
      <c r="J19" s="510">
        <v>0</v>
      </c>
      <c r="K19" s="510">
        <v>3.29E-3</v>
      </c>
      <c r="L19" s="510">
        <v>2.0580000000000001E-2</v>
      </c>
      <c r="M19" s="510">
        <v>5.1919999999999994E-2</v>
      </c>
      <c r="N19" s="510">
        <f t="shared" si="3"/>
        <v>0</v>
      </c>
      <c r="O19" s="510">
        <f t="shared" si="3"/>
        <v>0</v>
      </c>
      <c r="P19" s="510">
        <f t="shared" si="3"/>
        <v>0</v>
      </c>
      <c r="Q19" s="509">
        <v>0</v>
      </c>
      <c r="R19" s="509">
        <v>0</v>
      </c>
      <c r="S19" s="509">
        <v>0</v>
      </c>
      <c r="T19" s="509">
        <v>0</v>
      </c>
      <c r="U19" s="509">
        <v>0</v>
      </c>
      <c r="V19" s="509">
        <v>0</v>
      </c>
      <c r="W19" s="509">
        <v>0</v>
      </c>
      <c r="X19" s="509">
        <v>0</v>
      </c>
      <c r="Y19" s="509">
        <v>0</v>
      </c>
    </row>
    <row r="20" spans="1:25">
      <c r="A20" s="507">
        <v>20100128</v>
      </c>
      <c r="B20" s="521" t="s">
        <v>807</v>
      </c>
      <c r="C20" s="508" t="str">
        <f t="shared" si="1"/>
        <v>20100128GS3SH</v>
      </c>
      <c r="D20" s="508" t="s">
        <v>382</v>
      </c>
      <c r="E20" s="508" t="str">
        <f t="shared" si="2"/>
        <v>20100128LGCME652</v>
      </c>
      <c r="F20" s="509">
        <v>0</v>
      </c>
      <c r="G20" s="510">
        <v>7.5789999999999996E-2</v>
      </c>
      <c r="H20" s="510">
        <v>0</v>
      </c>
      <c r="I20" s="510">
        <v>0</v>
      </c>
      <c r="J20" s="510">
        <v>0</v>
      </c>
      <c r="K20" s="510">
        <v>3.29E-3</v>
      </c>
      <c r="L20" s="510">
        <v>2.0580000000000001E-2</v>
      </c>
      <c r="M20" s="510">
        <v>5.1919999999999994E-2</v>
      </c>
      <c r="N20" s="510">
        <f t="shared" si="3"/>
        <v>0</v>
      </c>
      <c r="O20" s="510">
        <f t="shared" si="3"/>
        <v>0</v>
      </c>
      <c r="P20" s="510">
        <f t="shared" si="3"/>
        <v>0</v>
      </c>
      <c r="Q20" s="509">
        <v>0</v>
      </c>
      <c r="R20" s="509">
        <v>0</v>
      </c>
      <c r="S20" s="509">
        <v>0</v>
      </c>
      <c r="T20" s="509">
        <v>0</v>
      </c>
      <c r="U20" s="509">
        <v>0</v>
      </c>
      <c r="V20" s="509">
        <v>0</v>
      </c>
      <c r="W20" s="509">
        <v>0</v>
      </c>
      <c r="X20" s="509">
        <v>0</v>
      </c>
      <c r="Y20" s="509">
        <v>0</v>
      </c>
    </row>
    <row r="21" spans="1:25">
      <c r="A21" s="507">
        <v>20100128</v>
      </c>
      <c r="B21" s="521" t="s">
        <v>676</v>
      </c>
      <c r="C21" s="508" t="str">
        <f t="shared" si="1"/>
        <v>20100128G3RP</v>
      </c>
      <c r="D21" s="521" t="s">
        <v>383</v>
      </c>
      <c r="E21" s="508" t="str">
        <f t="shared" si="2"/>
        <v>20100128LGCME656</v>
      </c>
      <c r="F21" s="509">
        <v>20</v>
      </c>
      <c r="G21" s="510">
        <v>5.3179999999999998E-2</v>
      </c>
      <c r="H21" s="510">
        <v>6.8080000000000002E-2</v>
      </c>
      <c r="I21" s="510">
        <v>0.14247000000000001</v>
      </c>
      <c r="J21" s="510">
        <v>0.30861</v>
      </c>
      <c r="K21" s="510">
        <v>3.29E-3</v>
      </c>
      <c r="L21" s="510">
        <v>2.0580000000000001E-2</v>
      </c>
      <c r="M21" s="510">
        <v>2.9309999999999996E-2</v>
      </c>
      <c r="N21" s="510">
        <v>4.4209999999999999E-2</v>
      </c>
      <c r="O21" s="510">
        <v>0.11860000000000002</v>
      </c>
      <c r="P21" s="510">
        <v>0.28473999999999999</v>
      </c>
      <c r="Q21" s="509">
        <v>0</v>
      </c>
      <c r="R21" s="509">
        <v>0</v>
      </c>
      <c r="S21" s="509">
        <v>0</v>
      </c>
      <c r="T21" s="509">
        <v>0</v>
      </c>
      <c r="U21" s="509">
        <v>0</v>
      </c>
      <c r="V21" s="509">
        <v>0</v>
      </c>
      <c r="W21" s="509">
        <v>0</v>
      </c>
      <c r="X21" s="509">
        <v>0</v>
      </c>
      <c r="Y21" s="509">
        <v>0</v>
      </c>
    </row>
    <row r="22" spans="1:25">
      <c r="A22" s="507">
        <v>20100128</v>
      </c>
      <c r="B22" s="508" t="s">
        <v>20</v>
      </c>
      <c r="C22" s="508" t="str">
        <f t="shared" si="1"/>
        <v>20100128PSS</v>
      </c>
      <c r="D22" s="508" t="s">
        <v>375</v>
      </c>
      <c r="E22" s="508" t="str">
        <f t="shared" si="2"/>
        <v>20100128LGCME561</v>
      </c>
      <c r="F22" s="509">
        <v>65</v>
      </c>
      <c r="G22" s="510">
        <v>2.9559999999999999E-2</v>
      </c>
      <c r="H22" s="510">
        <v>0</v>
      </c>
      <c r="I22" s="510">
        <v>0</v>
      </c>
      <c r="J22" s="510">
        <v>0</v>
      </c>
      <c r="K22" s="510">
        <v>0</v>
      </c>
      <c r="L22" s="510">
        <v>2.0580000000000001E-2</v>
      </c>
      <c r="M22" s="510">
        <v>8.9799999999999984E-3</v>
      </c>
      <c r="N22" s="510">
        <f t="shared" si="3"/>
        <v>0</v>
      </c>
      <c r="O22" s="510">
        <f t="shared" si="3"/>
        <v>0</v>
      </c>
      <c r="P22" s="510">
        <f t="shared" si="3"/>
        <v>0</v>
      </c>
      <c r="Q22" s="509">
        <v>0</v>
      </c>
      <c r="R22" s="509">
        <v>11.93</v>
      </c>
      <c r="S22" s="509">
        <v>14.99</v>
      </c>
      <c r="T22" s="509">
        <v>0</v>
      </c>
      <c r="U22" s="509">
        <v>1.04</v>
      </c>
      <c r="V22" s="509">
        <v>1.04</v>
      </c>
      <c r="W22" s="509">
        <v>0</v>
      </c>
      <c r="X22" s="509">
        <v>12.82</v>
      </c>
      <c r="Y22" s="509">
        <v>15.07</v>
      </c>
    </row>
    <row r="23" spans="1:25">
      <c r="A23" s="507">
        <v>20100128</v>
      </c>
      <c r="B23" s="508" t="s">
        <v>21</v>
      </c>
      <c r="C23" s="508" t="str">
        <f t="shared" si="1"/>
        <v>20100128PSP</v>
      </c>
      <c r="D23" s="508" t="s">
        <v>376</v>
      </c>
      <c r="E23" s="508" t="str">
        <f t="shared" si="2"/>
        <v>20100128LGCME563</v>
      </c>
      <c r="F23" s="509">
        <v>65</v>
      </c>
      <c r="G23" s="510">
        <v>2.9559999999999999E-2</v>
      </c>
      <c r="H23" s="510">
        <v>0</v>
      </c>
      <c r="I23" s="510">
        <v>0</v>
      </c>
      <c r="J23" s="510">
        <v>0</v>
      </c>
      <c r="K23" s="510">
        <v>0</v>
      </c>
      <c r="L23" s="510">
        <v>2.0580000000000001E-2</v>
      </c>
      <c r="M23" s="510">
        <v>8.9799999999999984E-3</v>
      </c>
      <c r="N23" s="510">
        <f t="shared" si="3"/>
        <v>0</v>
      </c>
      <c r="O23" s="510">
        <f t="shared" si="3"/>
        <v>0</v>
      </c>
      <c r="P23" s="510">
        <f t="shared" si="3"/>
        <v>0</v>
      </c>
      <c r="Q23" s="509">
        <v>0</v>
      </c>
      <c r="R23" s="509">
        <v>10.35</v>
      </c>
      <c r="S23" s="509">
        <v>13.15</v>
      </c>
      <c r="T23" s="509">
        <v>0</v>
      </c>
      <c r="U23" s="509">
        <v>1.04</v>
      </c>
      <c r="V23" s="509">
        <v>1.04</v>
      </c>
      <c r="W23" s="509">
        <v>0</v>
      </c>
      <c r="X23" s="509">
        <v>10.99</v>
      </c>
      <c r="Y23" s="509">
        <v>13.23</v>
      </c>
    </row>
    <row r="24" spans="1:25">
      <c r="A24" s="507">
        <v>20100128</v>
      </c>
      <c r="B24" s="508" t="s">
        <v>20</v>
      </c>
      <c r="C24" s="508" t="str">
        <f t="shared" si="1"/>
        <v>20100128PSS</v>
      </c>
      <c r="D24" s="521" t="s">
        <v>377</v>
      </c>
      <c r="E24" s="508" t="str">
        <f t="shared" si="2"/>
        <v>20100128LGCME567</v>
      </c>
      <c r="F24" s="509">
        <v>65</v>
      </c>
      <c r="G24" s="510">
        <v>2.9559999999999999E-2</v>
      </c>
      <c r="H24" s="510">
        <v>0</v>
      </c>
      <c r="I24" s="510">
        <v>0</v>
      </c>
      <c r="J24" s="510">
        <v>0</v>
      </c>
      <c r="K24" s="510">
        <v>0</v>
      </c>
      <c r="L24" s="510">
        <v>2.0580000000000001E-2</v>
      </c>
      <c r="M24" s="510">
        <v>8.9799999999999984E-3</v>
      </c>
      <c r="N24" s="510">
        <f t="shared" si="3"/>
        <v>0</v>
      </c>
      <c r="O24" s="510">
        <f t="shared" si="3"/>
        <v>0</v>
      </c>
      <c r="P24" s="510">
        <f t="shared" si="3"/>
        <v>0</v>
      </c>
      <c r="Q24" s="509">
        <v>0</v>
      </c>
      <c r="R24" s="509">
        <v>11.93</v>
      </c>
      <c r="S24" s="509">
        <v>14.99</v>
      </c>
      <c r="T24" s="509">
        <v>0</v>
      </c>
      <c r="U24" s="509">
        <v>1.04</v>
      </c>
      <c r="V24" s="509">
        <v>1.04</v>
      </c>
      <c r="W24" s="509">
        <v>0</v>
      </c>
      <c r="X24" s="509">
        <v>12.82</v>
      </c>
      <c r="Y24" s="509">
        <v>15.07</v>
      </c>
    </row>
    <row r="25" spans="1:25">
      <c r="A25" s="507">
        <v>20100128</v>
      </c>
      <c r="B25" s="508" t="s">
        <v>410</v>
      </c>
      <c r="C25" s="508" t="str">
        <f t="shared" si="1"/>
        <v>20100128CTODS</v>
      </c>
      <c r="D25" s="508" t="s">
        <v>378</v>
      </c>
      <c r="E25" s="508" t="str">
        <f t="shared" si="2"/>
        <v>20100128LGCME591</v>
      </c>
      <c r="F25" s="509">
        <v>200</v>
      </c>
      <c r="G25" s="510">
        <v>3.2259999999999997E-2</v>
      </c>
      <c r="H25" s="510">
        <v>0</v>
      </c>
      <c r="I25" s="510">
        <v>0</v>
      </c>
      <c r="J25" s="510">
        <v>0</v>
      </c>
      <c r="K25" s="510">
        <v>0</v>
      </c>
      <c r="L25" s="510">
        <v>2.0580000000000001E-2</v>
      </c>
      <c r="M25" s="510">
        <v>9.0200000000000002E-3</v>
      </c>
      <c r="N25" s="510">
        <f t="shared" si="3"/>
        <v>0</v>
      </c>
      <c r="O25" s="510">
        <f t="shared" si="3"/>
        <v>0</v>
      </c>
      <c r="P25" s="510">
        <f t="shared" si="3"/>
        <v>0</v>
      </c>
      <c r="Q25" s="509">
        <v>3.79</v>
      </c>
      <c r="R25" s="509">
        <v>4.28</v>
      </c>
      <c r="S25" s="509">
        <v>5.81</v>
      </c>
      <c r="T25" s="509">
        <v>0.56000000000000005</v>
      </c>
      <c r="U25" s="509">
        <v>0.56000000000000005</v>
      </c>
      <c r="V25" s="509">
        <v>0.56000000000000005</v>
      </c>
      <c r="W25" s="509">
        <v>3.65</v>
      </c>
      <c r="X25" s="509">
        <v>4.1400000000000006</v>
      </c>
      <c r="Y25" s="509">
        <v>5.67</v>
      </c>
    </row>
    <row r="26" spans="1:25">
      <c r="A26" s="507">
        <v>20100128</v>
      </c>
      <c r="B26" s="508" t="s">
        <v>409</v>
      </c>
      <c r="C26" s="508" t="str">
        <f t="shared" si="1"/>
        <v>20100128CTODP</v>
      </c>
      <c r="D26" s="508" t="s">
        <v>379</v>
      </c>
      <c r="E26" s="508" t="str">
        <f t="shared" si="2"/>
        <v>20100128LGCME593</v>
      </c>
      <c r="F26" s="509">
        <v>200</v>
      </c>
      <c r="G26" s="510">
        <v>2.9600000000000001E-2</v>
      </c>
      <c r="H26" s="510">
        <v>0</v>
      </c>
      <c r="I26" s="510">
        <v>0</v>
      </c>
      <c r="J26" s="510">
        <v>0</v>
      </c>
      <c r="K26" s="510">
        <v>0</v>
      </c>
      <c r="L26" s="510">
        <v>2.0580000000000001E-2</v>
      </c>
      <c r="M26" s="510">
        <v>9.0200000000000002E-3</v>
      </c>
      <c r="N26" s="510">
        <f t="shared" si="3"/>
        <v>0</v>
      </c>
      <c r="O26" s="510">
        <f t="shared" si="3"/>
        <v>0</v>
      </c>
      <c r="P26" s="510">
        <f t="shared" si="3"/>
        <v>0</v>
      </c>
      <c r="Q26" s="509">
        <v>2.64</v>
      </c>
      <c r="R26" s="509">
        <v>7.7</v>
      </c>
      <c r="S26" s="509">
        <v>10.5</v>
      </c>
      <c r="T26" s="509">
        <v>0.56000000000000005</v>
      </c>
      <c r="U26" s="509">
        <v>0.56000000000000005</v>
      </c>
      <c r="V26" s="509">
        <v>0.56000000000000005</v>
      </c>
      <c r="W26" s="509">
        <v>2.5</v>
      </c>
      <c r="X26" s="509">
        <v>4.0600000000000005</v>
      </c>
      <c r="Y26" s="509">
        <v>5.5600000000000005</v>
      </c>
    </row>
    <row r="27" spans="1:25">
      <c r="A27" s="507">
        <v>20100128</v>
      </c>
      <c r="B27" s="508" t="s">
        <v>20</v>
      </c>
      <c r="C27" s="508" t="str">
        <f t="shared" si="1"/>
        <v>20100128PSS</v>
      </c>
      <c r="D27" s="508" t="s">
        <v>389</v>
      </c>
      <c r="E27" s="508" t="str">
        <f t="shared" si="2"/>
        <v>20100128LGINE661</v>
      </c>
      <c r="F27" s="509">
        <v>65</v>
      </c>
      <c r="G27" s="510">
        <v>2.9559999999999999E-2</v>
      </c>
      <c r="H27" s="510">
        <v>0</v>
      </c>
      <c r="I27" s="510">
        <v>0</v>
      </c>
      <c r="J27" s="510">
        <v>0</v>
      </c>
      <c r="K27" s="510">
        <v>0</v>
      </c>
      <c r="L27" s="510">
        <v>2.0580000000000001E-2</v>
      </c>
      <c r="M27" s="510">
        <v>5.5300000000000002E-3</v>
      </c>
      <c r="N27" s="510">
        <f t="shared" si="3"/>
        <v>0</v>
      </c>
      <c r="O27" s="510">
        <f t="shared" si="3"/>
        <v>0</v>
      </c>
      <c r="P27" s="510">
        <f t="shared" si="3"/>
        <v>0</v>
      </c>
      <c r="Q27" s="509">
        <v>0</v>
      </c>
      <c r="R27" s="509">
        <v>11.93</v>
      </c>
      <c r="S27" s="509">
        <v>14.99</v>
      </c>
      <c r="T27" s="509">
        <v>0</v>
      </c>
      <c r="U27" s="509">
        <v>0.95</v>
      </c>
      <c r="V27" s="509">
        <v>0.95</v>
      </c>
      <c r="W27" s="509">
        <v>0</v>
      </c>
      <c r="X27" s="509">
        <v>11.56</v>
      </c>
      <c r="Y27" s="509">
        <v>14.15</v>
      </c>
    </row>
    <row r="28" spans="1:25">
      <c r="A28" s="507">
        <v>20100128</v>
      </c>
      <c r="B28" s="508" t="s">
        <v>21</v>
      </c>
      <c r="C28" s="508" t="str">
        <f t="shared" si="1"/>
        <v>20100128PSP</v>
      </c>
      <c r="D28" s="508" t="s">
        <v>390</v>
      </c>
      <c r="E28" s="508" t="str">
        <f t="shared" si="2"/>
        <v>20100128LGINE663</v>
      </c>
      <c r="F28" s="509">
        <v>65</v>
      </c>
      <c r="G28" s="510">
        <v>2.9559999999999999E-2</v>
      </c>
      <c r="H28" s="510">
        <v>0</v>
      </c>
      <c r="I28" s="510">
        <v>0</v>
      </c>
      <c r="J28" s="510">
        <v>0</v>
      </c>
      <c r="K28" s="510">
        <v>0</v>
      </c>
      <c r="L28" s="510">
        <v>2.0580000000000001E-2</v>
      </c>
      <c r="M28" s="510">
        <v>5.5300000000000002E-3</v>
      </c>
      <c r="N28" s="510">
        <f t="shared" si="3"/>
        <v>0</v>
      </c>
      <c r="O28" s="510">
        <f t="shared" si="3"/>
        <v>0</v>
      </c>
      <c r="P28" s="510">
        <f t="shared" si="3"/>
        <v>0</v>
      </c>
      <c r="Q28" s="509">
        <v>0</v>
      </c>
      <c r="R28" s="509">
        <v>10.35</v>
      </c>
      <c r="S28" s="509">
        <v>13.15</v>
      </c>
      <c r="T28" s="509">
        <v>0</v>
      </c>
      <c r="U28" s="509">
        <v>0.95</v>
      </c>
      <c r="V28" s="509">
        <v>0.95</v>
      </c>
      <c r="W28" s="509">
        <v>0</v>
      </c>
      <c r="X28" s="509">
        <v>9.8000000000000007</v>
      </c>
      <c r="Y28" s="509">
        <v>12.39</v>
      </c>
    </row>
    <row r="29" spans="1:25">
      <c r="A29" s="507">
        <v>20100128</v>
      </c>
      <c r="B29" s="508" t="s">
        <v>422</v>
      </c>
      <c r="C29" s="508" t="str">
        <f t="shared" si="1"/>
        <v>20100128ITODS</v>
      </c>
      <c r="D29" s="508" t="s">
        <v>391</v>
      </c>
      <c r="E29" s="508" t="str">
        <f t="shared" si="2"/>
        <v>20100128LGINE691</v>
      </c>
      <c r="F29" s="509">
        <v>120</v>
      </c>
      <c r="G29" s="510">
        <v>2.6159999999999999E-2</v>
      </c>
      <c r="H29" s="510">
        <v>0</v>
      </c>
      <c r="I29" s="510">
        <v>0</v>
      </c>
      <c r="J29" s="510">
        <v>0</v>
      </c>
      <c r="K29" s="510">
        <v>0</v>
      </c>
      <c r="L29" s="510">
        <v>2.0580000000000001E-2</v>
      </c>
      <c r="M29" s="510">
        <v>5.5799999999999982E-3</v>
      </c>
      <c r="N29" s="510">
        <f t="shared" si="3"/>
        <v>0</v>
      </c>
      <c r="O29" s="510">
        <f t="shared" si="3"/>
        <v>0</v>
      </c>
      <c r="P29" s="510">
        <f t="shared" si="3"/>
        <v>0</v>
      </c>
      <c r="Q29" s="509">
        <v>4.91</v>
      </c>
      <c r="R29" s="509">
        <v>7.46</v>
      </c>
      <c r="S29" s="509">
        <v>10.050000000000001</v>
      </c>
      <c r="T29" s="509">
        <v>0.48</v>
      </c>
      <c r="U29" s="509">
        <v>0.48</v>
      </c>
      <c r="V29" s="509">
        <v>0.48</v>
      </c>
      <c r="W29" s="509">
        <v>4.43</v>
      </c>
      <c r="X29" s="509">
        <v>6.98</v>
      </c>
      <c r="Y29" s="509">
        <v>9.57</v>
      </c>
    </row>
    <row r="30" spans="1:25">
      <c r="A30" s="507">
        <v>20100128</v>
      </c>
      <c r="B30" s="508" t="s">
        <v>421</v>
      </c>
      <c r="C30" s="508" t="str">
        <f t="shared" si="1"/>
        <v>20100128ITODP</v>
      </c>
      <c r="D30" s="508" t="s">
        <v>392</v>
      </c>
      <c r="E30" s="508" t="str">
        <f t="shared" si="2"/>
        <v>20100128LGINE693</v>
      </c>
      <c r="F30" s="509">
        <v>120</v>
      </c>
      <c r="G30" s="510">
        <v>2.6159999999999999E-2</v>
      </c>
      <c r="H30" s="510">
        <v>0</v>
      </c>
      <c r="I30" s="510">
        <v>0</v>
      </c>
      <c r="J30" s="510">
        <v>0</v>
      </c>
      <c r="K30" s="510">
        <v>0</v>
      </c>
      <c r="L30" s="510">
        <v>2.0580000000000001E-2</v>
      </c>
      <c r="M30" s="510">
        <v>5.5799999999999982E-3</v>
      </c>
      <c r="N30" s="510">
        <f t="shared" si="3"/>
        <v>0</v>
      </c>
      <c r="O30" s="510">
        <f t="shared" si="3"/>
        <v>0</v>
      </c>
      <c r="P30" s="510">
        <f t="shared" si="3"/>
        <v>0</v>
      </c>
      <c r="Q30" s="509">
        <v>3.85</v>
      </c>
      <c r="R30" s="509">
        <v>6.76</v>
      </c>
      <c r="S30" s="509">
        <v>9.35</v>
      </c>
      <c r="T30" s="509">
        <v>0.48</v>
      </c>
      <c r="U30" s="509">
        <v>0.48</v>
      </c>
      <c r="V30" s="509">
        <v>0.48</v>
      </c>
      <c r="W30" s="509">
        <v>3.37</v>
      </c>
      <c r="X30" s="509">
        <v>6.2799999999999994</v>
      </c>
      <c r="Y30" s="509">
        <v>8.8699999999999992</v>
      </c>
    </row>
    <row r="31" spans="1:25">
      <c r="A31" s="507">
        <v>20100128</v>
      </c>
      <c r="B31" s="508" t="s">
        <v>421</v>
      </c>
      <c r="C31" s="508" t="str">
        <f t="shared" si="1"/>
        <v>20100128ITODP</v>
      </c>
      <c r="D31" s="508" t="s">
        <v>393</v>
      </c>
      <c r="E31" s="508" t="str">
        <f t="shared" si="2"/>
        <v>20100128LGINE694</v>
      </c>
      <c r="F31" s="509">
        <v>120</v>
      </c>
      <c r="G31" s="510">
        <v>2.6159999999999999E-2</v>
      </c>
      <c r="H31" s="510">
        <v>0</v>
      </c>
      <c r="I31" s="510">
        <v>0</v>
      </c>
      <c r="J31" s="510">
        <v>0</v>
      </c>
      <c r="K31" s="510">
        <v>0</v>
      </c>
      <c r="L31" s="510">
        <v>2.0580000000000001E-2</v>
      </c>
      <c r="M31" s="510">
        <v>5.5799999999999982E-3</v>
      </c>
      <c r="N31" s="510">
        <f t="shared" si="3"/>
        <v>0</v>
      </c>
      <c r="O31" s="510">
        <f t="shared" si="3"/>
        <v>0</v>
      </c>
      <c r="P31" s="510">
        <f t="shared" si="3"/>
        <v>0</v>
      </c>
      <c r="Q31" s="509">
        <v>3.85</v>
      </c>
      <c r="R31" s="509">
        <v>6.76</v>
      </c>
      <c r="S31" s="509">
        <v>9.35</v>
      </c>
      <c r="T31" s="509">
        <v>0.48</v>
      </c>
      <c r="U31" s="509">
        <v>0.48</v>
      </c>
      <c r="V31" s="509">
        <v>0.48</v>
      </c>
      <c r="W31" s="509">
        <v>3.37</v>
      </c>
      <c r="X31" s="509">
        <v>6.2799999999999994</v>
      </c>
      <c r="Y31" s="509">
        <v>8.8699999999999992</v>
      </c>
    </row>
    <row r="32" spans="1:25">
      <c r="A32" s="507">
        <v>20100128</v>
      </c>
      <c r="B32" s="508" t="s">
        <v>15</v>
      </c>
      <c r="C32" s="508" t="str">
        <f t="shared" si="1"/>
        <v>20100128RTS</v>
      </c>
      <c r="D32" s="508" t="s">
        <v>388</v>
      </c>
      <c r="E32" s="508" t="str">
        <f t="shared" si="2"/>
        <v>20100128LGINE643</v>
      </c>
      <c r="F32" s="509">
        <v>120</v>
      </c>
      <c r="G32" s="510">
        <v>2.6159999999999999E-2</v>
      </c>
      <c r="H32" s="510">
        <v>0</v>
      </c>
      <c r="I32" s="510">
        <v>0</v>
      </c>
      <c r="J32" s="510">
        <v>0</v>
      </c>
      <c r="K32" s="510">
        <v>0</v>
      </c>
      <c r="L32" s="510">
        <v>2.0580000000000001E-2</v>
      </c>
      <c r="M32" s="510">
        <v>5.5799999999999982E-3</v>
      </c>
      <c r="N32" s="510">
        <v>0</v>
      </c>
      <c r="O32" s="510">
        <v>0</v>
      </c>
      <c r="P32" s="510">
        <v>0</v>
      </c>
      <c r="Q32" s="509">
        <v>2.36</v>
      </c>
      <c r="R32" s="509">
        <v>5.9</v>
      </c>
      <c r="S32" s="509">
        <v>8.15</v>
      </c>
      <c r="T32" s="509">
        <v>0.45</v>
      </c>
      <c r="U32" s="509">
        <v>0.45</v>
      </c>
      <c r="V32" s="509">
        <v>0.45</v>
      </c>
      <c r="W32" s="509">
        <v>1.91</v>
      </c>
      <c r="X32" s="509">
        <v>5.45</v>
      </c>
      <c r="Y32" s="509">
        <v>7.7</v>
      </c>
    </row>
    <row r="33" spans="1:25">
      <c r="A33" s="507">
        <v>20100128</v>
      </c>
      <c r="B33" s="508" t="s">
        <v>457</v>
      </c>
      <c r="C33" s="508" t="str">
        <f t="shared" si="1"/>
        <v>20100128ISS</v>
      </c>
      <c r="D33" s="508" t="s">
        <v>457</v>
      </c>
      <c r="E33" s="508" t="str">
        <f t="shared" si="2"/>
        <v>20100128ISS</v>
      </c>
      <c r="F33" s="509">
        <v>120</v>
      </c>
      <c r="G33" s="510">
        <v>2.6159999999999999E-2</v>
      </c>
      <c r="H33" s="510">
        <v>0</v>
      </c>
      <c r="I33" s="510">
        <v>0</v>
      </c>
      <c r="J33" s="510">
        <v>0</v>
      </c>
      <c r="K33" s="510">
        <v>0</v>
      </c>
      <c r="L33" s="510">
        <v>2.0580000000000001E-2</v>
      </c>
      <c r="M33" s="510">
        <v>5.5799999999999982E-3</v>
      </c>
      <c r="N33" s="510">
        <f t="shared" si="3"/>
        <v>0</v>
      </c>
      <c r="O33" s="510">
        <f t="shared" si="3"/>
        <v>0</v>
      </c>
      <c r="P33" s="510">
        <f t="shared" si="3"/>
        <v>0</v>
      </c>
      <c r="Q33" s="509">
        <v>2.38</v>
      </c>
      <c r="R33" s="509">
        <v>3.64</v>
      </c>
      <c r="S33" s="509">
        <v>4.9400000000000004</v>
      </c>
      <c r="T33" s="509">
        <v>0.45</v>
      </c>
      <c r="U33" s="509">
        <v>0.45</v>
      </c>
      <c r="V33" s="509">
        <v>0.45</v>
      </c>
      <c r="W33" s="509">
        <v>1.93</v>
      </c>
      <c r="X33" s="509">
        <v>3.19</v>
      </c>
      <c r="Y33" s="509">
        <v>4.49</v>
      </c>
    </row>
    <row r="34" spans="1:25">
      <c r="A34" s="507">
        <v>20100128</v>
      </c>
      <c r="B34" s="508" t="s">
        <v>458</v>
      </c>
      <c r="C34" s="508" t="str">
        <f t="shared" si="1"/>
        <v>20100128ISP</v>
      </c>
      <c r="D34" s="508" t="s">
        <v>458</v>
      </c>
      <c r="E34" s="508" t="str">
        <f t="shared" si="2"/>
        <v>20100128ISP</v>
      </c>
      <c r="F34" s="509">
        <v>120</v>
      </c>
      <c r="G34" s="510">
        <v>2.6159999999999999E-2</v>
      </c>
      <c r="H34" s="510">
        <v>0</v>
      </c>
      <c r="I34" s="510">
        <v>0</v>
      </c>
      <c r="J34" s="510">
        <v>0</v>
      </c>
      <c r="K34" s="510">
        <v>0</v>
      </c>
      <c r="L34" s="510">
        <v>2.0580000000000001E-2</v>
      </c>
      <c r="M34" s="510">
        <v>5.5799999999999982E-3</v>
      </c>
      <c r="N34" s="510">
        <f t="shared" si="3"/>
        <v>0</v>
      </c>
      <c r="O34" s="510">
        <f t="shared" si="3"/>
        <v>0</v>
      </c>
      <c r="P34" s="510">
        <f t="shared" si="3"/>
        <v>0</v>
      </c>
      <c r="Q34" s="509">
        <v>1.83</v>
      </c>
      <c r="R34" s="509">
        <v>3.29</v>
      </c>
      <c r="S34" s="509">
        <v>4.59</v>
      </c>
      <c r="T34" s="509">
        <v>0.45</v>
      </c>
      <c r="U34" s="509">
        <v>0.45</v>
      </c>
      <c r="V34" s="509">
        <v>0.45</v>
      </c>
      <c r="W34" s="509">
        <v>1.3800000000000001</v>
      </c>
      <c r="X34" s="509">
        <v>2.84</v>
      </c>
      <c r="Y34" s="509">
        <v>4.1399999999999997</v>
      </c>
    </row>
    <row r="35" spans="1:25">
      <c r="A35" s="507">
        <v>20100128</v>
      </c>
      <c r="B35" s="508" t="s">
        <v>16</v>
      </c>
      <c r="C35" s="508" t="str">
        <f t="shared" si="1"/>
        <v>20100128IST</v>
      </c>
      <c r="D35" s="508" t="s">
        <v>16</v>
      </c>
      <c r="E35" s="508" t="str">
        <f t="shared" si="2"/>
        <v>20100128IST</v>
      </c>
      <c r="F35" s="509">
        <v>120</v>
      </c>
      <c r="G35" s="510">
        <v>2.6159999999999999E-2</v>
      </c>
      <c r="H35" s="510">
        <v>0</v>
      </c>
      <c r="I35" s="510">
        <v>0</v>
      </c>
      <c r="J35" s="510">
        <v>0</v>
      </c>
      <c r="K35" s="510">
        <v>0</v>
      </c>
      <c r="L35" s="510">
        <v>2.0580000000000001E-2</v>
      </c>
      <c r="M35" s="510">
        <v>5.5799999999999982E-3</v>
      </c>
      <c r="N35" s="510">
        <f t="shared" si="3"/>
        <v>0</v>
      </c>
      <c r="O35" s="510">
        <f t="shared" si="3"/>
        <v>0</v>
      </c>
      <c r="P35" s="510">
        <f t="shared" si="3"/>
        <v>0</v>
      </c>
      <c r="Q35" s="509">
        <v>1.24</v>
      </c>
      <c r="R35" s="509">
        <v>3.29</v>
      </c>
      <c r="S35" s="509">
        <v>4.58</v>
      </c>
      <c r="T35" s="509">
        <v>0.45</v>
      </c>
      <c r="U35" s="509">
        <v>0.45</v>
      </c>
      <c r="V35" s="509">
        <v>0.45</v>
      </c>
      <c r="W35" s="509">
        <v>0.79</v>
      </c>
      <c r="X35" s="509">
        <v>2.84</v>
      </c>
      <c r="Y35" s="509">
        <v>4.13</v>
      </c>
    </row>
    <row r="36" spans="1:25">
      <c r="A36" s="507">
        <v>20100128</v>
      </c>
      <c r="B36" s="508" t="s">
        <v>17</v>
      </c>
      <c r="C36" s="508" t="str">
        <f t="shared" si="1"/>
        <v>20100128LE</v>
      </c>
      <c r="D36" s="508" t="s">
        <v>394</v>
      </c>
      <c r="E36" s="508" t="str">
        <f t="shared" si="2"/>
        <v>20100128LGMLE570</v>
      </c>
      <c r="F36" s="509">
        <v>0</v>
      </c>
      <c r="G36" s="510">
        <v>4.4819999999999999E-2</v>
      </c>
      <c r="H36" s="510">
        <v>0</v>
      </c>
      <c r="I36" s="510">
        <v>0</v>
      </c>
      <c r="J36" s="510">
        <v>0</v>
      </c>
      <c r="K36" s="510">
        <v>2.2100000000000002E-3</v>
      </c>
      <c r="L36" s="510">
        <v>2.0580000000000001E-2</v>
      </c>
      <c r="M36" s="510">
        <v>2.2029999999999994E-2</v>
      </c>
      <c r="N36" s="510">
        <f t="shared" si="3"/>
        <v>0</v>
      </c>
      <c r="O36" s="510">
        <f t="shared" si="3"/>
        <v>0</v>
      </c>
      <c r="P36" s="510">
        <f t="shared" si="3"/>
        <v>0</v>
      </c>
      <c r="Q36" s="509">
        <v>0</v>
      </c>
      <c r="R36" s="509">
        <v>0</v>
      </c>
      <c r="S36" s="509">
        <v>0</v>
      </c>
      <c r="T36" s="509">
        <v>0</v>
      </c>
      <c r="U36" s="509">
        <v>0</v>
      </c>
      <c r="V36" s="509">
        <v>0</v>
      </c>
      <c r="W36" s="509">
        <v>0</v>
      </c>
      <c r="X36" s="509">
        <v>0</v>
      </c>
      <c r="Y36" s="509">
        <v>0</v>
      </c>
    </row>
    <row r="37" spans="1:25">
      <c r="A37" s="507">
        <v>20100128</v>
      </c>
      <c r="B37" s="508" t="s">
        <v>17</v>
      </c>
      <c r="C37" s="508" t="str">
        <f t="shared" si="1"/>
        <v>20100128LE</v>
      </c>
      <c r="D37" s="508" t="s">
        <v>395</v>
      </c>
      <c r="E37" s="508" t="str">
        <f t="shared" si="2"/>
        <v>20100128LGMLE571</v>
      </c>
      <c r="F37" s="509">
        <v>0</v>
      </c>
      <c r="G37" s="510">
        <v>4.4819999999999999E-2</v>
      </c>
      <c r="H37" s="510">
        <v>0</v>
      </c>
      <c r="I37" s="510">
        <v>0</v>
      </c>
      <c r="J37" s="510">
        <v>0</v>
      </c>
      <c r="K37" s="510">
        <v>2.2100000000000002E-3</v>
      </c>
      <c r="L37" s="510">
        <v>2.0580000000000001E-2</v>
      </c>
      <c r="M37" s="510">
        <v>2.2029999999999994E-2</v>
      </c>
      <c r="N37" s="510">
        <f t="shared" si="3"/>
        <v>0</v>
      </c>
      <c r="O37" s="510">
        <f t="shared" si="3"/>
        <v>0</v>
      </c>
      <c r="P37" s="510">
        <f t="shared" si="3"/>
        <v>0</v>
      </c>
      <c r="Q37" s="509">
        <v>0</v>
      </c>
      <c r="R37" s="509">
        <v>0</v>
      </c>
      <c r="S37" s="509">
        <v>0</v>
      </c>
      <c r="T37" s="509">
        <v>0</v>
      </c>
      <c r="U37" s="509">
        <v>0</v>
      </c>
      <c r="V37" s="509">
        <v>0</v>
      </c>
      <c r="W37" s="509">
        <v>0</v>
      </c>
      <c r="X37" s="509">
        <v>0</v>
      </c>
      <c r="Y37" s="509">
        <v>0</v>
      </c>
    </row>
    <row r="38" spans="1:25">
      <c r="A38" s="507">
        <v>20100128</v>
      </c>
      <c r="B38" s="508" t="s">
        <v>17</v>
      </c>
      <c r="C38" s="508" t="str">
        <f t="shared" si="1"/>
        <v>20100128LE</v>
      </c>
      <c r="D38" s="508" t="s">
        <v>396</v>
      </c>
      <c r="E38" s="508" t="str">
        <f t="shared" si="2"/>
        <v>20100128LGMLE572</v>
      </c>
      <c r="F38" s="509">
        <v>0</v>
      </c>
      <c r="G38" s="510">
        <v>4.4819999999999999E-2</v>
      </c>
      <c r="H38" s="510">
        <v>0</v>
      </c>
      <c r="I38" s="510">
        <v>0</v>
      </c>
      <c r="J38" s="510">
        <v>0</v>
      </c>
      <c r="K38" s="510">
        <v>2.2100000000000002E-3</v>
      </c>
      <c r="L38" s="510">
        <v>2.0580000000000001E-2</v>
      </c>
      <c r="M38" s="510">
        <v>2.2029999999999994E-2</v>
      </c>
      <c r="N38" s="510">
        <f t="shared" si="3"/>
        <v>0</v>
      </c>
      <c r="O38" s="510">
        <f t="shared" si="3"/>
        <v>0</v>
      </c>
      <c r="P38" s="510">
        <f t="shared" si="3"/>
        <v>0</v>
      </c>
      <c r="Q38" s="509">
        <v>0</v>
      </c>
      <c r="R38" s="509">
        <v>0</v>
      </c>
      <c r="S38" s="509">
        <v>0</v>
      </c>
      <c r="T38" s="509">
        <v>0</v>
      </c>
      <c r="U38" s="509">
        <v>0</v>
      </c>
      <c r="V38" s="509">
        <v>0</v>
      </c>
      <c r="W38" s="509">
        <v>0</v>
      </c>
      <c r="X38" s="509">
        <v>0</v>
      </c>
      <c r="Y38" s="509">
        <v>0</v>
      </c>
    </row>
    <row r="39" spans="1:25">
      <c r="A39" s="507">
        <v>20100128</v>
      </c>
      <c r="B39" s="508" t="s">
        <v>18</v>
      </c>
      <c r="C39" s="508" t="str">
        <f t="shared" si="1"/>
        <v>20100128TE</v>
      </c>
      <c r="D39" s="508" t="s">
        <v>397</v>
      </c>
      <c r="E39" s="508" t="str">
        <f t="shared" si="2"/>
        <v>20100128LGMLE573</v>
      </c>
      <c r="F39" s="509">
        <v>2.8</v>
      </c>
      <c r="G39" s="510">
        <v>5.9139999999999998E-2</v>
      </c>
      <c r="H39" s="510">
        <v>0</v>
      </c>
      <c r="I39" s="510">
        <v>0</v>
      </c>
      <c r="J39" s="510">
        <v>0</v>
      </c>
      <c r="K39" s="510">
        <v>2.2100000000000002E-3</v>
      </c>
      <c r="L39" s="510">
        <v>2.0580000000000001E-2</v>
      </c>
      <c r="M39" s="510">
        <v>3.6349999999999993E-2</v>
      </c>
      <c r="N39" s="510">
        <f t="shared" si="3"/>
        <v>0</v>
      </c>
      <c r="O39" s="510">
        <f t="shared" si="3"/>
        <v>0</v>
      </c>
      <c r="P39" s="510">
        <f t="shared" si="3"/>
        <v>0</v>
      </c>
      <c r="Q39" s="509">
        <v>0</v>
      </c>
      <c r="R39" s="509">
        <v>0</v>
      </c>
      <c r="S39" s="509">
        <v>0</v>
      </c>
      <c r="T39" s="509">
        <v>0</v>
      </c>
      <c r="U39" s="509">
        <v>0</v>
      </c>
      <c r="V39" s="509">
        <v>0</v>
      </c>
      <c r="W39" s="509">
        <v>0</v>
      </c>
      <c r="X39" s="509">
        <v>0</v>
      </c>
      <c r="Y39" s="509">
        <v>0</v>
      </c>
    </row>
    <row r="40" spans="1:25">
      <c r="A40" s="507">
        <v>20100128</v>
      </c>
      <c r="B40" s="508" t="s">
        <v>18</v>
      </c>
      <c r="C40" s="508" t="str">
        <f t="shared" si="1"/>
        <v>20100128TE</v>
      </c>
      <c r="D40" s="508" t="s">
        <v>398</v>
      </c>
      <c r="E40" s="508" t="str">
        <f t="shared" si="2"/>
        <v>20100128LGMLE574</v>
      </c>
      <c r="F40" s="509">
        <v>2.8</v>
      </c>
      <c r="G40" s="510">
        <v>5.9139999999999998E-2</v>
      </c>
      <c r="H40" s="510">
        <v>0</v>
      </c>
      <c r="I40" s="510">
        <v>0</v>
      </c>
      <c r="J40" s="510">
        <v>0</v>
      </c>
      <c r="K40" s="510">
        <v>2.2100000000000002E-3</v>
      </c>
      <c r="L40" s="510">
        <v>2.0580000000000001E-2</v>
      </c>
      <c r="M40" s="510">
        <v>3.6349999999999993E-2</v>
      </c>
      <c r="N40" s="510">
        <f t="shared" si="3"/>
        <v>0</v>
      </c>
      <c r="O40" s="510">
        <f t="shared" si="3"/>
        <v>0</v>
      </c>
      <c r="P40" s="510">
        <f t="shared" si="3"/>
        <v>0</v>
      </c>
      <c r="Q40" s="509">
        <v>0</v>
      </c>
      <c r="R40" s="509">
        <v>0</v>
      </c>
      <c r="S40" s="509">
        <v>0</v>
      </c>
      <c r="T40" s="509">
        <v>0</v>
      </c>
      <c r="U40" s="509">
        <v>0</v>
      </c>
      <c r="V40" s="509">
        <v>0</v>
      </c>
      <c r="W40" s="509">
        <v>0</v>
      </c>
      <c r="X40" s="509">
        <v>0</v>
      </c>
      <c r="Y40" s="509">
        <v>0</v>
      </c>
    </row>
    <row r="41" spans="1:25">
      <c r="A41" s="507">
        <v>20100128</v>
      </c>
      <c r="B41" s="508" t="s">
        <v>412</v>
      </c>
      <c r="C41" s="508" t="str">
        <f t="shared" si="1"/>
        <v>20100128FK</v>
      </c>
      <c r="D41" s="508" t="s">
        <v>387</v>
      </c>
      <c r="E41" s="508" t="str">
        <f t="shared" si="2"/>
        <v>20100128LGINE599</v>
      </c>
      <c r="F41" s="509">
        <v>0</v>
      </c>
      <c r="G41" s="510">
        <v>2.6190000000000001E-2</v>
      </c>
      <c r="H41" s="510">
        <v>0</v>
      </c>
      <c r="I41" s="510">
        <v>0</v>
      </c>
      <c r="J41" s="510">
        <v>0</v>
      </c>
      <c r="K41" s="510">
        <v>0</v>
      </c>
      <c r="L41" s="510">
        <v>2.0580000000000001E-2</v>
      </c>
      <c r="M41" s="510">
        <v>5.6100000000000004E-3</v>
      </c>
      <c r="N41" s="510">
        <f t="shared" si="3"/>
        <v>0</v>
      </c>
      <c r="O41" s="510">
        <f t="shared" si="3"/>
        <v>0</v>
      </c>
      <c r="P41" s="510">
        <f t="shared" si="3"/>
        <v>0</v>
      </c>
      <c r="Q41" s="509">
        <v>0</v>
      </c>
      <c r="R41" s="509">
        <v>10.44</v>
      </c>
      <c r="S41" s="509">
        <v>12.63</v>
      </c>
      <c r="T41" s="509">
        <v>0</v>
      </c>
      <c r="U41" s="509">
        <v>0.99</v>
      </c>
      <c r="V41" s="509">
        <v>0.99</v>
      </c>
      <c r="W41" s="509">
        <v>0</v>
      </c>
      <c r="X41" s="509">
        <v>9.4499999999999993</v>
      </c>
      <c r="Y41" s="509">
        <v>11.64</v>
      </c>
    </row>
    <row r="42" spans="1:25">
      <c r="A42" s="507">
        <v>20100128</v>
      </c>
      <c r="B42" s="508" t="s">
        <v>425</v>
      </c>
      <c r="C42" s="508" t="str">
        <f t="shared" si="1"/>
        <v>20100128LWC</v>
      </c>
      <c r="D42" s="508" t="s">
        <v>385</v>
      </c>
      <c r="E42" s="508" t="str">
        <f t="shared" si="2"/>
        <v>20100128LGCME671</v>
      </c>
      <c r="F42" s="509">
        <v>0</v>
      </c>
      <c r="G42" s="510">
        <v>2.6179999999999998E-2</v>
      </c>
      <c r="H42" s="510">
        <v>0</v>
      </c>
      <c r="I42" s="510">
        <v>0</v>
      </c>
      <c r="J42" s="510">
        <v>0</v>
      </c>
      <c r="K42" s="510">
        <v>0</v>
      </c>
      <c r="L42" s="510">
        <v>2.0580000000000001E-2</v>
      </c>
      <c r="M42" s="510">
        <v>5.5999999999999973E-3</v>
      </c>
      <c r="N42" s="510">
        <f t="shared" si="3"/>
        <v>0</v>
      </c>
      <c r="O42" s="510">
        <f t="shared" si="3"/>
        <v>0</v>
      </c>
      <c r="P42" s="510">
        <f t="shared" si="3"/>
        <v>0</v>
      </c>
      <c r="Q42" s="509">
        <v>0</v>
      </c>
      <c r="R42" s="509">
        <v>8.92</v>
      </c>
      <c r="S42" s="509">
        <v>8.92</v>
      </c>
      <c r="T42" s="509">
        <v>0</v>
      </c>
      <c r="U42" s="509">
        <v>0.9</v>
      </c>
      <c r="V42" s="509">
        <v>0.9</v>
      </c>
      <c r="W42" s="509">
        <v>0</v>
      </c>
      <c r="X42" s="509">
        <v>8.02</v>
      </c>
      <c r="Y42" s="509">
        <v>8.02</v>
      </c>
    </row>
    <row r="43" spans="1:25">
      <c r="A43" s="108">
        <v>20100729</v>
      </c>
      <c r="B43" s="206" t="s">
        <v>13</v>
      </c>
      <c r="C43" s="206" t="str">
        <f>A43&amp;B43</f>
        <v>20100729RS</v>
      </c>
      <c r="D43" s="206" t="s">
        <v>399</v>
      </c>
      <c r="E43" s="206" t="str">
        <f>A43&amp;D43</f>
        <v>20100729LGRSE411</v>
      </c>
      <c r="F43" s="114">
        <v>0</v>
      </c>
      <c r="G43" s="511">
        <v>7.0680000000000007E-2</v>
      </c>
      <c r="H43" s="511">
        <v>0</v>
      </c>
      <c r="I43" s="511">
        <v>0</v>
      </c>
      <c r="J43" s="511">
        <v>0</v>
      </c>
      <c r="K43" s="511">
        <v>7.2999999999999996E-4</v>
      </c>
      <c r="L43" s="511">
        <v>2.0580000000000001E-2</v>
      </c>
      <c r="M43" s="511">
        <v>4.9370000000000011E-2</v>
      </c>
      <c r="N43" s="511">
        <f t="shared" ref="N43:P81" si="4">IF(H43=0,0,H43-$K43-$L43)</f>
        <v>0</v>
      </c>
      <c r="O43" s="511">
        <f t="shared" si="4"/>
        <v>0</v>
      </c>
      <c r="P43" s="511">
        <f t="shared" si="4"/>
        <v>0</v>
      </c>
      <c r="Q43" s="114">
        <v>0</v>
      </c>
      <c r="R43" s="114">
        <v>0</v>
      </c>
      <c r="S43" s="114">
        <v>0</v>
      </c>
      <c r="T43" s="114">
        <v>0</v>
      </c>
      <c r="U43" s="114">
        <v>0</v>
      </c>
      <c r="V43" s="114">
        <v>0</v>
      </c>
      <c r="W43" s="114">
        <v>0</v>
      </c>
      <c r="X43" s="114">
        <v>0</v>
      </c>
      <c r="Y43" s="114">
        <v>0</v>
      </c>
    </row>
    <row r="44" spans="1:25">
      <c r="A44" s="108">
        <v>20100729</v>
      </c>
      <c r="B44" s="210" t="s">
        <v>417</v>
      </c>
      <c r="C44" s="206" t="str">
        <f>A44&amp;B44</f>
        <v>20100729GSWH</v>
      </c>
      <c r="D44" s="206" t="s">
        <v>368</v>
      </c>
      <c r="E44" s="206" t="str">
        <f>A44&amp;D44</f>
        <v>20100729LGCME451</v>
      </c>
      <c r="F44" s="114">
        <v>0</v>
      </c>
      <c r="G44" s="511">
        <v>8.0509999999999998E-2</v>
      </c>
      <c r="H44" s="511">
        <v>0</v>
      </c>
      <c r="I44" s="511">
        <v>0</v>
      </c>
      <c r="J44" s="511">
        <v>0</v>
      </c>
      <c r="K44" s="511">
        <v>8.0000000000000004E-4</v>
      </c>
      <c r="L44" s="511">
        <v>2.0580000000000001E-2</v>
      </c>
      <c r="M44" s="511">
        <v>5.9130000000000002E-2</v>
      </c>
      <c r="N44" s="511">
        <f t="shared" si="4"/>
        <v>0</v>
      </c>
      <c r="O44" s="511">
        <f t="shared" si="4"/>
        <v>0</v>
      </c>
      <c r="P44" s="511">
        <f t="shared" si="4"/>
        <v>0</v>
      </c>
      <c r="Q44" s="114">
        <v>0</v>
      </c>
      <c r="R44" s="114">
        <v>0</v>
      </c>
      <c r="S44" s="114">
        <v>0</v>
      </c>
      <c r="T44" s="114">
        <v>0</v>
      </c>
      <c r="U44" s="114">
        <v>0</v>
      </c>
      <c r="V44" s="114">
        <v>0</v>
      </c>
      <c r="W44" s="114">
        <v>0</v>
      </c>
      <c r="X44" s="114">
        <v>0</v>
      </c>
      <c r="Y44" s="114">
        <v>0</v>
      </c>
    </row>
    <row r="45" spans="1:25">
      <c r="A45" s="108">
        <v>20100729</v>
      </c>
      <c r="B45" s="206" t="s">
        <v>13</v>
      </c>
      <c r="C45" s="206" t="str">
        <f>A45&amp;B45</f>
        <v>20100729RS</v>
      </c>
      <c r="D45" s="206" t="s">
        <v>400</v>
      </c>
      <c r="E45" s="206" t="str">
        <f>A45&amp;D45</f>
        <v>20100729LGRSE511</v>
      </c>
      <c r="F45" s="114">
        <v>8.5</v>
      </c>
      <c r="G45" s="511">
        <v>7.0680000000000007E-2</v>
      </c>
      <c r="H45" s="511">
        <v>0</v>
      </c>
      <c r="I45" s="511">
        <v>0</v>
      </c>
      <c r="J45" s="511">
        <v>0</v>
      </c>
      <c r="K45" s="511">
        <v>7.2999999999999996E-4</v>
      </c>
      <c r="L45" s="511">
        <v>2.0580000000000001E-2</v>
      </c>
      <c r="M45" s="511">
        <v>4.9370000000000011E-2</v>
      </c>
      <c r="N45" s="511">
        <f t="shared" si="4"/>
        <v>0</v>
      </c>
      <c r="O45" s="511">
        <f t="shared" si="4"/>
        <v>0</v>
      </c>
      <c r="P45" s="511">
        <f t="shared" si="4"/>
        <v>0</v>
      </c>
      <c r="Q45" s="114">
        <v>0</v>
      </c>
      <c r="R45" s="114">
        <v>0</v>
      </c>
      <c r="S45" s="114">
        <v>0</v>
      </c>
      <c r="T45" s="114">
        <v>0</v>
      </c>
      <c r="U45" s="114">
        <v>0</v>
      </c>
      <c r="V45" s="114">
        <v>0</v>
      </c>
      <c r="W45" s="114">
        <v>0</v>
      </c>
      <c r="X45" s="114">
        <v>0</v>
      </c>
      <c r="Y45" s="114">
        <v>0</v>
      </c>
    </row>
    <row r="46" spans="1:25">
      <c r="A46" s="108">
        <v>20100729</v>
      </c>
      <c r="B46" s="206" t="s">
        <v>13</v>
      </c>
      <c r="C46" s="206" t="str">
        <f>A46&amp;B46</f>
        <v>20100729RS</v>
      </c>
      <c r="D46" s="206" t="s">
        <v>401</v>
      </c>
      <c r="E46" s="206" t="str">
        <f>A46&amp;D46</f>
        <v>20100729LGRSE519</v>
      </c>
      <c r="F46" s="114">
        <v>8.5</v>
      </c>
      <c r="G46" s="511">
        <v>7.0680000000000007E-2</v>
      </c>
      <c r="H46" s="511">
        <v>0</v>
      </c>
      <c r="I46" s="511">
        <v>0</v>
      </c>
      <c r="J46" s="511">
        <v>0</v>
      </c>
      <c r="K46" s="511">
        <v>7.2999999999999996E-4</v>
      </c>
      <c r="L46" s="511">
        <v>2.0580000000000001E-2</v>
      </c>
      <c r="M46" s="511">
        <v>4.9370000000000011E-2</v>
      </c>
      <c r="N46" s="511">
        <f t="shared" si="4"/>
        <v>0</v>
      </c>
      <c r="O46" s="511">
        <f t="shared" si="4"/>
        <v>0</v>
      </c>
      <c r="P46" s="511">
        <f t="shared" si="4"/>
        <v>0</v>
      </c>
      <c r="Q46" s="114">
        <v>0</v>
      </c>
      <c r="R46" s="114">
        <v>0</v>
      </c>
      <c r="S46" s="114">
        <v>0</v>
      </c>
      <c r="T46" s="114">
        <v>0</v>
      </c>
      <c r="U46" s="114">
        <v>0</v>
      </c>
      <c r="V46" s="114">
        <v>0</v>
      </c>
      <c r="W46" s="114">
        <v>0</v>
      </c>
      <c r="X46" s="114">
        <v>0</v>
      </c>
      <c r="Y46" s="114">
        <v>0</v>
      </c>
    </row>
    <row r="47" spans="1:25">
      <c r="A47" s="108">
        <v>20100729</v>
      </c>
      <c r="B47" s="206" t="s">
        <v>700</v>
      </c>
      <c r="C47" s="206" t="str">
        <f t="shared" ref="C47:C81" si="5">A47&amp;B47</f>
        <v>20100729VFD</v>
      </c>
      <c r="D47" s="206" t="s">
        <v>402</v>
      </c>
      <c r="E47" s="206" t="str">
        <f t="shared" ref="E47:E81" si="6">A47&amp;D47</f>
        <v>20100729LGRSE540</v>
      </c>
      <c r="F47" s="114">
        <v>8.5</v>
      </c>
      <c r="G47" s="511">
        <v>7.0680000000000007E-2</v>
      </c>
      <c r="H47" s="511">
        <v>0</v>
      </c>
      <c r="I47" s="511">
        <v>0</v>
      </c>
      <c r="J47" s="511">
        <v>0</v>
      </c>
      <c r="K47" s="511">
        <v>7.2999999999999996E-4</v>
      </c>
      <c r="L47" s="511">
        <v>2.0580000000000001E-2</v>
      </c>
      <c r="M47" s="511">
        <v>4.9370000000000011E-2</v>
      </c>
      <c r="N47" s="511">
        <f t="shared" si="4"/>
        <v>0</v>
      </c>
      <c r="O47" s="511">
        <f t="shared" si="4"/>
        <v>0</v>
      </c>
      <c r="P47" s="511">
        <f t="shared" si="4"/>
        <v>0</v>
      </c>
      <c r="Q47" s="114">
        <v>0</v>
      </c>
      <c r="R47" s="114">
        <v>0</v>
      </c>
      <c r="S47" s="114">
        <v>0</v>
      </c>
      <c r="T47" s="114">
        <v>0</v>
      </c>
      <c r="U47" s="114">
        <v>0</v>
      </c>
      <c r="V47" s="114">
        <v>0</v>
      </c>
      <c r="W47" s="114">
        <v>0</v>
      </c>
      <c r="X47" s="114">
        <v>0</v>
      </c>
      <c r="Y47" s="114">
        <v>0</v>
      </c>
    </row>
    <row r="48" spans="1:25">
      <c r="A48" s="108">
        <v>20100729</v>
      </c>
      <c r="B48" s="210" t="s">
        <v>426</v>
      </c>
      <c r="C48" s="206" t="str">
        <f t="shared" si="5"/>
        <v>20100729RRP</v>
      </c>
      <c r="D48" s="210" t="s">
        <v>403</v>
      </c>
      <c r="E48" s="206" t="str">
        <f t="shared" si="6"/>
        <v>20100729LGRSE541</v>
      </c>
      <c r="F48" s="114">
        <v>13.5</v>
      </c>
      <c r="G48" s="511">
        <v>4.8719999999999999E-2</v>
      </c>
      <c r="H48" s="511">
        <v>6.1679999999999999E-2</v>
      </c>
      <c r="I48" s="511">
        <v>0.11873</v>
      </c>
      <c r="J48" s="511">
        <v>0.32363999999999998</v>
      </c>
      <c r="K48" s="511">
        <v>7.2999999999999996E-4</v>
      </c>
      <c r="L48" s="511">
        <v>2.0580000000000001E-2</v>
      </c>
      <c r="M48" s="511">
        <v>2.7409999999999997E-2</v>
      </c>
      <c r="N48" s="511">
        <v>4.0369999999999996E-2</v>
      </c>
      <c r="O48" s="511">
        <v>9.7420000000000007E-2</v>
      </c>
      <c r="P48" s="511">
        <v>0.30232999999999999</v>
      </c>
      <c r="Q48" s="114">
        <v>0</v>
      </c>
      <c r="R48" s="114">
        <v>0</v>
      </c>
      <c r="S48" s="114">
        <v>0</v>
      </c>
      <c r="T48" s="114">
        <v>0</v>
      </c>
      <c r="U48" s="114">
        <v>0</v>
      </c>
      <c r="V48" s="114">
        <v>0</v>
      </c>
      <c r="W48" s="114">
        <v>0</v>
      </c>
      <c r="X48" s="114">
        <v>0</v>
      </c>
      <c r="Y48" s="114">
        <v>0</v>
      </c>
    </row>
    <row r="49" spans="1:25">
      <c r="A49" s="108">
        <v>20100729</v>
      </c>
      <c r="B49" s="210" t="s">
        <v>833</v>
      </c>
      <c r="C49" s="206" t="str">
        <f t="shared" si="5"/>
        <v>20100729GSP</v>
      </c>
      <c r="D49" s="206" t="s">
        <v>369</v>
      </c>
      <c r="E49" s="206" t="str">
        <f t="shared" si="6"/>
        <v>20100729LGCME550</v>
      </c>
      <c r="F49" s="114">
        <v>17.5</v>
      </c>
      <c r="G49" s="511">
        <v>8.0509999999999998E-2</v>
      </c>
      <c r="H49" s="511">
        <v>0</v>
      </c>
      <c r="I49" s="511">
        <v>0</v>
      </c>
      <c r="J49" s="511">
        <v>0</v>
      </c>
      <c r="K49" s="511">
        <v>8.0000000000000004E-4</v>
      </c>
      <c r="L49" s="511">
        <v>2.0580000000000001E-2</v>
      </c>
      <c r="M49" s="511">
        <v>5.9130000000000002E-2</v>
      </c>
      <c r="N49" s="511">
        <f t="shared" si="4"/>
        <v>0</v>
      </c>
      <c r="O49" s="511">
        <f t="shared" si="4"/>
        <v>0</v>
      </c>
      <c r="P49" s="511">
        <f t="shared" si="4"/>
        <v>0</v>
      </c>
      <c r="Q49" s="114">
        <v>0</v>
      </c>
      <c r="R49" s="114">
        <v>0</v>
      </c>
      <c r="S49" s="114">
        <v>0</v>
      </c>
      <c r="T49" s="114">
        <v>0</v>
      </c>
      <c r="U49" s="114">
        <v>0</v>
      </c>
      <c r="V49" s="114">
        <v>0</v>
      </c>
      <c r="W49" s="114">
        <v>0</v>
      </c>
      <c r="X49" s="114">
        <v>0</v>
      </c>
      <c r="Y49" s="114">
        <v>0</v>
      </c>
    </row>
    <row r="50" spans="1:25">
      <c r="A50" s="108">
        <v>20100729</v>
      </c>
      <c r="B50" s="206" t="s">
        <v>414</v>
      </c>
      <c r="C50" s="206" t="str">
        <f t="shared" si="5"/>
        <v>20100729GSS</v>
      </c>
      <c r="D50" s="206" t="s">
        <v>370</v>
      </c>
      <c r="E50" s="206" t="str">
        <f t="shared" si="6"/>
        <v>20100729LGCME551</v>
      </c>
      <c r="F50" s="114">
        <v>17.5</v>
      </c>
      <c r="G50" s="511">
        <v>8.0509999999999998E-2</v>
      </c>
      <c r="H50" s="511">
        <v>0</v>
      </c>
      <c r="I50" s="511">
        <v>0</v>
      </c>
      <c r="J50" s="511">
        <v>0</v>
      </c>
      <c r="K50" s="511">
        <v>8.0000000000000004E-4</v>
      </c>
      <c r="L50" s="511">
        <v>2.0580000000000001E-2</v>
      </c>
      <c r="M50" s="511">
        <v>5.9130000000000002E-2</v>
      </c>
      <c r="N50" s="511">
        <f t="shared" si="4"/>
        <v>0</v>
      </c>
      <c r="O50" s="511">
        <f t="shared" si="4"/>
        <v>0</v>
      </c>
      <c r="P50" s="511">
        <f t="shared" si="4"/>
        <v>0</v>
      </c>
      <c r="Q50" s="114">
        <v>0</v>
      </c>
      <c r="R50" s="114">
        <v>0</v>
      </c>
      <c r="S50" s="114">
        <v>0</v>
      </c>
      <c r="T50" s="114">
        <v>0</v>
      </c>
      <c r="U50" s="114">
        <v>0</v>
      </c>
      <c r="V50" s="114">
        <v>0</v>
      </c>
      <c r="W50" s="114">
        <v>0</v>
      </c>
      <c r="X50" s="114">
        <v>0</v>
      </c>
      <c r="Y50" s="114">
        <v>0</v>
      </c>
    </row>
    <row r="51" spans="1:25">
      <c r="A51" s="108">
        <v>20100729</v>
      </c>
      <c r="B51" s="206" t="s">
        <v>832</v>
      </c>
      <c r="C51" s="206" t="str">
        <f t="shared" si="5"/>
        <v>20100729GSUM</v>
      </c>
      <c r="D51" s="206" t="s">
        <v>371</v>
      </c>
      <c r="E51" s="206" t="str">
        <f t="shared" si="6"/>
        <v>20100729LGCME551UM</v>
      </c>
      <c r="F51" s="114">
        <v>17.5</v>
      </c>
      <c r="G51" s="511">
        <v>8.0509999999999998E-2</v>
      </c>
      <c r="H51" s="511">
        <v>0</v>
      </c>
      <c r="I51" s="511">
        <v>0</v>
      </c>
      <c r="J51" s="511">
        <v>0</v>
      </c>
      <c r="K51" s="511">
        <v>8.0000000000000004E-4</v>
      </c>
      <c r="L51" s="511">
        <v>2.0580000000000001E-2</v>
      </c>
      <c r="M51" s="511">
        <v>5.9130000000000002E-2</v>
      </c>
      <c r="N51" s="511">
        <f t="shared" si="4"/>
        <v>0</v>
      </c>
      <c r="O51" s="511">
        <f t="shared" si="4"/>
        <v>0</v>
      </c>
      <c r="P51" s="511">
        <f t="shared" si="4"/>
        <v>0</v>
      </c>
      <c r="Q51" s="114">
        <v>0</v>
      </c>
      <c r="R51" s="114">
        <v>0</v>
      </c>
      <c r="S51" s="114">
        <v>0</v>
      </c>
      <c r="T51" s="114">
        <v>0</v>
      </c>
      <c r="U51" s="114">
        <v>0</v>
      </c>
      <c r="V51" s="114">
        <v>0</v>
      </c>
      <c r="W51" s="114">
        <v>0</v>
      </c>
      <c r="X51" s="114">
        <v>0</v>
      </c>
      <c r="Y51" s="114">
        <v>0</v>
      </c>
    </row>
    <row r="52" spans="1:25">
      <c r="A52" s="108">
        <v>20100729</v>
      </c>
      <c r="B52" s="210" t="s">
        <v>826</v>
      </c>
      <c r="C52" s="206" t="str">
        <f t="shared" si="5"/>
        <v>20100729GSNM</v>
      </c>
      <c r="D52" s="206" t="s">
        <v>374</v>
      </c>
      <c r="E52" s="206" t="str">
        <f t="shared" si="6"/>
        <v>20100729LGCME557</v>
      </c>
      <c r="F52" s="114">
        <v>17.5</v>
      </c>
      <c r="G52" s="511">
        <v>8.0509999999999998E-2</v>
      </c>
      <c r="H52" s="511">
        <v>0</v>
      </c>
      <c r="I52" s="511">
        <v>0</v>
      </c>
      <c r="J52" s="511">
        <v>0</v>
      </c>
      <c r="K52" s="511">
        <v>8.0000000000000004E-4</v>
      </c>
      <c r="L52" s="511">
        <v>2.0580000000000001E-2</v>
      </c>
      <c r="M52" s="511">
        <v>5.9130000000000002E-2</v>
      </c>
      <c r="N52" s="511">
        <f t="shared" si="4"/>
        <v>0</v>
      </c>
      <c r="O52" s="511">
        <f t="shared" si="4"/>
        <v>0</v>
      </c>
      <c r="P52" s="511">
        <f t="shared" si="4"/>
        <v>0</v>
      </c>
      <c r="Q52" s="114">
        <v>0</v>
      </c>
      <c r="R52" s="114">
        <v>0</v>
      </c>
      <c r="S52" s="114">
        <v>0</v>
      </c>
      <c r="T52" s="114">
        <v>0</v>
      </c>
      <c r="U52" s="114">
        <v>0</v>
      </c>
      <c r="V52" s="114">
        <v>0</v>
      </c>
      <c r="W52" s="114">
        <v>0</v>
      </c>
      <c r="X52" s="114">
        <v>0</v>
      </c>
      <c r="Y52" s="114">
        <v>0</v>
      </c>
    </row>
    <row r="53" spans="1:25">
      <c r="A53" s="108">
        <v>20100729</v>
      </c>
      <c r="B53" s="210" t="s">
        <v>416</v>
      </c>
      <c r="C53" s="206" t="str">
        <f t="shared" si="5"/>
        <v>20100729GSSH</v>
      </c>
      <c r="D53" s="206" t="s">
        <v>372</v>
      </c>
      <c r="E53" s="206" t="str">
        <f t="shared" si="6"/>
        <v>20100729LGCME552</v>
      </c>
      <c r="F53" s="114">
        <v>0</v>
      </c>
      <c r="G53" s="511">
        <v>8.0509999999999998E-2</v>
      </c>
      <c r="H53" s="511">
        <v>0</v>
      </c>
      <c r="I53" s="511">
        <v>0</v>
      </c>
      <c r="J53" s="511">
        <v>0</v>
      </c>
      <c r="K53" s="511">
        <v>8.0000000000000004E-4</v>
      </c>
      <c r="L53" s="511">
        <v>2.0580000000000001E-2</v>
      </c>
      <c r="M53" s="511">
        <v>5.9130000000000002E-2</v>
      </c>
      <c r="N53" s="511">
        <f t="shared" si="4"/>
        <v>0</v>
      </c>
      <c r="O53" s="511">
        <f t="shared" si="4"/>
        <v>0</v>
      </c>
      <c r="P53" s="511">
        <f t="shared" si="4"/>
        <v>0</v>
      </c>
      <c r="Q53" s="114">
        <v>0</v>
      </c>
      <c r="R53" s="114">
        <v>0</v>
      </c>
      <c r="S53" s="114">
        <v>0</v>
      </c>
      <c r="T53" s="114">
        <v>0</v>
      </c>
      <c r="U53" s="114">
        <v>0</v>
      </c>
      <c r="V53" s="114">
        <v>0</v>
      </c>
      <c r="W53" s="114">
        <v>0</v>
      </c>
      <c r="X53" s="114">
        <v>0</v>
      </c>
      <c r="Y53" s="114">
        <v>0</v>
      </c>
    </row>
    <row r="54" spans="1:25">
      <c r="A54" s="108">
        <v>20100729</v>
      </c>
      <c r="B54" s="210" t="s">
        <v>828</v>
      </c>
      <c r="C54" s="206" t="str">
        <f t="shared" si="5"/>
        <v>20100729GSRP</v>
      </c>
      <c r="D54" s="210" t="s">
        <v>373</v>
      </c>
      <c r="E54" s="206" t="str">
        <f t="shared" si="6"/>
        <v>20100729LGCME555</v>
      </c>
      <c r="F54" s="114">
        <v>27.5</v>
      </c>
      <c r="G54" s="511">
        <v>5.6489999999999999E-2</v>
      </c>
      <c r="H54" s="511">
        <v>7.2319999999999995E-2</v>
      </c>
      <c r="I54" s="511">
        <v>0.15134</v>
      </c>
      <c r="J54" s="511">
        <v>0.32783000000000001</v>
      </c>
      <c r="K54" s="511">
        <v>8.0000000000000004E-4</v>
      </c>
      <c r="L54" s="511">
        <v>2.0580000000000001E-2</v>
      </c>
      <c r="M54" s="511">
        <v>3.5109999999999995E-2</v>
      </c>
      <c r="N54" s="511">
        <v>5.0939999999999999E-2</v>
      </c>
      <c r="O54" s="511">
        <v>0.12996000000000002</v>
      </c>
      <c r="P54" s="511">
        <v>0.30645</v>
      </c>
      <c r="Q54" s="114">
        <v>0</v>
      </c>
      <c r="R54" s="114">
        <v>0</v>
      </c>
      <c r="S54" s="114">
        <v>0</v>
      </c>
      <c r="T54" s="114">
        <v>0</v>
      </c>
      <c r="U54" s="114">
        <v>0</v>
      </c>
      <c r="V54" s="114">
        <v>0</v>
      </c>
      <c r="W54" s="114">
        <v>0</v>
      </c>
      <c r="X54" s="114">
        <v>0</v>
      </c>
      <c r="Y54" s="114">
        <v>0</v>
      </c>
    </row>
    <row r="55" spans="1:25">
      <c r="A55" s="108">
        <v>20100729</v>
      </c>
      <c r="B55" s="210" t="s">
        <v>715</v>
      </c>
      <c r="C55" s="206" t="str">
        <f t="shared" si="5"/>
        <v>20100729GS3P</v>
      </c>
      <c r="D55" s="206" t="s">
        <v>380</v>
      </c>
      <c r="E55" s="206" t="str">
        <f t="shared" si="6"/>
        <v>20100729LGCME650</v>
      </c>
      <c r="F55" s="114">
        <v>32.5</v>
      </c>
      <c r="G55" s="511">
        <v>8.0509999999999998E-2</v>
      </c>
      <c r="H55" s="511">
        <v>0</v>
      </c>
      <c r="I55" s="511">
        <v>0</v>
      </c>
      <c r="J55" s="511">
        <v>0</v>
      </c>
      <c r="K55" s="511">
        <v>8.0000000000000004E-4</v>
      </c>
      <c r="L55" s="511">
        <v>2.0580000000000001E-2</v>
      </c>
      <c r="M55" s="511">
        <v>5.9130000000000002E-2</v>
      </c>
      <c r="N55" s="511">
        <f t="shared" si="4"/>
        <v>0</v>
      </c>
      <c r="O55" s="511">
        <f t="shared" si="4"/>
        <v>0</v>
      </c>
      <c r="P55" s="511">
        <f t="shared" si="4"/>
        <v>0</v>
      </c>
      <c r="Q55" s="114">
        <v>0</v>
      </c>
      <c r="R55" s="114">
        <v>0</v>
      </c>
      <c r="S55" s="114">
        <v>0</v>
      </c>
      <c r="T55" s="114">
        <v>0</v>
      </c>
      <c r="U55" s="114">
        <v>0</v>
      </c>
      <c r="V55" s="114">
        <v>0</v>
      </c>
      <c r="W55" s="114">
        <v>0</v>
      </c>
      <c r="X55" s="114">
        <v>0</v>
      </c>
      <c r="Y55" s="114">
        <v>0</v>
      </c>
    </row>
    <row r="56" spans="1:25">
      <c r="A56" s="108">
        <v>20100729</v>
      </c>
      <c r="B56" s="206" t="s">
        <v>14</v>
      </c>
      <c r="C56" s="206" t="str">
        <f t="shared" si="5"/>
        <v>20100729GS3</v>
      </c>
      <c r="D56" s="206" t="s">
        <v>381</v>
      </c>
      <c r="E56" s="206" t="str">
        <f t="shared" si="6"/>
        <v>20100729LGCME651</v>
      </c>
      <c r="F56" s="114">
        <v>32.5</v>
      </c>
      <c r="G56" s="511">
        <v>8.0509999999999998E-2</v>
      </c>
      <c r="H56" s="511">
        <v>0</v>
      </c>
      <c r="I56" s="511">
        <v>0</v>
      </c>
      <c r="J56" s="511">
        <v>0</v>
      </c>
      <c r="K56" s="511">
        <v>8.0000000000000004E-4</v>
      </c>
      <c r="L56" s="511">
        <v>2.0580000000000001E-2</v>
      </c>
      <c r="M56" s="511">
        <v>5.9130000000000002E-2</v>
      </c>
      <c r="N56" s="511">
        <f t="shared" si="4"/>
        <v>0</v>
      </c>
      <c r="O56" s="511">
        <f t="shared" si="4"/>
        <v>0</v>
      </c>
      <c r="P56" s="511">
        <f t="shared" si="4"/>
        <v>0</v>
      </c>
      <c r="Q56" s="114">
        <v>0</v>
      </c>
      <c r="R56" s="114">
        <v>0</v>
      </c>
      <c r="S56" s="114">
        <v>0</v>
      </c>
      <c r="T56" s="114">
        <v>0</v>
      </c>
      <c r="U56" s="114">
        <v>0</v>
      </c>
      <c r="V56" s="114">
        <v>0</v>
      </c>
      <c r="W56" s="114">
        <v>0</v>
      </c>
      <c r="X56" s="114">
        <v>0</v>
      </c>
      <c r="Y56" s="114">
        <v>0</v>
      </c>
    </row>
    <row r="57" spans="1:25">
      <c r="A57" s="108">
        <v>20100729</v>
      </c>
      <c r="B57" s="210" t="s">
        <v>808</v>
      </c>
      <c r="C57" s="206" t="str">
        <f t="shared" si="5"/>
        <v>20100729GS3NM</v>
      </c>
      <c r="D57" s="210" t="s">
        <v>384</v>
      </c>
      <c r="E57" s="206" t="str">
        <f t="shared" si="6"/>
        <v>20100729LGCME657</v>
      </c>
      <c r="F57" s="114">
        <v>32.5</v>
      </c>
      <c r="G57" s="511">
        <v>8.0509999999999998E-2</v>
      </c>
      <c r="H57" s="511">
        <v>0</v>
      </c>
      <c r="I57" s="511">
        <v>0</v>
      </c>
      <c r="J57" s="511">
        <v>0</v>
      </c>
      <c r="K57" s="511">
        <v>8.0000000000000004E-4</v>
      </c>
      <c r="L57" s="511">
        <v>2.0580000000000001E-2</v>
      </c>
      <c r="M57" s="511">
        <v>5.9130000000000002E-2</v>
      </c>
      <c r="N57" s="511">
        <f t="shared" si="4"/>
        <v>0</v>
      </c>
      <c r="O57" s="511">
        <f t="shared" si="4"/>
        <v>0</v>
      </c>
      <c r="P57" s="511">
        <f t="shared" si="4"/>
        <v>0</v>
      </c>
      <c r="Q57" s="114">
        <v>0</v>
      </c>
      <c r="R57" s="114">
        <v>0</v>
      </c>
      <c r="S57" s="114">
        <v>0</v>
      </c>
      <c r="T57" s="114">
        <v>0</v>
      </c>
      <c r="U57" s="114">
        <v>0</v>
      </c>
      <c r="V57" s="114">
        <v>0</v>
      </c>
      <c r="W57" s="114">
        <v>0</v>
      </c>
      <c r="X57" s="114">
        <v>0</v>
      </c>
      <c r="Y57" s="114">
        <v>0</v>
      </c>
    </row>
    <row r="58" spans="1:25">
      <c r="A58" s="108">
        <v>20100729</v>
      </c>
      <c r="B58" s="210" t="s">
        <v>807</v>
      </c>
      <c r="C58" s="206" t="str">
        <f t="shared" si="5"/>
        <v>20100729GS3SH</v>
      </c>
      <c r="D58" s="210" t="s">
        <v>382</v>
      </c>
      <c r="E58" s="206" t="str">
        <f t="shared" si="6"/>
        <v>20100729LGCME652</v>
      </c>
      <c r="F58" s="114">
        <v>0</v>
      </c>
      <c r="G58" s="511">
        <v>8.0509999999999998E-2</v>
      </c>
      <c r="H58" s="511">
        <v>0</v>
      </c>
      <c r="I58" s="511">
        <v>0</v>
      </c>
      <c r="J58" s="511">
        <v>0</v>
      </c>
      <c r="K58" s="511">
        <v>8.0000000000000004E-4</v>
      </c>
      <c r="L58" s="511">
        <v>2.0580000000000001E-2</v>
      </c>
      <c r="M58" s="511">
        <v>5.9130000000000002E-2</v>
      </c>
      <c r="N58" s="511">
        <f t="shared" si="4"/>
        <v>0</v>
      </c>
      <c r="O58" s="511">
        <f t="shared" si="4"/>
        <v>0</v>
      </c>
      <c r="P58" s="511">
        <f t="shared" si="4"/>
        <v>0</v>
      </c>
      <c r="Q58" s="114">
        <v>0</v>
      </c>
      <c r="R58" s="114">
        <v>0</v>
      </c>
      <c r="S58" s="114">
        <v>0</v>
      </c>
      <c r="T58" s="114">
        <v>0</v>
      </c>
      <c r="U58" s="114">
        <v>0</v>
      </c>
      <c r="V58" s="114">
        <v>0</v>
      </c>
      <c r="W58" s="114">
        <v>0</v>
      </c>
      <c r="X58" s="114">
        <v>0</v>
      </c>
      <c r="Y58" s="114">
        <v>0</v>
      </c>
    </row>
    <row r="59" spans="1:25">
      <c r="A59" s="108">
        <v>20100729</v>
      </c>
      <c r="B59" s="206" t="s">
        <v>676</v>
      </c>
      <c r="C59" s="206" t="str">
        <f t="shared" si="5"/>
        <v>20100729G3RP</v>
      </c>
      <c r="D59" s="210" t="s">
        <v>383</v>
      </c>
      <c r="E59" s="206" t="str">
        <f t="shared" si="6"/>
        <v>20100729LGCME656</v>
      </c>
      <c r="F59" s="114">
        <v>42.5</v>
      </c>
      <c r="G59" s="511">
        <v>5.6489999999999999E-2</v>
      </c>
      <c r="H59" s="511">
        <v>7.2319999999999995E-2</v>
      </c>
      <c r="I59" s="511">
        <v>0.15134</v>
      </c>
      <c r="J59" s="511">
        <v>0.32783000000000001</v>
      </c>
      <c r="K59" s="511">
        <v>8.0000000000000004E-4</v>
      </c>
      <c r="L59" s="511">
        <v>2.0580000000000001E-2</v>
      </c>
      <c r="M59" s="511">
        <v>3.5109999999999995E-2</v>
      </c>
      <c r="N59" s="511">
        <v>5.0939999999999999E-2</v>
      </c>
      <c r="O59" s="511">
        <v>0.12996000000000002</v>
      </c>
      <c r="P59" s="511">
        <v>0.30645</v>
      </c>
      <c r="Q59" s="114">
        <v>0</v>
      </c>
      <c r="R59" s="114">
        <v>0</v>
      </c>
      <c r="S59" s="114">
        <v>0</v>
      </c>
      <c r="T59" s="114">
        <v>0</v>
      </c>
      <c r="U59" s="114">
        <v>0</v>
      </c>
      <c r="V59" s="114">
        <v>0</v>
      </c>
      <c r="W59" s="114">
        <v>0</v>
      </c>
      <c r="X59" s="114">
        <v>0</v>
      </c>
      <c r="Y59" s="114">
        <v>0</v>
      </c>
    </row>
    <row r="60" spans="1:25">
      <c r="A60" s="108">
        <v>20100729</v>
      </c>
      <c r="B60" s="206" t="s">
        <v>20</v>
      </c>
      <c r="C60" s="206" t="str">
        <f t="shared" si="5"/>
        <v>20100729PSS</v>
      </c>
      <c r="D60" s="210" t="s">
        <v>375</v>
      </c>
      <c r="E60" s="206" t="str">
        <f t="shared" si="6"/>
        <v>20100729LGCME561</v>
      </c>
      <c r="F60" s="114">
        <v>90</v>
      </c>
      <c r="G60" s="511">
        <v>3.2640000000000002E-2</v>
      </c>
      <c r="H60" s="511">
        <v>0</v>
      </c>
      <c r="I60" s="511">
        <v>0</v>
      </c>
      <c r="J60" s="511">
        <v>0</v>
      </c>
      <c r="K60" s="511">
        <v>0</v>
      </c>
      <c r="L60" s="511">
        <v>2.0580000000000001E-2</v>
      </c>
      <c r="M60" s="511">
        <v>1.2060000000000001E-2</v>
      </c>
      <c r="N60" s="511">
        <f t="shared" si="4"/>
        <v>0</v>
      </c>
      <c r="O60" s="511">
        <f t="shared" si="4"/>
        <v>0</v>
      </c>
      <c r="P60" s="511">
        <f t="shared" si="4"/>
        <v>0</v>
      </c>
      <c r="Q60" s="114">
        <v>0</v>
      </c>
      <c r="R60" s="114">
        <v>13.07</v>
      </c>
      <c r="S60" s="114">
        <v>15.32</v>
      </c>
      <c r="T60" s="114">
        <v>0</v>
      </c>
      <c r="U60" s="114">
        <v>0.25</v>
      </c>
      <c r="V60" s="114">
        <v>0.25</v>
      </c>
      <c r="W60" s="114">
        <v>0</v>
      </c>
      <c r="X60" s="114">
        <v>12.82</v>
      </c>
      <c r="Y60" s="114">
        <v>15.07</v>
      </c>
    </row>
    <row r="61" spans="1:25">
      <c r="A61" s="108">
        <v>20100729</v>
      </c>
      <c r="B61" s="206" t="s">
        <v>21</v>
      </c>
      <c r="C61" s="206" t="str">
        <f t="shared" si="5"/>
        <v>20100729PSP</v>
      </c>
      <c r="D61" s="206" t="s">
        <v>376</v>
      </c>
      <c r="E61" s="206" t="str">
        <f t="shared" si="6"/>
        <v>20100729LGCME563</v>
      </c>
      <c r="F61" s="114">
        <v>90</v>
      </c>
      <c r="G61" s="511">
        <v>3.2640000000000002E-2</v>
      </c>
      <c r="H61" s="511">
        <v>0</v>
      </c>
      <c r="I61" s="511">
        <v>0</v>
      </c>
      <c r="J61" s="511">
        <v>0</v>
      </c>
      <c r="K61" s="511">
        <v>0</v>
      </c>
      <c r="L61" s="511">
        <v>2.0580000000000001E-2</v>
      </c>
      <c r="M61" s="511">
        <v>1.2060000000000001E-2</v>
      </c>
      <c r="N61" s="511">
        <f t="shared" si="4"/>
        <v>0</v>
      </c>
      <c r="O61" s="511">
        <f t="shared" si="4"/>
        <v>0</v>
      </c>
      <c r="P61" s="511">
        <f t="shared" si="4"/>
        <v>0</v>
      </c>
      <c r="Q61" s="114">
        <v>0</v>
      </c>
      <c r="R61" s="114">
        <v>11.24</v>
      </c>
      <c r="S61" s="114">
        <v>13.48</v>
      </c>
      <c r="T61" s="114">
        <v>0</v>
      </c>
      <c r="U61" s="114">
        <v>0.25</v>
      </c>
      <c r="V61" s="114">
        <v>0.25</v>
      </c>
      <c r="W61" s="114">
        <v>0</v>
      </c>
      <c r="X61" s="114">
        <v>10.99</v>
      </c>
      <c r="Y61" s="114">
        <v>13.23</v>
      </c>
    </row>
    <row r="62" spans="1:25">
      <c r="A62" s="108">
        <v>20100729</v>
      </c>
      <c r="B62" s="206" t="s">
        <v>20</v>
      </c>
      <c r="C62" s="206" t="str">
        <f t="shared" si="5"/>
        <v>20100729PSS</v>
      </c>
      <c r="D62" s="206" t="s">
        <v>377</v>
      </c>
      <c r="E62" s="206" t="str">
        <f t="shared" si="6"/>
        <v>20100729LGCME567</v>
      </c>
      <c r="F62" s="114">
        <v>90</v>
      </c>
      <c r="G62" s="511">
        <v>3.2640000000000002E-2</v>
      </c>
      <c r="H62" s="511">
        <v>0</v>
      </c>
      <c r="I62" s="511">
        <v>0</v>
      </c>
      <c r="J62" s="511">
        <v>0</v>
      </c>
      <c r="K62" s="511">
        <v>0</v>
      </c>
      <c r="L62" s="511">
        <v>2.0580000000000001E-2</v>
      </c>
      <c r="M62" s="511">
        <v>1.2060000000000001E-2</v>
      </c>
      <c r="N62" s="511">
        <f t="shared" si="4"/>
        <v>0</v>
      </c>
      <c r="O62" s="511">
        <f t="shared" si="4"/>
        <v>0</v>
      </c>
      <c r="P62" s="511">
        <f t="shared" si="4"/>
        <v>0</v>
      </c>
      <c r="Q62" s="114">
        <v>0</v>
      </c>
      <c r="R62" s="114">
        <v>13.07</v>
      </c>
      <c r="S62" s="114">
        <v>15.32</v>
      </c>
      <c r="T62" s="114">
        <v>0</v>
      </c>
      <c r="U62" s="114">
        <v>0.25</v>
      </c>
      <c r="V62" s="114">
        <v>0.25</v>
      </c>
      <c r="W62" s="114">
        <v>0</v>
      </c>
      <c r="X62" s="114">
        <v>12.82</v>
      </c>
      <c r="Y62" s="114">
        <v>15.07</v>
      </c>
    </row>
    <row r="63" spans="1:25">
      <c r="A63" s="108">
        <v>20100729</v>
      </c>
      <c r="B63" s="206" t="s">
        <v>410</v>
      </c>
      <c r="C63" s="206" t="str">
        <f t="shared" si="5"/>
        <v>20100729CTODS</v>
      </c>
      <c r="D63" s="206" t="s">
        <v>378</v>
      </c>
      <c r="E63" s="206" t="str">
        <f t="shared" si="6"/>
        <v>20100729LGCME591</v>
      </c>
      <c r="F63" s="114">
        <v>200</v>
      </c>
      <c r="G63" s="511">
        <v>3.2259999999999997E-2</v>
      </c>
      <c r="H63" s="511">
        <v>0</v>
      </c>
      <c r="I63" s="511">
        <v>0</v>
      </c>
      <c r="J63" s="511">
        <v>0</v>
      </c>
      <c r="K63" s="511">
        <v>0</v>
      </c>
      <c r="L63" s="511">
        <v>2.0580000000000001E-2</v>
      </c>
      <c r="M63" s="511">
        <v>1.1679999999999996E-2</v>
      </c>
      <c r="N63" s="511">
        <f t="shared" si="4"/>
        <v>0</v>
      </c>
      <c r="O63" s="511">
        <f t="shared" si="4"/>
        <v>0</v>
      </c>
      <c r="P63" s="511">
        <f t="shared" si="4"/>
        <v>0</v>
      </c>
      <c r="Q63" s="114">
        <v>3.79</v>
      </c>
      <c r="R63" s="114">
        <v>4.28</v>
      </c>
      <c r="S63" s="114">
        <v>5.81</v>
      </c>
      <c r="T63" s="114">
        <v>0.14000000000000001</v>
      </c>
      <c r="U63" s="114">
        <v>0.14000000000000001</v>
      </c>
      <c r="V63" s="114">
        <v>0.14000000000000001</v>
      </c>
      <c r="W63" s="114">
        <v>3.65</v>
      </c>
      <c r="X63" s="114">
        <v>4.1400000000000006</v>
      </c>
      <c r="Y63" s="114">
        <v>5.67</v>
      </c>
    </row>
    <row r="64" spans="1:25">
      <c r="A64" s="108">
        <v>20100729</v>
      </c>
      <c r="B64" s="206" t="s">
        <v>409</v>
      </c>
      <c r="C64" s="206" t="str">
        <f t="shared" si="5"/>
        <v>20100729CTODP</v>
      </c>
      <c r="D64" s="206" t="s">
        <v>379</v>
      </c>
      <c r="E64" s="206" t="str">
        <f t="shared" si="6"/>
        <v>20100729LGCME593</v>
      </c>
      <c r="F64" s="114">
        <v>200</v>
      </c>
      <c r="G64" s="511">
        <v>3.2259999999999997E-2</v>
      </c>
      <c r="H64" s="511">
        <v>0</v>
      </c>
      <c r="I64" s="511">
        <v>0</v>
      </c>
      <c r="J64" s="511">
        <v>0</v>
      </c>
      <c r="K64" s="511">
        <v>0</v>
      </c>
      <c r="L64" s="511">
        <v>2.0580000000000001E-2</v>
      </c>
      <c r="M64" s="511">
        <v>1.1679999999999996E-2</v>
      </c>
      <c r="N64" s="511">
        <f t="shared" si="4"/>
        <v>0</v>
      </c>
      <c r="O64" s="511">
        <f t="shared" si="4"/>
        <v>0</v>
      </c>
      <c r="P64" s="511">
        <f t="shared" si="4"/>
        <v>0</v>
      </c>
      <c r="Q64" s="114">
        <v>2.64</v>
      </c>
      <c r="R64" s="114">
        <v>4.2</v>
      </c>
      <c r="S64" s="114">
        <v>5.7</v>
      </c>
      <c r="T64" s="114">
        <v>0.14000000000000001</v>
      </c>
      <c r="U64" s="114">
        <v>0.14000000000000001</v>
      </c>
      <c r="V64" s="114">
        <v>0.14000000000000001</v>
      </c>
      <c r="W64" s="114">
        <v>2.5</v>
      </c>
      <c r="X64" s="114">
        <v>4.0600000000000005</v>
      </c>
      <c r="Y64" s="114">
        <v>5.5600000000000005</v>
      </c>
    </row>
    <row r="65" spans="1:25">
      <c r="A65" s="108">
        <v>20100729</v>
      </c>
      <c r="B65" s="206" t="s">
        <v>20</v>
      </c>
      <c r="C65" s="206" t="str">
        <f t="shared" si="5"/>
        <v>20100729PSS</v>
      </c>
      <c r="D65" s="206" t="s">
        <v>389</v>
      </c>
      <c r="E65" s="206" t="str">
        <f t="shared" si="6"/>
        <v>20100729LGINE661</v>
      </c>
      <c r="F65" s="114">
        <v>90</v>
      </c>
      <c r="G65" s="511">
        <v>3.2640000000000002E-2</v>
      </c>
      <c r="H65" s="511">
        <v>0</v>
      </c>
      <c r="I65" s="511">
        <v>0</v>
      </c>
      <c r="J65" s="511">
        <v>0</v>
      </c>
      <c r="K65" s="511">
        <v>0</v>
      </c>
      <c r="L65" s="511">
        <v>2.0580000000000001E-2</v>
      </c>
      <c r="M65" s="511">
        <v>1.2060000000000001E-2</v>
      </c>
      <c r="N65" s="511">
        <f t="shared" si="4"/>
        <v>0</v>
      </c>
      <c r="O65" s="511">
        <f t="shared" si="4"/>
        <v>0</v>
      </c>
      <c r="P65" s="511">
        <f t="shared" si="4"/>
        <v>0</v>
      </c>
      <c r="Q65" s="114">
        <v>0</v>
      </c>
      <c r="R65" s="114">
        <v>13.07</v>
      </c>
      <c r="S65" s="114">
        <v>15.32</v>
      </c>
      <c r="T65" s="114">
        <v>0</v>
      </c>
      <c r="U65" s="114">
        <v>0.25</v>
      </c>
      <c r="V65" s="114">
        <v>0.25</v>
      </c>
      <c r="W65" s="114">
        <v>0</v>
      </c>
      <c r="X65" s="114">
        <v>12.82</v>
      </c>
      <c r="Y65" s="114">
        <v>15.07</v>
      </c>
    </row>
    <row r="66" spans="1:25">
      <c r="A66" s="108">
        <v>20100729</v>
      </c>
      <c r="B66" s="206" t="s">
        <v>21</v>
      </c>
      <c r="C66" s="206" t="str">
        <f t="shared" si="5"/>
        <v>20100729PSP</v>
      </c>
      <c r="D66" s="206" t="s">
        <v>390</v>
      </c>
      <c r="E66" s="206" t="str">
        <f t="shared" si="6"/>
        <v>20100729LGINE663</v>
      </c>
      <c r="F66" s="114">
        <v>90</v>
      </c>
      <c r="G66" s="511">
        <v>3.2640000000000002E-2</v>
      </c>
      <c r="H66" s="511">
        <v>0</v>
      </c>
      <c r="I66" s="511">
        <v>0</v>
      </c>
      <c r="J66" s="511">
        <v>0</v>
      </c>
      <c r="K66" s="511">
        <v>0</v>
      </c>
      <c r="L66" s="511">
        <v>2.0580000000000001E-2</v>
      </c>
      <c r="M66" s="511">
        <v>1.2060000000000001E-2</v>
      </c>
      <c r="N66" s="511">
        <f t="shared" si="4"/>
        <v>0</v>
      </c>
      <c r="O66" s="511">
        <f t="shared" si="4"/>
        <v>0</v>
      </c>
      <c r="P66" s="511">
        <f t="shared" si="4"/>
        <v>0</v>
      </c>
      <c r="Q66" s="114">
        <v>0</v>
      </c>
      <c r="R66" s="114">
        <v>11.24</v>
      </c>
      <c r="S66" s="114">
        <v>13.48</v>
      </c>
      <c r="T66" s="114">
        <v>0</v>
      </c>
      <c r="U66" s="114">
        <v>0.25</v>
      </c>
      <c r="V66" s="114">
        <v>0.25</v>
      </c>
      <c r="W66" s="114">
        <v>0</v>
      </c>
      <c r="X66" s="114">
        <v>10.99</v>
      </c>
      <c r="Y66" s="114">
        <v>13.23</v>
      </c>
    </row>
    <row r="67" spans="1:25">
      <c r="A67" s="108">
        <v>20100729</v>
      </c>
      <c r="B67" s="206" t="s">
        <v>422</v>
      </c>
      <c r="C67" s="206" t="str">
        <f t="shared" si="5"/>
        <v>20100729ITODS</v>
      </c>
      <c r="D67" s="206" t="s">
        <v>391</v>
      </c>
      <c r="E67" s="206" t="str">
        <f t="shared" si="6"/>
        <v>20100729LGINE691</v>
      </c>
      <c r="F67" s="114">
        <v>300</v>
      </c>
      <c r="G67" s="511">
        <v>2.827E-2</v>
      </c>
      <c r="H67" s="511">
        <v>0</v>
      </c>
      <c r="I67" s="511">
        <v>0</v>
      </c>
      <c r="J67" s="511">
        <v>0</v>
      </c>
      <c r="K67" s="511">
        <v>0</v>
      </c>
      <c r="L67" s="511">
        <v>2.0580000000000001E-2</v>
      </c>
      <c r="M67" s="511">
        <v>7.6899999999999989E-3</v>
      </c>
      <c r="N67" s="511">
        <f t="shared" si="4"/>
        <v>0</v>
      </c>
      <c r="O67" s="511">
        <f t="shared" si="4"/>
        <v>0</v>
      </c>
      <c r="P67" s="511">
        <f t="shared" si="4"/>
        <v>0</v>
      </c>
      <c r="Q67" s="114">
        <v>5.48</v>
      </c>
      <c r="R67" s="114">
        <v>3.7</v>
      </c>
      <c r="S67" s="114">
        <v>5.2</v>
      </c>
      <c r="T67" s="114">
        <v>0.12</v>
      </c>
      <c r="U67" s="114">
        <v>0.12</v>
      </c>
      <c r="V67" s="114">
        <v>0.12</v>
      </c>
      <c r="W67" s="114">
        <v>5.36</v>
      </c>
      <c r="X67" s="114">
        <v>3.58</v>
      </c>
      <c r="Y67" s="114">
        <v>5.08</v>
      </c>
    </row>
    <row r="68" spans="1:25">
      <c r="A68" s="108">
        <v>20100729</v>
      </c>
      <c r="B68" s="206" t="s">
        <v>421</v>
      </c>
      <c r="C68" s="206" t="str">
        <f t="shared" si="5"/>
        <v>20100729ITODP</v>
      </c>
      <c r="D68" s="206" t="s">
        <v>392</v>
      </c>
      <c r="E68" s="206" t="str">
        <f t="shared" si="6"/>
        <v>20100729LGINE693</v>
      </c>
      <c r="F68" s="114">
        <v>300</v>
      </c>
      <c r="G68" s="511">
        <v>2.827E-2</v>
      </c>
      <c r="H68" s="511">
        <v>0</v>
      </c>
      <c r="I68" s="511">
        <v>0</v>
      </c>
      <c r="J68" s="511">
        <v>0</v>
      </c>
      <c r="K68" s="511">
        <v>0</v>
      </c>
      <c r="L68" s="511">
        <v>2.0580000000000001E-2</v>
      </c>
      <c r="M68" s="511">
        <v>7.6899999999999989E-3</v>
      </c>
      <c r="N68" s="511">
        <f t="shared" si="4"/>
        <v>0</v>
      </c>
      <c r="O68" s="511">
        <f t="shared" si="4"/>
        <v>0</v>
      </c>
      <c r="P68" s="511">
        <f t="shared" si="4"/>
        <v>0</v>
      </c>
      <c r="Q68" s="114">
        <v>4.16</v>
      </c>
      <c r="R68" s="114">
        <v>7.31</v>
      </c>
      <c r="S68" s="114">
        <v>10.11</v>
      </c>
      <c r="T68" s="114">
        <v>0.12</v>
      </c>
      <c r="U68" s="114">
        <v>0.12</v>
      </c>
      <c r="V68" s="114">
        <v>0.12</v>
      </c>
      <c r="W68" s="114">
        <v>4.04</v>
      </c>
      <c r="X68" s="114">
        <v>7.1899999999999995</v>
      </c>
      <c r="Y68" s="114">
        <v>9.99</v>
      </c>
    </row>
    <row r="69" spans="1:25">
      <c r="A69" s="108">
        <v>20100729</v>
      </c>
      <c r="B69" s="206" t="s">
        <v>421</v>
      </c>
      <c r="C69" s="206" t="str">
        <f t="shared" si="5"/>
        <v>20100729ITODP</v>
      </c>
      <c r="D69" s="206" t="s">
        <v>393</v>
      </c>
      <c r="E69" s="206" t="str">
        <f t="shared" si="6"/>
        <v>20100729LGINE694</v>
      </c>
      <c r="F69" s="114">
        <v>300</v>
      </c>
      <c r="G69" s="511">
        <v>2.827E-2</v>
      </c>
      <c r="H69" s="511">
        <v>0</v>
      </c>
      <c r="I69" s="511">
        <v>0</v>
      </c>
      <c r="J69" s="511">
        <v>0</v>
      </c>
      <c r="K69" s="511">
        <v>0</v>
      </c>
      <c r="L69" s="511">
        <v>2.0580000000000001E-2</v>
      </c>
      <c r="M69" s="511">
        <v>7.6899999999999989E-3</v>
      </c>
      <c r="N69" s="511">
        <f t="shared" si="4"/>
        <v>0</v>
      </c>
      <c r="O69" s="511">
        <f t="shared" si="4"/>
        <v>0</v>
      </c>
      <c r="P69" s="511">
        <f t="shared" si="4"/>
        <v>0</v>
      </c>
      <c r="Q69" s="114">
        <v>4.16</v>
      </c>
      <c r="R69" s="114">
        <v>7.31</v>
      </c>
      <c r="S69" s="114">
        <v>10.11</v>
      </c>
      <c r="T69" s="114">
        <v>0.12</v>
      </c>
      <c r="U69" s="114">
        <v>0.12</v>
      </c>
      <c r="V69" s="114">
        <v>0.12</v>
      </c>
      <c r="W69" s="114">
        <v>4.04</v>
      </c>
      <c r="X69" s="114">
        <v>7.1899999999999995</v>
      </c>
      <c r="Y69" s="114">
        <v>9.99</v>
      </c>
    </row>
    <row r="70" spans="1:25">
      <c r="A70" s="108">
        <v>20100729</v>
      </c>
      <c r="B70" s="206" t="s">
        <v>15</v>
      </c>
      <c r="C70" s="206" t="str">
        <f t="shared" si="5"/>
        <v>20100729RTS</v>
      </c>
      <c r="D70" s="206" t="s">
        <v>388</v>
      </c>
      <c r="E70" s="206" t="str">
        <f t="shared" si="6"/>
        <v>20100729LGINE643</v>
      </c>
      <c r="F70" s="114">
        <v>500</v>
      </c>
      <c r="G70" s="511">
        <v>2.827E-2</v>
      </c>
      <c r="H70" s="511">
        <v>0</v>
      </c>
      <c r="I70" s="511">
        <v>0</v>
      </c>
      <c r="J70" s="511">
        <v>0</v>
      </c>
      <c r="K70" s="511">
        <v>0</v>
      </c>
      <c r="L70" s="511">
        <v>2.0580000000000001E-2</v>
      </c>
      <c r="M70" s="511">
        <v>7.6899999999999989E-3</v>
      </c>
      <c r="N70" s="511">
        <f t="shared" si="4"/>
        <v>0</v>
      </c>
      <c r="O70" s="511">
        <f t="shared" si="4"/>
        <v>0</v>
      </c>
      <c r="P70" s="511">
        <f t="shared" si="4"/>
        <v>0</v>
      </c>
      <c r="Q70" s="114">
        <v>2.61</v>
      </c>
      <c r="R70" s="114">
        <v>2.86</v>
      </c>
      <c r="S70" s="114">
        <v>4.3600000000000003</v>
      </c>
      <c r="T70" s="114">
        <v>0.11</v>
      </c>
      <c r="U70" s="114">
        <v>0.11</v>
      </c>
      <c r="V70" s="114">
        <v>0.11</v>
      </c>
      <c r="W70" s="114">
        <v>2.5</v>
      </c>
      <c r="X70" s="114">
        <v>2.75</v>
      </c>
      <c r="Y70" s="114">
        <v>4.25</v>
      </c>
    </row>
    <row r="71" spans="1:25">
      <c r="A71" s="108">
        <v>20100729</v>
      </c>
      <c r="B71" s="206" t="s">
        <v>457</v>
      </c>
      <c r="C71" s="206" t="str">
        <f t="shared" si="5"/>
        <v>20100729ISS</v>
      </c>
      <c r="D71" s="206" t="s">
        <v>457</v>
      </c>
      <c r="E71" s="206" t="str">
        <f t="shared" si="6"/>
        <v>20100729ISS</v>
      </c>
      <c r="F71" s="511">
        <v>0</v>
      </c>
      <c r="G71" s="511">
        <v>0</v>
      </c>
      <c r="H71" s="511">
        <v>0</v>
      </c>
      <c r="I71" s="511">
        <v>0</v>
      </c>
      <c r="J71" s="511">
        <v>0</v>
      </c>
      <c r="K71" s="511">
        <v>0</v>
      </c>
      <c r="L71" s="511">
        <v>0</v>
      </c>
      <c r="M71" s="511">
        <v>0</v>
      </c>
      <c r="N71" s="511">
        <f t="shared" si="4"/>
        <v>0</v>
      </c>
      <c r="O71" s="511">
        <f t="shared" si="4"/>
        <v>0</v>
      </c>
      <c r="P71" s="511">
        <f t="shared" si="4"/>
        <v>0</v>
      </c>
      <c r="Q71" s="511">
        <f t="shared" ref="Q71:S71" si="7">IF(K71=0,0,K71-$K71-$L71)</f>
        <v>0</v>
      </c>
      <c r="R71" s="511">
        <f t="shared" si="7"/>
        <v>0</v>
      </c>
      <c r="S71" s="511">
        <f t="shared" si="7"/>
        <v>0</v>
      </c>
      <c r="T71" s="114"/>
      <c r="U71" s="114">
        <v>0</v>
      </c>
      <c r="V71" s="114">
        <v>0</v>
      </c>
      <c r="W71" s="114">
        <v>0</v>
      </c>
      <c r="X71" s="114">
        <v>0</v>
      </c>
      <c r="Y71" s="114">
        <v>0</v>
      </c>
    </row>
    <row r="72" spans="1:25">
      <c r="A72" s="108">
        <v>20100729</v>
      </c>
      <c r="B72" s="206" t="s">
        <v>22</v>
      </c>
      <c r="C72" s="206" t="str">
        <f t="shared" si="5"/>
        <v>20100729FLSP</v>
      </c>
      <c r="D72" s="206" t="s">
        <v>22</v>
      </c>
      <c r="E72" s="206" t="str">
        <f t="shared" si="6"/>
        <v>20100729FLSP</v>
      </c>
      <c r="F72" s="114">
        <v>500</v>
      </c>
      <c r="G72" s="511">
        <v>3.5529999999999999E-2</v>
      </c>
      <c r="H72" s="511">
        <v>0</v>
      </c>
      <c r="I72" s="511">
        <v>0</v>
      </c>
      <c r="J72" s="511">
        <v>0</v>
      </c>
      <c r="K72" s="511">
        <v>0</v>
      </c>
      <c r="L72" s="511">
        <v>2.0580000000000001E-2</v>
      </c>
      <c r="M72" s="511">
        <v>1.4949999999999998E-2</v>
      </c>
      <c r="N72" s="511">
        <f t="shared" si="4"/>
        <v>0</v>
      </c>
      <c r="O72" s="511">
        <f t="shared" si="4"/>
        <v>0</v>
      </c>
      <c r="P72" s="511">
        <f t="shared" si="4"/>
        <v>0</v>
      </c>
      <c r="Q72" s="114">
        <v>1.75</v>
      </c>
      <c r="R72" s="114">
        <v>1.75</v>
      </c>
      <c r="S72" s="114">
        <v>2.75</v>
      </c>
      <c r="T72" s="114">
        <v>1.64</v>
      </c>
      <c r="U72" s="114">
        <v>1.64</v>
      </c>
      <c r="V72" s="114">
        <v>2.64</v>
      </c>
      <c r="W72" s="114">
        <v>0.11</v>
      </c>
      <c r="X72" s="114">
        <v>0.11</v>
      </c>
      <c r="Y72" s="114">
        <v>0.11</v>
      </c>
    </row>
    <row r="73" spans="1:25">
      <c r="A73" s="108">
        <v>20100729</v>
      </c>
      <c r="B73" s="206" t="s">
        <v>23</v>
      </c>
      <c r="C73" s="206" t="str">
        <f t="shared" si="5"/>
        <v>20100729FLST</v>
      </c>
      <c r="D73" s="206" t="s">
        <v>23</v>
      </c>
      <c r="E73" s="206" t="str">
        <f t="shared" si="6"/>
        <v>20100729FLST</v>
      </c>
      <c r="F73" s="114">
        <v>500</v>
      </c>
      <c r="G73" s="511">
        <v>3.2710000000000003E-2</v>
      </c>
      <c r="H73" s="511">
        <v>0</v>
      </c>
      <c r="I73" s="511">
        <v>0</v>
      </c>
      <c r="J73" s="511">
        <v>0</v>
      </c>
      <c r="K73" s="511">
        <v>0</v>
      </c>
      <c r="L73" s="511">
        <v>2.0580000000000001E-2</v>
      </c>
      <c r="M73" s="511">
        <v>1.2130000000000002E-2</v>
      </c>
      <c r="N73" s="511">
        <f t="shared" si="4"/>
        <v>0</v>
      </c>
      <c r="O73" s="511">
        <f t="shared" si="4"/>
        <v>0</v>
      </c>
      <c r="P73" s="511">
        <f t="shared" si="4"/>
        <v>0</v>
      </c>
      <c r="Q73" s="114">
        <v>1</v>
      </c>
      <c r="R73" s="114">
        <v>1.75</v>
      </c>
      <c r="S73" s="114">
        <v>2.75</v>
      </c>
      <c r="T73" s="114">
        <v>0.89</v>
      </c>
      <c r="U73" s="114">
        <v>1.64</v>
      </c>
      <c r="V73" s="114">
        <v>2.64</v>
      </c>
      <c r="W73" s="114">
        <v>0.11</v>
      </c>
      <c r="X73" s="114">
        <v>0.11</v>
      </c>
      <c r="Y73" s="114">
        <v>0.11</v>
      </c>
    </row>
    <row r="74" spans="1:25">
      <c r="A74" s="108">
        <v>20100729</v>
      </c>
      <c r="B74" s="206" t="s">
        <v>17</v>
      </c>
      <c r="C74" s="206" t="str">
        <f t="shared" si="5"/>
        <v>20100729LE</v>
      </c>
      <c r="D74" s="206" t="s">
        <v>394</v>
      </c>
      <c r="E74" s="206" t="str">
        <f t="shared" si="6"/>
        <v>20100729LGMLE570</v>
      </c>
      <c r="F74" s="114">
        <v>0</v>
      </c>
      <c r="G74" s="511">
        <v>5.4649999999999997E-2</v>
      </c>
      <c r="H74" s="511">
        <v>0</v>
      </c>
      <c r="I74" s="511">
        <v>0</v>
      </c>
      <c r="J74" s="511">
        <v>0</v>
      </c>
      <c r="K74" s="511">
        <v>5.1000000000000004E-4</v>
      </c>
      <c r="L74" s="511">
        <v>2.0580000000000001E-2</v>
      </c>
      <c r="M74" s="511">
        <v>3.3559999999999993E-2</v>
      </c>
      <c r="N74" s="511">
        <f t="shared" si="4"/>
        <v>0</v>
      </c>
      <c r="O74" s="511">
        <f t="shared" si="4"/>
        <v>0</v>
      </c>
      <c r="P74" s="511">
        <f t="shared" si="4"/>
        <v>0</v>
      </c>
      <c r="Q74" s="114">
        <v>0</v>
      </c>
      <c r="R74" s="114">
        <v>0</v>
      </c>
      <c r="S74" s="114">
        <v>0</v>
      </c>
      <c r="T74" s="114">
        <v>0</v>
      </c>
      <c r="U74" s="114">
        <v>0</v>
      </c>
      <c r="V74" s="114">
        <v>0</v>
      </c>
      <c r="W74" s="114">
        <v>0</v>
      </c>
      <c r="X74" s="114">
        <v>0</v>
      </c>
      <c r="Y74" s="114">
        <v>0</v>
      </c>
    </row>
    <row r="75" spans="1:25">
      <c r="A75" s="108">
        <v>20100729</v>
      </c>
      <c r="B75" s="206" t="s">
        <v>17</v>
      </c>
      <c r="C75" s="206" t="str">
        <f t="shared" si="5"/>
        <v>20100729LE</v>
      </c>
      <c r="D75" s="206" t="s">
        <v>395</v>
      </c>
      <c r="E75" s="206" t="str">
        <f t="shared" si="6"/>
        <v>20100729LGMLE571</v>
      </c>
      <c r="F75" s="114">
        <v>0</v>
      </c>
      <c r="G75" s="511">
        <v>5.4649999999999997E-2</v>
      </c>
      <c r="H75" s="511">
        <v>0</v>
      </c>
      <c r="I75" s="511">
        <v>0</v>
      </c>
      <c r="J75" s="511">
        <v>0</v>
      </c>
      <c r="K75" s="511">
        <v>5.1000000000000004E-4</v>
      </c>
      <c r="L75" s="511">
        <v>2.0580000000000001E-2</v>
      </c>
      <c r="M75" s="511">
        <v>3.3559999999999993E-2</v>
      </c>
      <c r="N75" s="511">
        <f t="shared" si="4"/>
        <v>0</v>
      </c>
      <c r="O75" s="511">
        <f t="shared" si="4"/>
        <v>0</v>
      </c>
      <c r="P75" s="511">
        <f t="shared" si="4"/>
        <v>0</v>
      </c>
      <c r="Q75" s="114">
        <v>0</v>
      </c>
      <c r="R75" s="114">
        <v>0</v>
      </c>
      <c r="S75" s="114">
        <v>0</v>
      </c>
      <c r="T75" s="114">
        <v>0</v>
      </c>
      <c r="U75" s="114">
        <v>0</v>
      </c>
      <c r="V75" s="114">
        <v>0</v>
      </c>
      <c r="W75" s="114">
        <v>0</v>
      </c>
      <c r="X75" s="114">
        <v>0</v>
      </c>
      <c r="Y75" s="114">
        <v>0</v>
      </c>
    </row>
    <row r="76" spans="1:25">
      <c r="A76" s="108">
        <v>20100729</v>
      </c>
      <c r="B76" s="206" t="s">
        <v>17</v>
      </c>
      <c r="C76" s="206" t="str">
        <f t="shared" si="5"/>
        <v>20100729LE</v>
      </c>
      <c r="D76" s="206" t="s">
        <v>396</v>
      </c>
      <c r="E76" s="206" t="str">
        <f t="shared" si="6"/>
        <v>20100729LGMLE572</v>
      </c>
      <c r="F76" s="114">
        <v>0</v>
      </c>
      <c r="G76" s="511">
        <v>5.4649999999999997E-2</v>
      </c>
      <c r="H76" s="511">
        <v>0</v>
      </c>
      <c r="I76" s="511">
        <v>0</v>
      </c>
      <c r="J76" s="511">
        <v>0</v>
      </c>
      <c r="K76" s="511">
        <v>5.1000000000000004E-4</v>
      </c>
      <c r="L76" s="511">
        <v>2.0580000000000001E-2</v>
      </c>
      <c r="M76" s="511">
        <v>3.3559999999999993E-2</v>
      </c>
      <c r="N76" s="511">
        <f t="shared" si="4"/>
        <v>0</v>
      </c>
      <c r="O76" s="511">
        <f t="shared" si="4"/>
        <v>0</v>
      </c>
      <c r="P76" s="511">
        <f t="shared" si="4"/>
        <v>0</v>
      </c>
      <c r="Q76" s="114">
        <v>0</v>
      </c>
      <c r="R76" s="114">
        <v>0</v>
      </c>
      <c r="S76" s="114">
        <v>0</v>
      </c>
      <c r="T76" s="114">
        <v>0</v>
      </c>
      <c r="U76" s="114">
        <v>0</v>
      </c>
      <c r="V76" s="114">
        <v>0</v>
      </c>
      <c r="W76" s="114">
        <v>0</v>
      </c>
      <c r="X76" s="114">
        <v>0</v>
      </c>
      <c r="Y76" s="114">
        <v>0</v>
      </c>
    </row>
    <row r="77" spans="1:25">
      <c r="A77" s="108">
        <v>20100729</v>
      </c>
      <c r="B77" s="206" t="s">
        <v>18</v>
      </c>
      <c r="C77" s="206" t="str">
        <f t="shared" si="5"/>
        <v>20100729TE</v>
      </c>
      <c r="D77" s="206" t="s">
        <v>397</v>
      </c>
      <c r="E77" s="206" t="str">
        <f t="shared" si="6"/>
        <v>20100729LGMLE573</v>
      </c>
      <c r="F77" s="114">
        <v>3.14</v>
      </c>
      <c r="G77" s="511">
        <v>6.6229999999999997E-2</v>
      </c>
      <c r="H77" s="511">
        <v>0</v>
      </c>
      <c r="I77" s="511">
        <v>0</v>
      </c>
      <c r="J77" s="511">
        <v>0</v>
      </c>
      <c r="K77" s="511">
        <v>5.1000000000000004E-4</v>
      </c>
      <c r="L77" s="511">
        <v>2.0580000000000001E-2</v>
      </c>
      <c r="M77" s="511">
        <v>4.514E-2</v>
      </c>
      <c r="N77" s="511">
        <f t="shared" si="4"/>
        <v>0</v>
      </c>
      <c r="O77" s="511">
        <f t="shared" si="4"/>
        <v>0</v>
      </c>
      <c r="P77" s="511">
        <f t="shared" si="4"/>
        <v>0</v>
      </c>
      <c r="Q77" s="114">
        <v>0</v>
      </c>
      <c r="R77" s="114">
        <v>0</v>
      </c>
      <c r="S77" s="114">
        <v>0</v>
      </c>
      <c r="T77" s="114">
        <v>0</v>
      </c>
      <c r="U77" s="114">
        <v>0</v>
      </c>
      <c r="V77" s="114">
        <v>0</v>
      </c>
      <c r="W77" s="114">
        <v>0</v>
      </c>
      <c r="X77" s="114">
        <v>0</v>
      </c>
      <c r="Y77" s="114">
        <v>0</v>
      </c>
    </row>
    <row r="78" spans="1:25">
      <c r="A78" s="108">
        <v>20100729</v>
      </c>
      <c r="B78" s="206" t="s">
        <v>18</v>
      </c>
      <c r="C78" s="206" t="str">
        <f t="shared" si="5"/>
        <v>20100729TE</v>
      </c>
      <c r="D78" s="206" t="s">
        <v>398</v>
      </c>
      <c r="E78" s="206" t="str">
        <f t="shared" si="6"/>
        <v>20100729LGMLE574</v>
      </c>
      <c r="F78" s="114">
        <v>3.14</v>
      </c>
      <c r="G78" s="511">
        <v>6.6229999999999997E-2</v>
      </c>
      <c r="H78" s="511">
        <v>0</v>
      </c>
      <c r="I78" s="511">
        <v>0</v>
      </c>
      <c r="J78" s="511">
        <v>0</v>
      </c>
      <c r="K78" s="511">
        <v>5.1000000000000004E-4</v>
      </c>
      <c r="L78" s="511">
        <v>2.0580000000000001E-2</v>
      </c>
      <c r="M78" s="511">
        <v>4.514E-2</v>
      </c>
      <c r="N78" s="511">
        <f t="shared" si="4"/>
        <v>0</v>
      </c>
      <c r="O78" s="511">
        <f t="shared" si="4"/>
        <v>0</v>
      </c>
      <c r="P78" s="511">
        <f t="shared" si="4"/>
        <v>0</v>
      </c>
      <c r="Q78" s="114">
        <v>0</v>
      </c>
      <c r="R78" s="114">
        <v>0</v>
      </c>
      <c r="S78" s="114">
        <v>0</v>
      </c>
      <c r="T78" s="114">
        <v>0</v>
      </c>
      <c r="U78" s="114">
        <v>0</v>
      </c>
      <c r="V78" s="114">
        <v>0</v>
      </c>
      <c r="W78" s="114">
        <v>0</v>
      </c>
      <c r="X78" s="114">
        <v>0</v>
      </c>
      <c r="Y78" s="114">
        <v>0</v>
      </c>
    </row>
    <row r="79" spans="1:25">
      <c r="A79" s="108">
        <v>20100729</v>
      </c>
      <c r="B79" s="206" t="s">
        <v>412</v>
      </c>
      <c r="C79" s="206" t="str">
        <f t="shared" si="5"/>
        <v>20100729FK</v>
      </c>
      <c r="D79" s="206" t="s">
        <v>387</v>
      </c>
      <c r="E79" s="206" t="str">
        <f t="shared" si="6"/>
        <v>20100729LGINE599</v>
      </c>
      <c r="F79" s="114">
        <v>0</v>
      </c>
      <c r="G79" s="511">
        <v>2.8830000000000001E-2</v>
      </c>
      <c r="H79" s="511">
        <v>0</v>
      </c>
      <c r="I79" s="511">
        <v>0</v>
      </c>
      <c r="J79" s="511">
        <v>0</v>
      </c>
      <c r="K79" s="511">
        <v>0</v>
      </c>
      <c r="L79" s="511">
        <v>2.0580000000000001E-2</v>
      </c>
      <c r="M79" s="511">
        <v>8.2500000000000004E-3</v>
      </c>
      <c r="N79" s="511">
        <f t="shared" si="4"/>
        <v>0</v>
      </c>
      <c r="O79" s="511">
        <f t="shared" si="4"/>
        <v>0</v>
      </c>
      <c r="P79" s="511">
        <f t="shared" si="4"/>
        <v>0</v>
      </c>
      <c r="Q79" s="114">
        <v>0</v>
      </c>
      <c r="R79" s="114">
        <v>11.63</v>
      </c>
      <c r="S79" s="114">
        <v>13.82</v>
      </c>
      <c r="T79" s="114">
        <v>0</v>
      </c>
      <c r="U79" s="114">
        <v>0.24</v>
      </c>
      <c r="V79" s="114">
        <v>0.24</v>
      </c>
      <c r="W79" s="114">
        <v>0</v>
      </c>
      <c r="X79" s="114">
        <v>11.39</v>
      </c>
      <c r="Y79" s="114">
        <v>13.58</v>
      </c>
    </row>
    <row r="80" spans="1:25">
      <c r="A80" s="108">
        <v>20100729</v>
      </c>
      <c r="B80" s="206" t="s">
        <v>425</v>
      </c>
      <c r="C80" s="206" t="str">
        <f t="shared" si="5"/>
        <v>20100729LWC</v>
      </c>
      <c r="D80" s="206" t="s">
        <v>385</v>
      </c>
      <c r="E80" s="206" t="str">
        <f t="shared" si="6"/>
        <v>20100729LGCME671</v>
      </c>
      <c r="F80" s="114">
        <v>0</v>
      </c>
      <c r="G80" s="511">
        <v>2.8819999999999998E-2</v>
      </c>
      <c r="H80" s="511">
        <v>0</v>
      </c>
      <c r="I80" s="511">
        <v>0</v>
      </c>
      <c r="J80" s="511">
        <v>0</v>
      </c>
      <c r="K80" s="511">
        <v>0</v>
      </c>
      <c r="L80" s="511">
        <v>2.0580000000000001E-2</v>
      </c>
      <c r="M80" s="511">
        <v>8.2399999999999973E-3</v>
      </c>
      <c r="N80" s="511">
        <f t="shared" si="4"/>
        <v>0</v>
      </c>
      <c r="O80" s="511">
        <f t="shared" si="4"/>
        <v>0</v>
      </c>
      <c r="P80" s="511">
        <f t="shared" si="4"/>
        <v>0</v>
      </c>
      <c r="Q80" s="114">
        <v>0</v>
      </c>
      <c r="R80" s="114">
        <v>9.85</v>
      </c>
      <c r="S80" s="114">
        <v>9.85</v>
      </c>
      <c r="T80" s="114">
        <v>0</v>
      </c>
      <c r="U80" s="114">
        <v>0.22</v>
      </c>
      <c r="V80" s="114">
        <v>0.22</v>
      </c>
      <c r="W80" s="114">
        <v>0</v>
      </c>
      <c r="X80" s="114">
        <v>9.6300000000000008</v>
      </c>
      <c r="Y80" s="114">
        <v>9.6300000000000008</v>
      </c>
    </row>
    <row r="81" spans="1:25">
      <c r="A81" s="108">
        <v>20100729</v>
      </c>
      <c r="B81" s="206" t="s">
        <v>641</v>
      </c>
      <c r="C81" s="206" t="str">
        <f t="shared" si="5"/>
        <v>20100729LEV</v>
      </c>
      <c r="D81" s="210" t="s">
        <v>706</v>
      </c>
      <c r="E81" s="206" t="str">
        <f t="shared" si="6"/>
        <v>20100729LGRSE543</v>
      </c>
      <c r="F81" s="114">
        <v>8.5</v>
      </c>
      <c r="G81" s="511">
        <v>4.8719999999999999E-2</v>
      </c>
      <c r="H81" s="511">
        <v>6.8959999999999994E-2</v>
      </c>
      <c r="I81" s="511">
        <v>0.13274</v>
      </c>
      <c r="J81" s="511">
        <v>0</v>
      </c>
      <c r="K81" s="511">
        <v>7.2999999999999996E-4</v>
      </c>
      <c r="L81" s="511">
        <v>2.0580000000000001E-2</v>
      </c>
      <c r="M81" s="511">
        <v>2.7409999999999997E-2</v>
      </c>
      <c r="N81" s="511">
        <v>4.7649999999999998E-2</v>
      </c>
      <c r="O81" s="511">
        <v>0.11142999999999999</v>
      </c>
      <c r="P81" s="511">
        <f t="shared" si="4"/>
        <v>0</v>
      </c>
      <c r="Q81" s="114">
        <v>0</v>
      </c>
      <c r="R81" s="114">
        <v>0</v>
      </c>
      <c r="S81" s="114">
        <v>0</v>
      </c>
      <c r="T81" s="114">
        <v>0</v>
      </c>
      <c r="U81" s="114">
        <v>0</v>
      </c>
      <c r="V81" s="114">
        <v>0</v>
      </c>
      <c r="W81" s="114">
        <v>0</v>
      </c>
      <c r="X81" s="114">
        <v>0</v>
      </c>
      <c r="Y81" s="114">
        <v>0</v>
      </c>
    </row>
    <row r="82" spans="1:25">
      <c r="A82" s="512">
        <v>20110629</v>
      </c>
      <c r="B82" s="513" t="s">
        <v>13</v>
      </c>
      <c r="C82" s="513" t="str">
        <f t="shared" ref="C82:C94" si="8">A82&amp;B82</f>
        <v>20110629RS</v>
      </c>
      <c r="D82" s="513" t="s">
        <v>399</v>
      </c>
      <c r="E82" s="513" t="str">
        <f t="shared" ref="E82:E94" si="9">A82&amp;D82</f>
        <v>20110629LGRSE411</v>
      </c>
      <c r="F82" s="514">
        <v>0</v>
      </c>
      <c r="G82" s="515">
        <v>7.2249999999999995E-2</v>
      </c>
      <c r="H82" s="515">
        <v>0</v>
      </c>
      <c r="I82" s="515">
        <v>0</v>
      </c>
      <c r="J82" s="515">
        <v>0</v>
      </c>
      <c r="K82" s="515">
        <v>7.2999999999999996E-4</v>
      </c>
      <c r="L82" s="515">
        <v>2.215E-2</v>
      </c>
      <c r="M82" s="515">
        <v>4.9370000000000011E-2</v>
      </c>
      <c r="N82" s="515">
        <f t="shared" ref="N82:P119" si="10">IF(H82=0,0,H82-$K82-$L82)</f>
        <v>0</v>
      </c>
      <c r="O82" s="515">
        <f t="shared" si="10"/>
        <v>0</v>
      </c>
      <c r="P82" s="515">
        <f t="shared" si="10"/>
        <v>0</v>
      </c>
      <c r="Q82" s="514">
        <v>0</v>
      </c>
      <c r="R82" s="514">
        <v>0</v>
      </c>
      <c r="S82" s="514">
        <v>0</v>
      </c>
      <c r="T82" s="514">
        <v>0</v>
      </c>
      <c r="U82" s="514">
        <v>0</v>
      </c>
      <c r="V82" s="514">
        <v>0</v>
      </c>
      <c r="W82" s="514">
        <v>0</v>
      </c>
      <c r="X82" s="514">
        <v>0</v>
      </c>
      <c r="Y82" s="514">
        <v>0</v>
      </c>
    </row>
    <row r="83" spans="1:25">
      <c r="A83" s="512">
        <v>20110629</v>
      </c>
      <c r="B83" s="516" t="s">
        <v>417</v>
      </c>
      <c r="C83" s="513" t="str">
        <f t="shared" si="8"/>
        <v>20110629GSWH</v>
      </c>
      <c r="D83" s="513" t="s">
        <v>368</v>
      </c>
      <c r="E83" s="513" t="str">
        <f t="shared" si="9"/>
        <v>20110629LGCME451</v>
      </c>
      <c r="F83" s="514">
        <v>0</v>
      </c>
      <c r="G83" s="515">
        <v>8.208E-2</v>
      </c>
      <c r="H83" s="515">
        <v>0</v>
      </c>
      <c r="I83" s="515">
        <v>0</v>
      </c>
      <c r="J83" s="515">
        <v>0</v>
      </c>
      <c r="K83" s="515">
        <v>8.0000000000000004E-4</v>
      </c>
      <c r="L83" s="515">
        <f>$L$84</f>
        <v>2.215E-2</v>
      </c>
      <c r="M83" s="515">
        <v>5.9130000000000002E-2</v>
      </c>
      <c r="N83" s="515">
        <f t="shared" si="10"/>
        <v>0</v>
      </c>
      <c r="O83" s="515">
        <f t="shared" si="10"/>
        <v>0</v>
      </c>
      <c r="P83" s="515">
        <f t="shared" si="10"/>
        <v>0</v>
      </c>
      <c r="Q83" s="514">
        <v>0</v>
      </c>
      <c r="R83" s="514">
        <v>0</v>
      </c>
      <c r="S83" s="514">
        <v>0</v>
      </c>
      <c r="T83" s="514">
        <v>0</v>
      </c>
      <c r="U83" s="514">
        <v>0</v>
      </c>
      <c r="V83" s="514">
        <v>0</v>
      </c>
      <c r="W83" s="514">
        <v>0</v>
      </c>
      <c r="X83" s="514">
        <v>0</v>
      </c>
      <c r="Y83" s="514">
        <v>0</v>
      </c>
    </row>
    <row r="84" spans="1:25">
      <c r="A84" s="512">
        <v>20110629</v>
      </c>
      <c r="B84" s="513" t="s">
        <v>13</v>
      </c>
      <c r="C84" s="513" t="str">
        <f t="shared" si="8"/>
        <v>20110629RS</v>
      </c>
      <c r="D84" s="513" t="s">
        <v>400</v>
      </c>
      <c r="E84" s="513" t="str">
        <f t="shared" si="9"/>
        <v>20110629LGRSE511</v>
      </c>
      <c r="F84" s="514">
        <v>8.5</v>
      </c>
      <c r="G84" s="515">
        <v>7.2249999999999995E-2</v>
      </c>
      <c r="H84" s="515">
        <v>0</v>
      </c>
      <c r="I84" s="515">
        <v>0</v>
      </c>
      <c r="J84" s="515">
        <v>0</v>
      </c>
      <c r="K84" s="515">
        <v>7.2999999999999996E-4</v>
      </c>
      <c r="L84" s="515">
        <v>2.215E-2</v>
      </c>
      <c r="M84" s="515">
        <v>4.9370000000000011E-2</v>
      </c>
      <c r="N84" s="515">
        <f t="shared" si="10"/>
        <v>0</v>
      </c>
      <c r="O84" s="515">
        <f t="shared" si="10"/>
        <v>0</v>
      </c>
      <c r="P84" s="515">
        <f t="shared" si="10"/>
        <v>0</v>
      </c>
      <c r="Q84" s="514">
        <v>0</v>
      </c>
      <c r="R84" s="514">
        <v>0</v>
      </c>
      <c r="S84" s="514">
        <v>0</v>
      </c>
      <c r="T84" s="514">
        <v>0</v>
      </c>
      <c r="U84" s="514">
        <v>0</v>
      </c>
      <c r="V84" s="514">
        <v>0</v>
      </c>
      <c r="W84" s="514">
        <v>0</v>
      </c>
      <c r="X84" s="514">
        <v>0</v>
      </c>
      <c r="Y84" s="514">
        <v>0</v>
      </c>
    </row>
    <row r="85" spans="1:25">
      <c r="A85" s="512">
        <f>A84</f>
        <v>20110629</v>
      </c>
      <c r="B85" s="513" t="s">
        <v>13</v>
      </c>
      <c r="C85" s="513" t="str">
        <f t="shared" si="8"/>
        <v>20110629RS</v>
      </c>
      <c r="D85" s="513" t="s">
        <v>401</v>
      </c>
      <c r="E85" s="513" t="str">
        <f t="shared" si="9"/>
        <v>20110629LGRSE519</v>
      </c>
      <c r="F85" s="514">
        <v>8.5</v>
      </c>
      <c r="G85" s="515">
        <v>7.2249999999999995E-2</v>
      </c>
      <c r="H85" s="515">
        <v>0</v>
      </c>
      <c r="I85" s="515">
        <v>0</v>
      </c>
      <c r="J85" s="515">
        <v>0</v>
      </c>
      <c r="K85" s="515">
        <v>7.2999999999999996E-4</v>
      </c>
      <c r="L85" s="515">
        <v>2.215E-2</v>
      </c>
      <c r="M85" s="515">
        <v>4.9370000000000011E-2</v>
      </c>
      <c r="N85" s="515">
        <f t="shared" si="10"/>
        <v>0</v>
      </c>
      <c r="O85" s="515">
        <f t="shared" si="10"/>
        <v>0</v>
      </c>
      <c r="P85" s="515">
        <f t="shared" si="10"/>
        <v>0</v>
      </c>
      <c r="Q85" s="514">
        <v>0</v>
      </c>
      <c r="R85" s="514">
        <v>0</v>
      </c>
      <c r="S85" s="514">
        <v>0</v>
      </c>
      <c r="T85" s="514">
        <v>0</v>
      </c>
      <c r="U85" s="514">
        <v>0</v>
      </c>
      <c r="V85" s="514">
        <v>0</v>
      </c>
      <c r="W85" s="514">
        <v>0</v>
      </c>
      <c r="X85" s="514">
        <v>0</v>
      </c>
      <c r="Y85" s="514">
        <v>0</v>
      </c>
    </row>
    <row r="86" spans="1:25">
      <c r="A86" s="512">
        <f t="shared" ref="A86:A119" si="11">A85</f>
        <v>20110629</v>
      </c>
      <c r="B86" s="513" t="s">
        <v>700</v>
      </c>
      <c r="C86" s="513" t="str">
        <f t="shared" si="8"/>
        <v>20110629VFD</v>
      </c>
      <c r="D86" s="513" t="s">
        <v>402</v>
      </c>
      <c r="E86" s="513" t="str">
        <f t="shared" si="9"/>
        <v>20110629LGRSE540</v>
      </c>
      <c r="F86" s="514">
        <v>8.5</v>
      </c>
      <c r="G86" s="515">
        <v>7.2249999999999995E-2</v>
      </c>
      <c r="H86" s="515">
        <v>0</v>
      </c>
      <c r="I86" s="515">
        <v>0</v>
      </c>
      <c r="J86" s="515">
        <v>0</v>
      </c>
      <c r="K86" s="515">
        <v>7.2999999999999996E-4</v>
      </c>
      <c r="L86" s="515">
        <v>2.215E-2</v>
      </c>
      <c r="M86" s="515">
        <v>4.9370000000000011E-2</v>
      </c>
      <c r="N86" s="515">
        <f t="shared" si="10"/>
        <v>0</v>
      </c>
      <c r="O86" s="515">
        <f t="shared" si="10"/>
        <v>0</v>
      </c>
      <c r="P86" s="515">
        <f t="shared" si="10"/>
        <v>0</v>
      </c>
      <c r="Q86" s="514">
        <v>0</v>
      </c>
      <c r="R86" s="514">
        <v>0</v>
      </c>
      <c r="S86" s="514">
        <v>0</v>
      </c>
      <c r="T86" s="514">
        <v>0</v>
      </c>
      <c r="U86" s="514">
        <v>0</v>
      </c>
      <c r="V86" s="514">
        <v>0</v>
      </c>
      <c r="W86" s="514">
        <v>0</v>
      </c>
      <c r="X86" s="514">
        <v>0</v>
      </c>
      <c r="Y86" s="514">
        <v>0</v>
      </c>
    </row>
    <row r="87" spans="1:25">
      <c r="A87" s="512">
        <f>A86</f>
        <v>20110629</v>
      </c>
      <c r="B87" s="516" t="s">
        <v>426</v>
      </c>
      <c r="C87" s="513" t="str">
        <f t="shared" si="8"/>
        <v>20110629RRP</v>
      </c>
      <c r="D87" s="516" t="s">
        <v>403</v>
      </c>
      <c r="E87" s="513" t="str">
        <f t="shared" si="9"/>
        <v>20110629LGRSE541</v>
      </c>
      <c r="F87" s="514">
        <v>13.5</v>
      </c>
      <c r="G87" s="515">
        <v>5.0290000000000001E-2</v>
      </c>
      <c r="H87" s="515">
        <v>6.3250000000000001E-2</v>
      </c>
      <c r="I87" s="515">
        <v>0.1203</v>
      </c>
      <c r="J87" s="515">
        <v>0.32521</v>
      </c>
      <c r="K87" s="515">
        <v>7.2999999999999996E-4</v>
      </c>
      <c r="L87" s="515">
        <v>2.215E-2</v>
      </c>
      <c r="M87" s="549">
        <v>2.741E-2</v>
      </c>
      <c r="N87" s="549">
        <v>4.0369999999999996E-2</v>
      </c>
      <c r="O87" s="549">
        <v>9.7420000000000007E-2</v>
      </c>
      <c r="P87" s="549">
        <v>0.30232999999999999</v>
      </c>
      <c r="Q87" s="514">
        <v>0</v>
      </c>
      <c r="R87" s="514">
        <v>0</v>
      </c>
      <c r="S87" s="514">
        <v>0</v>
      </c>
      <c r="T87" s="514">
        <v>0</v>
      </c>
      <c r="U87" s="514">
        <v>0</v>
      </c>
      <c r="V87" s="514">
        <v>0</v>
      </c>
      <c r="W87" s="514">
        <v>0</v>
      </c>
      <c r="X87" s="514">
        <v>0</v>
      </c>
      <c r="Y87" s="514">
        <v>0</v>
      </c>
    </row>
    <row r="88" spans="1:25">
      <c r="A88" s="512">
        <f>A87</f>
        <v>20110629</v>
      </c>
      <c r="B88" s="516" t="s">
        <v>833</v>
      </c>
      <c r="C88" s="513" t="str">
        <f t="shared" si="8"/>
        <v>20110629GSP</v>
      </c>
      <c r="D88" s="513" t="s">
        <v>369</v>
      </c>
      <c r="E88" s="513" t="str">
        <f t="shared" si="9"/>
        <v>20110629LGCME550</v>
      </c>
      <c r="F88" s="514">
        <v>17.5</v>
      </c>
      <c r="G88" s="515">
        <v>8.208E-2</v>
      </c>
      <c r="H88" s="515">
        <v>0</v>
      </c>
      <c r="I88" s="515">
        <v>0</v>
      </c>
      <c r="J88" s="515">
        <v>0</v>
      </c>
      <c r="K88" s="515">
        <v>8.0000000000000004E-4</v>
      </c>
      <c r="L88" s="515">
        <v>2.215E-2</v>
      </c>
      <c r="M88" s="515">
        <v>5.9130000000000002E-2</v>
      </c>
      <c r="N88" s="515">
        <f>IF(H88=0,0,H88-$K88-$L88)</f>
        <v>0</v>
      </c>
      <c r="O88" s="515">
        <f>IF(I88=0,0,I88-$K88-$L88)</f>
        <v>0</v>
      </c>
      <c r="P88" s="515">
        <f>IF(J88=0,0,J88-$K88-$L88)</f>
        <v>0</v>
      </c>
      <c r="Q88" s="514">
        <v>0</v>
      </c>
      <c r="R88" s="514">
        <v>0</v>
      </c>
      <c r="S88" s="514">
        <v>0</v>
      </c>
      <c r="T88" s="514">
        <v>0</v>
      </c>
      <c r="U88" s="514">
        <v>0</v>
      </c>
      <c r="V88" s="514">
        <v>0</v>
      </c>
      <c r="W88" s="514">
        <v>0</v>
      </c>
      <c r="X88" s="514">
        <v>0</v>
      </c>
      <c r="Y88" s="514">
        <v>0</v>
      </c>
    </row>
    <row r="89" spans="1:25">
      <c r="A89" s="512">
        <f t="shared" si="11"/>
        <v>20110629</v>
      </c>
      <c r="B89" s="513" t="s">
        <v>414</v>
      </c>
      <c r="C89" s="513" t="str">
        <f t="shared" si="8"/>
        <v>20110629GSS</v>
      </c>
      <c r="D89" s="513" t="s">
        <v>370</v>
      </c>
      <c r="E89" s="513" t="str">
        <f t="shared" si="9"/>
        <v>20110629LGCME551</v>
      </c>
      <c r="F89" s="514">
        <v>17.5</v>
      </c>
      <c r="G89" s="515">
        <v>8.208E-2</v>
      </c>
      <c r="H89" s="515">
        <v>0</v>
      </c>
      <c r="I89" s="515">
        <v>0</v>
      </c>
      <c r="J89" s="515">
        <v>0</v>
      </c>
      <c r="K89" s="515">
        <v>8.0000000000000004E-4</v>
      </c>
      <c r="L89" s="515">
        <v>2.215E-2</v>
      </c>
      <c r="M89" s="515">
        <v>5.9130000000000002E-2</v>
      </c>
      <c r="N89" s="515">
        <f t="shared" si="10"/>
        <v>0</v>
      </c>
      <c r="O89" s="515">
        <f t="shared" si="10"/>
        <v>0</v>
      </c>
      <c r="P89" s="515">
        <f t="shared" si="10"/>
        <v>0</v>
      </c>
      <c r="Q89" s="514">
        <v>0</v>
      </c>
      <c r="R89" s="514">
        <v>0</v>
      </c>
      <c r="S89" s="514">
        <v>0</v>
      </c>
      <c r="T89" s="514">
        <v>0</v>
      </c>
      <c r="U89" s="514">
        <v>0</v>
      </c>
      <c r="V89" s="514">
        <v>0</v>
      </c>
      <c r="W89" s="514">
        <v>0</v>
      </c>
      <c r="X89" s="514">
        <v>0</v>
      </c>
      <c r="Y89" s="514">
        <v>0</v>
      </c>
    </row>
    <row r="90" spans="1:25">
      <c r="A90" s="512">
        <f t="shared" si="11"/>
        <v>20110629</v>
      </c>
      <c r="B90" s="513" t="s">
        <v>832</v>
      </c>
      <c r="C90" s="513" t="str">
        <f t="shared" si="8"/>
        <v>20110629GSUM</v>
      </c>
      <c r="D90" s="513" t="s">
        <v>371</v>
      </c>
      <c r="E90" s="513" t="str">
        <f t="shared" si="9"/>
        <v>20110629LGCME551UM</v>
      </c>
      <c r="F90" s="514">
        <v>17.5</v>
      </c>
      <c r="G90" s="515">
        <v>8.208E-2</v>
      </c>
      <c r="H90" s="515">
        <v>0</v>
      </c>
      <c r="I90" s="515">
        <v>0</v>
      </c>
      <c r="J90" s="515">
        <v>0</v>
      </c>
      <c r="K90" s="515">
        <v>8.0000000000000004E-4</v>
      </c>
      <c r="L90" s="515">
        <v>2.215E-2</v>
      </c>
      <c r="M90" s="515">
        <v>5.9130000000000002E-2</v>
      </c>
      <c r="N90" s="515">
        <f t="shared" si="10"/>
        <v>0</v>
      </c>
      <c r="O90" s="515">
        <f t="shared" si="10"/>
        <v>0</v>
      </c>
      <c r="P90" s="515">
        <f t="shared" si="10"/>
        <v>0</v>
      </c>
      <c r="Q90" s="514">
        <v>0</v>
      </c>
      <c r="R90" s="514">
        <v>0</v>
      </c>
      <c r="S90" s="514">
        <v>0</v>
      </c>
      <c r="T90" s="514">
        <v>0</v>
      </c>
      <c r="U90" s="514">
        <v>0</v>
      </c>
      <c r="V90" s="514">
        <v>0</v>
      </c>
      <c r="W90" s="514">
        <v>0</v>
      </c>
      <c r="X90" s="514">
        <v>0</v>
      </c>
      <c r="Y90" s="514">
        <v>0</v>
      </c>
    </row>
    <row r="91" spans="1:25">
      <c r="A91" s="512">
        <f t="shared" si="11"/>
        <v>20110629</v>
      </c>
      <c r="B91" s="516" t="s">
        <v>826</v>
      </c>
      <c r="C91" s="513" t="str">
        <f t="shared" si="8"/>
        <v>20110629GSNM</v>
      </c>
      <c r="D91" s="513" t="s">
        <v>374</v>
      </c>
      <c r="E91" s="513" t="str">
        <f t="shared" si="9"/>
        <v>20110629LGCME557</v>
      </c>
      <c r="F91" s="514">
        <v>17.5</v>
      </c>
      <c r="G91" s="515">
        <v>8.208E-2</v>
      </c>
      <c r="H91" s="515">
        <v>0</v>
      </c>
      <c r="I91" s="515">
        <v>0</v>
      </c>
      <c r="J91" s="515">
        <v>0</v>
      </c>
      <c r="K91" s="515">
        <v>8.0000000000000004E-4</v>
      </c>
      <c r="L91" s="515">
        <v>2.215E-2</v>
      </c>
      <c r="M91" s="515">
        <v>5.9130000000000002E-2</v>
      </c>
      <c r="N91" s="515">
        <f t="shared" si="10"/>
        <v>0</v>
      </c>
      <c r="O91" s="515">
        <f t="shared" si="10"/>
        <v>0</v>
      </c>
      <c r="P91" s="515">
        <f t="shared" si="10"/>
        <v>0</v>
      </c>
      <c r="Q91" s="514">
        <v>0</v>
      </c>
      <c r="R91" s="514">
        <v>0</v>
      </c>
      <c r="S91" s="514">
        <v>0</v>
      </c>
      <c r="T91" s="514">
        <v>0</v>
      </c>
      <c r="U91" s="514">
        <v>0</v>
      </c>
      <c r="V91" s="514">
        <v>0</v>
      </c>
      <c r="W91" s="514">
        <v>0</v>
      </c>
      <c r="X91" s="514">
        <v>0</v>
      </c>
      <c r="Y91" s="514">
        <v>0</v>
      </c>
    </row>
    <row r="92" spans="1:25">
      <c r="A92" s="512">
        <f t="shared" si="11"/>
        <v>20110629</v>
      </c>
      <c r="B92" s="516" t="s">
        <v>416</v>
      </c>
      <c r="C92" s="513" t="str">
        <f t="shared" si="8"/>
        <v>20110629GSSH</v>
      </c>
      <c r="D92" s="513" t="s">
        <v>372</v>
      </c>
      <c r="E92" s="513" t="str">
        <f t="shared" si="9"/>
        <v>20110629LGCME552</v>
      </c>
      <c r="F92" s="514">
        <v>0</v>
      </c>
      <c r="G92" s="515">
        <v>8.208E-2</v>
      </c>
      <c r="H92" s="515">
        <v>0</v>
      </c>
      <c r="I92" s="515">
        <v>0</v>
      </c>
      <c r="J92" s="515">
        <v>0</v>
      </c>
      <c r="K92" s="515">
        <v>8.0000000000000004E-4</v>
      </c>
      <c r="L92" s="515">
        <v>2.215E-2</v>
      </c>
      <c r="M92" s="515">
        <v>5.9130000000000002E-2</v>
      </c>
      <c r="N92" s="515">
        <f t="shared" si="10"/>
        <v>0</v>
      </c>
      <c r="O92" s="515">
        <f t="shared" si="10"/>
        <v>0</v>
      </c>
      <c r="P92" s="515">
        <f t="shared" si="10"/>
        <v>0</v>
      </c>
      <c r="Q92" s="514">
        <v>0</v>
      </c>
      <c r="R92" s="514">
        <v>0</v>
      </c>
      <c r="S92" s="514">
        <v>0</v>
      </c>
      <c r="T92" s="514">
        <v>0</v>
      </c>
      <c r="U92" s="514">
        <v>0</v>
      </c>
      <c r="V92" s="514">
        <v>0</v>
      </c>
      <c r="W92" s="514">
        <v>0</v>
      </c>
      <c r="X92" s="514">
        <v>0</v>
      </c>
      <c r="Y92" s="514">
        <v>0</v>
      </c>
    </row>
    <row r="93" spans="1:25">
      <c r="A93" s="512">
        <f t="shared" si="11"/>
        <v>20110629</v>
      </c>
      <c r="B93" s="516" t="s">
        <v>828</v>
      </c>
      <c r="C93" s="513" t="str">
        <f t="shared" si="8"/>
        <v>20110629GSRP</v>
      </c>
      <c r="D93" s="516" t="s">
        <v>373</v>
      </c>
      <c r="E93" s="513" t="str">
        <f t="shared" si="9"/>
        <v>20110629LGCME555</v>
      </c>
      <c r="F93" s="514">
        <v>27.5</v>
      </c>
      <c r="G93" s="515">
        <v>5.806E-2</v>
      </c>
      <c r="H93" s="515">
        <v>7.3889999999999997E-2</v>
      </c>
      <c r="I93" s="515">
        <v>0.15290999999999999</v>
      </c>
      <c r="J93" s="515">
        <v>0.32940000000000003</v>
      </c>
      <c r="K93" s="515">
        <v>8.0000000000000004E-4</v>
      </c>
      <c r="L93" s="515">
        <v>2.215E-2</v>
      </c>
      <c r="M93" s="515">
        <v>3.5110000000000002E-2</v>
      </c>
      <c r="N93" s="515">
        <v>5.0939999999999999E-2</v>
      </c>
      <c r="O93" s="515">
        <v>0.12996000000000002</v>
      </c>
      <c r="P93" s="515">
        <v>0.30645</v>
      </c>
      <c r="Q93" s="514">
        <v>0</v>
      </c>
      <c r="R93" s="514">
        <v>0</v>
      </c>
      <c r="S93" s="514">
        <v>0</v>
      </c>
      <c r="T93" s="514">
        <v>0</v>
      </c>
      <c r="U93" s="514">
        <v>0</v>
      </c>
      <c r="V93" s="514">
        <v>0</v>
      </c>
      <c r="W93" s="514">
        <v>0</v>
      </c>
      <c r="X93" s="514">
        <v>0</v>
      </c>
      <c r="Y93" s="514">
        <v>0</v>
      </c>
    </row>
    <row r="94" spans="1:25">
      <c r="A94" s="512">
        <f t="shared" si="11"/>
        <v>20110629</v>
      </c>
      <c r="B94" s="516" t="s">
        <v>715</v>
      </c>
      <c r="C94" s="513" t="str">
        <f t="shared" si="8"/>
        <v>20110629GS3P</v>
      </c>
      <c r="D94" s="513" t="s">
        <v>380</v>
      </c>
      <c r="E94" s="513" t="str">
        <f t="shared" si="9"/>
        <v>20110629LGCME650</v>
      </c>
      <c r="F94" s="514">
        <v>32.5</v>
      </c>
      <c r="G94" s="515">
        <f>$G$88</f>
        <v>8.208E-2</v>
      </c>
      <c r="H94" s="515">
        <v>0</v>
      </c>
      <c r="I94" s="515">
        <v>0</v>
      </c>
      <c r="J94" s="515">
        <v>0</v>
      </c>
      <c r="K94" s="515">
        <v>8.0000000000000004E-4</v>
      </c>
      <c r="L94" s="515">
        <v>2.215E-2</v>
      </c>
      <c r="M94" s="515">
        <v>5.9130000000000002E-2</v>
      </c>
      <c r="N94" s="515">
        <f t="shared" si="10"/>
        <v>0</v>
      </c>
      <c r="O94" s="515">
        <f t="shared" si="10"/>
        <v>0</v>
      </c>
      <c r="P94" s="515">
        <f t="shared" si="10"/>
        <v>0</v>
      </c>
      <c r="Q94" s="514">
        <v>0</v>
      </c>
      <c r="R94" s="514">
        <v>0</v>
      </c>
      <c r="S94" s="514">
        <v>0</v>
      </c>
      <c r="T94" s="514">
        <v>0</v>
      </c>
      <c r="U94" s="514">
        <v>0</v>
      </c>
      <c r="V94" s="514">
        <v>0</v>
      </c>
      <c r="W94" s="514">
        <v>0</v>
      </c>
      <c r="X94" s="514">
        <v>0</v>
      </c>
      <c r="Y94" s="514">
        <v>0</v>
      </c>
    </row>
    <row r="95" spans="1:25">
      <c r="A95" s="512">
        <f t="shared" si="11"/>
        <v>20110629</v>
      </c>
      <c r="B95" s="513" t="s">
        <v>14</v>
      </c>
      <c r="C95" s="513" t="str">
        <f t="shared" ref="C95:C158" si="12">A95&amp;B95</f>
        <v>20110629GS3</v>
      </c>
      <c r="D95" s="513" t="s">
        <v>381</v>
      </c>
      <c r="E95" s="513" t="str">
        <f t="shared" ref="E95:E158" si="13">A95&amp;D95</f>
        <v>20110629LGCME651</v>
      </c>
      <c r="F95" s="514">
        <f>$F$94</f>
        <v>32.5</v>
      </c>
      <c r="G95" s="515">
        <f>$G$88</f>
        <v>8.208E-2</v>
      </c>
      <c r="H95" s="515">
        <v>0</v>
      </c>
      <c r="I95" s="515">
        <v>0</v>
      </c>
      <c r="J95" s="515">
        <v>0</v>
      </c>
      <c r="K95" s="515">
        <v>8.0000000000000004E-4</v>
      </c>
      <c r="L95" s="515">
        <v>2.215E-2</v>
      </c>
      <c r="M95" s="515">
        <v>5.9130000000000002E-2</v>
      </c>
      <c r="N95" s="515">
        <f t="shared" si="10"/>
        <v>0</v>
      </c>
      <c r="O95" s="515">
        <f t="shared" si="10"/>
        <v>0</v>
      </c>
      <c r="P95" s="515">
        <f t="shared" si="10"/>
        <v>0</v>
      </c>
      <c r="Q95" s="514">
        <v>0</v>
      </c>
      <c r="R95" s="514">
        <v>0</v>
      </c>
      <c r="S95" s="514">
        <v>0</v>
      </c>
      <c r="T95" s="514">
        <v>0</v>
      </c>
      <c r="U95" s="514">
        <v>0</v>
      </c>
      <c r="V95" s="514">
        <v>0</v>
      </c>
      <c r="W95" s="514">
        <v>0</v>
      </c>
      <c r="X95" s="514">
        <v>0</v>
      </c>
      <c r="Y95" s="514">
        <v>0</v>
      </c>
    </row>
    <row r="96" spans="1:25">
      <c r="A96" s="512">
        <f t="shared" si="11"/>
        <v>20110629</v>
      </c>
      <c r="B96" s="516" t="s">
        <v>808</v>
      </c>
      <c r="C96" s="513" t="str">
        <f t="shared" si="12"/>
        <v>20110629GS3NM</v>
      </c>
      <c r="D96" s="513" t="s">
        <v>384</v>
      </c>
      <c r="E96" s="513" t="str">
        <f t="shared" si="13"/>
        <v>20110629LGCME657</v>
      </c>
      <c r="F96" s="514">
        <v>32.5</v>
      </c>
      <c r="G96" s="515">
        <v>8.208E-2</v>
      </c>
      <c r="H96" s="515">
        <v>0</v>
      </c>
      <c r="I96" s="515">
        <v>0</v>
      </c>
      <c r="J96" s="515">
        <v>0</v>
      </c>
      <c r="K96" s="515">
        <v>8.0000000000000004E-4</v>
      </c>
      <c r="L96" s="515">
        <v>2.215E-2</v>
      </c>
      <c r="M96" s="515">
        <v>5.9130000000000002E-2</v>
      </c>
      <c r="N96" s="515">
        <f t="shared" si="10"/>
        <v>0</v>
      </c>
      <c r="O96" s="515">
        <f t="shared" si="10"/>
        <v>0</v>
      </c>
      <c r="P96" s="515">
        <f t="shared" si="10"/>
        <v>0</v>
      </c>
      <c r="Q96" s="514">
        <v>0</v>
      </c>
      <c r="R96" s="514">
        <v>0</v>
      </c>
      <c r="S96" s="514">
        <v>0</v>
      </c>
      <c r="T96" s="514">
        <v>0</v>
      </c>
      <c r="U96" s="514">
        <v>0</v>
      </c>
      <c r="V96" s="514">
        <v>0</v>
      </c>
      <c r="W96" s="514">
        <v>0</v>
      </c>
      <c r="X96" s="514">
        <v>0</v>
      </c>
      <c r="Y96" s="514">
        <v>0</v>
      </c>
    </row>
    <row r="97" spans="1:25">
      <c r="A97" s="512">
        <f t="shared" si="11"/>
        <v>20110629</v>
      </c>
      <c r="B97" s="516" t="s">
        <v>807</v>
      </c>
      <c r="C97" s="513" t="str">
        <f t="shared" si="12"/>
        <v>20110629GS3SH</v>
      </c>
      <c r="D97" s="513" t="s">
        <v>382</v>
      </c>
      <c r="E97" s="513" t="str">
        <f t="shared" si="13"/>
        <v>20110629LGCME652</v>
      </c>
      <c r="F97" s="514">
        <v>0</v>
      </c>
      <c r="G97" s="515">
        <f>$G$88</f>
        <v>8.208E-2</v>
      </c>
      <c r="H97" s="515">
        <v>0</v>
      </c>
      <c r="I97" s="515">
        <v>0</v>
      </c>
      <c r="J97" s="515">
        <v>0</v>
      </c>
      <c r="K97" s="515">
        <v>8.0000000000000004E-4</v>
      </c>
      <c r="L97" s="515">
        <v>2.215E-2</v>
      </c>
      <c r="M97" s="515">
        <v>5.9130000000000002E-2</v>
      </c>
      <c r="N97" s="515">
        <f t="shared" si="10"/>
        <v>0</v>
      </c>
      <c r="O97" s="515">
        <f t="shared" si="10"/>
        <v>0</v>
      </c>
      <c r="P97" s="515">
        <f t="shared" si="10"/>
        <v>0</v>
      </c>
      <c r="Q97" s="514">
        <v>0</v>
      </c>
      <c r="R97" s="514">
        <v>0</v>
      </c>
      <c r="S97" s="514">
        <v>0</v>
      </c>
      <c r="T97" s="514">
        <v>0</v>
      </c>
      <c r="U97" s="514">
        <v>0</v>
      </c>
      <c r="V97" s="514">
        <v>0</v>
      </c>
      <c r="W97" s="514">
        <v>0</v>
      </c>
      <c r="X97" s="514">
        <v>0</v>
      </c>
      <c r="Y97" s="514">
        <v>0</v>
      </c>
    </row>
    <row r="98" spans="1:25">
      <c r="A98" s="512">
        <f t="shared" si="11"/>
        <v>20110629</v>
      </c>
      <c r="B98" s="513" t="s">
        <v>676</v>
      </c>
      <c r="C98" s="513" t="str">
        <f t="shared" si="12"/>
        <v>20110629G3RP</v>
      </c>
      <c r="D98" s="516" t="s">
        <v>383</v>
      </c>
      <c r="E98" s="513" t="str">
        <f t="shared" si="13"/>
        <v>20110629LGCME656</v>
      </c>
      <c r="F98" s="514">
        <v>42.5</v>
      </c>
      <c r="G98" s="515">
        <v>5.806E-2</v>
      </c>
      <c r="H98" s="515">
        <v>7.3889999999999997E-2</v>
      </c>
      <c r="I98" s="515">
        <v>0.15290999999999999</v>
      </c>
      <c r="J98" s="515">
        <v>0.32940000000000003</v>
      </c>
      <c r="K98" s="515">
        <v>8.0000000000000004E-4</v>
      </c>
      <c r="L98" s="515">
        <v>2.215E-2</v>
      </c>
      <c r="M98" s="515">
        <v>3.5110000000000002E-2</v>
      </c>
      <c r="N98" s="515">
        <v>5.0939999999999999E-2</v>
      </c>
      <c r="O98" s="515">
        <v>0.12995999999999999</v>
      </c>
      <c r="P98" s="515">
        <v>0.30645</v>
      </c>
      <c r="Q98" s="514">
        <v>0</v>
      </c>
      <c r="R98" s="514">
        <v>0</v>
      </c>
      <c r="S98" s="514">
        <v>0</v>
      </c>
      <c r="T98" s="514">
        <v>0</v>
      </c>
      <c r="U98" s="514">
        <v>0</v>
      </c>
      <c r="V98" s="514">
        <v>0</v>
      </c>
      <c r="W98" s="514">
        <v>0</v>
      </c>
      <c r="X98" s="514">
        <v>0</v>
      </c>
      <c r="Y98" s="514">
        <v>0</v>
      </c>
    </row>
    <row r="99" spans="1:25">
      <c r="A99" s="512">
        <f t="shared" si="11"/>
        <v>20110629</v>
      </c>
      <c r="B99" s="513" t="s">
        <v>20</v>
      </c>
      <c r="C99" s="513" t="str">
        <f t="shared" si="12"/>
        <v>20110629PSS</v>
      </c>
      <c r="D99" s="513" t="s">
        <v>375</v>
      </c>
      <c r="E99" s="513" t="str">
        <f t="shared" si="13"/>
        <v>20110629LGCME561</v>
      </c>
      <c r="F99" s="514">
        <v>90</v>
      </c>
      <c r="G99" s="515">
        <v>3.4209999999999997E-2</v>
      </c>
      <c r="H99" s="515">
        <v>0</v>
      </c>
      <c r="I99" s="515">
        <v>0</v>
      </c>
      <c r="J99" s="515">
        <v>0</v>
      </c>
      <c r="K99" s="515">
        <v>0</v>
      </c>
      <c r="L99" s="515">
        <f>$L$84</f>
        <v>2.215E-2</v>
      </c>
      <c r="M99" s="515">
        <f>G99-K99-L99</f>
        <v>1.2059999999999998E-2</v>
      </c>
      <c r="N99" s="515">
        <f t="shared" si="10"/>
        <v>0</v>
      </c>
      <c r="O99" s="515">
        <f t="shared" si="10"/>
        <v>0</v>
      </c>
      <c r="P99" s="515">
        <f t="shared" si="10"/>
        <v>0</v>
      </c>
      <c r="Q99" s="514">
        <v>0</v>
      </c>
      <c r="R99" s="514">
        <v>13.07</v>
      </c>
      <c r="S99" s="514">
        <v>15.32</v>
      </c>
      <c r="T99" s="514"/>
      <c r="U99" s="514">
        <v>0.25</v>
      </c>
      <c r="V99" s="514"/>
      <c r="W99" s="514">
        <v>0</v>
      </c>
      <c r="X99" s="514">
        <v>12.82</v>
      </c>
      <c r="Y99" s="514">
        <v>15.07</v>
      </c>
    </row>
    <row r="100" spans="1:25">
      <c r="A100" s="512">
        <f t="shared" si="11"/>
        <v>20110629</v>
      </c>
      <c r="B100" s="513" t="s">
        <v>21</v>
      </c>
      <c r="C100" s="513" t="str">
        <f t="shared" si="12"/>
        <v>20110629PSP</v>
      </c>
      <c r="D100" s="513" t="s">
        <v>376</v>
      </c>
      <c r="E100" s="513" t="str">
        <f t="shared" si="13"/>
        <v>20110629LGCME563</v>
      </c>
      <c r="F100" s="514">
        <v>90</v>
      </c>
      <c r="G100" s="515">
        <v>3.4209999999999997E-2</v>
      </c>
      <c r="H100" s="515">
        <v>0</v>
      </c>
      <c r="I100" s="515">
        <v>0</v>
      </c>
      <c r="J100" s="515">
        <v>0</v>
      </c>
      <c r="K100" s="515">
        <v>0</v>
      </c>
      <c r="L100" s="515">
        <f>$L$84</f>
        <v>2.215E-2</v>
      </c>
      <c r="M100" s="515">
        <f>G100-K100-L100</f>
        <v>1.2059999999999998E-2</v>
      </c>
      <c r="N100" s="515">
        <f t="shared" si="10"/>
        <v>0</v>
      </c>
      <c r="O100" s="515">
        <f t="shared" si="10"/>
        <v>0</v>
      </c>
      <c r="P100" s="515">
        <f t="shared" si="10"/>
        <v>0</v>
      </c>
      <c r="Q100" s="514">
        <v>0</v>
      </c>
      <c r="R100" s="514">
        <v>11.24</v>
      </c>
      <c r="S100" s="514">
        <v>13.48</v>
      </c>
      <c r="T100" s="514"/>
      <c r="U100" s="514">
        <f>U99</f>
        <v>0.25</v>
      </c>
      <c r="V100" s="514"/>
      <c r="W100" s="514">
        <v>0</v>
      </c>
      <c r="X100" s="514">
        <v>10.99</v>
      </c>
      <c r="Y100" s="514">
        <v>13.23</v>
      </c>
    </row>
    <row r="101" spans="1:25">
      <c r="A101" s="512">
        <f t="shared" si="11"/>
        <v>20110629</v>
      </c>
      <c r="B101" s="513" t="s">
        <v>20</v>
      </c>
      <c r="C101" s="513" t="str">
        <f t="shared" si="12"/>
        <v>20110629PSS</v>
      </c>
      <c r="D101" s="516" t="s">
        <v>377</v>
      </c>
      <c r="E101" s="513" t="str">
        <f t="shared" si="13"/>
        <v>20110629LGCME567</v>
      </c>
      <c r="F101" s="514">
        <v>90</v>
      </c>
      <c r="G101" s="515">
        <v>3.4209999999999997E-2</v>
      </c>
      <c r="H101" s="515">
        <v>0</v>
      </c>
      <c r="I101" s="515">
        <v>0</v>
      </c>
      <c r="J101" s="515">
        <v>0</v>
      </c>
      <c r="K101" s="515">
        <v>0</v>
      </c>
      <c r="L101" s="515">
        <f>$L$84</f>
        <v>2.215E-2</v>
      </c>
      <c r="M101" s="515">
        <f>G101-K101-L101</f>
        <v>1.2059999999999998E-2</v>
      </c>
      <c r="N101" s="515">
        <f t="shared" si="10"/>
        <v>0</v>
      </c>
      <c r="O101" s="515">
        <f t="shared" si="10"/>
        <v>0</v>
      </c>
      <c r="P101" s="515">
        <f t="shared" si="10"/>
        <v>0</v>
      </c>
      <c r="Q101" s="514">
        <v>0</v>
      </c>
      <c r="R101" s="514">
        <f>$R99</f>
        <v>13.07</v>
      </c>
      <c r="S101" s="514">
        <f>$S99</f>
        <v>15.32</v>
      </c>
      <c r="T101" s="514"/>
      <c r="U101" s="514">
        <f>U99</f>
        <v>0.25</v>
      </c>
      <c r="V101" s="514"/>
      <c r="W101" s="514">
        <v>0</v>
      </c>
      <c r="X101" s="514">
        <v>12.82</v>
      </c>
      <c r="Y101" s="514">
        <v>15.07</v>
      </c>
    </row>
    <row r="102" spans="1:25">
      <c r="A102" s="512">
        <f t="shared" si="11"/>
        <v>20110629</v>
      </c>
      <c r="B102" s="513" t="s">
        <v>410</v>
      </c>
      <c r="C102" s="513" t="str">
        <f t="shared" si="12"/>
        <v>20110629CTODS</v>
      </c>
      <c r="D102" s="513" t="s">
        <v>378</v>
      </c>
      <c r="E102" s="513" t="str">
        <f t="shared" si="13"/>
        <v>20110629LGCME591</v>
      </c>
      <c r="F102" s="514">
        <v>200</v>
      </c>
      <c r="G102" s="515">
        <v>3.3829999999999999E-2</v>
      </c>
      <c r="H102" s="515">
        <v>0</v>
      </c>
      <c r="I102" s="515">
        <v>0</v>
      </c>
      <c r="J102" s="515">
        <v>0</v>
      </c>
      <c r="K102" s="515">
        <v>0</v>
      </c>
      <c r="L102" s="515">
        <f>$L$84</f>
        <v>2.215E-2</v>
      </c>
      <c r="M102" s="515">
        <f>G102-K102-L102</f>
        <v>1.1679999999999999E-2</v>
      </c>
      <c r="N102" s="515">
        <f t="shared" si="10"/>
        <v>0</v>
      </c>
      <c r="O102" s="515">
        <f t="shared" si="10"/>
        <v>0</v>
      </c>
      <c r="P102" s="515">
        <f t="shared" si="10"/>
        <v>0</v>
      </c>
      <c r="Q102" s="514">
        <v>3.79</v>
      </c>
      <c r="R102" s="514">
        <v>4.28</v>
      </c>
      <c r="S102" s="514">
        <v>5.81</v>
      </c>
      <c r="T102" s="514"/>
      <c r="U102" s="514">
        <v>0.14000000000000001</v>
      </c>
      <c r="V102" s="514"/>
      <c r="W102" s="514">
        <v>3.79</v>
      </c>
      <c r="X102" s="514">
        <v>4.1400000000000006</v>
      </c>
      <c r="Y102" s="514">
        <v>5.67</v>
      </c>
    </row>
    <row r="103" spans="1:25">
      <c r="A103" s="512">
        <f t="shared" si="11"/>
        <v>20110629</v>
      </c>
      <c r="B103" s="513" t="s">
        <v>409</v>
      </c>
      <c r="C103" s="513" t="str">
        <f t="shared" si="12"/>
        <v>20110629CTODP</v>
      </c>
      <c r="D103" s="513" t="s">
        <v>379</v>
      </c>
      <c r="E103" s="513" t="str">
        <f t="shared" si="13"/>
        <v>20110629LGCME593</v>
      </c>
      <c r="F103" s="514">
        <f>$F$102</f>
        <v>200</v>
      </c>
      <c r="G103" s="515">
        <v>3.3829999999999999E-2</v>
      </c>
      <c r="H103" s="515">
        <v>0</v>
      </c>
      <c r="I103" s="515">
        <v>0</v>
      </c>
      <c r="J103" s="515">
        <v>0</v>
      </c>
      <c r="K103" s="515">
        <v>0</v>
      </c>
      <c r="L103" s="515">
        <f>$L$84</f>
        <v>2.215E-2</v>
      </c>
      <c r="M103" s="515">
        <f>G103-K103-L103</f>
        <v>1.1679999999999999E-2</v>
      </c>
      <c r="N103" s="515">
        <f t="shared" si="10"/>
        <v>0</v>
      </c>
      <c r="O103" s="515">
        <f t="shared" si="10"/>
        <v>0</v>
      </c>
      <c r="P103" s="515">
        <f t="shared" si="10"/>
        <v>0</v>
      </c>
      <c r="Q103" s="514">
        <v>2.64</v>
      </c>
      <c r="R103" s="514">
        <v>4.2</v>
      </c>
      <c r="S103" s="514">
        <v>5.7</v>
      </c>
      <c r="T103" s="514"/>
      <c r="U103" s="514">
        <f>U102</f>
        <v>0.14000000000000001</v>
      </c>
      <c r="V103" s="514"/>
      <c r="W103" s="514">
        <v>2.64</v>
      </c>
      <c r="X103" s="514">
        <v>4.0600000000000005</v>
      </c>
      <c r="Y103" s="514">
        <v>5.5600000000000005</v>
      </c>
    </row>
    <row r="104" spans="1:25">
      <c r="A104" s="512">
        <f t="shared" si="11"/>
        <v>20110629</v>
      </c>
      <c r="B104" s="513" t="s">
        <v>20</v>
      </c>
      <c r="C104" s="513" t="str">
        <f t="shared" si="12"/>
        <v>20110629PSS</v>
      </c>
      <c r="D104" s="513" t="s">
        <v>389</v>
      </c>
      <c r="E104" s="513" t="str">
        <f t="shared" si="13"/>
        <v>20110629LGINE661</v>
      </c>
      <c r="F104" s="514">
        <v>90</v>
      </c>
      <c r="G104" s="549">
        <f>SUM(K104:M104)</f>
        <v>3.4210000000000004E-2</v>
      </c>
      <c r="H104" s="515">
        <v>0</v>
      </c>
      <c r="I104" s="515">
        <v>0</v>
      </c>
      <c r="J104" s="515">
        <v>0</v>
      </c>
      <c r="K104" s="515">
        <v>0</v>
      </c>
      <c r="L104" s="549">
        <v>2.215E-2</v>
      </c>
      <c r="M104" s="515">
        <v>1.2060000000000001E-2</v>
      </c>
      <c r="N104" s="515">
        <f t="shared" si="10"/>
        <v>0</v>
      </c>
      <c r="O104" s="515">
        <f t="shared" si="10"/>
        <v>0</v>
      </c>
      <c r="P104" s="515">
        <f t="shared" si="10"/>
        <v>0</v>
      </c>
      <c r="Q104" s="514">
        <v>0</v>
      </c>
      <c r="R104" s="514">
        <v>13.07</v>
      </c>
      <c r="S104" s="514">
        <v>15.32</v>
      </c>
      <c r="T104" s="514">
        <v>0</v>
      </c>
      <c r="U104" s="514">
        <v>0.25</v>
      </c>
      <c r="V104" s="514">
        <v>0.25</v>
      </c>
      <c r="W104" s="514">
        <v>0</v>
      </c>
      <c r="X104" s="514">
        <v>12.82</v>
      </c>
      <c r="Y104" s="514">
        <v>15.07</v>
      </c>
    </row>
    <row r="105" spans="1:25">
      <c r="A105" s="512">
        <f t="shared" si="11"/>
        <v>20110629</v>
      </c>
      <c r="B105" s="513" t="s">
        <v>21</v>
      </c>
      <c r="C105" s="513" t="str">
        <f t="shared" si="12"/>
        <v>20110629PSP</v>
      </c>
      <c r="D105" s="513" t="s">
        <v>390</v>
      </c>
      <c r="E105" s="513" t="str">
        <f t="shared" si="13"/>
        <v>20110629LGINE663</v>
      </c>
      <c r="F105" s="514">
        <v>90</v>
      </c>
      <c r="G105" s="549">
        <f>SUM(K105:M105)</f>
        <v>3.4210000000000004E-2</v>
      </c>
      <c r="H105" s="515">
        <v>0</v>
      </c>
      <c r="I105" s="515">
        <v>0</v>
      </c>
      <c r="J105" s="515">
        <v>0</v>
      </c>
      <c r="K105" s="515">
        <v>0</v>
      </c>
      <c r="L105" s="549">
        <v>2.215E-2</v>
      </c>
      <c r="M105" s="515">
        <v>1.2060000000000001E-2</v>
      </c>
      <c r="N105" s="515">
        <f t="shared" si="10"/>
        <v>0</v>
      </c>
      <c r="O105" s="515">
        <f t="shared" si="10"/>
        <v>0</v>
      </c>
      <c r="P105" s="515">
        <f t="shared" si="10"/>
        <v>0</v>
      </c>
      <c r="Q105" s="514">
        <v>0</v>
      </c>
      <c r="R105" s="514">
        <v>11.24</v>
      </c>
      <c r="S105" s="514">
        <v>13.48</v>
      </c>
      <c r="T105" s="514">
        <v>0</v>
      </c>
      <c r="U105" s="514">
        <v>0.25</v>
      </c>
      <c r="V105" s="514">
        <v>0.25</v>
      </c>
      <c r="W105" s="514">
        <v>0</v>
      </c>
      <c r="X105" s="514">
        <v>10.99</v>
      </c>
      <c r="Y105" s="514">
        <v>13.23</v>
      </c>
    </row>
    <row r="106" spans="1:25">
      <c r="A106" s="512">
        <f t="shared" si="11"/>
        <v>20110629</v>
      </c>
      <c r="B106" s="513" t="s">
        <v>422</v>
      </c>
      <c r="C106" s="513" t="str">
        <f t="shared" si="12"/>
        <v>20110629ITODS</v>
      </c>
      <c r="D106" s="513" t="s">
        <v>391</v>
      </c>
      <c r="E106" s="513" t="str">
        <f t="shared" si="13"/>
        <v>20110629LGINE691</v>
      </c>
      <c r="F106" s="514">
        <v>300</v>
      </c>
      <c r="G106" s="515">
        <v>2.9839999999999998E-2</v>
      </c>
      <c r="H106" s="515">
        <v>0</v>
      </c>
      <c r="I106" s="515">
        <v>0</v>
      </c>
      <c r="J106" s="515">
        <v>0</v>
      </c>
      <c r="K106" s="515">
        <v>0</v>
      </c>
      <c r="L106" s="515">
        <v>2.215E-2</v>
      </c>
      <c r="M106" s="515">
        <v>7.6899999999999989E-3</v>
      </c>
      <c r="N106" s="515">
        <f t="shared" si="10"/>
        <v>0</v>
      </c>
      <c r="O106" s="515">
        <f t="shared" si="10"/>
        <v>0</v>
      </c>
      <c r="P106" s="515">
        <f t="shared" si="10"/>
        <v>0</v>
      </c>
      <c r="Q106" s="514">
        <v>5.48</v>
      </c>
      <c r="R106" s="514">
        <v>3.7</v>
      </c>
      <c r="S106" s="514">
        <v>5.2</v>
      </c>
      <c r="T106" s="514">
        <v>0.12</v>
      </c>
      <c r="U106" s="514">
        <v>0.12</v>
      </c>
      <c r="V106" s="514">
        <v>0.12</v>
      </c>
      <c r="W106" s="514">
        <v>5.36</v>
      </c>
      <c r="X106" s="514">
        <v>3.58</v>
      </c>
      <c r="Y106" s="514">
        <v>5.08</v>
      </c>
    </row>
    <row r="107" spans="1:25">
      <c r="A107" s="512">
        <f t="shared" si="11"/>
        <v>20110629</v>
      </c>
      <c r="B107" s="513" t="s">
        <v>421</v>
      </c>
      <c r="C107" s="513" t="str">
        <f t="shared" si="12"/>
        <v>20110629ITODP</v>
      </c>
      <c r="D107" s="513" t="s">
        <v>392</v>
      </c>
      <c r="E107" s="513" t="str">
        <f t="shared" si="13"/>
        <v>20110629LGINE693</v>
      </c>
      <c r="F107" s="514">
        <f>$F$106</f>
        <v>300</v>
      </c>
      <c r="G107" s="515">
        <v>2.9839999999999998E-2</v>
      </c>
      <c r="H107" s="515">
        <v>0</v>
      </c>
      <c r="I107" s="515">
        <v>0</v>
      </c>
      <c r="J107" s="515">
        <v>0</v>
      </c>
      <c r="K107" s="515">
        <v>0</v>
      </c>
      <c r="L107" s="515">
        <v>2.215E-2</v>
      </c>
      <c r="M107" s="515">
        <v>7.6899999999999989E-3</v>
      </c>
      <c r="N107" s="515">
        <f t="shared" si="10"/>
        <v>0</v>
      </c>
      <c r="O107" s="515">
        <f t="shared" si="10"/>
        <v>0</v>
      </c>
      <c r="P107" s="515">
        <f t="shared" si="10"/>
        <v>0</v>
      </c>
      <c r="Q107" s="514">
        <v>4.16</v>
      </c>
      <c r="R107" s="514">
        <v>7.31</v>
      </c>
      <c r="S107" s="514">
        <v>10.11</v>
      </c>
      <c r="T107" s="514">
        <v>0.12</v>
      </c>
      <c r="U107" s="514">
        <f>U106</f>
        <v>0.12</v>
      </c>
      <c r="V107" s="514">
        <v>0.12</v>
      </c>
      <c r="W107" s="514">
        <v>4.04</v>
      </c>
      <c r="X107" s="514">
        <v>7.1899999999999995</v>
      </c>
      <c r="Y107" s="514">
        <v>9.99</v>
      </c>
    </row>
    <row r="108" spans="1:25">
      <c r="A108" s="512">
        <f t="shared" si="11"/>
        <v>20110629</v>
      </c>
      <c r="B108" s="513" t="s">
        <v>421</v>
      </c>
      <c r="C108" s="513" t="str">
        <f t="shared" si="12"/>
        <v>20110629ITODP</v>
      </c>
      <c r="D108" s="513" t="s">
        <v>393</v>
      </c>
      <c r="E108" s="513" t="str">
        <f t="shared" si="13"/>
        <v>20110629LGINE694</v>
      </c>
      <c r="F108" s="514">
        <f>$F$106</f>
        <v>300</v>
      </c>
      <c r="G108" s="515">
        <v>2.9839999999999998E-2</v>
      </c>
      <c r="H108" s="515">
        <v>0</v>
      </c>
      <c r="I108" s="515">
        <v>0</v>
      </c>
      <c r="J108" s="515">
        <v>0</v>
      </c>
      <c r="K108" s="515">
        <v>0</v>
      </c>
      <c r="L108" s="515">
        <v>2.215E-2</v>
      </c>
      <c r="M108" s="515">
        <v>7.6899999999999989E-3</v>
      </c>
      <c r="N108" s="515">
        <f t="shared" si="10"/>
        <v>0</v>
      </c>
      <c r="O108" s="515">
        <f t="shared" si="10"/>
        <v>0</v>
      </c>
      <c r="P108" s="515">
        <f t="shared" si="10"/>
        <v>0</v>
      </c>
      <c r="Q108" s="514">
        <v>4.16</v>
      </c>
      <c r="R108" s="514">
        <v>7.31</v>
      </c>
      <c r="S108" s="514">
        <v>10.11</v>
      </c>
      <c r="T108" s="514">
        <v>0.12</v>
      </c>
      <c r="U108" s="514">
        <f>U107</f>
        <v>0.12</v>
      </c>
      <c r="V108" s="514">
        <v>0.12</v>
      </c>
      <c r="W108" s="514">
        <v>4.04</v>
      </c>
      <c r="X108" s="514">
        <v>7.1899999999999995</v>
      </c>
      <c r="Y108" s="514">
        <v>9.99</v>
      </c>
    </row>
    <row r="109" spans="1:25">
      <c r="A109" s="512">
        <f t="shared" si="11"/>
        <v>20110629</v>
      </c>
      <c r="B109" s="513" t="s">
        <v>15</v>
      </c>
      <c r="C109" s="513" t="str">
        <f t="shared" si="12"/>
        <v>20110629RTS</v>
      </c>
      <c r="D109" s="513" t="s">
        <v>388</v>
      </c>
      <c r="E109" s="513" t="str">
        <f t="shared" si="13"/>
        <v>20110629LGINE643</v>
      </c>
      <c r="F109" s="514">
        <v>500</v>
      </c>
      <c r="G109" s="515">
        <f>$G$106</f>
        <v>2.9839999999999998E-2</v>
      </c>
      <c r="H109" s="515">
        <v>0</v>
      </c>
      <c r="I109" s="515">
        <v>0</v>
      </c>
      <c r="J109" s="515">
        <v>0</v>
      </c>
      <c r="K109" s="515">
        <v>0</v>
      </c>
      <c r="L109" s="515">
        <f>$L$84</f>
        <v>2.215E-2</v>
      </c>
      <c r="M109" s="515">
        <f>G109-K109-L109</f>
        <v>7.6899999999999989E-3</v>
      </c>
      <c r="N109" s="515">
        <f t="shared" si="10"/>
        <v>0</v>
      </c>
      <c r="O109" s="515">
        <f t="shared" si="10"/>
        <v>0</v>
      </c>
      <c r="P109" s="515">
        <f t="shared" si="10"/>
        <v>0</v>
      </c>
      <c r="Q109" s="514">
        <v>2.61</v>
      </c>
      <c r="R109" s="514">
        <v>2.86</v>
      </c>
      <c r="S109" s="514">
        <v>4.3600000000000003</v>
      </c>
      <c r="T109" s="514">
        <v>0.11</v>
      </c>
      <c r="U109" s="514">
        <v>0.11</v>
      </c>
      <c r="V109" s="514">
        <v>0.11</v>
      </c>
      <c r="W109" s="514">
        <v>2.5</v>
      </c>
      <c r="X109" s="514">
        <v>2.75</v>
      </c>
      <c r="Y109" s="514">
        <v>4.25</v>
      </c>
    </row>
    <row r="110" spans="1:25">
      <c r="A110" s="512">
        <f t="shared" si="11"/>
        <v>20110629</v>
      </c>
      <c r="B110" s="513" t="s">
        <v>22</v>
      </c>
      <c r="C110" s="513" t="str">
        <f t="shared" si="12"/>
        <v>20110629FLSP</v>
      </c>
      <c r="D110" s="513" t="s">
        <v>22</v>
      </c>
      <c r="E110" s="513" t="str">
        <f t="shared" si="13"/>
        <v>20110629FLSP</v>
      </c>
      <c r="F110" s="514">
        <v>500</v>
      </c>
      <c r="G110" s="515">
        <v>3.7100000000000001E-2</v>
      </c>
      <c r="H110" s="515">
        <v>0</v>
      </c>
      <c r="I110" s="515">
        <v>0</v>
      </c>
      <c r="J110" s="515">
        <v>0</v>
      </c>
      <c r="K110" s="515">
        <v>0</v>
      </c>
      <c r="L110" s="515">
        <f>$L$84</f>
        <v>2.215E-2</v>
      </c>
      <c r="M110" s="515">
        <f>G110-K110-L110</f>
        <v>1.4950000000000001E-2</v>
      </c>
      <c r="N110" s="515">
        <f t="shared" si="10"/>
        <v>0</v>
      </c>
      <c r="O110" s="515">
        <f t="shared" si="10"/>
        <v>0</v>
      </c>
      <c r="P110" s="515">
        <f t="shared" si="10"/>
        <v>0</v>
      </c>
      <c r="Q110" s="514">
        <v>1.75</v>
      </c>
      <c r="R110" s="514">
        <v>1.75</v>
      </c>
      <c r="S110" s="514">
        <v>2.75</v>
      </c>
      <c r="T110" s="514">
        <v>0.11</v>
      </c>
      <c r="U110" s="514">
        <v>0.11</v>
      </c>
      <c r="V110" s="514">
        <v>0.11</v>
      </c>
      <c r="W110" s="514" t="e">
        <f>#REF!-T110</f>
        <v>#REF!</v>
      </c>
      <c r="X110" s="514" t="e">
        <f>#REF!-U110</f>
        <v>#REF!</v>
      </c>
      <c r="Y110" s="514" t="e">
        <f>#REF!-U110</f>
        <v>#REF!</v>
      </c>
    </row>
    <row r="111" spans="1:25">
      <c r="A111" s="512">
        <f t="shared" si="11"/>
        <v>20110629</v>
      </c>
      <c r="B111" s="513" t="s">
        <v>23</v>
      </c>
      <c r="C111" s="513" t="str">
        <f t="shared" si="12"/>
        <v>20110629FLST</v>
      </c>
      <c r="D111" s="513" t="s">
        <v>23</v>
      </c>
      <c r="E111" s="513" t="str">
        <f t="shared" si="13"/>
        <v>20110629FLST</v>
      </c>
      <c r="F111" s="514">
        <v>500</v>
      </c>
      <c r="G111" s="515">
        <v>3.4279999999999998E-2</v>
      </c>
      <c r="H111" s="515">
        <v>0</v>
      </c>
      <c r="I111" s="515">
        <v>0</v>
      </c>
      <c r="J111" s="515">
        <v>0</v>
      </c>
      <c r="K111" s="515">
        <v>0</v>
      </c>
      <c r="L111" s="515">
        <f>$L$84</f>
        <v>2.215E-2</v>
      </c>
      <c r="M111" s="515">
        <f>G111-K111-L111</f>
        <v>1.2129999999999998E-2</v>
      </c>
      <c r="N111" s="515">
        <f t="shared" si="10"/>
        <v>0</v>
      </c>
      <c r="O111" s="515">
        <f t="shared" si="10"/>
        <v>0</v>
      </c>
      <c r="P111" s="515">
        <f t="shared" si="10"/>
        <v>0</v>
      </c>
      <c r="Q111" s="514">
        <v>1</v>
      </c>
      <c r="R111" s="514">
        <v>1.75</v>
      </c>
      <c r="S111" s="514">
        <v>2.75</v>
      </c>
      <c r="T111" s="514">
        <f>T110</f>
        <v>0.11</v>
      </c>
      <c r="U111" s="514">
        <f>U110</f>
        <v>0.11</v>
      </c>
      <c r="V111" s="514">
        <f>V110</f>
        <v>0.11</v>
      </c>
      <c r="W111" s="514" t="e">
        <f>#REF!-T111</f>
        <v>#REF!</v>
      </c>
      <c r="X111" s="514" t="e">
        <f>#REF!-U111</f>
        <v>#REF!</v>
      </c>
      <c r="Y111" s="514" t="e">
        <f>#REF!-U111</f>
        <v>#REF!</v>
      </c>
    </row>
    <row r="112" spans="1:25">
      <c r="A112" s="512">
        <f t="shared" si="11"/>
        <v>20110629</v>
      </c>
      <c r="B112" s="513" t="s">
        <v>17</v>
      </c>
      <c r="C112" s="513" t="str">
        <f t="shared" si="12"/>
        <v>20110629LE</v>
      </c>
      <c r="D112" s="513" t="s">
        <v>394</v>
      </c>
      <c r="E112" s="513" t="str">
        <f t="shared" si="13"/>
        <v>20110629LGMLE570</v>
      </c>
      <c r="F112" s="514">
        <v>0</v>
      </c>
      <c r="G112" s="515">
        <v>5.6219999999999999E-2</v>
      </c>
      <c r="H112" s="515">
        <v>0</v>
      </c>
      <c r="I112" s="515">
        <v>0</v>
      </c>
      <c r="J112" s="515">
        <v>0</v>
      </c>
      <c r="K112" s="515">
        <v>5.1000000000000004E-4</v>
      </c>
      <c r="L112" s="515">
        <v>2.215E-2</v>
      </c>
      <c r="M112" s="515">
        <v>3.3559999999999993E-2</v>
      </c>
      <c r="N112" s="515">
        <f t="shared" si="10"/>
        <v>0</v>
      </c>
      <c r="O112" s="515">
        <f t="shared" si="10"/>
        <v>0</v>
      </c>
      <c r="P112" s="515">
        <f t="shared" si="10"/>
        <v>0</v>
      </c>
      <c r="Q112" s="514">
        <v>0</v>
      </c>
      <c r="R112" s="514">
        <v>0</v>
      </c>
      <c r="S112" s="514">
        <v>0</v>
      </c>
      <c r="T112" s="514">
        <v>0</v>
      </c>
      <c r="U112" s="514">
        <v>0</v>
      </c>
      <c r="V112" s="514">
        <v>0</v>
      </c>
      <c r="W112" s="514">
        <v>0</v>
      </c>
      <c r="X112" s="514">
        <v>0</v>
      </c>
      <c r="Y112" s="514">
        <v>0</v>
      </c>
    </row>
    <row r="113" spans="1:25">
      <c r="A113" s="512">
        <f t="shared" si="11"/>
        <v>20110629</v>
      </c>
      <c r="B113" s="513" t="s">
        <v>17</v>
      </c>
      <c r="C113" s="513" t="str">
        <f t="shared" si="12"/>
        <v>20110629LE</v>
      </c>
      <c r="D113" s="513" t="s">
        <v>395</v>
      </c>
      <c r="E113" s="513" t="str">
        <f t="shared" si="13"/>
        <v>20110629LGMLE571</v>
      </c>
      <c r="F113" s="514">
        <v>0</v>
      </c>
      <c r="G113" s="515">
        <v>5.6219999999999999E-2</v>
      </c>
      <c r="H113" s="515">
        <v>0</v>
      </c>
      <c r="I113" s="515">
        <v>0</v>
      </c>
      <c r="J113" s="515">
        <v>0</v>
      </c>
      <c r="K113" s="515">
        <v>5.1000000000000004E-4</v>
      </c>
      <c r="L113" s="515">
        <v>2.215E-2</v>
      </c>
      <c r="M113" s="515">
        <v>3.3559999999999993E-2</v>
      </c>
      <c r="N113" s="515">
        <f t="shared" si="10"/>
        <v>0</v>
      </c>
      <c r="O113" s="515">
        <f t="shared" si="10"/>
        <v>0</v>
      </c>
      <c r="P113" s="515">
        <f t="shared" si="10"/>
        <v>0</v>
      </c>
      <c r="Q113" s="514">
        <v>0</v>
      </c>
      <c r="R113" s="514">
        <v>0</v>
      </c>
      <c r="S113" s="514">
        <v>0</v>
      </c>
      <c r="T113" s="514">
        <v>0</v>
      </c>
      <c r="U113" s="514">
        <v>0</v>
      </c>
      <c r="V113" s="514">
        <v>0</v>
      </c>
      <c r="W113" s="514">
        <v>0</v>
      </c>
      <c r="X113" s="514">
        <v>0</v>
      </c>
      <c r="Y113" s="514">
        <v>0</v>
      </c>
    </row>
    <row r="114" spans="1:25">
      <c r="A114" s="512">
        <f t="shared" si="11"/>
        <v>20110629</v>
      </c>
      <c r="B114" s="513" t="s">
        <v>17</v>
      </c>
      <c r="C114" s="513" t="str">
        <f t="shared" si="12"/>
        <v>20110629LE</v>
      </c>
      <c r="D114" s="513" t="s">
        <v>396</v>
      </c>
      <c r="E114" s="513" t="str">
        <f t="shared" si="13"/>
        <v>20110629LGMLE572</v>
      </c>
      <c r="F114" s="514">
        <v>0</v>
      </c>
      <c r="G114" s="515">
        <v>5.6219999999999999E-2</v>
      </c>
      <c r="H114" s="515">
        <v>0</v>
      </c>
      <c r="I114" s="515">
        <v>0</v>
      </c>
      <c r="J114" s="515">
        <v>0</v>
      </c>
      <c r="K114" s="515">
        <v>5.1000000000000004E-4</v>
      </c>
      <c r="L114" s="515">
        <v>2.215E-2</v>
      </c>
      <c r="M114" s="515">
        <v>3.3559999999999993E-2</v>
      </c>
      <c r="N114" s="515">
        <f t="shared" si="10"/>
        <v>0</v>
      </c>
      <c r="O114" s="515">
        <f t="shared" si="10"/>
        <v>0</v>
      </c>
      <c r="P114" s="515">
        <f t="shared" si="10"/>
        <v>0</v>
      </c>
      <c r="Q114" s="514">
        <v>0</v>
      </c>
      <c r="R114" s="514">
        <v>0</v>
      </c>
      <c r="S114" s="514">
        <v>0</v>
      </c>
      <c r="T114" s="514">
        <v>0</v>
      </c>
      <c r="U114" s="514">
        <v>0</v>
      </c>
      <c r="V114" s="514">
        <v>0</v>
      </c>
      <c r="W114" s="514">
        <v>0</v>
      </c>
      <c r="X114" s="514">
        <v>0</v>
      </c>
      <c r="Y114" s="514">
        <v>0</v>
      </c>
    </row>
    <row r="115" spans="1:25">
      <c r="A115" s="512">
        <f t="shared" si="11"/>
        <v>20110629</v>
      </c>
      <c r="B115" s="513" t="s">
        <v>18</v>
      </c>
      <c r="C115" s="513" t="str">
        <f t="shared" si="12"/>
        <v>20110629TE</v>
      </c>
      <c r="D115" s="513" t="s">
        <v>397</v>
      </c>
      <c r="E115" s="513" t="str">
        <f t="shared" si="13"/>
        <v>20110629LGMLE573</v>
      </c>
      <c r="F115" s="514">
        <v>3.14</v>
      </c>
      <c r="G115" s="515">
        <v>6.7799999999999999E-2</v>
      </c>
      <c r="H115" s="515">
        <v>0</v>
      </c>
      <c r="I115" s="515">
        <v>0</v>
      </c>
      <c r="J115" s="515">
        <v>0</v>
      </c>
      <c r="K115" s="515">
        <v>5.1000000000000004E-4</v>
      </c>
      <c r="L115" s="515">
        <v>2.215E-2</v>
      </c>
      <c r="M115" s="515">
        <v>4.514E-2</v>
      </c>
      <c r="N115" s="515">
        <f t="shared" si="10"/>
        <v>0</v>
      </c>
      <c r="O115" s="515">
        <f t="shared" si="10"/>
        <v>0</v>
      </c>
      <c r="P115" s="515">
        <f t="shared" si="10"/>
        <v>0</v>
      </c>
      <c r="Q115" s="514">
        <v>0</v>
      </c>
      <c r="R115" s="514">
        <v>0</v>
      </c>
      <c r="S115" s="514">
        <v>0</v>
      </c>
      <c r="T115" s="514">
        <v>0</v>
      </c>
      <c r="U115" s="514">
        <v>0</v>
      </c>
      <c r="V115" s="514">
        <v>0</v>
      </c>
      <c r="W115" s="514">
        <v>0</v>
      </c>
      <c r="X115" s="514">
        <v>0</v>
      </c>
      <c r="Y115" s="514">
        <v>0</v>
      </c>
    </row>
    <row r="116" spans="1:25">
      <c r="A116" s="512">
        <f t="shared" si="11"/>
        <v>20110629</v>
      </c>
      <c r="B116" s="513" t="s">
        <v>18</v>
      </c>
      <c r="C116" s="513" t="str">
        <f t="shared" si="12"/>
        <v>20110629TE</v>
      </c>
      <c r="D116" s="513" t="s">
        <v>398</v>
      </c>
      <c r="E116" s="513" t="str">
        <f t="shared" si="13"/>
        <v>20110629LGMLE574</v>
      </c>
      <c r="F116" s="514">
        <f>$F$115</f>
        <v>3.14</v>
      </c>
      <c r="G116" s="515">
        <v>6.7799999999999999E-2</v>
      </c>
      <c r="H116" s="515">
        <v>0</v>
      </c>
      <c r="I116" s="515">
        <v>0</v>
      </c>
      <c r="J116" s="515">
        <v>0</v>
      </c>
      <c r="K116" s="515">
        <v>5.1000000000000004E-4</v>
      </c>
      <c r="L116" s="515">
        <v>2.215E-2</v>
      </c>
      <c r="M116" s="515">
        <v>4.514E-2</v>
      </c>
      <c r="N116" s="515">
        <f t="shared" si="10"/>
        <v>0</v>
      </c>
      <c r="O116" s="515">
        <f t="shared" si="10"/>
        <v>0</v>
      </c>
      <c r="P116" s="515">
        <f t="shared" si="10"/>
        <v>0</v>
      </c>
      <c r="Q116" s="514">
        <v>0</v>
      </c>
      <c r="R116" s="514">
        <v>0</v>
      </c>
      <c r="S116" s="514">
        <v>0</v>
      </c>
      <c r="T116" s="514">
        <v>0</v>
      </c>
      <c r="U116" s="514">
        <v>0</v>
      </c>
      <c r="V116" s="514">
        <v>0</v>
      </c>
      <c r="W116" s="514">
        <v>0</v>
      </c>
      <c r="X116" s="514">
        <v>0</v>
      </c>
      <c r="Y116" s="514">
        <v>0</v>
      </c>
    </row>
    <row r="117" spans="1:25">
      <c r="A117" s="512">
        <f t="shared" si="11"/>
        <v>20110629</v>
      </c>
      <c r="B117" s="513" t="s">
        <v>412</v>
      </c>
      <c r="C117" s="513" t="str">
        <f t="shared" si="12"/>
        <v>20110629FK</v>
      </c>
      <c r="D117" s="513" t="s">
        <v>387</v>
      </c>
      <c r="E117" s="513" t="str">
        <f t="shared" si="13"/>
        <v>20110629LGINE599</v>
      </c>
      <c r="F117" s="514">
        <v>0</v>
      </c>
      <c r="G117" s="515">
        <v>3.04E-2</v>
      </c>
      <c r="H117" s="515">
        <v>0</v>
      </c>
      <c r="I117" s="515">
        <v>0</v>
      </c>
      <c r="J117" s="515">
        <v>0</v>
      </c>
      <c r="K117" s="515">
        <v>0</v>
      </c>
      <c r="L117" s="515">
        <v>2.215E-2</v>
      </c>
      <c r="M117" s="515">
        <v>8.2500000000000004E-3</v>
      </c>
      <c r="N117" s="515">
        <f t="shared" si="10"/>
        <v>0</v>
      </c>
      <c r="O117" s="515">
        <f t="shared" si="10"/>
        <v>0</v>
      </c>
      <c r="P117" s="515">
        <f t="shared" si="10"/>
        <v>0</v>
      </c>
      <c r="Q117" s="514">
        <v>0</v>
      </c>
      <c r="R117" s="514">
        <v>11.63</v>
      </c>
      <c r="S117" s="514">
        <v>13.82</v>
      </c>
      <c r="T117" s="514"/>
      <c r="U117" s="514">
        <v>0.24</v>
      </c>
      <c r="V117" s="514">
        <v>0.24</v>
      </c>
      <c r="W117" s="514">
        <v>0</v>
      </c>
      <c r="X117" s="514">
        <v>11.39</v>
      </c>
      <c r="Y117" s="514">
        <v>13.58</v>
      </c>
    </row>
    <row r="118" spans="1:25">
      <c r="A118" s="512">
        <f t="shared" si="11"/>
        <v>20110629</v>
      </c>
      <c r="B118" s="513" t="s">
        <v>425</v>
      </c>
      <c r="C118" s="513" t="str">
        <f t="shared" si="12"/>
        <v>20110629LWC</v>
      </c>
      <c r="D118" s="513" t="s">
        <v>385</v>
      </c>
      <c r="E118" s="513" t="str">
        <f t="shared" si="13"/>
        <v>20110629LGCME671</v>
      </c>
      <c r="F118" s="514">
        <v>0</v>
      </c>
      <c r="G118" s="515">
        <v>3.039E-2</v>
      </c>
      <c r="H118" s="515">
        <v>0</v>
      </c>
      <c r="I118" s="515">
        <v>0</v>
      </c>
      <c r="J118" s="515">
        <v>0</v>
      </c>
      <c r="K118" s="515">
        <v>0</v>
      </c>
      <c r="L118" s="515">
        <v>2.215E-2</v>
      </c>
      <c r="M118" s="515">
        <v>8.2400000000000008E-3</v>
      </c>
      <c r="N118" s="515">
        <f t="shared" si="10"/>
        <v>0</v>
      </c>
      <c r="O118" s="515">
        <f t="shared" si="10"/>
        <v>0</v>
      </c>
      <c r="P118" s="515">
        <f t="shared" si="10"/>
        <v>0</v>
      </c>
      <c r="Q118" s="514">
        <v>0</v>
      </c>
      <c r="R118" s="514">
        <v>9.85</v>
      </c>
      <c r="S118" s="514">
        <v>9.85</v>
      </c>
      <c r="T118" s="514"/>
      <c r="U118" s="514">
        <v>0.22</v>
      </c>
      <c r="V118" s="514">
        <v>0.22</v>
      </c>
      <c r="W118" s="514">
        <v>0</v>
      </c>
      <c r="X118" s="514">
        <v>9.6300000000000008</v>
      </c>
      <c r="Y118" s="514">
        <v>9.6300000000000008</v>
      </c>
    </row>
    <row r="119" spans="1:25">
      <c r="A119" s="512">
        <f t="shared" si="11"/>
        <v>20110629</v>
      </c>
      <c r="B119" s="513" t="s">
        <v>641</v>
      </c>
      <c r="C119" s="513" t="str">
        <f t="shared" si="12"/>
        <v>20110629LEV</v>
      </c>
      <c r="D119" s="516" t="s">
        <v>706</v>
      </c>
      <c r="E119" s="513" t="str">
        <f t="shared" si="13"/>
        <v>20110629LGRSE543</v>
      </c>
      <c r="F119" s="514">
        <v>8.5</v>
      </c>
      <c r="G119" s="515">
        <v>5.0290000000000001E-2</v>
      </c>
      <c r="H119" s="515">
        <v>7.0529999999999995E-2</v>
      </c>
      <c r="I119" s="515">
        <v>0.13431000000000001</v>
      </c>
      <c r="J119" s="515">
        <v>0</v>
      </c>
      <c r="K119" s="515">
        <v>7.2999999999999996E-4</v>
      </c>
      <c r="L119" s="515">
        <v>2.215E-2</v>
      </c>
      <c r="M119" s="515">
        <f>G119-K119-L119</f>
        <v>2.741E-2</v>
      </c>
      <c r="N119" s="515">
        <v>4.7649999999999998E-2</v>
      </c>
      <c r="O119" s="515">
        <v>0.11142999999999999</v>
      </c>
      <c r="P119" s="515">
        <f t="shared" si="10"/>
        <v>0</v>
      </c>
      <c r="Q119" s="514">
        <v>0</v>
      </c>
      <c r="R119" s="514">
        <v>0</v>
      </c>
      <c r="S119" s="514">
        <v>0</v>
      </c>
      <c r="T119" s="514">
        <v>0</v>
      </c>
      <c r="U119" s="514">
        <v>0</v>
      </c>
      <c r="V119" s="514">
        <v>0</v>
      </c>
      <c r="W119" s="514">
        <v>0</v>
      </c>
      <c r="X119" s="514">
        <v>0</v>
      </c>
      <c r="Y119" s="514">
        <v>0</v>
      </c>
    </row>
    <row r="120" spans="1:25">
      <c r="A120" s="529">
        <v>20120301</v>
      </c>
      <c r="B120" s="530" t="s">
        <v>13</v>
      </c>
      <c r="C120" s="530" t="str">
        <f t="shared" si="12"/>
        <v>20120301RS</v>
      </c>
      <c r="D120" s="530" t="s">
        <v>399</v>
      </c>
      <c r="E120" s="530" t="str">
        <f t="shared" si="13"/>
        <v>20120301LGRSE411</v>
      </c>
      <c r="F120" s="531">
        <v>0</v>
      </c>
      <c r="G120" s="550">
        <v>7.2419999999999998E-2</v>
      </c>
      <c r="H120" s="550">
        <v>0</v>
      </c>
      <c r="I120" s="550">
        <v>0</v>
      </c>
      <c r="J120" s="550">
        <v>0</v>
      </c>
      <c r="K120" s="550">
        <v>6.9999999999999994E-5</v>
      </c>
      <c r="L120" s="520">
        <v>2.215E-2</v>
      </c>
      <c r="M120" s="550">
        <f t="shared" ref="M120:M160" si="14">G120-K120-L120</f>
        <v>5.0199999999999995E-2</v>
      </c>
      <c r="N120" s="550">
        <f t="shared" ref="N120:P157" si="15">IF(H120=0,0,H120-$K120-$L120)</f>
        <v>0</v>
      </c>
      <c r="O120" s="550">
        <f t="shared" si="15"/>
        <v>0</v>
      </c>
      <c r="P120" s="550">
        <f t="shared" si="15"/>
        <v>0</v>
      </c>
      <c r="Q120" s="531">
        <v>0</v>
      </c>
      <c r="R120" s="531">
        <v>0</v>
      </c>
      <c r="S120" s="531">
        <v>0</v>
      </c>
      <c r="T120" s="531">
        <v>0</v>
      </c>
      <c r="U120" s="531">
        <v>0</v>
      </c>
      <c r="V120" s="531">
        <v>0</v>
      </c>
      <c r="W120" s="531">
        <v>0</v>
      </c>
      <c r="X120" s="531">
        <v>0</v>
      </c>
      <c r="Y120" s="531">
        <v>0</v>
      </c>
    </row>
    <row r="121" spans="1:25">
      <c r="A121" s="529">
        <v>20120301</v>
      </c>
      <c r="B121" s="205" t="s">
        <v>417</v>
      </c>
      <c r="C121" s="530" t="str">
        <f t="shared" si="12"/>
        <v>20120301GSWH</v>
      </c>
      <c r="D121" s="530" t="s">
        <v>368</v>
      </c>
      <c r="E121" s="530" t="str">
        <f t="shared" si="13"/>
        <v>20120301LGCME451</v>
      </c>
      <c r="F121" s="531">
        <v>0</v>
      </c>
      <c r="G121" s="550">
        <v>8.2400000000000001E-2</v>
      </c>
      <c r="H121" s="550">
        <v>0</v>
      </c>
      <c r="I121" s="550">
        <v>0</v>
      </c>
      <c r="J121" s="550">
        <v>0</v>
      </c>
      <c r="K121" s="550">
        <v>9.0000000000000006E-5</v>
      </c>
      <c r="L121" s="550">
        <f>$L$83</f>
        <v>2.215E-2</v>
      </c>
      <c r="M121" s="550">
        <f t="shared" si="14"/>
        <v>6.0159999999999991E-2</v>
      </c>
      <c r="N121" s="550">
        <f t="shared" si="15"/>
        <v>0</v>
      </c>
      <c r="O121" s="550">
        <f t="shared" si="15"/>
        <v>0</v>
      </c>
      <c r="P121" s="550">
        <f t="shared" si="15"/>
        <v>0</v>
      </c>
      <c r="Q121" s="531">
        <v>0</v>
      </c>
      <c r="R121" s="531">
        <v>0</v>
      </c>
      <c r="S121" s="531">
        <v>0</v>
      </c>
      <c r="T121" s="531">
        <v>0</v>
      </c>
      <c r="U121" s="531">
        <v>0</v>
      </c>
      <c r="V121" s="531">
        <v>0</v>
      </c>
      <c r="W121" s="531">
        <v>0</v>
      </c>
      <c r="X121" s="531">
        <v>0</v>
      </c>
      <c r="Y121" s="531">
        <v>0</v>
      </c>
    </row>
    <row r="122" spans="1:25">
      <c r="A122" s="529">
        <v>20120301</v>
      </c>
      <c r="B122" s="530" t="s">
        <v>13</v>
      </c>
      <c r="C122" s="530" t="str">
        <f t="shared" si="12"/>
        <v>20120301RS</v>
      </c>
      <c r="D122" s="530" t="s">
        <v>400</v>
      </c>
      <c r="E122" s="530" t="str">
        <f t="shared" si="13"/>
        <v>20120301LGRSE511</v>
      </c>
      <c r="F122" s="531">
        <v>8.5</v>
      </c>
      <c r="G122" s="550">
        <v>7.2419999999999998E-2</v>
      </c>
      <c r="H122" s="550">
        <v>0</v>
      </c>
      <c r="I122" s="550">
        <v>0</v>
      </c>
      <c r="J122" s="550">
        <v>0</v>
      </c>
      <c r="K122" s="550">
        <v>6.9999999999999994E-5</v>
      </c>
      <c r="L122" s="520">
        <v>2.215E-2</v>
      </c>
      <c r="M122" s="550">
        <f t="shared" si="14"/>
        <v>5.0199999999999995E-2</v>
      </c>
      <c r="N122" s="550">
        <f t="shared" si="15"/>
        <v>0</v>
      </c>
      <c r="O122" s="550">
        <f t="shared" si="15"/>
        <v>0</v>
      </c>
      <c r="P122" s="550">
        <f t="shared" si="15"/>
        <v>0</v>
      </c>
      <c r="Q122" s="531">
        <v>0</v>
      </c>
      <c r="R122" s="531">
        <v>0</v>
      </c>
      <c r="S122" s="531">
        <v>0</v>
      </c>
      <c r="T122" s="531">
        <v>0</v>
      </c>
      <c r="U122" s="531">
        <v>0</v>
      </c>
      <c r="V122" s="531">
        <v>0</v>
      </c>
      <c r="W122" s="531">
        <v>0</v>
      </c>
      <c r="X122" s="531">
        <v>0</v>
      </c>
      <c r="Y122" s="531">
        <v>0</v>
      </c>
    </row>
    <row r="123" spans="1:25">
      <c r="A123" s="529">
        <v>20120301</v>
      </c>
      <c r="B123" s="530" t="s">
        <v>13</v>
      </c>
      <c r="C123" s="530" t="str">
        <f t="shared" si="12"/>
        <v>20120301RS</v>
      </c>
      <c r="D123" s="530" t="s">
        <v>401</v>
      </c>
      <c r="E123" s="530" t="str">
        <f t="shared" si="13"/>
        <v>20120301LGRSE519</v>
      </c>
      <c r="F123" s="531">
        <v>8.5</v>
      </c>
      <c r="G123" s="550">
        <v>7.2419999999999998E-2</v>
      </c>
      <c r="H123" s="550">
        <v>0</v>
      </c>
      <c r="I123" s="550">
        <v>0</v>
      </c>
      <c r="J123" s="550">
        <v>0</v>
      </c>
      <c r="K123" s="550">
        <v>6.9999999999999994E-5</v>
      </c>
      <c r="L123" s="520">
        <v>2.215E-2</v>
      </c>
      <c r="M123" s="550">
        <f t="shared" si="14"/>
        <v>5.0199999999999995E-2</v>
      </c>
      <c r="N123" s="550">
        <f t="shared" si="15"/>
        <v>0</v>
      </c>
      <c r="O123" s="550">
        <f t="shared" si="15"/>
        <v>0</v>
      </c>
      <c r="P123" s="550">
        <f t="shared" si="15"/>
        <v>0</v>
      </c>
      <c r="Q123" s="531">
        <v>0</v>
      </c>
      <c r="R123" s="531">
        <v>0</v>
      </c>
      <c r="S123" s="531">
        <v>0</v>
      </c>
      <c r="T123" s="531">
        <v>0</v>
      </c>
      <c r="U123" s="531">
        <v>0</v>
      </c>
      <c r="V123" s="531">
        <v>0</v>
      </c>
      <c r="W123" s="531">
        <v>0</v>
      </c>
      <c r="X123" s="531">
        <v>0</v>
      </c>
      <c r="Y123" s="531">
        <v>0</v>
      </c>
    </row>
    <row r="124" spans="1:25">
      <c r="A124" s="529">
        <v>20120301</v>
      </c>
      <c r="B124" s="530" t="s">
        <v>700</v>
      </c>
      <c r="C124" s="530" t="str">
        <f t="shared" si="12"/>
        <v>20120301VFD</v>
      </c>
      <c r="D124" s="530" t="s">
        <v>402</v>
      </c>
      <c r="E124" s="530" t="str">
        <f t="shared" si="13"/>
        <v>20120301LGRSE540</v>
      </c>
      <c r="F124" s="531">
        <v>8.5</v>
      </c>
      <c r="G124" s="550">
        <v>7.2419999999999998E-2</v>
      </c>
      <c r="H124" s="550">
        <v>0</v>
      </c>
      <c r="I124" s="550">
        <v>0</v>
      </c>
      <c r="J124" s="550">
        <v>0</v>
      </c>
      <c r="K124" s="550">
        <v>6.9999999999999994E-5</v>
      </c>
      <c r="L124" s="520">
        <v>2.215E-2</v>
      </c>
      <c r="M124" s="550">
        <f t="shared" si="14"/>
        <v>5.0199999999999995E-2</v>
      </c>
      <c r="N124" s="550">
        <f t="shared" si="15"/>
        <v>0</v>
      </c>
      <c r="O124" s="550">
        <f t="shared" si="15"/>
        <v>0</v>
      </c>
      <c r="P124" s="550">
        <f t="shared" si="15"/>
        <v>0</v>
      </c>
      <c r="Q124" s="531">
        <v>0</v>
      </c>
      <c r="R124" s="531">
        <v>0</v>
      </c>
      <c r="S124" s="531">
        <v>0</v>
      </c>
      <c r="T124" s="531">
        <v>0</v>
      </c>
      <c r="U124" s="531">
        <v>0</v>
      </c>
      <c r="V124" s="531">
        <v>0</v>
      </c>
      <c r="W124" s="531">
        <v>0</v>
      </c>
      <c r="X124" s="531">
        <v>0</v>
      </c>
      <c r="Y124" s="531">
        <v>0</v>
      </c>
    </row>
    <row r="125" spans="1:25">
      <c r="A125" s="529">
        <v>20120301</v>
      </c>
      <c r="B125" s="205" t="s">
        <v>426</v>
      </c>
      <c r="C125" s="530" t="str">
        <f t="shared" si="12"/>
        <v>20120301RRP</v>
      </c>
      <c r="D125" s="205" t="s">
        <v>403</v>
      </c>
      <c r="E125" s="530" t="str">
        <f t="shared" si="13"/>
        <v>20120301LGRSE541</v>
      </c>
      <c r="F125" s="531">
        <v>13.5</v>
      </c>
      <c r="G125" s="550">
        <v>5.0460000000000005E-2</v>
      </c>
      <c r="H125" s="550">
        <v>6.3420000000000004E-2</v>
      </c>
      <c r="I125" s="550">
        <v>0.12046999999999999</v>
      </c>
      <c r="J125" s="550">
        <v>0.32538</v>
      </c>
      <c r="K125" s="550">
        <v>6.9999999999999994E-5</v>
      </c>
      <c r="L125" s="520">
        <v>2.215E-2</v>
      </c>
      <c r="M125" s="550">
        <f t="shared" si="14"/>
        <v>2.8240000000000005E-2</v>
      </c>
      <c r="N125" s="550">
        <f>H125-K125-L125</f>
        <v>4.1200000000000001E-2</v>
      </c>
      <c r="O125" s="550">
        <f>I125-K125-L125</f>
        <v>9.824999999999999E-2</v>
      </c>
      <c r="P125" s="550">
        <f>J125-K125-L125</f>
        <v>0.30315999999999999</v>
      </c>
      <c r="Q125" s="531">
        <v>0</v>
      </c>
      <c r="R125" s="531">
        <v>0</v>
      </c>
      <c r="S125" s="531">
        <v>0</v>
      </c>
      <c r="T125" s="531">
        <v>0</v>
      </c>
      <c r="U125" s="531">
        <v>0</v>
      </c>
      <c r="V125" s="531">
        <v>0</v>
      </c>
      <c r="W125" s="531">
        <v>0</v>
      </c>
      <c r="X125" s="531">
        <v>0</v>
      </c>
      <c r="Y125" s="531">
        <v>0</v>
      </c>
    </row>
    <row r="126" spans="1:25">
      <c r="A126" s="529">
        <v>20120301</v>
      </c>
      <c r="B126" s="205" t="s">
        <v>833</v>
      </c>
      <c r="C126" s="530" t="str">
        <f t="shared" si="12"/>
        <v>20120301GSP</v>
      </c>
      <c r="D126" s="530" t="s">
        <v>369</v>
      </c>
      <c r="E126" s="530" t="str">
        <f t="shared" si="13"/>
        <v>20120301LGCME550</v>
      </c>
      <c r="F126" s="531">
        <v>17.5</v>
      </c>
      <c r="G126" s="550">
        <v>8.2400000000000001E-2</v>
      </c>
      <c r="H126" s="550">
        <v>0</v>
      </c>
      <c r="I126" s="550">
        <v>0</v>
      </c>
      <c r="J126" s="550">
        <v>0</v>
      </c>
      <c r="K126" s="550">
        <v>9.0000000000000006E-5</v>
      </c>
      <c r="L126" s="550">
        <v>2.215E-2</v>
      </c>
      <c r="M126" s="550">
        <f t="shared" si="14"/>
        <v>6.0159999999999991E-2</v>
      </c>
      <c r="N126" s="550">
        <f t="shared" si="15"/>
        <v>0</v>
      </c>
      <c r="O126" s="550">
        <f t="shared" si="15"/>
        <v>0</v>
      </c>
      <c r="P126" s="550">
        <f t="shared" si="15"/>
        <v>0</v>
      </c>
      <c r="Q126" s="531">
        <v>0</v>
      </c>
      <c r="R126" s="531">
        <v>0</v>
      </c>
      <c r="S126" s="531">
        <v>0</v>
      </c>
      <c r="T126" s="531">
        <v>0</v>
      </c>
      <c r="U126" s="531">
        <v>0</v>
      </c>
      <c r="V126" s="531">
        <v>0</v>
      </c>
      <c r="W126" s="531">
        <v>0</v>
      </c>
      <c r="X126" s="531">
        <v>0</v>
      </c>
      <c r="Y126" s="531">
        <v>0</v>
      </c>
    </row>
    <row r="127" spans="1:25">
      <c r="A127" s="529">
        <v>20120301</v>
      </c>
      <c r="B127" s="530" t="s">
        <v>414</v>
      </c>
      <c r="C127" s="530" t="str">
        <f t="shared" si="12"/>
        <v>20120301GSS</v>
      </c>
      <c r="D127" s="530" t="s">
        <v>370</v>
      </c>
      <c r="E127" s="530" t="str">
        <f t="shared" si="13"/>
        <v>20120301LGCME551</v>
      </c>
      <c r="F127" s="531">
        <v>17.5</v>
      </c>
      <c r="G127" s="550">
        <v>8.2400000000000001E-2</v>
      </c>
      <c r="H127" s="550">
        <v>0</v>
      </c>
      <c r="I127" s="550">
        <v>0</v>
      </c>
      <c r="J127" s="550">
        <v>0</v>
      </c>
      <c r="K127" s="550">
        <v>9.0000000000000006E-5</v>
      </c>
      <c r="L127" s="550">
        <v>2.215E-2</v>
      </c>
      <c r="M127" s="550">
        <f t="shared" si="14"/>
        <v>6.0159999999999991E-2</v>
      </c>
      <c r="N127" s="550">
        <f t="shared" si="15"/>
        <v>0</v>
      </c>
      <c r="O127" s="550">
        <f t="shared" si="15"/>
        <v>0</v>
      </c>
      <c r="P127" s="550">
        <f t="shared" si="15"/>
        <v>0</v>
      </c>
      <c r="Q127" s="531">
        <v>0</v>
      </c>
      <c r="R127" s="531">
        <v>0</v>
      </c>
      <c r="S127" s="531">
        <v>0</v>
      </c>
      <c r="T127" s="531">
        <v>0</v>
      </c>
      <c r="U127" s="531">
        <v>0</v>
      </c>
      <c r="V127" s="531">
        <v>0</v>
      </c>
      <c r="W127" s="531">
        <v>0</v>
      </c>
      <c r="X127" s="531">
        <v>0</v>
      </c>
      <c r="Y127" s="531">
        <v>0</v>
      </c>
    </row>
    <row r="128" spans="1:25">
      <c r="A128" s="529">
        <v>20120301</v>
      </c>
      <c r="B128" s="530" t="s">
        <v>832</v>
      </c>
      <c r="C128" s="530" t="str">
        <f t="shared" si="12"/>
        <v>20120301GSUM</v>
      </c>
      <c r="D128" s="530" t="s">
        <v>371</v>
      </c>
      <c r="E128" s="530" t="str">
        <f t="shared" si="13"/>
        <v>20120301LGCME551UM</v>
      </c>
      <c r="F128" s="531">
        <v>17.5</v>
      </c>
      <c r="G128" s="550">
        <v>8.2400000000000001E-2</v>
      </c>
      <c r="H128" s="550">
        <v>0</v>
      </c>
      <c r="I128" s="550">
        <v>0</v>
      </c>
      <c r="J128" s="550">
        <v>0</v>
      </c>
      <c r="K128" s="550">
        <v>9.0000000000000006E-5</v>
      </c>
      <c r="L128" s="550">
        <v>2.215E-2</v>
      </c>
      <c r="M128" s="550">
        <f t="shared" si="14"/>
        <v>6.0159999999999991E-2</v>
      </c>
      <c r="N128" s="550">
        <f t="shared" si="15"/>
        <v>0</v>
      </c>
      <c r="O128" s="550">
        <f t="shared" si="15"/>
        <v>0</v>
      </c>
      <c r="P128" s="550">
        <f t="shared" si="15"/>
        <v>0</v>
      </c>
      <c r="Q128" s="531">
        <v>0</v>
      </c>
      <c r="R128" s="531">
        <v>0</v>
      </c>
      <c r="S128" s="531">
        <v>0</v>
      </c>
      <c r="T128" s="531">
        <v>0</v>
      </c>
      <c r="U128" s="531">
        <v>0</v>
      </c>
      <c r="V128" s="531">
        <v>0</v>
      </c>
      <c r="W128" s="531">
        <v>0</v>
      </c>
      <c r="X128" s="531">
        <v>0</v>
      </c>
      <c r="Y128" s="531">
        <v>0</v>
      </c>
    </row>
    <row r="129" spans="1:25">
      <c r="A129" s="529">
        <v>20120301</v>
      </c>
      <c r="B129" s="205" t="s">
        <v>826</v>
      </c>
      <c r="C129" s="530" t="str">
        <f t="shared" si="12"/>
        <v>20120301GSNM</v>
      </c>
      <c r="D129" s="530" t="s">
        <v>374</v>
      </c>
      <c r="E129" s="530" t="str">
        <f t="shared" si="13"/>
        <v>20120301LGCME557</v>
      </c>
      <c r="F129" s="531">
        <v>17.5</v>
      </c>
      <c r="G129" s="550">
        <v>8.2400000000000001E-2</v>
      </c>
      <c r="H129" s="550">
        <v>0</v>
      </c>
      <c r="I129" s="550">
        <v>0</v>
      </c>
      <c r="J129" s="550">
        <v>0</v>
      </c>
      <c r="K129" s="550">
        <v>9.0000000000000006E-5</v>
      </c>
      <c r="L129" s="550">
        <v>2.215E-2</v>
      </c>
      <c r="M129" s="550">
        <f t="shared" si="14"/>
        <v>6.0159999999999991E-2</v>
      </c>
      <c r="N129" s="550">
        <f t="shared" si="15"/>
        <v>0</v>
      </c>
      <c r="O129" s="550">
        <f t="shared" si="15"/>
        <v>0</v>
      </c>
      <c r="P129" s="550">
        <f t="shared" si="15"/>
        <v>0</v>
      </c>
      <c r="Q129" s="531">
        <v>0</v>
      </c>
      <c r="R129" s="531">
        <v>0</v>
      </c>
      <c r="S129" s="531">
        <v>0</v>
      </c>
      <c r="T129" s="531">
        <v>0</v>
      </c>
      <c r="U129" s="531">
        <v>0</v>
      </c>
      <c r="V129" s="531">
        <v>0</v>
      </c>
      <c r="W129" s="531">
        <v>0</v>
      </c>
      <c r="X129" s="531">
        <v>0</v>
      </c>
      <c r="Y129" s="531">
        <v>0</v>
      </c>
    </row>
    <row r="130" spans="1:25">
      <c r="A130" s="529">
        <v>20120301</v>
      </c>
      <c r="B130" s="205" t="s">
        <v>416</v>
      </c>
      <c r="C130" s="530" t="str">
        <f t="shared" si="12"/>
        <v>20120301GSSH</v>
      </c>
      <c r="D130" s="530" t="s">
        <v>372</v>
      </c>
      <c r="E130" s="530" t="str">
        <f t="shared" si="13"/>
        <v>20120301LGCME552</v>
      </c>
      <c r="F130" s="531">
        <v>0</v>
      </c>
      <c r="G130" s="550">
        <v>8.2400000000000001E-2</v>
      </c>
      <c r="H130" s="550">
        <v>0</v>
      </c>
      <c r="I130" s="550">
        <v>0</v>
      </c>
      <c r="J130" s="550">
        <v>0</v>
      </c>
      <c r="K130" s="550">
        <v>9.0000000000000006E-5</v>
      </c>
      <c r="L130" s="550">
        <v>2.215E-2</v>
      </c>
      <c r="M130" s="550">
        <f t="shared" si="14"/>
        <v>6.0159999999999991E-2</v>
      </c>
      <c r="N130" s="550">
        <f t="shared" si="15"/>
        <v>0</v>
      </c>
      <c r="O130" s="550">
        <f t="shared" si="15"/>
        <v>0</v>
      </c>
      <c r="P130" s="550">
        <f t="shared" si="15"/>
        <v>0</v>
      </c>
      <c r="Q130" s="531">
        <v>0</v>
      </c>
      <c r="R130" s="531">
        <v>0</v>
      </c>
      <c r="S130" s="531">
        <v>0</v>
      </c>
      <c r="T130" s="531">
        <v>0</v>
      </c>
      <c r="U130" s="531">
        <v>0</v>
      </c>
      <c r="V130" s="531">
        <v>0</v>
      </c>
      <c r="W130" s="531">
        <v>0</v>
      </c>
      <c r="X130" s="531">
        <v>0</v>
      </c>
      <c r="Y130" s="531">
        <v>0</v>
      </c>
    </row>
    <row r="131" spans="1:25">
      <c r="A131" s="529">
        <v>20120301</v>
      </c>
      <c r="B131" s="205" t="s">
        <v>828</v>
      </c>
      <c r="C131" s="530" t="str">
        <f t="shared" si="12"/>
        <v>20120301GSRP</v>
      </c>
      <c r="D131" s="205" t="s">
        <v>373</v>
      </c>
      <c r="E131" s="530" t="str">
        <f t="shared" si="13"/>
        <v>20120301LGCME555</v>
      </c>
      <c r="F131" s="531">
        <v>27.5</v>
      </c>
      <c r="G131" s="550">
        <v>5.8380000000000001E-2</v>
      </c>
      <c r="H131" s="550">
        <v>7.4209999999999998E-2</v>
      </c>
      <c r="I131" s="550">
        <v>0.15323000000000001</v>
      </c>
      <c r="J131" s="550">
        <v>0.32972000000000001</v>
      </c>
      <c r="K131" s="550">
        <v>9.0000000000000006E-5</v>
      </c>
      <c r="L131" s="550">
        <v>2.215E-2</v>
      </c>
      <c r="M131" s="550">
        <f t="shared" si="14"/>
        <v>3.6140000000000005E-2</v>
      </c>
      <c r="N131" s="550">
        <f>H131-K131-L131</f>
        <v>5.1969999999999988E-2</v>
      </c>
      <c r="O131" s="550">
        <f>I131-K131-L131</f>
        <v>0.13099</v>
      </c>
      <c r="P131" s="550">
        <f>J131-K131-L131</f>
        <v>0.30748000000000003</v>
      </c>
      <c r="Q131" s="531">
        <v>0</v>
      </c>
      <c r="R131" s="531">
        <v>0</v>
      </c>
      <c r="S131" s="531">
        <v>0</v>
      </c>
      <c r="T131" s="531">
        <v>0</v>
      </c>
      <c r="U131" s="531">
        <v>0</v>
      </c>
      <c r="V131" s="531">
        <v>0</v>
      </c>
      <c r="W131" s="531">
        <v>0</v>
      </c>
      <c r="X131" s="531">
        <v>0</v>
      </c>
      <c r="Y131" s="531">
        <v>0</v>
      </c>
    </row>
    <row r="132" spans="1:25">
      <c r="A132" s="529">
        <v>20120301</v>
      </c>
      <c r="B132" s="205" t="s">
        <v>715</v>
      </c>
      <c r="C132" s="530" t="str">
        <f t="shared" si="12"/>
        <v>20120301GS3P</v>
      </c>
      <c r="D132" s="530" t="s">
        <v>380</v>
      </c>
      <c r="E132" s="530" t="str">
        <f t="shared" si="13"/>
        <v>20120301LGCME650</v>
      </c>
      <c r="F132" s="531">
        <v>32.5</v>
      </c>
      <c r="G132" s="550">
        <v>8.2400000000000001E-2</v>
      </c>
      <c r="H132" s="550">
        <v>0</v>
      </c>
      <c r="I132" s="550">
        <v>0</v>
      </c>
      <c r="J132" s="550">
        <v>0</v>
      </c>
      <c r="K132" s="550">
        <v>9.0000000000000006E-5</v>
      </c>
      <c r="L132" s="550">
        <v>2.215E-2</v>
      </c>
      <c r="M132" s="550">
        <f t="shared" si="14"/>
        <v>6.0159999999999991E-2</v>
      </c>
      <c r="N132" s="550">
        <f t="shared" si="15"/>
        <v>0</v>
      </c>
      <c r="O132" s="550">
        <f t="shared" si="15"/>
        <v>0</v>
      </c>
      <c r="P132" s="550">
        <f t="shared" si="15"/>
        <v>0</v>
      </c>
      <c r="Q132" s="531">
        <v>0</v>
      </c>
      <c r="R132" s="531">
        <v>0</v>
      </c>
      <c r="S132" s="531">
        <v>0</v>
      </c>
      <c r="T132" s="531">
        <v>0</v>
      </c>
      <c r="U132" s="531">
        <v>0</v>
      </c>
      <c r="V132" s="531">
        <v>0</v>
      </c>
      <c r="W132" s="531">
        <v>0</v>
      </c>
      <c r="X132" s="531">
        <v>0</v>
      </c>
      <c r="Y132" s="531">
        <v>0</v>
      </c>
    </row>
    <row r="133" spans="1:25">
      <c r="A133" s="529">
        <v>20120301</v>
      </c>
      <c r="B133" s="530" t="s">
        <v>14</v>
      </c>
      <c r="C133" s="530" t="str">
        <f t="shared" si="12"/>
        <v>20120301GS3</v>
      </c>
      <c r="D133" s="530" t="s">
        <v>381</v>
      </c>
      <c r="E133" s="530" t="str">
        <f t="shared" si="13"/>
        <v>20120301LGCME651</v>
      </c>
      <c r="F133" s="531">
        <v>32.5</v>
      </c>
      <c r="G133" s="550">
        <v>8.2400000000000001E-2</v>
      </c>
      <c r="H133" s="550">
        <v>0</v>
      </c>
      <c r="I133" s="550">
        <v>0</v>
      </c>
      <c r="J133" s="550">
        <v>0</v>
      </c>
      <c r="K133" s="550">
        <v>9.0000000000000006E-5</v>
      </c>
      <c r="L133" s="550">
        <v>2.215E-2</v>
      </c>
      <c r="M133" s="550">
        <f t="shared" si="14"/>
        <v>6.0159999999999991E-2</v>
      </c>
      <c r="N133" s="550">
        <f t="shared" si="15"/>
        <v>0</v>
      </c>
      <c r="O133" s="550">
        <f t="shared" si="15"/>
        <v>0</v>
      </c>
      <c r="P133" s="550">
        <f t="shared" si="15"/>
        <v>0</v>
      </c>
      <c r="Q133" s="531">
        <v>0</v>
      </c>
      <c r="R133" s="531">
        <v>0</v>
      </c>
      <c r="S133" s="531">
        <v>0</v>
      </c>
      <c r="T133" s="531">
        <v>0</v>
      </c>
      <c r="U133" s="531">
        <v>0</v>
      </c>
      <c r="V133" s="531">
        <v>0</v>
      </c>
      <c r="W133" s="531">
        <v>0</v>
      </c>
      <c r="X133" s="531">
        <v>0</v>
      </c>
      <c r="Y133" s="531">
        <v>0</v>
      </c>
    </row>
    <row r="134" spans="1:25">
      <c r="A134" s="529">
        <v>20120301</v>
      </c>
      <c r="B134" s="205" t="s">
        <v>808</v>
      </c>
      <c r="C134" s="530" t="str">
        <f t="shared" si="12"/>
        <v>20120301GS3NM</v>
      </c>
      <c r="D134" s="530" t="s">
        <v>384</v>
      </c>
      <c r="E134" s="530" t="str">
        <f t="shared" si="13"/>
        <v>20120301LGCME657</v>
      </c>
      <c r="F134" s="531">
        <v>32.5</v>
      </c>
      <c r="G134" s="550">
        <v>8.2400000000000001E-2</v>
      </c>
      <c r="H134" s="550">
        <v>0</v>
      </c>
      <c r="I134" s="550">
        <v>0</v>
      </c>
      <c r="J134" s="550">
        <v>0</v>
      </c>
      <c r="K134" s="550">
        <v>9.0000000000000006E-5</v>
      </c>
      <c r="L134" s="550">
        <v>2.215E-2</v>
      </c>
      <c r="M134" s="550">
        <f t="shared" si="14"/>
        <v>6.0159999999999991E-2</v>
      </c>
      <c r="N134" s="550">
        <f t="shared" si="15"/>
        <v>0</v>
      </c>
      <c r="O134" s="550">
        <f t="shared" si="15"/>
        <v>0</v>
      </c>
      <c r="P134" s="550">
        <f t="shared" si="15"/>
        <v>0</v>
      </c>
      <c r="Q134" s="531">
        <v>0</v>
      </c>
      <c r="R134" s="531">
        <v>0</v>
      </c>
      <c r="S134" s="531">
        <v>0</v>
      </c>
      <c r="T134" s="531">
        <v>0</v>
      </c>
      <c r="U134" s="531">
        <v>0</v>
      </c>
      <c r="V134" s="531">
        <v>0</v>
      </c>
      <c r="W134" s="531">
        <v>0</v>
      </c>
      <c r="X134" s="531">
        <v>0</v>
      </c>
      <c r="Y134" s="531">
        <v>0</v>
      </c>
    </row>
    <row r="135" spans="1:25">
      <c r="A135" s="529">
        <v>20120301</v>
      </c>
      <c r="B135" s="205" t="s">
        <v>807</v>
      </c>
      <c r="C135" s="530" t="str">
        <f t="shared" si="12"/>
        <v>20120301GS3SH</v>
      </c>
      <c r="D135" s="530" t="s">
        <v>382</v>
      </c>
      <c r="E135" s="530" t="str">
        <f t="shared" si="13"/>
        <v>20120301LGCME652</v>
      </c>
      <c r="F135" s="531">
        <v>0</v>
      </c>
      <c r="G135" s="550">
        <v>8.2400000000000001E-2</v>
      </c>
      <c r="H135" s="550">
        <v>0</v>
      </c>
      <c r="I135" s="550">
        <v>0</v>
      </c>
      <c r="J135" s="550">
        <v>0</v>
      </c>
      <c r="K135" s="550">
        <v>9.0000000000000006E-5</v>
      </c>
      <c r="L135" s="550">
        <v>2.215E-2</v>
      </c>
      <c r="M135" s="550">
        <f t="shared" si="14"/>
        <v>6.0159999999999991E-2</v>
      </c>
      <c r="N135" s="550">
        <f t="shared" si="15"/>
        <v>0</v>
      </c>
      <c r="O135" s="550">
        <f t="shared" si="15"/>
        <v>0</v>
      </c>
      <c r="P135" s="550">
        <f t="shared" si="15"/>
        <v>0</v>
      </c>
      <c r="Q135" s="531">
        <v>0</v>
      </c>
      <c r="R135" s="531">
        <v>0</v>
      </c>
      <c r="S135" s="531">
        <v>0</v>
      </c>
      <c r="T135" s="531">
        <v>0</v>
      </c>
      <c r="U135" s="531">
        <v>0</v>
      </c>
      <c r="V135" s="531">
        <v>0</v>
      </c>
      <c r="W135" s="531">
        <v>0</v>
      </c>
      <c r="X135" s="531">
        <v>0</v>
      </c>
      <c r="Y135" s="531">
        <v>0</v>
      </c>
    </row>
    <row r="136" spans="1:25">
      <c r="A136" s="529">
        <v>20120301</v>
      </c>
      <c r="B136" s="530" t="s">
        <v>676</v>
      </c>
      <c r="C136" s="530" t="str">
        <f t="shared" si="12"/>
        <v>20120301G3RP</v>
      </c>
      <c r="D136" s="205" t="s">
        <v>383</v>
      </c>
      <c r="E136" s="530" t="str">
        <f t="shared" si="13"/>
        <v>20120301LGCME656</v>
      </c>
      <c r="F136" s="531">
        <v>42.5</v>
      </c>
      <c r="G136" s="550">
        <v>5.8380000000000001E-2</v>
      </c>
      <c r="H136" s="550">
        <v>7.4209999999999998E-2</v>
      </c>
      <c r="I136" s="550">
        <v>0.15323000000000001</v>
      </c>
      <c r="J136" s="550">
        <v>0.32972000000000001</v>
      </c>
      <c r="K136" s="550">
        <v>9.0000000000000006E-5</v>
      </c>
      <c r="L136" s="550">
        <v>2.215E-2</v>
      </c>
      <c r="M136" s="550">
        <f t="shared" si="14"/>
        <v>3.6140000000000005E-2</v>
      </c>
      <c r="N136" s="550">
        <f>H136-K136-L136</f>
        <v>5.1969999999999988E-2</v>
      </c>
      <c r="O136" s="550">
        <f>I136-K136-L136</f>
        <v>0.13099</v>
      </c>
      <c r="P136" s="550">
        <f>J136-K136-L136</f>
        <v>0.30748000000000003</v>
      </c>
      <c r="Q136" s="531">
        <v>0</v>
      </c>
      <c r="R136" s="531">
        <v>0</v>
      </c>
      <c r="S136" s="531">
        <v>0</v>
      </c>
      <c r="T136" s="531">
        <v>0</v>
      </c>
      <c r="U136" s="531">
        <v>0</v>
      </c>
      <c r="V136" s="531">
        <v>0</v>
      </c>
      <c r="W136" s="531">
        <v>0</v>
      </c>
      <c r="X136" s="531">
        <v>0</v>
      </c>
      <c r="Y136" s="531">
        <v>0</v>
      </c>
    </row>
    <row r="137" spans="1:25">
      <c r="A137" s="529">
        <v>20120301</v>
      </c>
      <c r="B137" s="530" t="s">
        <v>20</v>
      </c>
      <c r="C137" s="530" t="str">
        <f t="shared" si="12"/>
        <v>20120301PSS</v>
      </c>
      <c r="D137" s="530" t="s">
        <v>375</v>
      </c>
      <c r="E137" s="530" t="str">
        <f t="shared" si="13"/>
        <v>20120301LGCME561</v>
      </c>
      <c r="F137" s="531">
        <v>90</v>
      </c>
      <c r="G137" s="550">
        <v>3.4209999999999997E-2</v>
      </c>
      <c r="H137" s="550">
        <v>0</v>
      </c>
      <c r="I137" s="550">
        <v>0</v>
      </c>
      <c r="J137" s="550">
        <v>0</v>
      </c>
      <c r="K137" s="550">
        <v>0</v>
      </c>
      <c r="L137" s="550">
        <f t="shared" ref="L137:L142" si="16">$L$83</f>
        <v>2.215E-2</v>
      </c>
      <c r="M137" s="550">
        <f t="shared" si="14"/>
        <v>1.2059999999999998E-2</v>
      </c>
      <c r="N137" s="550">
        <f t="shared" si="15"/>
        <v>0</v>
      </c>
      <c r="O137" s="550">
        <f t="shared" si="15"/>
        <v>0</v>
      </c>
      <c r="P137" s="550">
        <f t="shared" si="15"/>
        <v>0</v>
      </c>
      <c r="Q137" s="531">
        <v>0</v>
      </c>
      <c r="R137" s="531">
        <v>13.14</v>
      </c>
      <c r="S137" s="531">
        <v>15.39</v>
      </c>
      <c r="T137" s="531">
        <v>0</v>
      </c>
      <c r="U137" s="531">
        <v>0.03</v>
      </c>
      <c r="V137" s="531">
        <v>0.03</v>
      </c>
      <c r="W137" s="519">
        <v>0</v>
      </c>
      <c r="X137" s="519">
        <f t="shared" ref="X137:X150" si="17">R137-U137</f>
        <v>13.110000000000001</v>
      </c>
      <c r="Y137" s="519">
        <f t="shared" ref="Y137:Y150" si="18">S137-V137</f>
        <v>15.360000000000001</v>
      </c>
    </row>
    <row r="138" spans="1:25">
      <c r="A138" s="529">
        <v>20120301</v>
      </c>
      <c r="B138" s="530" t="s">
        <v>21</v>
      </c>
      <c r="C138" s="530" t="str">
        <f t="shared" si="12"/>
        <v>20120301PSP</v>
      </c>
      <c r="D138" s="530" t="s">
        <v>376</v>
      </c>
      <c r="E138" s="530" t="str">
        <f t="shared" si="13"/>
        <v>20120301LGCME563</v>
      </c>
      <c r="F138" s="531">
        <v>90</v>
      </c>
      <c r="G138" s="550">
        <v>3.4209999999999997E-2</v>
      </c>
      <c r="H138" s="550">
        <v>0</v>
      </c>
      <c r="I138" s="550">
        <v>0</v>
      </c>
      <c r="J138" s="550">
        <v>0</v>
      </c>
      <c r="K138" s="550">
        <v>0</v>
      </c>
      <c r="L138" s="550">
        <f t="shared" si="16"/>
        <v>2.215E-2</v>
      </c>
      <c r="M138" s="550">
        <f t="shared" si="14"/>
        <v>1.2059999999999998E-2</v>
      </c>
      <c r="N138" s="550">
        <f t="shared" si="15"/>
        <v>0</v>
      </c>
      <c r="O138" s="550">
        <f t="shared" si="15"/>
        <v>0</v>
      </c>
      <c r="P138" s="550">
        <f t="shared" si="15"/>
        <v>0</v>
      </c>
      <c r="Q138" s="531">
        <v>0</v>
      </c>
      <c r="R138" s="531">
        <v>11.31</v>
      </c>
      <c r="S138" s="531">
        <v>13.55</v>
      </c>
      <c r="T138" s="531">
        <v>0</v>
      </c>
      <c r="U138" s="531">
        <v>0.03</v>
      </c>
      <c r="V138" s="531">
        <v>0.03</v>
      </c>
      <c r="W138" s="519">
        <v>0</v>
      </c>
      <c r="X138" s="519">
        <f t="shared" si="17"/>
        <v>11.280000000000001</v>
      </c>
      <c r="Y138" s="519">
        <f t="shared" si="18"/>
        <v>13.520000000000001</v>
      </c>
    </row>
    <row r="139" spans="1:25">
      <c r="A139" s="529">
        <v>20120301</v>
      </c>
      <c r="B139" s="530" t="s">
        <v>20</v>
      </c>
      <c r="C139" s="530" t="str">
        <f t="shared" si="12"/>
        <v>20120301PSS</v>
      </c>
      <c r="D139" s="205" t="s">
        <v>377</v>
      </c>
      <c r="E139" s="530" t="str">
        <f t="shared" si="13"/>
        <v>20120301LGCME567</v>
      </c>
      <c r="F139" s="531">
        <v>90</v>
      </c>
      <c r="G139" s="550">
        <v>3.4209999999999997E-2</v>
      </c>
      <c r="H139" s="550">
        <v>0</v>
      </c>
      <c r="I139" s="550">
        <v>0</v>
      </c>
      <c r="J139" s="550">
        <v>0</v>
      </c>
      <c r="K139" s="550">
        <v>0</v>
      </c>
      <c r="L139" s="550">
        <f t="shared" si="16"/>
        <v>2.215E-2</v>
      </c>
      <c r="M139" s="550">
        <f t="shared" si="14"/>
        <v>1.2059999999999998E-2</v>
      </c>
      <c r="N139" s="550">
        <f t="shared" si="15"/>
        <v>0</v>
      </c>
      <c r="O139" s="550">
        <f t="shared" si="15"/>
        <v>0</v>
      </c>
      <c r="P139" s="550">
        <f t="shared" si="15"/>
        <v>0</v>
      </c>
      <c r="Q139" s="531">
        <v>0</v>
      </c>
      <c r="R139" s="531">
        <v>13.14</v>
      </c>
      <c r="S139" s="531">
        <v>15.39</v>
      </c>
      <c r="T139" s="531">
        <v>0</v>
      </c>
      <c r="U139" s="531">
        <v>0.03</v>
      </c>
      <c r="V139" s="531">
        <v>0.03</v>
      </c>
      <c r="W139" s="519">
        <v>0</v>
      </c>
      <c r="X139" s="519">
        <f t="shared" si="17"/>
        <v>13.110000000000001</v>
      </c>
      <c r="Y139" s="519">
        <f t="shared" si="18"/>
        <v>15.360000000000001</v>
      </c>
    </row>
    <row r="140" spans="1:25">
      <c r="A140" s="529">
        <v>20120301</v>
      </c>
      <c r="B140" s="205" t="s">
        <v>814</v>
      </c>
      <c r="C140" s="530" t="str">
        <f t="shared" si="12"/>
        <v>20120301PSPNM</v>
      </c>
      <c r="D140" s="205" t="s">
        <v>815</v>
      </c>
      <c r="E140" s="530" t="str">
        <f t="shared" si="13"/>
        <v>20120301LGCME569</v>
      </c>
      <c r="F140" s="531">
        <v>90</v>
      </c>
      <c r="G140" s="550">
        <v>3.4209999999999997E-2</v>
      </c>
      <c r="H140" s="550">
        <v>0</v>
      </c>
      <c r="I140" s="550">
        <v>0</v>
      </c>
      <c r="J140" s="550">
        <v>0</v>
      </c>
      <c r="K140" s="550">
        <v>0</v>
      </c>
      <c r="L140" s="550">
        <f t="shared" si="16"/>
        <v>2.215E-2</v>
      </c>
      <c r="M140" s="550">
        <f t="shared" si="14"/>
        <v>1.2059999999999998E-2</v>
      </c>
      <c r="N140" s="550">
        <f t="shared" si="15"/>
        <v>0</v>
      </c>
      <c r="O140" s="550">
        <f t="shared" si="15"/>
        <v>0</v>
      </c>
      <c r="P140" s="550">
        <f t="shared" si="15"/>
        <v>0</v>
      </c>
      <c r="Q140" s="531">
        <v>0</v>
      </c>
      <c r="R140" s="531">
        <v>11.31</v>
      </c>
      <c r="S140" s="531">
        <v>13.55</v>
      </c>
      <c r="T140" s="531">
        <v>0</v>
      </c>
      <c r="U140" s="531">
        <v>0.03</v>
      </c>
      <c r="V140" s="531">
        <v>0.03</v>
      </c>
      <c r="W140" s="519">
        <v>0</v>
      </c>
      <c r="X140" s="519">
        <f t="shared" si="17"/>
        <v>11.280000000000001</v>
      </c>
      <c r="Y140" s="519">
        <f t="shared" si="18"/>
        <v>13.520000000000001</v>
      </c>
    </row>
    <row r="141" spans="1:25">
      <c r="A141" s="529">
        <v>20120301</v>
      </c>
      <c r="B141" s="530" t="s">
        <v>410</v>
      </c>
      <c r="C141" s="530" t="str">
        <f t="shared" si="12"/>
        <v>20120301CTODS</v>
      </c>
      <c r="D141" s="530" t="s">
        <v>378</v>
      </c>
      <c r="E141" s="530" t="str">
        <f t="shared" si="13"/>
        <v>20120301LGCME591</v>
      </c>
      <c r="F141" s="531">
        <v>200</v>
      </c>
      <c r="G141" s="550">
        <v>3.3829999999999999E-2</v>
      </c>
      <c r="H141" s="550">
        <v>0</v>
      </c>
      <c r="I141" s="550">
        <v>0</v>
      </c>
      <c r="J141" s="550">
        <v>0</v>
      </c>
      <c r="K141" s="550">
        <v>0</v>
      </c>
      <c r="L141" s="550">
        <f t="shared" si="16"/>
        <v>2.215E-2</v>
      </c>
      <c r="M141" s="550">
        <f t="shared" si="14"/>
        <v>1.1679999999999999E-2</v>
      </c>
      <c r="N141" s="550">
        <f t="shared" si="15"/>
        <v>0</v>
      </c>
      <c r="O141" s="550">
        <f t="shared" si="15"/>
        <v>0</v>
      </c>
      <c r="P141" s="550">
        <f t="shared" si="15"/>
        <v>0</v>
      </c>
      <c r="Q141" s="531">
        <v>3.76</v>
      </c>
      <c r="R141" s="531">
        <v>4.25</v>
      </c>
      <c r="S141" s="531">
        <v>5.78</v>
      </c>
      <c r="T141" s="531">
        <v>0.01</v>
      </c>
      <c r="U141" s="531">
        <v>0.01</v>
      </c>
      <c r="V141" s="531">
        <v>0.01</v>
      </c>
      <c r="W141" s="519">
        <f>Q141-T141</f>
        <v>3.75</v>
      </c>
      <c r="X141" s="519">
        <f t="shared" si="17"/>
        <v>4.24</v>
      </c>
      <c r="Y141" s="519">
        <f t="shared" si="18"/>
        <v>5.7700000000000005</v>
      </c>
    </row>
    <row r="142" spans="1:25">
      <c r="A142" s="529">
        <v>20120301</v>
      </c>
      <c r="B142" s="530" t="s">
        <v>409</v>
      </c>
      <c r="C142" s="530" t="str">
        <f t="shared" si="12"/>
        <v>20120301CTODP</v>
      </c>
      <c r="D142" s="530" t="s">
        <v>379</v>
      </c>
      <c r="E142" s="530" t="str">
        <f t="shared" si="13"/>
        <v>20120301LGCME593</v>
      </c>
      <c r="F142" s="531">
        <f>$F$102</f>
        <v>200</v>
      </c>
      <c r="G142" s="550">
        <v>3.3829999999999999E-2</v>
      </c>
      <c r="H142" s="550">
        <v>0</v>
      </c>
      <c r="I142" s="550">
        <v>0</v>
      </c>
      <c r="J142" s="550">
        <v>0</v>
      </c>
      <c r="K142" s="550">
        <v>0</v>
      </c>
      <c r="L142" s="550">
        <f t="shared" si="16"/>
        <v>2.215E-2</v>
      </c>
      <c r="M142" s="550">
        <f t="shared" si="14"/>
        <v>1.1679999999999999E-2</v>
      </c>
      <c r="N142" s="550">
        <f t="shared" si="15"/>
        <v>0</v>
      </c>
      <c r="O142" s="550">
        <f t="shared" si="15"/>
        <v>0</v>
      </c>
      <c r="P142" s="550">
        <f t="shared" si="15"/>
        <v>0</v>
      </c>
      <c r="Q142" s="531">
        <v>2.59</v>
      </c>
      <c r="R142" s="531">
        <v>4.1500000000000004</v>
      </c>
      <c r="S142" s="531">
        <v>5.65</v>
      </c>
      <c r="T142" s="531">
        <v>0.01</v>
      </c>
      <c r="U142" s="531">
        <v>0.01</v>
      </c>
      <c r="V142" s="531">
        <v>0.01</v>
      </c>
      <c r="W142" s="519">
        <f>Q142-T142</f>
        <v>2.58</v>
      </c>
      <c r="X142" s="519">
        <f t="shared" si="17"/>
        <v>4.1400000000000006</v>
      </c>
      <c r="Y142" s="519">
        <f t="shared" si="18"/>
        <v>5.6400000000000006</v>
      </c>
    </row>
    <row r="143" spans="1:25">
      <c r="A143" s="529">
        <v>20120301</v>
      </c>
      <c r="B143" s="530" t="s">
        <v>20</v>
      </c>
      <c r="C143" s="530" t="str">
        <f t="shared" si="12"/>
        <v>20120301PSS</v>
      </c>
      <c r="D143" s="530" t="s">
        <v>389</v>
      </c>
      <c r="E143" s="530" t="str">
        <f t="shared" si="13"/>
        <v>20120301LGINE661</v>
      </c>
      <c r="F143" s="531">
        <v>90</v>
      </c>
      <c r="G143" s="550">
        <v>3.4209999999999997E-2</v>
      </c>
      <c r="H143" s="550">
        <v>0</v>
      </c>
      <c r="I143" s="550">
        <v>0</v>
      </c>
      <c r="J143" s="550">
        <v>0</v>
      </c>
      <c r="K143" s="550">
        <v>0</v>
      </c>
      <c r="L143" s="550">
        <v>2.215E-2</v>
      </c>
      <c r="M143" s="520">
        <f t="shared" si="14"/>
        <v>1.2059999999999998E-2</v>
      </c>
      <c r="N143" s="550">
        <f t="shared" si="15"/>
        <v>0</v>
      </c>
      <c r="O143" s="550">
        <f t="shared" si="15"/>
        <v>0</v>
      </c>
      <c r="P143" s="550">
        <f t="shared" si="15"/>
        <v>0</v>
      </c>
      <c r="Q143" s="531">
        <v>0</v>
      </c>
      <c r="R143" s="531">
        <v>13.14</v>
      </c>
      <c r="S143" s="531">
        <v>15.39</v>
      </c>
      <c r="T143" s="531">
        <v>0</v>
      </c>
      <c r="U143" s="531">
        <v>0.03</v>
      </c>
      <c r="V143" s="531">
        <v>0.03</v>
      </c>
      <c r="W143" s="519">
        <v>0</v>
      </c>
      <c r="X143" s="519">
        <f t="shared" si="17"/>
        <v>13.110000000000001</v>
      </c>
      <c r="Y143" s="519">
        <f t="shared" si="18"/>
        <v>15.360000000000001</v>
      </c>
    </row>
    <row r="144" spans="1:25">
      <c r="A144" s="529">
        <v>20120301</v>
      </c>
      <c r="B144" s="530" t="s">
        <v>21</v>
      </c>
      <c r="C144" s="530" t="str">
        <f t="shared" si="12"/>
        <v>20120301PSP</v>
      </c>
      <c r="D144" s="530" t="s">
        <v>390</v>
      </c>
      <c r="E144" s="530" t="str">
        <f t="shared" si="13"/>
        <v>20120301LGINE663</v>
      </c>
      <c r="F144" s="531">
        <v>90</v>
      </c>
      <c r="G144" s="550">
        <v>3.4209999999999997E-2</v>
      </c>
      <c r="H144" s="550">
        <v>0</v>
      </c>
      <c r="I144" s="550">
        <v>0</v>
      </c>
      <c r="J144" s="550">
        <v>0</v>
      </c>
      <c r="K144" s="550">
        <v>0</v>
      </c>
      <c r="L144" s="550">
        <v>2.215E-2</v>
      </c>
      <c r="M144" s="520">
        <f t="shared" si="14"/>
        <v>1.2059999999999998E-2</v>
      </c>
      <c r="N144" s="550">
        <f t="shared" si="15"/>
        <v>0</v>
      </c>
      <c r="O144" s="550">
        <f t="shared" si="15"/>
        <v>0</v>
      </c>
      <c r="P144" s="550">
        <f t="shared" si="15"/>
        <v>0</v>
      </c>
      <c r="Q144" s="531">
        <v>0</v>
      </c>
      <c r="R144" s="531">
        <v>11.31</v>
      </c>
      <c r="S144" s="531">
        <v>13.55</v>
      </c>
      <c r="T144" s="531">
        <v>0</v>
      </c>
      <c r="U144" s="531">
        <v>0.03</v>
      </c>
      <c r="V144" s="531">
        <v>0.03</v>
      </c>
      <c r="W144" s="519">
        <v>0</v>
      </c>
      <c r="X144" s="519">
        <f t="shared" si="17"/>
        <v>11.280000000000001</v>
      </c>
      <c r="Y144" s="519">
        <f t="shared" si="18"/>
        <v>13.520000000000001</v>
      </c>
    </row>
    <row r="145" spans="1:25">
      <c r="A145" s="529">
        <v>20120301</v>
      </c>
      <c r="B145" s="530" t="s">
        <v>422</v>
      </c>
      <c r="C145" s="530" t="str">
        <f t="shared" si="12"/>
        <v>20120301ITODS</v>
      </c>
      <c r="D145" s="530" t="s">
        <v>391</v>
      </c>
      <c r="E145" s="530" t="str">
        <f t="shared" si="13"/>
        <v>20120301LGINE691</v>
      </c>
      <c r="F145" s="531">
        <v>300</v>
      </c>
      <c r="G145" s="520">
        <v>2.9839999999999998E-2</v>
      </c>
      <c r="H145" s="550">
        <v>0</v>
      </c>
      <c r="I145" s="550">
        <v>0</v>
      </c>
      <c r="J145" s="550">
        <v>0</v>
      </c>
      <c r="K145" s="550">
        <v>0</v>
      </c>
      <c r="L145" s="520">
        <v>2.215E-2</v>
      </c>
      <c r="M145" s="520">
        <f t="shared" si="14"/>
        <v>7.6899999999999989E-3</v>
      </c>
      <c r="N145" s="550">
        <f t="shared" si="15"/>
        <v>0</v>
      </c>
      <c r="O145" s="550">
        <f t="shared" si="15"/>
        <v>0</v>
      </c>
      <c r="P145" s="550">
        <f t="shared" si="15"/>
        <v>0</v>
      </c>
      <c r="Q145" s="531">
        <v>5.46</v>
      </c>
      <c r="R145" s="531">
        <v>3.68</v>
      </c>
      <c r="S145" s="531">
        <v>5.18</v>
      </c>
      <c r="T145" s="531">
        <v>0.01</v>
      </c>
      <c r="U145" s="531">
        <v>0.01</v>
      </c>
      <c r="V145" s="531">
        <v>0.01</v>
      </c>
      <c r="W145" s="519">
        <f t="shared" ref="W145:W150" si="19">Q145-T145</f>
        <v>5.45</v>
      </c>
      <c r="X145" s="519">
        <f t="shared" si="17"/>
        <v>3.6700000000000004</v>
      </c>
      <c r="Y145" s="519">
        <f t="shared" si="18"/>
        <v>5.17</v>
      </c>
    </row>
    <row r="146" spans="1:25">
      <c r="A146" s="529">
        <v>20120301</v>
      </c>
      <c r="B146" s="530" t="s">
        <v>421</v>
      </c>
      <c r="C146" s="530" t="str">
        <f t="shared" si="12"/>
        <v>20120301ITODP</v>
      </c>
      <c r="D146" s="530" t="s">
        <v>392</v>
      </c>
      <c r="E146" s="530" t="str">
        <f t="shared" si="13"/>
        <v>20120301LGINE693</v>
      </c>
      <c r="F146" s="531">
        <f>$F$106</f>
        <v>300</v>
      </c>
      <c r="G146" s="520">
        <v>2.9839999999999998E-2</v>
      </c>
      <c r="H146" s="550">
        <v>0</v>
      </c>
      <c r="I146" s="550">
        <v>0</v>
      </c>
      <c r="J146" s="550">
        <v>0</v>
      </c>
      <c r="K146" s="550">
        <v>0</v>
      </c>
      <c r="L146" s="520">
        <v>2.215E-2</v>
      </c>
      <c r="M146" s="520">
        <f t="shared" si="14"/>
        <v>7.6899999999999989E-3</v>
      </c>
      <c r="N146" s="550">
        <f t="shared" si="15"/>
        <v>0</v>
      </c>
      <c r="O146" s="550">
        <f t="shared" si="15"/>
        <v>0</v>
      </c>
      <c r="P146" s="550">
        <f t="shared" si="15"/>
        <v>0</v>
      </c>
      <c r="Q146" s="531">
        <v>4.17</v>
      </c>
      <c r="R146" s="531">
        <v>7.32</v>
      </c>
      <c r="S146" s="531">
        <v>10.119999999999999</v>
      </c>
      <c r="T146" s="531">
        <v>0.01</v>
      </c>
      <c r="U146" s="531">
        <v>0.01</v>
      </c>
      <c r="V146" s="531">
        <v>0.01</v>
      </c>
      <c r="W146" s="519">
        <f t="shared" si="19"/>
        <v>4.16</v>
      </c>
      <c r="X146" s="519">
        <f t="shared" si="17"/>
        <v>7.3100000000000005</v>
      </c>
      <c r="Y146" s="519">
        <f t="shared" si="18"/>
        <v>10.11</v>
      </c>
    </row>
    <row r="147" spans="1:25">
      <c r="A147" s="529">
        <v>20120301</v>
      </c>
      <c r="B147" s="530" t="s">
        <v>421</v>
      </c>
      <c r="C147" s="530" t="str">
        <f t="shared" si="12"/>
        <v>20120301ITODP</v>
      </c>
      <c r="D147" s="530" t="s">
        <v>393</v>
      </c>
      <c r="E147" s="530" t="str">
        <f t="shared" si="13"/>
        <v>20120301LGINE694</v>
      </c>
      <c r="F147" s="531">
        <f>$F$106</f>
        <v>300</v>
      </c>
      <c r="G147" s="520">
        <v>2.9839999999999998E-2</v>
      </c>
      <c r="H147" s="550">
        <v>0</v>
      </c>
      <c r="I147" s="550">
        <v>0</v>
      </c>
      <c r="J147" s="550">
        <v>0</v>
      </c>
      <c r="K147" s="550">
        <v>0</v>
      </c>
      <c r="L147" s="520">
        <v>2.215E-2</v>
      </c>
      <c r="M147" s="520">
        <f t="shared" si="14"/>
        <v>7.6899999999999989E-3</v>
      </c>
      <c r="N147" s="550">
        <f t="shared" si="15"/>
        <v>0</v>
      </c>
      <c r="O147" s="550">
        <f t="shared" si="15"/>
        <v>0</v>
      </c>
      <c r="P147" s="550">
        <f t="shared" si="15"/>
        <v>0</v>
      </c>
      <c r="Q147" s="531">
        <v>4.17</v>
      </c>
      <c r="R147" s="531">
        <v>7.32</v>
      </c>
      <c r="S147" s="531">
        <v>10.119999999999999</v>
      </c>
      <c r="T147" s="531">
        <v>0.01</v>
      </c>
      <c r="U147" s="531">
        <v>0.01</v>
      </c>
      <c r="V147" s="531">
        <v>0.01</v>
      </c>
      <c r="W147" s="519">
        <f t="shared" si="19"/>
        <v>4.16</v>
      </c>
      <c r="X147" s="519">
        <f t="shared" si="17"/>
        <v>7.3100000000000005</v>
      </c>
      <c r="Y147" s="519">
        <f t="shared" si="18"/>
        <v>10.11</v>
      </c>
    </row>
    <row r="148" spans="1:25">
      <c r="A148" s="529">
        <v>20120301</v>
      </c>
      <c r="B148" s="530" t="s">
        <v>15</v>
      </c>
      <c r="C148" s="530" t="str">
        <f t="shared" si="12"/>
        <v>20120301RTS</v>
      </c>
      <c r="D148" s="530" t="s">
        <v>388</v>
      </c>
      <c r="E148" s="530" t="str">
        <f t="shared" si="13"/>
        <v>20120301LGINE643</v>
      </c>
      <c r="F148" s="531">
        <v>500</v>
      </c>
      <c r="G148" s="550">
        <v>2.9839999999999998E-2</v>
      </c>
      <c r="H148" s="550">
        <v>0</v>
      </c>
      <c r="I148" s="550">
        <v>0</v>
      </c>
      <c r="J148" s="550">
        <v>0</v>
      </c>
      <c r="K148" s="550">
        <v>0</v>
      </c>
      <c r="L148" s="550">
        <v>2.215E-2</v>
      </c>
      <c r="M148" s="550">
        <f t="shared" si="14"/>
        <v>7.6899999999999989E-3</v>
      </c>
      <c r="N148" s="550">
        <f t="shared" si="15"/>
        <v>0</v>
      </c>
      <c r="O148" s="550">
        <f t="shared" si="15"/>
        <v>0</v>
      </c>
      <c r="P148" s="550">
        <f t="shared" si="15"/>
        <v>0</v>
      </c>
      <c r="Q148" s="531">
        <v>2.57</v>
      </c>
      <c r="R148" s="531">
        <v>2.82</v>
      </c>
      <c r="S148" s="531">
        <v>4.32</v>
      </c>
      <c r="T148" s="531">
        <v>0.01</v>
      </c>
      <c r="U148" s="531">
        <v>0.01</v>
      </c>
      <c r="V148" s="531">
        <v>0.01</v>
      </c>
      <c r="W148" s="519">
        <f t="shared" si="19"/>
        <v>2.56</v>
      </c>
      <c r="X148" s="519">
        <f t="shared" si="17"/>
        <v>2.81</v>
      </c>
      <c r="Y148" s="519">
        <f t="shared" si="18"/>
        <v>4.3100000000000005</v>
      </c>
    </row>
    <row r="149" spans="1:25">
      <c r="A149" s="529">
        <v>20120301</v>
      </c>
      <c r="B149" s="530" t="s">
        <v>22</v>
      </c>
      <c r="C149" s="530" t="str">
        <f t="shared" si="12"/>
        <v>20120301FLSP</v>
      </c>
      <c r="D149" s="205" t="s">
        <v>816</v>
      </c>
      <c r="E149" s="530" t="str">
        <f t="shared" si="13"/>
        <v>20120301LGINE682</v>
      </c>
      <c r="F149" s="531">
        <v>500</v>
      </c>
      <c r="G149" s="550">
        <v>3.7100000000000001E-2</v>
      </c>
      <c r="H149" s="550">
        <v>0</v>
      </c>
      <c r="I149" s="550">
        <v>0</v>
      </c>
      <c r="J149" s="550">
        <v>0</v>
      </c>
      <c r="K149" s="550">
        <v>0</v>
      </c>
      <c r="L149" s="550">
        <v>2.215E-2</v>
      </c>
      <c r="M149" s="550">
        <f t="shared" si="14"/>
        <v>1.4950000000000001E-2</v>
      </c>
      <c r="N149" s="550">
        <f t="shared" si="15"/>
        <v>0</v>
      </c>
      <c r="O149" s="550">
        <f t="shared" si="15"/>
        <v>0</v>
      </c>
      <c r="P149" s="550">
        <f t="shared" si="15"/>
        <v>0</v>
      </c>
      <c r="Q149" s="531">
        <v>1.71</v>
      </c>
      <c r="R149" s="531">
        <v>1.71</v>
      </c>
      <c r="S149" s="531">
        <v>2.71</v>
      </c>
      <c r="T149" s="531">
        <v>0.01</v>
      </c>
      <c r="U149" s="531">
        <v>0.01</v>
      </c>
      <c r="V149" s="531">
        <v>0.01</v>
      </c>
      <c r="W149" s="519">
        <f t="shared" si="19"/>
        <v>1.7</v>
      </c>
      <c r="X149" s="519">
        <f t="shared" si="17"/>
        <v>1.7</v>
      </c>
      <c r="Y149" s="519">
        <f t="shared" si="18"/>
        <v>2.7</v>
      </c>
    </row>
    <row r="150" spans="1:25">
      <c r="A150" s="529">
        <v>20120301</v>
      </c>
      <c r="B150" s="530" t="s">
        <v>23</v>
      </c>
      <c r="C150" s="530" t="str">
        <f t="shared" si="12"/>
        <v>20120301FLST</v>
      </c>
      <c r="D150" s="205" t="s">
        <v>817</v>
      </c>
      <c r="E150" s="530" t="str">
        <f t="shared" si="13"/>
        <v>20120301LGINE683</v>
      </c>
      <c r="F150" s="531">
        <v>500</v>
      </c>
      <c r="G150" s="550">
        <v>3.4279999999999998E-2</v>
      </c>
      <c r="H150" s="550">
        <v>0</v>
      </c>
      <c r="I150" s="550">
        <v>0</v>
      </c>
      <c r="J150" s="550">
        <v>0</v>
      </c>
      <c r="K150" s="550">
        <v>0</v>
      </c>
      <c r="L150" s="550">
        <v>2.215E-2</v>
      </c>
      <c r="M150" s="550">
        <f t="shared" si="14"/>
        <v>1.2129999999999998E-2</v>
      </c>
      <c r="N150" s="550">
        <f t="shared" si="15"/>
        <v>0</v>
      </c>
      <c r="O150" s="550">
        <f t="shared" si="15"/>
        <v>0</v>
      </c>
      <c r="P150" s="550">
        <f t="shared" si="15"/>
        <v>0</v>
      </c>
      <c r="Q150" s="531">
        <v>0.96</v>
      </c>
      <c r="R150" s="531">
        <v>1.71</v>
      </c>
      <c r="S150" s="531">
        <v>2.71</v>
      </c>
      <c r="T150" s="531">
        <v>0.01</v>
      </c>
      <c r="U150" s="531">
        <v>0.01</v>
      </c>
      <c r="V150" s="531">
        <v>0.01</v>
      </c>
      <c r="W150" s="519">
        <f t="shared" si="19"/>
        <v>0.95</v>
      </c>
      <c r="X150" s="519">
        <f t="shared" si="17"/>
        <v>1.7</v>
      </c>
      <c r="Y150" s="519">
        <f t="shared" si="18"/>
        <v>2.7</v>
      </c>
    </row>
    <row r="151" spans="1:25">
      <c r="A151" s="529">
        <v>20120301</v>
      </c>
      <c r="B151" s="530" t="s">
        <v>17</v>
      </c>
      <c r="C151" s="530" t="str">
        <f t="shared" si="12"/>
        <v>20120301LE</v>
      </c>
      <c r="D151" s="530" t="s">
        <v>394</v>
      </c>
      <c r="E151" s="530" t="str">
        <f t="shared" si="13"/>
        <v>20120301LGMLE570</v>
      </c>
      <c r="F151" s="531">
        <v>0</v>
      </c>
      <c r="G151" s="550">
        <v>5.6460000000000003E-2</v>
      </c>
      <c r="H151" s="550">
        <v>0</v>
      </c>
      <c r="I151" s="550">
        <v>0</v>
      </c>
      <c r="J151" s="550">
        <v>0</v>
      </c>
      <c r="K151" s="550">
        <v>6.0000000000000002E-5</v>
      </c>
      <c r="L151" s="520">
        <v>2.215E-2</v>
      </c>
      <c r="M151" s="520">
        <f t="shared" si="14"/>
        <v>3.4250000000000003E-2</v>
      </c>
      <c r="N151" s="550">
        <f t="shared" si="15"/>
        <v>0</v>
      </c>
      <c r="O151" s="550">
        <f t="shared" si="15"/>
        <v>0</v>
      </c>
      <c r="P151" s="550">
        <f t="shared" si="15"/>
        <v>0</v>
      </c>
      <c r="Q151" s="531">
        <v>0</v>
      </c>
      <c r="R151" s="531">
        <v>0</v>
      </c>
      <c r="S151" s="531">
        <v>0</v>
      </c>
      <c r="T151" s="531">
        <v>0</v>
      </c>
      <c r="U151" s="531">
        <v>0</v>
      </c>
      <c r="V151" s="531">
        <v>0</v>
      </c>
      <c r="W151" s="531">
        <v>0</v>
      </c>
      <c r="X151" s="531">
        <v>0</v>
      </c>
      <c r="Y151" s="531">
        <v>0</v>
      </c>
    </row>
    <row r="152" spans="1:25">
      <c r="A152" s="529">
        <v>20120301</v>
      </c>
      <c r="B152" s="530" t="s">
        <v>17</v>
      </c>
      <c r="C152" s="530" t="str">
        <f t="shared" si="12"/>
        <v>20120301LE</v>
      </c>
      <c r="D152" s="530" t="s">
        <v>395</v>
      </c>
      <c r="E152" s="530" t="str">
        <f t="shared" si="13"/>
        <v>20120301LGMLE571</v>
      </c>
      <c r="F152" s="531">
        <v>0</v>
      </c>
      <c r="G152" s="550">
        <v>5.6460000000000003E-2</v>
      </c>
      <c r="H152" s="550">
        <v>0</v>
      </c>
      <c r="I152" s="550">
        <v>0</v>
      </c>
      <c r="J152" s="550">
        <v>0</v>
      </c>
      <c r="K152" s="550">
        <v>6.0000000000000002E-5</v>
      </c>
      <c r="L152" s="520">
        <v>2.215E-2</v>
      </c>
      <c r="M152" s="520">
        <f t="shared" si="14"/>
        <v>3.4250000000000003E-2</v>
      </c>
      <c r="N152" s="550">
        <f t="shared" si="15"/>
        <v>0</v>
      </c>
      <c r="O152" s="550">
        <f t="shared" si="15"/>
        <v>0</v>
      </c>
      <c r="P152" s="550">
        <f t="shared" si="15"/>
        <v>0</v>
      </c>
      <c r="Q152" s="531">
        <v>0</v>
      </c>
      <c r="R152" s="531">
        <v>0</v>
      </c>
      <c r="S152" s="531">
        <v>0</v>
      </c>
      <c r="T152" s="531">
        <v>0</v>
      </c>
      <c r="U152" s="531">
        <v>0</v>
      </c>
      <c r="V152" s="531">
        <v>0</v>
      </c>
      <c r="W152" s="531">
        <v>0</v>
      </c>
      <c r="X152" s="531">
        <v>0</v>
      </c>
      <c r="Y152" s="531">
        <v>0</v>
      </c>
    </row>
    <row r="153" spans="1:25">
      <c r="A153" s="529">
        <v>20120301</v>
      </c>
      <c r="B153" s="530" t="s">
        <v>17</v>
      </c>
      <c r="C153" s="530" t="str">
        <f t="shared" si="12"/>
        <v>20120301LE</v>
      </c>
      <c r="D153" s="530" t="s">
        <v>396</v>
      </c>
      <c r="E153" s="530" t="str">
        <f t="shared" si="13"/>
        <v>20120301LGMLE572</v>
      </c>
      <c r="F153" s="531">
        <v>0</v>
      </c>
      <c r="G153" s="550">
        <v>5.6460000000000003E-2</v>
      </c>
      <c r="H153" s="550">
        <v>0</v>
      </c>
      <c r="I153" s="550">
        <v>0</v>
      </c>
      <c r="J153" s="550">
        <v>0</v>
      </c>
      <c r="K153" s="550">
        <v>6.0000000000000002E-5</v>
      </c>
      <c r="L153" s="520">
        <v>2.215E-2</v>
      </c>
      <c r="M153" s="520">
        <f t="shared" si="14"/>
        <v>3.4250000000000003E-2</v>
      </c>
      <c r="N153" s="550">
        <f t="shared" si="15"/>
        <v>0</v>
      </c>
      <c r="O153" s="550">
        <f t="shared" si="15"/>
        <v>0</v>
      </c>
      <c r="P153" s="550">
        <f t="shared" si="15"/>
        <v>0</v>
      </c>
      <c r="Q153" s="531">
        <v>0</v>
      </c>
      <c r="R153" s="531">
        <v>0</v>
      </c>
      <c r="S153" s="531">
        <v>0</v>
      </c>
      <c r="T153" s="531">
        <v>0</v>
      </c>
      <c r="U153" s="531">
        <v>0</v>
      </c>
      <c r="V153" s="531">
        <v>0</v>
      </c>
      <c r="W153" s="531">
        <v>0</v>
      </c>
      <c r="X153" s="531">
        <v>0</v>
      </c>
      <c r="Y153" s="531">
        <v>0</v>
      </c>
    </row>
    <row r="154" spans="1:25">
      <c r="A154" s="529">
        <v>20120301</v>
      </c>
      <c r="B154" s="530" t="s">
        <v>18</v>
      </c>
      <c r="C154" s="530" t="str">
        <f t="shared" si="12"/>
        <v>20120301TE</v>
      </c>
      <c r="D154" s="530" t="s">
        <v>397</v>
      </c>
      <c r="E154" s="530" t="str">
        <f t="shared" si="13"/>
        <v>20120301LGMLE573</v>
      </c>
      <c r="F154" s="531">
        <v>3.14</v>
      </c>
      <c r="G154" s="550">
        <v>6.8040000000000003E-2</v>
      </c>
      <c r="H154" s="550">
        <v>0</v>
      </c>
      <c r="I154" s="550">
        <v>0</v>
      </c>
      <c r="J154" s="550">
        <v>0</v>
      </c>
      <c r="K154" s="550">
        <v>6.0000000000000002E-5</v>
      </c>
      <c r="L154" s="520">
        <v>2.215E-2</v>
      </c>
      <c r="M154" s="520">
        <f t="shared" si="14"/>
        <v>4.5829999999999996E-2</v>
      </c>
      <c r="N154" s="550">
        <f t="shared" si="15"/>
        <v>0</v>
      </c>
      <c r="O154" s="550">
        <f t="shared" si="15"/>
        <v>0</v>
      </c>
      <c r="P154" s="550">
        <f t="shared" si="15"/>
        <v>0</v>
      </c>
      <c r="Q154" s="531">
        <v>0</v>
      </c>
      <c r="R154" s="531">
        <v>0</v>
      </c>
      <c r="S154" s="531">
        <v>0</v>
      </c>
      <c r="T154" s="531">
        <v>0</v>
      </c>
      <c r="U154" s="531">
        <v>0</v>
      </c>
      <c r="V154" s="531">
        <v>0</v>
      </c>
      <c r="W154" s="531">
        <v>0</v>
      </c>
      <c r="X154" s="531">
        <v>0</v>
      </c>
      <c r="Y154" s="531">
        <v>0</v>
      </c>
    </row>
    <row r="155" spans="1:25">
      <c r="A155" s="529">
        <v>20120301</v>
      </c>
      <c r="B155" s="530" t="s">
        <v>18</v>
      </c>
      <c r="C155" s="530" t="str">
        <f t="shared" si="12"/>
        <v>20120301TE</v>
      </c>
      <c r="D155" s="530" t="s">
        <v>398</v>
      </c>
      <c r="E155" s="530" t="str">
        <f t="shared" si="13"/>
        <v>20120301LGMLE574</v>
      </c>
      <c r="F155" s="531">
        <v>3.14</v>
      </c>
      <c r="G155" s="550">
        <v>6.8040000000000003E-2</v>
      </c>
      <c r="H155" s="550">
        <v>0</v>
      </c>
      <c r="I155" s="550">
        <v>0</v>
      </c>
      <c r="J155" s="550">
        <v>0</v>
      </c>
      <c r="K155" s="550">
        <v>6.0000000000000002E-5</v>
      </c>
      <c r="L155" s="520">
        <v>2.215E-2</v>
      </c>
      <c r="M155" s="520">
        <f t="shared" si="14"/>
        <v>4.5829999999999996E-2</v>
      </c>
      <c r="N155" s="550">
        <f t="shared" si="15"/>
        <v>0</v>
      </c>
      <c r="O155" s="550">
        <f t="shared" si="15"/>
        <v>0</v>
      </c>
      <c r="P155" s="550">
        <f t="shared" si="15"/>
        <v>0</v>
      </c>
      <c r="Q155" s="531">
        <v>0</v>
      </c>
      <c r="R155" s="531">
        <v>0</v>
      </c>
      <c r="S155" s="531">
        <v>0</v>
      </c>
      <c r="T155" s="531">
        <v>0</v>
      </c>
      <c r="U155" s="531">
        <v>0</v>
      </c>
      <c r="V155" s="531">
        <v>0</v>
      </c>
      <c r="W155" s="531">
        <v>0</v>
      </c>
      <c r="X155" s="531">
        <v>0</v>
      </c>
      <c r="Y155" s="531">
        <v>0</v>
      </c>
    </row>
    <row r="156" spans="1:25">
      <c r="A156" s="529">
        <v>20120301</v>
      </c>
      <c r="B156" s="530" t="s">
        <v>18</v>
      </c>
      <c r="C156" s="530" t="str">
        <f t="shared" si="12"/>
        <v>20120301TE</v>
      </c>
      <c r="D156" s="205" t="s">
        <v>818</v>
      </c>
      <c r="E156" s="530" t="str">
        <f t="shared" si="13"/>
        <v>20120301LGMLE575</v>
      </c>
      <c r="F156" s="531">
        <v>3.14</v>
      </c>
      <c r="G156" s="550">
        <v>6.8040000000000003E-2</v>
      </c>
      <c r="H156" s="550">
        <v>0</v>
      </c>
      <c r="I156" s="550">
        <v>0</v>
      </c>
      <c r="J156" s="550">
        <v>0</v>
      </c>
      <c r="K156" s="550">
        <v>6.0000000000000002E-5</v>
      </c>
      <c r="L156" s="520">
        <v>2.215E-2</v>
      </c>
      <c r="M156" s="520">
        <f t="shared" si="14"/>
        <v>4.5829999999999996E-2</v>
      </c>
      <c r="N156" s="550">
        <f t="shared" si="15"/>
        <v>0</v>
      </c>
      <c r="O156" s="550">
        <f t="shared" si="15"/>
        <v>0</v>
      </c>
      <c r="P156" s="550">
        <f t="shared" si="15"/>
        <v>0</v>
      </c>
      <c r="Q156" s="531">
        <v>0</v>
      </c>
      <c r="R156" s="531">
        <v>0</v>
      </c>
      <c r="S156" s="531">
        <v>0</v>
      </c>
      <c r="T156" s="531">
        <v>0</v>
      </c>
      <c r="U156" s="531">
        <v>0</v>
      </c>
      <c r="V156" s="531">
        <v>0</v>
      </c>
      <c r="W156" s="531">
        <v>0</v>
      </c>
      <c r="X156" s="531">
        <v>0</v>
      </c>
      <c r="Y156" s="531">
        <v>0</v>
      </c>
    </row>
    <row r="157" spans="1:25">
      <c r="A157" s="529">
        <v>20120301</v>
      </c>
      <c r="B157" s="530" t="s">
        <v>18</v>
      </c>
      <c r="C157" s="530" t="str">
        <f t="shared" si="12"/>
        <v>20120301TE</v>
      </c>
      <c r="D157" s="205" t="s">
        <v>819</v>
      </c>
      <c r="E157" s="530" t="str">
        <f t="shared" si="13"/>
        <v>20120301LGMLE577</v>
      </c>
      <c r="F157" s="531">
        <v>3.14</v>
      </c>
      <c r="G157" s="550">
        <v>6.8040000000000003E-2</v>
      </c>
      <c r="H157" s="550">
        <v>0</v>
      </c>
      <c r="I157" s="550">
        <v>0</v>
      </c>
      <c r="J157" s="550">
        <v>0</v>
      </c>
      <c r="K157" s="550">
        <v>6.0000000000000002E-5</v>
      </c>
      <c r="L157" s="520">
        <v>2.215E-2</v>
      </c>
      <c r="M157" s="520">
        <f t="shared" si="14"/>
        <v>4.5829999999999996E-2</v>
      </c>
      <c r="N157" s="550">
        <f t="shared" si="15"/>
        <v>0</v>
      </c>
      <c r="O157" s="550">
        <f t="shared" si="15"/>
        <v>0</v>
      </c>
      <c r="P157" s="550">
        <f t="shared" si="15"/>
        <v>0</v>
      </c>
      <c r="Q157" s="531">
        <v>0</v>
      </c>
      <c r="R157" s="531">
        <v>0</v>
      </c>
      <c r="S157" s="531">
        <v>0</v>
      </c>
      <c r="T157" s="531">
        <v>0</v>
      </c>
      <c r="U157" s="531">
        <v>0</v>
      </c>
      <c r="V157" s="531">
        <v>0</v>
      </c>
      <c r="W157" s="531">
        <v>0</v>
      </c>
      <c r="X157" s="531">
        <v>0</v>
      </c>
      <c r="Y157" s="531">
        <v>0</v>
      </c>
    </row>
    <row r="158" spans="1:25">
      <c r="A158" s="529">
        <v>20120301</v>
      </c>
      <c r="B158" s="530" t="s">
        <v>412</v>
      </c>
      <c r="C158" s="530" t="str">
        <f t="shared" si="12"/>
        <v>20120301FK</v>
      </c>
      <c r="D158" s="530" t="s">
        <v>387</v>
      </c>
      <c r="E158" s="530" t="str">
        <f t="shared" si="13"/>
        <v>20120301LGINE599</v>
      </c>
      <c r="F158" s="531">
        <v>0</v>
      </c>
      <c r="G158" s="550">
        <v>3.04E-2</v>
      </c>
      <c r="H158" s="550">
        <v>0</v>
      </c>
      <c r="I158" s="550">
        <v>0</v>
      </c>
      <c r="J158" s="550">
        <v>0</v>
      </c>
      <c r="K158" s="550">
        <v>0</v>
      </c>
      <c r="L158" s="550">
        <v>2.215E-2</v>
      </c>
      <c r="M158" s="550">
        <f t="shared" si="14"/>
        <v>8.2500000000000004E-3</v>
      </c>
      <c r="N158" s="550">
        <v>0</v>
      </c>
      <c r="O158" s="550">
        <v>0</v>
      </c>
      <c r="P158" s="550">
        <v>0</v>
      </c>
      <c r="Q158" s="550">
        <v>0</v>
      </c>
      <c r="R158" s="531">
        <v>11.65</v>
      </c>
      <c r="S158" s="531">
        <v>13.84</v>
      </c>
      <c r="T158" s="531">
        <v>0</v>
      </c>
      <c r="U158" s="531">
        <v>0.02</v>
      </c>
      <c r="V158" s="531">
        <v>0.02</v>
      </c>
      <c r="W158" s="531">
        <v>0</v>
      </c>
      <c r="X158" s="519">
        <f>R158-U158</f>
        <v>11.63</v>
      </c>
      <c r="Y158" s="519">
        <f>S158-V158</f>
        <v>13.82</v>
      </c>
    </row>
    <row r="159" spans="1:25">
      <c r="A159" s="529">
        <v>20120301</v>
      </c>
      <c r="B159" s="530" t="s">
        <v>425</v>
      </c>
      <c r="C159" s="530" t="str">
        <f>A159&amp;B159</f>
        <v>20120301LWC</v>
      </c>
      <c r="D159" s="530" t="s">
        <v>385</v>
      </c>
      <c r="E159" s="530" t="str">
        <f>A159&amp;D159</f>
        <v>20120301LGCME671</v>
      </c>
      <c r="F159" s="531">
        <v>0</v>
      </c>
      <c r="G159" s="550">
        <v>3.039E-2</v>
      </c>
      <c r="H159" s="550">
        <v>0</v>
      </c>
      <c r="I159" s="550">
        <v>0</v>
      </c>
      <c r="J159" s="550">
        <v>0</v>
      </c>
      <c r="K159" s="550">
        <v>0</v>
      </c>
      <c r="L159" s="550">
        <v>2.215E-2</v>
      </c>
      <c r="M159" s="550">
        <f t="shared" si="14"/>
        <v>8.2400000000000008E-3</v>
      </c>
      <c r="N159" s="550">
        <v>0</v>
      </c>
      <c r="O159" s="550">
        <v>0</v>
      </c>
      <c r="P159" s="550">
        <v>0</v>
      </c>
      <c r="Q159" s="550">
        <v>0</v>
      </c>
      <c r="R159" s="531">
        <v>9.8699999999999992</v>
      </c>
      <c r="S159" s="531">
        <v>9.8699999999999992</v>
      </c>
      <c r="T159" s="531">
        <v>0</v>
      </c>
      <c r="U159" s="531">
        <v>0.02</v>
      </c>
      <c r="V159" s="531">
        <v>0.02</v>
      </c>
      <c r="W159" s="531">
        <v>0</v>
      </c>
      <c r="X159" s="519">
        <f>R159-U159</f>
        <v>9.85</v>
      </c>
      <c r="Y159" s="519">
        <f>S159-V159</f>
        <v>9.85</v>
      </c>
    </row>
    <row r="160" spans="1:25">
      <c r="A160" s="529">
        <v>20120301</v>
      </c>
      <c r="B160" s="530" t="s">
        <v>641</v>
      </c>
      <c r="C160" s="530" t="str">
        <f>A160&amp;B160</f>
        <v>20120301LEV</v>
      </c>
      <c r="D160" s="205" t="s">
        <v>706</v>
      </c>
      <c r="E160" s="530" t="str">
        <f>A160&amp;D160</f>
        <v>20120301LGRSE543</v>
      </c>
      <c r="F160" s="531">
        <v>8.5</v>
      </c>
      <c r="G160" s="550">
        <v>5.0460000000000005E-2</v>
      </c>
      <c r="H160" s="550">
        <v>7.0699999999999999E-2</v>
      </c>
      <c r="I160" s="550">
        <v>0.13447999999999999</v>
      </c>
      <c r="J160" s="550">
        <v>0</v>
      </c>
      <c r="K160" s="550">
        <v>6.9999999999999994E-5</v>
      </c>
      <c r="L160" s="520">
        <v>2.215E-2</v>
      </c>
      <c r="M160" s="550">
        <f t="shared" si="14"/>
        <v>2.8240000000000005E-2</v>
      </c>
      <c r="N160" s="550">
        <f>H160-K160-L160</f>
        <v>4.8479999999999995E-2</v>
      </c>
      <c r="O160" s="550">
        <f>I160-K160-L160</f>
        <v>0.11226</v>
      </c>
      <c r="P160" s="550">
        <v>0</v>
      </c>
      <c r="Q160" s="531">
        <v>0</v>
      </c>
      <c r="R160" s="531">
        <v>0</v>
      </c>
      <c r="S160" s="531">
        <v>0</v>
      </c>
      <c r="T160" s="531">
        <v>0</v>
      </c>
      <c r="U160" s="531">
        <v>0</v>
      </c>
      <c r="V160" s="531">
        <v>0</v>
      </c>
      <c r="W160" s="531">
        <v>0</v>
      </c>
      <c r="X160" s="531">
        <v>0</v>
      </c>
      <c r="Y160" s="531">
        <v>0</v>
      </c>
    </row>
    <row r="161" spans="1:25">
      <c r="A161" s="537">
        <v>20130101</v>
      </c>
      <c r="B161" s="535" t="s">
        <v>13</v>
      </c>
      <c r="C161" s="535" t="str">
        <f t="shared" ref="C161:C199" si="20">A161&amp;B161</f>
        <v>20130101RS</v>
      </c>
      <c r="D161" s="535" t="s">
        <v>399</v>
      </c>
      <c r="E161" s="535" t="str">
        <f t="shared" ref="E161:E199" si="21">A161&amp;D161</f>
        <v>20130101LGRSE411</v>
      </c>
      <c r="F161" s="536">
        <v>0</v>
      </c>
      <c r="G161" s="551">
        <v>7.4389999999999998E-2</v>
      </c>
      <c r="H161" s="551">
        <v>0</v>
      </c>
      <c r="I161" s="551">
        <v>0</v>
      </c>
      <c r="J161" s="551">
        <v>0</v>
      </c>
      <c r="K161" s="551">
        <v>6.9999999999999994E-5</v>
      </c>
      <c r="L161" s="511">
        <v>2.215E-2</v>
      </c>
      <c r="M161" s="551">
        <f t="shared" ref="M161:M224" si="22">G161-K161-L161</f>
        <v>5.2169999999999994E-2</v>
      </c>
      <c r="N161" s="551">
        <f t="shared" ref="N161:P165" si="23">IF(H161=0,0,H161-$K161-$L161)</f>
        <v>0</v>
      </c>
      <c r="O161" s="551">
        <f t="shared" si="23"/>
        <v>0</v>
      </c>
      <c r="P161" s="551">
        <f t="shared" si="23"/>
        <v>0</v>
      </c>
      <c r="Q161" s="536">
        <v>0</v>
      </c>
      <c r="R161" s="536">
        <v>0</v>
      </c>
      <c r="S161" s="536">
        <v>0</v>
      </c>
      <c r="T161" s="536">
        <v>0</v>
      </c>
      <c r="U161" s="536">
        <v>0</v>
      </c>
      <c r="V161" s="536">
        <v>0</v>
      </c>
      <c r="W161" s="536">
        <v>0</v>
      </c>
      <c r="X161" s="536">
        <v>0</v>
      </c>
      <c r="Y161" s="536">
        <v>0</v>
      </c>
    </row>
    <row r="162" spans="1:25">
      <c r="A162" s="537">
        <v>20130101</v>
      </c>
      <c r="B162" s="538" t="s">
        <v>417</v>
      </c>
      <c r="C162" s="535" t="str">
        <f t="shared" si="20"/>
        <v>20130101GSWH</v>
      </c>
      <c r="D162" s="535" t="s">
        <v>368</v>
      </c>
      <c r="E162" s="535" t="str">
        <f t="shared" si="21"/>
        <v>20130101LGCME451</v>
      </c>
      <c r="F162" s="536">
        <v>0</v>
      </c>
      <c r="G162" s="551">
        <v>8.4659999999999999E-2</v>
      </c>
      <c r="H162" s="551">
        <v>0</v>
      </c>
      <c r="I162" s="551">
        <v>0</v>
      </c>
      <c r="J162" s="551">
        <v>0</v>
      </c>
      <c r="K162" s="551">
        <v>9.0000000000000006E-5</v>
      </c>
      <c r="L162" s="551">
        <f>$L$83</f>
        <v>2.215E-2</v>
      </c>
      <c r="M162" s="551">
        <f t="shared" si="22"/>
        <v>6.2419999999999989E-2</v>
      </c>
      <c r="N162" s="551">
        <f t="shared" si="23"/>
        <v>0</v>
      </c>
      <c r="O162" s="551">
        <f t="shared" si="23"/>
        <v>0</v>
      </c>
      <c r="P162" s="551">
        <f t="shared" si="23"/>
        <v>0</v>
      </c>
      <c r="Q162" s="536">
        <v>0</v>
      </c>
      <c r="R162" s="536">
        <v>0</v>
      </c>
      <c r="S162" s="536">
        <v>0</v>
      </c>
      <c r="T162" s="536">
        <v>0</v>
      </c>
      <c r="U162" s="536">
        <v>0</v>
      </c>
      <c r="V162" s="536">
        <v>0</v>
      </c>
      <c r="W162" s="536">
        <v>0</v>
      </c>
      <c r="X162" s="536">
        <v>0</v>
      </c>
      <c r="Y162" s="536">
        <v>0</v>
      </c>
    </row>
    <row r="163" spans="1:25">
      <c r="A163" s="537">
        <v>20130101</v>
      </c>
      <c r="B163" s="535" t="s">
        <v>13</v>
      </c>
      <c r="C163" s="535" t="str">
        <f t="shared" si="20"/>
        <v>20130101RS</v>
      </c>
      <c r="D163" s="535" t="s">
        <v>400</v>
      </c>
      <c r="E163" s="535" t="str">
        <f t="shared" si="21"/>
        <v>20130101LGRSE511</v>
      </c>
      <c r="F163" s="536">
        <v>10.75</v>
      </c>
      <c r="G163" s="551">
        <v>7.4389999999999998E-2</v>
      </c>
      <c r="H163" s="551">
        <v>0</v>
      </c>
      <c r="I163" s="551">
        <v>0</v>
      </c>
      <c r="J163" s="551">
        <v>0</v>
      </c>
      <c r="K163" s="551">
        <v>6.9999999999999994E-5</v>
      </c>
      <c r="L163" s="511">
        <v>2.215E-2</v>
      </c>
      <c r="M163" s="551">
        <f t="shared" si="22"/>
        <v>5.2169999999999994E-2</v>
      </c>
      <c r="N163" s="551">
        <f t="shared" si="23"/>
        <v>0</v>
      </c>
      <c r="O163" s="551">
        <f t="shared" si="23"/>
        <v>0</v>
      </c>
      <c r="P163" s="551">
        <f t="shared" si="23"/>
        <v>0</v>
      </c>
      <c r="Q163" s="536">
        <v>0</v>
      </c>
      <c r="R163" s="536">
        <v>0</v>
      </c>
      <c r="S163" s="536">
        <v>0</v>
      </c>
      <c r="T163" s="536">
        <v>0</v>
      </c>
      <c r="U163" s="536">
        <v>0</v>
      </c>
      <c r="V163" s="536">
        <v>0</v>
      </c>
      <c r="W163" s="536">
        <v>0</v>
      </c>
      <c r="X163" s="536">
        <v>0</v>
      </c>
      <c r="Y163" s="536">
        <v>0</v>
      </c>
    </row>
    <row r="164" spans="1:25">
      <c r="A164" s="537">
        <v>20130101</v>
      </c>
      <c r="B164" s="535" t="s">
        <v>13</v>
      </c>
      <c r="C164" s="535" t="str">
        <f t="shared" si="20"/>
        <v>20130101RS</v>
      </c>
      <c r="D164" s="535" t="s">
        <v>401</v>
      </c>
      <c r="E164" s="535" t="str">
        <f t="shared" si="21"/>
        <v>20130101LGRSE519</v>
      </c>
      <c r="F164" s="536">
        <v>10.75</v>
      </c>
      <c r="G164" s="551">
        <v>7.4389999999999998E-2</v>
      </c>
      <c r="H164" s="551">
        <v>0</v>
      </c>
      <c r="I164" s="551">
        <v>0</v>
      </c>
      <c r="J164" s="551">
        <v>0</v>
      </c>
      <c r="K164" s="551">
        <v>6.9999999999999994E-5</v>
      </c>
      <c r="L164" s="511">
        <v>2.215E-2</v>
      </c>
      <c r="M164" s="551">
        <f t="shared" si="22"/>
        <v>5.2169999999999994E-2</v>
      </c>
      <c r="N164" s="551">
        <f t="shared" si="23"/>
        <v>0</v>
      </c>
      <c r="O164" s="551">
        <f t="shared" si="23"/>
        <v>0</v>
      </c>
      <c r="P164" s="551">
        <f t="shared" si="23"/>
        <v>0</v>
      </c>
      <c r="Q164" s="536">
        <v>0</v>
      </c>
      <c r="R164" s="536">
        <v>0</v>
      </c>
      <c r="S164" s="536">
        <v>0</v>
      </c>
      <c r="T164" s="536">
        <v>0</v>
      </c>
      <c r="U164" s="536">
        <v>0</v>
      </c>
      <c r="V164" s="536">
        <v>0</v>
      </c>
      <c r="W164" s="536">
        <v>0</v>
      </c>
      <c r="X164" s="536">
        <v>0</v>
      </c>
      <c r="Y164" s="536">
        <v>0</v>
      </c>
    </row>
    <row r="165" spans="1:25">
      <c r="A165" s="537">
        <v>20130101</v>
      </c>
      <c r="B165" s="535" t="s">
        <v>700</v>
      </c>
      <c r="C165" s="535" t="str">
        <f t="shared" si="20"/>
        <v>20130101VFD</v>
      </c>
      <c r="D165" s="535" t="s">
        <v>402</v>
      </c>
      <c r="E165" s="535" t="str">
        <f t="shared" si="21"/>
        <v>20130101LGRSE540</v>
      </c>
      <c r="F165" s="536">
        <v>10.75</v>
      </c>
      <c r="G165" s="551">
        <v>7.4389999999999998E-2</v>
      </c>
      <c r="H165" s="551">
        <v>0</v>
      </c>
      <c r="I165" s="551">
        <v>0</v>
      </c>
      <c r="J165" s="551">
        <v>0</v>
      </c>
      <c r="K165" s="551">
        <v>6.9999999999999994E-5</v>
      </c>
      <c r="L165" s="511">
        <v>2.215E-2</v>
      </c>
      <c r="M165" s="551">
        <f t="shared" si="22"/>
        <v>5.2169999999999994E-2</v>
      </c>
      <c r="N165" s="551">
        <f t="shared" si="23"/>
        <v>0</v>
      </c>
      <c r="O165" s="551">
        <f t="shared" si="23"/>
        <v>0</v>
      </c>
      <c r="P165" s="551">
        <f t="shared" si="23"/>
        <v>0</v>
      </c>
      <c r="Q165" s="536">
        <v>0</v>
      </c>
      <c r="R165" s="536">
        <v>0</v>
      </c>
      <c r="S165" s="536">
        <v>0</v>
      </c>
      <c r="T165" s="536">
        <v>0</v>
      </c>
      <c r="U165" s="536">
        <v>0</v>
      </c>
      <c r="V165" s="536">
        <v>0</v>
      </c>
      <c r="W165" s="536">
        <v>0</v>
      </c>
      <c r="X165" s="536">
        <v>0</v>
      </c>
      <c r="Y165" s="536">
        <v>0</v>
      </c>
    </row>
    <row r="166" spans="1:25">
      <c r="A166" s="537">
        <v>20130101</v>
      </c>
      <c r="B166" s="538" t="s">
        <v>426</v>
      </c>
      <c r="C166" s="535" t="str">
        <f t="shared" si="20"/>
        <v>20130101RRP</v>
      </c>
      <c r="D166" s="538" t="s">
        <v>403</v>
      </c>
      <c r="E166" s="535" t="str">
        <f t="shared" si="21"/>
        <v>20130101LGRSE541</v>
      </c>
      <c r="F166" s="536">
        <v>0</v>
      </c>
      <c r="G166" s="551">
        <v>0</v>
      </c>
      <c r="H166" s="551">
        <v>0</v>
      </c>
      <c r="I166" s="551">
        <v>0</v>
      </c>
      <c r="J166" s="551">
        <v>0</v>
      </c>
      <c r="K166" s="551">
        <v>0</v>
      </c>
      <c r="L166" s="511">
        <v>0</v>
      </c>
      <c r="M166" s="551">
        <f t="shared" si="22"/>
        <v>0</v>
      </c>
      <c r="N166" s="551">
        <f>H166-K166-L166</f>
        <v>0</v>
      </c>
      <c r="O166" s="551">
        <f>I166-K166-L166</f>
        <v>0</v>
      </c>
      <c r="P166" s="551">
        <f>J166-K166-L166</f>
        <v>0</v>
      </c>
      <c r="Q166" s="536">
        <v>0</v>
      </c>
      <c r="R166" s="536">
        <v>0</v>
      </c>
      <c r="S166" s="536">
        <v>0</v>
      </c>
      <c r="T166" s="536">
        <v>0</v>
      </c>
      <c r="U166" s="536">
        <v>0</v>
      </c>
      <c r="V166" s="536">
        <v>0</v>
      </c>
      <c r="W166" s="536">
        <v>0</v>
      </c>
      <c r="X166" s="536">
        <v>0</v>
      </c>
      <c r="Y166" s="536">
        <v>0</v>
      </c>
    </row>
    <row r="167" spans="1:25">
      <c r="A167" s="537">
        <v>20130101</v>
      </c>
      <c r="B167" s="538" t="s">
        <v>833</v>
      </c>
      <c r="C167" s="535" t="str">
        <f t="shared" si="20"/>
        <v>20130101GSP</v>
      </c>
      <c r="D167" s="535" t="s">
        <v>369</v>
      </c>
      <c r="E167" s="535" t="str">
        <f t="shared" si="21"/>
        <v>20130101LGCME550</v>
      </c>
      <c r="F167" s="536">
        <v>20</v>
      </c>
      <c r="G167" s="551">
        <v>8.4659999999999999E-2</v>
      </c>
      <c r="H167" s="551">
        <v>0</v>
      </c>
      <c r="I167" s="551">
        <v>0</v>
      </c>
      <c r="J167" s="551">
        <v>0</v>
      </c>
      <c r="K167" s="551">
        <v>9.0000000000000006E-5</v>
      </c>
      <c r="L167" s="551">
        <v>2.215E-2</v>
      </c>
      <c r="M167" s="551">
        <f t="shared" si="22"/>
        <v>6.2419999999999989E-2</v>
      </c>
      <c r="N167" s="551">
        <f t="shared" ref="N167:P171" si="24">IF(H167=0,0,H167-$K167-$L167)</f>
        <v>0</v>
      </c>
      <c r="O167" s="551">
        <f t="shared" si="24"/>
        <v>0</v>
      </c>
      <c r="P167" s="551">
        <f t="shared" si="24"/>
        <v>0</v>
      </c>
      <c r="Q167" s="536">
        <v>0</v>
      </c>
      <c r="R167" s="536">
        <v>0</v>
      </c>
      <c r="S167" s="536">
        <v>0</v>
      </c>
      <c r="T167" s="536">
        <v>0</v>
      </c>
      <c r="U167" s="536">
        <v>0</v>
      </c>
      <c r="V167" s="536">
        <v>0</v>
      </c>
      <c r="W167" s="536">
        <v>0</v>
      </c>
      <c r="X167" s="536">
        <v>0</v>
      </c>
      <c r="Y167" s="536">
        <v>0</v>
      </c>
    </row>
    <row r="168" spans="1:25">
      <c r="A168" s="537">
        <v>20130101</v>
      </c>
      <c r="B168" s="535" t="s">
        <v>414</v>
      </c>
      <c r="C168" s="535" t="str">
        <f t="shared" si="20"/>
        <v>20130101GSS</v>
      </c>
      <c r="D168" s="535" t="s">
        <v>370</v>
      </c>
      <c r="E168" s="535" t="str">
        <f t="shared" si="21"/>
        <v>20130101LGCME551</v>
      </c>
      <c r="F168" s="536">
        <v>20</v>
      </c>
      <c r="G168" s="551">
        <v>8.4659999999999999E-2</v>
      </c>
      <c r="H168" s="551">
        <v>0</v>
      </c>
      <c r="I168" s="551">
        <v>0</v>
      </c>
      <c r="J168" s="551">
        <v>0</v>
      </c>
      <c r="K168" s="551">
        <v>9.0000000000000006E-5</v>
      </c>
      <c r="L168" s="551">
        <v>2.215E-2</v>
      </c>
      <c r="M168" s="551">
        <f t="shared" si="22"/>
        <v>6.2419999999999989E-2</v>
      </c>
      <c r="N168" s="551">
        <f t="shared" si="24"/>
        <v>0</v>
      </c>
      <c r="O168" s="551">
        <f t="shared" si="24"/>
        <v>0</v>
      </c>
      <c r="P168" s="551">
        <f t="shared" si="24"/>
        <v>0</v>
      </c>
      <c r="Q168" s="536">
        <v>0</v>
      </c>
      <c r="R168" s="536">
        <v>0</v>
      </c>
      <c r="S168" s="536">
        <v>0</v>
      </c>
      <c r="T168" s="536">
        <v>0</v>
      </c>
      <c r="U168" s="536">
        <v>0</v>
      </c>
      <c r="V168" s="536">
        <v>0</v>
      </c>
      <c r="W168" s="536">
        <v>0</v>
      </c>
      <c r="X168" s="536">
        <v>0</v>
      </c>
      <c r="Y168" s="536">
        <v>0</v>
      </c>
    </row>
    <row r="169" spans="1:25">
      <c r="A169" s="537">
        <v>20130101</v>
      </c>
      <c r="B169" s="535" t="s">
        <v>832</v>
      </c>
      <c r="C169" s="535" t="str">
        <f t="shared" si="20"/>
        <v>20130101GSUM</v>
      </c>
      <c r="D169" s="535" t="s">
        <v>371</v>
      </c>
      <c r="E169" s="535" t="str">
        <f t="shared" si="21"/>
        <v>20130101LGCME551UM</v>
      </c>
      <c r="F169" s="536">
        <v>20</v>
      </c>
      <c r="G169" s="551">
        <v>8.4659999999999999E-2</v>
      </c>
      <c r="H169" s="551">
        <v>0</v>
      </c>
      <c r="I169" s="551">
        <v>0</v>
      </c>
      <c r="J169" s="551">
        <v>0</v>
      </c>
      <c r="K169" s="551">
        <v>9.0000000000000006E-5</v>
      </c>
      <c r="L169" s="551">
        <v>2.215E-2</v>
      </c>
      <c r="M169" s="551">
        <f t="shared" si="22"/>
        <v>6.2419999999999989E-2</v>
      </c>
      <c r="N169" s="551">
        <f t="shared" si="24"/>
        <v>0</v>
      </c>
      <c r="O169" s="551">
        <f t="shared" si="24"/>
        <v>0</v>
      </c>
      <c r="P169" s="551">
        <f t="shared" si="24"/>
        <v>0</v>
      </c>
      <c r="Q169" s="536">
        <v>0</v>
      </c>
      <c r="R169" s="536">
        <v>0</v>
      </c>
      <c r="S169" s="536">
        <v>0</v>
      </c>
      <c r="T169" s="536">
        <v>0</v>
      </c>
      <c r="U169" s="536">
        <v>0</v>
      </c>
      <c r="V169" s="536">
        <v>0</v>
      </c>
      <c r="W169" s="536">
        <v>0</v>
      </c>
      <c r="X169" s="536">
        <v>0</v>
      </c>
      <c r="Y169" s="536">
        <v>0</v>
      </c>
    </row>
    <row r="170" spans="1:25">
      <c r="A170" s="537">
        <v>20130101</v>
      </c>
      <c r="B170" s="538" t="s">
        <v>826</v>
      </c>
      <c r="C170" s="535" t="str">
        <f t="shared" si="20"/>
        <v>20130101GSNM</v>
      </c>
      <c r="D170" s="535" t="s">
        <v>374</v>
      </c>
      <c r="E170" s="535" t="str">
        <f t="shared" si="21"/>
        <v>20130101LGCME557</v>
      </c>
      <c r="F170" s="536">
        <v>20</v>
      </c>
      <c r="G170" s="551">
        <v>8.4659999999999999E-2</v>
      </c>
      <c r="H170" s="551">
        <v>0</v>
      </c>
      <c r="I170" s="551">
        <v>0</v>
      </c>
      <c r="J170" s="551">
        <v>0</v>
      </c>
      <c r="K170" s="551">
        <v>9.0000000000000006E-5</v>
      </c>
      <c r="L170" s="551">
        <v>2.215E-2</v>
      </c>
      <c r="M170" s="551">
        <f t="shared" si="22"/>
        <v>6.2419999999999989E-2</v>
      </c>
      <c r="N170" s="551">
        <f t="shared" si="24"/>
        <v>0</v>
      </c>
      <c r="O170" s="551">
        <f t="shared" si="24"/>
        <v>0</v>
      </c>
      <c r="P170" s="551">
        <f t="shared" si="24"/>
        <v>0</v>
      </c>
      <c r="Q170" s="536">
        <v>0</v>
      </c>
      <c r="R170" s="536">
        <v>0</v>
      </c>
      <c r="S170" s="536">
        <v>0</v>
      </c>
      <c r="T170" s="536">
        <v>0</v>
      </c>
      <c r="U170" s="536">
        <v>0</v>
      </c>
      <c r="V170" s="536">
        <v>0</v>
      </c>
      <c r="W170" s="536">
        <v>0</v>
      </c>
      <c r="X170" s="536">
        <v>0</v>
      </c>
      <c r="Y170" s="536">
        <v>0</v>
      </c>
    </row>
    <row r="171" spans="1:25">
      <c r="A171" s="537">
        <v>20130101</v>
      </c>
      <c r="B171" s="538" t="s">
        <v>416</v>
      </c>
      <c r="C171" s="535" t="str">
        <f t="shared" si="20"/>
        <v>20130101GSSH</v>
      </c>
      <c r="D171" s="535" t="s">
        <v>372</v>
      </c>
      <c r="E171" s="535" t="str">
        <f t="shared" si="21"/>
        <v>20130101LGCME552</v>
      </c>
      <c r="F171" s="536">
        <v>0</v>
      </c>
      <c r="G171" s="551">
        <v>8.4659999999999999E-2</v>
      </c>
      <c r="H171" s="551">
        <v>0</v>
      </c>
      <c r="I171" s="551">
        <v>0</v>
      </c>
      <c r="J171" s="551">
        <v>0</v>
      </c>
      <c r="K171" s="551">
        <v>9.0000000000000006E-5</v>
      </c>
      <c r="L171" s="551">
        <v>2.215E-2</v>
      </c>
      <c r="M171" s="551">
        <f t="shared" si="22"/>
        <v>6.2419999999999989E-2</v>
      </c>
      <c r="N171" s="551">
        <f t="shared" si="24"/>
        <v>0</v>
      </c>
      <c r="O171" s="551">
        <f t="shared" si="24"/>
        <v>0</v>
      </c>
      <c r="P171" s="551">
        <f t="shared" si="24"/>
        <v>0</v>
      </c>
      <c r="Q171" s="536">
        <v>0</v>
      </c>
      <c r="R171" s="536">
        <v>0</v>
      </c>
      <c r="S171" s="536">
        <v>0</v>
      </c>
      <c r="T171" s="536">
        <v>0</v>
      </c>
      <c r="U171" s="536">
        <v>0</v>
      </c>
      <c r="V171" s="536">
        <v>0</v>
      </c>
      <c r="W171" s="536">
        <v>0</v>
      </c>
      <c r="X171" s="536">
        <v>0</v>
      </c>
      <c r="Y171" s="536">
        <v>0</v>
      </c>
    </row>
    <row r="172" spans="1:25">
      <c r="A172" s="537">
        <v>20130101</v>
      </c>
      <c r="B172" s="538" t="s">
        <v>828</v>
      </c>
      <c r="C172" s="535" t="str">
        <f t="shared" si="20"/>
        <v>20130101GSRP</v>
      </c>
      <c r="D172" s="538" t="s">
        <v>373</v>
      </c>
      <c r="E172" s="535" t="str">
        <f t="shared" si="21"/>
        <v>20130101LGCME555</v>
      </c>
      <c r="F172" s="536">
        <v>0</v>
      </c>
      <c r="G172" s="551">
        <v>0</v>
      </c>
      <c r="H172" s="551">
        <v>0</v>
      </c>
      <c r="I172" s="551">
        <v>0</v>
      </c>
      <c r="J172" s="551">
        <v>0</v>
      </c>
      <c r="K172" s="551">
        <v>0</v>
      </c>
      <c r="L172" s="551">
        <v>0</v>
      </c>
      <c r="M172" s="551">
        <f t="shared" si="22"/>
        <v>0</v>
      </c>
      <c r="N172" s="551">
        <f>H172-K172-L172</f>
        <v>0</v>
      </c>
      <c r="O172" s="551">
        <f>I172-K172-L172</f>
        <v>0</v>
      </c>
      <c r="P172" s="551">
        <f>J172-K172-L172</f>
        <v>0</v>
      </c>
      <c r="Q172" s="536">
        <v>0</v>
      </c>
      <c r="R172" s="536">
        <v>0</v>
      </c>
      <c r="S172" s="536">
        <v>0</v>
      </c>
      <c r="T172" s="536">
        <v>0</v>
      </c>
      <c r="U172" s="536">
        <v>0</v>
      </c>
      <c r="V172" s="536">
        <v>0</v>
      </c>
      <c r="W172" s="536">
        <v>0</v>
      </c>
      <c r="X172" s="536">
        <v>0</v>
      </c>
      <c r="Y172" s="536">
        <v>0</v>
      </c>
    </row>
    <row r="173" spans="1:25">
      <c r="A173" s="537">
        <v>20130101</v>
      </c>
      <c r="B173" s="538" t="s">
        <v>715</v>
      </c>
      <c r="C173" s="535" t="str">
        <f t="shared" si="20"/>
        <v>20130101GS3P</v>
      </c>
      <c r="D173" s="535" t="s">
        <v>380</v>
      </c>
      <c r="E173" s="535" t="str">
        <f t="shared" si="21"/>
        <v>20130101LGCME650</v>
      </c>
      <c r="F173" s="536">
        <v>35</v>
      </c>
      <c r="G173" s="551">
        <v>8.4659999999999999E-2</v>
      </c>
      <c r="H173" s="551">
        <v>0</v>
      </c>
      <c r="I173" s="551">
        <v>0</v>
      </c>
      <c r="J173" s="551">
        <v>0</v>
      </c>
      <c r="K173" s="551">
        <v>9.0000000000000006E-5</v>
      </c>
      <c r="L173" s="551">
        <v>2.215E-2</v>
      </c>
      <c r="M173" s="551">
        <f t="shared" si="22"/>
        <v>6.2419999999999989E-2</v>
      </c>
      <c r="N173" s="551">
        <f t="shared" ref="N173:P176" si="25">IF(H173=0,0,H173-$K173-$L173)</f>
        <v>0</v>
      </c>
      <c r="O173" s="551">
        <f t="shared" si="25"/>
        <v>0</v>
      </c>
      <c r="P173" s="551">
        <f t="shared" si="25"/>
        <v>0</v>
      </c>
      <c r="Q173" s="536">
        <v>0</v>
      </c>
      <c r="R173" s="536">
        <v>0</v>
      </c>
      <c r="S173" s="536">
        <v>0</v>
      </c>
      <c r="T173" s="536">
        <v>0</v>
      </c>
      <c r="U173" s="536">
        <v>0</v>
      </c>
      <c r="V173" s="536">
        <v>0</v>
      </c>
      <c r="W173" s="536">
        <v>0</v>
      </c>
      <c r="X173" s="536">
        <v>0</v>
      </c>
      <c r="Y173" s="536">
        <v>0</v>
      </c>
    </row>
    <row r="174" spans="1:25">
      <c r="A174" s="537">
        <v>20130101</v>
      </c>
      <c r="B174" s="535" t="s">
        <v>14</v>
      </c>
      <c r="C174" s="535" t="str">
        <f t="shared" si="20"/>
        <v>20130101GS3</v>
      </c>
      <c r="D174" s="535" t="s">
        <v>381</v>
      </c>
      <c r="E174" s="535" t="str">
        <f t="shared" si="21"/>
        <v>20130101LGCME651</v>
      </c>
      <c r="F174" s="536">
        <v>35</v>
      </c>
      <c r="G174" s="551">
        <v>8.4659999999999999E-2</v>
      </c>
      <c r="H174" s="551">
        <v>0</v>
      </c>
      <c r="I174" s="551">
        <v>0</v>
      </c>
      <c r="J174" s="551">
        <v>0</v>
      </c>
      <c r="K174" s="551">
        <v>9.0000000000000006E-5</v>
      </c>
      <c r="L174" s="551">
        <v>2.215E-2</v>
      </c>
      <c r="M174" s="551">
        <f t="shared" si="22"/>
        <v>6.2419999999999989E-2</v>
      </c>
      <c r="N174" s="551">
        <f t="shared" si="25"/>
        <v>0</v>
      </c>
      <c r="O174" s="551">
        <f t="shared" si="25"/>
        <v>0</v>
      </c>
      <c r="P174" s="551">
        <f t="shared" si="25"/>
        <v>0</v>
      </c>
      <c r="Q174" s="536">
        <v>0</v>
      </c>
      <c r="R174" s="536">
        <v>0</v>
      </c>
      <c r="S174" s="536">
        <v>0</v>
      </c>
      <c r="T174" s="536">
        <v>0</v>
      </c>
      <c r="U174" s="536">
        <v>0</v>
      </c>
      <c r="V174" s="536">
        <v>0</v>
      </c>
      <c r="W174" s="536">
        <v>0</v>
      </c>
      <c r="X174" s="536">
        <v>0</v>
      </c>
      <c r="Y174" s="536">
        <v>0</v>
      </c>
    </row>
    <row r="175" spans="1:25">
      <c r="A175" s="537">
        <v>20130101</v>
      </c>
      <c r="B175" s="538" t="s">
        <v>808</v>
      </c>
      <c r="C175" s="535" t="str">
        <f t="shared" si="20"/>
        <v>20130101GS3NM</v>
      </c>
      <c r="D175" s="535" t="s">
        <v>384</v>
      </c>
      <c r="E175" s="535" t="str">
        <f t="shared" si="21"/>
        <v>20130101LGCME657</v>
      </c>
      <c r="F175" s="536">
        <v>35</v>
      </c>
      <c r="G175" s="551">
        <v>8.4659999999999999E-2</v>
      </c>
      <c r="H175" s="551">
        <v>0</v>
      </c>
      <c r="I175" s="551">
        <v>0</v>
      </c>
      <c r="J175" s="551">
        <v>0</v>
      </c>
      <c r="K175" s="551">
        <v>9.0000000000000006E-5</v>
      </c>
      <c r="L175" s="551">
        <v>2.215E-2</v>
      </c>
      <c r="M175" s="551">
        <f t="shared" si="22"/>
        <v>6.2419999999999989E-2</v>
      </c>
      <c r="N175" s="551">
        <f t="shared" si="25"/>
        <v>0</v>
      </c>
      <c r="O175" s="551">
        <f t="shared" si="25"/>
        <v>0</v>
      </c>
      <c r="P175" s="551">
        <f t="shared" si="25"/>
        <v>0</v>
      </c>
      <c r="Q175" s="536">
        <v>0</v>
      </c>
      <c r="R175" s="536">
        <v>0</v>
      </c>
      <c r="S175" s="536">
        <v>0</v>
      </c>
      <c r="T175" s="536">
        <v>0</v>
      </c>
      <c r="U175" s="536">
        <v>0</v>
      </c>
      <c r="V175" s="536">
        <v>0</v>
      </c>
      <c r="W175" s="536">
        <v>0</v>
      </c>
      <c r="X175" s="536">
        <v>0</v>
      </c>
      <c r="Y175" s="536">
        <v>0</v>
      </c>
    </row>
    <row r="176" spans="1:25">
      <c r="A176" s="537">
        <v>20130101</v>
      </c>
      <c r="B176" s="538" t="s">
        <v>807</v>
      </c>
      <c r="C176" s="535" t="str">
        <f t="shared" si="20"/>
        <v>20130101GS3SH</v>
      </c>
      <c r="D176" s="535" t="s">
        <v>382</v>
      </c>
      <c r="E176" s="535" t="str">
        <f t="shared" si="21"/>
        <v>20130101LGCME652</v>
      </c>
      <c r="F176" s="536">
        <v>0</v>
      </c>
      <c r="G176" s="551">
        <v>8.4659999999999999E-2</v>
      </c>
      <c r="H176" s="551">
        <v>0</v>
      </c>
      <c r="I176" s="551">
        <v>0</v>
      </c>
      <c r="J176" s="551">
        <v>0</v>
      </c>
      <c r="K176" s="551">
        <v>9.0000000000000006E-5</v>
      </c>
      <c r="L176" s="551">
        <v>2.215E-2</v>
      </c>
      <c r="M176" s="551">
        <f t="shared" si="22"/>
        <v>6.2419999999999989E-2</v>
      </c>
      <c r="N176" s="551">
        <f t="shared" si="25"/>
        <v>0</v>
      </c>
      <c r="O176" s="551">
        <f t="shared" si="25"/>
        <v>0</v>
      </c>
      <c r="P176" s="551">
        <f t="shared" si="25"/>
        <v>0</v>
      </c>
      <c r="Q176" s="536">
        <v>0</v>
      </c>
      <c r="R176" s="536">
        <v>0</v>
      </c>
      <c r="S176" s="536">
        <v>0</v>
      </c>
      <c r="T176" s="536">
        <v>0</v>
      </c>
      <c r="U176" s="536">
        <v>0</v>
      </c>
      <c r="V176" s="536">
        <v>0</v>
      </c>
      <c r="W176" s="536">
        <v>0</v>
      </c>
      <c r="X176" s="536">
        <v>0</v>
      </c>
      <c r="Y176" s="536">
        <v>0</v>
      </c>
    </row>
    <row r="177" spans="1:25">
      <c r="A177" s="537">
        <v>20130101</v>
      </c>
      <c r="B177" s="535" t="s">
        <v>676</v>
      </c>
      <c r="C177" s="535" t="str">
        <f t="shared" si="20"/>
        <v>20130101G3RP</v>
      </c>
      <c r="D177" s="538" t="s">
        <v>383</v>
      </c>
      <c r="E177" s="535" t="str">
        <f t="shared" si="21"/>
        <v>20130101LGCME656</v>
      </c>
      <c r="F177" s="536">
        <v>0</v>
      </c>
      <c r="G177" s="536">
        <v>0</v>
      </c>
      <c r="H177" s="536">
        <v>0</v>
      </c>
      <c r="I177" s="536">
        <v>0</v>
      </c>
      <c r="J177" s="536">
        <v>0</v>
      </c>
      <c r="K177" s="536">
        <v>0</v>
      </c>
      <c r="L177" s="536">
        <v>0</v>
      </c>
      <c r="M177" s="551">
        <f t="shared" si="22"/>
        <v>0</v>
      </c>
      <c r="N177" s="551">
        <f>H177-K177-L177</f>
        <v>0</v>
      </c>
      <c r="O177" s="551">
        <f>I177-K177-L177</f>
        <v>0</v>
      </c>
      <c r="P177" s="551">
        <f>J177-K177-L177</f>
        <v>0</v>
      </c>
      <c r="Q177" s="536">
        <v>0</v>
      </c>
      <c r="R177" s="536">
        <v>0</v>
      </c>
      <c r="S177" s="536">
        <v>0</v>
      </c>
      <c r="T177" s="536">
        <v>0</v>
      </c>
      <c r="U177" s="536">
        <v>0</v>
      </c>
      <c r="V177" s="536">
        <v>0</v>
      </c>
      <c r="W177" s="536">
        <v>0</v>
      </c>
      <c r="X177" s="536">
        <v>0</v>
      </c>
      <c r="Y177" s="536">
        <v>0</v>
      </c>
    </row>
    <row r="178" spans="1:25">
      <c r="A178" s="537">
        <v>20130101</v>
      </c>
      <c r="B178" s="535" t="s">
        <v>20</v>
      </c>
      <c r="C178" s="535" t="str">
        <f t="shared" si="20"/>
        <v>20130101PSS</v>
      </c>
      <c r="D178" s="535" t="s">
        <v>375</v>
      </c>
      <c r="E178" s="535" t="str">
        <f t="shared" si="21"/>
        <v>20130101LGCME561</v>
      </c>
      <c r="F178" s="536">
        <v>90</v>
      </c>
      <c r="G178" s="551">
        <v>3.5499999999999997E-2</v>
      </c>
      <c r="H178" s="551">
        <v>0</v>
      </c>
      <c r="I178" s="551">
        <v>0</v>
      </c>
      <c r="J178" s="551">
        <v>0</v>
      </c>
      <c r="K178" s="551">
        <v>0</v>
      </c>
      <c r="L178" s="551">
        <f t="shared" ref="L178:L183" si="26">$L$83</f>
        <v>2.215E-2</v>
      </c>
      <c r="M178" s="551">
        <f t="shared" si="22"/>
        <v>1.3349999999999997E-2</v>
      </c>
      <c r="N178" s="551">
        <f t="shared" ref="N178:N198" si="27">IF(H178=0,0,H178-$K178-$L178)</f>
        <v>0</v>
      </c>
      <c r="O178" s="551">
        <f t="shared" ref="O178:O198" si="28">IF(I178=0,0,I178-$K178-$L178)</f>
        <v>0</v>
      </c>
      <c r="P178" s="551">
        <f t="shared" ref="P178:P198" si="29">IF(J178=0,0,J178-$K178-$L178)</f>
        <v>0</v>
      </c>
      <c r="Q178" s="536">
        <v>0</v>
      </c>
      <c r="R178" s="536">
        <v>13.56</v>
      </c>
      <c r="S178" s="536">
        <v>15.95</v>
      </c>
      <c r="T178" s="536">
        <v>0</v>
      </c>
      <c r="U178" s="536">
        <v>0.03</v>
      </c>
      <c r="V178" s="536">
        <v>0.03</v>
      </c>
      <c r="W178" s="114">
        <v>0</v>
      </c>
      <c r="X178" s="114">
        <f t="shared" ref="X178:X191" si="30">R178-U178</f>
        <v>13.530000000000001</v>
      </c>
      <c r="Y178" s="114">
        <f t="shared" ref="Y178:Y191" si="31">S178-V178</f>
        <v>15.92</v>
      </c>
    </row>
    <row r="179" spans="1:25">
      <c r="A179" s="537">
        <v>20130101</v>
      </c>
      <c r="B179" s="535" t="s">
        <v>21</v>
      </c>
      <c r="C179" s="535" t="str">
        <f t="shared" si="20"/>
        <v>20130101PSP</v>
      </c>
      <c r="D179" s="535" t="s">
        <v>376</v>
      </c>
      <c r="E179" s="535" t="str">
        <f t="shared" si="21"/>
        <v>20130101LGCME563</v>
      </c>
      <c r="F179" s="536">
        <v>170</v>
      </c>
      <c r="G179" s="551">
        <v>3.4160000000000003E-2</v>
      </c>
      <c r="H179" s="551">
        <v>0</v>
      </c>
      <c r="I179" s="551">
        <v>0</v>
      </c>
      <c r="J179" s="551">
        <v>0</v>
      </c>
      <c r="K179" s="551">
        <v>0</v>
      </c>
      <c r="L179" s="551">
        <f t="shared" si="26"/>
        <v>2.215E-2</v>
      </c>
      <c r="M179" s="551">
        <f t="shared" si="22"/>
        <v>1.2010000000000003E-2</v>
      </c>
      <c r="N179" s="551">
        <f t="shared" si="27"/>
        <v>0</v>
      </c>
      <c r="O179" s="551">
        <f t="shared" si="28"/>
        <v>0</v>
      </c>
      <c r="P179" s="551">
        <f t="shared" si="29"/>
        <v>0</v>
      </c>
      <c r="Q179" s="536">
        <v>0</v>
      </c>
      <c r="R179" s="536">
        <v>11.21</v>
      </c>
      <c r="S179" s="536">
        <v>13.5</v>
      </c>
      <c r="T179" s="536">
        <v>0</v>
      </c>
      <c r="U179" s="536">
        <v>0.03</v>
      </c>
      <c r="V179" s="536">
        <v>0.03</v>
      </c>
      <c r="W179" s="114">
        <v>0</v>
      </c>
      <c r="X179" s="114">
        <f t="shared" si="30"/>
        <v>11.180000000000001</v>
      </c>
      <c r="Y179" s="114">
        <f t="shared" si="31"/>
        <v>13.47</v>
      </c>
    </row>
    <row r="180" spans="1:25">
      <c r="A180" s="537">
        <v>20130101</v>
      </c>
      <c r="B180" s="535" t="s">
        <v>20</v>
      </c>
      <c r="C180" s="535" t="str">
        <f t="shared" si="20"/>
        <v>20130101PSS</v>
      </c>
      <c r="D180" s="538" t="s">
        <v>377</v>
      </c>
      <c r="E180" s="535" t="str">
        <f t="shared" si="21"/>
        <v>20130101LGCME567</v>
      </c>
      <c r="F180" s="536">
        <v>90</v>
      </c>
      <c r="G180" s="551">
        <v>3.5499999999999997E-2</v>
      </c>
      <c r="H180" s="551">
        <v>0</v>
      </c>
      <c r="I180" s="551">
        <v>0</v>
      </c>
      <c r="J180" s="551">
        <v>0</v>
      </c>
      <c r="K180" s="551">
        <v>0</v>
      </c>
      <c r="L180" s="551">
        <f t="shared" si="26"/>
        <v>2.215E-2</v>
      </c>
      <c r="M180" s="551">
        <f t="shared" si="22"/>
        <v>1.3349999999999997E-2</v>
      </c>
      <c r="N180" s="551">
        <f t="shared" si="27"/>
        <v>0</v>
      </c>
      <c r="O180" s="551">
        <f t="shared" si="28"/>
        <v>0</v>
      </c>
      <c r="P180" s="551">
        <f t="shared" si="29"/>
        <v>0</v>
      </c>
      <c r="Q180" s="536">
        <v>0</v>
      </c>
      <c r="R180" s="536">
        <v>13.56</v>
      </c>
      <c r="S180" s="536">
        <v>15.95</v>
      </c>
      <c r="T180" s="536">
        <v>0</v>
      </c>
      <c r="U180" s="536">
        <v>0.03</v>
      </c>
      <c r="V180" s="536">
        <v>0.03</v>
      </c>
      <c r="W180" s="114">
        <v>0</v>
      </c>
      <c r="X180" s="114">
        <f t="shared" si="30"/>
        <v>13.530000000000001</v>
      </c>
      <c r="Y180" s="114">
        <f t="shared" si="31"/>
        <v>15.92</v>
      </c>
    </row>
    <row r="181" spans="1:25">
      <c r="A181" s="537">
        <v>20130101</v>
      </c>
      <c r="B181" s="538" t="s">
        <v>814</v>
      </c>
      <c r="C181" s="535" t="str">
        <f t="shared" si="20"/>
        <v>20130101PSPNM</v>
      </c>
      <c r="D181" s="538" t="s">
        <v>815</v>
      </c>
      <c r="E181" s="535" t="str">
        <f t="shared" si="21"/>
        <v>20130101LGCME569</v>
      </c>
      <c r="F181" s="536">
        <v>170</v>
      </c>
      <c r="G181" s="551">
        <v>3.4160000000000003E-2</v>
      </c>
      <c r="H181" s="551">
        <v>0</v>
      </c>
      <c r="I181" s="551">
        <v>0</v>
      </c>
      <c r="J181" s="551">
        <v>0</v>
      </c>
      <c r="K181" s="551">
        <v>0</v>
      </c>
      <c r="L181" s="551">
        <f t="shared" si="26"/>
        <v>2.215E-2</v>
      </c>
      <c r="M181" s="551">
        <f t="shared" si="22"/>
        <v>1.2010000000000003E-2</v>
      </c>
      <c r="N181" s="551">
        <f t="shared" si="27"/>
        <v>0</v>
      </c>
      <c r="O181" s="551">
        <f t="shared" si="28"/>
        <v>0</v>
      </c>
      <c r="P181" s="551">
        <f t="shared" si="29"/>
        <v>0</v>
      </c>
      <c r="Q181" s="536">
        <v>0</v>
      </c>
      <c r="R181" s="536">
        <v>11.21</v>
      </c>
      <c r="S181" s="536">
        <v>13.5</v>
      </c>
      <c r="T181" s="536">
        <v>0</v>
      </c>
      <c r="U181" s="536">
        <v>0.03</v>
      </c>
      <c r="V181" s="536">
        <v>0.03</v>
      </c>
      <c r="W181" s="114">
        <v>0</v>
      </c>
      <c r="X181" s="114">
        <f t="shared" si="30"/>
        <v>11.180000000000001</v>
      </c>
      <c r="Y181" s="114">
        <f t="shared" si="31"/>
        <v>13.47</v>
      </c>
    </row>
    <row r="182" spans="1:25">
      <c r="A182" s="537">
        <v>20130101</v>
      </c>
      <c r="B182" s="535" t="s">
        <v>410</v>
      </c>
      <c r="C182" s="535" t="str">
        <f t="shared" si="20"/>
        <v>20130101CTODS</v>
      </c>
      <c r="D182" s="535" t="s">
        <v>378</v>
      </c>
      <c r="E182" s="535" t="str">
        <f t="shared" si="21"/>
        <v>20130101LGCME591</v>
      </c>
      <c r="F182" s="536">
        <v>200</v>
      </c>
      <c r="G182" s="551">
        <v>3.4799999999999998E-2</v>
      </c>
      <c r="H182" s="551">
        <v>0</v>
      </c>
      <c r="I182" s="551">
        <v>0</v>
      </c>
      <c r="J182" s="551">
        <v>0</v>
      </c>
      <c r="K182" s="551">
        <v>0</v>
      </c>
      <c r="L182" s="551">
        <f t="shared" si="26"/>
        <v>2.215E-2</v>
      </c>
      <c r="M182" s="551">
        <f t="shared" si="22"/>
        <v>1.2649999999999998E-2</v>
      </c>
      <c r="N182" s="551">
        <f t="shared" si="27"/>
        <v>0</v>
      </c>
      <c r="O182" s="551">
        <f t="shared" si="28"/>
        <v>0</v>
      </c>
      <c r="P182" s="551">
        <f t="shared" si="29"/>
        <v>0</v>
      </c>
      <c r="Q182" s="536">
        <v>3.85</v>
      </c>
      <c r="R182" s="536">
        <v>4.3600000000000003</v>
      </c>
      <c r="S182" s="536">
        <v>5.96</v>
      </c>
      <c r="T182" s="536">
        <v>0.01</v>
      </c>
      <c r="U182" s="536">
        <v>0.01</v>
      </c>
      <c r="V182" s="536">
        <v>0.01</v>
      </c>
      <c r="W182" s="114">
        <f>Q182-T182</f>
        <v>3.8400000000000003</v>
      </c>
      <c r="X182" s="114">
        <f t="shared" si="30"/>
        <v>4.3500000000000005</v>
      </c>
      <c r="Y182" s="114">
        <f t="shared" si="31"/>
        <v>5.95</v>
      </c>
    </row>
    <row r="183" spans="1:25">
      <c r="A183" s="537">
        <v>20130101</v>
      </c>
      <c r="B183" s="535" t="s">
        <v>409</v>
      </c>
      <c r="C183" s="535" t="str">
        <f t="shared" si="20"/>
        <v>20130101CTODP</v>
      </c>
      <c r="D183" s="535" t="s">
        <v>379</v>
      </c>
      <c r="E183" s="535" t="str">
        <f t="shared" si="21"/>
        <v>20130101LGCME593</v>
      </c>
      <c r="F183" s="536">
        <v>300</v>
      </c>
      <c r="G183" s="551">
        <v>3.3000000000000002E-2</v>
      </c>
      <c r="H183" s="551">
        <v>0</v>
      </c>
      <c r="I183" s="551">
        <v>0</v>
      </c>
      <c r="J183" s="551">
        <v>0</v>
      </c>
      <c r="K183" s="551">
        <v>0</v>
      </c>
      <c r="L183" s="551">
        <f t="shared" si="26"/>
        <v>2.215E-2</v>
      </c>
      <c r="M183" s="551">
        <f t="shared" si="22"/>
        <v>1.0850000000000002E-2</v>
      </c>
      <c r="N183" s="551">
        <f t="shared" si="27"/>
        <v>0</v>
      </c>
      <c r="O183" s="551">
        <f t="shared" si="28"/>
        <v>0</v>
      </c>
      <c r="P183" s="551">
        <f t="shared" si="29"/>
        <v>0</v>
      </c>
      <c r="Q183" s="536">
        <v>3.85</v>
      </c>
      <c r="R183" s="536">
        <v>4</v>
      </c>
      <c r="S183" s="536">
        <v>5.7</v>
      </c>
      <c r="T183" s="536">
        <v>0.01</v>
      </c>
      <c r="U183" s="536">
        <v>0.01</v>
      </c>
      <c r="V183" s="536">
        <v>0.01</v>
      </c>
      <c r="W183" s="114">
        <f>Q183-T183</f>
        <v>3.8400000000000003</v>
      </c>
      <c r="X183" s="114">
        <f t="shared" si="30"/>
        <v>3.99</v>
      </c>
      <c r="Y183" s="114">
        <f t="shared" si="31"/>
        <v>5.69</v>
      </c>
    </row>
    <row r="184" spans="1:25">
      <c r="A184" s="537">
        <v>20130101</v>
      </c>
      <c r="B184" s="535" t="s">
        <v>20</v>
      </c>
      <c r="C184" s="535" t="str">
        <f t="shared" si="20"/>
        <v>20130101PSS</v>
      </c>
      <c r="D184" s="535" t="s">
        <v>389</v>
      </c>
      <c r="E184" s="535" t="str">
        <f t="shared" si="21"/>
        <v>20130101LGINE661</v>
      </c>
      <c r="F184" s="536">
        <v>90</v>
      </c>
      <c r="G184" s="551">
        <v>3.5499999999999997E-2</v>
      </c>
      <c r="H184" s="551">
        <v>0</v>
      </c>
      <c r="I184" s="551">
        <v>0</v>
      </c>
      <c r="J184" s="551">
        <v>0</v>
      </c>
      <c r="K184" s="551">
        <v>0</v>
      </c>
      <c r="L184" s="551">
        <v>2.215E-2</v>
      </c>
      <c r="M184" s="511">
        <f t="shared" si="22"/>
        <v>1.3349999999999997E-2</v>
      </c>
      <c r="N184" s="551">
        <f t="shared" si="27"/>
        <v>0</v>
      </c>
      <c r="O184" s="551">
        <f t="shared" si="28"/>
        <v>0</v>
      </c>
      <c r="P184" s="551">
        <f t="shared" si="29"/>
        <v>0</v>
      </c>
      <c r="Q184" s="536">
        <v>0</v>
      </c>
      <c r="R184" s="536">
        <v>13.56</v>
      </c>
      <c r="S184" s="536">
        <v>15.95</v>
      </c>
      <c r="T184" s="536">
        <v>0</v>
      </c>
      <c r="U184" s="536">
        <v>0.03</v>
      </c>
      <c r="V184" s="536">
        <v>0.03</v>
      </c>
      <c r="W184" s="114">
        <v>0</v>
      </c>
      <c r="X184" s="114">
        <f t="shared" si="30"/>
        <v>13.530000000000001</v>
      </c>
      <c r="Y184" s="114">
        <f t="shared" si="31"/>
        <v>15.92</v>
      </c>
    </row>
    <row r="185" spans="1:25">
      <c r="A185" s="537">
        <v>20130101</v>
      </c>
      <c r="B185" s="535" t="s">
        <v>21</v>
      </c>
      <c r="C185" s="535" t="str">
        <f t="shared" si="20"/>
        <v>20130101PSP</v>
      </c>
      <c r="D185" s="535" t="s">
        <v>390</v>
      </c>
      <c r="E185" s="535" t="str">
        <f t="shared" si="21"/>
        <v>20130101LGINE663</v>
      </c>
      <c r="F185" s="536">
        <v>170</v>
      </c>
      <c r="G185" s="551">
        <v>3.4160000000000003E-2</v>
      </c>
      <c r="H185" s="551">
        <v>0</v>
      </c>
      <c r="I185" s="551">
        <v>0</v>
      </c>
      <c r="J185" s="551">
        <v>0</v>
      </c>
      <c r="K185" s="551">
        <v>0</v>
      </c>
      <c r="L185" s="551">
        <v>2.215E-2</v>
      </c>
      <c r="M185" s="511">
        <f t="shared" si="22"/>
        <v>1.2010000000000003E-2</v>
      </c>
      <c r="N185" s="551">
        <f t="shared" si="27"/>
        <v>0</v>
      </c>
      <c r="O185" s="551">
        <f t="shared" si="28"/>
        <v>0</v>
      </c>
      <c r="P185" s="551">
        <f t="shared" si="29"/>
        <v>0</v>
      </c>
      <c r="Q185" s="536">
        <v>0</v>
      </c>
      <c r="R185" s="536">
        <v>11.21</v>
      </c>
      <c r="S185" s="536">
        <v>13.5</v>
      </c>
      <c r="T185" s="536">
        <v>0</v>
      </c>
      <c r="U185" s="536">
        <v>0.03</v>
      </c>
      <c r="V185" s="536">
        <v>0.03</v>
      </c>
      <c r="W185" s="114">
        <v>0</v>
      </c>
      <c r="X185" s="114">
        <f t="shared" si="30"/>
        <v>11.180000000000001</v>
      </c>
      <c r="Y185" s="114">
        <f t="shared" si="31"/>
        <v>13.47</v>
      </c>
    </row>
    <row r="186" spans="1:25">
      <c r="A186" s="537">
        <v>20130101</v>
      </c>
      <c r="B186" s="535" t="s">
        <v>422</v>
      </c>
      <c r="C186" s="535" t="str">
        <f t="shared" si="20"/>
        <v>20130101ITODS</v>
      </c>
      <c r="D186" s="535" t="s">
        <v>391</v>
      </c>
      <c r="E186" s="535" t="str">
        <f t="shared" si="21"/>
        <v>20130101LGINE691</v>
      </c>
      <c r="F186" s="536">
        <v>200</v>
      </c>
      <c r="G186" s="511">
        <v>3.4799999999999998E-2</v>
      </c>
      <c r="H186" s="551">
        <v>0</v>
      </c>
      <c r="I186" s="551">
        <v>0</v>
      </c>
      <c r="J186" s="551">
        <v>0</v>
      </c>
      <c r="K186" s="551">
        <v>0</v>
      </c>
      <c r="L186" s="511">
        <v>2.215E-2</v>
      </c>
      <c r="M186" s="511">
        <f t="shared" si="22"/>
        <v>1.2649999999999998E-2</v>
      </c>
      <c r="N186" s="551">
        <f t="shared" si="27"/>
        <v>0</v>
      </c>
      <c r="O186" s="551">
        <f t="shared" si="28"/>
        <v>0</v>
      </c>
      <c r="P186" s="551">
        <f t="shared" si="29"/>
        <v>0</v>
      </c>
      <c r="Q186" s="536">
        <v>3.85</v>
      </c>
      <c r="R186" s="536">
        <v>4.3600000000000003</v>
      </c>
      <c r="S186" s="536">
        <v>5.96</v>
      </c>
      <c r="T186" s="536">
        <v>0.01</v>
      </c>
      <c r="U186" s="536">
        <v>0.01</v>
      </c>
      <c r="V186" s="536">
        <v>0.01</v>
      </c>
      <c r="W186" s="114">
        <f t="shared" ref="W186:W191" si="32">Q186-T186</f>
        <v>3.8400000000000003</v>
      </c>
      <c r="X186" s="114">
        <f t="shared" si="30"/>
        <v>4.3500000000000005</v>
      </c>
      <c r="Y186" s="114">
        <f t="shared" si="31"/>
        <v>5.95</v>
      </c>
    </row>
    <row r="187" spans="1:25">
      <c r="A187" s="537">
        <v>20130101</v>
      </c>
      <c r="B187" s="535" t="s">
        <v>421</v>
      </c>
      <c r="C187" s="535" t="str">
        <f t="shared" si="20"/>
        <v>20130101ITODP</v>
      </c>
      <c r="D187" s="535" t="s">
        <v>392</v>
      </c>
      <c r="E187" s="535" t="str">
        <f t="shared" si="21"/>
        <v>20130101LGINE693</v>
      </c>
      <c r="F187" s="536">
        <f>$F$106</f>
        <v>300</v>
      </c>
      <c r="G187" s="511">
        <v>3.0280000000000001E-2</v>
      </c>
      <c r="H187" s="551">
        <v>0</v>
      </c>
      <c r="I187" s="551">
        <v>0</v>
      </c>
      <c r="J187" s="551">
        <v>0</v>
      </c>
      <c r="K187" s="551">
        <v>0</v>
      </c>
      <c r="L187" s="511">
        <v>2.215E-2</v>
      </c>
      <c r="M187" s="511">
        <f t="shared" si="22"/>
        <v>8.1300000000000018E-3</v>
      </c>
      <c r="N187" s="551">
        <f t="shared" si="27"/>
        <v>0</v>
      </c>
      <c r="O187" s="551">
        <f t="shared" si="28"/>
        <v>0</v>
      </c>
      <c r="P187" s="551">
        <f t="shared" si="29"/>
        <v>0</v>
      </c>
      <c r="Q187" s="536">
        <v>3.5</v>
      </c>
      <c r="R187" s="536">
        <v>3.66</v>
      </c>
      <c r="S187" s="536">
        <v>4.5</v>
      </c>
      <c r="T187" s="536">
        <v>0.01</v>
      </c>
      <c r="U187" s="536">
        <v>0.01</v>
      </c>
      <c r="V187" s="536">
        <v>0.01</v>
      </c>
      <c r="W187" s="114">
        <f t="shared" si="32"/>
        <v>3.49</v>
      </c>
      <c r="X187" s="114">
        <f t="shared" si="30"/>
        <v>3.6500000000000004</v>
      </c>
      <c r="Y187" s="114">
        <f t="shared" si="31"/>
        <v>4.49</v>
      </c>
    </row>
    <row r="188" spans="1:25">
      <c r="A188" s="537">
        <v>20130101</v>
      </c>
      <c r="B188" s="535" t="s">
        <v>421</v>
      </c>
      <c r="C188" s="535" t="str">
        <f t="shared" si="20"/>
        <v>20130101ITODP</v>
      </c>
      <c r="D188" s="535" t="s">
        <v>393</v>
      </c>
      <c r="E188" s="535" t="str">
        <f t="shared" si="21"/>
        <v>20130101LGINE694</v>
      </c>
      <c r="F188" s="536">
        <f>$F$106</f>
        <v>300</v>
      </c>
      <c r="G188" s="511">
        <v>3.0280000000000001E-2</v>
      </c>
      <c r="H188" s="551">
        <v>0</v>
      </c>
      <c r="I188" s="551">
        <v>0</v>
      </c>
      <c r="J188" s="551">
        <v>0</v>
      </c>
      <c r="K188" s="551">
        <v>0</v>
      </c>
      <c r="L188" s="511">
        <v>2.215E-2</v>
      </c>
      <c r="M188" s="511">
        <f t="shared" si="22"/>
        <v>8.1300000000000018E-3</v>
      </c>
      <c r="N188" s="551">
        <f t="shared" si="27"/>
        <v>0</v>
      </c>
      <c r="O188" s="551">
        <f t="shared" si="28"/>
        <v>0</v>
      </c>
      <c r="P188" s="551">
        <f t="shared" si="29"/>
        <v>0</v>
      </c>
      <c r="Q188" s="536">
        <v>3.5</v>
      </c>
      <c r="R188" s="536">
        <v>3.66</v>
      </c>
      <c r="S188" s="536">
        <v>4.5</v>
      </c>
      <c r="T188" s="536">
        <v>0.01</v>
      </c>
      <c r="U188" s="536">
        <v>0.01</v>
      </c>
      <c r="V188" s="536">
        <v>0.01</v>
      </c>
      <c r="W188" s="114">
        <f t="shared" si="32"/>
        <v>3.49</v>
      </c>
      <c r="X188" s="114">
        <f t="shared" si="30"/>
        <v>3.6500000000000004</v>
      </c>
      <c r="Y188" s="114">
        <f t="shared" si="31"/>
        <v>4.49</v>
      </c>
    </row>
    <row r="189" spans="1:25">
      <c r="A189" s="537">
        <v>20130101</v>
      </c>
      <c r="B189" s="535" t="s">
        <v>15</v>
      </c>
      <c r="C189" s="535" t="str">
        <f t="shared" si="20"/>
        <v>20130101RTS</v>
      </c>
      <c r="D189" s="535" t="s">
        <v>388</v>
      </c>
      <c r="E189" s="535" t="str">
        <f t="shared" si="21"/>
        <v>20130101LGINE643</v>
      </c>
      <c r="F189" s="536">
        <v>750</v>
      </c>
      <c r="G189" s="551">
        <v>3.1E-2</v>
      </c>
      <c r="H189" s="551">
        <v>0</v>
      </c>
      <c r="I189" s="551">
        <v>0</v>
      </c>
      <c r="J189" s="551">
        <v>0</v>
      </c>
      <c r="K189" s="551">
        <v>0</v>
      </c>
      <c r="L189" s="551">
        <v>2.215E-2</v>
      </c>
      <c r="M189" s="551">
        <f t="shared" si="22"/>
        <v>8.8500000000000002E-3</v>
      </c>
      <c r="N189" s="551">
        <f t="shared" si="27"/>
        <v>0</v>
      </c>
      <c r="O189" s="551">
        <f t="shared" si="28"/>
        <v>0</v>
      </c>
      <c r="P189" s="551">
        <f t="shared" si="29"/>
        <v>0</v>
      </c>
      <c r="Q189" s="536">
        <v>2.65</v>
      </c>
      <c r="R189" s="536">
        <v>2.9</v>
      </c>
      <c r="S189" s="536">
        <v>4.45</v>
      </c>
      <c r="T189" s="536">
        <v>0.01</v>
      </c>
      <c r="U189" s="536">
        <v>0.01</v>
      </c>
      <c r="V189" s="536">
        <v>0.01</v>
      </c>
      <c r="W189" s="114">
        <f t="shared" si="32"/>
        <v>2.64</v>
      </c>
      <c r="X189" s="114">
        <f t="shared" si="30"/>
        <v>2.89</v>
      </c>
      <c r="Y189" s="114">
        <f t="shared" si="31"/>
        <v>4.4400000000000004</v>
      </c>
    </row>
    <row r="190" spans="1:25">
      <c r="A190" s="537">
        <v>20130101</v>
      </c>
      <c r="B190" s="535" t="s">
        <v>22</v>
      </c>
      <c r="C190" s="535" t="str">
        <f t="shared" si="20"/>
        <v>20130101FLSP</v>
      </c>
      <c r="D190" s="538" t="s">
        <v>816</v>
      </c>
      <c r="E190" s="535" t="str">
        <f t="shared" si="21"/>
        <v>20130101LGINE682</v>
      </c>
      <c r="F190" s="536">
        <v>750</v>
      </c>
      <c r="G190" s="551">
        <v>3.1E-2</v>
      </c>
      <c r="H190" s="551">
        <v>0</v>
      </c>
      <c r="I190" s="551">
        <v>0</v>
      </c>
      <c r="J190" s="551">
        <v>0</v>
      </c>
      <c r="K190" s="551">
        <v>0</v>
      </c>
      <c r="L190" s="551">
        <v>2.215E-2</v>
      </c>
      <c r="M190" s="551">
        <f t="shared" si="22"/>
        <v>8.8500000000000002E-3</v>
      </c>
      <c r="N190" s="551">
        <f t="shared" si="27"/>
        <v>0</v>
      </c>
      <c r="O190" s="551">
        <f t="shared" si="28"/>
        <v>0</v>
      </c>
      <c r="P190" s="551">
        <f t="shared" si="29"/>
        <v>0</v>
      </c>
      <c r="Q190" s="536">
        <v>1.79</v>
      </c>
      <c r="R190" s="536">
        <v>1.79</v>
      </c>
      <c r="S190" s="536">
        <v>2.84</v>
      </c>
      <c r="T190" s="536">
        <v>0.01</v>
      </c>
      <c r="U190" s="536">
        <v>0.01</v>
      </c>
      <c r="V190" s="536">
        <v>0.01</v>
      </c>
      <c r="W190" s="114">
        <f t="shared" si="32"/>
        <v>1.78</v>
      </c>
      <c r="X190" s="114">
        <f t="shared" si="30"/>
        <v>1.78</v>
      </c>
      <c r="Y190" s="114">
        <f t="shared" si="31"/>
        <v>2.83</v>
      </c>
    </row>
    <row r="191" spans="1:25">
      <c r="A191" s="537">
        <v>20130101</v>
      </c>
      <c r="B191" s="535" t="s">
        <v>23</v>
      </c>
      <c r="C191" s="535" t="str">
        <f t="shared" si="20"/>
        <v>20130101FLST</v>
      </c>
      <c r="D191" s="538" t="s">
        <v>817</v>
      </c>
      <c r="E191" s="535" t="str">
        <f t="shared" si="21"/>
        <v>20130101LGINE683</v>
      </c>
      <c r="F191" s="536">
        <v>750</v>
      </c>
      <c r="G191" s="551">
        <v>3.1E-2</v>
      </c>
      <c r="H191" s="551">
        <v>0</v>
      </c>
      <c r="I191" s="551">
        <v>0</v>
      </c>
      <c r="J191" s="551">
        <v>0</v>
      </c>
      <c r="K191" s="551">
        <v>0</v>
      </c>
      <c r="L191" s="551">
        <v>2.215E-2</v>
      </c>
      <c r="M191" s="551">
        <f t="shared" si="22"/>
        <v>8.8500000000000002E-3</v>
      </c>
      <c r="N191" s="551">
        <f t="shared" si="27"/>
        <v>0</v>
      </c>
      <c r="O191" s="551">
        <f t="shared" si="28"/>
        <v>0</v>
      </c>
      <c r="P191" s="551">
        <f t="shared" si="29"/>
        <v>0</v>
      </c>
      <c r="Q191" s="536">
        <v>1.04</v>
      </c>
      <c r="R191" s="536">
        <v>1.79</v>
      </c>
      <c r="S191" s="536">
        <v>2.84</v>
      </c>
      <c r="T191" s="536">
        <v>0.01</v>
      </c>
      <c r="U191" s="536">
        <v>0.01</v>
      </c>
      <c r="V191" s="536">
        <v>0.01</v>
      </c>
      <c r="W191" s="114">
        <f t="shared" si="32"/>
        <v>1.03</v>
      </c>
      <c r="X191" s="114">
        <f t="shared" si="30"/>
        <v>1.78</v>
      </c>
      <c r="Y191" s="114">
        <f t="shared" si="31"/>
        <v>2.83</v>
      </c>
    </row>
    <row r="192" spans="1:25">
      <c r="A192" s="537">
        <v>20130101</v>
      </c>
      <c r="B192" s="535" t="s">
        <v>17</v>
      </c>
      <c r="C192" s="535" t="str">
        <f t="shared" si="20"/>
        <v>20130101LE</v>
      </c>
      <c r="D192" s="535" t="s">
        <v>394</v>
      </c>
      <c r="E192" s="535" t="str">
        <f t="shared" si="21"/>
        <v>20130101LGMLE570</v>
      </c>
      <c r="F192" s="536">
        <v>0</v>
      </c>
      <c r="G192" s="551">
        <v>5.8470000000000001E-2</v>
      </c>
      <c r="H192" s="551">
        <v>0</v>
      </c>
      <c r="I192" s="551">
        <v>0</v>
      </c>
      <c r="J192" s="551">
        <v>0</v>
      </c>
      <c r="K192" s="551">
        <v>6.0000000000000002E-5</v>
      </c>
      <c r="L192" s="511">
        <v>2.215E-2</v>
      </c>
      <c r="M192" s="511">
        <f t="shared" si="22"/>
        <v>3.6260000000000001E-2</v>
      </c>
      <c r="N192" s="551">
        <f t="shared" si="27"/>
        <v>0</v>
      </c>
      <c r="O192" s="551">
        <f t="shared" si="28"/>
        <v>0</v>
      </c>
      <c r="P192" s="551">
        <f t="shared" si="29"/>
        <v>0</v>
      </c>
      <c r="Q192" s="536">
        <v>0</v>
      </c>
      <c r="R192" s="536">
        <v>0</v>
      </c>
      <c r="S192" s="536">
        <v>0</v>
      </c>
      <c r="T192" s="536">
        <v>0</v>
      </c>
      <c r="U192" s="536">
        <v>0</v>
      </c>
      <c r="V192" s="536">
        <v>0</v>
      </c>
      <c r="W192" s="536">
        <v>0</v>
      </c>
      <c r="X192" s="536">
        <v>0</v>
      </c>
      <c r="Y192" s="536">
        <v>0</v>
      </c>
    </row>
    <row r="193" spans="1:25">
      <c r="A193" s="537">
        <v>20130101</v>
      </c>
      <c r="B193" s="535" t="s">
        <v>17</v>
      </c>
      <c r="C193" s="535" t="str">
        <f t="shared" si="20"/>
        <v>20130101LE</v>
      </c>
      <c r="D193" s="535" t="s">
        <v>395</v>
      </c>
      <c r="E193" s="535" t="str">
        <f t="shared" si="21"/>
        <v>20130101LGMLE571</v>
      </c>
      <c r="F193" s="536">
        <v>0</v>
      </c>
      <c r="G193" s="551">
        <v>5.8470000000000001E-2</v>
      </c>
      <c r="H193" s="551">
        <v>0</v>
      </c>
      <c r="I193" s="551">
        <v>0</v>
      </c>
      <c r="J193" s="551">
        <v>0</v>
      </c>
      <c r="K193" s="551">
        <v>6.0000000000000002E-5</v>
      </c>
      <c r="L193" s="511">
        <v>2.215E-2</v>
      </c>
      <c r="M193" s="511">
        <f t="shared" si="22"/>
        <v>3.6260000000000001E-2</v>
      </c>
      <c r="N193" s="551">
        <f t="shared" si="27"/>
        <v>0</v>
      </c>
      <c r="O193" s="551">
        <f t="shared" si="28"/>
        <v>0</v>
      </c>
      <c r="P193" s="551">
        <f t="shared" si="29"/>
        <v>0</v>
      </c>
      <c r="Q193" s="536">
        <v>0</v>
      </c>
      <c r="R193" s="536">
        <v>0</v>
      </c>
      <c r="S193" s="536">
        <v>0</v>
      </c>
      <c r="T193" s="536">
        <v>0</v>
      </c>
      <c r="U193" s="536">
        <v>0</v>
      </c>
      <c r="V193" s="536">
        <v>0</v>
      </c>
      <c r="W193" s="536">
        <v>0</v>
      </c>
      <c r="X193" s="536">
        <v>0</v>
      </c>
      <c r="Y193" s="536">
        <v>0</v>
      </c>
    </row>
    <row r="194" spans="1:25">
      <c r="A194" s="537">
        <v>20130101</v>
      </c>
      <c r="B194" s="535" t="s">
        <v>17</v>
      </c>
      <c r="C194" s="535" t="str">
        <f t="shared" si="20"/>
        <v>20130101LE</v>
      </c>
      <c r="D194" s="535" t="s">
        <v>396</v>
      </c>
      <c r="E194" s="535" t="str">
        <f t="shared" si="21"/>
        <v>20130101LGMLE572</v>
      </c>
      <c r="F194" s="536">
        <v>0</v>
      </c>
      <c r="G194" s="551">
        <v>5.8470000000000001E-2</v>
      </c>
      <c r="H194" s="551">
        <v>0</v>
      </c>
      <c r="I194" s="551">
        <v>0</v>
      </c>
      <c r="J194" s="551">
        <v>0</v>
      </c>
      <c r="K194" s="551">
        <v>6.0000000000000002E-5</v>
      </c>
      <c r="L194" s="511">
        <v>2.215E-2</v>
      </c>
      <c r="M194" s="511">
        <f t="shared" si="22"/>
        <v>3.6260000000000001E-2</v>
      </c>
      <c r="N194" s="551">
        <f t="shared" si="27"/>
        <v>0</v>
      </c>
      <c r="O194" s="551">
        <f t="shared" si="28"/>
        <v>0</v>
      </c>
      <c r="P194" s="551">
        <f t="shared" si="29"/>
        <v>0</v>
      </c>
      <c r="Q194" s="536">
        <v>0</v>
      </c>
      <c r="R194" s="536">
        <v>0</v>
      </c>
      <c r="S194" s="536">
        <v>0</v>
      </c>
      <c r="T194" s="536">
        <v>0</v>
      </c>
      <c r="U194" s="536">
        <v>0</v>
      </c>
      <c r="V194" s="536">
        <v>0</v>
      </c>
      <c r="W194" s="536">
        <v>0</v>
      </c>
      <c r="X194" s="536">
        <v>0</v>
      </c>
      <c r="Y194" s="536">
        <v>0</v>
      </c>
    </row>
    <row r="195" spans="1:25">
      <c r="A195" s="537">
        <v>20130101</v>
      </c>
      <c r="B195" s="535" t="s">
        <v>18</v>
      </c>
      <c r="C195" s="535" t="str">
        <f t="shared" si="20"/>
        <v>20130101TE</v>
      </c>
      <c r="D195" s="535" t="s">
        <v>397</v>
      </c>
      <c r="E195" s="535" t="str">
        <f t="shared" si="21"/>
        <v>20130101LGMLE573</v>
      </c>
      <c r="F195" s="536">
        <v>3.25</v>
      </c>
      <c r="G195" s="551">
        <v>7.0440000000000003E-2</v>
      </c>
      <c r="H195" s="551">
        <v>0</v>
      </c>
      <c r="I195" s="551">
        <v>0</v>
      </c>
      <c r="J195" s="551">
        <v>0</v>
      </c>
      <c r="K195" s="551">
        <v>6.0000000000000002E-5</v>
      </c>
      <c r="L195" s="511">
        <v>2.215E-2</v>
      </c>
      <c r="M195" s="511">
        <f t="shared" si="22"/>
        <v>4.8229999999999995E-2</v>
      </c>
      <c r="N195" s="551">
        <f t="shared" si="27"/>
        <v>0</v>
      </c>
      <c r="O195" s="551">
        <f t="shared" si="28"/>
        <v>0</v>
      </c>
      <c r="P195" s="551">
        <f t="shared" si="29"/>
        <v>0</v>
      </c>
      <c r="Q195" s="536">
        <v>0</v>
      </c>
      <c r="R195" s="536">
        <v>0</v>
      </c>
      <c r="S195" s="536">
        <v>0</v>
      </c>
      <c r="T195" s="536">
        <v>0</v>
      </c>
      <c r="U195" s="536">
        <v>0</v>
      </c>
      <c r="V195" s="536">
        <v>0</v>
      </c>
      <c r="W195" s="536">
        <v>0</v>
      </c>
      <c r="X195" s="536">
        <v>0</v>
      </c>
      <c r="Y195" s="536">
        <v>0</v>
      </c>
    </row>
    <row r="196" spans="1:25">
      <c r="A196" s="537">
        <v>20130101</v>
      </c>
      <c r="B196" s="535" t="s">
        <v>18</v>
      </c>
      <c r="C196" s="535" t="str">
        <f t="shared" si="20"/>
        <v>20130101TE</v>
      </c>
      <c r="D196" s="535" t="s">
        <v>398</v>
      </c>
      <c r="E196" s="535" t="str">
        <f t="shared" si="21"/>
        <v>20130101LGMLE574</v>
      </c>
      <c r="F196" s="536">
        <v>3.25</v>
      </c>
      <c r="G196" s="551">
        <v>7.0440000000000003E-2</v>
      </c>
      <c r="H196" s="551">
        <v>0</v>
      </c>
      <c r="I196" s="551">
        <v>0</v>
      </c>
      <c r="J196" s="551">
        <v>0</v>
      </c>
      <c r="K196" s="551">
        <v>6.0000000000000002E-5</v>
      </c>
      <c r="L196" s="511">
        <v>2.215E-2</v>
      </c>
      <c r="M196" s="511">
        <f t="shared" si="22"/>
        <v>4.8229999999999995E-2</v>
      </c>
      <c r="N196" s="551">
        <f t="shared" si="27"/>
        <v>0</v>
      </c>
      <c r="O196" s="551">
        <f t="shared" si="28"/>
        <v>0</v>
      </c>
      <c r="P196" s="551">
        <f t="shared" si="29"/>
        <v>0</v>
      </c>
      <c r="Q196" s="536">
        <v>0</v>
      </c>
      <c r="R196" s="536">
        <v>0</v>
      </c>
      <c r="S196" s="536">
        <v>0</v>
      </c>
      <c r="T196" s="536">
        <v>0</v>
      </c>
      <c r="U196" s="536">
        <v>0</v>
      </c>
      <c r="V196" s="536">
        <v>0</v>
      </c>
      <c r="W196" s="536">
        <v>0</v>
      </c>
      <c r="X196" s="536">
        <v>0</v>
      </c>
      <c r="Y196" s="536">
        <v>0</v>
      </c>
    </row>
    <row r="197" spans="1:25">
      <c r="A197" s="537">
        <v>20130101</v>
      </c>
      <c r="B197" s="535" t="s">
        <v>18</v>
      </c>
      <c r="C197" s="535" t="str">
        <f t="shared" si="20"/>
        <v>20130101TE</v>
      </c>
      <c r="D197" s="538" t="s">
        <v>818</v>
      </c>
      <c r="E197" s="535" t="str">
        <f t="shared" si="21"/>
        <v>20130101LGMLE575</v>
      </c>
      <c r="F197" s="536">
        <v>3.25</v>
      </c>
      <c r="G197" s="551">
        <v>7.0440000000000003E-2</v>
      </c>
      <c r="H197" s="551">
        <v>0</v>
      </c>
      <c r="I197" s="551">
        <v>0</v>
      </c>
      <c r="J197" s="551">
        <v>0</v>
      </c>
      <c r="K197" s="551">
        <v>6.0000000000000002E-5</v>
      </c>
      <c r="L197" s="511">
        <v>2.215E-2</v>
      </c>
      <c r="M197" s="511">
        <f t="shared" si="22"/>
        <v>4.8229999999999995E-2</v>
      </c>
      <c r="N197" s="551">
        <f t="shared" si="27"/>
        <v>0</v>
      </c>
      <c r="O197" s="551">
        <f t="shared" si="28"/>
        <v>0</v>
      </c>
      <c r="P197" s="551">
        <f t="shared" si="29"/>
        <v>0</v>
      </c>
      <c r="Q197" s="536">
        <v>0</v>
      </c>
      <c r="R197" s="536">
        <v>0</v>
      </c>
      <c r="S197" s="536">
        <v>0</v>
      </c>
      <c r="T197" s="536">
        <v>0</v>
      </c>
      <c r="U197" s="536">
        <v>0</v>
      </c>
      <c r="V197" s="536">
        <v>0</v>
      </c>
      <c r="W197" s="536">
        <v>0</v>
      </c>
      <c r="X197" s="536">
        <v>0</v>
      </c>
      <c r="Y197" s="536">
        <v>0</v>
      </c>
    </row>
    <row r="198" spans="1:25">
      <c r="A198" s="537">
        <v>20130101</v>
      </c>
      <c r="B198" s="535" t="s">
        <v>18</v>
      </c>
      <c r="C198" s="535" t="str">
        <f t="shared" si="20"/>
        <v>20130101TE</v>
      </c>
      <c r="D198" s="538" t="s">
        <v>819</v>
      </c>
      <c r="E198" s="535" t="str">
        <f t="shared" si="21"/>
        <v>20130101LGMLE577</v>
      </c>
      <c r="F198" s="536">
        <v>3.25</v>
      </c>
      <c r="G198" s="551">
        <v>7.0440000000000003E-2</v>
      </c>
      <c r="H198" s="551">
        <v>0</v>
      </c>
      <c r="I198" s="551">
        <v>0</v>
      </c>
      <c r="J198" s="551">
        <v>0</v>
      </c>
      <c r="K198" s="551">
        <v>6.0000000000000002E-5</v>
      </c>
      <c r="L198" s="511">
        <v>2.215E-2</v>
      </c>
      <c r="M198" s="511">
        <f t="shared" si="22"/>
        <v>4.8229999999999995E-2</v>
      </c>
      <c r="N198" s="551">
        <f t="shared" si="27"/>
        <v>0</v>
      </c>
      <c r="O198" s="551">
        <f t="shared" si="28"/>
        <v>0</v>
      </c>
      <c r="P198" s="551">
        <f t="shared" si="29"/>
        <v>0</v>
      </c>
      <c r="Q198" s="536">
        <v>0</v>
      </c>
      <c r="R198" s="536">
        <v>0</v>
      </c>
      <c r="S198" s="536">
        <v>0</v>
      </c>
      <c r="T198" s="536">
        <v>0</v>
      </c>
      <c r="U198" s="536">
        <v>0</v>
      </c>
      <c r="V198" s="536">
        <v>0</v>
      </c>
      <c r="W198" s="536">
        <v>0</v>
      </c>
      <c r="X198" s="536">
        <v>0</v>
      </c>
      <c r="Y198" s="536">
        <v>0</v>
      </c>
    </row>
    <row r="199" spans="1:25">
      <c r="A199" s="537">
        <v>20130101</v>
      </c>
      <c r="B199" s="535" t="s">
        <v>412</v>
      </c>
      <c r="C199" s="535" t="str">
        <f t="shared" si="20"/>
        <v>20130101FK</v>
      </c>
      <c r="D199" s="535" t="s">
        <v>387</v>
      </c>
      <c r="E199" s="535" t="str">
        <f t="shared" si="21"/>
        <v>20130101LGINE599</v>
      </c>
      <c r="F199" s="536">
        <v>0</v>
      </c>
      <c r="G199" s="551">
        <v>3.2300000000000002E-2</v>
      </c>
      <c r="H199" s="551">
        <v>0</v>
      </c>
      <c r="I199" s="551">
        <v>0</v>
      </c>
      <c r="J199" s="551">
        <v>0</v>
      </c>
      <c r="K199" s="551">
        <v>0</v>
      </c>
      <c r="L199" s="551">
        <v>2.215E-2</v>
      </c>
      <c r="M199" s="551">
        <f t="shared" si="22"/>
        <v>1.0150000000000003E-2</v>
      </c>
      <c r="N199" s="551">
        <v>0</v>
      </c>
      <c r="O199" s="551">
        <v>0</v>
      </c>
      <c r="P199" s="551">
        <v>0</v>
      </c>
      <c r="Q199" s="551">
        <v>0</v>
      </c>
      <c r="R199" s="536">
        <v>12.35</v>
      </c>
      <c r="S199" s="536">
        <v>14.67</v>
      </c>
      <c r="T199" s="536">
        <v>0</v>
      </c>
      <c r="U199" s="536">
        <v>0.02</v>
      </c>
      <c r="V199" s="536">
        <v>0.02</v>
      </c>
      <c r="W199" s="536">
        <v>0</v>
      </c>
      <c r="X199" s="114">
        <f>R199-U199</f>
        <v>12.33</v>
      </c>
      <c r="Y199" s="114">
        <f>S199-V199</f>
        <v>14.65</v>
      </c>
    </row>
    <row r="200" spans="1:25">
      <c r="A200" s="537">
        <v>20130101</v>
      </c>
      <c r="B200" s="535" t="s">
        <v>425</v>
      </c>
      <c r="C200" s="535" t="str">
        <f>A200&amp;B200</f>
        <v>20130101LWC</v>
      </c>
      <c r="D200" s="535" t="s">
        <v>385</v>
      </c>
      <c r="E200" s="535" t="str">
        <f>A200&amp;D200</f>
        <v>20130101LGCME671</v>
      </c>
      <c r="F200" s="536">
        <v>0</v>
      </c>
      <c r="G200" s="551">
        <v>3.1919999999999997E-2</v>
      </c>
      <c r="H200" s="551">
        <v>0</v>
      </c>
      <c r="I200" s="551">
        <v>0</v>
      </c>
      <c r="J200" s="551">
        <v>0</v>
      </c>
      <c r="K200" s="551">
        <v>0</v>
      </c>
      <c r="L200" s="551">
        <v>2.215E-2</v>
      </c>
      <c r="M200" s="551">
        <f t="shared" si="22"/>
        <v>9.7699999999999974E-3</v>
      </c>
      <c r="N200" s="551">
        <v>0</v>
      </c>
      <c r="O200" s="551">
        <v>0</v>
      </c>
      <c r="P200" s="551">
        <v>0</v>
      </c>
      <c r="Q200" s="551">
        <v>0</v>
      </c>
      <c r="R200" s="536">
        <v>10</v>
      </c>
      <c r="S200" s="536">
        <v>10</v>
      </c>
      <c r="T200" s="536">
        <v>0</v>
      </c>
      <c r="U200" s="536">
        <v>0.02</v>
      </c>
      <c r="V200" s="536">
        <v>0.02</v>
      </c>
      <c r="W200" s="536">
        <v>0</v>
      </c>
      <c r="X200" s="114">
        <f>R200-U200</f>
        <v>9.98</v>
      </c>
      <c r="Y200" s="114">
        <f>S200-V200</f>
        <v>9.98</v>
      </c>
    </row>
    <row r="201" spans="1:25">
      <c r="A201" s="537">
        <v>20130101</v>
      </c>
      <c r="B201" s="535" t="s">
        <v>641</v>
      </c>
      <c r="C201" s="535" t="str">
        <f>A201&amp;B201</f>
        <v>20130101LEV</v>
      </c>
      <c r="D201" s="538" t="s">
        <v>706</v>
      </c>
      <c r="E201" s="535" t="str">
        <f>A201&amp;D201</f>
        <v>20130101LGRSE543</v>
      </c>
      <c r="F201" s="536">
        <v>10.75</v>
      </c>
      <c r="G201" s="551">
        <v>5.1830000000000001E-2</v>
      </c>
      <c r="H201" s="551">
        <v>7.2620000000000004E-2</v>
      </c>
      <c r="I201" s="551">
        <v>0.13814000000000001</v>
      </c>
      <c r="J201" s="551">
        <v>0</v>
      </c>
      <c r="K201" s="551">
        <v>6.9999999999999994E-5</v>
      </c>
      <c r="L201" s="511">
        <v>2.215E-2</v>
      </c>
      <c r="M201" s="551">
        <f t="shared" si="22"/>
        <v>2.9610000000000001E-2</v>
      </c>
      <c r="N201" s="551">
        <f>H201-K201-L201</f>
        <v>5.04E-2</v>
      </c>
      <c r="O201" s="551">
        <f>I201-K201-L201</f>
        <v>0.11592000000000002</v>
      </c>
      <c r="P201" s="551">
        <v>0</v>
      </c>
      <c r="Q201" s="536">
        <v>0</v>
      </c>
      <c r="R201" s="536">
        <v>0</v>
      </c>
      <c r="S201" s="536">
        <v>0</v>
      </c>
      <c r="T201" s="536">
        <v>0</v>
      </c>
      <c r="U201" s="536">
        <v>0</v>
      </c>
      <c r="V201" s="536">
        <v>0</v>
      </c>
      <c r="W201" s="536">
        <v>0</v>
      </c>
      <c r="X201" s="536">
        <v>0</v>
      </c>
      <c r="Y201" s="536">
        <v>0</v>
      </c>
    </row>
    <row r="202" spans="1:25">
      <c r="A202" s="542">
        <v>20130701</v>
      </c>
      <c r="B202" s="540" t="s">
        <v>13</v>
      </c>
      <c r="C202" s="540" t="str">
        <f t="shared" ref="C202:C237" si="33">A202&amp;B202</f>
        <v>20130701RS</v>
      </c>
      <c r="D202" s="540" t="s">
        <v>399</v>
      </c>
      <c r="E202" s="540" t="str">
        <f t="shared" ref="E202:E237" si="34">A202&amp;D202</f>
        <v>20130701LGRSE411</v>
      </c>
      <c r="F202" s="541">
        <v>0</v>
      </c>
      <c r="G202" s="552">
        <v>7.9490000000000005E-2</v>
      </c>
      <c r="H202" s="552">
        <v>0</v>
      </c>
      <c r="I202" s="552">
        <v>0</v>
      </c>
      <c r="J202" s="552">
        <v>0</v>
      </c>
      <c r="K202" s="552">
        <v>6.9999999999999994E-5</v>
      </c>
      <c r="L202" s="553">
        <v>2.725E-2</v>
      </c>
      <c r="M202" s="552">
        <f t="shared" si="22"/>
        <v>5.2170000000000008E-2</v>
      </c>
      <c r="N202" s="552">
        <f t="shared" ref="N202:N236" si="35">IF(H202=0,0,H202-$K202-$L202)</f>
        <v>0</v>
      </c>
      <c r="O202" s="552">
        <f t="shared" ref="O202:O236" si="36">IF(I202=0,0,I202-$K202-$L202)</f>
        <v>0</v>
      </c>
      <c r="P202" s="552">
        <f t="shared" ref="P202:P236" si="37">IF(J202=0,0,J202-$K202-$L202)</f>
        <v>0</v>
      </c>
      <c r="Q202" s="541">
        <v>0</v>
      </c>
      <c r="R202" s="541">
        <v>0</v>
      </c>
      <c r="S202" s="541">
        <v>0</v>
      </c>
      <c r="T202" s="541">
        <v>0</v>
      </c>
      <c r="U202" s="541">
        <v>0</v>
      </c>
      <c r="V202" s="541">
        <v>0</v>
      </c>
      <c r="W202" s="541">
        <v>0</v>
      </c>
      <c r="X202" s="541">
        <v>0</v>
      </c>
      <c r="Y202" s="541">
        <v>0</v>
      </c>
    </row>
    <row r="203" spans="1:25">
      <c r="A203" s="542">
        <v>20130701</v>
      </c>
      <c r="B203" s="543" t="s">
        <v>417</v>
      </c>
      <c r="C203" s="540" t="str">
        <f t="shared" si="33"/>
        <v>20130701GSWH</v>
      </c>
      <c r="D203" s="540" t="s">
        <v>368</v>
      </c>
      <c r="E203" s="540" t="str">
        <f t="shared" si="34"/>
        <v>20130701LGCME451</v>
      </c>
      <c r="F203" s="541">
        <v>0</v>
      </c>
      <c r="G203" s="552">
        <v>8.9760000000000006E-2</v>
      </c>
      <c r="H203" s="552">
        <v>0</v>
      </c>
      <c r="I203" s="552">
        <v>0</v>
      </c>
      <c r="J203" s="552">
        <v>0</v>
      </c>
      <c r="K203" s="552">
        <v>9.0000000000000006E-5</v>
      </c>
      <c r="L203" s="552">
        <f>$L$240</f>
        <v>2.725E-2</v>
      </c>
      <c r="M203" s="552">
        <f t="shared" si="22"/>
        <v>6.2420000000000003E-2</v>
      </c>
      <c r="N203" s="552">
        <f t="shared" si="35"/>
        <v>0</v>
      </c>
      <c r="O203" s="552">
        <f t="shared" si="36"/>
        <v>0</v>
      </c>
      <c r="P203" s="552">
        <f t="shared" si="37"/>
        <v>0</v>
      </c>
      <c r="Q203" s="541">
        <v>0</v>
      </c>
      <c r="R203" s="541">
        <v>0</v>
      </c>
      <c r="S203" s="541">
        <v>0</v>
      </c>
      <c r="T203" s="541">
        <v>0</v>
      </c>
      <c r="U203" s="541">
        <v>0</v>
      </c>
      <c r="V203" s="541">
        <v>0</v>
      </c>
      <c r="W203" s="541">
        <v>0</v>
      </c>
      <c r="X203" s="541">
        <v>0</v>
      </c>
      <c r="Y203" s="541">
        <v>0</v>
      </c>
    </row>
    <row r="204" spans="1:25">
      <c r="A204" s="542">
        <v>20130701</v>
      </c>
      <c r="B204" s="540" t="s">
        <v>13</v>
      </c>
      <c r="C204" s="540" t="str">
        <f t="shared" si="33"/>
        <v>20130701RS</v>
      </c>
      <c r="D204" s="540" t="s">
        <v>400</v>
      </c>
      <c r="E204" s="540" t="str">
        <f t="shared" si="34"/>
        <v>20130701LGRSE511</v>
      </c>
      <c r="F204" s="541">
        <v>10.75</v>
      </c>
      <c r="G204" s="552">
        <v>7.9490000000000005E-2</v>
      </c>
      <c r="H204" s="552">
        <v>0</v>
      </c>
      <c r="I204" s="552">
        <v>0</v>
      </c>
      <c r="J204" s="552">
        <v>0</v>
      </c>
      <c r="K204" s="552">
        <v>6.9999999999999994E-5</v>
      </c>
      <c r="L204" s="552">
        <f t="shared" ref="L204:L239" si="38">$L$240</f>
        <v>2.725E-2</v>
      </c>
      <c r="M204" s="552">
        <f t="shared" si="22"/>
        <v>5.2170000000000008E-2</v>
      </c>
      <c r="N204" s="552">
        <f t="shared" si="35"/>
        <v>0</v>
      </c>
      <c r="O204" s="552">
        <f t="shared" si="36"/>
        <v>0</v>
      </c>
      <c r="P204" s="552">
        <f t="shared" si="37"/>
        <v>0</v>
      </c>
      <c r="Q204" s="541">
        <v>0</v>
      </c>
      <c r="R204" s="541">
        <v>0</v>
      </c>
      <c r="S204" s="541">
        <v>0</v>
      </c>
      <c r="T204" s="541">
        <v>0</v>
      </c>
      <c r="U204" s="541">
        <v>0</v>
      </c>
      <c r="V204" s="541">
        <v>0</v>
      </c>
      <c r="W204" s="541">
        <v>0</v>
      </c>
      <c r="X204" s="541">
        <v>0</v>
      </c>
      <c r="Y204" s="541">
        <v>0</v>
      </c>
    </row>
    <row r="205" spans="1:25">
      <c r="A205" s="542">
        <v>20130701</v>
      </c>
      <c r="B205" s="540" t="s">
        <v>13</v>
      </c>
      <c r="C205" s="540" t="str">
        <f t="shared" si="33"/>
        <v>20130701RS</v>
      </c>
      <c r="D205" s="540" t="s">
        <v>401</v>
      </c>
      <c r="E205" s="540" t="str">
        <f t="shared" si="34"/>
        <v>20130701LGRSE519</v>
      </c>
      <c r="F205" s="541">
        <v>10.75</v>
      </c>
      <c r="G205" s="552">
        <v>7.9490000000000005E-2</v>
      </c>
      <c r="H205" s="552">
        <v>0</v>
      </c>
      <c r="I205" s="552">
        <v>0</v>
      </c>
      <c r="J205" s="552">
        <v>0</v>
      </c>
      <c r="K205" s="552">
        <v>6.9999999999999994E-5</v>
      </c>
      <c r="L205" s="552">
        <f t="shared" si="38"/>
        <v>2.725E-2</v>
      </c>
      <c r="M205" s="552">
        <f t="shared" si="22"/>
        <v>5.2170000000000008E-2</v>
      </c>
      <c r="N205" s="552">
        <f t="shared" si="35"/>
        <v>0</v>
      </c>
      <c r="O205" s="552">
        <f t="shared" si="36"/>
        <v>0</v>
      </c>
      <c r="P205" s="552">
        <f t="shared" si="37"/>
        <v>0</v>
      </c>
      <c r="Q205" s="541">
        <v>0</v>
      </c>
      <c r="R205" s="541">
        <v>0</v>
      </c>
      <c r="S205" s="541">
        <v>0</v>
      </c>
      <c r="T205" s="541">
        <v>0</v>
      </c>
      <c r="U205" s="541">
        <v>0</v>
      </c>
      <c r="V205" s="541">
        <v>0</v>
      </c>
      <c r="W205" s="541">
        <v>0</v>
      </c>
      <c r="X205" s="541">
        <v>0</v>
      </c>
      <c r="Y205" s="541">
        <v>0</v>
      </c>
    </row>
    <row r="206" spans="1:25">
      <c r="A206" s="542">
        <v>20130701</v>
      </c>
      <c r="B206" s="540" t="s">
        <v>700</v>
      </c>
      <c r="C206" s="540" t="str">
        <f t="shared" si="33"/>
        <v>20130701VFD</v>
      </c>
      <c r="D206" s="540" t="s">
        <v>402</v>
      </c>
      <c r="E206" s="540" t="str">
        <f t="shared" si="34"/>
        <v>20130701LGRSE540</v>
      </c>
      <c r="F206" s="541">
        <v>10.75</v>
      </c>
      <c r="G206" s="552">
        <v>7.9490000000000005E-2</v>
      </c>
      <c r="H206" s="552">
        <v>0</v>
      </c>
      <c r="I206" s="552">
        <v>0</v>
      </c>
      <c r="J206" s="552">
        <v>0</v>
      </c>
      <c r="K206" s="552">
        <v>6.9999999999999994E-5</v>
      </c>
      <c r="L206" s="552">
        <f t="shared" si="38"/>
        <v>2.725E-2</v>
      </c>
      <c r="M206" s="552">
        <f t="shared" si="22"/>
        <v>5.2170000000000008E-2</v>
      </c>
      <c r="N206" s="552">
        <f t="shared" si="35"/>
        <v>0</v>
      </c>
      <c r="O206" s="552">
        <f t="shared" si="36"/>
        <v>0</v>
      </c>
      <c r="P206" s="552">
        <f t="shared" si="37"/>
        <v>0</v>
      </c>
      <c r="Q206" s="541">
        <v>0</v>
      </c>
      <c r="R206" s="541">
        <v>0</v>
      </c>
      <c r="S206" s="541">
        <v>0</v>
      </c>
      <c r="T206" s="541">
        <v>0</v>
      </c>
      <c r="U206" s="541">
        <v>0</v>
      </c>
      <c r="V206" s="541">
        <v>0</v>
      </c>
      <c r="W206" s="541">
        <v>0</v>
      </c>
      <c r="X206" s="541">
        <v>0</v>
      </c>
      <c r="Y206" s="541">
        <v>0</v>
      </c>
    </row>
    <row r="207" spans="1:25">
      <c r="A207" s="542">
        <v>20130701</v>
      </c>
      <c r="B207" s="543" t="s">
        <v>833</v>
      </c>
      <c r="C207" s="540" t="str">
        <f t="shared" si="33"/>
        <v>20130701GSP</v>
      </c>
      <c r="D207" s="540" t="s">
        <v>369</v>
      </c>
      <c r="E207" s="540" t="str">
        <f t="shared" si="34"/>
        <v>20130701LGCME550</v>
      </c>
      <c r="F207" s="541">
        <v>20</v>
      </c>
      <c r="G207" s="552">
        <v>8.9760000000000006E-2</v>
      </c>
      <c r="H207" s="552">
        <v>0</v>
      </c>
      <c r="I207" s="552">
        <v>0</v>
      </c>
      <c r="J207" s="552">
        <v>0</v>
      </c>
      <c r="K207" s="552">
        <v>9.0000000000000006E-5</v>
      </c>
      <c r="L207" s="552">
        <f t="shared" si="38"/>
        <v>2.725E-2</v>
      </c>
      <c r="M207" s="552">
        <f t="shared" si="22"/>
        <v>6.2420000000000003E-2</v>
      </c>
      <c r="N207" s="552">
        <f t="shared" si="35"/>
        <v>0</v>
      </c>
      <c r="O207" s="552">
        <f t="shared" si="36"/>
        <v>0</v>
      </c>
      <c r="P207" s="552">
        <f t="shared" si="37"/>
        <v>0</v>
      </c>
      <c r="Q207" s="541">
        <v>0</v>
      </c>
      <c r="R207" s="541">
        <v>0</v>
      </c>
      <c r="S207" s="541">
        <v>0</v>
      </c>
      <c r="T207" s="541">
        <v>0</v>
      </c>
      <c r="U207" s="541">
        <v>0</v>
      </c>
      <c r="V207" s="541">
        <v>0</v>
      </c>
      <c r="W207" s="541">
        <v>0</v>
      </c>
      <c r="X207" s="541">
        <v>0</v>
      </c>
      <c r="Y207" s="541">
        <v>0</v>
      </c>
    </row>
    <row r="208" spans="1:25">
      <c r="A208" s="542">
        <v>20130701</v>
      </c>
      <c r="B208" s="540" t="s">
        <v>414</v>
      </c>
      <c r="C208" s="540" t="str">
        <f t="shared" si="33"/>
        <v>20130701GSS</v>
      </c>
      <c r="D208" s="540" t="s">
        <v>370</v>
      </c>
      <c r="E208" s="540" t="str">
        <f t="shared" si="34"/>
        <v>20130701LGCME551</v>
      </c>
      <c r="F208" s="541">
        <v>20</v>
      </c>
      <c r="G208" s="552">
        <v>8.9760000000000006E-2</v>
      </c>
      <c r="H208" s="552">
        <v>0</v>
      </c>
      <c r="I208" s="552">
        <v>0</v>
      </c>
      <c r="J208" s="552">
        <v>0</v>
      </c>
      <c r="K208" s="552">
        <v>9.0000000000000006E-5</v>
      </c>
      <c r="L208" s="552">
        <f t="shared" si="38"/>
        <v>2.725E-2</v>
      </c>
      <c r="M208" s="552">
        <f t="shared" si="22"/>
        <v>6.2420000000000003E-2</v>
      </c>
      <c r="N208" s="552">
        <f t="shared" si="35"/>
        <v>0</v>
      </c>
      <c r="O208" s="552">
        <f t="shared" si="36"/>
        <v>0</v>
      </c>
      <c r="P208" s="552">
        <f t="shared" si="37"/>
        <v>0</v>
      </c>
      <c r="Q208" s="541">
        <v>0</v>
      </c>
      <c r="R208" s="541">
        <v>0</v>
      </c>
      <c r="S208" s="541">
        <v>0</v>
      </c>
      <c r="T208" s="541">
        <v>0</v>
      </c>
      <c r="U208" s="541">
        <v>0</v>
      </c>
      <c r="V208" s="541">
        <v>0</v>
      </c>
      <c r="W208" s="541">
        <v>0</v>
      </c>
      <c r="X208" s="541">
        <v>0</v>
      </c>
      <c r="Y208" s="541">
        <v>0</v>
      </c>
    </row>
    <row r="209" spans="1:25">
      <c r="A209" s="542">
        <v>20130701</v>
      </c>
      <c r="B209" s="540" t="s">
        <v>832</v>
      </c>
      <c r="C209" s="540" t="str">
        <f t="shared" si="33"/>
        <v>20130701GSUM</v>
      </c>
      <c r="D209" s="540" t="s">
        <v>371</v>
      </c>
      <c r="E209" s="540" t="str">
        <f t="shared" si="34"/>
        <v>20130701LGCME551UM</v>
      </c>
      <c r="F209" s="541">
        <v>20</v>
      </c>
      <c r="G209" s="552">
        <v>8.9760000000000006E-2</v>
      </c>
      <c r="H209" s="552">
        <v>0</v>
      </c>
      <c r="I209" s="552">
        <v>0</v>
      </c>
      <c r="J209" s="552">
        <v>0</v>
      </c>
      <c r="K209" s="552">
        <v>9.0000000000000006E-5</v>
      </c>
      <c r="L209" s="552">
        <f t="shared" si="38"/>
        <v>2.725E-2</v>
      </c>
      <c r="M209" s="552">
        <f t="shared" si="22"/>
        <v>6.2420000000000003E-2</v>
      </c>
      <c r="N209" s="552">
        <f t="shared" si="35"/>
        <v>0</v>
      </c>
      <c r="O209" s="552">
        <f t="shared" si="36"/>
        <v>0</v>
      </c>
      <c r="P209" s="552">
        <f t="shared" si="37"/>
        <v>0</v>
      </c>
      <c r="Q209" s="541">
        <v>0</v>
      </c>
      <c r="R209" s="541">
        <v>0</v>
      </c>
      <c r="S209" s="541">
        <v>0</v>
      </c>
      <c r="T209" s="541">
        <v>0</v>
      </c>
      <c r="U209" s="541">
        <v>0</v>
      </c>
      <c r="V209" s="541">
        <v>0</v>
      </c>
      <c r="W209" s="541">
        <v>0</v>
      </c>
      <c r="X209" s="541">
        <v>0</v>
      </c>
      <c r="Y209" s="541">
        <v>0</v>
      </c>
    </row>
    <row r="210" spans="1:25">
      <c r="A210" s="542">
        <v>20130701</v>
      </c>
      <c r="B210" s="543" t="s">
        <v>826</v>
      </c>
      <c r="C210" s="540" t="str">
        <f t="shared" si="33"/>
        <v>20130701GSNM</v>
      </c>
      <c r="D210" s="540" t="s">
        <v>374</v>
      </c>
      <c r="E210" s="540" t="str">
        <f t="shared" si="34"/>
        <v>20130701LGCME557</v>
      </c>
      <c r="F210" s="541">
        <v>20</v>
      </c>
      <c r="G210" s="552">
        <v>8.9760000000000006E-2</v>
      </c>
      <c r="H210" s="552">
        <v>0</v>
      </c>
      <c r="I210" s="552">
        <v>0</v>
      </c>
      <c r="J210" s="552">
        <v>0</v>
      </c>
      <c r="K210" s="552">
        <v>9.0000000000000006E-5</v>
      </c>
      <c r="L210" s="552">
        <f t="shared" si="38"/>
        <v>2.725E-2</v>
      </c>
      <c r="M210" s="552">
        <f t="shared" si="22"/>
        <v>6.2420000000000003E-2</v>
      </c>
      <c r="N210" s="552">
        <f t="shared" si="35"/>
        <v>0</v>
      </c>
      <c r="O210" s="552">
        <f t="shared" si="36"/>
        <v>0</v>
      </c>
      <c r="P210" s="552">
        <f t="shared" si="37"/>
        <v>0</v>
      </c>
      <c r="Q210" s="541">
        <v>0</v>
      </c>
      <c r="R210" s="541">
        <v>0</v>
      </c>
      <c r="S210" s="541">
        <v>0</v>
      </c>
      <c r="T210" s="541">
        <v>0</v>
      </c>
      <c r="U210" s="541">
        <v>0</v>
      </c>
      <c r="V210" s="541">
        <v>0</v>
      </c>
      <c r="W210" s="541">
        <v>0</v>
      </c>
      <c r="X210" s="541">
        <v>0</v>
      </c>
      <c r="Y210" s="541">
        <v>0</v>
      </c>
    </row>
    <row r="211" spans="1:25">
      <c r="A211" s="542">
        <v>20130701</v>
      </c>
      <c r="B211" s="543" t="s">
        <v>416</v>
      </c>
      <c r="C211" s="540" t="str">
        <f t="shared" si="33"/>
        <v>20130701GSSH</v>
      </c>
      <c r="D211" s="540" t="s">
        <v>372</v>
      </c>
      <c r="E211" s="540" t="str">
        <f t="shared" si="34"/>
        <v>20130701LGCME552</v>
      </c>
      <c r="F211" s="541">
        <v>0</v>
      </c>
      <c r="G211" s="552">
        <v>8.9760000000000006E-2</v>
      </c>
      <c r="H211" s="552">
        <v>0</v>
      </c>
      <c r="I211" s="552">
        <v>0</v>
      </c>
      <c r="J211" s="552">
        <v>0</v>
      </c>
      <c r="K211" s="552">
        <v>9.0000000000000006E-5</v>
      </c>
      <c r="L211" s="552">
        <f t="shared" si="38"/>
        <v>2.725E-2</v>
      </c>
      <c r="M211" s="552">
        <f t="shared" si="22"/>
        <v>6.2420000000000003E-2</v>
      </c>
      <c r="N211" s="552">
        <f t="shared" si="35"/>
        <v>0</v>
      </c>
      <c r="O211" s="552">
        <f t="shared" si="36"/>
        <v>0</v>
      </c>
      <c r="P211" s="552">
        <f t="shared" si="37"/>
        <v>0</v>
      </c>
      <c r="Q211" s="541">
        <v>0</v>
      </c>
      <c r="R211" s="541">
        <v>0</v>
      </c>
      <c r="S211" s="541">
        <v>0</v>
      </c>
      <c r="T211" s="541">
        <v>0</v>
      </c>
      <c r="U211" s="541">
        <v>0</v>
      </c>
      <c r="V211" s="541">
        <v>0</v>
      </c>
      <c r="W211" s="541">
        <v>0</v>
      </c>
      <c r="X211" s="541">
        <v>0</v>
      </c>
      <c r="Y211" s="541">
        <v>0</v>
      </c>
    </row>
    <row r="212" spans="1:25">
      <c r="A212" s="542">
        <v>20130701</v>
      </c>
      <c r="B212" s="543" t="s">
        <v>715</v>
      </c>
      <c r="C212" s="540" t="str">
        <f t="shared" si="33"/>
        <v>20130701GS3P</v>
      </c>
      <c r="D212" s="540" t="s">
        <v>380</v>
      </c>
      <c r="E212" s="540" t="str">
        <f t="shared" si="34"/>
        <v>20130701LGCME650</v>
      </c>
      <c r="F212" s="541">
        <v>35</v>
      </c>
      <c r="G212" s="552">
        <v>8.9760000000000006E-2</v>
      </c>
      <c r="H212" s="552">
        <v>0</v>
      </c>
      <c r="I212" s="552">
        <v>0</v>
      </c>
      <c r="J212" s="552">
        <v>0</v>
      </c>
      <c r="K212" s="552">
        <v>9.0000000000000006E-5</v>
      </c>
      <c r="L212" s="552">
        <f t="shared" si="38"/>
        <v>2.725E-2</v>
      </c>
      <c r="M212" s="552">
        <f t="shared" si="22"/>
        <v>6.2420000000000003E-2</v>
      </c>
      <c r="N212" s="552">
        <f t="shared" si="35"/>
        <v>0</v>
      </c>
      <c r="O212" s="552">
        <f t="shared" si="36"/>
        <v>0</v>
      </c>
      <c r="P212" s="552">
        <f t="shared" si="37"/>
        <v>0</v>
      </c>
      <c r="Q212" s="541">
        <v>0</v>
      </c>
      <c r="R212" s="541">
        <v>0</v>
      </c>
      <c r="S212" s="541">
        <v>0</v>
      </c>
      <c r="T212" s="541">
        <v>0</v>
      </c>
      <c r="U212" s="541">
        <v>0</v>
      </c>
      <c r="V212" s="541">
        <v>0</v>
      </c>
      <c r="W212" s="541">
        <v>0</v>
      </c>
      <c r="X212" s="541">
        <v>0</v>
      </c>
      <c r="Y212" s="541">
        <v>0</v>
      </c>
    </row>
    <row r="213" spans="1:25">
      <c r="A213" s="542">
        <v>20130701</v>
      </c>
      <c r="B213" s="540" t="s">
        <v>14</v>
      </c>
      <c r="C213" s="540" t="str">
        <f t="shared" si="33"/>
        <v>20130701GS3</v>
      </c>
      <c r="D213" s="540" t="s">
        <v>381</v>
      </c>
      <c r="E213" s="540" t="str">
        <f t="shared" si="34"/>
        <v>20130701LGCME651</v>
      </c>
      <c r="F213" s="541">
        <v>35</v>
      </c>
      <c r="G213" s="552">
        <v>8.9760000000000006E-2</v>
      </c>
      <c r="H213" s="552">
        <v>0</v>
      </c>
      <c r="I213" s="552">
        <v>0</v>
      </c>
      <c r="J213" s="552">
        <v>0</v>
      </c>
      <c r="K213" s="552">
        <v>9.0000000000000006E-5</v>
      </c>
      <c r="L213" s="552">
        <f t="shared" si="38"/>
        <v>2.725E-2</v>
      </c>
      <c r="M213" s="552">
        <f t="shared" si="22"/>
        <v>6.2420000000000003E-2</v>
      </c>
      <c r="N213" s="552">
        <f t="shared" si="35"/>
        <v>0</v>
      </c>
      <c r="O213" s="552">
        <f t="shared" si="36"/>
        <v>0</v>
      </c>
      <c r="P213" s="552">
        <f t="shared" si="37"/>
        <v>0</v>
      </c>
      <c r="Q213" s="541">
        <v>0</v>
      </c>
      <c r="R213" s="541">
        <v>0</v>
      </c>
      <c r="S213" s="541">
        <v>0</v>
      </c>
      <c r="T213" s="541">
        <v>0</v>
      </c>
      <c r="U213" s="541">
        <v>0</v>
      </c>
      <c r="V213" s="541">
        <v>0</v>
      </c>
      <c r="W213" s="541">
        <v>0</v>
      </c>
      <c r="X213" s="541">
        <v>0</v>
      </c>
      <c r="Y213" s="541">
        <v>0</v>
      </c>
    </row>
    <row r="214" spans="1:25">
      <c r="A214" s="542">
        <v>20130701</v>
      </c>
      <c r="B214" s="543" t="s">
        <v>808</v>
      </c>
      <c r="C214" s="540" t="str">
        <f t="shared" si="33"/>
        <v>20130701GS3NM</v>
      </c>
      <c r="D214" s="540" t="s">
        <v>384</v>
      </c>
      <c r="E214" s="540" t="str">
        <f t="shared" si="34"/>
        <v>20130701LGCME657</v>
      </c>
      <c r="F214" s="541">
        <v>35</v>
      </c>
      <c r="G214" s="552">
        <v>8.9760000000000006E-2</v>
      </c>
      <c r="H214" s="552">
        <v>0</v>
      </c>
      <c r="I214" s="552">
        <v>0</v>
      </c>
      <c r="J214" s="552">
        <v>0</v>
      </c>
      <c r="K214" s="552">
        <v>9.0000000000000006E-5</v>
      </c>
      <c r="L214" s="552">
        <f t="shared" si="38"/>
        <v>2.725E-2</v>
      </c>
      <c r="M214" s="552">
        <f t="shared" si="22"/>
        <v>6.2420000000000003E-2</v>
      </c>
      <c r="N214" s="552">
        <f t="shared" si="35"/>
        <v>0</v>
      </c>
      <c r="O214" s="552">
        <f t="shared" si="36"/>
        <v>0</v>
      </c>
      <c r="P214" s="552">
        <f t="shared" si="37"/>
        <v>0</v>
      </c>
      <c r="Q214" s="541">
        <v>0</v>
      </c>
      <c r="R214" s="541">
        <v>0</v>
      </c>
      <c r="S214" s="541">
        <v>0</v>
      </c>
      <c r="T214" s="541">
        <v>0</v>
      </c>
      <c r="U214" s="541">
        <v>0</v>
      </c>
      <c r="V214" s="541">
        <v>0</v>
      </c>
      <c r="W214" s="541">
        <v>0</v>
      </c>
      <c r="X214" s="541">
        <v>0</v>
      </c>
      <c r="Y214" s="541">
        <v>0</v>
      </c>
    </row>
    <row r="215" spans="1:25">
      <c r="A215" s="542">
        <v>20130701</v>
      </c>
      <c r="B215" s="543" t="s">
        <v>807</v>
      </c>
      <c r="C215" s="540" t="str">
        <f t="shared" si="33"/>
        <v>20130701GS3SH</v>
      </c>
      <c r="D215" s="540" t="s">
        <v>382</v>
      </c>
      <c r="E215" s="540" t="str">
        <f t="shared" si="34"/>
        <v>20130701LGCME652</v>
      </c>
      <c r="F215" s="541">
        <v>0</v>
      </c>
      <c r="G215" s="552">
        <v>8.9760000000000006E-2</v>
      </c>
      <c r="H215" s="552">
        <v>0</v>
      </c>
      <c r="I215" s="552">
        <v>0</v>
      </c>
      <c r="J215" s="552">
        <v>0</v>
      </c>
      <c r="K215" s="552">
        <v>9.0000000000000006E-5</v>
      </c>
      <c r="L215" s="552">
        <f t="shared" si="38"/>
        <v>2.725E-2</v>
      </c>
      <c r="M215" s="552">
        <f t="shared" si="22"/>
        <v>6.2420000000000003E-2</v>
      </c>
      <c r="N215" s="552">
        <f t="shared" si="35"/>
        <v>0</v>
      </c>
      <c r="O215" s="552">
        <f t="shared" si="36"/>
        <v>0</v>
      </c>
      <c r="P215" s="552">
        <f t="shared" si="37"/>
        <v>0</v>
      </c>
      <c r="Q215" s="541">
        <v>0</v>
      </c>
      <c r="R215" s="541">
        <v>0</v>
      </c>
      <c r="S215" s="541">
        <v>0</v>
      </c>
      <c r="T215" s="541">
        <v>0</v>
      </c>
      <c r="U215" s="541">
        <v>0</v>
      </c>
      <c r="V215" s="541">
        <v>0</v>
      </c>
      <c r="W215" s="541">
        <v>0</v>
      </c>
      <c r="X215" s="541">
        <v>0</v>
      </c>
      <c r="Y215" s="541">
        <v>0</v>
      </c>
    </row>
    <row r="216" spans="1:25">
      <c r="A216" s="542">
        <v>20130701</v>
      </c>
      <c r="B216" s="540" t="s">
        <v>20</v>
      </c>
      <c r="C216" s="540" t="str">
        <f t="shared" si="33"/>
        <v>20130701PSS</v>
      </c>
      <c r="D216" s="540" t="s">
        <v>375</v>
      </c>
      <c r="E216" s="540" t="str">
        <f t="shared" si="34"/>
        <v>20130701LGCME561</v>
      </c>
      <c r="F216" s="541">
        <v>90</v>
      </c>
      <c r="G216" s="552">
        <v>4.0599999999999997E-2</v>
      </c>
      <c r="H216" s="552">
        <v>0</v>
      </c>
      <c r="I216" s="552">
        <v>0</v>
      </c>
      <c r="J216" s="552">
        <v>0</v>
      </c>
      <c r="K216" s="552">
        <v>0</v>
      </c>
      <c r="L216" s="552">
        <f t="shared" si="38"/>
        <v>2.725E-2</v>
      </c>
      <c r="M216" s="552">
        <f t="shared" si="22"/>
        <v>1.3349999999999997E-2</v>
      </c>
      <c r="N216" s="552">
        <f t="shared" si="35"/>
        <v>0</v>
      </c>
      <c r="O216" s="552">
        <f t="shared" si="36"/>
        <v>0</v>
      </c>
      <c r="P216" s="552">
        <f t="shared" si="37"/>
        <v>0</v>
      </c>
      <c r="Q216" s="541">
        <v>0</v>
      </c>
      <c r="R216" s="541">
        <v>13.56</v>
      </c>
      <c r="S216" s="541">
        <v>15.95</v>
      </c>
      <c r="T216" s="541">
        <v>0</v>
      </c>
      <c r="U216" s="541">
        <v>0.03</v>
      </c>
      <c r="V216" s="541">
        <v>0.03</v>
      </c>
      <c r="W216" s="554">
        <v>0</v>
      </c>
      <c r="X216" s="554">
        <f t="shared" ref="X216:X229" si="39">R216-U216</f>
        <v>13.530000000000001</v>
      </c>
      <c r="Y216" s="554">
        <f t="shared" ref="Y216:Y229" si="40">S216-V216</f>
        <v>15.92</v>
      </c>
    </row>
    <row r="217" spans="1:25">
      <c r="A217" s="542">
        <v>20130701</v>
      </c>
      <c r="B217" s="540" t="s">
        <v>21</v>
      </c>
      <c r="C217" s="540" t="str">
        <f t="shared" si="33"/>
        <v>20130701PSP</v>
      </c>
      <c r="D217" s="540" t="s">
        <v>376</v>
      </c>
      <c r="E217" s="540" t="str">
        <f t="shared" si="34"/>
        <v>20130701LGCME563</v>
      </c>
      <c r="F217" s="541">
        <v>170</v>
      </c>
      <c r="G217" s="552">
        <v>3.9260000000000003E-2</v>
      </c>
      <c r="H217" s="552">
        <v>0</v>
      </c>
      <c r="I217" s="552">
        <v>0</v>
      </c>
      <c r="J217" s="552">
        <v>0</v>
      </c>
      <c r="K217" s="552">
        <v>0</v>
      </c>
      <c r="L217" s="552">
        <f t="shared" si="38"/>
        <v>2.725E-2</v>
      </c>
      <c r="M217" s="552">
        <f t="shared" si="22"/>
        <v>1.2010000000000003E-2</v>
      </c>
      <c r="N217" s="552">
        <f t="shared" si="35"/>
        <v>0</v>
      </c>
      <c r="O217" s="552">
        <f t="shared" si="36"/>
        <v>0</v>
      </c>
      <c r="P217" s="552">
        <f t="shared" si="37"/>
        <v>0</v>
      </c>
      <c r="Q217" s="541">
        <v>0</v>
      </c>
      <c r="R217" s="541">
        <v>11.21</v>
      </c>
      <c r="S217" s="541">
        <v>13.5</v>
      </c>
      <c r="T217" s="541">
        <v>0</v>
      </c>
      <c r="U217" s="541">
        <v>0.03</v>
      </c>
      <c r="V217" s="541">
        <v>0.03</v>
      </c>
      <c r="W217" s="554">
        <v>0</v>
      </c>
      <c r="X217" s="554">
        <f t="shared" si="39"/>
        <v>11.180000000000001</v>
      </c>
      <c r="Y217" s="554">
        <f t="shared" si="40"/>
        <v>13.47</v>
      </c>
    </row>
    <row r="218" spans="1:25">
      <c r="A218" s="542">
        <v>20130701</v>
      </c>
      <c r="B218" s="540" t="s">
        <v>20</v>
      </c>
      <c r="C218" s="540" t="str">
        <f t="shared" si="33"/>
        <v>20130701PSS</v>
      </c>
      <c r="D218" s="543" t="s">
        <v>377</v>
      </c>
      <c r="E218" s="540" t="str">
        <f t="shared" si="34"/>
        <v>20130701LGCME567</v>
      </c>
      <c r="F218" s="541">
        <v>90</v>
      </c>
      <c r="G218" s="552">
        <v>4.0599999999999997E-2</v>
      </c>
      <c r="H218" s="552">
        <v>0</v>
      </c>
      <c r="I218" s="552">
        <v>0</v>
      </c>
      <c r="J218" s="552">
        <v>0</v>
      </c>
      <c r="K218" s="552">
        <v>0</v>
      </c>
      <c r="L218" s="552">
        <f t="shared" si="38"/>
        <v>2.725E-2</v>
      </c>
      <c r="M218" s="552">
        <f t="shared" si="22"/>
        <v>1.3349999999999997E-2</v>
      </c>
      <c r="N218" s="552">
        <f t="shared" si="35"/>
        <v>0</v>
      </c>
      <c r="O218" s="552">
        <f t="shared" si="36"/>
        <v>0</v>
      </c>
      <c r="P218" s="552">
        <f t="shared" si="37"/>
        <v>0</v>
      </c>
      <c r="Q218" s="541">
        <v>0</v>
      </c>
      <c r="R218" s="541">
        <v>13.56</v>
      </c>
      <c r="S218" s="541">
        <v>15.95</v>
      </c>
      <c r="T218" s="541">
        <v>0</v>
      </c>
      <c r="U218" s="541">
        <v>0.03</v>
      </c>
      <c r="V218" s="541">
        <v>0.03</v>
      </c>
      <c r="W218" s="554">
        <v>0</v>
      </c>
      <c r="X218" s="554">
        <f t="shared" si="39"/>
        <v>13.530000000000001</v>
      </c>
      <c r="Y218" s="554">
        <f t="shared" si="40"/>
        <v>15.92</v>
      </c>
    </row>
    <row r="219" spans="1:25">
      <c r="A219" s="542">
        <v>20130701</v>
      </c>
      <c r="B219" s="543" t="s">
        <v>814</v>
      </c>
      <c r="C219" s="540" t="str">
        <f t="shared" si="33"/>
        <v>20130701PSPNM</v>
      </c>
      <c r="D219" s="543" t="s">
        <v>815</v>
      </c>
      <c r="E219" s="540" t="str">
        <f t="shared" si="34"/>
        <v>20130701LGCME569</v>
      </c>
      <c r="F219" s="541">
        <v>170</v>
      </c>
      <c r="G219" s="552">
        <v>3.9260000000000003E-2</v>
      </c>
      <c r="H219" s="552">
        <v>0</v>
      </c>
      <c r="I219" s="552">
        <v>0</v>
      </c>
      <c r="J219" s="552">
        <v>0</v>
      </c>
      <c r="K219" s="552">
        <v>0</v>
      </c>
      <c r="L219" s="552">
        <f t="shared" si="38"/>
        <v>2.725E-2</v>
      </c>
      <c r="M219" s="552">
        <f t="shared" si="22"/>
        <v>1.2010000000000003E-2</v>
      </c>
      <c r="N219" s="552">
        <f t="shared" si="35"/>
        <v>0</v>
      </c>
      <c r="O219" s="552">
        <f t="shared" si="36"/>
        <v>0</v>
      </c>
      <c r="P219" s="552">
        <f t="shared" si="37"/>
        <v>0</v>
      </c>
      <c r="Q219" s="541">
        <v>0</v>
      </c>
      <c r="R219" s="541">
        <v>11.21</v>
      </c>
      <c r="S219" s="541">
        <v>13.5</v>
      </c>
      <c r="T219" s="541">
        <v>0</v>
      </c>
      <c r="U219" s="541">
        <v>0.03</v>
      </c>
      <c r="V219" s="541">
        <v>0.03</v>
      </c>
      <c r="W219" s="554">
        <v>0</v>
      </c>
      <c r="X219" s="554">
        <f t="shared" si="39"/>
        <v>11.180000000000001</v>
      </c>
      <c r="Y219" s="554">
        <f t="shared" si="40"/>
        <v>13.47</v>
      </c>
    </row>
    <row r="220" spans="1:25">
      <c r="A220" s="542">
        <v>20130701</v>
      </c>
      <c r="B220" s="540" t="s">
        <v>410</v>
      </c>
      <c r="C220" s="540" t="str">
        <f t="shared" si="33"/>
        <v>20130701CTODS</v>
      </c>
      <c r="D220" s="540" t="s">
        <v>378</v>
      </c>
      <c r="E220" s="540" t="str">
        <f t="shared" si="34"/>
        <v>20130701LGCME591</v>
      </c>
      <c r="F220" s="541">
        <v>200</v>
      </c>
      <c r="G220" s="552">
        <v>3.9899999999999998E-2</v>
      </c>
      <c r="H220" s="552">
        <v>0</v>
      </c>
      <c r="I220" s="552">
        <v>0</v>
      </c>
      <c r="J220" s="552">
        <v>0</v>
      </c>
      <c r="K220" s="552">
        <v>0</v>
      </c>
      <c r="L220" s="552">
        <f t="shared" si="38"/>
        <v>2.725E-2</v>
      </c>
      <c r="M220" s="552">
        <f t="shared" si="22"/>
        <v>1.2649999999999998E-2</v>
      </c>
      <c r="N220" s="552">
        <f t="shared" si="35"/>
        <v>0</v>
      </c>
      <c r="O220" s="552">
        <f t="shared" si="36"/>
        <v>0</v>
      </c>
      <c r="P220" s="552">
        <f t="shared" si="37"/>
        <v>0</v>
      </c>
      <c r="Q220" s="541">
        <v>3.85</v>
      </c>
      <c r="R220" s="541">
        <v>4.3600000000000003</v>
      </c>
      <c r="S220" s="541">
        <v>5.96</v>
      </c>
      <c r="T220" s="541">
        <v>0.01</v>
      </c>
      <c r="U220" s="541">
        <v>0.01</v>
      </c>
      <c r="V220" s="541">
        <v>0.01</v>
      </c>
      <c r="W220" s="554">
        <f>Q220-T220</f>
        <v>3.8400000000000003</v>
      </c>
      <c r="X220" s="554">
        <f t="shared" si="39"/>
        <v>4.3500000000000005</v>
      </c>
      <c r="Y220" s="554">
        <f t="shared" si="40"/>
        <v>5.95</v>
      </c>
    </row>
    <row r="221" spans="1:25">
      <c r="A221" s="542">
        <v>20130701</v>
      </c>
      <c r="B221" s="540" t="s">
        <v>409</v>
      </c>
      <c r="C221" s="540" t="str">
        <f t="shared" si="33"/>
        <v>20130701CTODP</v>
      </c>
      <c r="D221" s="540" t="s">
        <v>379</v>
      </c>
      <c r="E221" s="540" t="str">
        <f t="shared" si="34"/>
        <v>20130701LGCME593</v>
      </c>
      <c r="F221" s="541">
        <v>300</v>
      </c>
      <c r="G221" s="552">
        <v>3.8100000000000002E-2</v>
      </c>
      <c r="H221" s="552">
        <v>0</v>
      </c>
      <c r="I221" s="552">
        <v>0</v>
      </c>
      <c r="J221" s="552">
        <v>0</v>
      </c>
      <c r="K221" s="552">
        <v>0</v>
      </c>
      <c r="L221" s="552">
        <f t="shared" si="38"/>
        <v>2.725E-2</v>
      </c>
      <c r="M221" s="552">
        <f t="shared" si="22"/>
        <v>1.0850000000000002E-2</v>
      </c>
      <c r="N221" s="552">
        <f t="shared" si="35"/>
        <v>0</v>
      </c>
      <c r="O221" s="552">
        <f t="shared" si="36"/>
        <v>0</v>
      </c>
      <c r="P221" s="552">
        <f t="shared" si="37"/>
        <v>0</v>
      </c>
      <c r="Q221" s="541">
        <v>3.85</v>
      </c>
      <c r="R221" s="541">
        <v>4</v>
      </c>
      <c r="S221" s="541">
        <v>5.7</v>
      </c>
      <c r="T221" s="541">
        <v>0.01</v>
      </c>
      <c r="U221" s="541">
        <v>0.01</v>
      </c>
      <c r="V221" s="541">
        <v>0.01</v>
      </c>
      <c r="W221" s="554">
        <f>Q221-T221</f>
        <v>3.8400000000000003</v>
      </c>
      <c r="X221" s="554">
        <f t="shared" si="39"/>
        <v>3.99</v>
      </c>
      <c r="Y221" s="554">
        <f t="shared" si="40"/>
        <v>5.69</v>
      </c>
    </row>
    <row r="222" spans="1:25">
      <c r="A222" s="542">
        <v>20130701</v>
      </c>
      <c r="B222" s="540" t="s">
        <v>20</v>
      </c>
      <c r="C222" s="540" t="str">
        <f t="shared" si="33"/>
        <v>20130701PSS</v>
      </c>
      <c r="D222" s="540" t="s">
        <v>389</v>
      </c>
      <c r="E222" s="540" t="str">
        <f t="shared" si="34"/>
        <v>20130701LGINE661</v>
      </c>
      <c r="F222" s="541">
        <v>90</v>
      </c>
      <c r="G222" s="552">
        <v>4.0599999999999997E-2</v>
      </c>
      <c r="H222" s="552">
        <v>0</v>
      </c>
      <c r="I222" s="552">
        <v>0</v>
      </c>
      <c r="J222" s="552">
        <v>0</v>
      </c>
      <c r="K222" s="552">
        <v>0</v>
      </c>
      <c r="L222" s="552">
        <f t="shared" si="38"/>
        <v>2.725E-2</v>
      </c>
      <c r="M222" s="553">
        <f t="shared" si="22"/>
        <v>1.3349999999999997E-2</v>
      </c>
      <c r="N222" s="552">
        <f t="shared" si="35"/>
        <v>0</v>
      </c>
      <c r="O222" s="552">
        <f t="shared" si="36"/>
        <v>0</v>
      </c>
      <c r="P222" s="552">
        <f t="shared" si="37"/>
        <v>0</v>
      </c>
      <c r="Q222" s="541">
        <v>0</v>
      </c>
      <c r="R222" s="541">
        <v>13.56</v>
      </c>
      <c r="S222" s="541">
        <v>15.95</v>
      </c>
      <c r="T222" s="541">
        <v>0</v>
      </c>
      <c r="U222" s="541">
        <v>0.03</v>
      </c>
      <c r="V222" s="541">
        <v>0.03</v>
      </c>
      <c r="W222" s="554">
        <v>0</v>
      </c>
      <c r="X222" s="554">
        <f t="shared" si="39"/>
        <v>13.530000000000001</v>
      </c>
      <c r="Y222" s="554">
        <f t="shared" si="40"/>
        <v>15.92</v>
      </c>
    </row>
    <row r="223" spans="1:25">
      <c r="A223" s="542">
        <v>20130701</v>
      </c>
      <c r="B223" s="540" t="s">
        <v>21</v>
      </c>
      <c r="C223" s="540" t="str">
        <f t="shared" si="33"/>
        <v>20130701PSP</v>
      </c>
      <c r="D223" s="540" t="s">
        <v>390</v>
      </c>
      <c r="E223" s="540" t="str">
        <f t="shared" si="34"/>
        <v>20130701LGINE663</v>
      </c>
      <c r="F223" s="541">
        <v>170</v>
      </c>
      <c r="G223" s="552">
        <v>3.9260000000000003E-2</v>
      </c>
      <c r="H223" s="552">
        <v>0</v>
      </c>
      <c r="I223" s="552">
        <v>0</v>
      </c>
      <c r="J223" s="552">
        <v>0</v>
      </c>
      <c r="K223" s="552">
        <v>0</v>
      </c>
      <c r="L223" s="552">
        <f t="shared" si="38"/>
        <v>2.725E-2</v>
      </c>
      <c r="M223" s="553">
        <f t="shared" si="22"/>
        <v>1.2010000000000003E-2</v>
      </c>
      <c r="N223" s="552">
        <f t="shared" si="35"/>
        <v>0</v>
      </c>
      <c r="O223" s="552">
        <f t="shared" si="36"/>
        <v>0</v>
      </c>
      <c r="P223" s="552">
        <f t="shared" si="37"/>
        <v>0</v>
      </c>
      <c r="Q223" s="541">
        <v>0</v>
      </c>
      <c r="R223" s="541">
        <v>11.21</v>
      </c>
      <c r="S223" s="541">
        <v>13.5</v>
      </c>
      <c r="T223" s="541">
        <v>0</v>
      </c>
      <c r="U223" s="541">
        <v>0.03</v>
      </c>
      <c r="V223" s="541">
        <v>0.03</v>
      </c>
      <c r="W223" s="554">
        <v>0</v>
      </c>
      <c r="X223" s="554">
        <f t="shared" si="39"/>
        <v>11.180000000000001</v>
      </c>
      <c r="Y223" s="554">
        <f t="shared" si="40"/>
        <v>13.47</v>
      </c>
    </row>
    <row r="224" spans="1:25">
      <c r="A224" s="542">
        <v>20130701</v>
      </c>
      <c r="B224" s="540" t="s">
        <v>422</v>
      </c>
      <c r="C224" s="540" t="str">
        <f t="shared" si="33"/>
        <v>20130701ITODS</v>
      </c>
      <c r="D224" s="540" t="s">
        <v>391</v>
      </c>
      <c r="E224" s="540" t="str">
        <f t="shared" si="34"/>
        <v>20130701LGINE691</v>
      </c>
      <c r="F224" s="541">
        <v>200</v>
      </c>
      <c r="G224" s="553">
        <v>3.9899999999999998E-2</v>
      </c>
      <c r="H224" s="552">
        <v>0</v>
      </c>
      <c r="I224" s="552">
        <v>0</v>
      </c>
      <c r="J224" s="552">
        <v>0</v>
      </c>
      <c r="K224" s="552">
        <v>0</v>
      </c>
      <c r="L224" s="552">
        <f t="shared" si="38"/>
        <v>2.725E-2</v>
      </c>
      <c r="M224" s="553">
        <f t="shared" si="22"/>
        <v>1.2649999999999998E-2</v>
      </c>
      <c r="N224" s="552">
        <f t="shared" si="35"/>
        <v>0</v>
      </c>
      <c r="O224" s="552">
        <f t="shared" si="36"/>
        <v>0</v>
      </c>
      <c r="P224" s="552">
        <f t="shared" si="37"/>
        <v>0</v>
      </c>
      <c r="Q224" s="541">
        <v>3.85</v>
      </c>
      <c r="R224" s="541">
        <v>4.3600000000000003</v>
      </c>
      <c r="S224" s="541">
        <v>5.96</v>
      </c>
      <c r="T224" s="541">
        <v>0.01</v>
      </c>
      <c r="U224" s="541">
        <v>0.01</v>
      </c>
      <c r="V224" s="541">
        <v>0.01</v>
      </c>
      <c r="W224" s="554">
        <f t="shared" ref="W224:W229" si="41">Q224-T224</f>
        <v>3.8400000000000003</v>
      </c>
      <c r="X224" s="554">
        <f t="shared" si="39"/>
        <v>4.3500000000000005</v>
      </c>
      <c r="Y224" s="554">
        <f t="shared" si="40"/>
        <v>5.95</v>
      </c>
    </row>
    <row r="225" spans="1:25">
      <c r="A225" s="542">
        <v>20130701</v>
      </c>
      <c r="B225" s="540" t="s">
        <v>421</v>
      </c>
      <c r="C225" s="540" t="str">
        <f t="shared" si="33"/>
        <v>20130701ITODP</v>
      </c>
      <c r="D225" s="540" t="s">
        <v>392</v>
      </c>
      <c r="E225" s="540" t="str">
        <f t="shared" si="34"/>
        <v>20130701LGINE693</v>
      </c>
      <c r="F225" s="541">
        <f>$F$106</f>
        <v>300</v>
      </c>
      <c r="G225" s="553">
        <v>3.5380000000000002E-2</v>
      </c>
      <c r="H225" s="552">
        <v>0</v>
      </c>
      <c r="I225" s="552">
        <v>0</v>
      </c>
      <c r="J225" s="552">
        <v>0</v>
      </c>
      <c r="K225" s="552">
        <v>0</v>
      </c>
      <c r="L225" s="552">
        <f t="shared" si="38"/>
        <v>2.725E-2</v>
      </c>
      <c r="M225" s="553">
        <f t="shared" ref="M225:M239" si="42">G225-K225-L225</f>
        <v>8.1300000000000018E-3</v>
      </c>
      <c r="N225" s="552">
        <f t="shared" si="35"/>
        <v>0</v>
      </c>
      <c r="O225" s="552">
        <f t="shared" si="36"/>
        <v>0</v>
      </c>
      <c r="P225" s="552">
        <f t="shared" si="37"/>
        <v>0</v>
      </c>
      <c r="Q225" s="541">
        <v>3.5</v>
      </c>
      <c r="R225" s="541">
        <v>3.66</v>
      </c>
      <c r="S225" s="541">
        <v>4.5</v>
      </c>
      <c r="T225" s="541">
        <v>0.01</v>
      </c>
      <c r="U225" s="541">
        <v>0.01</v>
      </c>
      <c r="V225" s="541">
        <v>0.01</v>
      </c>
      <c r="W225" s="554">
        <f t="shared" si="41"/>
        <v>3.49</v>
      </c>
      <c r="X225" s="554">
        <f t="shared" si="39"/>
        <v>3.6500000000000004</v>
      </c>
      <c r="Y225" s="554">
        <f t="shared" si="40"/>
        <v>4.49</v>
      </c>
    </row>
    <row r="226" spans="1:25">
      <c r="A226" s="542">
        <v>20130701</v>
      </c>
      <c r="B226" s="540" t="s">
        <v>421</v>
      </c>
      <c r="C226" s="540" t="str">
        <f t="shared" si="33"/>
        <v>20130701ITODP</v>
      </c>
      <c r="D226" s="540" t="s">
        <v>393</v>
      </c>
      <c r="E226" s="540" t="str">
        <f t="shared" si="34"/>
        <v>20130701LGINE694</v>
      </c>
      <c r="F226" s="541">
        <f>$F$106</f>
        <v>300</v>
      </c>
      <c r="G226" s="553">
        <v>3.5380000000000002E-2</v>
      </c>
      <c r="H226" s="552">
        <v>0</v>
      </c>
      <c r="I226" s="552">
        <v>0</v>
      </c>
      <c r="J226" s="552">
        <v>0</v>
      </c>
      <c r="K226" s="552">
        <v>0</v>
      </c>
      <c r="L226" s="552">
        <f t="shared" si="38"/>
        <v>2.725E-2</v>
      </c>
      <c r="M226" s="553">
        <f t="shared" si="42"/>
        <v>8.1300000000000018E-3</v>
      </c>
      <c r="N226" s="552">
        <f t="shared" si="35"/>
        <v>0</v>
      </c>
      <c r="O226" s="552">
        <f t="shared" si="36"/>
        <v>0</v>
      </c>
      <c r="P226" s="552">
        <f t="shared" si="37"/>
        <v>0</v>
      </c>
      <c r="Q226" s="541">
        <v>3.5</v>
      </c>
      <c r="R226" s="541">
        <v>3.66</v>
      </c>
      <c r="S226" s="541">
        <v>4.5</v>
      </c>
      <c r="T226" s="541">
        <v>0.01</v>
      </c>
      <c r="U226" s="541">
        <v>0.01</v>
      </c>
      <c r="V226" s="541">
        <v>0.01</v>
      </c>
      <c r="W226" s="554">
        <f t="shared" si="41"/>
        <v>3.49</v>
      </c>
      <c r="X226" s="554">
        <f t="shared" si="39"/>
        <v>3.6500000000000004</v>
      </c>
      <c r="Y226" s="554">
        <f t="shared" si="40"/>
        <v>4.49</v>
      </c>
    </row>
    <row r="227" spans="1:25">
      <c r="A227" s="542">
        <v>20130701</v>
      </c>
      <c r="B227" s="540" t="s">
        <v>15</v>
      </c>
      <c r="C227" s="540" t="str">
        <f t="shared" si="33"/>
        <v>20130701RTS</v>
      </c>
      <c r="D227" s="540" t="s">
        <v>388</v>
      </c>
      <c r="E227" s="540" t="str">
        <f t="shared" si="34"/>
        <v>20130701LGINE643</v>
      </c>
      <c r="F227" s="541">
        <v>750</v>
      </c>
      <c r="G227" s="552">
        <v>3.61E-2</v>
      </c>
      <c r="H227" s="552">
        <v>0</v>
      </c>
      <c r="I227" s="552">
        <v>0</v>
      </c>
      <c r="J227" s="552">
        <v>0</v>
      </c>
      <c r="K227" s="552">
        <v>0</v>
      </c>
      <c r="L227" s="552">
        <f t="shared" si="38"/>
        <v>2.725E-2</v>
      </c>
      <c r="M227" s="552">
        <f t="shared" si="42"/>
        <v>8.8500000000000002E-3</v>
      </c>
      <c r="N227" s="552">
        <f t="shared" si="35"/>
        <v>0</v>
      </c>
      <c r="O227" s="552">
        <f t="shared" si="36"/>
        <v>0</v>
      </c>
      <c r="P227" s="552">
        <f t="shared" si="37"/>
        <v>0</v>
      </c>
      <c r="Q227" s="541">
        <v>2.65</v>
      </c>
      <c r="R227" s="541">
        <v>2.9</v>
      </c>
      <c r="S227" s="541">
        <v>4.45</v>
      </c>
      <c r="T227" s="541">
        <v>0.01</v>
      </c>
      <c r="U227" s="541">
        <v>0.01</v>
      </c>
      <c r="V227" s="541">
        <v>0.01</v>
      </c>
      <c r="W227" s="554">
        <f t="shared" si="41"/>
        <v>2.64</v>
      </c>
      <c r="X227" s="554">
        <f t="shared" si="39"/>
        <v>2.89</v>
      </c>
      <c r="Y227" s="554">
        <f t="shared" si="40"/>
        <v>4.4400000000000004</v>
      </c>
    </row>
    <row r="228" spans="1:25">
      <c r="A228" s="542">
        <v>20130701</v>
      </c>
      <c r="B228" s="540" t="s">
        <v>22</v>
      </c>
      <c r="C228" s="540" t="str">
        <f t="shared" si="33"/>
        <v>20130701FLSP</v>
      </c>
      <c r="D228" s="543" t="s">
        <v>816</v>
      </c>
      <c r="E228" s="540" t="str">
        <f t="shared" si="34"/>
        <v>20130701LGINE682</v>
      </c>
      <c r="F228" s="541">
        <v>750</v>
      </c>
      <c r="G228" s="552">
        <v>3.61E-2</v>
      </c>
      <c r="H228" s="552">
        <v>0</v>
      </c>
      <c r="I228" s="552">
        <v>0</v>
      </c>
      <c r="J228" s="552">
        <v>0</v>
      </c>
      <c r="K228" s="552">
        <v>0</v>
      </c>
      <c r="L228" s="552">
        <f t="shared" si="38"/>
        <v>2.725E-2</v>
      </c>
      <c r="M228" s="552">
        <f t="shared" si="42"/>
        <v>8.8500000000000002E-3</v>
      </c>
      <c r="N228" s="552">
        <f t="shared" si="35"/>
        <v>0</v>
      </c>
      <c r="O228" s="552">
        <f t="shared" si="36"/>
        <v>0</v>
      </c>
      <c r="P228" s="552">
        <f t="shared" si="37"/>
        <v>0</v>
      </c>
      <c r="Q228" s="541">
        <v>1.79</v>
      </c>
      <c r="R228" s="541">
        <v>1.79</v>
      </c>
      <c r="S228" s="541">
        <v>2.84</v>
      </c>
      <c r="T228" s="541">
        <v>0.01</v>
      </c>
      <c r="U228" s="541">
        <v>0.01</v>
      </c>
      <c r="V228" s="541">
        <v>0.01</v>
      </c>
      <c r="W228" s="554">
        <f t="shared" si="41"/>
        <v>1.78</v>
      </c>
      <c r="X228" s="554">
        <f t="shared" si="39"/>
        <v>1.78</v>
      </c>
      <c r="Y228" s="554">
        <f t="shared" si="40"/>
        <v>2.83</v>
      </c>
    </row>
    <row r="229" spans="1:25">
      <c r="A229" s="542">
        <v>20130701</v>
      </c>
      <c r="B229" s="540" t="s">
        <v>23</v>
      </c>
      <c r="C229" s="540" t="str">
        <f t="shared" si="33"/>
        <v>20130701FLST</v>
      </c>
      <c r="D229" s="543" t="s">
        <v>817</v>
      </c>
      <c r="E229" s="540" t="str">
        <f t="shared" si="34"/>
        <v>20130701LGINE683</v>
      </c>
      <c r="F229" s="541">
        <v>750</v>
      </c>
      <c r="G229" s="552">
        <v>3.61E-2</v>
      </c>
      <c r="H229" s="552">
        <v>0</v>
      </c>
      <c r="I229" s="552">
        <v>0</v>
      </c>
      <c r="J229" s="552">
        <v>0</v>
      </c>
      <c r="K229" s="552">
        <v>0</v>
      </c>
      <c r="L229" s="552">
        <f t="shared" si="38"/>
        <v>2.725E-2</v>
      </c>
      <c r="M229" s="552">
        <f t="shared" si="42"/>
        <v>8.8500000000000002E-3</v>
      </c>
      <c r="N229" s="552">
        <f t="shared" si="35"/>
        <v>0</v>
      </c>
      <c r="O229" s="552">
        <f t="shared" si="36"/>
        <v>0</v>
      </c>
      <c r="P229" s="552">
        <f t="shared" si="37"/>
        <v>0</v>
      </c>
      <c r="Q229" s="541">
        <v>1.04</v>
      </c>
      <c r="R229" s="541">
        <v>1.79</v>
      </c>
      <c r="S229" s="541">
        <v>2.84</v>
      </c>
      <c r="T229" s="541">
        <v>0.01</v>
      </c>
      <c r="U229" s="541">
        <v>0.01</v>
      </c>
      <c r="V229" s="541">
        <v>0.01</v>
      </c>
      <c r="W229" s="554">
        <f t="shared" si="41"/>
        <v>1.03</v>
      </c>
      <c r="X229" s="554">
        <f t="shared" si="39"/>
        <v>1.78</v>
      </c>
      <c r="Y229" s="554">
        <f t="shared" si="40"/>
        <v>2.83</v>
      </c>
    </row>
    <row r="230" spans="1:25">
      <c r="A230" s="542">
        <v>20130701</v>
      </c>
      <c r="B230" s="540" t="s">
        <v>17</v>
      </c>
      <c r="C230" s="540" t="str">
        <f t="shared" si="33"/>
        <v>20130701LE</v>
      </c>
      <c r="D230" s="540" t="s">
        <v>394</v>
      </c>
      <c r="E230" s="540" t="str">
        <f t="shared" si="34"/>
        <v>20130701LGMLE570</v>
      </c>
      <c r="F230" s="541">
        <v>0</v>
      </c>
      <c r="G230" s="552">
        <v>6.3570000000000002E-2</v>
      </c>
      <c r="H230" s="552">
        <v>0</v>
      </c>
      <c r="I230" s="552">
        <v>0</v>
      </c>
      <c r="J230" s="552">
        <v>0</v>
      </c>
      <c r="K230" s="552">
        <v>6.0000000000000002E-5</v>
      </c>
      <c r="L230" s="552">
        <f t="shared" si="38"/>
        <v>2.725E-2</v>
      </c>
      <c r="M230" s="553">
        <f t="shared" si="42"/>
        <v>3.6260000000000001E-2</v>
      </c>
      <c r="N230" s="552">
        <f t="shared" si="35"/>
        <v>0</v>
      </c>
      <c r="O230" s="552">
        <f t="shared" si="36"/>
        <v>0</v>
      </c>
      <c r="P230" s="552">
        <f t="shared" si="37"/>
        <v>0</v>
      </c>
      <c r="Q230" s="541">
        <v>0</v>
      </c>
      <c r="R230" s="541">
        <v>0</v>
      </c>
      <c r="S230" s="541">
        <v>0</v>
      </c>
      <c r="T230" s="541">
        <v>0</v>
      </c>
      <c r="U230" s="541">
        <v>0</v>
      </c>
      <c r="V230" s="541">
        <v>0</v>
      </c>
      <c r="W230" s="541">
        <v>0</v>
      </c>
      <c r="X230" s="541">
        <v>0</v>
      </c>
      <c r="Y230" s="541">
        <v>0</v>
      </c>
    </row>
    <row r="231" spans="1:25">
      <c r="A231" s="542">
        <v>20130701</v>
      </c>
      <c r="B231" s="540" t="s">
        <v>17</v>
      </c>
      <c r="C231" s="540" t="str">
        <f t="shared" si="33"/>
        <v>20130701LE</v>
      </c>
      <c r="D231" s="540" t="s">
        <v>395</v>
      </c>
      <c r="E231" s="540" t="str">
        <f t="shared" si="34"/>
        <v>20130701LGMLE571</v>
      </c>
      <c r="F231" s="541">
        <v>0</v>
      </c>
      <c r="G231" s="552">
        <v>6.3570000000000002E-2</v>
      </c>
      <c r="H231" s="552">
        <v>0</v>
      </c>
      <c r="I231" s="552">
        <v>0</v>
      </c>
      <c r="J231" s="552">
        <v>0</v>
      </c>
      <c r="K231" s="552">
        <v>6.0000000000000002E-5</v>
      </c>
      <c r="L231" s="552">
        <f t="shared" si="38"/>
        <v>2.725E-2</v>
      </c>
      <c r="M231" s="553">
        <f t="shared" si="42"/>
        <v>3.6260000000000001E-2</v>
      </c>
      <c r="N231" s="552">
        <f t="shared" si="35"/>
        <v>0</v>
      </c>
      <c r="O231" s="552">
        <f t="shared" si="36"/>
        <v>0</v>
      </c>
      <c r="P231" s="552">
        <f t="shared" si="37"/>
        <v>0</v>
      </c>
      <c r="Q231" s="541">
        <v>0</v>
      </c>
      <c r="R231" s="541">
        <v>0</v>
      </c>
      <c r="S231" s="541">
        <v>0</v>
      </c>
      <c r="T231" s="541">
        <v>0</v>
      </c>
      <c r="U231" s="541">
        <v>0</v>
      </c>
      <c r="V231" s="541">
        <v>0</v>
      </c>
      <c r="W231" s="541">
        <v>0</v>
      </c>
      <c r="X231" s="541">
        <v>0</v>
      </c>
      <c r="Y231" s="541">
        <v>0</v>
      </c>
    </row>
    <row r="232" spans="1:25">
      <c r="A232" s="542">
        <v>20130701</v>
      </c>
      <c r="B232" s="540" t="s">
        <v>17</v>
      </c>
      <c r="C232" s="540" t="str">
        <f t="shared" si="33"/>
        <v>20130701LE</v>
      </c>
      <c r="D232" s="540" t="s">
        <v>396</v>
      </c>
      <c r="E232" s="540" t="str">
        <f t="shared" si="34"/>
        <v>20130701LGMLE572</v>
      </c>
      <c r="F232" s="541">
        <v>0</v>
      </c>
      <c r="G232" s="552">
        <v>6.3570000000000002E-2</v>
      </c>
      <c r="H232" s="552">
        <v>0</v>
      </c>
      <c r="I232" s="552">
        <v>0</v>
      </c>
      <c r="J232" s="552">
        <v>0</v>
      </c>
      <c r="K232" s="552">
        <v>6.0000000000000002E-5</v>
      </c>
      <c r="L232" s="552">
        <f t="shared" si="38"/>
        <v>2.725E-2</v>
      </c>
      <c r="M232" s="553">
        <f t="shared" si="42"/>
        <v>3.6260000000000001E-2</v>
      </c>
      <c r="N232" s="552">
        <f t="shared" si="35"/>
        <v>0</v>
      </c>
      <c r="O232" s="552">
        <f t="shared" si="36"/>
        <v>0</v>
      </c>
      <c r="P232" s="552">
        <f t="shared" si="37"/>
        <v>0</v>
      </c>
      <c r="Q232" s="541">
        <v>0</v>
      </c>
      <c r="R232" s="541">
        <v>0</v>
      </c>
      <c r="S232" s="541">
        <v>0</v>
      </c>
      <c r="T232" s="541">
        <v>0</v>
      </c>
      <c r="U232" s="541">
        <v>0</v>
      </c>
      <c r="V232" s="541">
        <v>0</v>
      </c>
      <c r="W232" s="541">
        <v>0</v>
      </c>
      <c r="X232" s="541">
        <v>0</v>
      </c>
      <c r="Y232" s="541">
        <v>0</v>
      </c>
    </row>
    <row r="233" spans="1:25">
      <c r="A233" s="542">
        <v>20130701</v>
      </c>
      <c r="B233" s="540" t="s">
        <v>18</v>
      </c>
      <c r="C233" s="540" t="str">
        <f t="shared" si="33"/>
        <v>20130701TE</v>
      </c>
      <c r="D233" s="540" t="s">
        <v>397</v>
      </c>
      <c r="E233" s="540" t="str">
        <f t="shared" si="34"/>
        <v>20130701LGMLE573</v>
      </c>
      <c r="F233" s="541">
        <v>3.25</v>
      </c>
      <c r="G233" s="552">
        <v>7.5539999999999996E-2</v>
      </c>
      <c r="H233" s="552">
        <v>0</v>
      </c>
      <c r="I233" s="552">
        <v>0</v>
      </c>
      <c r="J233" s="552">
        <v>0</v>
      </c>
      <c r="K233" s="552">
        <v>6.0000000000000002E-5</v>
      </c>
      <c r="L233" s="552">
        <f t="shared" si="38"/>
        <v>2.725E-2</v>
      </c>
      <c r="M233" s="553">
        <f t="shared" si="42"/>
        <v>4.8229999999999995E-2</v>
      </c>
      <c r="N233" s="552">
        <f t="shared" si="35"/>
        <v>0</v>
      </c>
      <c r="O233" s="552">
        <f t="shared" si="36"/>
        <v>0</v>
      </c>
      <c r="P233" s="552">
        <f t="shared" si="37"/>
        <v>0</v>
      </c>
      <c r="Q233" s="541">
        <v>0</v>
      </c>
      <c r="R233" s="541">
        <v>0</v>
      </c>
      <c r="S233" s="541">
        <v>0</v>
      </c>
      <c r="T233" s="541">
        <v>0</v>
      </c>
      <c r="U233" s="541">
        <v>0</v>
      </c>
      <c r="V233" s="541">
        <v>0</v>
      </c>
      <c r="W233" s="541">
        <v>0</v>
      </c>
      <c r="X233" s="541">
        <v>0</v>
      </c>
      <c r="Y233" s="541">
        <v>0</v>
      </c>
    </row>
    <row r="234" spans="1:25">
      <c r="A234" s="542">
        <v>20130701</v>
      </c>
      <c r="B234" s="540" t="s">
        <v>18</v>
      </c>
      <c r="C234" s="540" t="str">
        <f t="shared" si="33"/>
        <v>20130701TE</v>
      </c>
      <c r="D234" s="540" t="s">
        <v>398</v>
      </c>
      <c r="E234" s="540" t="str">
        <f t="shared" si="34"/>
        <v>20130701LGMLE574</v>
      </c>
      <c r="F234" s="541">
        <v>3.25</v>
      </c>
      <c r="G234" s="552">
        <v>7.5539999999999996E-2</v>
      </c>
      <c r="H234" s="552">
        <v>0</v>
      </c>
      <c r="I234" s="552">
        <v>0</v>
      </c>
      <c r="J234" s="552">
        <v>0</v>
      </c>
      <c r="K234" s="552">
        <v>6.0000000000000002E-5</v>
      </c>
      <c r="L234" s="552">
        <f t="shared" si="38"/>
        <v>2.725E-2</v>
      </c>
      <c r="M234" s="553">
        <f t="shared" si="42"/>
        <v>4.8229999999999995E-2</v>
      </c>
      <c r="N234" s="552">
        <f t="shared" si="35"/>
        <v>0</v>
      </c>
      <c r="O234" s="552">
        <f t="shared" si="36"/>
        <v>0</v>
      </c>
      <c r="P234" s="552">
        <f t="shared" si="37"/>
        <v>0</v>
      </c>
      <c r="Q234" s="541">
        <v>0</v>
      </c>
      <c r="R234" s="541">
        <v>0</v>
      </c>
      <c r="S234" s="541">
        <v>0</v>
      </c>
      <c r="T234" s="541">
        <v>0</v>
      </c>
      <c r="U234" s="541">
        <v>0</v>
      </c>
      <c r="V234" s="541">
        <v>0</v>
      </c>
      <c r="W234" s="541">
        <v>0</v>
      </c>
      <c r="X234" s="541">
        <v>0</v>
      </c>
      <c r="Y234" s="541">
        <v>0</v>
      </c>
    </row>
    <row r="235" spans="1:25">
      <c r="A235" s="542">
        <v>20130701</v>
      </c>
      <c r="B235" s="540" t="s">
        <v>18</v>
      </c>
      <c r="C235" s="540" t="str">
        <f t="shared" si="33"/>
        <v>20130701TE</v>
      </c>
      <c r="D235" s="543" t="s">
        <v>818</v>
      </c>
      <c r="E235" s="540" t="str">
        <f t="shared" si="34"/>
        <v>20130701LGMLE575</v>
      </c>
      <c r="F235" s="541">
        <v>3.25</v>
      </c>
      <c r="G235" s="552">
        <v>7.5539999999999996E-2</v>
      </c>
      <c r="H235" s="552">
        <v>0</v>
      </c>
      <c r="I235" s="552">
        <v>0</v>
      </c>
      <c r="J235" s="552">
        <v>0</v>
      </c>
      <c r="K235" s="552">
        <v>6.0000000000000002E-5</v>
      </c>
      <c r="L235" s="552">
        <f t="shared" si="38"/>
        <v>2.725E-2</v>
      </c>
      <c r="M235" s="553">
        <f t="shared" si="42"/>
        <v>4.8229999999999995E-2</v>
      </c>
      <c r="N235" s="552">
        <f t="shared" si="35"/>
        <v>0</v>
      </c>
      <c r="O235" s="552">
        <f t="shared" si="36"/>
        <v>0</v>
      </c>
      <c r="P235" s="552">
        <f t="shared" si="37"/>
        <v>0</v>
      </c>
      <c r="Q235" s="541">
        <v>0</v>
      </c>
      <c r="R235" s="541">
        <v>0</v>
      </c>
      <c r="S235" s="541">
        <v>0</v>
      </c>
      <c r="T235" s="541">
        <v>0</v>
      </c>
      <c r="U235" s="541">
        <v>0</v>
      </c>
      <c r="V235" s="541">
        <v>0</v>
      </c>
      <c r="W235" s="541">
        <v>0</v>
      </c>
      <c r="X235" s="541">
        <v>0</v>
      </c>
      <c r="Y235" s="541">
        <v>0</v>
      </c>
    </row>
    <row r="236" spans="1:25">
      <c r="A236" s="542">
        <v>20130701</v>
      </c>
      <c r="B236" s="540" t="s">
        <v>18</v>
      </c>
      <c r="C236" s="540" t="str">
        <f t="shared" si="33"/>
        <v>20130701TE</v>
      </c>
      <c r="D236" s="543" t="s">
        <v>819</v>
      </c>
      <c r="E236" s="540" t="str">
        <f t="shared" si="34"/>
        <v>20130701LGMLE577</v>
      </c>
      <c r="F236" s="541">
        <v>3.25</v>
      </c>
      <c r="G236" s="552">
        <v>7.5539999999999996E-2</v>
      </c>
      <c r="H236" s="552">
        <v>0</v>
      </c>
      <c r="I236" s="552">
        <v>0</v>
      </c>
      <c r="J236" s="552">
        <v>0</v>
      </c>
      <c r="K236" s="552">
        <v>6.0000000000000002E-5</v>
      </c>
      <c r="L236" s="552">
        <f t="shared" si="38"/>
        <v>2.725E-2</v>
      </c>
      <c r="M236" s="553">
        <f t="shared" si="42"/>
        <v>4.8229999999999995E-2</v>
      </c>
      <c r="N236" s="552">
        <f t="shared" si="35"/>
        <v>0</v>
      </c>
      <c r="O236" s="552">
        <f t="shared" si="36"/>
        <v>0</v>
      </c>
      <c r="P236" s="552">
        <f t="shared" si="37"/>
        <v>0</v>
      </c>
      <c r="Q236" s="541">
        <v>0</v>
      </c>
      <c r="R236" s="541">
        <v>0</v>
      </c>
      <c r="S236" s="541">
        <v>0</v>
      </c>
      <c r="T236" s="541">
        <v>0</v>
      </c>
      <c r="U236" s="541">
        <v>0</v>
      </c>
      <c r="V236" s="541">
        <v>0</v>
      </c>
      <c r="W236" s="541">
        <v>0</v>
      </c>
      <c r="X236" s="541">
        <v>0</v>
      </c>
      <c r="Y236" s="541">
        <v>0</v>
      </c>
    </row>
    <row r="237" spans="1:25">
      <c r="A237" s="542">
        <v>20130701</v>
      </c>
      <c r="B237" s="540" t="s">
        <v>412</v>
      </c>
      <c r="C237" s="540" t="str">
        <f t="shared" si="33"/>
        <v>20130701FK</v>
      </c>
      <c r="D237" s="540" t="s">
        <v>387</v>
      </c>
      <c r="E237" s="540" t="str">
        <f t="shared" si="34"/>
        <v>20130701LGINE599</v>
      </c>
      <c r="F237" s="541">
        <v>0</v>
      </c>
      <c r="G237" s="552">
        <v>3.7400000000000003E-2</v>
      </c>
      <c r="H237" s="552">
        <v>0</v>
      </c>
      <c r="I237" s="552">
        <v>0</v>
      </c>
      <c r="J237" s="552">
        <v>0</v>
      </c>
      <c r="K237" s="552">
        <v>0</v>
      </c>
      <c r="L237" s="552">
        <f t="shared" si="38"/>
        <v>2.725E-2</v>
      </c>
      <c r="M237" s="552">
        <f t="shared" si="42"/>
        <v>1.0150000000000003E-2</v>
      </c>
      <c r="N237" s="552">
        <v>0</v>
      </c>
      <c r="O237" s="552">
        <v>0</v>
      </c>
      <c r="P237" s="552">
        <v>0</v>
      </c>
      <c r="Q237" s="552">
        <v>0</v>
      </c>
      <c r="R237" s="541">
        <v>12.35</v>
      </c>
      <c r="S237" s="541">
        <f>U237+Y237</f>
        <v>14.67</v>
      </c>
      <c r="T237" s="541">
        <v>0</v>
      </c>
      <c r="U237" s="541">
        <v>0.02</v>
      </c>
      <c r="V237" s="541">
        <v>0.02</v>
      </c>
      <c r="W237" s="541">
        <v>0</v>
      </c>
      <c r="X237" s="554">
        <f>R237-U237</f>
        <v>12.33</v>
      </c>
      <c r="Y237" s="554">
        <v>14.65</v>
      </c>
    </row>
    <row r="238" spans="1:25">
      <c r="A238" s="542">
        <v>20130701</v>
      </c>
      <c r="B238" s="540" t="s">
        <v>425</v>
      </c>
      <c r="C238" s="540" t="str">
        <f>A238&amp;B238</f>
        <v>20130701LWC</v>
      </c>
      <c r="D238" s="540" t="s">
        <v>385</v>
      </c>
      <c r="E238" s="540" t="str">
        <f>A238&amp;D238</f>
        <v>20130701LGCME671</v>
      </c>
      <c r="F238" s="541">
        <v>0</v>
      </c>
      <c r="G238" s="552">
        <v>3.7019999999999997E-2</v>
      </c>
      <c r="H238" s="552">
        <v>0</v>
      </c>
      <c r="I238" s="552">
        <v>0</v>
      </c>
      <c r="J238" s="552">
        <v>0</v>
      </c>
      <c r="K238" s="552">
        <v>0</v>
      </c>
      <c r="L238" s="552">
        <f t="shared" si="38"/>
        <v>2.725E-2</v>
      </c>
      <c r="M238" s="552">
        <f t="shared" si="42"/>
        <v>9.7699999999999974E-3</v>
      </c>
      <c r="N238" s="552">
        <v>0</v>
      </c>
      <c r="O238" s="552">
        <v>0</v>
      </c>
      <c r="P238" s="552">
        <v>0</v>
      </c>
      <c r="Q238" s="552">
        <v>0</v>
      </c>
      <c r="R238" s="541">
        <v>10</v>
      </c>
      <c r="S238" s="541">
        <v>10</v>
      </c>
      <c r="T238" s="541">
        <v>0</v>
      </c>
      <c r="U238" s="541">
        <v>0.02</v>
      </c>
      <c r="V238" s="541">
        <v>0.02</v>
      </c>
      <c r="W238" s="541">
        <v>0</v>
      </c>
      <c r="X238" s="554">
        <f>R238-U238</f>
        <v>9.98</v>
      </c>
      <c r="Y238" s="554">
        <f>S238-V238</f>
        <v>9.98</v>
      </c>
    </row>
    <row r="239" spans="1:25">
      <c r="A239" s="542">
        <v>20130701</v>
      </c>
      <c r="B239" s="540" t="s">
        <v>641</v>
      </c>
      <c r="C239" s="540" t="str">
        <f>A239&amp;B239</f>
        <v>20130701LEV</v>
      </c>
      <c r="D239" s="543" t="s">
        <v>706</v>
      </c>
      <c r="E239" s="540" t="str">
        <f>A239&amp;D239</f>
        <v>20130701LGRSE543</v>
      </c>
      <c r="F239" s="541">
        <v>10.75</v>
      </c>
      <c r="G239" s="552">
        <v>5.6930000000000001E-2</v>
      </c>
      <c r="H239" s="552">
        <v>7.7719999999999997E-2</v>
      </c>
      <c r="I239" s="552">
        <v>0.14324000000000001</v>
      </c>
      <c r="J239" s="552">
        <v>0</v>
      </c>
      <c r="K239" s="552">
        <v>6.9999999999999994E-5</v>
      </c>
      <c r="L239" s="552">
        <f t="shared" si="38"/>
        <v>2.725E-2</v>
      </c>
      <c r="M239" s="552">
        <f t="shared" si="42"/>
        <v>2.9610000000000001E-2</v>
      </c>
      <c r="N239" s="552">
        <f>H239-K239-L239</f>
        <v>5.04E-2</v>
      </c>
      <c r="O239" s="552">
        <f>I239-K239-L239</f>
        <v>0.11592000000000002</v>
      </c>
      <c r="P239" s="552">
        <v>0</v>
      </c>
      <c r="Q239" s="541">
        <v>0</v>
      </c>
      <c r="R239" s="541">
        <v>0</v>
      </c>
      <c r="S239" s="541">
        <v>0</v>
      </c>
      <c r="T239" s="541">
        <v>0</v>
      </c>
      <c r="U239" s="541">
        <v>0</v>
      </c>
      <c r="V239" s="541">
        <v>0</v>
      </c>
      <c r="W239" s="541">
        <v>0</v>
      </c>
      <c r="X239" s="541">
        <v>0</v>
      </c>
      <c r="Y239" s="541">
        <v>0</v>
      </c>
    </row>
    <row r="240" spans="1:25">
      <c r="A240" s="548">
        <v>20140101</v>
      </c>
      <c r="B240" s="545" t="s">
        <v>13</v>
      </c>
      <c r="C240" s="545" t="str">
        <f t="shared" ref="C240:C275" si="43">A240&amp;B240</f>
        <v>20140101RS</v>
      </c>
      <c r="D240" s="545" t="s">
        <v>399</v>
      </c>
      <c r="E240" s="545" t="str">
        <f t="shared" ref="E240:E275" si="44">A240&amp;D240</f>
        <v>20140101LGRSE411</v>
      </c>
      <c r="F240" s="547">
        <v>0</v>
      </c>
      <c r="G240" s="555">
        <f>SUM(K240:M240)</f>
        <v>8.0760000000000012E-2</v>
      </c>
      <c r="H240" s="555">
        <v>0</v>
      </c>
      <c r="I240" s="555">
        <v>0</v>
      </c>
      <c r="J240" s="555">
        <v>0</v>
      </c>
      <c r="K240" s="555">
        <v>1.34E-3</v>
      </c>
      <c r="L240" s="524">
        <v>2.725E-2</v>
      </c>
      <c r="M240" s="555">
        <v>5.2170000000000008E-2</v>
      </c>
      <c r="N240" s="555">
        <v>0</v>
      </c>
      <c r="O240" s="555">
        <v>0</v>
      </c>
      <c r="P240" s="555">
        <f t="shared" ref="P240:P244" si="45">IF(J240=0,0,J240-$K240-$L240)</f>
        <v>0</v>
      </c>
      <c r="Q240" s="547">
        <v>0</v>
      </c>
      <c r="R240" s="547">
        <v>0</v>
      </c>
      <c r="S240" s="547">
        <v>0</v>
      </c>
      <c r="T240" s="547">
        <v>0</v>
      </c>
      <c r="U240" s="547">
        <v>0</v>
      </c>
      <c r="V240" s="547">
        <v>0</v>
      </c>
      <c r="W240" s="547">
        <v>0</v>
      </c>
      <c r="X240" s="547">
        <v>0</v>
      </c>
      <c r="Y240" s="547">
        <v>0</v>
      </c>
    </row>
    <row r="241" spans="1:25">
      <c r="A241" s="548">
        <v>20140101</v>
      </c>
      <c r="B241" s="546" t="s">
        <v>417</v>
      </c>
      <c r="C241" s="545" t="str">
        <f t="shared" si="43"/>
        <v>20140101GSWH</v>
      </c>
      <c r="D241" s="545" t="s">
        <v>368</v>
      </c>
      <c r="E241" s="545" t="str">
        <f t="shared" si="44"/>
        <v>20140101LGCME451</v>
      </c>
      <c r="F241" s="547">
        <v>0</v>
      </c>
      <c r="G241" s="555">
        <f t="shared" ref="G241:G278" si="46">SUM(K241:M241)</f>
        <v>9.1340000000000005E-2</v>
      </c>
      <c r="H241" s="555">
        <v>0</v>
      </c>
      <c r="I241" s="555">
        <v>0</v>
      </c>
      <c r="J241" s="555">
        <v>0</v>
      </c>
      <c r="K241" s="555">
        <v>1.67E-3</v>
      </c>
      <c r="L241" s="555">
        <f>$L$240</f>
        <v>2.725E-2</v>
      </c>
      <c r="M241" s="555">
        <v>6.2420000000000003E-2</v>
      </c>
      <c r="N241" s="555">
        <v>0</v>
      </c>
      <c r="O241" s="555">
        <v>0</v>
      </c>
      <c r="P241" s="555">
        <f t="shared" si="45"/>
        <v>0</v>
      </c>
      <c r="Q241" s="547">
        <v>0</v>
      </c>
      <c r="R241" s="547">
        <v>0</v>
      </c>
      <c r="S241" s="547">
        <v>0</v>
      </c>
      <c r="T241" s="547">
        <v>0</v>
      </c>
      <c r="U241" s="547">
        <v>0</v>
      </c>
      <c r="V241" s="547">
        <v>0</v>
      </c>
      <c r="W241" s="547">
        <v>0</v>
      </c>
      <c r="X241" s="547">
        <v>0</v>
      </c>
      <c r="Y241" s="547">
        <v>0</v>
      </c>
    </row>
    <row r="242" spans="1:25">
      <c r="A242" s="548">
        <v>20140101</v>
      </c>
      <c r="B242" s="545" t="s">
        <v>13</v>
      </c>
      <c r="C242" s="545" t="str">
        <f t="shared" si="43"/>
        <v>20140101RS</v>
      </c>
      <c r="D242" s="545" t="s">
        <v>400</v>
      </c>
      <c r="E242" s="545" t="str">
        <f t="shared" si="44"/>
        <v>20140101LGRSE511</v>
      </c>
      <c r="F242" s="547">
        <v>10.75</v>
      </c>
      <c r="G242" s="555">
        <f t="shared" si="46"/>
        <v>8.0760000000000012E-2</v>
      </c>
      <c r="H242" s="555">
        <v>0</v>
      </c>
      <c r="I242" s="555">
        <v>0</v>
      </c>
      <c r="J242" s="555">
        <v>0</v>
      </c>
      <c r="K242" s="555">
        <v>1.34E-3</v>
      </c>
      <c r="L242" s="555">
        <f t="shared" ref="L242:L278" si="47">$L$240</f>
        <v>2.725E-2</v>
      </c>
      <c r="M242" s="555">
        <v>5.2170000000000008E-2</v>
      </c>
      <c r="N242" s="555">
        <v>0</v>
      </c>
      <c r="O242" s="555">
        <v>0</v>
      </c>
      <c r="P242" s="555">
        <f t="shared" si="45"/>
        <v>0</v>
      </c>
      <c r="Q242" s="547">
        <v>0</v>
      </c>
      <c r="R242" s="547">
        <v>0</v>
      </c>
      <c r="S242" s="547">
        <v>0</v>
      </c>
      <c r="T242" s="547">
        <v>0</v>
      </c>
      <c r="U242" s="547">
        <v>0</v>
      </c>
      <c r="V242" s="547">
        <v>0</v>
      </c>
      <c r="W242" s="547">
        <v>0</v>
      </c>
      <c r="X242" s="547">
        <v>0</v>
      </c>
      <c r="Y242" s="547">
        <v>0</v>
      </c>
    </row>
    <row r="243" spans="1:25">
      <c r="A243" s="548">
        <v>20140101</v>
      </c>
      <c r="B243" s="545" t="s">
        <v>13</v>
      </c>
      <c r="C243" s="545" t="str">
        <f t="shared" si="43"/>
        <v>20140101RS</v>
      </c>
      <c r="D243" s="545" t="s">
        <v>401</v>
      </c>
      <c r="E243" s="545" t="str">
        <f t="shared" si="44"/>
        <v>20140101LGRSE519</v>
      </c>
      <c r="F243" s="547">
        <v>10.75</v>
      </c>
      <c r="G243" s="555">
        <f t="shared" si="46"/>
        <v>8.0760000000000012E-2</v>
      </c>
      <c r="H243" s="555">
        <v>0</v>
      </c>
      <c r="I243" s="555">
        <v>0</v>
      </c>
      <c r="J243" s="555">
        <v>0</v>
      </c>
      <c r="K243" s="555">
        <v>1.34E-3</v>
      </c>
      <c r="L243" s="555">
        <f t="shared" si="47"/>
        <v>2.725E-2</v>
      </c>
      <c r="M243" s="555">
        <v>5.2170000000000008E-2</v>
      </c>
      <c r="N243" s="555">
        <v>0</v>
      </c>
      <c r="O243" s="555">
        <v>0</v>
      </c>
      <c r="P243" s="555">
        <f t="shared" si="45"/>
        <v>0</v>
      </c>
      <c r="Q243" s="547">
        <v>0</v>
      </c>
      <c r="R243" s="547">
        <v>0</v>
      </c>
      <c r="S243" s="547">
        <v>0</v>
      </c>
      <c r="T243" s="547">
        <v>0</v>
      </c>
      <c r="U243" s="547">
        <v>0</v>
      </c>
      <c r="V243" s="547">
        <v>0</v>
      </c>
      <c r="W243" s="547">
        <v>0</v>
      </c>
      <c r="X243" s="547">
        <v>0</v>
      </c>
      <c r="Y243" s="547">
        <v>0</v>
      </c>
    </row>
    <row r="244" spans="1:25">
      <c r="A244" s="548">
        <v>20140101</v>
      </c>
      <c r="B244" s="545" t="s">
        <v>700</v>
      </c>
      <c r="C244" s="545" t="str">
        <f t="shared" si="43"/>
        <v>20140101VFD</v>
      </c>
      <c r="D244" s="545" t="s">
        <v>402</v>
      </c>
      <c r="E244" s="545" t="str">
        <f t="shared" si="44"/>
        <v>20140101LGRSE540</v>
      </c>
      <c r="F244" s="547">
        <v>10.75</v>
      </c>
      <c r="G244" s="555">
        <f t="shared" si="46"/>
        <v>8.0760000000000012E-2</v>
      </c>
      <c r="H244" s="555">
        <v>0</v>
      </c>
      <c r="I244" s="555">
        <v>0</v>
      </c>
      <c r="J244" s="555">
        <v>0</v>
      </c>
      <c r="K244" s="555">
        <v>1.34E-3</v>
      </c>
      <c r="L244" s="555">
        <f t="shared" si="47"/>
        <v>2.725E-2</v>
      </c>
      <c r="M244" s="555">
        <v>5.2170000000000008E-2</v>
      </c>
      <c r="N244" s="555">
        <v>0</v>
      </c>
      <c r="O244" s="555">
        <v>0</v>
      </c>
      <c r="P244" s="555">
        <f t="shared" si="45"/>
        <v>0</v>
      </c>
      <c r="Q244" s="547">
        <v>0</v>
      </c>
      <c r="R244" s="547">
        <v>0</v>
      </c>
      <c r="S244" s="547">
        <v>0</v>
      </c>
      <c r="T244" s="547">
        <v>0</v>
      </c>
      <c r="U244" s="547">
        <v>0</v>
      </c>
      <c r="V244" s="547">
        <v>0</v>
      </c>
      <c r="W244" s="547">
        <v>0</v>
      </c>
      <c r="X244" s="547">
        <v>0</v>
      </c>
      <c r="Y244" s="547">
        <v>0</v>
      </c>
    </row>
    <row r="245" spans="1:25">
      <c r="A245" s="548">
        <v>20140101</v>
      </c>
      <c r="B245" s="546" t="s">
        <v>833</v>
      </c>
      <c r="C245" s="545" t="str">
        <f t="shared" si="43"/>
        <v>20140101GSP</v>
      </c>
      <c r="D245" s="545" t="s">
        <v>369</v>
      </c>
      <c r="E245" s="545" t="str">
        <f t="shared" si="44"/>
        <v>20140101LGCME550</v>
      </c>
      <c r="F245" s="547">
        <v>20</v>
      </c>
      <c r="G245" s="555">
        <f t="shared" si="46"/>
        <v>9.1340000000000005E-2</v>
      </c>
      <c r="H245" s="555">
        <v>0</v>
      </c>
      <c r="I245" s="555">
        <v>0</v>
      </c>
      <c r="J245" s="555">
        <v>0</v>
      </c>
      <c r="K245" s="555">
        <v>1.67E-3</v>
      </c>
      <c r="L245" s="555">
        <f t="shared" si="47"/>
        <v>2.725E-2</v>
      </c>
      <c r="M245" s="555">
        <v>6.2420000000000003E-2</v>
      </c>
      <c r="N245" s="555">
        <v>0</v>
      </c>
      <c r="O245" s="555">
        <v>0</v>
      </c>
      <c r="P245" s="555">
        <f t="shared" ref="P245:P249" si="48">IF(J245=0,0,J245-$K245-$L245)</f>
        <v>0</v>
      </c>
      <c r="Q245" s="547">
        <v>0</v>
      </c>
      <c r="R245" s="547">
        <v>0</v>
      </c>
      <c r="S245" s="547">
        <v>0</v>
      </c>
      <c r="T245" s="547">
        <v>0</v>
      </c>
      <c r="U245" s="547">
        <v>0</v>
      </c>
      <c r="V245" s="547">
        <v>0</v>
      </c>
      <c r="W245" s="547">
        <v>0</v>
      </c>
      <c r="X245" s="547">
        <v>0</v>
      </c>
      <c r="Y245" s="547">
        <v>0</v>
      </c>
    </row>
    <row r="246" spans="1:25">
      <c r="A246" s="548">
        <v>20140101</v>
      </c>
      <c r="B246" s="545" t="s">
        <v>414</v>
      </c>
      <c r="C246" s="545" t="str">
        <f t="shared" si="43"/>
        <v>20140101GSS</v>
      </c>
      <c r="D246" s="545" t="s">
        <v>370</v>
      </c>
      <c r="E246" s="545" t="str">
        <f t="shared" si="44"/>
        <v>20140101LGCME551</v>
      </c>
      <c r="F246" s="547">
        <v>20</v>
      </c>
      <c r="G246" s="555">
        <f t="shared" si="46"/>
        <v>9.1340000000000005E-2</v>
      </c>
      <c r="H246" s="555">
        <v>0</v>
      </c>
      <c r="I246" s="555">
        <v>0</v>
      </c>
      <c r="J246" s="555">
        <v>0</v>
      </c>
      <c r="K246" s="555">
        <v>1.67E-3</v>
      </c>
      <c r="L246" s="555">
        <f t="shared" si="47"/>
        <v>2.725E-2</v>
      </c>
      <c r="M246" s="555">
        <v>6.2420000000000003E-2</v>
      </c>
      <c r="N246" s="555">
        <v>0</v>
      </c>
      <c r="O246" s="555">
        <v>0</v>
      </c>
      <c r="P246" s="555">
        <f t="shared" si="48"/>
        <v>0</v>
      </c>
      <c r="Q246" s="547">
        <v>0</v>
      </c>
      <c r="R246" s="547">
        <v>0</v>
      </c>
      <c r="S246" s="547">
        <v>0</v>
      </c>
      <c r="T246" s="547">
        <v>0</v>
      </c>
      <c r="U246" s="547">
        <v>0</v>
      </c>
      <c r="V246" s="547">
        <v>0</v>
      </c>
      <c r="W246" s="547">
        <v>0</v>
      </c>
      <c r="X246" s="547">
        <v>0</v>
      </c>
      <c r="Y246" s="547">
        <v>0</v>
      </c>
    </row>
    <row r="247" spans="1:25">
      <c r="A247" s="548">
        <v>20140101</v>
      </c>
      <c r="B247" s="545" t="s">
        <v>832</v>
      </c>
      <c r="C247" s="545" t="str">
        <f t="shared" si="43"/>
        <v>20140101GSUM</v>
      </c>
      <c r="D247" s="545" t="s">
        <v>371</v>
      </c>
      <c r="E247" s="545" t="str">
        <f t="shared" si="44"/>
        <v>20140101LGCME551UM</v>
      </c>
      <c r="F247" s="547">
        <v>20</v>
      </c>
      <c r="G247" s="555">
        <f t="shared" si="46"/>
        <v>9.1340000000000005E-2</v>
      </c>
      <c r="H247" s="555">
        <v>0</v>
      </c>
      <c r="I247" s="555">
        <v>0</v>
      </c>
      <c r="J247" s="555">
        <v>0</v>
      </c>
      <c r="K247" s="555">
        <v>1.67E-3</v>
      </c>
      <c r="L247" s="555">
        <f t="shared" si="47"/>
        <v>2.725E-2</v>
      </c>
      <c r="M247" s="555">
        <v>6.2420000000000003E-2</v>
      </c>
      <c r="N247" s="555">
        <v>0</v>
      </c>
      <c r="O247" s="555">
        <v>0</v>
      </c>
      <c r="P247" s="555">
        <f t="shared" si="48"/>
        <v>0</v>
      </c>
      <c r="Q247" s="547">
        <v>0</v>
      </c>
      <c r="R247" s="547">
        <v>0</v>
      </c>
      <c r="S247" s="547">
        <v>0</v>
      </c>
      <c r="T247" s="547">
        <v>0</v>
      </c>
      <c r="U247" s="547">
        <v>0</v>
      </c>
      <c r="V247" s="547">
        <v>0</v>
      </c>
      <c r="W247" s="547">
        <v>0</v>
      </c>
      <c r="X247" s="547">
        <v>0</v>
      </c>
      <c r="Y247" s="547">
        <v>0</v>
      </c>
    </row>
    <row r="248" spans="1:25">
      <c r="A248" s="548">
        <v>20140101</v>
      </c>
      <c r="B248" s="546" t="s">
        <v>826</v>
      </c>
      <c r="C248" s="545" t="str">
        <f t="shared" si="43"/>
        <v>20140101GSNM</v>
      </c>
      <c r="D248" s="545" t="s">
        <v>374</v>
      </c>
      <c r="E248" s="545" t="str">
        <f t="shared" si="44"/>
        <v>20140101LGCME557</v>
      </c>
      <c r="F248" s="547">
        <v>20</v>
      </c>
      <c r="G248" s="555">
        <f t="shared" si="46"/>
        <v>9.1340000000000005E-2</v>
      </c>
      <c r="H248" s="555">
        <v>0</v>
      </c>
      <c r="I248" s="555">
        <v>0</v>
      </c>
      <c r="J248" s="555">
        <v>0</v>
      </c>
      <c r="K248" s="555">
        <v>1.67E-3</v>
      </c>
      <c r="L248" s="555">
        <f t="shared" si="47"/>
        <v>2.725E-2</v>
      </c>
      <c r="M248" s="555">
        <v>6.2420000000000003E-2</v>
      </c>
      <c r="N248" s="555">
        <v>0</v>
      </c>
      <c r="O248" s="555">
        <v>0</v>
      </c>
      <c r="P248" s="555">
        <f t="shared" si="48"/>
        <v>0</v>
      </c>
      <c r="Q248" s="547">
        <v>0</v>
      </c>
      <c r="R248" s="547">
        <v>0</v>
      </c>
      <c r="S248" s="547">
        <v>0</v>
      </c>
      <c r="T248" s="547">
        <v>0</v>
      </c>
      <c r="U248" s="547">
        <v>0</v>
      </c>
      <c r="V248" s="547">
        <v>0</v>
      </c>
      <c r="W248" s="547">
        <v>0</v>
      </c>
      <c r="X248" s="547">
        <v>0</v>
      </c>
      <c r="Y248" s="547">
        <v>0</v>
      </c>
    </row>
    <row r="249" spans="1:25">
      <c r="A249" s="548">
        <v>20140101</v>
      </c>
      <c r="B249" s="546" t="s">
        <v>416</v>
      </c>
      <c r="C249" s="545" t="str">
        <f t="shared" si="43"/>
        <v>20140101GSSH</v>
      </c>
      <c r="D249" s="545" t="s">
        <v>372</v>
      </c>
      <c r="E249" s="545" t="str">
        <f t="shared" si="44"/>
        <v>20140101LGCME552</v>
      </c>
      <c r="F249" s="547">
        <v>0</v>
      </c>
      <c r="G249" s="555">
        <f t="shared" si="46"/>
        <v>9.1340000000000005E-2</v>
      </c>
      <c r="H249" s="555">
        <v>0</v>
      </c>
      <c r="I249" s="555">
        <v>0</v>
      </c>
      <c r="J249" s="555">
        <v>0</v>
      </c>
      <c r="K249" s="555">
        <v>1.67E-3</v>
      </c>
      <c r="L249" s="555">
        <f t="shared" si="47"/>
        <v>2.725E-2</v>
      </c>
      <c r="M249" s="555">
        <v>6.2420000000000003E-2</v>
      </c>
      <c r="N249" s="555">
        <v>0</v>
      </c>
      <c r="O249" s="555">
        <v>0</v>
      </c>
      <c r="P249" s="555">
        <f t="shared" si="48"/>
        <v>0</v>
      </c>
      <c r="Q249" s="547">
        <v>0</v>
      </c>
      <c r="R249" s="547">
        <v>0</v>
      </c>
      <c r="S249" s="547">
        <v>0</v>
      </c>
      <c r="T249" s="547">
        <v>0</v>
      </c>
      <c r="U249" s="547">
        <v>0</v>
      </c>
      <c r="V249" s="547">
        <v>0</v>
      </c>
      <c r="W249" s="547">
        <v>0</v>
      </c>
      <c r="X249" s="547">
        <v>0</v>
      </c>
      <c r="Y249" s="547">
        <v>0</v>
      </c>
    </row>
    <row r="250" spans="1:25">
      <c r="A250" s="548">
        <v>20140101</v>
      </c>
      <c r="B250" s="546" t="s">
        <v>715</v>
      </c>
      <c r="C250" s="545" t="str">
        <f t="shared" si="43"/>
        <v>20140101GS3P</v>
      </c>
      <c r="D250" s="545" t="s">
        <v>380</v>
      </c>
      <c r="E250" s="545" t="str">
        <f t="shared" si="44"/>
        <v>20140101LGCME650</v>
      </c>
      <c r="F250" s="547">
        <v>35</v>
      </c>
      <c r="G250" s="555">
        <f t="shared" si="46"/>
        <v>9.1340000000000005E-2</v>
      </c>
      <c r="H250" s="555">
        <v>0</v>
      </c>
      <c r="I250" s="555">
        <v>0</v>
      </c>
      <c r="J250" s="555">
        <v>0</v>
      </c>
      <c r="K250" s="555">
        <v>1.67E-3</v>
      </c>
      <c r="L250" s="555">
        <f t="shared" si="47"/>
        <v>2.725E-2</v>
      </c>
      <c r="M250" s="555">
        <v>6.2420000000000003E-2</v>
      </c>
      <c r="N250" s="555">
        <v>0</v>
      </c>
      <c r="O250" s="555">
        <v>0</v>
      </c>
      <c r="P250" s="555">
        <f t="shared" ref="P250:P253" si="49">IF(J250=0,0,J250-$K250-$L250)</f>
        <v>0</v>
      </c>
      <c r="Q250" s="547">
        <v>0</v>
      </c>
      <c r="R250" s="547">
        <v>0</v>
      </c>
      <c r="S250" s="547">
        <v>0</v>
      </c>
      <c r="T250" s="547">
        <v>0</v>
      </c>
      <c r="U250" s="547">
        <v>0</v>
      </c>
      <c r="V250" s="547">
        <v>0</v>
      </c>
      <c r="W250" s="547">
        <v>0</v>
      </c>
      <c r="X250" s="547">
        <v>0</v>
      </c>
      <c r="Y250" s="547">
        <v>0</v>
      </c>
    </row>
    <row r="251" spans="1:25">
      <c r="A251" s="548">
        <v>20140101</v>
      </c>
      <c r="B251" s="545" t="s">
        <v>14</v>
      </c>
      <c r="C251" s="545" t="str">
        <f t="shared" si="43"/>
        <v>20140101GS3</v>
      </c>
      <c r="D251" s="545" t="s">
        <v>381</v>
      </c>
      <c r="E251" s="545" t="str">
        <f t="shared" si="44"/>
        <v>20140101LGCME651</v>
      </c>
      <c r="F251" s="547">
        <v>35</v>
      </c>
      <c r="G251" s="555">
        <f t="shared" si="46"/>
        <v>9.1340000000000005E-2</v>
      </c>
      <c r="H251" s="555">
        <v>0</v>
      </c>
      <c r="I251" s="555">
        <v>0</v>
      </c>
      <c r="J251" s="555">
        <v>0</v>
      </c>
      <c r="K251" s="555">
        <v>1.67E-3</v>
      </c>
      <c r="L251" s="555">
        <f t="shared" si="47"/>
        <v>2.725E-2</v>
      </c>
      <c r="M251" s="555">
        <v>6.2420000000000003E-2</v>
      </c>
      <c r="N251" s="555">
        <v>0</v>
      </c>
      <c r="O251" s="555">
        <v>0</v>
      </c>
      <c r="P251" s="555">
        <f t="shared" si="49"/>
        <v>0</v>
      </c>
      <c r="Q251" s="547">
        <v>0</v>
      </c>
      <c r="R251" s="547">
        <v>0</v>
      </c>
      <c r="S251" s="547">
        <v>0</v>
      </c>
      <c r="T251" s="547">
        <v>0</v>
      </c>
      <c r="U251" s="547">
        <v>0</v>
      </c>
      <c r="V251" s="547">
        <v>0</v>
      </c>
      <c r="W251" s="547">
        <v>0</v>
      </c>
      <c r="X251" s="547">
        <v>0</v>
      </c>
      <c r="Y251" s="547">
        <v>0</v>
      </c>
    </row>
    <row r="252" spans="1:25">
      <c r="A252" s="548">
        <v>20140101</v>
      </c>
      <c r="B252" s="546" t="s">
        <v>808</v>
      </c>
      <c r="C252" s="545" t="str">
        <f t="shared" si="43"/>
        <v>20140101GS3NM</v>
      </c>
      <c r="D252" s="545" t="s">
        <v>384</v>
      </c>
      <c r="E252" s="545" t="str">
        <f t="shared" si="44"/>
        <v>20140101LGCME657</v>
      </c>
      <c r="F252" s="547">
        <v>35</v>
      </c>
      <c r="G252" s="555">
        <f t="shared" si="46"/>
        <v>9.1340000000000005E-2</v>
      </c>
      <c r="H252" s="555">
        <v>0</v>
      </c>
      <c r="I252" s="555">
        <v>0</v>
      </c>
      <c r="J252" s="555">
        <v>0</v>
      </c>
      <c r="K252" s="555">
        <v>1.67E-3</v>
      </c>
      <c r="L252" s="555">
        <f t="shared" si="47"/>
        <v>2.725E-2</v>
      </c>
      <c r="M252" s="555">
        <v>6.2420000000000003E-2</v>
      </c>
      <c r="N252" s="555">
        <v>0</v>
      </c>
      <c r="O252" s="555">
        <v>0</v>
      </c>
      <c r="P252" s="555">
        <f t="shared" si="49"/>
        <v>0</v>
      </c>
      <c r="Q252" s="547">
        <v>0</v>
      </c>
      <c r="R252" s="547">
        <v>0</v>
      </c>
      <c r="S252" s="547">
        <v>0</v>
      </c>
      <c r="T252" s="547">
        <v>0</v>
      </c>
      <c r="U252" s="547">
        <v>0</v>
      </c>
      <c r="V252" s="547">
        <v>0</v>
      </c>
      <c r="W252" s="547">
        <v>0</v>
      </c>
      <c r="X252" s="547">
        <v>0</v>
      </c>
      <c r="Y252" s="547">
        <v>0</v>
      </c>
    </row>
    <row r="253" spans="1:25">
      <c r="A253" s="548">
        <v>20140101</v>
      </c>
      <c r="B253" s="546" t="s">
        <v>807</v>
      </c>
      <c r="C253" s="545" t="str">
        <f t="shared" si="43"/>
        <v>20140101GS3SH</v>
      </c>
      <c r="D253" s="545" t="s">
        <v>382</v>
      </c>
      <c r="E253" s="545" t="str">
        <f t="shared" si="44"/>
        <v>20140101LGCME652</v>
      </c>
      <c r="F253" s="547">
        <v>0</v>
      </c>
      <c r="G253" s="555">
        <f t="shared" si="46"/>
        <v>9.1340000000000005E-2</v>
      </c>
      <c r="H253" s="555">
        <v>0</v>
      </c>
      <c r="I253" s="555">
        <v>0</v>
      </c>
      <c r="J253" s="555">
        <v>0</v>
      </c>
      <c r="K253" s="555">
        <v>1.67E-3</v>
      </c>
      <c r="L253" s="555">
        <f t="shared" si="47"/>
        <v>2.725E-2</v>
      </c>
      <c r="M253" s="555">
        <v>6.2420000000000003E-2</v>
      </c>
      <c r="N253" s="555">
        <v>0</v>
      </c>
      <c r="O253" s="555">
        <v>0</v>
      </c>
      <c r="P253" s="555">
        <f t="shared" si="49"/>
        <v>0</v>
      </c>
      <c r="Q253" s="547">
        <v>0</v>
      </c>
      <c r="R253" s="547">
        <v>0</v>
      </c>
      <c r="S253" s="547">
        <v>0</v>
      </c>
      <c r="T253" s="547">
        <v>0</v>
      </c>
      <c r="U253" s="547">
        <v>0</v>
      </c>
      <c r="V253" s="547">
        <v>0</v>
      </c>
      <c r="W253" s="547">
        <v>0</v>
      </c>
      <c r="X253" s="547">
        <v>0</v>
      </c>
      <c r="Y253" s="547">
        <v>0</v>
      </c>
    </row>
    <row r="254" spans="1:25">
      <c r="A254" s="548">
        <v>20140101</v>
      </c>
      <c r="B254" s="545" t="s">
        <v>20</v>
      </c>
      <c r="C254" s="545" t="str">
        <f t="shared" si="43"/>
        <v>20140101PSS</v>
      </c>
      <c r="D254" s="545" t="s">
        <v>375</v>
      </c>
      <c r="E254" s="545" t="str">
        <f t="shared" si="44"/>
        <v>20140101LGCME561</v>
      </c>
      <c r="F254" s="547">
        <v>90</v>
      </c>
      <c r="G254" s="555">
        <f t="shared" si="46"/>
        <v>4.0599999999999997E-2</v>
      </c>
      <c r="H254" s="555">
        <v>0</v>
      </c>
      <c r="I254" s="555">
        <v>0</v>
      </c>
      <c r="J254" s="555">
        <v>0</v>
      </c>
      <c r="K254" s="555">
        <v>0</v>
      </c>
      <c r="L254" s="555">
        <f t="shared" si="47"/>
        <v>2.725E-2</v>
      </c>
      <c r="M254" s="555">
        <v>1.3349999999999997E-2</v>
      </c>
      <c r="N254" s="555">
        <v>0</v>
      </c>
      <c r="O254" s="555">
        <v>0</v>
      </c>
      <c r="P254" s="555">
        <f t="shared" ref="P254:P274" si="50">IF(J254=0,0,J254-$K254-$L254)</f>
        <v>0</v>
      </c>
      <c r="Q254" s="547">
        <f>T254+W254</f>
        <v>0</v>
      </c>
      <c r="R254" s="547">
        <f t="shared" ref="R254:R278" si="51">U254+X254</f>
        <v>14.010000000000002</v>
      </c>
      <c r="S254" s="547">
        <f t="shared" ref="S254:S278" si="52">V254+Y254</f>
        <v>16.399999999999999</v>
      </c>
      <c r="T254" s="547">
        <v>0</v>
      </c>
      <c r="U254" s="547">
        <v>0.48</v>
      </c>
      <c r="V254" s="547">
        <v>0.48</v>
      </c>
      <c r="W254" s="115">
        <v>0</v>
      </c>
      <c r="X254" s="115">
        <v>13.530000000000001</v>
      </c>
      <c r="Y254" s="115">
        <v>15.92</v>
      </c>
    </row>
    <row r="255" spans="1:25">
      <c r="A255" s="548">
        <v>20140101</v>
      </c>
      <c r="B255" s="545" t="s">
        <v>21</v>
      </c>
      <c r="C255" s="545" t="str">
        <f t="shared" si="43"/>
        <v>20140101PSP</v>
      </c>
      <c r="D255" s="545" t="s">
        <v>376</v>
      </c>
      <c r="E255" s="545" t="str">
        <f t="shared" si="44"/>
        <v>20140101LGCME563</v>
      </c>
      <c r="F255" s="547">
        <v>170</v>
      </c>
      <c r="G255" s="555">
        <f t="shared" si="46"/>
        <v>3.9260000000000003E-2</v>
      </c>
      <c r="H255" s="555">
        <v>0</v>
      </c>
      <c r="I255" s="555">
        <v>0</v>
      </c>
      <c r="J255" s="555">
        <v>0</v>
      </c>
      <c r="K255" s="555">
        <v>0</v>
      </c>
      <c r="L255" s="555">
        <f t="shared" si="47"/>
        <v>2.725E-2</v>
      </c>
      <c r="M255" s="555">
        <v>1.2010000000000003E-2</v>
      </c>
      <c r="N255" s="555">
        <v>0</v>
      </c>
      <c r="O255" s="555">
        <v>0</v>
      </c>
      <c r="P255" s="555">
        <f t="shared" si="50"/>
        <v>0</v>
      </c>
      <c r="Q255" s="547">
        <f t="shared" ref="Q255:Q278" si="53">T255+W255</f>
        <v>0</v>
      </c>
      <c r="R255" s="547">
        <f t="shared" si="51"/>
        <v>11.660000000000002</v>
      </c>
      <c r="S255" s="547">
        <f t="shared" si="52"/>
        <v>13.950000000000001</v>
      </c>
      <c r="T255" s="547">
        <v>0</v>
      </c>
      <c r="U255" s="547">
        <v>0.48</v>
      </c>
      <c r="V255" s="547">
        <v>0.48</v>
      </c>
      <c r="W255" s="115">
        <v>0</v>
      </c>
      <c r="X255" s="115">
        <v>11.180000000000001</v>
      </c>
      <c r="Y255" s="115">
        <v>13.47</v>
      </c>
    </row>
    <row r="256" spans="1:25">
      <c r="A256" s="548">
        <v>20140101</v>
      </c>
      <c r="B256" s="545" t="s">
        <v>20</v>
      </c>
      <c r="C256" s="545" t="str">
        <f t="shared" si="43"/>
        <v>20140101PSS</v>
      </c>
      <c r="D256" s="546" t="s">
        <v>377</v>
      </c>
      <c r="E256" s="545" t="str">
        <f t="shared" si="44"/>
        <v>20140101LGCME567</v>
      </c>
      <c r="F256" s="547">
        <v>90</v>
      </c>
      <c r="G256" s="555">
        <f t="shared" si="46"/>
        <v>4.0599999999999997E-2</v>
      </c>
      <c r="H256" s="555">
        <v>0</v>
      </c>
      <c r="I256" s="555">
        <v>0</v>
      </c>
      <c r="J256" s="555">
        <v>0</v>
      </c>
      <c r="K256" s="555">
        <v>0</v>
      </c>
      <c r="L256" s="555">
        <f t="shared" si="47"/>
        <v>2.725E-2</v>
      </c>
      <c r="M256" s="555">
        <v>1.3349999999999997E-2</v>
      </c>
      <c r="N256" s="555">
        <v>0</v>
      </c>
      <c r="O256" s="555">
        <v>0</v>
      </c>
      <c r="P256" s="555">
        <f t="shared" si="50"/>
        <v>0</v>
      </c>
      <c r="Q256" s="547">
        <f t="shared" si="53"/>
        <v>0</v>
      </c>
      <c r="R256" s="547">
        <f t="shared" si="51"/>
        <v>14.010000000000002</v>
      </c>
      <c r="S256" s="547">
        <f t="shared" si="52"/>
        <v>16.399999999999999</v>
      </c>
      <c r="T256" s="547">
        <v>0</v>
      </c>
      <c r="U256" s="547">
        <v>0.48</v>
      </c>
      <c r="V256" s="547">
        <v>0.48</v>
      </c>
      <c r="W256" s="115">
        <v>0</v>
      </c>
      <c r="X256" s="115">
        <v>13.530000000000001</v>
      </c>
      <c r="Y256" s="115">
        <v>15.92</v>
      </c>
    </row>
    <row r="257" spans="1:25">
      <c r="A257" s="548">
        <v>20140101</v>
      </c>
      <c r="B257" s="546" t="s">
        <v>814</v>
      </c>
      <c r="C257" s="545" t="str">
        <f t="shared" si="43"/>
        <v>20140101PSPNM</v>
      </c>
      <c r="D257" s="546" t="s">
        <v>815</v>
      </c>
      <c r="E257" s="545" t="str">
        <f t="shared" si="44"/>
        <v>20140101LGCME569</v>
      </c>
      <c r="F257" s="547">
        <v>170</v>
      </c>
      <c r="G257" s="555">
        <f t="shared" si="46"/>
        <v>3.9260000000000003E-2</v>
      </c>
      <c r="H257" s="555">
        <v>0</v>
      </c>
      <c r="I257" s="555">
        <v>0</v>
      </c>
      <c r="J257" s="555">
        <v>0</v>
      </c>
      <c r="K257" s="555">
        <v>0</v>
      </c>
      <c r="L257" s="555">
        <f t="shared" si="47"/>
        <v>2.725E-2</v>
      </c>
      <c r="M257" s="555">
        <v>1.2010000000000003E-2</v>
      </c>
      <c r="N257" s="555">
        <v>0</v>
      </c>
      <c r="O257" s="555">
        <v>0</v>
      </c>
      <c r="P257" s="555">
        <f t="shared" si="50"/>
        <v>0</v>
      </c>
      <c r="Q257" s="547">
        <f t="shared" si="53"/>
        <v>0</v>
      </c>
      <c r="R257" s="547">
        <f t="shared" si="51"/>
        <v>11.660000000000002</v>
      </c>
      <c r="S257" s="547">
        <f t="shared" si="52"/>
        <v>13.950000000000001</v>
      </c>
      <c r="T257" s="547">
        <v>0</v>
      </c>
      <c r="U257" s="547">
        <v>0.48</v>
      </c>
      <c r="V257" s="547">
        <v>0.48</v>
      </c>
      <c r="W257" s="115">
        <v>0</v>
      </c>
      <c r="X257" s="115">
        <v>11.180000000000001</v>
      </c>
      <c r="Y257" s="115">
        <v>13.47</v>
      </c>
    </row>
    <row r="258" spans="1:25">
      <c r="A258" s="548">
        <v>20140101</v>
      </c>
      <c r="B258" s="546" t="s">
        <v>1006</v>
      </c>
      <c r="C258" s="545" t="str">
        <f t="shared" si="43"/>
        <v>20140101TODS</v>
      </c>
      <c r="D258" s="545" t="s">
        <v>378</v>
      </c>
      <c r="E258" s="545" t="str">
        <f t="shared" si="44"/>
        <v>20140101LGCME591</v>
      </c>
      <c r="F258" s="547">
        <v>200</v>
      </c>
      <c r="G258" s="555">
        <f t="shared" si="46"/>
        <v>3.9899999999999998E-2</v>
      </c>
      <c r="H258" s="555">
        <v>0</v>
      </c>
      <c r="I258" s="555">
        <v>0</v>
      </c>
      <c r="J258" s="555">
        <v>0</v>
      </c>
      <c r="K258" s="555">
        <v>0</v>
      </c>
      <c r="L258" s="555">
        <f t="shared" si="47"/>
        <v>2.725E-2</v>
      </c>
      <c r="M258" s="555">
        <v>1.2649999999999998E-2</v>
      </c>
      <c r="N258" s="555">
        <v>0</v>
      </c>
      <c r="O258" s="555">
        <v>0</v>
      </c>
      <c r="P258" s="555">
        <f t="shared" si="50"/>
        <v>0</v>
      </c>
      <c r="Q258" s="547">
        <f t="shared" si="53"/>
        <v>4</v>
      </c>
      <c r="R258" s="547">
        <f t="shared" si="51"/>
        <v>4.5100000000000007</v>
      </c>
      <c r="S258" s="547">
        <f t="shared" si="52"/>
        <v>6.11</v>
      </c>
      <c r="T258" s="547">
        <v>0.16</v>
      </c>
      <c r="U258" s="547">
        <v>0.16</v>
      </c>
      <c r="V258" s="547">
        <v>0.16</v>
      </c>
      <c r="W258" s="115">
        <v>3.8400000000000003</v>
      </c>
      <c r="X258" s="115">
        <v>4.3500000000000005</v>
      </c>
      <c r="Y258" s="115">
        <v>5.95</v>
      </c>
    </row>
    <row r="259" spans="1:25">
      <c r="A259" s="548">
        <v>20140101</v>
      </c>
      <c r="B259" s="546" t="s">
        <v>409</v>
      </c>
      <c r="C259" s="545" t="str">
        <f t="shared" si="43"/>
        <v>20140101CTODP</v>
      </c>
      <c r="D259" s="545" t="s">
        <v>379</v>
      </c>
      <c r="E259" s="545" t="str">
        <f t="shared" si="44"/>
        <v>20140101LGCME593</v>
      </c>
      <c r="F259" s="547">
        <v>300</v>
      </c>
      <c r="G259" s="555">
        <f t="shared" si="46"/>
        <v>3.8100000000000002E-2</v>
      </c>
      <c r="H259" s="555">
        <v>0</v>
      </c>
      <c r="I259" s="555">
        <v>0</v>
      </c>
      <c r="J259" s="555">
        <v>0</v>
      </c>
      <c r="K259" s="555">
        <v>0</v>
      </c>
      <c r="L259" s="555">
        <f t="shared" si="47"/>
        <v>2.725E-2</v>
      </c>
      <c r="M259" s="555">
        <v>1.0850000000000002E-2</v>
      </c>
      <c r="N259" s="555">
        <v>0</v>
      </c>
      <c r="O259" s="555">
        <v>0</v>
      </c>
      <c r="P259" s="555">
        <f t="shared" si="50"/>
        <v>0</v>
      </c>
      <c r="Q259" s="547">
        <f t="shared" si="53"/>
        <v>3.9800000000000004</v>
      </c>
      <c r="R259" s="547">
        <f t="shared" si="51"/>
        <v>4.13</v>
      </c>
      <c r="S259" s="547">
        <f t="shared" si="52"/>
        <v>5.83</v>
      </c>
      <c r="T259" s="547">
        <v>0.14000000000000001</v>
      </c>
      <c r="U259" s="547">
        <v>0.14000000000000001</v>
      </c>
      <c r="V259" s="547">
        <v>0.14000000000000001</v>
      </c>
      <c r="W259" s="115">
        <v>3.8400000000000003</v>
      </c>
      <c r="X259" s="115">
        <v>3.99</v>
      </c>
      <c r="Y259" s="115">
        <v>5.69</v>
      </c>
    </row>
    <row r="260" spans="1:25">
      <c r="A260" s="548">
        <v>20140101</v>
      </c>
      <c r="B260" s="545" t="s">
        <v>20</v>
      </c>
      <c r="C260" s="545" t="str">
        <f t="shared" si="43"/>
        <v>20140101PSS</v>
      </c>
      <c r="D260" s="545" t="s">
        <v>389</v>
      </c>
      <c r="E260" s="545" t="str">
        <f t="shared" si="44"/>
        <v>20140101LGINE661</v>
      </c>
      <c r="F260" s="547">
        <v>90</v>
      </c>
      <c r="G260" s="555">
        <f t="shared" si="46"/>
        <v>4.0599999999999997E-2</v>
      </c>
      <c r="H260" s="555">
        <v>0</v>
      </c>
      <c r="I260" s="555">
        <v>0</v>
      </c>
      <c r="J260" s="555">
        <v>0</v>
      </c>
      <c r="K260" s="555">
        <v>0</v>
      </c>
      <c r="L260" s="555">
        <f t="shared" si="47"/>
        <v>2.725E-2</v>
      </c>
      <c r="M260" s="524">
        <v>1.3349999999999997E-2</v>
      </c>
      <c r="N260" s="555">
        <v>0</v>
      </c>
      <c r="O260" s="555">
        <v>0</v>
      </c>
      <c r="P260" s="555">
        <f t="shared" si="50"/>
        <v>0</v>
      </c>
      <c r="Q260" s="547">
        <f t="shared" si="53"/>
        <v>0</v>
      </c>
      <c r="R260" s="547">
        <f t="shared" si="51"/>
        <v>14.010000000000002</v>
      </c>
      <c r="S260" s="547">
        <f t="shared" si="52"/>
        <v>16.399999999999999</v>
      </c>
      <c r="T260" s="547">
        <v>0</v>
      </c>
      <c r="U260" s="547">
        <v>0.48</v>
      </c>
      <c r="V260" s="547">
        <v>0.48</v>
      </c>
      <c r="W260" s="115">
        <v>0</v>
      </c>
      <c r="X260" s="115">
        <v>13.530000000000001</v>
      </c>
      <c r="Y260" s="115">
        <v>15.92</v>
      </c>
    </row>
    <row r="261" spans="1:25">
      <c r="A261" s="548">
        <v>20140101</v>
      </c>
      <c r="B261" s="545" t="s">
        <v>21</v>
      </c>
      <c r="C261" s="545" t="str">
        <f t="shared" si="43"/>
        <v>20140101PSP</v>
      </c>
      <c r="D261" s="545" t="s">
        <v>390</v>
      </c>
      <c r="E261" s="545" t="str">
        <f t="shared" si="44"/>
        <v>20140101LGINE663</v>
      </c>
      <c r="F261" s="547">
        <v>170</v>
      </c>
      <c r="G261" s="555">
        <f t="shared" si="46"/>
        <v>3.9260000000000003E-2</v>
      </c>
      <c r="H261" s="555">
        <v>0</v>
      </c>
      <c r="I261" s="555">
        <v>0</v>
      </c>
      <c r="J261" s="555">
        <v>0</v>
      </c>
      <c r="K261" s="555">
        <v>0</v>
      </c>
      <c r="L261" s="555">
        <f t="shared" si="47"/>
        <v>2.725E-2</v>
      </c>
      <c r="M261" s="524">
        <v>1.2010000000000003E-2</v>
      </c>
      <c r="N261" s="555">
        <v>0</v>
      </c>
      <c r="O261" s="555">
        <v>0</v>
      </c>
      <c r="P261" s="555">
        <f t="shared" si="50"/>
        <v>0</v>
      </c>
      <c r="Q261" s="547">
        <f t="shared" si="53"/>
        <v>0</v>
      </c>
      <c r="R261" s="547">
        <f t="shared" si="51"/>
        <v>11.660000000000002</v>
      </c>
      <c r="S261" s="547">
        <f t="shared" si="52"/>
        <v>13.950000000000001</v>
      </c>
      <c r="T261" s="547">
        <v>0</v>
      </c>
      <c r="U261" s="547">
        <v>0.48</v>
      </c>
      <c r="V261" s="547">
        <v>0.48</v>
      </c>
      <c r="W261" s="115">
        <v>0</v>
      </c>
      <c r="X261" s="115">
        <v>11.180000000000001</v>
      </c>
      <c r="Y261" s="115">
        <v>13.47</v>
      </c>
    </row>
    <row r="262" spans="1:25">
      <c r="A262" s="548">
        <v>20140101</v>
      </c>
      <c r="B262" s="546" t="s">
        <v>1006</v>
      </c>
      <c r="C262" s="545" t="str">
        <f t="shared" si="43"/>
        <v>20140101TODS</v>
      </c>
      <c r="D262" s="545" t="s">
        <v>391</v>
      </c>
      <c r="E262" s="545" t="str">
        <f t="shared" si="44"/>
        <v>20140101LGINE691</v>
      </c>
      <c r="F262" s="547">
        <v>200</v>
      </c>
      <c r="G262" s="555">
        <f t="shared" si="46"/>
        <v>3.9899999999999998E-2</v>
      </c>
      <c r="H262" s="555">
        <v>0</v>
      </c>
      <c r="I262" s="555">
        <v>0</v>
      </c>
      <c r="J262" s="555">
        <v>0</v>
      </c>
      <c r="K262" s="555">
        <v>0</v>
      </c>
      <c r="L262" s="555">
        <f t="shared" si="47"/>
        <v>2.725E-2</v>
      </c>
      <c r="M262" s="524">
        <v>1.2649999999999998E-2</v>
      </c>
      <c r="N262" s="555">
        <v>0</v>
      </c>
      <c r="O262" s="555">
        <v>0</v>
      </c>
      <c r="P262" s="555">
        <f t="shared" si="50"/>
        <v>0</v>
      </c>
      <c r="Q262" s="547">
        <f t="shared" si="53"/>
        <v>4</v>
      </c>
      <c r="R262" s="547">
        <f t="shared" si="51"/>
        <v>4.5100000000000007</v>
      </c>
      <c r="S262" s="547">
        <f t="shared" si="52"/>
        <v>6.11</v>
      </c>
      <c r="T262" s="547">
        <v>0.16</v>
      </c>
      <c r="U262" s="547">
        <v>0.16</v>
      </c>
      <c r="V262" s="547">
        <v>0.16</v>
      </c>
      <c r="W262" s="115">
        <v>3.8400000000000003</v>
      </c>
      <c r="X262" s="115">
        <v>4.3500000000000005</v>
      </c>
      <c r="Y262" s="115">
        <v>5.95</v>
      </c>
    </row>
    <row r="263" spans="1:25">
      <c r="A263" s="548">
        <v>20140101</v>
      </c>
      <c r="B263" s="545" t="s">
        <v>421</v>
      </c>
      <c r="C263" s="545" t="str">
        <f t="shared" si="43"/>
        <v>20140101ITODP</v>
      </c>
      <c r="D263" s="545" t="s">
        <v>392</v>
      </c>
      <c r="E263" s="545" t="str">
        <f t="shared" si="44"/>
        <v>20140101LGINE693</v>
      </c>
      <c r="F263" s="547">
        <f>$F$106</f>
        <v>300</v>
      </c>
      <c r="G263" s="555">
        <f t="shared" si="46"/>
        <v>3.5380000000000002E-2</v>
      </c>
      <c r="H263" s="555">
        <v>0</v>
      </c>
      <c r="I263" s="555">
        <v>0</v>
      </c>
      <c r="J263" s="555">
        <v>0</v>
      </c>
      <c r="K263" s="555">
        <v>0</v>
      </c>
      <c r="L263" s="555">
        <f t="shared" si="47"/>
        <v>2.725E-2</v>
      </c>
      <c r="M263" s="524">
        <v>8.1300000000000018E-3</v>
      </c>
      <c r="N263" s="555">
        <v>0</v>
      </c>
      <c r="O263" s="555">
        <v>0</v>
      </c>
      <c r="P263" s="555">
        <f t="shared" si="50"/>
        <v>0</v>
      </c>
      <c r="Q263" s="547">
        <f t="shared" si="53"/>
        <v>3.6300000000000003</v>
      </c>
      <c r="R263" s="547">
        <f t="shared" si="51"/>
        <v>3.7900000000000005</v>
      </c>
      <c r="S263" s="547">
        <f t="shared" si="52"/>
        <v>4.63</v>
      </c>
      <c r="T263" s="547">
        <v>0.14000000000000001</v>
      </c>
      <c r="U263" s="547">
        <v>0.14000000000000001</v>
      </c>
      <c r="V263" s="547">
        <v>0.14000000000000001</v>
      </c>
      <c r="W263" s="115">
        <v>3.49</v>
      </c>
      <c r="X263" s="115">
        <v>3.6500000000000004</v>
      </c>
      <c r="Y263" s="115">
        <v>4.49</v>
      </c>
    </row>
    <row r="264" spans="1:25">
      <c r="A264" s="548">
        <v>20140101</v>
      </c>
      <c r="B264" s="545" t="s">
        <v>421</v>
      </c>
      <c r="C264" s="545" t="str">
        <f t="shared" si="43"/>
        <v>20140101ITODP</v>
      </c>
      <c r="D264" s="545" t="s">
        <v>393</v>
      </c>
      <c r="E264" s="545" t="str">
        <f t="shared" si="44"/>
        <v>20140101LGINE694</v>
      </c>
      <c r="F264" s="547">
        <f>$F$106</f>
        <v>300</v>
      </c>
      <c r="G264" s="555">
        <f t="shared" si="46"/>
        <v>3.5380000000000002E-2</v>
      </c>
      <c r="H264" s="555">
        <v>0</v>
      </c>
      <c r="I264" s="555">
        <v>0</v>
      </c>
      <c r="J264" s="555">
        <v>0</v>
      </c>
      <c r="K264" s="555">
        <v>0</v>
      </c>
      <c r="L264" s="555">
        <f t="shared" si="47"/>
        <v>2.725E-2</v>
      </c>
      <c r="M264" s="524">
        <v>8.1300000000000018E-3</v>
      </c>
      <c r="N264" s="555">
        <v>0</v>
      </c>
      <c r="O264" s="555">
        <v>0</v>
      </c>
      <c r="P264" s="555">
        <f t="shared" si="50"/>
        <v>0</v>
      </c>
      <c r="Q264" s="547">
        <f t="shared" si="53"/>
        <v>3.6300000000000003</v>
      </c>
      <c r="R264" s="547">
        <f t="shared" si="51"/>
        <v>3.7900000000000005</v>
      </c>
      <c r="S264" s="547">
        <f t="shared" si="52"/>
        <v>4.63</v>
      </c>
      <c r="T264" s="547">
        <v>0.14000000000000001</v>
      </c>
      <c r="U264" s="547">
        <v>0.14000000000000001</v>
      </c>
      <c r="V264" s="547">
        <v>0.14000000000000001</v>
      </c>
      <c r="W264" s="115">
        <v>3.49</v>
      </c>
      <c r="X264" s="115">
        <v>3.6500000000000004</v>
      </c>
      <c r="Y264" s="115">
        <v>4.49</v>
      </c>
    </row>
    <row r="265" spans="1:25">
      <c r="A265" s="548">
        <v>20140101</v>
      </c>
      <c r="B265" s="545" t="s">
        <v>15</v>
      </c>
      <c r="C265" s="545" t="str">
        <f t="shared" si="43"/>
        <v>20140101RTS</v>
      </c>
      <c r="D265" s="545" t="s">
        <v>388</v>
      </c>
      <c r="E265" s="545" t="str">
        <f t="shared" si="44"/>
        <v>20140101LGINE643</v>
      </c>
      <c r="F265" s="547">
        <v>750</v>
      </c>
      <c r="G265" s="555">
        <f t="shared" si="46"/>
        <v>3.61E-2</v>
      </c>
      <c r="H265" s="555">
        <v>0</v>
      </c>
      <c r="I265" s="555">
        <v>0</v>
      </c>
      <c r="J265" s="555">
        <v>0</v>
      </c>
      <c r="K265" s="555">
        <v>0</v>
      </c>
      <c r="L265" s="555">
        <f t="shared" si="47"/>
        <v>2.725E-2</v>
      </c>
      <c r="M265" s="555">
        <v>8.8500000000000002E-3</v>
      </c>
      <c r="N265" s="555">
        <v>0</v>
      </c>
      <c r="O265" s="555">
        <v>0</v>
      </c>
      <c r="P265" s="555">
        <f t="shared" si="50"/>
        <v>0</v>
      </c>
      <c r="Q265" s="547">
        <f t="shared" si="53"/>
        <v>2.75</v>
      </c>
      <c r="R265" s="547">
        <f t="shared" si="51"/>
        <v>3</v>
      </c>
      <c r="S265" s="547">
        <f t="shared" si="52"/>
        <v>4.5500000000000007</v>
      </c>
      <c r="T265" s="547">
        <v>0.11</v>
      </c>
      <c r="U265" s="547">
        <v>0.11</v>
      </c>
      <c r="V265" s="547">
        <v>0.11</v>
      </c>
      <c r="W265" s="115">
        <v>2.64</v>
      </c>
      <c r="X265" s="115">
        <v>2.89</v>
      </c>
      <c r="Y265" s="115">
        <v>4.4400000000000004</v>
      </c>
    </row>
    <row r="266" spans="1:25">
      <c r="A266" s="548">
        <v>20140101</v>
      </c>
      <c r="B266" s="545" t="s">
        <v>22</v>
      </c>
      <c r="C266" s="545" t="str">
        <f t="shared" si="43"/>
        <v>20140101FLSP</v>
      </c>
      <c r="D266" s="546" t="s">
        <v>816</v>
      </c>
      <c r="E266" s="545" t="str">
        <f t="shared" si="44"/>
        <v>20140101LGINE682</v>
      </c>
      <c r="F266" s="547">
        <v>750</v>
      </c>
      <c r="G266" s="555">
        <f t="shared" si="46"/>
        <v>3.61E-2</v>
      </c>
      <c r="H266" s="555">
        <v>0</v>
      </c>
      <c r="I266" s="555">
        <v>0</v>
      </c>
      <c r="J266" s="555">
        <v>0</v>
      </c>
      <c r="K266" s="555">
        <v>0</v>
      </c>
      <c r="L266" s="555">
        <f t="shared" si="47"/>
        <v>2.725E-2</v>
      </c>
      <c r="M266" s="555">
        <v>8.8500000000000002E-3</v>
      </c>
      <c r="N266" s="555">
        <v>0</v>
      </c>
      <c r="O266" s="555">
        <v>0</v>
      </c>
      <c r="P266" s="555">
        <f t="shared" si="50"/>
        <v>0</v>
      </c>
      <c r="Q266" s="547">
        <f t="shared" si="53"/>
        <v>1.8900000000000001</v>
      </c>
      <c r="R266" s="547">
        <f t="shared" si="51"/>
        <v>1.8900000000000001</v>
      </c>
      <c r="S266" s="547">
        <f t="shared" si="52"/>
        <v>2.94</v>
      </c>
      <c r="T266" s="547">
        <v>0.11</v>
      </c>
      <c r="U266" s="547">
        <v>0.11</v>
      </c>
      <c r="V266" s="547">
        <v>0.11</v>
      </c>
      <c r="W266" s="115">
        <v>1.78</v>
      </c>
      <c r="X266" s="115">
        <v>1.78</v>
      </c>
      <c r="Y266" s="115">
        <v>2.83</v>
      </c>
    </row>
    <row r="267" spans="1:25">
      <c r="A267" s="548">
        <v>20140101</v>
      </c>
      <c r="B267" s="545" t="s">
        <v>23</v>
      </c>
      <c r="C267" s="545" t="str">
        <f t="shared" si="43"/>
        <v>20140101FLST</v>
      </c>
      <c r="D267" s="546" t="s">
        <v>817</v>
      </c>
      <c r="E267" s="545" t="str">
        <f t="shared" si="44"/>
        <v>20140101LGINE683</v>
      </c>
      <c r="F267" s="547">
        <v>750</v>
      </c>
      <c r="G267" s="555">
        <f t="shared" si="46"/>
        <v>3.61E-2</v>
      </c>
      <c r="H267" s="555">
        <v>0</v>
      </c>
      <c r="I267" s="555">
        <v>0</v>
      </c>
      <c r="J267" s="555">
        <v>0</v>
      </c>
      <c r="K267" s="555">
        <v>0</v>
      </c>
      <c r="L267" s="555">
        <f t="shared" si="47"/>
        <v>2.725E-2</v>
      </c>
      <c r="M267" s="555">
        <v>8.8500000000000002E-3</v>
      </c>
      <c r="N267" s="555">
        <v>0</v>
      </c>
      <c r="O267" s="555">
        <v>0</v>
      </c>
      <c r="P267" s="555">
        <f t="shared" si="50"/>
        <v>0</v>
      </c>
      <c r="Q267" s="547">
        <f t="shared" si="53"/>
        <v>1.1400000000000001</v>
      </c>
      <c r="R267" s="547">
        <f t="shared" si="51"/>
        <v>1.8900000000000001</v>
      </c>
      <c r="S267" s="547">
        <f t="shared" si="52"/>
        <v>2.94</v>
      </c>
      <c r="T267" s="547">
        <v>0.11</v>
      </c>
      <c r="U267" s="547">
        <v>0.11</v>
      </c>
      <c r="V267" s="547">
        <v>0.11</v>
      </c>
      <c r="W267" s="115">
        <v>1.03</v>
      </c>
      <c r="X267" s="115">
        <v>1.78</v>
      </c>
      <c r="Y267" s="115">
        <v>2.83</v>
      </c>
    </row>
    <row r="268" spans="1:25">
      <c r="A268" s="548">
        <v>20140101</v>
      </c>
      <c r="B268" s="545" t="s">
        <v>17</v>
      </c>
      <c r="C268" s="545" t="str">
        <f t="shared" si="43"/>
        <v>20140101LE</v>
      </c>
      <c r="D268" s="545" t="s">
        <v>394</v>
      </c>
      <c r="E268" s="545" t="str">
        <f t="shared" si="44"/>
        <v>20140101LGMLE570</v>
      </c>
      <c r="F268" s="547">
        <v>0</v>
      </c>
      <c r="G268" s="555">
        <f t="shared" si="46"/>
        <v>6.4610000000000001E-2</v>
      </c>
      <c r="H268" s="555">
        <v>0</v>
      </c>
      <c r="I268" s="555">
        <v>0</v>
      </c>
      <c r="J268" s="555">
        <v>0</v>
      </c>
      <c r="K268" s="555">
        <v>1.1000000000000001E-3</v>
      </c>
      <c r="L268" s="555">
        <f t="shared" si="47"/>
        <v>2.725E-2</v>
      </c>
      <c r="M268" s="524">
        <v>3.6260000000000001E-2</v>
      </c>
      <c r="N268" s="555">
        <v>0</v>
      </c>
      <c r="O268" s="555">
        <v>0</v>
      </c>
      <c r="P268" s="555">
        <f t="shared" si="50"/>
        <v>0</v>
      </c>
      <c r="Q268" s="547">
        <f t="shared" si="53"/>
        <v>0</v>
      </c>
      <c r="R268" s="547">
        <f t="shared" si="51"/>
        <v>0</v>
      </c>
      <c r="S268" s="547">
        <f t="shared" si="52"/>
        <v>0</v>
      </c>
      <c r="T268" s="547">
        <v>0</v>
      </c>
      <c r="U268" s="547">
        <v>0</v>
      </c>
      <c r="V268" s="547">
        <v>0</v>
      </c>
      <c r="W268" s="547">
        <v>0</v>
      </c>
      <c r="X268" s="547">
        <v>0</v>
      </c>
      <c r="Y268" s="547">
        <v>0</v>
      </c>
    </row>
    <row r="269" spans="1:25">
      <c r="A269" s="548">
        <v>20140101</v>
      </c>
      <c r="B269" s="545" t="s">
        <v>17</v>
      </c>
      <c r="C269" s="545" t="str">
        <f t="shared" si="43"/>
        <v>20140101LE</v>
      </c>
      <c r="D269" s="545" t="s">
        <v>395</v>
      </c>
      <c r="E269" s="545" t="str">
        <f t="shared" si="44"/>
        <v>20140101LGMLE571</v>
      </c>
      <c r="F269" s="547">
        <v>0</v>
      </c>
      <c r="G269" s="555">
        <f t="shared" si="46"/>
        <v>6.4610000000000001E-2</v>
      </c>
      <c r="H269" s="555">
        <v>0</v>
      </c>
      <c r="I269" s="555">
        <v>0</v>
      </c>
      <c r="J269" s="555">
        <v>0</v>
      </c>
      <c r="K269" s="555">
        <v>1.1000000000000001E-3</v>
      </c>
      <c r="L269" s="555">
        <f t="shared" si="47"/>
        <v>2.725E-2</v>
      </c>
      <c r="M269" s="524">
        <v>3.6260000000000001E-2</v>
      </c>
      <c r="N269" s="555">
        <v>0</v>
      </c>
      <c r="O269" s="555">
        <v>0</v>
      </c>
      <c r="P269" s="555">
        <f t="shared" si="50"/>
        <v>0</v>
      </c>
      <c r="Q269" s="547">
        <f t="shared" si="53"/>
        <v>0</v>
      </c>
      <c r="R269" s="547">
        <f t="shared" si="51"/>
        <v>0</v>
      </c>
      <c r="S269" s="547">
        <f t="shared" si="52"/>
        <v>0</v>
      </c>
      <c r="T269" s="547">
        <v>0</v>
      </c>
      <c r="U269" s="547">
        <v>0</v>
      </c>
      <c r="V269" s="547">
        <v>0</v>
      </c>
      <c r="W269" s="547">
        <v>0</v>
      </c>
      <c r="X269" s="547">
        <v>0</v>
      </c>
      <c r="Y269" s="547">
        <v>0</v>
      </c>
    </row>
    <row r="270" spans="1:25">
      <c r="A270" s="548">
        <v>20140101</v>
      </c>
      <c r="B270" s="545" t="s">
        <v>17</v>
      </c>
      <c r="C270" s="545" t="str">
        <f t="shared" si="43"/>
        <v>20140101LE</v>
      </c>
      <c r="D270" s="545" t="s">
        <v>396</v>
      </c>
      <c r="E270" s="545" t="str">
        <f t="shared" si="44"/>
        <v>20140101LGMLE572</v>
      </c>
      <c r="F270" s="547">
        <v>0</v>
      </c>
      <c r="G270" s="555">
        <f t="shared" si="46"/>
        <v>6.4610000000000001E-2</v>
      </c>
      <c r="H270" s="555">
        <v>0</v>
      </c>
      <c r="I270" s="555">
        <v>0</v>
      </c>
      <c r="J270" s="555">
        <v>0</v>
      </c>
      <c r="K270" s="555">
        <v>1.1000000000000001E-3</v>
      </c>
      <c r="L270" s="555">
        <f t="shared" si="47"/>
        <v>2.725E-2</v>
      </c>
      <c r="M270" s="524">
        <v>3.6260000000000001E-2</v>
      </c>
      <c r="N270" s="555">
        <v>0</v>
      </c>
      <c r="O270" s="555">
        <v>0</v>
      </c>
      <c r="P270" s="555">
        <f t="shared" si="50"/>
        <v>0</v>
      </c>
      <c r="Q270" s="547">
        <f t="shared" si="53"/>
        <v>0</v>
      </c>
      <c r="R270" s="547">
        <f t="shared" si="51"/>
        <v>0</v>
      </c>
      <c r="S270" s="547">
        <f t="shared" si="52"/>
        <v>0</v>
      </c>
      <c r="T270" s="547">
        <v>0</v>
      </c>
      <c r="U270" s="547">
        <v>0</v>
      </c>
      <c r="V270" s="547">
        <v>0</v>
      </c>
      <c r="W270" s="547">
        <v>0</v>
      </c>
      <c r="X270" s="547">
        <v>0</v>
      </c>
      <c r="Y270" s="547">
        <v>0</v>
      </c>
    </row>
    <row r="271" spans="1:25">
      <c r="A271" s="548">
        <v>20140101</v>
      </c>
      <c r="B271" s="545" t="s">
        <v>18</v>
      </c>
      <c r="C271" s="545" t="str">
        <f t="shared" si="43"/>
        <v>20140101TE</v>
      </c>
      <c r="D271" s="545" t="s">
        <v>397</v>
      </c>
      <c r="E271" s="545" t="str">
        <f t="shared" si="44"/>
        <v>20140101LGMLE573</v>
      </c>
      <c r="F271" s="547">
        <v>3.25</v>
      </c>
      <c r="G271" s="555">
        <f t="shared" si="46"/>
        <v>7.6579999999999995E-2</v>
      </c>
      <c r="H271" s="555">
        <v>0</v>
      </c>
      <c r="I271" s="555">
        <v>0</v>
      </c>
      <c r="J271" s="555">
        <v>0</v>
      </c>
      <c r="K271" s="555">
        <v>1.1000000000000001E-3</v>
      </c>
      <c r="L271" s="555">
        <f t="shared" si="47"/>
        <v>2.725E-2</v>
      </c>
      <c r="M271" s="524">
        <v>4.8229999999999995E-2</v>
      </c>
      <c r="N271" s="555">
        <v>0</v>
      </c>
      <c r="O271" s="555">
        <v>0</v>
      </c>
      <c r="P271" s="555">
        <f t="shared" si="50"/>
        <v>0</v>
      </c>
      <c r="Q271" s="547">
        <f t="shared" si="53"/>
        <v>0</v>
      </c>
      <c r="R271" s="547">
        <f t="shared" si="51"/>
        <v>0</v>
      </c>
      <c r="S271" s="547">
        <f t="shared" si="52"/>
        <v>0</v>
      </c>
      <c r="T271" s="547">
        <v>0</v>
      </c>
      <c r="U271" s="547">
        <v>0</v>
      </c>
      <c r="V271" s="547">
        <v>0</v>
      </c>
      <c r="W271" s="547">
        <v>0</v>
      </c>
      <c r="X271" s="547">
        <v>0</v>
      </c>
      <c r="Y271" s="547">
        <v>0</v>
      </c>
    </row>
    <row r="272" spans="1:25">
      <c r="A272" s="548">
        <v>20140101</v>
      </c>
      <c r="B272" s="545" t="s">
        <v>18</v>
      </c>
      <c r="C272" s="545" t="str">
        <f t="shared" si="43"/>
        <v>20140101TE</v>
      </c>
      <c r="D272" s="545" t="s">
        <v>398</v>
      </c>
      <c r="E272" s="545" t="str">
        <f t="shared" si="44"/>
        <v>20140101LGMLE574</v>
      </c>
      <c r="F272" s="547">
        <v>3.25</v>
      </c>
      <c r="G272" s="555">
        <f t="shared" si="46"/>
        <v>7.6579999999999995E-2</v>
      </c>
      <c r="H272" s="555">
        <v>0</v>
      </c>
      <c r="I272" s="555">
        <v>0</v>
      </c>
      <c r="J272" s="555">
        <v>0</v>
      </c>
      <c r="K272" s="555">
        <v>1.1000000000000001E-3</v>
      </c>
      <c r="L272" s="555">
        <f t="shared" si="47"/>
        <v>2.725E-2</v>
      </c>
      <c r="M272" s="524">
        <v>4.8229999999999995E-2</v>
      </c>
      <c r="N272" s="555">
        <v>0</v>
      </c>
      <c r="O272" s="555">
        <v>0</v>
      </c>
      <c r="P272" s="555">
        <f t="shared" si="50"/>
        <v>0</v>
      </c>
      <c r="Q272" s="547">
        <f t="shared" si="53"/>
        <v>0</v>
      </c>
      <c r="R272" s="547">
        <f t="shared" si="51"/>
        <v>0</v>
      </c>
      <c r="S272" s="547">
        <f t="shared" si="52"/>
        <v>0</v>
      </c>
      <c r="T272" s="547">
        <v>0</v>
      </c>
      <c r="U272" s="547">
        <v>0</v>
      </c>
      <c r="V272" s="547">
        <v>0</v>
      </c>
      <c r="W272" s="547">
        <v>0</v>
      </c>
      <c r="X272" s="547">
        <v>0</v>
      </c>
      <c r="Y272" s="547">
        <v>0</v>
      </c>
    </row>
    <row r="273" spans="1:25">
      <c r="A273" s="548">
        <v>20140101</v>
      </c>
      <c r="B273" s="545" t="s">
        <v>18</v>
      </c>
      <c r="C273" s="545" t="str">
        <f t="shared" si="43"/>
        <v>20140101TE</v>
      </c>
      <c r="D273" s="546" t="s">
        <v>818</v>
      </c>
      <c r="E273" s="545" t="str">
        <f t="shared" si="44"/>
        <v>20140101LGMLE575</v>
      </c>
      <c r="F273" s="547">
        <v>3.25</v>
      </c>
      <c r="G273" s="555">
        <f t="shared" si="46"/>
        <v>7.6579999999999995E-2</v>
      </c>
      <c r="H273" s="555">
        <v>0</v>
      </c>
      <c r="I273" s="555">
        <v>0</v>
      </c>
      <c r="J273" s="555">
        <v>0</v>
      </c>
      <c r="K273" s="555">
        <v>1.1000000000000001E-3</v>
      </c>
      <c r="L273" s="555">
        <f t="shared" si="47"/>
        <v>2.725E-2</v>
      </c>
      <c r="M273" s="524">
        <v>4.8229999999999995E-2</v>
      </c>
      <c r="N273" s="555">
        <v>0</v>
      </c>
      <c r="O273" s="555">
        <v>0</v>
      </c>
      <c r="P273" s="555">
        <f t="shared" si="50"/>
        <v>0</v>
      </c>
      <c r="Q273" s="547">
        <f t="shared" si="53"/>
        <v>0</v>
      </c>
      <c r="R273" s="547">
        <f t="shared" si="51"/>
        <v>0</v>
      </c>
      <c r="S273" s="547">
        <f t="shared" si="52"/>
        <v>0</v>
      </c>
      <c r="T273" s="547">
        <v>0</v>
      </c>
      <c r="U273" s="547">
        <v>0</v>
      </c>
      <c r="V273" s="547">
        <v>0</v>
      </c>
      <c r="W273" s="547">
        <v>0</v>
      </c>
      <c r="X273" s="547">
        <v>0</v>
      </c>
      <c r="Y273" s="547">
        <v>0</v>
      </c>
    </row>
    <row r="274" spans="1:25">
      <c r="A274" s="548">
        <v>20140101</v>
      </c>
      <c r="B274" s="545" t="s">
        <v>18</v>
      </c>
      <c r="C274" s="545" t="str">
        <f t="shared" si="43"/>
        <v>20140101TE</v>
      </c>
      <c r="D274" s="546" t="s">
        <v>819</v>
      </c>
      <c r="E274" s="545" t="str">
        <f t="shared" si="44"/>
        <v>20140101LGMLE577</v>
      </c>
      <c r="F274" s="547">
        <v>3.25</v>
      </c>
      <c r="G274" s="555">
        <f t="shared" si="46"/>
        <v>7.6579999999999995E-2</v>
      </c>
      <c r="H274" s="555">
        <v>0</v>
      </c>
      <c r="I274" s="555">
        <v>0</v>
      </c>
      <c r="J274" s="555">
        <v>0</v>
      </c>
      <c r="K274" s="555">
        <v>1.1000000000000001E-3</v>
      </c>
      <c r="L274" s="555">
        <f t="shared" si="47"/>
        <v>2.725E-2</v>
      </c>
      <c r="M274" s="524">
        <v>4.8229999999999995E-2</v>
      </c>
      <c r="N274" s="555">
        <v>0</v>
      </c>
      <c r="O274" s="555">
        <v>0</v>
      </c>
      <c r="P274" s="555">
        <f t="shared" si="50"/>
        <v>0</v>
      </c>
      <c r="Q274" s="547">
        <f t="shared" si="53"/>
        <v>0</v>
      </c>
      <c r="R274" s="547">
        <f t="shared" si="51"/>
        <v>0</v>
      </c>
      <c r="S274" s="547">
        <f t="shared" si="52"/>
        <v>0</v>
      </c>
      <c r="T274" s="547">
        <v>0</v>
      </c>
      <c r="U274" s="547">
        <v>0</v>
      </c>
      <c r="V274" s="547">
        <v>0</v>
      </c>
      <c r="W274" s="547">
        <v>0</v>
      </c>
      <c r="X274" s="547">
        <v>0</v>
      </c>
      <c r="Y274" s="547">
        <v>0</v>
      </c>
    </row>
    <row r="275" spans="1:25">
      <c r="A275" s="548">
        <v>20140101</v>
      </c>
      <c r="B275" s="545" t="s">
        <v>412</v>
      </c>
      <c r="C275" s="545" t="str">
        <f t="shared" si="43"/>
        <v>20140101FK</v>
      </c>
      <c r="D275" s="545" t="s">
        <v>387</v>
      </c>
      <c r="E275" s="545" t="str">
        <f t="shared" si="44"/>
        <v>20140101LGINE599</v>
      </c>
      <c r="F275" s="547">
        <v>0</v>
      </c>
      <c r="G275" s="555">
        <f t="shared" si="46"/>
        <v>3.7400000000000003E-2</v>
      </c>
      <c r="H275" s="555">
        <v>0</v>
      </c>
      <c r="I275" s="555">
        <v>0</v>
      </c>
      <c r="J275" s="555">
        <v>0</v>
      </c>
      <c r="K275" s="555">
        <v>0</v>
      </c>
      <c r="L275" s="555">
        <f t="shared" si="47"/>
        <v>2.725E-2</v>
      </c>
      <c r="M275" s="555">
        <v>1.0150000000000003E-2</v>
      </c>
      <c r="N275" s="555">
        <v>0</v>
      </c>
      <c r="O275" s="555">
        <v>0</v>
      </c>
      <c r="P275" s="555">
        <v>0</v>
      </c>
      <c r="Q275" s="547">
        <f t="shared" si="53"/>
        <v>0</v>
      </c>
      <c r="R275" s="547">
        <f t="shared" si="51"/>
        <v>12.72</v>
      </c>
      <c r="S275" s="547">
        <f t="shared" si="52"/>
        <v>15.040000000000001</v>
      </c>
      <c r="T275" s="547">
        <v>0</v>
      </c>
      <c r="U275" s="547">
        <v>0.39</v>
      </c>
      <c r="V275" s="547">
        <v>0.39</v>
      </c>
      <c r="W275" s="547">
        <v>0</v>
      </c>
      <c r="X275" s="115">
        <v>12.33</v>
      </c>
      <c r="Y275" s="115">
        <v>14.65</v>
      </c>
    </row>
    <row r="276" spans="1:25">
      <c r="A276" s="548">
        <v>20140101</v>
      </c>
      <c r="B276" s="545" t="s">
        <v>425</v>
      </c>
      <c r="C276" s="545" t="str">
        <f>A276&amp;B276</f>
        <v>20140101LWC</v>
      </c>
      <c r="D276" s="545" t="s">
        <v>385</v>
      </c>
      <c r="E276" s="545" t="str">
        <f>A276&amp;D276</f>
        <v>20140101LGCME671</v>
      </c>
      <c r="F276" s="547">
        <v>0</v>
      </c>
      <c r="G276" s="555">
        <f t="shared" si="46"/>
        <v>3.7019999999999997E-2</v>
      </c>
      <c r="H276" s="555">
        <v>0</v>
      </c>
      <c r="I276" s="555">
        <v>0</v>
      </c>
      <c r="J276" s="555">
        <v>0</v>
      </c>
      <c r="K276" s="555">
        <v>0</v>
      </c>
      <c r="L276" s="555">
        <f t="shared" si="47"/>
        <v>2.725E-2</v>
      </c>
      <c r="M276" s="555">
        <v>9.7699999999999974E-3</v>
      </c>
      <c r="N276" s="555">
        <v>0</v>
      </c>
      <c r="O276" s="555">
        <v>0</v>
      </c>
      <c r="P276" s="555">
        <v>0</v>
      </c>
      <c r="Q276" s="547">
        <f t="shared" si="53"/>
        <v>0</v>
      </c>
      <c r="R276" s="547">
        <f t="shared" si="51"/>
        <v>10.35</v>
      </c>
      <c r="S276" s="547">
        <f t="shared" si="52"/>
        <v>10.35</v>
      </c>
      <c r="T276" s="547">
        <v>0</v>
      </c>
      <c r="U276" s="547">
        <v>0.37</v>
      </c>
      <c r="V276" s="547">
        <v>0.37</v>
      </c>
      <c r="W276" s="547">
        <v>0</v>
      </c>
      <c r="X276" s="115">
        <v>9.98</v>
      </c>
      <c r="Y276" s="115">
        <v>9.98</v>
      </c>
    </row>
    <row r="277" spans="1:25">
      <c r="A277" s="548">
        <v>20140101</v>
      </c>
      <c r="B277" s="545" t="s">
        <v>641</v>
      </c>
      <c r="C277" s="545" t="str">
        <f>A277&amp;B277</f>
        <v>20140101LEV</v>
      </c>
      <c r="D277" s="546" t="s">
        <v>706</v>
      </c>
      <c r="E277" s="545" t="str">
        <f>A277&amp;D277</f>
        <v>20140101LGRSE543</v>
      </c>
      <c r="F277" s="547">
        <v>10.75</v>
      </c>
      <c r="G277" s="555">
        <f t="shared" ref="G277" si="54">SUM(K277:M277)</f>
        <v>5.8200000000000002E-2</v>
      </c>
      <c r="H277" s="555">
        <f>SUM(K277:L277,N277)</f>
        <v>7.8990000000000005E-2</v>
      </c>
      <c r="I277" s="555">
        <f>SUM(K277:L277,O277)</f>
        <v>0.14451000000000003</v>
      </c>
      <c r="J277" s="555">
        <v>0</v>
      </c>
      <c r="K277" s="555">
        <v>1.34E-3</v>
      </c>
      <c r="L277" s="555">
        <f t="shared" si="47"/>
        <v>2.725E-2</v>
      </c>
      <c r="M277" s="555">
        <v>2.9610000000000001E-2</v>
      </c>
      <c r="N277" s="555">
        <v>5.04E-2</v>
      </c>
      <c r="O277" s="555">
        <v>0.11592000000000002</v>
      </c>
      <c r="P277" s="555">
        <v>0</v>
      </c>
      <c r="Q277" s="547">
        <f t="shared" ref="Q277" si="55">T277+W277</f>
        <v>0</v>
      </c>
      <c r="R277" s="547">
        <f t="shared" ref="R277" si="56">U277+X277</f>
        <v>0</v>
      </c>
      <c r="S277" s="547">
        <f t="shared" ref="S277" si="57">V277+Y277</f>
        <v>0</v>
      </c>
      <c r="T277" s="547">
        <v>0</v>
      </c>
      <c r="U277" s="547">
        <v>0</v>
      </c>
      <c r="V277" s="547">
        <v>0</v>
      </c>
      <c r="W277" s="547">
        <v>0</v>
      </c>
      <c r="X277" s="547">
        <v>0</v>
      </c>
      <c r="Y277" s="547">
        <v>0</v>
      </c>
    </row>
    <row r="278" spans="1:25">
      <c r="A278" s="548">
        <v>20140101</v>
      </c>
      <c r="B278" s="545" t="s">
        <v>641</v>
      </c>
      <c r="C278" s="545" t="str">
        <f>A278&amp;B278</f>
        <v>20140101LEV</v>
      </c>
      <c r="D278" s="546" t="s">
        <v>1230</v>
      </c>
      <c r="E278" s="545" t="str">
        <f>A278&amp;D278</f>
        <v>20140101LGRSE547</v>
      </c>
      <c r="F278" s="547">
        <v>10.75</v>
      </c>
      <c r="G278" s="555">
        <f t="shared" si="46"/>
        <v>5.8200000000000002E-2</v>
      </c>
      <c r="H278" s="555">
        <f>SUM(K278:L278,N278)</f>
        <v>7.8990000000000005E-2</v>
      </c>
      <c r="I278" s="555">
        <f>SUM(K278:L278,O278)</f>
        <v>0.14451000000000003</v>
      </c>
      <c r="J278" s="555">
        <v>0</v>
      </c>
      <c r="K278" s="555">
        <v>1.34E-3</v>
      </c>
      <c r="L278" s="555">
        <f t="shared" si="47"/>
        <v>2.725E-2</v>
      </c>
      <c r="M278" s="555">
        <v>2.9610000000000001E-2</v>
      </c>
      <c r="N278" s="555">
        <v>5.04E-2</v>
      </c>
      <c r="O278" s="555">
        <v>0.11592000000000002</v>
      </c>
      <c r="P278" s="555">
        <v>0</v>
      </c>
      <c r="Q278" s="547">
        <f t="shared" si="53"/>
        <v>0</v>
      </c>
      <c r="R278" s="547">
        <f t="shared" si="51"/>
        <v>0</v>
      </c>
      <c r="S278" s="547">
        <f t="shared" si="52"/>
        <v>0</v>
      </c>
      <c r="T278" s="547">
        <v>0</v>
      </c>
      <c r="U278" s="547">
        <v>0</v>
      </c>
      <c r="V278" s="547">
        <v>0</v>
      </c>
      <c r="W278" s="547">
        <v>0</v>
      </c>
      <c r="X278" s="547">
        <v>0</v>
      </c>
      <c r="Y278" s="547">
        <v>0</v>
      </c>
    </row>
  </sheetData>
  <autoFilter ref="A2:T278"/>
  <sortState ref="A882:Q903">
    <sortCondition ref="D882:D903"/>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1446"/>
  <sheetViews>
    <sheetView workbookViewId="0"/>
  </sheetViews>
  <sheetFormatPr defaultColWidth="9.33203125" defaultRowHeight="12"/>
  <cols>
    <col min="1" max="1" width="9.1640625" style="98" customWidth="1"/>
    <col min="2" max="3" width="9.33203125" style="9"/>
    <col min="4" max="4" width="15" style="9" bestFit="1" customWidth="1"/>
    <col min="5" max="5" width="23.33203125" style="9" bestFit="1" customWidth="1"/>
    <col min="6" max="6" width="15.1640625" style="98" bestFit="1" customWidth="1"/>
    <col min="7" max="9" width="9.1640625" style="98"/>
    <col min="10" max="10" width="11.5" style="98" customWidth="1"/>
    <col min="11" max="16384" width="9.33203125" style="9"/>
  </cols>
  <sheetData>
    <row r="1" spans="1:14">
      <c r="A1" s="9"/>
      <c r="F1" s="9"/>
      <c r="G1" s="9"/>
      <c r="H1" s="9"/>
      <c r="I1" s="9"/>
      <c r="J1" s="9"/>
    </row>
    <row r="2" spans="1:14" ht="72">
      <c r="A2" s="98" t="s">
        <v>8</v>
      </c>
      <c r="B2" s="504" t="s">
        <v>9</v>
      </c>
      <c r="C2" s="504"/>
      <c r="D2" s="504" t="s">
        <v>4</v>
      </c>
      <c r="E2" s="504" t="s">
        <v>10</v>
      </c>
      <c r="F2" s="505" t="s">
        <v>24</v>
      </c>
      <c r="G2" s="505" t="s">
        <v>11</v>
      </c>
      <c r="H2" s="505" t="s">
        <v>12</v>
      </c>
      <c r="I2" s="505" t="s">
        <v>435</v>
      </c>
      <c r="J2" s="506" t="s">
        <v>439</v>
      </c>
      <c r="K2" s="504"/>
      <c r="L2" s="504"/>
      <c r="M2" s="504"/>
      <c r="N2" s="504"/>
    </row>
    <row r="3" spans="1:14">
      <c r="A3" s="98">
        <v>1</v>
      </c>
      <c r="B3" s="9">
        <f>A3+1</f>
        <v>2</v>
      </c>
      <c r="D3" s="9">
        <f>B3+1</f>
        <v>3</v>
      </c>
      <c r="E3" s="9">
        <f t="shared" ref="E3:J3" si="0">D3+1</f>
        <v>4</v>
      </c>
      <c r="F3" s="9">
        <f t="shared" si="0"/>
        <v>5</v>
      </c>
      <c r="G3" s="9">
        <f t="shared" si="0"/>
        <v>6</v>
      </c>
      <c r="H3" s="9">
        <f t="shared" si="0"/>
        <v>7</v>
      </c>
      <c r="I3" s="9">
        <f t="shared" si="0"/>
        <v>8</v>
      </c>
      <c r="J3" s="9">
        <f t="shared" si="0"/>
        <v>9</v>
      </c>
    </row>
    <row r="4" spans="1:14">
      <c r="A4" s="507">
        <v>20100128</v>
      </c>
      <c r="B4" s="508" t="s">
        <v>459</v>
      </c>
      <c r="C4" s="508" t="str">
        <f t="shared" ref="C4:C29" si="1">A4&amp;B4</f>
        <v>20100128RLS</v>
      </c>
      <c r="D4" s="508" t="s">
        <v>137</v>
      </c>
      <c r="E4" s="508" t="str">
        <f t="shared" ref="E4:E29" si="2">A4&amp;D4</f>
        <v>20100128LGUM_001</v>
      </c>
      <c r="F4" s="509">
        <v>7.89</v>
      </c>
      <c r="G4" s="509">
        <v>0.57999999999999996</v>
      </c>
      <c r="H4" s="509">
        <v>0.86</v>
      </c>
      <c r="I4" s="509">
        <v>6.4499999999999993</v>
      </c>
      <c r="J4" s="507" t="s">
        <v>460</v>
      </c>
    </row>
    <row r="5" spans="1:14">
      <c r="A5" s="507">
        <v>20100128</v>
      </c>
      <c r="B5" s="508" t="s">
        <v>459</v>
      </c>
      <c r="C5" s="508" t="str">
        <f t="shared" si="1"/>
        <v>20100128RLS</v>
      </c>
      <c r="D5" s="508" t="s">
        <v>169</v>
      </c>
      <c r="E5" s="508" t="str">
        <f t="shared" si="2"/>
        <v>20100128LGUM_101</v>
      </c>
      <c r="F5" s="509">
        <v>7.89</v>
      </c>
      <c r="G5" s="509">
        <v>0.57999999999999996</v>
      </c>
      <c r="H5" s="509">
        <v>0.86</v>
      </c>
      <c r="I5" s="509">
        <v>6.4499999999999993</v>
      </c>
      <c r="J5" s="507" t="s">
        <v>460</v>
      </c>
    </row>
    <row r="6" spans="1:14">
      <c r="A6" s="507">
        <v>20100128</v>
      </c>
      <c r="B6" s="508" t="s">
        <v>459</v>
      </c>
      <c r="C6" s="508" t="str">
        <f t="shared" si="1"/>
        <v>20100128RLS</v>
      </c>
      <c r="D6" s="508" t="s">
        <v>342</v>
      </c>
      <c r="E6" s="508" t="str">
        <f t="shared" si="2"/>
        <v>20100128LGUM_201</v>
      </c>
      <c r="F6" s="509">
        <v>7.89</v>
      </c>
      <c r="G6" s="509">
        <v>0.57999999999999996</v>
      </c>
      <c r="H6" s="509">
        <v>0.86</v>
      </c>
      <c r="I6" s="509">
        <v>6.4499999999999993</v>
      </c>
      <c r="J6" s="507" t="s">
        <v>460</v>
      </c>
    </row>
    <row r="7" spans="1:14">
      <c r="A7" s="507">
        <v>20100128</v>
      </c>
      <c r="B7" s="508" t="s">
        <v>459</v>
      </c>
      <c r="C7" s="508" t="str">
        <f t="shared" si="1"/>
        <v>20100128RLS</v>
      </c>
      <c r="D7" s="508" t="s">
        <v>138</v>
      </c>
      <c r="E7" s="508" t="str">
        <f t="shared" si="2"/>
        <v>20100128LGUM_002</v>
      </c>
      <c r="F7" s="509">
        <v>8.82</v>
      </c>
      <c r="G7" s="509">
        <v>0.41</v>
      </c>
      <c r="H7" s="509">
        <v>1.44</v>
      </c>
      <c r="I7" s="509">
        <v>6.9700000000000006</v>
      </c>
      <c r="J7" s="507" t="s">
        <v>461</v>
      </c>
    </row>
    <row r="8" spans="1:14">
      <c r="A8" s="507">
        <v>20100128</v>
      </c>
      <c r="B8" s="508" t="s">
        <v>459</v>
      </c>
      <c r="C8" s="508" t="str">
        <f t="shared" si="1"/>
        <v>20100128RLS</v>
      </c>
      <c r="D8" s="508" t="s">
        <v>170</v>
      </c>
      <c r="E8" s="508" t="str">
        <f t="shared" si="2"/>
        <v>20100128LGUM_102</v>
      </c>
      <c r="F8" s="509">
        <v>8.82</v>
      </c>
      <c r="G8" s="509">
        <v>0.41</v>
      </c>
      <c r="H8" s="509">
        <v>1.44</v>
      </c>
      <c r="I8" s="509">
        <v>6.9700000000000006</v>
      </c>
      <c r="J8" s="507" t="s">
        <v>461</v>
      </c>
    </row>
    <row r="9" spans="1:14">
      <c r="A9" s="507">
        <v>20100128</v>
      </c>
      <c r="B9" s="508" t="s">
        <v>459</v>
      </c>
      <c r="C9" s="508" t="str">
        <f t="shared" si="1"/>
        <v>20100128RLS</v>
      </c>
      <c r="D9" s="508" t="s">
        <v>212</v>
      </c>
      <c r="E9" s="508" t="str">
        <f t="shared" si="2"/>
        <v>20100128LGUM_202</v>
      </c>
      <c r="F9" s="509">
        <v>8.82</v>
      </c>
      <c r="G9" s="509">
        <v>0.41</v>
      </c>
      <c r="H9" s="509">
        <v>1.44</v>
      </c>
      <c r="I9" s="509">
        <v>6.9700000000000006</v>
      </c>
      <c r="J9" s="507" t="s">
        <v>461</v>
      </c>
    </row>
    <row r="10" spans="1:14">
      <c r="A10" s="507">
        <v>20100128</v>
      </c>
      <c r="B10" s="508" t="s">
        <v>459</v>
      </c>
      <c r="C10" s="508" t="str">
        <f t="shared" si="1"/>
        <v>20100128RLS</v>
      </c>
      <c r="D10" s="508" t="s">
        <v>139</v>
      </c>
      <c r="E10" s="508" t="str">
        <f t="shared" si="2"/>
        <v>20100128LGUM_003</v>
      </c>
      <c r="F10" s="509">
        <v>10.18</v>
      </c>
      <c r="G10" s="509">
        <v>0.53</v>
      </c>
      <c r="H10" s="509">
        <v>2.04</v>
      </c>
      <c r="I10" s="509">
        <v>7.61</v>
      </c>
      <c r="J10" s="507" t="s">
        <v>462</v>
      </c>
    </row>
    <row r="11" spans="1:14">
      <c r="A11" s="507">
        <v>20100128</v>
      </c>
      <c r="B11" s="508" t="s">
        <v>459</v>
      </c>
      <c r="C11" s="508" t="str">
        <f t="shared" si="1"/>
        <v>20100128RLS</v>
      </c>
      <c r="D11" s="508" t="s">
        <v>171</v>
      </c>
      <c r="E11" s="508" t="str">
        <f t="shared" si="2"/>
        <v>20100128LGUM_103</v>
      </c>
      <c r="F11" s="509">
        <v>10.18</v>
      </c>
      <c r="G11" s="509">
        <v>0.53</v>
      </c>
      <c r="H11" s="509">
        <v>2.04</v>
      </c>
      <c r="I11" s="509">
        <v>7.61</v>
      </c>
      <c r="J11" s="507" t="s">
        <v>462</v>
      </c>
    </row>
    <row r="12" spans="1:14">
      <c r="A12" s="507">
        <v>20100128</v>
      </c>
      <c r="B12" s="508" t="s">
        <v>459</v>
      </c>
      <c r="C12" s="508" t="str">
        <f t="shared" si="1"/>
        <v>20100128RLS</v>
      </c>
      <c r="D12" s="508" t="s">
        <v>213</v>
      </c>
      <c r="E12" s="508" t="str">
        <f t="shared" si="2"/>
        <v>20100128LGUM_203</v>
      </c>
      <c r="F12" s="509">
        <v>10.18</v>
      </c>
      <c r="G12" s="509">
        <v>0.53</v>
      </c>
      <c r="H12" s="509">
        <v>2.04</v>
      </c>
      <c r="I12" s="509">
        <v>7.61</v>
      </c>
      <c r="J12" s="507" t="s">
        <v>462</v>
      </c>
    </row>
    <row r="13" spans="1:14">
      <c r="A13" s="507">
        <v>20100128</v>
      </c>
      <c r="B13" s="508" t="s">
        <v>459</v>
      </c>
      <c r="C13" s="508" t="str">
        <f t="shared" si="1"/>
        <v>20100128RLS</v>
      </c>
      <c r="D13" s="508" t="s">
        <v>140</v>
      </c>
      <c r="E13" s="508" t="str">
        <f t="shared" si="2"/>
        <v>20100128LGUM_004</v>
      </c>
      <c r="F13" s="509">
        <v>12.54</v>
      </c>
      <c r="G13" s="509">
        <v>0.6</v>
      </c>
      <c r="H13" s="509">
        <v>3.18</v>
      </c>
      <c r="I13" s="509">
        <v>8.76</v>
      </c>
      <c r="J13" s="507" t="s">
        <v>463</v>
      </c>
    </row>
    <row r="14" spans="1:14">
      <c r="A14" s="507">
        <v>20100128</v>
      </c>
      <c r="B14" s="508" t="s">
        <v>459</v>
      </c>
      <c r="C14" s="508" t="str">
        <f t="shared" si="1"/>
        <v>20100128RLS</v>
      </c>
      <c r="D14" s="508" t="s">
        <v>172</v>
      </c>
      <c r="E14" s="508" t="str">
        <f t="shared" si="2"/>
        <v>20100128LGUM_104</v>
      </c>
      <c r="F14" s="509">
        <v>12.54</v>
      </c>
      <c r="G14" s="509">
        <v>0.6</v>
      </c>
      <c r="H14" s="509">
        <v>3.18</v>
      </c>
      <c r="I14" s="509">
        <v>8.76</v>
      </c>
      <c r="J14" s="507" t="s">
        <v>463</v>
      </c>
    </row>
    <row r="15" spans="1:14">
      <c r="A15" s="507">
        <v>20100128</v>
      </c>
      <c r="B15" s="508" t="s">
        <v>459</v>
      </c>
      <c r="C15" s="508" t="str">
        <f t="shared" si="1"/>
        <v>20100128RLS</v>
      </c>
      <c r="D15" s="508" t="s">
        <v>214</v>
      </c>
      <c r="E15" s="508" t="str">
        <f t="shared" si="2"/>
        <v>20100128LGUM_204</v>
      </c>
      <c r="F15" s="509">
        <v>12.54</v>
      </c>
      <c r="G15" s="509">
        <v>0.6</v>
      </c>
      <c r="H15" s="509">
        <v>3.18</v>
      </c>
      <c r="I15" s="509">
        <v>8.76</v>
      </c>
      <c r="J15" s="507" t="s">
        <v>463</v>
      </c>
    </row>
    <row r="16" spans="1:14">
      <c r="A16" s="507">
        <v>20100128</v>
      </c>
      <c r="B16" s="508" t="s">
        <v>459</v>
      </c>
      <c r="C16" s="508" t="str">
        <f t="shared" si="1"/>
        <v>20100128RLS</v>
      </c>
      <c r="D16" s="508" t="s">
        <v>141</v>
      </c>
      <c r="E16" s="508" t="str">
        <f t="shared" si="2"/>
        <v>20100128LGUM_005</v>
      </c>
      <c r="F16" s="509">
        <v>8.7100000000000009</v>
      </c>
      <c r="G16" s="509">
        <v>0.57999999999999996</v>
      </c>
      <c r="H16" s="509">
        <v>0.99</v>
      </c>
      <c r="I16" s="509">
        <v>7.1400000000000006</v>
      </c>
      <c r="J16" s="507" t="s">
        <v>464</v>
      </c>
    </row>
    <row r="17" spans="1:10">
      <c r="A17" s="507">
        <v>20100128</v>
      </c>
      <c r="B17" s="508" t="s">
        <v>459</v>
      </c>
      <c r="C17" s="508" t="str">
        <f t="shared" si="1"/>
        <v>20100128RLS</v>
      </c>
      <c r="D17" s="508" t="s">
        <v>173</v>
      </c>
      <c r="E17" s="508" t="str">
        <f t="shared" si="2"/>
        <v>20100128LGUM_105</v>
      </c>
      <c r="F17" s="509">
        <v>8.7100000000000009</v>
      </c>
      <c r="G17" s="509">
        <v>0.57999999999999996</v>
      </c>
      <c r="H17" s="509">
        <v>0.99</v>
      </c>
      <c r="I17" s="509">
        <v>7.1400000000000006</v>
      </c>
      <c r="J17" s="507" t="s">
        <v>464</v>
      </c>
    </row>
    <row r="18" spans="1:10">
      <c r="A18" s="507">
        <v>20100128</v>
      </c>
      <c r="B18" s="508" t="s">
        <v>459</v>
      </c>
      <c r="C18" s="508" t="str">
        <f t="shared" si="1"/>
        <v>20100128RLS</v>
      </c>
      <c r="D18" s="508" t="s">
        <v>343</v>
      </c>
      <c r="E18" s="508" t="str">
        <f t="shared" si="2"/>
        <v>20100128LGUM_205</v>
      </c>
      <c r="F18" s="509">
        <v>8.7100000000000009</v>
      </c>
      <c r="G18" s="509">
        <v>0.57999999999999996</v>
      </c>
      <c r="H18" s="509">
        <v>0.99</v>
      </c>
      <c r="I18" s="509">
        <v>7.1400000000000006</v>
      </c>
      <c r="J18" s="507" t="s">
        <v>464</v>
      </c>
    </row>
    <row r="19" spans="1:10">
      <c r="A19" s="507">
        <v>20100128</v>
      </c>
      <c r="B19" s="508" t="s">
        <v>459</v>
      </c>
      <c r="C19" s="508" t="str">
        <f t="shared" si="1"/>
        <v>20100128RLS</v>
      </c>
      <c r="D19" s="508" t="s">
        <v>465</v>
      </c>
      <c r="E19" s="508" t="str">
        <f t="shared" si="2"/>
        <v>20100128LGUM_006</v>
      </c>
      <c r="F19" s="509">
        <v>13.13</v>
      </c>
      <c r="G19" s="509">
        <v>0.57999999999999996</v>
      </c>
      <c r="H19" s="509">
        <v>0.86</v>
      </c>
      <c r="I19" s="509">
        <v>11.690000000000001</v>
      </c>
      <c r="J19" s="507" t="s">
        <v>466</v>
      </c>
    </row>
    <row r="20" spans="1:10">
      <c r="A20" s="507">
        <v>20100128</v>
      </c>
      <c r="B20" s="508" t="s">
        <v>459</v>
      </c>
      <c r="C20" s="508" t="str">
        <f t="shared" si="1"/>
        <v>20100128RLS</v>
      </c>
      <c r="D20" s="508" t="s">
        <v>174</v>
      </c>
      <c r="E20" s="508" t="str">
        <f t="shared" si="2"/>
        <v>20100128LGUM_106</v>
      </c>
      <c r="F20" s="509">
        <v>13.13</v>
      </c>
      <c r="G20" s="509">
        <v>0.57999999999999996</v>
      </c>
      <c r="H20" s="509">
        <v>0.86</v>
      </c>
      <c r="I20" s="509">
        <v>11.690000000000001</v>
      </c>
      <c r="J20" s="507" t="s">
        <v>466</v>
      </c>
    </row>
    <row r="21" spans="1:10">
      <c r="A21" s="507">
        <v>20100128</v>
      </c>
      <c r="B21" s="508" t="s">
        <v>459</v>
      </c>
      <c r="C21" s="508" t="str">
        <f t="shared" si="1"/>
        <v>20100128RLS</v>
      </c>
      <c r="D21" s="508" t="s">
        <v>215</v>
      </c>
      <c r="E21" s="508" t="str">
        <f t="shared" si="2"/>
        <v>20100128LGUM_206</v>
      </c>
      <c r="F21" s="509">
        <v>13.13</v>
      </c>
      <c r="G21" s="509">
        <v>0.57999999999999996</v>
      </c>
      <c r="H21" s="509">
        <v>0.86</v>
      </c>
      <c r="I21" s="509">
        <v>11.690000000000001</v>
      </c>
      <c r="J21" s="507" t="s">
        <v>466</v>
      </c>
    </row>
    <row r="22" spans="1:10">
      <c r="A22" s="507">
        <v>20100128</v>
      </c>
      <c r="B22" s="508" t="s">
        <v>459</v>
      </c>
      <c r="C22" s="508" t="str">
        <f t="shared" si="1"/>
        <v>20100128RLS</v>
      </c>
      <c r="D22" s="508" t="s">
        <v>142</v>
      </c>
      <c r="E22" s="508" t="str">
        <f t="shared" si="2"/>
        <v>20100128LGUM_007</v>
      </c>
      <c r="F22" s="509">
        <v>12.54</v>
      </c>
      <c r="G22" s="509">
        <v>0.6</v>
      </c>
      <c r="H22" s="509">
        <v>3.18</v>
      </c>
      <c r="I22" s="509">
        <v>8.76</v>
      </c>
      <c r="J22" s="507" t="s">
        <v>467</v>
      </c>
    </row>
    <row r="23" spans="1:10">
      <c r="A23" s="507">
        <v>20100128</v>
      </c>
      <c r="B23" s="508" t="s">
        <v>459</v>
      </c>
      <c r="C23" s="508" t="str">
        <f t="shared" si="1"/>
        <v>20100128RLS</v>
      </c>
      <c r="D23" s="508" t="s">
        <v>175</v>
      </c>
      <c r="E23" s="508" t="str">
        <f t="shared" si="2"/>
        <v>20100128LGUM_107</v>
      </c>
      <c r="F23" s="509">
        <v>12.54</v>
      </c>
      <c r="G23" s="509">
        <v>0.6</v>
      </c>
      <c r="H23" s="509">
        <v>3.18</v>
      </c>
      <c r="I23" s="509">
        <v>8.76</v>
      </c>
      <c r="J23" s="507" t="s">
        <v>467</v>
      </c>
    </row>
    <row r="24" spans="1:10">
      <c r="A24" s="507">
        <v>20100128</v>
      </c>
      <c r="B24" s="508" t="s">
        <v>459</v>
      </c>
      <c r="C24" s="508" t="str">
        <f t="shared" si="1"/>
        <v>20100128RLS</v>
      </c>
      <c r="D24" s="508" t="s">
        <v>216</v>
      </c>
      <c r="E24" s="508" t="str">
        <f t="shared" si="2"/>
        <v>20100128LGUM_207</v>
      </c>
      <c r="F24" s="509">
        <v>12.54</v>
      </c>
      <c r="G24" s="509">
        <v>0.6</v>
      </c>
      <c r="H24" s="509">
        <v>3.18</v>
      </c>
      <c r="I24" s="509">
        <v>8.76</v>
      </c>
      <c r="J24" s="507" t="s">
        <v>467</v>
      </c>
    </row>
    <row r="25" spans="1:10">
      <c r="A25" s="507">
        <v>20100128</v>
      </c>
      <c r="B25" s="508" t="s">
        <v>459</v>
      </c>
      <c r="C25" s="508" t="str">
        <f t="shared" si="1"/>
        <v>20100128RLS</v>
      </c>
      <c r="D25" s="508" t="s">
        <v>143</v>
      </c>
      <c r="E25" s="508" t="str">
        <f t="shared" si="2"/>
        <v>20100128LGUM_008</v>
      </c>
      <c r="F25" s="509">
        <v>13.91</v>
      </c>
      <c r="G25" s="509">
        <v>0.41</v>
      </c>
      <c r="H25" s="509">
        <v>1.44</v>
      </c>
      <c r="I25" s="509">
        <v>12.06</v>
      </c>
      <c r="J25" s="507" t="s">
        <v>468</v>
      </c>
    </row>
    <row r="26" spans="1:10">
      <c r="A26" s="507">
        <v>20100128</v>
      </c>
      <c r="B26" s="508" t="s">
        <v>459</v>
      </c>
      <c r="C26" s="508" t="str">
        <f t="shared" si="1"/>
        <v>20100128RLS</v>
      </c>
      <c r="D26" s="508" t="s">
        <v>176</v>
      </c>
      <c r="E26" s="508" t="str">
        <f t="shared" si="2"/>
        <v>20100128LGUM_108</v>
      </c>
      <c r="F26" s="509">
        <v>13.91</v>
      </c>
      <c r="G26" s="509">
        <v>0.41</v>
      </c>
      <c r="H26" s="509">
        <v>1.44</v>
      </c>
      <c r="I26" s="509">
        <v>12.06</v>
      </c>
      <c r="J26" s="507" t="s">
        <v>468</v>
      </c>
    </row>
    <row r="27" spans="1:10">
      <c r="A27" s="507">
        <v>20100128</v>
      </c>
      <c r="B27" s="508" t="s">
        <v>459</v>
      </c>
      <c r="C27" s="508" t="str">
        <f t="shared" si="1"/>
        <v>20100128RLS</v>
      </c>
      <c r="D27" s="508" t="s">
        <v>217</v>
      </c>
      <c r="E27" s="508" t="str">
        <f t="shared" si="2"/>
        <v>20100128LGUM_208</v>
      </c>
      <c r="F27" s="509">
        <v>13.91</v>
      </c>
      <c r="G27" s="509">
        <v>0.41</v>
      </c>
      <c r="H27" s="509">
        <v>1.44</v>
      </c>
      <c r="I27" s="509">
        <v>12.06</v>
      </c>
      <c r="J27" s="507" t="s">
        <v>468</v>
      </c>
    </row>
    <row r="28" spans="1:10">
      <c r="A28" s="507">
        <v>20100128</v>
      </c>
      <c r="B28" s="508" t="s">
        <v>459</v>
      </c>
      <c r="C28" s="508" t="str">
        <f t="shared" si="1"/>
        <v>20100128RLS</v>
      </c>
      <c r="D28" s="508" t="s">
        <v>469</v>
      </c>
      <c r="E28" s="508" t="str">
        <f t="shared" si="2"/>
        <v>20100128LGUM_009</v>
      </c>
      <c r="F28" s="509">
        <v>23.44</v>
      </c>
      <c r="G28" s="509">
        <v>1.0900000000000001</v>
      </c>
      <c r="H28" s="509">
        <v>7.58</v>
      </c>
      <c r="I28" s="509">
        <v>14.770000000000001</v>
      </c>
      <c r="J28" s="507" t="s">
        <v>470</v>
      </c>
    </row>
    <row r="29" spans="1:10">
      <c r="A29" s="507">
        <v>20100128</v>
      </c>
      <c r="B29" s="508" t="s">
        <v>459</v>
      </c>
      <c r="C29" s="508" t="str">
        <f t="shared" si="1"/>
        <v>20100128RLS</v>
      </c>
      <c r="D29" s="508" t="s">
        <v>177</v>
      </c>
      <c r="E29" s="508" t="str">
        <f t="shared" si="2"/>
        <v>20100128LGUM_109</v>
      </c>
      <c r="F29" s="509">
        <v>23.44</v>
      </c>
      <c r="G29" s="509">
        <v>1.0900000000000001</v>
      </c>
      <c r="H29" s="509">
        <v>7.58</v>
      </c>
      <c r="I29" s="509">
        <v>14.770000000000001</v>
      </c>
      <c r="J29" s="507" t="s">
        <v>470</v>
      </c>
    </row>
    <row r="30" spans="1:10">
      <c r="A30" s="507">
        <v>20100128</v>
      </c>
      <c r="B30" s="508" t="s">
        <v>459</v>
      </c>
      <c r="C30" s="508" t="str">
        <f t="shared" ref="C30:C93" si="3">A30&amp;B30</f>
        <v>20100128RLS</v>
      </c>
      <c r="D30" s="508" t="s">
        <v>344</v>
      </c>
      <c r="E30" s="508" t="str">
        <f t="shared" ref="E30:E93" si="4">A30&amp;D30</f>
        <v>20100128LGUM_209</v>
      </c>
      <c r="F30" s="509">
        <v>23.44</v>
      </c>
      <c r="G30" s="509">
        <v>1.0900000000000001</v>
      </c>
      <c r="H30" s="509">
        <v>7.58</v>
      </c>
      <c r="I30" s="509">
        <v>14.770000000000001</v>
      </c>
      <c r="J30" s="507" t="s">
        <v>470</v>
      </c>
    </row>
    <row r="31" spans="1:10">
      <c r="A31" s="507">
        <v>20100128</v>
      </c>
      <c r="B31" s="508" t="s">
        <v>459</v>
      </c>
      <c r="C31" s="508" t="str">
        <f t="shared" si="3"/>
        <v>20100128RLS</v>
      </c>
      <c r="D31" s="508" t="s">
        <v>144</v>
      </c>
      <c r="E31" s="508" t="str">
        <f t="shared" si="4"/>
        <v>20100128LGUM_010</v>
      </c>
      <c r="F31" s="509">
        <v>23.44</v>
      </c>
      <c r="G31" s="509">
        <v>1.0900000000000001</v>
      </c>
      <c r="H31" s="509">
        <v>7.58</v>
      </c>
      <c r="I31" s="509">
        <v>14.770000000000001</v>
      </c>
      <c r="J31" s="507" t="s">
        <v>471</v>
      </c>
    </row>
    <row r="32" spans="1:10">
      <c r="A32" s="507">
        <v>20100128</v>
      </c>
      <c r="B32" s="508" t="s">
        <v>459</v>
      </c>
      <c r="C32" s="508" t="str">
        <f t="shared" si="3"/>
        <v>20100128RLS</v>
      </c>
      <c r="D32" s="508" t="s">
        <v>178</v>
      </c>
      <c r="E32" s="508" t="str">
        <f t="shared" si="4"/>
        <v>20100128LGUM_110</v>
      </c>
      <c r="F32" s="509">
        <v>23.44</v>
      </c>
      <c r="G32" s="509">
        <v>1.0900000000000001</v>
      </c>
      <c r="H32" s="509">
        <v>7.58</v>
      </c>
      <c r="I32" s="509">
        <v>14.770000000000001</v>
      </c>
      <c r="J32" s="507" t="s">
        <v>471</v>
      </c>
    </row>
    <row r="33" spans="1:10">
      <c r="A33" s="507">
        <v>20100128</v>
      </c>
      <c r="B33" s="508" t="s">
        <v>459</v>
      </c>
      <c r="C33" s="508" t="str">
        <f t="shared" si="3"/>
        <v>20100128RLS</v>
      </c>
      <c r="D33" s="508" t="s">
        <v>218</v>
      </c>
      <c r="E33" s="508" t="str">
        <f t="shared" si="4"/>
        <v>20100128LGUM_210</v>
      </c>
      <c r="F33" s="509">
        <v>23.44</v>
      </c>
      <c r="G33" s="509">
        <v>1.0900000000000001</v>
      </c>
      <c r="H33" s="509">
        <v>7.58</v>
      </c>
      <c r="I33" s="509">
        <v>14.770000000000001</v>
      </c>
      <c r="J33" s="507" t="s">
        <v>471</v>
      </c>
    </row>
    <row r="34" spans="1:10">
      <c r="A34" s="507">
        <v>20100128</v>
      </c>
      <c r="B34" s="508" t="s">
        <v>459</v>
      </c>
      <c r="C34" s="508" t="str">
        <f t="shared" si="3"/>
        <v>20100128RLS</v>
      </c>
      <c r="D34" s="508" t="s">
        <v>145</v>
      </c>
      <c r="E34" s="508" t="str">
        <f t="shared" si="4"/>
        <v>20100128LGUM_011</v>
      </c>
      <c r="F34" s="509">
        <v>13</v>
      </c>
      <c r="G34" s="509">
        <v>0.53</v>
      </c>
      <c r="H34" s="509">
        <v>2.14</v>
      </c>
      <c r="I34" s="509">
        <v>10.33</v>
      </c>
      <c r="J34" s="507" t="s">
        <v>472</v>
      </c>
    </row>
    <row r="35" spans="1:10">
      <c r="A35" s="507">
        <v>20100128</v>
      </c>
      <c r="B35" s="508" t="s">
        <v>459</v>
      </c>
      <c r="C35" s="508" t="str">
        <f t="shared" si="3"/>
        <v>20100128RLS</v>
      </c>
      <c r="D35" s="508" t="s">
        <v>179</v>
      </c>
      <c r="E35" s="508" t="str">
        <f t="shared" si="4"/>
        <v>20100128LGUM_111</v>
      </c>
      <c r="F35" s="509">
        <v>13</v>
      </c>
      <c r="G35" s="509">
        <v>0.53</v>
      </c>
      <c r="H35" s="509">
        <v>2.14</v>
      </c>
      <c r="I35" s="509">
        <v>10.33</v>
      </c>
      <c r="J35" s="507" t="s">
        <v>472</v>
      </c>
    </row>
    <row r="36" spans="1:10">
      <c r="A36" s="507">
        <v>20100128</v>
      </c>
      <c r="B36" s="508" t="s">
        <v>459</v>
      </c>
      <c r="C36" s="508" t="str">
        <f t="shared" si="3"/>
        <v>20100128RLS</v>
      </c>
      <c r="D36" s="508" t="s">
        <v>219</v>
      </c>
      <c r="E36" s="508" t="str">
        <f t="shared" si="4"/>
        <v>20100128LGUM_211</v>
      </c>
      <c r="F36" s="509">
        <v>13</v>
      </c>
      <c r="G36" s="509">
        <v>0.53</v>
      </c>
      <c r="H36" s="509">
        <v>2.14</v>
      </c>
      <c r="I36" s="509">
        <v>10.33</v>
      </c>
      <c r="J36" s="507" t="s">
        <v>472</v>
      </c>
    </row>
    <row r="37" spans="1:10">
      <c r="A37" s="507">
        <v>20100128</v>
      </c>
      <c r="B37" s="508" t="s">
        <v>459</v>
      </c>
      <c r="C37" s="508" t="str">
        <f t="shared" si="3"/>
        <v>20100128RLS</v>
      </c>
      <c r="D37" s="508" t="s">
        <v>146</v>
      </c>
      <c r="E37" s="508" t="str">
        <f t="shared" si="4"/>
        <v>20100128LGUM_012</v>
      </c>
      <c r="F37" s="509">
        <v>14.13</v>
      </c>
      <c r="G37" s="509">
        <v>0.6</v>
      </c>
      <c r="H37" s="509">
        <v>3.4</v>
      </c>
      <c r="I37" s="509">
        <v>10.130000000000001</v>
      </c>
      <c r="J37" s="507" t="s">
        <v>473</v>
      </c>
    </row>
    <row r="38" spans="1:10">
      <c r="A38" s="507">
        <v>20100128</v>
      </c>
      <c r="B38" s="508" t="s">
        <v>459</v>
      </c>
      <c r="C38" s="508" t="str">
        <f t="shared" si="3"/>
        <v>20100128RLS</v>
      </c>
      <c r="D38" s="508" t="s">
        <v>180</v>
      </c>
      <c r="E38" s="508" t="str">
        <f t="shared" si="4"/>
        <v>20100128LGUM_112</v>
      </c>
      <c r="F38" s="509">
        <v>14.13</v>
      </c>
      <c r="G38" s="509">
        <v>0.6</v>
      </c>
      <c r="H38" s="509">
        <v>3.4</v>
      </c>
      <c r="I38" s="509">
        <v>10.130000000000001</v>
      </c>
      <c r="J38" s="507" t="s">
        <v>473</v>
      </c>
    </row>
    <row r="39" spans="1:10">
      <c r="A39" s="507">
        <v>20100128</v>
      </c>
      <c r="B39" s="508" t="s">
        <v>459</v>
      </c>
      <c r="C39" s="508" t="str">
        <f t="shared" si="3"/>
        <v>20100128RLS</v>
      </c>
      <c r="D39" s="508" t="s">
        <v>220</v>
      </c>
      <c r="E39" s="508" t="str">
        <f t="shared" si="4"/>
        <v>20100128LGUM_212</v>
      </c>
      <c r="F39" s="509">
        <v>14.13</v>
      </c>
      <c r="G39" s="509">
        <v>0.6</v>
      </c>
      <c r="H39" s="509">
        <v>3.4</v>
      </c>
      <c r="I39" s="509">
        <v>10.130000000000001</v>
      </c>
      <c r="J39" s="507" t="s">
        <v>473</v>
      </c>
    </row>
    <row r="40" spans="1:10">
      <c r="A40" s="507">
        <v>20100128</v>
      </c>
      <c r="B40" s="508" t="s">
        <v>459</v>
      </c>
      <c r="C40" s="508" t="str">
        <f t="shared" si="3"/>
        <v>20100128RLS</v>
      </c>
      <c r="D40" s="508" t="s">
        <v>147</v>
      </c>
      <c r="E40" s="508" t="str">
        <f t="shared" si="4"/>
        <v>20100128LGUM_013</v>
      </c>
      <c r="F40" s="509">
        <v>14.13</v>
      </c>
      <c r="G40" s="509">
        <v>0.6</v>
      </c>
      <c r="H40" s="509">
        <v>3.4</v>
      </c>
      <c r="I40" s="509">
        <v>10.130000000000001</v>
      </c>
      <c r="J40" s="507" t="s">
        <v>474</v>
      </c>
    </row>
    <row r="41" spans="1:10">
      <c r="A41" s="507">
        <v>20100128</v>
      </c>
      <c r="B41" s="508" t="s">
        <v>459</v>
      </c>
      <c r="C41" s="508" t="str">
        <f t="shared" si="3"/>
        <v>20100128RLS</v>
      </c>
      <c r="D41" s="508" t="s">
        <v>181</v>
      </c>
      <c r="E41" s="508" t="str">
        <f t="shared" si="4"/>
        <v>20100128LGUM_113</v>
      </c>
      <c r="F41" s="509">
        <v>14.13</v>
      </c>
      <c r="G41" s="509">
        <v>0.6</v>
      </c>
      <c r="H41" s="509">
        <v>3.4</v>
      </c>
      <c r="I41" s="509">
        <v>10.130000000000001</v>
      </c>
      <c r="J41" s="507" t="s">
        <v>474</v>
      </c>
    </row>
    <row r="42" spans="1:10">
      <c r="A42" s="507">
        <v>20100128</v>
      </c>
      <c r="B42" s="508" t="s">
        <v>459</v>
      </c>
      <c r="C42" s="508" t="str">
        <f t="shared" si="3"/>
        <v>20100128RLS</v>
      </c>
      <c r="D42" s="508" t="s">
        <v>345</v>
      </c>
      <c r="E42" s="508" t="str">
        <f t="shared" si="4"/>
        <v>20100128LGUM_213</v>
      </c>
      <c r="F42" s="509">
        <v>14.13</v>
      </c>
      <c r="G42" s="509">
        <v>0.6</v>
      </c>
      <c r="H42" s="509">
        <v>3.4</v>
      </c>
      <c r="I42" s="509">
        <v>10.130000000000001</v>
      </c>
      <c r="J42" s="507" t="s">
        <v>474</v>
      </c>
    </row>
    <row r="43" spans="1:10">
      <c r="A43" s="507">
        <v>20100128</v>
      </c>
      <c r="B43" s="508" t="s">
        <v>459</v>
      </c>
      <c r="C43" s="508" t="str">
        <f t="shared" si="3"/>
        <v>20100128RLS</v>
      </c>
      <c r="D43" s="508" t="s">
        <v>475</v>
      </c>
      <c r="E43" s="508" t="str">
        <f t="shared" si="4"/>
        <v>20100128LGUM_016</v>
      </c>
      <c r="F43" s="509">
        <v>23.72</v>
      </c>
      <c r="G43" s="509">
        <v>0.53</v>
      </c>
      <c r="H43" s="509">
        <v>2.14</v>
      </c>
      <c r="I43" s="509">
        <v>21.049999999999997</v>
      </c>
      <c r="J43" s="507" t="s">
        <v>476</v>
      </c>
    </row>
    <row r="44" spans="1:10">
      <c r="A44" s="507">
        <v>20100128</v>
      </c>
      <c r="B44" s="508" t="s">
        <v>459</v>
      </c>
      <c r="C44" s="508" t="str">
        <f t="shared" si="3"/>
        <v>20100128RLS</v>
      </c>
      <c r="D44" s="508" t="s">
        <v>182</v>
      </c>
      <c r="E44" s="508" t="str">
        <f t="shared" si="4"/>
        <v>20100128LGUM_116</v>
      </c>
      <c r="F44" s="509">
        <v>23.72</v>
      </c>
      <c r="G44" s="509">
        <v>0.53</v>
      </c>
      <c r="H44" s="509">
        <v>2.14</v>
      </c>
      <c r="I44" s="509">
        <v>21.049999999999997</v>
      </c>
      <c r="J44" s="507" t="s">
        <v>476</v>
      </c>
    </row>
    <row r="45" spans="1:10">
      <c r="A45" s="507">
        <v>20100128</v>
      </c>
      <c r="B45" s="508" t="s">
        <v>459</v>
      </c>
      <c r="C45" s="508" t="str">
        <f t="shared" si="3"/>
        <v>20100128RLS</v>
      </c>
      <c r="D45" s="508" t="s">
        <v>346</v>
      </c>
      <c r="E45" s="508" t="str">
        <f t="shared" si="4"/>
        <v>20100128LGUM_216</v>
      </c>
      <c r="F45" s="509">
        <v>23.72</v>
      </c>
      <c r="G45" s="509">
        <v>0.53</v>
      </c>
      <c r="H45" s="509">
        <v>2.14</v>
      </c>
      <c r="I45" s="509">
        <v>21.049999999999997</v>
      </c>
      <c r="J45" s="507" t="s">
        <v>476</v>
      </c>
    </row>
    <row r="46" spans="1:10">
      <c r="A46" s="507">
        <v>20100128</v>
      </c>
      <c r="B46" s="508" t="s">
        <v>459</v>
      </c>
      <c r="C46" s="508" t="str">
        <f t="shared" si="3"/>
        <v>20100128RLS</v>
      </c>
      <c r="D46" s="508" t="s">
        <v>477</v>
      </c>
      <c r="E46" s="508" t="str">
        <f t="shared" si="4"/>
        <v>20100128LGUM_017</v>
      </c>
      <c r="F46" s="509">
        <v>26.44</v>
      </c>
      <c r="G46" s="509">
        <v>0.6</v>
      </c>
      <c r="H46" s="509">
        <v>3.4</v>
      </c>
      <c r="I46" s="509">
        <v>22.44</v>
      </c>
      <c r="J46" s="507" t="s">
        <v>478</v>
      </c>
    </row>
    <row r="47" spans="1:10">
      <c r="A47" s="507">
        <v>20100128</v>
      </c>
      <c r="B47" s="508" t="s">
        <v>459</v>
      </c>
      <c r="C47" s="508" t="str">
        <f t="shared" si="3"/>
        <v>20100128RLS</v>
      </c>
      <c r="D47" s="508" t="s">
        <v>183</v>
      </c>
      <c r="E47" s="508" t="str">
        <f t="shared" si="4"/>
        <v>20100128LGUM_117</v>
      </c>
      <c r="F47" s="509">
        <v>26.44</v>
      </c>
      <c r="G47" s="509">
        <v>0.6</v>
      </c>
      <c r="H47" s="509">
        <v>3.4</v>
      </c>
      <c r="I47" s="509">
        <v>22.44</v>
      </c>
      <c r="J47" s="507" t="s">
        <v>478</v>
      </c>
    </row>
    <row r="48" spans="1:10">
      <c r="A48" s="507">
        <v>20100128</v>
      </c>
      <c r="B48" s="508" t="s">
        <v>459</v>
      </c>
      <c r="C48" s="508" t="str">
        <f t="shared" si="3"/>
        <v>20100128RLS</v>
      </c>
      <c r="D48" s="508" t="s">
        <v>347</v>
      </c>
      <c r="E48" s="508" t="str">
        <f t="shared" si="4"/>
        <v>20100128LGUM_217</v>
      </c>
      <c r="F48" s="509">
        <v>26.44</v>
      </c>
      <c r="G48" s="509">
        <v>0.6</v>
      </c>
      <c r="H48" s="509">
        <v>3.4</v>
      </c>
      <c r="I48" s="509">
        <v>22.44</v>
      </c>
      <c r="J48" s="507" t="s">
        <v>478</v>
      </c>
    </row>
    <row r="49" spans="1:10">
      <c r="A49" s="507">
        <v>20100128</v>
      </c>
      <c r="B49" s="508" t="s">
        <v>459</v>
      </c>
      <c r="C49" s="508" t="str">
        <f t="shared" si="3"/>
        <v>20100128RLS</v>
      </c>
      <c r="D49" s="508" t="s">
        <v>148</v>
      </c>
      <c r="E49" s="508" t="str">
        <f t="shared" si="4"/>
        <v>20100128LGUM_022</v>
      </c>
      <c r="F49" s="509">
        <v>11.02</v>
      </c>
      <c r="G49" s="509">
        <v>0.55000000000000004</v>
      </c>
      <c r="H49" s="509">
        <v>1.44</v>
      </c>
      <c r="I49" s="509">
        <v>9.0299999999999994</v>
      </c>
      <c r="J49" s="507" t="s">
        <v>479</v>
      </c>
    </row>
    <row r="50" spans="1:10">
      <c r="A50" s="507">
        <v>20100128</v>
      </c>
      <c r="B50" s="508" t="s">
        <v>459</v>
      </c>
      <c r="C50" s="508" t="str">
        <f t="shared" si="3"/>
        <v>20100128RLS</v>
      </c>
      <c r="D50" s="508" t="s">
        <v>184</v>
      </c>
      <c r="E50" s="508" t="str">
        <f t="shared" si="4"/>
        <v>20100128LGUM_122</v>
      </c>
      <c r="F50" s="509">
        <v>11.02</v>
      </c>
      <c r="G50" s="509">
        <v>0.55000000000000004</v>
      </c>
      <c r="H50" s="509">
        <v>1.44</v>
      </c>
      <c r="I50" s="509">
        <v>9.0299999999999994</v>
      </c>
      <c r="J50" s="507" t="s">
        <v>479</v>
      </c>
    </row>
    <row r="51" spans="1:10">
      <c r="A51" s="507">
        <v>20100128</v>
      </c>
      <c r="B51" s="508" t="s">
        <v>459</v>
      </c>
      <c r="C51" s="508" t="str">
        <f t="shared" si="3"/>
        <v>20100128RLS</v>
      </c>
      <c r="D51" s="508" t="s">
        <v>221</v>
      </c>
      <c r="E51" s="508" t="str">
        <f t="shared" si="4"/>
        <v>20100128LGUM_222</v>
      </c>
      <c r="F51" s="509">
        <v>11.02</v>
      </c>
      <c r="G51" s="509">
        <v>0.55000000000000004</v>
      </c>
      <c r="H51" s="509">
        <v>1.44</v>
      </c>
      <c r="I51" s="509">
        <v>9.0299999999999994</v>
      </c>
      <c r="J51" s="507" t="s">
        <v>479</v>
      </c>
    </row>
    <row r="52" spans="1:10">
      <c r="A52" s="507">
        <v>20100128</v>
      </c>
      <c r="B52" s="508" t="s">
        <v>459</v>
      </c>
      <c r="C52" s="508" t="str">
        <f t="shared" si="3"/>
        <v>20100128RLS</v>
      </c>
      <c r="D52" s="508" t="s">
        <v>149</v>
      </c>
      <c r="E52" s="508" t="str">
        <f t="shared" si="4"/>
        <v>20100128LGUM_023</v>
      </c>
      <c r="F52" s="509">
        <v>11.02</v>
      </c>
      <c r="G52" s="509">
        <v>0.55000000000000004</v>
      </c>
      <c r="H52" s="509">
        <v>1.44</v>
      </c>
      <c r="I52" s="509">
        <v>9.0299999999999994</v>
      </c>
      <c r="J52" s="507" t="s">
        <v>480</v>
      </c>
    </row>
    <row r="53" spans="1:10">
      <c r="A53" s="507">
        <v>20100128</v>
      </c>
      <c r="B53" s="508" t="s">
        <v>459</v>
      </c>
      <c r="C53" s="508" t="str">
        <f t="shared" si="3"/>
        <v>20100128RLS</v>
      </c>
      <c r="D53" s="508" t="s">
        <v>185</v>
      </c>
      <c r="E53" s="508" t="str">
        <f t="shared" si="4"/>
        <v>20100128LGUM_123</v>
      </c>
      <c r="F53" s="509">
        <v>11.02</v>
      </c>
      <c r="G53" s="509">
        <v>0.55000000000000004</v>
      </c>
      <c r="H53" s="509">
        <v>1.44</v>
      </c>
      <c r="I53" s="509">
        <v>9.0299999999999994</v>
      </c>
      <c r="J53" s="507" t="s">
        <v>480</v>
      </c>
    </row>
    <row r="54" spans="1:10">
      <c r="A54" s="507">
        <v>20100128</v>
      </c>
      <c r="B54" s="508" t="s">
        <v>459</v>
      </c>
      <c r="C54" s="508" t="str">
        <f t="shared" si="3"/>
        <v>20100128RLS</v>
      </c>
      <c r="D54" s="508" t="s">
        <v>348</v>
      </c>
      <c r="E54" s="508" t="str">
        <f t="shared" si="4"/>
        <v>20100128LGUM_223</v>
      </c>
      <c r="F54" s="509">
        <v>11.02</v>
      </c>
      <c r="G54" s="509">
        <v>0.55000000000000004</v>
      </c>
      <c r="H54" s="509">
        <v>1.44</v>
      </c>
      <c r="I54" s="509">
        <v>9.0299999999999994</v>
      </c>
      <c r="J54" s="507" t="s">
        <v>480</v>
      </c>
    </row>
    <row r="55" spans="1:10">
      <c r="A55" s="507">
        <v>20100128</v>
      </c>
      <c r="B55" s="508" t="s">
        <v>459</v>
      </c>
      <c r="C55" s="508" t="str">
        <f t="shared" si="3"/>
        <v>20100128RLS</v>
      </c>
      <c r="D55" s="508" t="s">
        <v>150</v>
      </c>
      <c r="E55" s="508" t="str">
        <f t="shared" si="4"/>
        <v>20100128LGUM_024</v>
      </c>
      <c r="F55" s="509">
        <v>15.31</v>
      </c>
      <c r="G55" s="509">
        <v>0.57999999999999996</v>
      </c>
      <c r="H55" s="509">
        <v>0.99</v>
      </c>
      <c r="I55" s="509">
        <v>13.74</v>
      </c>
      <c r="J55" s="507" t="s">
        <v>481</v>
      </c>
    </row>
    <row r="56" spans="1:10">
      <c r="A56" s="507">
        <v>20100128</v>
      </c>
      <c r="B56" s="508" t="s">
        <v>459</v>
      </c>
      <c r="C56" s="508" t="str">
        <f t="shared" si="3"/>
        <v>20100128RLS</v>
      </c>
      <c r="D56" s="508" t="s">
        <v>186</v>
      </c>
      <c r="E56" s="508" t="str">
        <f t="shared" si="4"/>
        <v>20100128LGUM_124</v>
      </c>
      <c r="F56" s="509">
        <v>15.31</v>
      </c>
      <c r="G56" s="509">
        <v>0.57999999999999996</v>
      </c>
      <c r="H56" s="509">
        <v>0.99</v>
      </c>
      <c r="I56" s="509">
        <v>13.74</v>
      </c>
      <c r="J56" s="507" t="s">
        <v>481</v>
      </c>
    </row>
    <row r="57" spans="1:10">
      <c r="A57" s="507">
        <v>20100128</v>
      </c>
      <c r="B57" s="508" t="s">
        <v>459</v>
      </c>
      <c r="C57" s="508" t="str">
        <f t="shared" si="3"/>
        <v>20100128RLS</v>
      </c>
      <c r="D57" s="508" t="s">
        <v>222</v>
      </c>
      <c r="E57" s="508" t="str">
        <f t="shared" si="4"/>
        <v>20100128LGUM_224</v>
      </c>
      <c r="F57" s="509">
        <v>15.31</v>
      </c>
      <c r="G57" s="509">
        <v>0.57999999999999996</v>
      </c>
      <c r="H57" s="509">
        <v>0.99</v>
      </c>
      <c r="I57" s="509">
        <v>13.74</v>
      </c>
      <c r="J57" s="507" t="s">
        <v>481</v>
      </c>
    </row>
    <row r="58" spans="1:10">
      <c r="A58" s="507">
        <v>20100128</v>
      </c>
      <c r="B58" s="508" t="s">
        <v>459</v>
      </c>
      <c r="C58" s="508" t="str">
        <f t="shared" si="3"/>
        <v>20100128RLS</v>
      </c>
      <c r="D58" s="508" t="s">
        <v>482</v>
      </c>
      <c r="E58" s="508" t="str">
        <f t="shared" si="4"/>
        <v>20100128LGUM_025</v>
      </c>
      <c r="F58" s="509">
        <v>20.63</v>
      </c>
      <c r="G58" s="509">
        <v>0.55000000000000004</v>
      </c>
      <c r="H58" s="509">
        <v>1.38</v>
      </c>
      <c r="I58" s="509">
        <v>18.7</v>
      </c>
      <c r="J58" s="507" t="s">
        <v>479</v>
      </c>
    </row>
    <row r="59" spans="1:10">
      <c r="A59" s="507">
        <v>20100128</v>
      </c>
      <c r="B59" s="508" t="s">
        <v>459</v>
      </c>
      <c r="C59" s="508" t="str">
        <f t="shared" si="3"/>
        <v>20100128RLS</v>
      </c>
      <c r="D59" s="508" t="s">
        <v>483</v>
      </c>
      <c r="E59" s="508" t="str">
        <f t="shared" si="4"/>
        <v>20100128LGUM_125</v>
      </c>
      <c r="F59" s="509">
        <v>20.63</v>
      </c>
      <c r="G59" s="509">
        <v>0.55000000000000004</v>
      </c>
      <c r="H59" s="509">
        <v>1.38</v>
      </c>
      <c r="I59" s="509">
        <v>18.7</v>
      </c>
      <c r="J59" s="507" t="s">
        <v>479</v>
      </c>
    </row>
    <row r="60" spans="1:10">
      <c r="A60" s="507">
        <v>20100128</v>
      </c>
      <c r="B60" s="508" t="s">
        <v>459</v>
      </c>
      <c r="C60" s="508" t="str">
        <f t="shared" si="3"/>
        <v>20100128RLS</v>
      </c>
      <c r="D60" s="508" t="s">
        <v>484</v>
      </c>
      <c r="E60" s="508" t="str">
        <f t="shared" si="4"/>
        <v>20100128LGUM_225</v>
      </c>
      <c r="F60" s="509">
        <v>20.63</v>
      </c>
      <c r="G60" s="509">
        <v>0.55000000000000004</v>
      </c>
      <c r="H60" s="509">
        <v>1.38</v>
      </c>
      <c r="I60" s="509">
        <v>18.7</v>
      </c>
      <c r="J60" s="507" t="s">
        <v>479</v>
      </c>
    </row>
    <row r="61" spans="1:10">
      <c r="A61" s="507">
        <v>20100128</v>
      </c>
      <c r="B61" s="508" t="s">
        <v>459</v>
      </c>
      <c r="C61" s="508" t="str">
        <f t="shared" si="3"/>
        <v>20100128RLS</v>
      </c>
      <c r="D61" s="508" t="s">
        <v>485</v>
      </c>
      <c r="E61" s="508" t="str">
        <f t="shared" si="4"/>
        <v>20100128LGUM_026</v>
      </c>
      <c r="F61" s="509">
        <v>11.65</v>
      </c>
      <c r="G61" s="509">
        <v>0.52</v>
      </c>
      <c r="H61" s="509">
        <v>0.69</v>
      </c>
      <c r="I61" s="509">
        <v>10.440000000000001</v>
      </c>
      <c r="J61" s="507" t="s">
        <v>486</v>
      </c>
    </row>
    <row r="62" spans="1:10">
      <c r="A62" s="507">
        <v>20100128</v>
      </c>
      <c r="B62" s="508" t="s">
        <v>459</v>
      </c>
      <c r="C62" s="508" t="str">
        <f t="shared" si="3"/>
        <v>20100128RLS</v>
      </c>
      <c r="D62" s="508" t="s">
        <v>487</v>
      </c>
      <c r="E62" s="508" t="str">
        <f t="shared" si="4"/>
        <v>20100128LGUM_126</v>
      </c>
      <c r="F62" s="509">
        <v>11.65</v>
      </c>
      <c r="G62" s="509">
        <v>0.52</v>
      </c>
      <c r="H62" s="509">
        <v>0.69</v>
      </c>
      <c r="I62" s="509">
        <v>10.440000000000001</v>
      </c>
      <c r="J62" s="507" t="s">
        <v>486</v>
      </c>
    </row>
    <row r="63" spans="1:10">
      <c r="A63" s="507">
        <v>20100128</v>
      </c>
      <c r="B63" s="508" t="s">
        <v>459</v>
      </c>
      <c r="C63" s="508" t="str">
        <f t="shared" si="3"/>
        <v>20100128RLS</v>
      </c>
      <c r="D63" s="508" t="s">
        <v>488</v>
      </c>
      <c r="E63" s="508" t="str">
        <f t="shared" si="4"/>
        <v>20100128LGUM_226</v>
      </c>
      <c r="F63" s="509">
        <v>11.65</v>
      </c>
      <c r="G63" s="509">
        <v>0.52</v>
      </c>
      <c r="H63" s="509">
        <v>0.69</v>
      </c>
      <c r="I63" s="509">
        <v>10.440000000000001</v>
      </c>
      <c r="J63" s="507" t="s">
        <v>486</v>
      </c>
    </row>
    <row r="64" spans="1:10">
      <c r="A64" s="507">
        <v>20100128</v>
      </c>
      <c r="B64" s="508" t="s">
        <v>459</v>
      </c>
      <c r="C64" s="508" t="str">
        <f t="shared" si="3"/>
        <v>20100128RLS</v>
      </c>
      <c r="D64" s="508" t="s">
        <v>489</v>
      </c>
      <c r="E64" s="508" t="str">
        <f t="shared" si="4"/>
        <v>20100128LGUM_251</v>
      </c>
      <c r="F64" s="509">
        <v>1.0000000000000001E-9</v>
      </c>
      <c r="G64" s="509">
        <v>0</v>
      </c>
      <c r="H64" s="509">
        <v>0</v>
      </c>
      <c r="I64" s="509">
        <v>0</v>
      </c>
      <c r="J64" s="507" t="s">
        <v>490</v>
      </c>
    </row>
    <row r="65" spans="1:10">
      <c r="A65" s="507">
        <v>20100128</v>
      </c>
      <c r="B65" s="508" t="s">
        <v>459</v>
      </c>
      <c r="C65" s="508" t="str">
        <f t="shared" si="3"/>
        <v>20100128RLS</v>
      </c>
      <c r="D65" s="508" t="s">
        <v>151</v>
      </c>
      <c r="E65" s="508" t="str">
        <f t="shared" si="4"/>
        <v>20100128LGUM_052</v>
      </c>
      <c r="F65" s="509">
        <v>10.220000000000001</v>
      </c>
      <c r="G65" s="509">
        <v>0.41</v>
      </c>
      <c r="H65" s="509">
        <v>1.44</v>
      </c>
      <c r="I65" s="509">
        <v>8.370000000000001</v>
      </c>
      <c r="J65" s="507" t="s">
        <v>491</v>
      </c>
    </row>
    <row r="66" spans="1:10">
      <c r="A66" s="507">
        <v>20100128</v>
      </c>
      <c r="B66" s="508" t="s">
        <v>459</v>
      </c>
      <c r="C66" s="508" t="str">
        <f t="shared" si="3"/>
        <v>20100128RLS</v>
      </c>
      <c r="D66" s="508" t="s">
        <v>187</v>
      </c>
      <c r="E66" s="508" t="str">
        <f t="shared" si="4"/>
        <v>20100128LGUM_152</v>
      </c>
      <c r="F66" s="509">
        <v>10.220000000000001</v>
      </c>
      <c r="G66" s="509">
        <v>0.41</v>
      </c>
      <c r="H66" s="509">
        <v>1.44</v>
      </c>
      <c r="I66" s="509">
        <v>8.370000000000001</v>
      </c>
      <c r="J66" s="507" t="s">
        <v>491</v>
      </c>
    </row>
    <row r="67" spans="1:10">
      <c r="A67" s="507">
        <v>20100128</v>
      </c>
      <c r="B67" s="508" t="s">
        <v>459</v>
      </c>
      <c r="C67" s="508" t="str">
        <f t="shared" si="3"/>
        <v>20100128RLS</v>
      </c>
      <c r="D67" s="508" t="s">
        <v>223</v>
      </c>
      <c r="E67" s="508" t="str">
        <f t="shared" si="4"/>
        <v>20100128LGUM_252</v>
      </c>
      <c r="F67" s="509">
        <v>10.220000000000001</v>
      </c>
      <c r="G67" s="509">
        <v>0.41</v>
      </c>
      <c r="H67" s="509">
        <v>1.44</v>
      </c>
      <c r="I67" s="509">
        <v>8.370000000000001</v>
      </c>
      <c r="J67" s="507" t="s">
        <v>491</v>
      </c>
    </row>
    <row r="68" spans="1:10">
      <c r="A68" s="507">
        <v>20100128</v>
      </c>
      <c r="B68" s="508" t="s">
        <v>459</v>
      </c>
      <c r="C68" s="508" t="str">
        <f t="shared" si="3"/>
        <v>20100128RLS</v>
      </c>
      <c r="D68" s="508" t="s">
        <v>152</v>
      </c>
      <c r="E68" s="508" t="str">
        <f t="shared" si="4"/>
        <v>20100128LGUM_053</v>
      </c>
      <c r="F68" s="509">
        <v>11.65</v>
      </c>
      <c r="G68" s="509">
        <v>0.53</v>
      </c>
      <c r="H68" s="509">
        <v>2.04</v>
      </c>
      <c r="I68" s="509">
        <v>9.0800000000000018</v>
      </c>
      <c r="J68" s="507" t="s">
        <v>492</v>
      </c>
    </row>
    <row r="69" spans="1:10">
      <c r="A69" s="507">
        <v>20100128</v>
      </c>
      <c r="B69" s="508" t="s">
        <v>459</v>
      </c>
      <c r="C69" s="508" t="str">
        <f t="shared" si="3"/>
        <v>20100128RLS</v>
      </c>
      <c r="D69" s="508" t="s">
        <v>188</v>
      </c>
      <c r="E69" s="508" t="str">
        <f t="shared" si="4"/>
        <v>20100128LGUM_153</v>
      </c>
      <c r="F69" s="509">
        <v>11.65</v>
      </c>
      <c r="G69" s="509">
        <v>0.53</v>
      </c>
      <c r="H69" s="509">
        <v>2.04</v>
      </c>
      <c r="I69" s="509">
        <v>9.0800000000000018</v>
      </c>
      <c r="J69" s="507" t="s">
        <v>492</v>
      </c>
    </row>
    <row r="70" spans="1:10">
      <c r="A70" s="507">
        <v>20100128</v>
      </c>
      <c r="B70" s="508" t="s">
        <v>459</v>
      </c>
      <c r="C70" s="508" t="str">
        <f t="shared" si="3"/>
        <v>20100128RLS</v>
      </c>
      <c r="D70" s="508" t="s">
        <v>224</v>
      </c>
      <c r="E70" s="508" t="str">
        <f t="shared" si="4"/>
        <v>20100128LGUM_253</v>
      </c>
      <c r="F70" s="509">
        <v>11.65</v>
      </c>
      <c r="G70" s="509">
        <v>0.53</v>
      </c>
      <c r="H70" s="509">
        <v>2.04</v>
      </c>
      <c r="I70" s="509">
        <v>9.0800000000000018</v>
      </c>
      <c r="J70" s="507" t="s">
        <v>492</v>
      </c>
    </row>
    <row r="71" spans="1:10">
      <c r="A71" s="507">
        <v>20100128</v>
      </c>
      <c r="B71" s="508" t="s">
        <v>459</v>
      </c>
      <c r="C71" s="508" t="str">
        <f t="shared" si="3"/>
        <v>20100128RLS</v>
      </c>
      <c r="D71" s="508" t="s">
        <v>153</v>
      </c>
      <c r="E71" s="508" t="str">
        <f t="shared" si="4"/>
        <v>20100128LGUM_054</v>
      </c>
      <c r="F71" s="509">
        <v>14.15</v>
      </c>
      <c r="G71" s="509">
        <v>0.6</v>
      </c>
      <c r="H71" s="509">
        <v>3.17</v>
      </c>
      <c r="I71" s="509">
        <v>10.38</v>
      </c>
      <c r="J71" s="507" t="s">
        <v>493</v>
      </c>
    </row>
    <row r="72" spans="1:10">
      <c r="A72" s="507">
        <v>20100128</v>
      </c>
      <c r="B72" s="508" t="s">
        <v>459</v>
      </c>
      <c r="C72" s="508" t="str">
        <f t="shared" si="3"/>
        <v>20100128RLS</v>
      </c>
      <c r="D72" s="508" t="s">
        <v>189</v>
      </c>
      <c r="E72" s="508" t="str">
        <f t="shared" si="4"/>
        <v>20100128LGUM_154</v>
      </c>
      <c r="F72" s="509">
        <v>14.15</v>
      </c>
      <c r="G72" s="509">
        <v>0.6</v>
      </c>
      <c r="H72" s="509">
        <v>3.17</v>
      </c>
      <c r="I72" s="509">
        <v>10.38</v>
      </c>
      <c r="J72" s="507" t="s">
        <v>493</v>
      </c>
    </row>
    <row r="73" spans="1:10">
      <c r="A73" s="507">
        <v>20100128</v>
      </c>
      <c r="B73" s="508" t="s">
        <v>459</v>
      </c>
      <c r="C73" s="508" t="str">
        <f t="shared" si="3"/>
        <v>20100128RLS</v>
      </c>
      <c r="D73" s="508" t="s">
        <v>349</v>
      </c>
      <c r="E73" s="508" t="str">
        <f t="shared" si="4"/>
        <v>20100128LGUM_254</v>
      </c>
      <c r="F73" s="509">
        <v>14.15</v>
      </c>
      <c r="G73" s="509">
        <v>0.6</v>
      </c>
      <c r="H73" s="509">
        <v>3.17</v>
      </c>
      <c r="I73" s="509">
        <v>10.38</v>
      </c>
      <c r="J73" s="507" t="s">
        <v>493</v>
      </c>
    </row>
    <row r="74" spans="1:10">
      <c r="A74" s="507">
        <v>20100128</v>
      </c>
      <c r="B74" s="508" t="s">
        <v>459</v>
      </c>
      <c r="C74" s="508" t="str">
        <f t="shared" si="3"/>
        <v>20100128RLS</v>
      </c>
      <c r="D74" s="508" t="s">
        <v>154</v>
      </c>
      <c r="E74" s="508" t="str">
        <f t="shared" si="4"/>
        <v>20100128LGUM_055</v>
      </c>
      <c r="F74" s="509">
        <v>8.7100000000000009</v>
      </c>
      <c r="G74" s="509">
        <v>0.57999999999999996</v>
      </c>
      <c r="H74" s="509">
        <v>0.99</v>
      </c>
      <c r="I74" s="509">
        <v>7.1400000000000006</v>
      </c>
      <c r="J74" s="507" t="s">
        <v>494</v>
      </c>
    </row>
    <row r="75" spans="1:10">
      <c r="A75" s="507">
        <v>20100128</v>
      </c>
      <c r="B75" s="508" t="s">
        <v>459</v>
      </c>
      <c r="C75" s="508" t="str">
        <f t="shared" si="3"/>
        <v>20100128RLS</v>
      </c>
      <c r="D75" s="508" t="s">
        <v>190</v>
      </c>
      <c r="E75" s="508" t="str">
        <f t="shared" si="4"/>
        <v>20100128LGUM_155</v>
      </c>
      <c r="F75" s="509">
        <v>8.7100000000000009</v>
      </c>
      <c r="G75" s="509">
        <v>0.57999999999999996</v>
      </c>
      <c r="H75" s="509">
        <v>0.99</v>
      </c>
      <c r="I75" s="509">
        <v>7.1400000000000006</v>
      </c>
      <c r="J75" s="507" t="s">
        <v>494</v>
      </c>
    </row>
    <row r="76" spans="1:10">
      <c r="A76" s="507">
        <v>20100128</v>
      </c>
      <c r="B76" s="508" t="s">
        <v>459</v>
      </c>
      <c r="C76" s="508" t="str">
        <f t="shared" si="3"/>
        <v>20100128RLS</v>
      </c>
      <c r="D76" s="508" t="s">
        <v>225</v>
      </c>
      <c r="E76" s="508" t="str">
        <f t="shared" si="4"/>
        <v>20100128LGUM_255</v>
      </c>
      <c r="F76" s="509">
        <v>8.7100000000000009</v>
      </c>
      <c r="G76" s="509">
        <v>0.57999999999999996</v>
      </c>
      <c r="H76" s="509">
        <v>0.99</v>
      </c>
      <c r="I76" s="509">
        <v>7.1400000000000006</v>
      </c>
      <c r="J76" s="507" t="s">
        <v>494</v>
      </c>
    </row>
    <row r="77" spans="1:10">
      <c r="A77" s="507">
        <v>20100128</v>
      </c>
      <c r="B77" s="508" t="s">
        <v>459</v>
      </c>
      <c r="C77" s="508" t="str">
        <f t="shared" si="3"/>
        <v>20100128RLS</v>
      </c>
      <c r="D77" s="508" t="s">
        <v>495</v>
      </c>
      <c r="E77" s="508" t="str">
        <f t="shared" si="4"/>
        <v>20100128LGUM_056</v>
      </c>
      <c r="F77" s="509">
        <v>13.12</v>
      </c>
      <c r="G77" s="509">
        <v>0.57999999999999996</v>
      </c>
      <c r="H77" s="509">
        <v>0.86</v>
      </c>
      <c r="I77" s="509">
        <v>11.68</v>
      </c>
      <c r="J77" s="507" t="s">
        <v>496</v>
      </c>
    </row>
    <row r="78" spans="1:10">
      <c r="A78" s="507">
        <v>20100128</v>
      </c>
      <c r="B78" s="508" t="s">
        <v>459</v>
      </c>
      <c r="C78" s="508" t="str">
        <f t="shared" si="3"/>
        <v>20100128RLS</v>
      </c>
      <c r="D78" s="508" t="s">
        <v>497</v>
      </c>
      <c r="E78" s="508" t="str">
        <f t="shared" si="4"/>
        <v>20100128LGUM_156</v>
      </c>
      <c r="F78" s="509">
        <v>13.12</v>
      </c>
      <c r="G78" s="509">
        <v>0.57999999999999996</v>
      </c>
      <c r="H78" s="509">
        <v>0.86</v>
      </c>
      <c r="I78" s="509">
        <v>11.68</v>
      </c>
      <c r="J78" s="507" t="s">
        <v>496</v>
      </c>
    </row>
    <row r="79" spans="1:10">
      <c r="A79" s="507">
        <v>20100128</v>
      </c>
      <c r="B79" s="508" t="s">
        <v>459</v>
      </c>
      <c r="C79" s="508" t="str">
        <f t="shared" si="3"/>
        <v>20100128RLS</v>
      </c>
      <c r="D79" s="508" t="s">
        <v>498</v>
      </c>
      <c r="E79" s="508" t="str">
        <f t="shared" si="4"/>
        <v>20100128LGUM_256</v>
      </c>
      <c r="F79" s="509">
        <v>13.12</v>
      </c>
      <c r="G79" s="509">
        <v>0.57999999999999996</v>
      </c>
      <c r="H79" s="509">
        <v>0.86</v>
      </c>
      <c r="I79" s="509">
        <v>11.68</v>
      </c>
      <c r="J79" s="507" t="s">
        <v>496</v>
      </c>
    </row>
    <row r="80" spans="1:10">
      <c r="A80" s="507">
        <v>20100128</v>
      </c>
      <c r="B80" s="508" t="s">
        <v>459</v>
      </c>
      <c r="C80" s="508" t="str">
        <f t="shared" si="3"/>
        <v>20100128RLS</v>
      </c>
      <c r="D80" s="508" t="s">
        <v>155</v>
      </c>
      <c r="E80" s="508" t="str">
        <f t="shared" si="4"/>
        <v>20100128LGUM_057</v>
      </c>
      <c r="F80" s="509">
        <v>14.15</v>
      </c>
      <c r="G80" s="509">
        <v>0.6</v>
      </c>
      <c r="H80" s="509">
        <v>3.17</v>
      </c>
      <c r="I80" s="509">
        <v>10.38</v>
      </c>
      <c r="J80" s="507" t="s">
        <v>499</v>
      </c>
    </row>
    <row r="81" spans="1:10">
      <c r="A81" s="507">
        <v>20100128</v>
      </c>
      <c r="B81" s="508" t="s">
        <v>459</v>
      </c>
      <c r="C81" s="508" t="str">
        <f t="shared" si="3"/>
        <v>20100128RLS</v>
      </c>
      <c r="D81" s="508" t="s">
        <v>191</v>
      </c>
      <c r="E81" s="508" t="str">
        <f t="shared" si="4"/>
        <v>20100128LGUM_157</v>
      </c>
      <c r="F81" s="509">
        <v>14.15</v>
      </c>
      <c r="G81" s="509">
        <v>0.6</v>
      </c>
      <c r="H81" s="509">
        <v>3.17</v>
      </c>
      <c r="I81" s="509">
        <v>10.38</v>
      </c>
      <c r="J81" s="507" t="s">
        <v>499</v>
      </c>
    </row>
    <row r="82" spans="1:10">
      <c r="A82" s="507">
        <v>20100128</v>
      </c>
      <c r="B82" s="508" t="s">
        <v>459</v>
      </c>
      <c r="C82" s="508" t="str">
        <f t="shared" si="3"/>
        <v>20100128RLS</v>
      </c>
      <c r="D82" s="508" t="s">
        <v>350</v>
      </c>
      <c r="E82" s="508" t="str">
        <f t="shared" si="4"/>
        <v>20100128LGUM_257</v>
      </c>
      <c r="F82" s="509">
        <v>14.15</v>
      </c>
      <c r="G82" s="509">
        <v>0.6</v>
      </c>
      <c r="H82" s="509">
        <v>3.17</v>
      </c>
      <c r="I82" s="509">
        <v>10.38</v>
      </c>
      <c r="J82" s="507" t="s">
        <v>499</v>
      </c>
    </row>
    <row r="83" spans="1:10">
      <c r="A83" s="507">
        <v>20100128</v>
      </c>
      <c r="B83" s="508" t="s">
        <v>459</v>
      </c>
      <c r="C83" s="508" t="str">
        <f t="shared" si="3"/>
        <v>20100128RLS</v>
      </c>
      <c r="D83" s="508" t="s">
        <v>156</v>
      </c>
      <c r="E83" s="508" t="str">
        <f t="shared" si="4"/>
        <v>20100128LGUM_058</v>
      </c>
      <c r="F83" s="509">
        <v>14.88</v>
      </c>
      <c r="G83" s="509">
        <v>0.41</v>
      </c>
      <c r="H83" s="509">
        <v>1.44</v>
      </c>
      <c r="I83" s="509">
        <v>13.030000000000001</v>
      </c>
      <c r="J83" s="507" t="s">
        <v>500</v>
      </c>
    </row>
    <row r="84" spans="1:10">
      <c r="A84" s="507">
        <v>20100128</v>
      </c>
      <c r="B84" s="508" t="s">
        <v>459</v>
      </c>
      <c r="C84" s="508" t="str">
        <f t="shared" si="3"/>
        <v>20100128RLS</v>
      </c>
      <c r="D84" s="508" t="s">
        <v>192</v>
      </c>
      <c r="E84" s="508" t="str">
        <f t="shared" si="4"/>
        <v>20100128LGUM_158</v>
      </c>
      <c r="F84" s="509">
        <v>14.88</v>
      </c>
      <c r="G84" s="509">
        <v>0.41</v>
      </c>
      <c r="H84" s="509">
        <v>1.44</v>
      </c>
      <c r="I84" s="509">
        <v>13.030000000000001</v>
      </c>
      <c r="J84" s="507" t="s">
        <v>500</v>
      </c>
    </row>
    <row r="85" spans="1:10">
      <c r="A85" s="507">
        <v>20100128</v>
      </c>
      <c r="B85" s="508" t="s">
        <v>459</v>
      </c>
      <c r="C85" s="508" t="str">
        <f t="shared" si="3"/>
        <v>20100128RLS</v>
      </c>
      <c r="D85" s="508" t="s">
        <v>226</v>
      </c>
      <c r="E85" s="508" t="str">
        <f t="shared" si="4"/>
        <v>20100128LGUM_258</v>
      </c>
      <c r="F85" s="509">
        <v>14.88</v>
      </c>
      <c r="G85" s="509">
        <v>0.41</v>
      </c>
      <c r="H85" s="509">
        <v>1.44</v>
      </c>
      <c r="I85" s="509">
        <v>13.030000000000001</v>
      </c>
      <c r="J85" s="507" t="s">
        <v>500</v>
      </c>
    </row>
    <row r="86" spans="1:10">
      <c r="A86" s="507">
        <v>20100128</v>
      </c>
      <c r="B86" s="508" t="s">
        <v>459</v>
      </c>
      <c r="C86" s="508" t="str">
        <f t="shared" si="3"/>
        <v>20100128RLS</v>
      </c>
      <c r="D86" s="508" t="s">
        <v>361</v>
      </c>
      <c r="E86" s="508" t="str">
        <f t="shared" si="4"/>
        <v>20100128LGUM_059</v>
      </c>
      <c r="F86" s="509">
        <v>26.08</v>
      </c>
      <c r="G86" s="509">
        <v>1.0900000000000001</v>
      </c>
      <c r="H86" s="509">
        <v>7.58</v>
      </c>
      <c r="I86" s="509">
        <v>17.409999999999997</v>
      </c>
      <c r="J86" s="507" t="s">
        <v>501</v>
      </c>
    </row>
    <row r="87" spans="1:10">
      <c r="A87" s="507">
        <v>20100128</v>
      </c>
      <c r="B87" s="508" t="s">
        <v>459</v>
      </c>
      <c r="C87" s="508" t="str">
        <f t="shared" si="3"/>
        <v>20100128RLS</v>
      </c>
      <c r="D87" s="508" t="s">
        <v>193</v>
      </c>
      <c r="E87" s="508" t="str">
        <f t="shared" si="4"/>
        <v>20100128LGUM_159</v>
      </c>
      <c r="F87" s="509">
        <v>26.08</v>
      </c>
      <c r="G87" s="509">
        <v>1.0900000000000001</v>
      </c>
      <c r="H87" s="509">
        <v>7.58</v>
      </c>
      <c r="I87" s="509">
        <v>17.409999999999997</v>
      </c>
      <c r="J87" s="507" t="s">
        <v>501</v>
      </c>
    </row>
    <row r="88" spans="1:10">
      <c r="A88" s="507">
        <v>20100128</v>
      </c>
      <c r="B88" s="508" t="s">
        <v>459</v>
      </c>
      <c r="C88" s="508" t="str">
        <f t="shared" si="3"/>
        <v>20100128RLS</v>
      </c>
      <c r="D88" s="508" t="s">
        <v>227</v>
      </c>
      <c r="E88" s="508" t="str">
        <f t="shared" si="4"/>
        <v>20100128LGUM_259</v>
      </c>
      <c r="F88" s="509">
        <v>26.08</v>
      </c>
      <c r="G88" s="509">
        <v>1.0900000000000001</v>
      </c>
      <c r="H88" s="509">
        <v>7.58</v>
      </c>
      <c r="I88" s="509">
        <v>17.409999999999997</v>
      </c>
      <c r="J88" s="507" t="s">
        <v>501</v>
      </c>
    </row>
    <row r="89" spans="1:10">
      <c r="A89" s="507">
        <v>20100128</v>
      </c>
      <c r="B89" s="508" t="s">
        <v>459</v>
      </c>
      <c r="C89" s="508" t="str">
        <f t="shared" si="3"/>
        <v>20100128RLS</v>
      </c>
      <c r="D89" s="508" t="s">
        <v>502</v>
      </c>
      <c r="E89" s="508" t="str">
        <f t="shared" si="4"/>
        <v>20100128LGUM_060</v>
      </c>
      <c r="F89" s="509">
        <v>26.21</v>
      </c>
      <c r="G89" s="509">
        <v>1.0900000000000001</v>
      </c>
      <c r="H89" s="509">
        <v>7.58</v>
      </c>
      <c r="I89" s="509">
        <v>17.54</v>
      </c>
      <c r="J89" s="507" t="s">
        <v>503</v>
      </c>
    </row>
    <row r="90" spans="1:10">
      <c r="A90" s="507">
        <v>20100128</v>
      </c>
      <c r="B90" s="508" t="s">
        <v>459</v>
      </c>
      <c r="C90" s="508" t="str">
        <f t="shared" si="3"/>
        <v>20100128RLS</v>
      </c>
      <c r="D90" s="508" t="s">
        <v>194</v>
      </c>
      <c r="E90" s="508" t="str">
        <f t="shared" si="4"/>
        <v>20100128LGUM_160</v>
      </c>
      <c r="F90" s="509">
        <v>26.21</v>
      </c>
      <c r="G90" s="509">
        <v>1.0900000000000001</v>
      </c>
      <c r="H90" s="509">
        <v>7.58</v>
      </c>
      <c r="I90" s="509">
        <v>17.54</v>
      </c>
      <c r="J90" s="507" t="s">
        <v>503</v>
      </c>
    </row>
    <row r="91" spans="1:10">
      <c r="A91" s="507">
        <v>20100128</v>
      </c>
      <c r="B91" s="508" t="s">
        <v>459</v>
      </c>
      <c r="C91" s="508" t="str">
        <f t="shared" si="3"/>
        <v>20100128RLS</v>
      </c>
      <c r="D91" s="508" t="s">
        <v>351</v>
      </c>
      <c r="E91" s="508" t="str">
        <f t="shared" si="4"/>
        <v>20100128LGUM_260</v>
      </c>
      <c r="F91" s="509">
        <v>26.21</v>
      </c>
      <c r="G91" s="509">
        <v>1.0900000000000001</v>
      </c>
      <c r="H91" s="509">
        <v>7.58</v>
      </c>
      <c r="I91" s="509">
        <v>17.54</v>
      </c>
      <c r="J91" s="507" t="s">
        <v>503</v>
      </c>
    </row>
    <row r="92" spans="1:10">
      <c r="A92" s="507">
        <v>20100128</v>
      </c>
      <c r="B92" s="508" t="s">
        <v>459</v>
      </c>
      <c r="C92" s="508" t="str">
        <f t="shared" si="3"/>
        <v>20100128RLS</v>
      </c>
      <c r="D92" s="508" t="s">
        <v>157</v>
      </c>
      <c r="E92" s="508" t="str">
        <f t="shared" si="4"/>
        <v>20100128LGUM_061</v>
      </c>
      <c r="F92" s="509">
        <v>13</v>
      </c>
      <c r="G92" s="509">
        <v>0.53</v>
      </c>
      <c r="H92" s="509">
        <v>2.14</v>
      </c>
      <c r="I92" s="509">
        <v>10.33</v>
      </c>
      <c r="J92" s="507" t="s">
        <v>504</v>
      </c>
    </row>
    <row r="93" spans="1:10">
      <c r="A93" s="507">
        <v>20100128</v>
      </c>
      <c r="B93" s="508" t="s">
        <v>459</v>
      </c>
      <c r="C93" s="508" t="str">
        <f t="shared" si="3"/>
        <v>20100128RLS</v>
      </c>
      <c r="D93" s="508" t="s">
        <v>195</v>
      </c>
      <c r="E93" s="508" t="str">
        <f t="shared" si="4"/>
        <v>20100128LGUM_161</v>
      </c>
      <c r="F93" s="509">
        <v>13</v>
      </c>
      <c r="G93" s="509">
        <v>0.53</v>
      </c>
      <c r="H93" s="509">
        <v>2.14</v>
      </c>
      <c r="I93" s="509">
        <v>10.33</v>
      </c>
      <c r="J93" s="507" t="s">
        <v>504</v>
      </c>
    </row>
    <row r="94" spans="1:10">
      <c r="A94" s="507">
        <v>20100128</v>
      </c>
      <c r="B94" s="508" t="s">
        <v>459</v>
      </c>
      <c r="C94" s="508" t="str">
        <f t="shared" ref="C94:C157" si="5">A94&amp;B94</f>
        <v>20100128RLS</v>
      </c>
      <c r="D94" s="508" t="s">
        <v>228</v>
      </c>
      <c r="E94" s="508" t="str">
        <f t="shared" ref="E94:E157" si="6">A94&amp;D94</f>
        <v>20100128LGUM_261</v>
      </c>
      <c r="F94" s="509">
        <v>13</v>
      </c>
      <c r="G94" s="509">
        <v>0.53</v>
      </c>
      <c r="H94" s="509">
        <v>2.14</v>
      </c>
      <c r="I94" s="509">
        <v>10.33</v>
      </c>
      <c r="J94" s="507" t="s">
        <v>504</v>
      </c>
    </row>
    <row r="95" spans="1:10">
      <c r="A95" s="507">
        <v>20100128</v>
      </c>
      <c r="B95" s="508" t="s">
        <v>459</v>
      </c>
      <c r="C95" s="508" t="str">
        <f t="shared" si="5"/>
        <v>20100128RLS</v>
      </c>
      <c r="D95" s="508" t="s">
        <v>158</v>
      </c>
      <c r="E95" s="508" t="str">
        <f t="shared" si="6"/>
        <v>20100128LGUM_062</v>
      </c>
      <c r="F95" s="509">
        <v>14.13</v>
      </c>
      <c r="G95" s="509">
        <v>0.6</v>
      </c>
      <c r="H95" s="509">
        <v>3.4</v>
      </c>
      <c r="I95" s="509">
        <v>10.130000000000001</v>
      </c>
      <c r="J95" s="507" t="s">
        <v>505</v>
      </c>
    </row>
    <row r="96" spans="1:10">
      <c r="A96" s="507">
        <v>20100128</v>
      </c>
      <c r="B96" s="508" t="s">
        <v>459</v>
      </c>
      <c r="C96" s="508" t="str">
        <f t="shared" si="5"/>
        <v>20100128RLS</v>
      </c>
      <c r="D96" s="508" t="s">
        <v>196</v>
      </c>
      <c r="E96" s="508" t="str">
        <f t="shared" si="6"/>
        <v>20100128LGUM_162</v>
      </c>
      <c r="F96" s="509">
        <v>14.13</v>
      </c>
      <c r="G96" s="509">
        <v>0.6</v>
      </c>
      <c r="H96" s="509">
        <v>3.4</v>
      </c>
      <c r="I96" s="509">
        <v>10.130000000000001</v>
      </c>
      <c r="J96" s="507" t="s">
        <v>505</v>
      </c>
    </row>
    <row r="97" spans="1:10">
      <c r="A97" s="507">
        <v>20100128</v>
      </c>
      <c r="B97" s="508" t="s">
        <v>459</v>
      </c>
      <c r="C97" s="508" t="str">
        <f t="shared" si="5"/>
        <v>20100128RLS</v>
      </c>
      <c r="D97" s="508" t="s">
        <v>229</v>
      </c>
      <c r="E97" s="508" t="str">
        <f t="shared" si="6"/>
        <v>20100128LGUM_262</v>
      </c>
      <c r="F97" s="509">
        <v>14.13</v>
      </c>
      <c r="G97" s="509">
        <v>0.6</v>
      </c>
      <c r="H97" s="509">
        <v>3.4</v>
      </c>
      <c r="I97" s="509">
        <v>10.130000000000001</v>
      </c>
      <c r="J97" s="507" t="s">
        <v>505</v>
      </c>
    </row>
    <row r="98" spans="1:10">
      <c r="A98" s="507">
        <v>20100128</v>
      </c>
      <c r="B98" s="508" t="s">
        <v>459</v>
      </c>
      <c r="C98" s="508" t="str">
        <f t="shared" si="5"/>
        <v>20100128RLS</v>
      </c>
      <c r="D98" s="508" t="s">
        <v>159</v>
      </c>
      <c r="E98" s="508" t="str">
        <f t="shared" si="6"/>
        <v>20100128LGUM_063</v>
      </c>
      <c r="F98" s="509">
        <v>14.13</v>
      </c>
      <c r="G98" s="509">
        <v>0.6</v>
      </c>
      <c r="H98" s="509">
        <v>3.4</v>
      </c>
      <c r="I98" s="509">
        <v>10.130000000000001</v>
      </c>
      <c r="J98" s="507" t="s">
        <v>506</v>
      </c>
    </row>
    <row r="99" spans="1:10">
      <c r="A99" s="507">
        <v>20100128</v>
      </c>
      <c r="B99" s="508" t="s">
        <v>459</v>
      </c>
      <c r="C99" s="508" t="str">
        <f t="shared" si="5"/>
        <v>20100128RLS</v>
      </c>
      <c r="D99" s="508" t="s">
        <v>197</v>
      </c>
      <c r="E99" s="508" t="str">
        <f t="shared" si="6"/>
        <v>20100128LGUM_163</v>
      </c>
      <c r="F99" s="509">
        <v>14.13</v>
      </c>
      <c r="G99" s="509">
        <v>0.6</v>
      </c>
      <c r="H99" s="509">
        <v>3.4</v>
      </c>
      <c r="I99" s="509">
        <v>10.130000000000001</v>
      </c>
      <c r="J99" s="507" t="s">
        <v>506</v>
      </c>
    </row>
    <row r="100" spans="1:10">
      <c r="A100" s="507">
        <v>20100128</v>
      </c>
      <c r="B100" s="508" t="s">
        <v>459</v>
      </c>
      <c r="C100" s="508" t="str">
        <f t="shared" si="5"/>
        <v>20100128RLS</v>
      </c>
      <c r="D100" s="508" t="s">
        <v>230</v>
      </c>
      <c r="E100" s="508" t="str">
        <f t="shared" si="6"/>
        <v>20100128LGUM_263</v>
      </c>
      <c r="F100" s="509">
        <v>14.13</v>
      </c>
      <c r="G100" s="509">
        <v>0.6</v>
      </c>
      <c r="H100" s="509">
        <v>3.4</v>
      </c>
      <c r="I100" s="509">
        <v>10.130000000000001</v>
      </c>
      <c r="J100" s="507" t="s">
        <v>506</v>
      </c>
    </row>
    <row r="101" spans="1:10">
      <c r="A101" s="507">
        <v>20100128</v>
      </c>
      <c r="B101" s="508" t="s">
        <v>459</v>
      </c>
      <c r="C101" s="508" t="str">
        <f t="shared" si="5"/>
        <v>20100128RLS</v>
      </c>
      <c r="D101" s="508" t="s">
        <v>160</v>
      </c>
      <c r="E101" s="508" t="str">
        <f t="shared" si="6"/>
        <v>20100128LGUM_066</v>
      </c>
      <c r="F101" s="509">
        <v>23.72</v>
      </c>
      <c r="G101" s="509">
        <v>0.53</v>
      </c>
      <c r="H101" s="509">
        <v>2.14</v>
      </c>
      <c r="I101" s="509">
        <v>21.049999999999997</v>
      </c>
      <c r="J101" s="507" t="s">
        <v>507</v>
      </c>
    </row>
    <row r="102" spans="1:10">
      <c r="A102" s="507">
        <v>20100128</v>
      </c>
      <c r="B102" s="508" t="s">
        <v>459</v>
      </c>
      <c r="C102" s="508" t="str">
        <f t="shared" si="5"/>
        <v>20100128RLS</v>
      </c>
      <c r="D102" s="508" t="s">
        <v>198</v>
      </c>
      <c r="E102" s="508" t="str">
        <f t="shared" si="6"/>
        <v>20100128LGUM_166</v>
      </c>
      <c r="F102" s="509">
        <v>23.72</v>
      </c>
      <c r="G102" s="509">
        <v>0.53</v>
      </c>
      <c r="H102" s="509">
        <v>2.14</v>
      </c>
      <c r="I102" s="509">
        <v>21.049999999999997</v>
      </c>
      <c r="J102" s="507" t="s">
        <v>507</v>
      </c>
    </row>
    <row r="103" spans="1:10">
      <c r="A103" s="507">
        <v>20100128</v>
      </c>
      <c r="B103" s="508" t="s">
        <v>459</v>
      </c>
      <c r="C103" s="508" t="str">
        <f t="shared" si="5"/>
        <v>20100128RLS</v>
      </c>
      <c r="D103" s="508" t="s">
        <v>231</v>
      </c>
      <c r="E103" s="508" t="str">
        <f t="shared" si="6"/>
        <v>20100128LGUM_266</v>
      </c>
      <c r="F103" s="509">
        <v>23.72</v>
      </c>
      <c r="G103" s="509">
        <v>0.53</v>
      </c>
      <c r="H103" s="509">
        <v>2.14</v>
      </c>
      <c r="I103" s="509">
        <v>21.049999999999997</v>
      </c>
      <c r="J103" s="507" t="s">
        <v>507</v>
      </c>
    </row>
    <row r="104" spans="1:10">
      <c r="A104" s="507">
        <v>20100128</v>
      </c>
      <c r="B104" s="508" t="s">
        <v>459</v>
      </c>
      <c r="C104" s="508" t="str">
        <f t="shared" si="5"/>
        <v>20100128RLS</v>
      </c>
      <c r="D104" s="508" t="s">
        <v>161</v>
      </c>
      <c r="E104" s="508" t="str">
        <f t="shared" si="6"/>
        <v>20100128LGUM_067</v>
      </c>
      <c r="F104" s="509">
        <v>26.44</v>
      </c>
      <c r="G104" s="509">
        <v>0.6</v>
      </c>
      <c r="H104" s="509">
        <v>2.94</v>
      </c>
      <c r="I104" s="509">
        <v>22.9</v>
      </c>
      <c r="J104" s="507" t="s">
        <v>508</v>
      </c>
    </row>
    <row r="105" spans="1:10">
      <c r="A105" s="507">
        <v>20100128</v>
      </c>
      <c r="B105" s="508" t="s">
        <v>459</v>
      </c>
      <c r="C105" s="508" t="str">
        <f t="shared" si="5"/>
        <v>20100128RLS</v>
      </c>
      <c r="D105" s="508" t="s">
        <v>199</v>
      </c>
      <c r="E105" s="508" t="str">
        <f t="shared" si="6"/>
        <v>20100128LGUM_167</v>
      </c>
      <c r="F105" s="509">
        <v>26.44</v>
      </c>
      <c r="G105" s="509">
        <v>0.6</v>
      </c>
      <c r="H105" s="509">
        <v>2.94</v>
      </c>
      <c r="I105" s="509">
        <v>22.9</v>
      </c>
      <c r="J105" s="507" t="s">
        <v>508</v>
      </c>
    </row>
    <row r="106" spans="1:10">
      <c r="A106" s="507">
        <v>20100128</v>
      </c>
      <c r="B106" s="508" t="s">
        <v>459</v>
      </c>
      <c r="C106" s="508" t="str">
        <f t="shared" si="5"/>
        <v>20100128RLS</v>
      </c>
      <c r="D106" s="508" t="s">
        <v>232</v>
      </c>
      <c r="E106" s="508" t="str">
        <f t="shared" si="6"/>
        <v>20100128LGUM_267</v>
      </c>
      <c r="F106" s="509">
        <v>26.44</v>
      </c>
      <c r="G106" s="509">
        <v>0.6</v>
      </c>
      <c r="H106" s="509">
        <v>2.94</v>
      </c>
      <c r="I106" s="509">
        <v>22.9</v>
      </c>
      <c r="J106" s="507" t="s">
        <v>508</v>
      </c>
    </row>
    <row r="107" spans="1:10">
      <c r="A107" s="507">
        <v>20100128</v>
      </c>
      <c r="B107" s="508" t="s">
        <v>459</v>
      </c>
      <c r="C107" s="508" t="str">
        <f t="shared" si="5"/>
        <v>20100128RLS</v>
      </c>
      <c r="D107" s="508" t="s">
        <v>162</v>
      </c>
      <c r="E107" s="508" t="str">
        <f t="shared" si="6"/>
        <v>20100128LGUM_072</v>
      </c>
      <c r="F107" s="509">
        <v>11.02</v>
      </c>
      <c r="G107" s="509">
        <v>0.55000000000000004</v>
      </c>
      <c r="H107" s="509">
        <v>1.44</v>
      </c>
      <c r="I107" s="509">
        <v>9.0299999999999994</v>
      </c>
      <c r="J107" s="507" t="s">
        <v>509</v>
      </c>
    </row>
    <row r="108" spans="1:10">
      <c r="A108" s="507">
        <v>20100128</v>
      </c>
      <c r="B108" s="508" t="s">
        <v>459</v>
      </c>
      <c r="C108" s="508" t="str">
        <f t="shared" si="5"/>
        <v>20100128RLS</v>
      </c>
      <c r="D108" s="508" t="s">
        <v>200</v>
      </c>
      <c r="E108" s="508" t="str">
        <f t="shared" si="6"/>
        <v>20100128LGUM_172</v>
      </c>
      <c r="F108" s="509">
        <v>11.02</v>
      </c>
      <c r="G108" s="509">
        <v>0.55000000000000004</v>
      </c>
      <c r="H108" s="509">
        <v>1.44</v>
      </c>
      <c r="I108" s="509">
        <v>9.0299999999999994</v>
      </c>
      <c r="J108" s="507" t="s">
        <v>509</v>
      </c>
    </row>
    <row r="109" spans="1:10">
      <c r="A109" s="507">
        <v>20100128</v>
      </c>
      <c r="B109" s="508" t="s">
        <v>459</v>
      </c>
      <c r="C109" s="508" t="str">
        <f t="shared" si="5"/>
        <v>20100128RLS</v>
      </c>
      <c r="D109" s="508" t="s">
        <v>233</v>
      </c>
      <c r="E109" s="508" t="str">
        <f t="shared" si="6"/>
        <v>20100128LGUM_272</v>
      </c>
      <c r="F109" s="509">
        <v>11.02</v>
      </c>
      <c r="G109" s="509">
        <v>0.55000000000000004</v>
      </c>
      <c r="H109" s="509">
        <v>1.44</v>
      </c>
      <c r="I109" s="509">
        <v>9.0299999999999994</v>
      </c>
      <c r="J109" s="507" t="s">
        <v>509</v>
      </c>
    </row>
    <row r="110" spans="1:10">
      <c r="A110" s="507">
        <v>20100128</v>
      </c>
      <c r="B110" s="508" t="s">
        <v>459</v>
      </c>
      <c r="C110" s="508" t="str">
        <f t="shared" si="5"/>
        <v>20100128RLS</v>
      </c>
      <c r="D110" s="508" t="s">
        <v>163</v>
      </c>
      <c r="E110" s="508" t="str">
        <f t="shared" si="6"/>
        <v>20100128LGUM_073</v>
      </c>
      <c r="F110" s="509">
        <v>11.02</v>
      </c>
      <c r="G110" s="509">
        <v>0.55000000000000004</v>
      </c>
      <c r="H110" s="509">
        <v>1.44</v>
      </c>
      <c r="I110" s="509">
        <v>9.0299999999999994</v>
      </c>
      <c r="J110" s="507" t="s">
        <v>510</v>
      </c>
    </row>
    <row r="111" spans="1:10">
      <c r="A111" s="507">
        <v>20100128</v>
      </c>
      <c r="B111" s="508" t="s">
        <v>459</v>
      </c>
      <c r="C111" s="508" t="str">
        <f t="shared" si="5"/>
        <v>20100128RLS</v>
      </c>
      <c r="D111" s="508" t="s">
        <v>201</v>
      </c>
      <c r="E111" s="508" t="str">
        <f t="shared" si="6"/>
        <v>20100128LGUM_173</v>
      </c>
      <c r="F111" s="509">
        <v>11.02</v>
      </c>
      <c r="G111" s="509">
        <v>0.55000000000000004</v>
      </c>
      <c r="H111" s="509">
        <v>1.44</v>
      </c>
      <c r="I111" s="509">
        <v>9.0299999999999994</v>
      </c>
      <c r="J111" s="507" t="s">
        <v>510</v>
      </c>
    </row>
    <row r="112" spans="1:10">
      <c r="A112" s="507">
        <v>20100128</v>
      </c>
      <c r="B112" s="508" t="s">
        <v>459</v>
      </c>
      <c r="C112" s="508" t="str">
        <f t="shared" si="5"/>
        <v>20100128RLS</v>
      </c>
      <c r="D112" s="508" t="s">
        <v>352</v>
      </c>
      <c r="E112" s="508" t="str">
        <f t="shared" si="6"/>
        <v>20100128LGUM_273</v>
      </c>
      <c r="F112" s="509">
        <v>11.02</v>
      </c>
      <c r="G112" s="509">
        <v>0.55000000000000004</v>
      </c>
      <c r="H112" s="509">
        <v>1.44</v>
      </c>
      <c r="I112" s="509">
        <v>9.0299999999999994</v>
      </c>
      <c r="J112" s="507" t="s">
        <v>510</v>
      </c>
    </row>
    <row r="113" spans="1:10">
      <c r="A113" s="507">
        <v>20100128</v>
      </c>
      <c r="B113" s="508" t="s">
        <v>459</v>
      </c>
      <c r="C113" s="508" t="str">
        <f t="shared" si="5"/>
        <v>20100128RLS</v>
      </c>
      <c r="D113" s="508" t="s">
        <v>164</v>
      </c>
      <c r="E113" s="508" t="str">
        <f t="shared" si="6"/>
        <v>20100128LGUM_074</v>
      </c>
      <c r="F113" s="509">
        <v>15.47</v>
      </c>
      <c r="G113" s="509">
        <v>0.57999999999999996</v>
      </c>
      <c r="H113" s="509">
        <v>0.99</v>
      </c>
      <c r="I113" s="509">
        <v>13.9</v>
      </c>
      <c r="J113" s="507" t="s">
        <v>511</v>
      </c>
    </row>
    <row r="114" spans="1:10">
      <c r="A114" s="507">
        <v>20100128</v>
      </c>
      <c r="B114" s="508" t="s">
        <v>459</v>
      </c>
      <c r="C114" s="508" t="str">
        <f t="shared" si="5"/>
        <v>20100128RLS</v>
      </c>
      <c r="D114" s="508" t="s">
        <v>202</v>
      </c>
      <c r="E114" s="508" t="str">
        <f t="shared" si="6"/>
        <v>20100128LGUM_174</v>
      </c>
      <c r="F114" s="509">
        <v>15.47</v>
      </c>
      <c r="G114" s="509">
        <v>0.57999999999999996</v>
      </c>
      <c r="H114" s="509">
        <v>0.99</v>
      </c>
      <c r="I114" s="509">
        <v>13.9</v>
      </c>
      <c r="J114" s="507" t="s">
        <v>511</v>
      </c>
    </row>
    <row r="115" spans="1:10">
      <c r="A115" s="507">
        <v>20100128</v>
      </c>
      <c r="B115" s="508" t="s">
        <v>459</v>
      </c>
      <c r="C115" s="508" t="str">
        <f t="shared" si="5"/>
        <v>20100128RLS</v>
      </c>
      <c r="D115" s="508" t="s">
        <v>234</v>
      </c>
      <c r="E115" s="508" t="str">
        <f t="shared" si="6"/>
        <v>20100128LGUM_274</v>
      </c>
      <c r="F115" s="509">
        <v>15.47</v>
      </c>
      <c r="G115" s="509">
        <v>0.57999999999999996</v>
      </c>
      <c r="H115" s="509">
        <v>0.99</v>
      </c>
      <c r="I115" s="509">
        <v>13.9</v>
      </c>
      <c r="J115" s="507" t="s">
        <v>511</v>
      </c>
    </row>
    <row r="116" spans="1:10">
      <c r="A116" s="507">
        <v>20100128</v>
      </c>
      <c r="B116" s="508" t="s">
        <v>459</v>
      </c>
      <c r="C116" s="508" t="str">
        <f t="shared" si="5"/>
        <v>20100128RLS</v>
      </c>
      <c r="D116" s="508" t="s">
        <v>165</v>
      </c>
      <c r="E116" s="508" t="str">
        <f t="shared" si="6"/>
        <v>20100128LGUM_075</v>
      </c>
      <c r="F116" s="509">
        <v>20.63</v>
      </c>
      <c r="G116" s="509">
        <v>0.55000000000000004</v>
      </c>
      <c r="H116" s="509">
        <v>1.38</v>
      </c>
      <c r="I116" s="509">
        <v>18.7</v>
      </c>
      <c r="J116" s="507" t="s">
        <v>509</v>
      </c>
    </row>
    <row r="117" spans="1:10">
      <c r="A117" s="507">
        <v>20100128</v>
      </c>
      <c r="B117" s="508" t="s">
        <v>459</v>
      </c>
      <c r="C117" s="508" t="str">
        <f t="shared" si="5"/>
        <v>20100128RLS</v>
      </c>
      <c r="D117" s="508" t="s">
        <v>203</v>
      </c>
      <c r="E117" s="508" t="str">
        <f t="shared" si="6"/>
        <v>20100128LGUM_175</v>
      </c>
      <c r="F117" s="509">
        <v>20.63</v>
      </c>
      <c r="G117" s="509">
        <v>0.55000000000000004</v>
      </c>
      <c r="H117" s="509">
        <v>1.38</v>
      </c>
      <c r="I117" s="509">
        <v>18.7</v>
      </c>
      <c r="J117" s="507" t="s">
        <v>509</v>
      </c>
    </row>
    <row r="118" spans="1:10">
      <c r="A118" s="507">
        <v>20100128</v>
      </c>
      <c r="B118" s="508" t="s">
        <v>459</v>
      </c>
      <c r="C118" s="508" t="str">
        <f t="shared" si="5"/>
        <v>20100128RLS</v>
      </c>
      <c r="D118" s="508" t="s">
        <v>353</v>
      </c>
      <c r="E118" s="508" t="str">
        <f t="shared" si="6"/>
        <v>20100128LGUM_275</v>
      </c>
      <c r="F118" s="509">
        <v>20.63</v>
      </c>
      <c r="G118" s="509">
        <v>0.55000000000000004</v>
      </c>
      <c r="H118" s="509">
        <v>1.38</v>
      </c>
      <c r="I118" s="509">
        <v>18.7</v>
      </c>
      <c r="J118" s="507" t="s">
        <v>509</v>
      </c>
    </row>
    <row r="119" spans="1:10">
      <c r="A119" s="507">
        <v>20100128</v>
      </c>
      <c r="B119" s="508" t="s">
        <v>459</v>
      </c>
      <c r="C119" s="508" t="str">
        <f t="shared" si="5"/>
        <v>20100128RLS</v>
      </c>
      <c r="D119" s="508" t="s">
        <v>166</v>
      </c>
      <c r="E119" s="508" t="str">
        <f t="shared" si="6"/>
        <v>20100128LGUM_076</v>
      </c>
      <c r="F119" s="509">
        <v>11.65</v>
      </c>
      <c r="G119" s="509">
        <v>0.52</v>
      </c>
      <c r="H119" s="509">
        <v>0.69</v>
      </c>
      <c r="I119" s="509">
        <v>10.440000000000001</v>
      </c>
      <c r="J119" s="507" t="s">
        <v>512</v>
      </c>
    </row>
    <row r="120" spans="1:10">
      <c r="A120" s="507">
        <v>20100128</v>
      </c>
      <c r="B120" s="508" t="s">
        <v>459</v>
      </c>
      <c r="C120" s="508" t="str">
        <f t="shared" si="5"/>
        <v>20100128RLS</v>
      </c>
      <c r="D120" s="508" t="s">
        <v>204</v>
      </c>
      <c r="E120" s="508" t="str">
        <f t="shared" si="6"/>
        <v>20100128LGUM_176</v>
      </c>
      <c r="F120" s="509">
        <v>11.65</v>
      </c>
      <c r="G120" s="509">
        <v>0.52</v>
      </c>
      <c r="H120" s="509">
        <v>0.69</v>
      </c>
      <c r="I120" s="509">
        <v>10.440000000000001</v>
      </c>
      <c r="J120" s="507" t="s">
        <v>512</v>
      </c>
    </row>
    <row r="121" spans="1:10">
      <c r="A121" s="507">
        <v>20100128</v>
      </c>
      <c r="B121" s="508" t="s">
        <v>459</v>
      </c>
      <c r="C121" s="508" t="str">
        <f t="shared" si="5"/>
        <v>20100128RLS</v>
      </c>
      <c r="D121" s="508" t="s">
        <v>235</v>
      </c>
      <c r="E121" s="508" t="str">
        <f t="shared" si="6"/>
        <v>20100128LGUM_276</v>
      </c>
      <c r="F121" s="509">
        <v>11.65</v>
      </c>
      <c r="G121" s="509">
        <v>0.52</v>
      </c>
      <c r="H121" s="509">
        <v>0.69</v>
      </c>
      <c r="I121" s="509">
        <v>10.440000000000001</v>
      </c>
      <c r="J121" s="507" t="s">
        <v>512</v>
      </c>
    </row>
    <row r="122" spans="1:10">
      <c r="A122" s="507">
        <v>20100128</v>
      </c>
      <c r="B122" s="508" t="s">
        <v>459</v>
      </c>
      <c r="C122" s="508" t="str">
        <f t="shared" si="5"/>
        <v>20100128RLS</v>
      </c>
      <c r="D122" s="508" t="s">
        <v>167</v>
      </c>
      <c r="E122" s="508" t="str">
        <f t="shared" si="6"/>
        <v>20100128LGUM_077</v>
      </c>
      <c r="F122" s="509">
        <v>18.48</v>
      </c>
      <c r="G122" s="509">
        <v>0.55000000000000004</v>
      </c>
      <c r="H122" s="509">
        <v>1.38</v>
      </c>
      <c r="I122" s="509">
        <v>16.55</v>
      </c>
      <c r="J122" s="507" t="s">
        <v>513</v>
      </c>
    </row>
    <row r="123" spans="1:10">
      <c r="A123" s="507">
        <v>20100128</v>
      </c>
      <c r="B123" s="508" t="s">
        <v>459</v>
      </c>
      <c r="C123" s="508" t="str">
        <f t="shared" si="5"/>
        <v>20100128RLS</v>
      </c>
      <c r="D123" s="508" t="s">
        <v>205</v>
      </c>
      <c r="E123" s="508" t="str">
        <f t="shared" si="6"/>
        <v>20100128LGUM_177</v>
      </c>
      <c r="F123" s="509">
        <v>18.48</v>
      </c>
      <c r="G123" s="509">
        <v>0.55000000000000004</v>
      </c>
      <c r="H123" s="509">
        <v>1.38</v>
      </c>
      <c r="I123" s="509">
        <v>16.55</v>
      </c>
      <c r="J123" s="507" t="s">
        <v>513</v>
      </c>
    </row>
    <row r="124" spans="1:10">
      <c r="A124" s="507">
        <v>20100128</v>
      </c>
      <c r="B124" s="508" t="s">
        <v>459</v>
      </c>
      <c r="C124" s="508" t="str">
        <f t="shared" si="5"/>
        <v>20100128RLS</v>
      </c>
      <c r="D124" s="508" t="s">
        <v>236</v>
      </c>
      <c r="E124" s="508" t="str">
        <f t="shared" si="6"/>
        <v>20100128LGUM_277</v>
      </c>
      <c r="F124" s="509">
        <v>18.48</v>
      </c>
      <c r="G124" s="509">
        <v>0.55000000000000004</v>
      </c>
      <c r="H124" s="509">
        <v>1.38</v>
      </c>
      <c r="I124" s="509">
        <v>16.55</v>
      </c>
      <c r="J124" s="507" t="s">
        <v>513</v>
      </c>
    </row>
    <row r="125" spans="1:10">
      <c r="A125" s="507">
        <v>20100128</v>
      </c>
      <c r="B125" s="508" t="s">
        <v>459</v>
      </c>
      <c r="C125" s="508" t="str">
        <f t="shared" si="5"/>
        <v>20100128RLS</v>
      </c>
      <c r="D125" s="508" t="s">
        <v>514</v>
      </c>
      <c r="E125" s="508" t="str">
        <f t="shared" si="6"/>
        <v>20100128LGUM_078</v>
      </c>
      <c r="F125" s="509">
        <v>59.2</v>
      </c>
      <c r="G125" s="509">
        <v>1.0900000000000001</v>
      </c>
      <c r="H125" s="509">
        <v>9.98</v>
      </c>
      <c r="I125" s="509">
        <v>48.129999999999995</v>
      </c>
      <c r="J125" s="507" t="s">
        <v>515</v>
      </c>
    </row>
    <row r="126" spans="1:10">
      <c r="A126" s="507">
        <v>20100128</v>
      </c>
      <c r="B126" s="508" t="s">
        <v>459</v>
      </c>
      <c r="C126" s="508" t="str">
        <f t="shared" si="5"/>
        <v>20100128RLS</v>
      </c>
      <c r="D126" s="508" t="s">
        <v>206</v>
      </c>
      <c r="E126" s="508" t="str">
        <f t="shared" si="6"/>
        <v>20100128LGUM_178</v>
      </c>
      <c r="F126" s="509">
        <v>59.2</v>
      </c>
      <c r="G126" s="509">
        <v>1.0900000000000001</v>
      </c>
      <c r="H126" s="509">
        <v>9.98</v>
      </c>
      <c r="I126" s="509">
        <v>48.129999999999995</v>
      </c>
      <c r="J126" s="507" t="s">
        <v>515</v>
      </c>
    </row>
    <row r="127" spans="1:10">
      <c r="A127" s="507">
        <v>20100128</v>
      </c>
      <c r="B127" s="508" t="s">
        <v>459</v>
      </c>
      <c r="C127" s="508" t="str">
        <f t="shared" si="5"/>
        <v>20100128RLS</v>
      </c>
      <c r="D127" s="508" t="s">
        <v>354</v>
      </c>
      <c r="E127" s="508" t="str">
        <f t="shared" si="6"/>
        <v>20100128LGUM_278</v>
      </c>
      <c r="F127" s="509">
        <v>59.2</v>
      </c>
      <c r="G127" s="509">
        <v>1.0900000000000001</v>
      </c>
      <c r="H127" s="509">
        <v>9.98</v>
      </c>
      <c r="I127" s="509">
        <v>48.129999999999995</v>
      </c>
      <c r="J127" s="507" t="s">
        <v>515</v>
      </c>
    </row>
    <row r="128" spans="1:10">
      <c r="A128" s="507">
        <v>20100128</v>
      </c>
      <c r="B128" s="508" t="s">
        <v>459</v>
      </c>
      <c r="C128" s="508" t="str">
        <f t="shared" si="5"/>
        <v>20100128RLS</v>
      </c>
      <c r="D128" s="508" t="s">
        <v>516</v>
      </c>
      <c r="E128" s="508" t="str">
        <f t="shared" si="6"/>
        <v>20100128LGUM_079</v>
      </c>
      <c r="F128" s="509">
        <v>32.96</v>
      </c>
      <c r="G128" s="509">
        <v>1.0900000000000001</v>
      </c>
      <c r="H128" s="509">
        <v>7.57</v>
      </c>
      <c r="I128" s="509">
        <v>24.3</v>
      </c>
      <c r="J128" s="507" t="s">
        <v>517</v>
      </c>
    </row>
    <row r="129" spans="1:10">
      <c r="A129" s="507">
        <v>20100128</v>
      </c>
      <c r="B129" s="508" t="s">
        <v>459</v>
      </c>
      <c r="C129" s="508" t="str">
        <f t="shared" si="5"/>
        <v>20100128RLS</v>
      </c>
      <c r="D129" s="508" t="s">
        <v>207</v>
      </c>
      <c r="E129" s="508" t="str">
        <f t="shared" si="6"/>
        <v>20100128LGUM_179</v>
      </c>
      <c r="F129" s="509">
        <v>32.96</v>
      </c>
      <c r="G129" s="509">
        <v>1.0900000000000001</v>
      </c>
      <c r="H129" s="509">
        <v>7.57</v>
      </c>
      <c r="I129" s="509">
        <v>24.3</v>
      </c>
      <c r="J129" s="507" t="s">
        <v>517</v>
      </c>
    </row>
    <row r="130" spans="1:10">
      <c r="A130" s="507">
        <v>20100128</v>
      </c>
      <c r="B130" s="508" t="s">
        <v>459</v>
      </c>
      <c r="C130" s="508" t="str">
        <f t="shared" si="5"/>
        <v>20100128RLS</v>
      </c>
      <c r="D130" s="508" t="s">
        <v>355</v>
      </c>
      <c r="E130" s="508" t="str">
        <f t="shared" si="6"/>
        <v>20100128LGUM_279</v>
      </c>
      <c r="F130" s="509">
        <v>32.96</v>
      </c>
      <c r="G130" s="509">
        <v>1.0900000000000001</v>
      </c>
      <c r="H130" s="509">
        <v>7.57</v>
      </c>
      <c r="I130" s="509">
        <v>24.3</v>
      </c>
      <c r="J130" s="507" t="s">
        <v>517</v>
      </c>
    </row>
    <row r="131" spans="1:10">
      <c r="A131" s="507">
        <v>20100128</v>
      </c>
      <c r="B131" s="508" t="s">
        <v>459</v>
      </c>
      <c r="C131" s="508" t="str">
        <f t="shared" si="5"/>
        <v>20100128RLS</v>
      </c>
      <c r="D131" s="508" t="s">
        <v>518</v>
      </c>
      <c r="E131" s="508" t="str">
        <f t="shared" si="6"/>
        <v>20100128LGUM_080</v>
      </c>
      <c r="F131" s="509">
        <v>16.190000000000001</v>
      </c>
      <c r="G131" s="509">
        <v>0.52</v>
      </c>
      <c r="H131" s="509">
        <v>0.69</v>
      </c>
      <c r="I131" s="509">
        <v>14.980000000000002</v>
      </c>
      <c r="J131" s="507" t="s">
        <v>519</v>
      </c>
    </row>
    <row r="132" spans="1:10">
      <c r="A132" s="507">
        <v>20100128</v>
      </c>
      <c r="B132" s="508" t="s">
        <v>459</v>
      </c>
      <c r="C132" s="508" t="str">
        <f t="shared" si="5"/>
        <v>20100128RLS</v>
      </c>
      <c r="D132" s="508" t="s">
        <v>208</v>
      </c>
      <c r="E132" s="508" t="str">
        <f t="shared" si="6"/>
        <v>20100128LGUM_180</v>
      </c>
      <c r="F132" s="509">
        <v>16.190000000000001</v>
      </c>
      <c r="G132" s="509">
        <v>0.52</v>
      </c>
      <c r="H132" s="509">
        <v>0.69</v>
      </c>
      <c r="I132" s="509">
        <v>14.980000000000002</v>
      </c>
      <c r="J132" s="507" t="s">
        <v>519</v>
      </c>
    </row>
    <row r="133" spans="1:10">
      <c r="A133" s="507">
        <v>20100128</v>
      </c>
      <c r="B133" s="508" t="s">
        <v>459</v>
      </c>
      <c r="C133" s="508" t="str">
        <f t="shared" si="5"/>
        <v>20100128RLS</v>
      </c>
      <c r="D133" s="508" t="s">
        <v>359</v>
      </c>
      <c r="E133" s="508" t="str">
        <f t="shared" si="6"/>
        <v>20100128LGUM_280</v>
      </c>
      <c r="F133" s="509">
        <v>16.190000000000001</v>
      </c>
      <c r="G133" s="509">
        <v>0.52</v>
      </c>
      <c r="H133" s="509">
        <v>0.69</v>
      </c>
      <c r="I133" s="509">
        <v>14.980000000000002</v>
      </c>
      <c r="J133" s="507" t="s">
        <v>519</v>
      </c>
    </row>
    <row r="134" spans="1:10">
      <c r="A134" s="507">
        <v>20100128</v>
      </c>
      <c r="B134" s="508" t="s">
        <v>459</v>
      </c>
      <c r="C134" s="508" t="str">
        <f t="shared" si="5"/>
        <v>20100128RLS</v>
      </c>
      <c r="D134" s="508" t="s">
        <v>338</v>
      </c>
      <c r="E134" s="508" t="str">
        <f t="shared" si="6"/>
        <v>20100128LGUM_081</v>
      </c>
      <c r="F134" s="509">
        <v>17.059999999999999</v>
      </c>
      <c r="G134" s="509">
        <v>0.57999999999999996</v>
      </c>
      <c r="H134" s="509">
        <v>0.99</v>
      </c>
      <c r="I134" s="509">
        <v>15.49</v>
      </c>
      <c r="J134" s="507" t="s">
        <v>520</v>
      </c>
    </row>
    <row r="135" spans="1:10">
      <c r="A135" s="507">
        <v>20100128</v>
      </c>
      <c r="B135" s="508" t="s">
        <v>459</v>
      </c>
      <c r="C135" s="508" t="str">
        <f t="shared" si="5"/>
        <v>20100128RLS</v>
      </c>
      <c r="D135" s="508" t="s">
        <v>209</v>
      </c>
      <c r="E135" s="508" t="str">
        <f t="shared" si="6"/>
        <v>20100128LGUM_181</v>
      </c>
      <c r="F135" s="509">
        <v>17.059999999999999</v>
      </c>
      <c r="G135" s="509">
        <v>0.57999999999999996</v>
      </c>
      <c r="H135" s="509">
        <v>0.99</v>
      </c>
      <c r="I135" s="509">
        <v>15.49</v>
      </c>
      <c r="J135" s="507" t="s">
        <v>520</v>
      </c>
    </row>
    <row r="136" spans="1:10">
      <c r="A136" s="507">
        <v>20100128</v>
      </c>
      <c r="B136" s="508" t="s">
        <v>459</v>
      </c>
      <c r="C136" s="508" t="str">
        <f t="shared" si="5"/>
        <v>20100128RLS</v>
      </c>
      <c r="D136" s="508" t="s">
        <v>356</v>
      </c>
      <c r="E136" s="508" t="str">
        <f t="shared" si="6"/>
        <v>20100128LGUM_281</v>
      </c>
      <c r="F136" s="509">
        <v>17.059999999999999</v>
      </c>
      <c r="G136" s="509">
        <v>0.57999999999999996</v>
      </c>
      <c r="H136" s="509">
        <v>0.99</v>
      </c>
      <c r="I136" s="509">
        <v>15.49</v>
      </c>
      <c r="J136" s="507" t="s">
        <v>520</v>
      </c>
    </row>
    <row r="137" spans="1:10">
      <c r="A137" s="507">
        <v>20100128</v>
      </c>
      <c r="B137" s="508" t="s">
        <v>459</v>
      </c>
      <c r="C137" s="508" t="str">
        <f t="shared" si="5"/>
        <v>20100128RLS</v>
      </c>
      <c r="D137" s="508" t="s">
        <v>168</v>
      </c>
      <c r="E137" s="508" t="str">
        <f t="shared" si="6"/>
        <v>20100128LGUM_082</v>
      </c>
      <c r="F137" s="509">
        <v>16.350000000000001</v>
      </c>
      <c r="G137" s="509">
        <v>0.52</v>
      </c>
      <c r="H137" s="509">
        <v>0.69</v>
      </c>
      <c r="I137" s="509">
        <v>15.140000000000002</v>
      </c>
      <c r="J137" s="507" t="s">
        <v>521</v>
      </c>
    </row>
    <row r="138" spans="1:10">
      <c r="A138" s="507">
        <v>20100128</v>
      </c>
      <c r="B138" s="508" t="s">
        <v>459</v>
      </c>
      <c r="C138" s="508" t="str">
        <f t="shared" si="5"/>
        <v>20100128RLS</v>
      </c>
      <c r="D138" s="508" t="s">
        <v>210</v>
      </c>
      <c r="E138" s="508" t="str">
        <f t="shared" si="6"/>
        <v>20100128LGUM_182</v>
      </c>
      <c r="F138" s="509">
        <v>16.350000000000001</v>
      </c>
      <c r="G138" s="509">
        <v>0.52</v>
      </c>
      <c r="H138" s="509">
        <v>0.69</v>
      </c>
      <c r="I138" s="509">
        <v>15.140000000000002</v>
      </c>
      <c r="J138" s="507" t="s">
        <v>521</v>
      </c>
    </row>
    <row r="139" spans="1:10">
      <c r="A139" s="507">
        <v>20100128</v>
      </c>
      <c r="B139" s="508" t="s">
        <v>459</v>
      </c>
      <c r="C139" s="508" t="str">
        <f t="shared" si="5"/>
        <v>20100128RLS</v>
      </c>
      <c r="D139" s="508" t="s">
        <v>357</v>
      </c>
      <c r="E139" s="508" t="str">
        <f t="shared" si="6"/>
        <v>20100128LGUM_282</v>
      </c>
      <c r="F139" s="509">
        <v>16.350000000000001</v>
      </c>
      <c r="G139" s="509">
        <v>0.52</v>
      </c>
      <c r="H139" s="509">
        <v>0.69</v>
      </c>
      <c r="I139" s="509">
        <v>15.140000000000002</v>
      </c>
      <c r="J139" s="507" t="s">
        <v>521</v>
      </c>
    </row>
    <row r="140" spans="1:10">
      <c r="A140" s="507">
        <v>20100128</v>
      </c>
      <c r="B140" s="508" t="s">
        <v>459</v>
      </c>
      <c r="C140" s="508" t="str">
        <f t="shared" si="5"/>
        <v>20100128RLS</v>
      </c>
      <c r="D140" s="508" t="s">
        <v>522</v>
      </c>
      <c r="E140" s="508" t="str">
        <f t="shared" si="6"/>
        <v>20100128LGUM_083</v>
      </c>
      <c r="F140" s="509">
        <v>17.239999999999998</v>
      </c>
      <c r="G140" s="509">
        <v>0.57999999999999996</v>
      </c>
      <c r="H140" s="509">
        <v>0.99</v>
      </c>
      <c r="I140" s="509">
        <v>15.67</v>
      </c>
      <c r="J140" s="507" t="s">
        <v>523</v>
      </c>
    </row>
    <row r="141" spans="1:10">
      <c r="A141" s="507">
        <v>20100128</v>
      </c>
      <c r="B141" s="508" t="s">
        <v>459</v>
      </c>
      <c r="C141" s="508" t="str">
        <f t="shared" si="5"/>
        <v>20100128RLS</v>
      </c>
      <c r="D141" s="508" t="s">
        <v>211</v>
      </c>
      <c r="E141" s="508" t="str">
        <f t="shared" si="6"/>
        <v>20100128LGUM_183</v>
      </c>
      <c r="F141" s="509">
        <v>17.239999999999998</v>
      </c>
      <c r="G141" s="509">
        <v>0.57999999999999996</v>
      </c>
      <c r="H141" s="509">
        <v>0.99</v>
      </c>
      <c r="I141" s="509">
        <v>15.67</v>
      </c>
      <c r="J141" s="507" t="s">
        <v>523</v>
      </c>
    </row>
    <row r="142" spans="1:10">
      <c r="A142" s="507">
        <v>20100128</v>
      </c>
      <c r="B142" s="508" t="s">
        <v>459</v>
      </c>
      <c r="C142" s="508" t="str">
        <f t="shared" si="5"/>
        <v>20100128RLS</v>
      </c>
      <c r="D142" s="508" t="s">
        <v>358</v>
      </c>
      <c r="E142" s="508" t="str">
        <f t="shared" si="6"/>
        <v>20100128LGUM_283</v>
      </c>
      <c r="F142" s="509">
        <v>17.239999999999998</v>
      </c>
      <c r="G142" s="509">
        <v>0.57999999999999996</v>
      </c>
      <c r="H142" s="509">
        <v>0.99</v>
      </c>
      <c r="I142" s="509">
        <v>15.67</v>
      </c>
      <c r="J142" s="507" t="s">
        <v>523</v>
      </c>
    </row>
    <row r="143" spans="1:10">
      <c r="A143" s="507">
        <v>20100128</v>
      </c>
      <c r="B143" s="508" t="s">
        <v>459</v>
      </c>
      <c r="C143" s="508" t="str">
        <f t="shared" si="5"/>
        <v>20100128RLS</v>
      </c>
      <c r="D143" s="508" t="s">
        <v>237</v>
      </c>
      <c r="E143" s="508" t="str">
        <f t="shared" si="6"/>
        <v>20100128LGUM_301</v>
      </c>
      <c r="F143" s="509">
        <v>7.17</v>
      </c>
      <c r="G143" s="509">
        <v>0.57999999999999996</v>
      </c>
      <c r="H143" s="509">
        <v>0.86</v>
      </c>
      <c r="I143" s="509">
        <v>5.7299999999999995</v>
      </c>
      <c r="J143" s="507" t="s">
        <v>460</v>
      </c>
    </row>
    <row r="144" spans="1:10">
      <c r="A144" s="507">
        <v>20100128</v>
      </c>
      <c r="B144" s="508" t="s">
        <v>459</v>
      </c>
      <c r="C144" s="508" t="str">
        <f t="shared" si="5"/>
        <v>20100128RLS</v>
      </c>
      <c r="D144" s="508" t="s">
        <v>238</v>
      </c>
      <c r="E144" s="508" t="str">
        <f t="shared" si="6"/>
        <v>20100128LGUM_302</v>
      </c>
      <c r="F144" s="509">
        <v>8.25</v>
      </c>
      <c r="G144" s="509">
        <v>0.41</v>
      </c>
      <c r="H144" s="509">
        <v>1.44</v>
      </c>
      <c r="I144" s="509">
        <v>6.4</v>
      </c>
      <c r="J144" s="507" t="s">
        <v>461</v>
      </c>
    </row>
    <row r="145" spans="1:10">
      <c r="A145" s="507">
        <v>20100128</v>
      </c>
      <c r="B145" s="508" t="s">
        <v>459</v>
      </c>
      <c r="C145" s="508" t="str">
        <f t="shared" si="5"/>
        <v>20100128RLS</v>
      </c>
      <c r="D145" s="508" t="s">
        <v>239</v>
      </c>
      <c r="E145" s="508" t="str">
        <f t="shared" si="6"/>
        <v>20100128LGUM_303</v>
      </c>
      <c r="F145" s="509">
        <v>9.57</v>
      </c>
      <c r="G145" s="509">
        <v>0.53</v>
      </c>
      <c r="H145" s="509">
        <v>2.04</v>
      </c>
      <c r="I145" s="509">
        <v>7.0000000000000009</v>
      </c>
      <c r="J145" s="507" t="s">
        <v>462</v>
      </c>
    </row>
    <row r="146" spans="1:10">
      <c r="A146" s="507">
        <v>20100128</v>
      </c>
      <c r="B146" s="508" t="s">
        <v>459</v>
      </c>
      <c r="C146" s="508" t="str">
        <f t="shared" si="5"/>
        <v>20100128RLS</v>
      </c>
      <c r="D146" s="508" t="s">
        <v>240</v>
      </c>
      <c r="E146" s="508" t="str">
        <f t="shared" si="6"/>
        <v>20100128LGUM_304</v>
      </c>
      <c r="F146" s="509">
        <v>11.64</v>
      </c>
      <c r="G146" s="509">
        <v>0.6</v>
      </c>
      <c r="H146" s="509">
        <v>3.18</v>
      </c>
      <c r="I146" s="509">
        <v>7.8600000000000012</v>
      </c>
      <c r="J146" s="507" t="s">
        <v>463</v>
      </c>
    </row>
    <row r="147" spans="1:10">
      <c r="A147" s="507">
        <v>20100128</v>
      </c>
      <c r="B147" s="508" t="s">
        <v>459</v>
      </c>
      <c r="C147" s="508" t="str">
        <f t="shared" si="5"/>
        <v>20100128RLS</v>
      </c>
      <c r="D147" s="508" t="s">
        <v>241</v>
      </c>
      <c r="E147" s="508" t="str">
        <f t="shared" si="6"/>
        <v>20100128LGUM_305</v>
      </c>
      <c r="F147" s="509">
        <v>8.44</v>
      </c>
      <c r="G147" s="509">
        <v>0.57999999999999996</v>
      </c>
      <c r="H147" s="509">
        <v>0.99</v>
      </c>
      <c r="I147" s="509">
        <v>6.8699999999999992</v>
      </c>
      <c r="J147" s="507" t="s">
        <v>464</v>
      </c>
    </row>
    <row r="148" spans="1:10">
      <c r="A148" s="507">
        <v>20100128</v>
      </c>
      <c r="B148" s="508" t="s">
        <v>459</v>
      </c>
      <c r="C148" s="508" t="str">
        <f t="shared" si="5"/>
        <v>20100128RLS</v>
      </c>
      <c r="D148" s="508" t="s">
        <v>242</v>
      </c>
      <c r="E148" s="508" t="str">
        <f t="shared" si="6"/>
        <v>20100128LGUM_306</v>
      </c>
      <c r="F148" s="509">
        <v>11.17</v>
      </c>
      <c r="G148" s="509">
        <v>0.57999999999999996</v>
      </c>
      <c r="H148" s="509">
        <v>0.85</v>
      </c>
      <c r="I148" s="509">
        <v>9.74</v>
      </c>
      <c r="J148" s="507" t="s">
        <v>524</v>
      </c>
    </row>
    <row r="149" spans="1:10">
      <c r="A149" s="507">
        <v>20100128</v>
      </c>
      <c r="B149" s="508" t="s">
        <v>459</v>
      </c>
      <c r="C149" s="508" t="str">
        <f t="shared" si="5"/>
        <v>20100128RLS</v>
      </c>
      <c r="D149" s="508" t="s">
        <v>243</v>
      </c>
      <c r="E149" s="508" t="str">
        <f t="shared" si="6"/>
        <v>20100128LGUM_307</v>
      </c>
      <c r="F149" s="509">
        <v>16.149999999999999</v>
      </c>
      <c r="G149" s="509">
        <v>0.6</v>
      </c>
      <c r="H149" s="509">
        <v>3.18</v>
      </c>
      <c r="I149" s="509">
        <v>12.37</v>
      </c>
      <c r="J149" s="507" t="s">
        <v>525</v>
      </c>
    </row>
    <row r="150" spans="1:10">
      <c r="A150" s="507">
        <v>20100128</v>
      </c>
      <c r="B150" s="508" t="s">
        <v>459</v>
      </c>
      <c r="C150" s="508" t="str">
        <f t="shared" si="5"/>
        <v>20100128RLS</v>
      </c>
      <c r="D150" s="508" t="s">
        <v>244</v>
      </c>
      <c r="E150" s="508" t="str">
        <f t="shared" si="6"/>
        <v>20100128LGUM_308</v>
      </c>
      <c r="F150" s="509">
        <v>12.15</v>
      </c>
      <c r="G150" s="509">
        <v>0.41</v>
      </c>
      <c r="H150" s="509">
        <v>1.44</v>
      </c>
      <c r="I150" s="509">
        <v>10.3</v>
      </c>
      <c r="J150" s="507" t="s">
        <v>526</v>
      </c>
    </row>
    <row r="151" spans="1:10">
      <c r="A151" s="507">
        <v>20100128</v>
      </c>
      <c r="B151" s="508" t="s">
        <v>459</v>
      </c>
      <c r="C151" s="508" t="str">
        <f t="shared" si="5"/>
        <v>20100128RLS</v>
      </c>
      <c r="D151" s="508" t="s">
        <v>245</v>
      </c>
      <c r="E151" s="508" t="str">
        <f t="shared" si="6"/>
        <v>20100128LGUM_309</v>
      </c>
      <c r="F151" s="509">
        <v>22.12</v>
      </c>
      <c r="G151" s="509">
        <v>1.0900000000000001</v>
      </c>
      <c r="H151" s="509">
        <v>7.58</v>
      </c>
      <c r="I151" s="509">
        <v>13.450000000000001</v>
      </c>
      <c r="J151" s="507" t="s">
        <v>470</v>
      </c>
    </row>
    <row r="152" spans="1:10">
      <c r="A152" s="507">
        <v>20100128</v>
      </c>
      <c r="B152" s="508" t="s">
        <v>459</v>
      </c>
      <c r="C152" s="508" t="str">
        <f t="shared" si="5"/>
        <v>20100128RLS</v>
      </c>
      <c r="D152" s="508" t="s">
        <v>246</v>
      </c>
      <c r="E152" s="508" t="str">
        <f t="shared" si="6"/>
        <v>20100128LGUM_310</v>
      </c>
      <c r="F152" s="509">
        <v>22.12</v>
      </c>
      <c r="G152" s="509">
        <v>1.0900000000000001</v>
      </c>
      <c r="H152" s="509">
        <v>7.58</v>
      </c>
      <c r="I152" s="509">
        <v>13.450000000000001</v>
      </c>
      <c r="J152" s="507" t="s">
        <v>471</v>
      </c>
    </row>
    <row r="153" spans="1:10">
      <c r="A153" s="507">
        <v>20100128</v>
      </c>
      <c r="B153" s="508" t="s">
        <v>459</v>
      </c>
      <c r="C153" s="508" t="str">
        <f t="shared" si="5"/>
        <v>20100128RLS</v>
      </c>
      <c r="D153" s="508" t="s">
        <v>247</v>
      </c>
      <c r="E153" s="508" t="str">
        <f t="shared" si="6"/>
        <v>20100128LGUM_311</v>
      </c>
      <c r="F153" s="509">
        <v>12.02</v>
      </c>
      <c r="G153" s="509">
        <v>0.53</v>
      </c>
      <c r="H153" s="509">
        <v>2.14</v>
      </c>
      <c r="I153" s="509">
        <v>9.35</v>
      </c>
      <c r="J153" s="507" t="s">
        <v>472</v>
      </c>
    </row>
    <row r="154" spans="1:10">
      <c r="A154" s="507">
        <v>20100128</v>
      </c>
      <c r="B154" s="508" t="s">
        <v>459</v>
      </c>
      <c r="C154" s="508" t="str">
        <f t="shared" si="5"/>
        <v>20100128RLS</v>
      </c>
      <c r="D154" s="508" t="s">
        <v>248</v>
      </c>
      <c r="E154" s="508" t="str">
        <f t="shared" si="6"/>
        <v>20100128LGUM_312</v>
      </c>
      <c r="F154" s="509">
        <v>12.92</v>
      </c>
      <c r="G154" s="509">
        <v>0.6</v>
      </c>
      <c r="H154" s="509">
        <v>3.4</v>
      </c>
      <c r="I154" s="509">
        <v>8.92</v>
      </c>
      <c r="J154" s="507" t="s">
        <v>473</v>
      </c>
    </row>
    <row r="155" spans="1:10">
      <c r="A155" s="507">
        <v>20100128</v>
      </c>
      <c r="B155" s="508" t="s">
        <v>459</v>
      </c>
      <c r="C155" s="508" t="str">
        <f t="shared" si="5"/>
        <v>20100128RLS</v>
      </c>
      <c r="D155" s="508" t="s">
        <v>249</v>
      </c>
      <c r="E155" s="508" t="str">
        <f t="shared" si="6"/>
        <v>20100128LGUM_313</v>
      </c>
      <c r="F155" s="509">
        <v>12.92</v>
      </c>
      <c r="G155" s="509">
        <v>0.6</v>
      </c>
      <c r="H155" s="509">
        <v>3.4</v>
      </c>
      <c r="I155" s="509">
        <v>8.92</v>
      </c>
      <c r="J155" s="507" t="s">
        <v>474</v>
      </c>
    </row>
    <row r="156" spans="1:10">
      <c r="A156" s="507">
        <v>20100128</v>
      </c>
      <c r="B156" s="508" t="s">
        <v>459</v>
      </c>
      <c r="C156" s="508" t="str">
        <f t="shared" si="5"/>
        <v>20100128RLS</v>
      </c>
      <c r="D156" s="508" t="s">
        <v>250</v>
      </c>
      <c r="E156" s="508" t="str">
        <f t="shared" si="6"/>
        <v>20100128LGUM_314</v>
      </c>
      <c r="F156" s="509">
        <v>17.54</v>
      </c>
      <c r="G156" s="509">
        <v>0.53</v>
      </c>
      <c r="H156" s="509">
        <v>2.04</v>
      </c>
      <c r="I156" s="509">
        <v>14.969999999999999</v>
      </c>
      <c r="J156" s="507" t="s">
        <v>527</v>
      </c>
    </row>
    <row r="157" spans="1:10">
      <c r="A157" s="507">
        <v>20100128</v>
      </c>
      <c r="B157" s="508" t="s">
        <v>459</v>
      </c>
      <c r="C157" s="508" t="str">
        <f t="shared" si="5"/>
        <v>20100128RLS</v>
      </c>
      <c r="D157" s="508" t="s">
        <v>251</v>
      </c>
      <c r="E157" s="508" t="str">
        <f t="shared" si="6"/>
        <v>20100128LGUM_315</v>
      </c>
      <c r="F157" s="509">
        <v>20.85</v>
      </c>
      <c r="G157" s="509">
        <v>0.6</v>
      </c>
      <c r="H157" s="509">
        <v>3.18</v>
      </c>
      <c r="I157" s="509">
        <v>17.07</v>
      </c>
      <c r="J157" s="507" t="s">
        <v>528</v>
      </c>
    </row>
    <row r="158" spans="1:10">
      <c r="A158" s="507">
        <v>20100128</v>
      </c>
      <c r="B158" s="508" t="s">
        <v>459</v>
      </c>
      <c r="C158" s="508" t="str">
        <f t="shared" ref="C158:C221" si="7">A158&amp;B158</f>
        <v>20100128RLS</v>
      </c>
      <c r="D158" s="508" t="s">
        <v>252</v>
      </c>
      <c r="E158" s="508" t="str">
        <f t="shared" ref="E158:E221" si="8">A158&amp;D158</f>
        <v>20100128LGUM_316</v>
      </c>
      <c r="F158" s="509">
        <v>22.01</v>
      </c>
      <c r="G158" s="509">
        <v>0.53</v>
      </c>
      <c r="H158" s="509">
        <v>2.14</v>
      </c>
      <c r="I158" s="509">
        <v>19.34</v>
      </c>
      <c r="J158" s="507" t="s">
        <v>529</v>
      </c>
    </row>
    <row r="159" spans="1:10">
      <c r="A159" s="507">
        <v>20100128</v>
      </c>
      <c r="B159" s="508" t="s">
        <v>459</v>
      </c>
      <c r="C159" s="508" t="str">
        <f t="shared" si="7"/>
        <v>20100128RLS</v>
      </c>
      <c r="D159" s="508" t="s">
        <v>253</v>
      </c>
      <c r="E159" s="508" t="str">
        <f t="shared" si="8"/>
        <v>20100128LGUM_317</v>
      </c>
      <c r="F159" s="509">
        <v>23.95</v>
      </c>
      <c r="G159" s="509">
        <v>0.53</v>
      </c>
      <c r="H159" s="509">
        <v>3.4</v>
      </c>
      <c r="I159" s="509">
        <v>20.02</v>
      </c>
      <c r="J159" s="507" t="s">
        <v>530</v>
      </c>
    </row>
    <row r="160" spans="1:10">
      <c r="A160" s="507">
        <v>20100128</v>
      </c>
      <c r="B160" s="508" t="s">
        <v>459</v>
      </c>
      <c r="C160" s="508" t="str">
        <f t="shared" si="7"/>
        <v>20100128RLS</v>
      </c>
      <c r="D160" s="508" t="s">
        <v>254</v>
      </c>
      <c r="E160" s="508" t="str">
        <f t="shared" si="8"/>
        <v>20100128LGUM_318</v>
      </c>
      <c r="F160" s="509">
        <v>16.18</v>
      </c>
      <c r="G160" s="509">
        <v>0.41</v>
      </c>
      <c r="H160" s="509">
        <v>1.44</v>
      </c>
      <c r="I160" s="509">
        <v>14.33</v>
      </c>
      <c r="J160" s="507" t="s">
        <v>531</v>
      </c>
    </row>
    <row r="161" spans="1:10">
      <c r="A161" s="507">
        <v>20100128</v>
      </c>
      <c r="B161" s="508" t="s">
        <v>459</v>
      </c>
      <c r="C161" s="508" t="str">
        <f t="shared" si="7"/>
        <v>20100128RLS</v>
      </c>
      <c r="D161" s="508" t="s">
        <v>532</v>
      </c>
      <c r="E161" s="508" t="str">
        <f t="shared" si="8"/>
        <v>20100128LGUM_319</v>
      </c>
      <c r="F161" s="509">
        <v>20.95</v>
      </c>
      <c r="G161" s="509">
        <v>0.6</v>
      </c>
      <c r="H161" s="509">
        <v>3.17</v>
      </c>
      <c r="I161" s="509">
        <v>17.18</v>
      </c>
      <c r="J161" s="507" t="s">
        <v>533</v>
      </c>
    </row>
    <row r="162" spans="1:10">
      <c r="A162" s="507">
        <v>20100128</v>
      </c>
      <c r="B162" s="508" t="s">
        <v>459</v>
      </c>
      <c r="C162" s="508" t="str">
        <f t="shared" si="7"/>
        <v>20100128RLS</v>
      </c>
      <c r="D162" s="508" t="s">
        <v>534</v>
      </c>
      <c r="E162" s="508" t="str">
        <f t="shared" si="8"/>
        <v>20100128LGUM_320</v>
      </c>
      <c r="F162" s="509">
        <v>22.01</v>
      </c>
      <c r="G162" s="509">
        <v>0.53</v>
      </c>
      <c r="H162" s="509">
        <v>2.14</v>
      </c>
      <c r="I162" s="509">
        <v>19.34</v>
      </c>
      <c r="J162" s="507" t="s">
        <v>535</v>
      </c>
    </row>
    <row r="163" spans="1:10">
      <c r="A163" s="507">
        <v>20100128</v>
      </c>
      <c r="B163" s="508" t="s">
        <v>459</v>
      </c>
      <c r="C163" s="508" t="str">
        <f t="shared" si="7"/>
        <v>20100128RLS</v>
      </c>
      <c r="D163" s="508" t="s">
        <v>255</v>
      </c>
      <c r="E163" s="508" t="str">
        <f t="shared" si="8"/>
        <v>20100128LGUM_321</v>
      </c>
      <c r="F163" s="509">
        <v>23.95</v>
      </c>
      <c r="G163" s="509">
        <v>0.53</v>
      </c>
      <c r="H163" s="509">
        <v>3.4</v>
      </c>
      <c r="I163" s="509">
        <v>20.02</v>
      </c>
      <c r="J163" s="507" t="s">
        <v>536</v>
      </c>
    </row>
    <row r="164" spans="1:10">
      <c r="A164" s="507">
        <v>20100128</v>
      </c>
      <c r="B164" s="508" t="s">
        <v>459</v>
      </c>
      <c r="C164" s="508" t="str">
        <f t="shared" si="7"/>
        <v>20100128RLS</v>
      </c>
      <c r="D164" s="508" t="s">
        <v>256</v>
      </c>
      <c r="E164" s="508" t="str">
        <f t="shared" si="8"/>
        <v>20100128LGUM_322</v>
      </c>
      <c r="F164" s="509">
        <v>10.050000000000001</v>
      </c>
      <c r="G164" s="509">
        <v>0.55000000000000004</v>
      </c>
      <c r="H164" s="509">
        <v>1.44</v>
      </c>
      <c r="I164" s="509">
        <v>8.06</v>
      </c>
      <c r="J164" s="507" t="s">
        <v>479</v>
      </c>
    </row>
    <row r="165" spans="1:10">
      <c r="A165" s="507">
        <v>20100128</v>
      </c>
      <c r="B165" s="508" t="s">
        <v>459</v>
      </c>
      <c r="C165" s="508" t="str">
        <f t="shared" si="7"/>
        <v>20100128RLS</v>
      </c>
      <c r="D165" s="508" t="s">
        <v>257</v>
      </c>
      <c r="E165" s="508" t="str">
        <f t="shared" si="8"/>
        <v>20100128LGUM_323</v>
      </c>
      <c r="F165" s="509">
        <v>12.1</v>
      </c>
      <c r="G165" s="509">
        <v>0.55000000000000004</v>
      </c>
      <c r="H165" s="509">
        <v>1.56</v>
      </c>
      <c r="I165" s="509">
        <v>9.9899999999999984</v>
      </c>
      <c r="J165" s="507" t="s">
        <v>480</v>
      </c>
    </row>
    <row r="166" spans="1:10">
      <c r="A166" s="507">
        <v>20100128</v>
      </c>
      <c r="B166" s="508" t="s">
        <v>459</v>
      </c>
      <c r="C166" s="508" t="str">
        <f t="shared" si="7"/>
        <v>20100128RLS</v>
      </c>
      <c r="D166" s="508" t="s">
        <v>258</v>
      </c>
      <c r="E166" s="508" t="str">
        <f t="shared" si="8"/>
        <v>20100128LGUM_324</v>
      </c>
      <c r="F166" s="509">
        <v>12.22</v>
      </c>
      <c r="G166" s="509">
        <v>0.57999999999999996</v>
      </c>
      <c r="H166" s="509">
        <v>0.99</v>
      </c>
      <c r="I166" s="509">
        <v>10.65</v>
      </c>
      <c r="J166" s="507" t="s">
        <v>537</v>
      </c>
    </row>
    <row r="167" spans="1:10">
      <c r="A167" s="507">
        <v>20100128</v>
      </c>
      <c r="B167" s="508" t="s">
        <v>459</v>
      </c>
      <c r="C167" s="508" t="str">
        <f t="shared" si="7"/>
        <v>20100128RLS</v>
      </c>
      <c r="D167" s="508" t="s">
        <v>259</v>
      </c>
      <c r="E167" s="508" t="str">
        <f t="shared" si="8"/>
        <v>20100128LGUM_325</v>
      </c>
      <c r="F167" s="509">
        <v>20.61</v>
      </c>
      <c r="G167" s="509">
        <v>0.55000000000000004</v>
      </c>
      <c r="H167" s="509">
        <v>1.38</v>
      </c>
      <c r="I167" s="509">
        <v>18.68</v>
      </c>
      <c r="J167" s="507" t="s">
        <v>1000</v>
      </c>
    </row>
    <row r="168" spans="1:10">
      <c r="A168" s="507">
        <v>20100128</v>
      </c>
      <c r="B168" s="508" t="s">
        <v>459</v>
      </c>
      <c r="C168" s="508" t="str">
        <f t="shared" si="7"/>
        <v>20100128RLS</v>
      </c>
      <c r="D168" s="508" t="s">
        <v>538</v>
      </c>
      <c r="E168" s="508" t="str">
        <f t="shared" si="8"/>
        <v>20100128LGUM_345</v>
      </c>
      <c r="F168" s="509">
        <v>16.11</v>
      </c>
      <c r="G168" s="509">
        <v>0.6</v>
      </c>
      <c r="H168" s="509">
        <v>3.18</v>
      </c>
      <c r="I168" s="509">
        <v>12.33</v>
      </c>
      <c r="J168" s="507" t="s">
        <v>539</v>
      </c>
    </row>
    <row r="169" spans="1:10">
      <c r="A169" s="507">
        <v>20100128</v>
      </c>
      <c r="B169" s="508" t="s">
        <v>459</v>
      </c>
      <c r="C169" s="508" t="str">
        <f t="shared" si="7"/>
        <v>20100128RLS</v>
      </c>
      <c r="D169" s="508" t="s">
        <v>540</v>
      </c>
      <c r="E169" s="508" t="str">
        <f t="shared" si="8"/>
        <v>20100128LGUM_346</v>
      </c>
      <c r="F169" s="509">
        <v>22.05</v>
      </c>
      <c r="G169" s="509">
        <v>0.53</v>
      </c>
      <c r="H169" s="509">
        <v>2.04</v>
      </c>
      <c r="I169" s="509">
        <v>19.48</v>
      </c>
      <c r="J169" s="507" t="s">
        <v>541</v>
      </c>
    </row>
    <row r="170" spans="1:10">
      <c r="A170" s="507">
        <v>20100128</v>
      </c>
      <c r="B170" s="508" t="s">
        <v>459</v>
      </c>
      <c r="C170" s="508" t="str">
        <f t="shared" si="7"/>
        <v>20100128RLS</v>
      </c>
      <c r="D170" s="508" t="s">
        <v>542</v>
      </c>
      <c r="E170" s="508" t="str">
        <f t="shared" si="8"/>
        <v>20100128LGUM_347</v>
      </c>
      <c r="F170" s="509">
        <v>20.95</v>
      </c>
      <c r="G170" s="509">
        <v>0.6</v>
      </c>
      <c r="H170" s="509">
        <v>3.18</v>
      </c>
      <c r="I170" s="509">
        <v>17.169999999999998</v>
      </c>
      <c r="J170" s="507" t="s">
        <v>543</v>
      </c>
    </row>
    <row r="171" spans="1:10">
      <c r="A171" s="507">
        <v>20100128</v>
      </c>
      <c r="B171" s="508" t="s">
        <v>459</v>
      </c>
      <c r="C171" s="508" t="str">
        <f t="shared" si="7"/>
        <v>20100128RLS</v>
      </c>
      <c r="D171" s="508" t="s">
        <v>260</v>
      </c>
      <c r="E171" s="508" t="str">
        <f t="shared" si="8"/>
        <v>20100128LGUM_348</v>
      </c>
      <c r="F171" s="509">
        <v>11.89</v>
      </c>
      <c r="G171" s="509">
        <v>1.73</v>
      </c>
      <c r="H171" s="509">
        <v>2.39</v>
      </c>
      <c r="I171" s="509">
        <v>7.77</v>
      </c>
      <c r="J171" s="507" t="s">
        <v>544</v>
      </c>
    </row>
    <row r="172" spans="1:10">
      <c r="A172" s="507">
        <v>20100128</v>
      </c>
      <c r="B172" s="508" t="s">
        <v>459</v>
      </c>
      <c r="C172" s="508" t="str">
        <f t="shared" si="7"/>
        <v>20100128RLS</v>
      </c>
      <c r="D172" s="508" t="s">
        <v>262</v>
      </c>
      <c r="E172" s="508" t="str">
        <f t="shared" si="8"/>
        <v>20100128LGUM_349</v>
      </c>
      <c r="F172" s="509">
        <v>8.35</v>
      </c>
      <c r="G172" s="509">
        <v>0.57999999999999996</v>
      </c>
      <c r="H172" s="509">
        <v>0.86</v>
      </c>
      <c r="I172" s="509">
        <v>6.9099999999999993</v>
      </c>
      <c r="J172" s="507" t="s">
        <v>545</v>
      </c>
    </row>
    <row r="173" spans="1:10">
      <c r="A173" s="507">
        <v>20100128</v>
      </c>
      <c r="B173" s="508" t="s">
        <v>459</v>
      </c>
      <c r="C173" s="508" t="str">
        <f t="shared" si="7"/>
        <v>20100128RLS</v>
      </c>
      <c r="D173" s="508" t="s">
        <v>264</v>
      </c>
      <c r="E173" s="508" t="str">
        <f t="shared" si="8"/>
        <v>20100128LGUM_352</v>
      </c>
      <c r="F173" s="509">
        <v>10.039999999999999</v>
      </c>
      <c r="G173" s="509">
        <v>0.41</v>
      </c>
      <c r="H173" s="509">
        <v>1.44</v>
      </c>
      <c r="I173" s="509">
        <v>8.19</v>
      </c>
      <c r="J173" s="507" t="s">
        <v>491</v>
      </c>
    </row>
    <row r="174" spans="1:10">
      <c r="A174" s="507">
        <v>20100128</v>
      </c>
      <c r="B174" s="508" t="s">
        <v>459</v>
      </c>
      <c r="C174" s="508" t="str">
        <f t="shared" si="7"/>
        <v>20100128RLS</v>
      </c>
      <c r="D174" s="508" t="s">
        <v>265</v>
      </c>
      <c r="E174" s="508" t="str">
        <f t="shared" si="8"/>
        <v>20100128LGUM_353</v>
      </c>
      <c r="F174" s="509">
        <v>11.46</v>
      </c>
      <c r="G174" s="509">
        <v>0.53</v>
      </c>
      <c r="H174" s="509">
        <v>2.04</v>
      </c>
      <c r="I174" s="509">
        <v>8.89</v>
      </c>
      <c r="J174" s="507" t="s">
        <v>492</v>
      </c>
    </row>
    <row r="175" spans="1:10">
      <c r="A175" s="507">
        <v>20100128</v>
      </c>
      <c r="B175" s="508" t="s">
        <v>459</v>
      </c>
      <c r="C175" s="508" t="str">
        <f t="shared" si="7"/>
        <v>20100128RLS</v>
      </c>
      <c r="D175" s="508" t="s">
        <v>266</v>
      </c>
      <c r="E175" s="508" t="str">
        <f t="shared" si="8"/>
        <v>20100128LGUM_354</v>
      </c>
      <c r="F175" s="509">
        <v>13.95</v>
      </c>
      <c r="G175" s="509">
        <v>0.6</v>
      </c>
      <c r="H175" s="509">
        <v>3.18</v>
      </c>
      <c r="I175" s="509">
        <v>10.17</v>
      </c>
      <c r="J175" s="507" t="s">
        <v>493</v>
      </c>
    </row>
    <row r="176" spans="1:10">
      <c r="A176" s="507">
        <v>20100128</v>
      </c>
      <c r="B176" s="508" t="s">
        <v>459</v>
      </c>
      <c r="C176" s="508" t="str">
        <f t="shared" si="7"/>
        <v>20100128RLS</v>
      </c>
      <c r="D176" s="508" t="s">
        <v>267</v>
      </c>
      <c r="E176" s="508" t="str">
        <f t="shared" si="8"/>
        <v>20100128LGUM_355</v>
      </c>
      <c r="F176" s="509">
        <v>8.44</v>
      </c>
      <c r="G176" s="509">
        <v>0.57999999999999996</v>
      </c>
      <c r="H176" s="509">
        <v>0.99</v>
      </c>
      <c r="I176" s="509">
        <v>6.8699999999999992</v>
      </c>
      <c r="J176" s="507" t="s">
        <v>494</v>
      </c>
    </row>
    <row r="177" spans="1:10">
      <c r="A177" s="507">
        <v>20100128</v>
      </c>
      <c r="B177" s="508" t="s">
        <v>459</v>
      </c>
      <c r="C177" s="508" t="str">
        <f t="shared" si="7"/>
        <v>20100128RLS</v>
      </c>
      <c r="D177" s="508" t="s">
        <v>546</v>
      </c>
      <c r="E177" s="508" t="str">
        <f t="shared" si="8"/>
        <v>20100128LGUM_356</v>
      </c>
      <c r="F177" s="509">
        <v>13.86</v>
      </c>
      <c r="G177" s="509">
        <v>0.57999999999999996</v>
      </c>
      <c r="H177" s="509">
        <v>0.85</v>
      </c>
      <c r="I177" s="509">
        <v>12.43</v>
      </c>
      <c r="J177" s="507" t="s">
        <v>547</v>
      </c>
    </row>
    <row r="178" spans="1:10">
      <c r="A178" s="507">
        <v>20100128</v>
      </c>
      <c r="B178" s="508" t="s">
        <v>459</v>
      </c>
      <c r="C178" s="508" t="str">
        <f t="shared" si="7"/>
        <v>20100128RLS</v>
      </c>
      <c r="D178" s="508" t="s">
        <v>268</v>
      </c>
      <c r="E178" s="508" t="str">
        <f t="shared" si="8"/>
        <v>20100128LGUM_357</v>
      </c>
      <c r="F178" s="509">
        <v>13.95</v>
      </c>
      <c r="G178" s="509">
        <v>0.6</v>
      </c>
      <c r="H178" s="509">
        <v>3.18</v>
      </c>
      <c r="I178" s="509">
        <v>10.17</v>
      </c>
      <c r="J178" s="507" t="s">
        <v>499</v>
      </c>
    </row>
    <row r="179" spans="1:10">
      <c r="A179" s="507">
        <v>20100128</v>
      </c>
      <c r="B179" s="508" t="s">
        <v>459</v>
      </c>
      <c r="C179" s="508" t="str">
        <f t="shared" si="7"/>
        <v>20100128RLS</v>
      </c>
      <c r="D179" s="508" t="s">
        <v>269</v>
      </c>
      <c r="E179" s="508" t="str">
        <f t="shared" si="8"/>
        <v>20100128LGUM_358</v>
      </c>
      <c r="F179" s="509">
        <v>14.68</v>
      </c>
      <c r="G179" s="509">
        <v>0.41</v>
      </c>
      <c r="H179" s="509">
        <v>1.44</v>
      </c>
      <c r="I179" s="509">
        <v>12.83</v>
      </c>
      <c r="J179" s="507" t="s">
        <v>548</v>
      </c>
    </row>
    <row r="180" spans="1:10">
      <c r="A180" s="507">
        <v>20100128</v>
      </c>
      <c r="B180" s="508" t="s">
        <v>459</v>
      </c>
      <c r="C180" s="508" t="str">
        <f t="shared" si="7"/>
        <v>20100128RLS</v>
      </c>
      <c r="D180" s="508" t="s">
        <v>270</v>
      </c>
      <c r="E180" s="508" t="str">
        <f t="shared" si="8"/>
        <v>20100128LGUM_360</v>
      </c>
      <c r="F180" s="509">
        <v>25.83</v>
      </c>
      <c r="G180" s="509">
        <v>1.0900000000000001</v>
      </c>
      <c r="H180" s="509">
        <v>7.58</v>
      </c>
      <c r="I180" s="509">
        <v>17.159999999999997</v>
      </c>
      <c r="J180" s="507" t="s">
        <v>503</v>
      </c>
    </row>
    <row r="181" spans="1:10">
      <c r="A181" s="507">
        <v>20100128</v>
      </c>
      <c r="B181" s="508" t="s">
        <v>459</v>
      </c>
      <c r="C181" s="508" t="str">
        <f t="shared" si="7"/>
        <v>20100128RLS</v>
      </c>
      <c r="D181" s="508" t="s">
        <v>271</v>
      </c>
      <c r="E181" s="508" t="str">
        <f t="shared" si="8"/>
        <v>20100128LGUM_361</v>
      </c>
      <c r="F181" s="509">
        <v>12.02</v>
      </c>
      <c r="G181" s="509">
        <v>0.53</v>
      </c>
      <c r="H181" s="509">
        <v>2.14</v>
      </c>
      <c r="I181" s="509">
        <v>9.35</v>
      </c>
      <c r="J181" s="507" t="s">
        <v>504</v>
      </c>
    </row>
    <row r="182" spans="1:10">
      <c r="A182" s="507">
        <v>20100128</v>
      </c>
      <c r="B182" s="508" t="s">
        <v>459</v>
      </c>
      <c r="C182" s="508" t="str">
        <f t="shared" si="7"/>
        <v>20100128RLS</v>
      </c>
      <c r="D182" s="508" t="s">
        <v>272</v>
      </c>
      <c r="E182" s="508" t="str">
        <f t="shared" si="8"/>
        <v>20100128LGUM_362</v>
      </c>
      <c r="F182" s="509">
        <v>12.92</v>
      </c>
      <c r="G182" s="509">
        <v>0.6</v>
      </c>
      <c r="H182" s="509">
        <v>3.4</v>
      </c>
      <c r="I182" s="509">
        <v>8.92</v>
      </c>
      <c r="J182" s="507" t="s">
        <v>505</v>
      </c>
    </row>
    <row r="183" spans="1:10">
      <c r="A183" s="507">
        <v>20100128</v>
      </c>
      <c r="B183" s="508" t="s">
        <v>459</v>
      </c>
      <c r="C183" s="508" t="str">
        <f t="shared" si="7"/>
        <v>20100128RLS</v>
      </c>
      <c r="D183" s="508" t="s">
        <v>273</v>
      </c>
      <c r="E183" s="508" t="str">
        <f t="shared" si="8"/>
        <v>20100128LGUM_363</v>
      </c>
      <c r="F183" s="509">
        <v>12.92</v>
      </c>
      <c r="G183" s="509">
        <v>0.6</v>
      </c>
      <c r="H183" s="509">
        <v>3.4</v>
      </c>
      <c r="I183" s="509">
        <v>8.92</v>
      </c>
      <c r="J183" s="507" t="s">
        <v>506</v>
      </c>
    </row>
    <row r="184" spans="1:10">
      <c r="A184" s="507">
        <v>20100128</v>
      </c>
      <c r="B184" s="508" t="s">
        <v>459</v>
      </c>
      <c r="C184" s="508" t="str">
        <f t="shared" si="7"/>
        <v>20100128RLS</v>
      </c>
      <c r="D184" s="508" t="s">
        <v>274</v>
      </c>
      <c r="E184" s="508" t="str">
        <f t="shared" si="8"/>
        <v>20100128LGUM_364</v>
      </c>
      <c r="F184" s="509">
        <v>24.05</v>
      </c>
      <c r="G184" s="509">
        <v>0.53</v>
      </c>
      <c r="H184" s="509">
        <v>2.04</v>
      </c>
      <c r="I184" s="509">
        <v>21.48</v>
      </c>
      <c r="J184" s="507" t="s">
        <v>549</v>
      </c>
    </row>
    <row r="185" spans="1:10">
      <c r="A185" s="507">
        <v>20100128</v>
      </c>
      <c r="B185" s="508" t="s">
        <v>459</v>
      </c>
      <c r="C185" s="508" t="str">
        <f t="shared" si="7"/>
        <v>20100128RLS</v>
      </c>
      <c r="D185" s="508" t="s">
        <v>275</v>
      </c>
      <c r="E185" s="508" t="str">
        <f t="shared" si="8"/>
        <v>20100128LGUM_365</v>
      </c>
      <c r="F185" s="509">
        <v>27.09</v>
      </c>
      <c r="G185" s="509">
        <v>0.6</v>
      </c>
      <c r="H185" s="509">
        <v>3.18</v>
      </c>
      <c r="I185" s="509">
        <v>23.31</v>
      </c>
      <c r="J185" s="507" t="s">
        <v>550</v>
      </c>
    </row>
    <row r="186" spans="1:10">
      <c r="A186" s="507">
        <v>20100128</v>
      </c>
      <c r="B186" s="508" t="s">
        <v>459</v>
      </c>
      <c r="C186" s="508" t="str">
        <f t="shared" si="7"/>
        <v>20100128RLS</v>
      </c>
      <c r="D186" s="508" t="s">
        <v>276</v>
      </c>
      <c r="E186" s="508" t="str">
        <f t="shared" si="8"/>
        <v>20100128LGUM_366</v>
      </c>
      <c r="F186" s="509">
        <v>22.01</v>
      </c>
      <c r="G186" s="509">
        <v>0.53</v>
      </c>
      <c r="H186" s="509">
        <v>2.14</v>
      </c>
      <c r="I186" s="509">
        <v>19.34</v>
      </c>
      <c r="J186" s="507" t="s">
        <v>551</v>
      </c>
    </row>
    <row r="187" spans="1:10">
      <c r="A187" s="507">
        <v>20100128</v>
      </c>
      <c r="B187" s="508" t="s">
        <v>459</v>
      </c>
      <c r="C187" s="508" t="str">
        <f t="shared" si="7"/>
        <v>20100128RLS</v>
      </c>
      <c r="D187" s="508" t="s">
        <v>277</v>
      </c>
      <c r="E187" s="508" t="str">
        <f t="shared" si="8"/>
        <v>20100128LGUM_367</v>
      </c>
      <c r="F187" s="509">
        <v>23.95</v>
      </c>
      <c r="G187" s="509">
        <v>0.53</v>
      </c>
      <c r="H187" s="509">
        <v>3.4</v>
      </c>
      <c r="I187" s="509">
        <v>20.02</v>
      </c>
      <c r="J187" s="507" t="s">
        <v>552</v>
      </c>
    </row>
    <row r="188" spans="1:10">
      <c r="A188" s="507">
        <v>20100128</v>
      </c>
      <c r="B188" s="508" t="s">
        <v>459</v>
      </c>
      <c r="C188" s="508" t="str">
        <f t="shared" si="7"/>
        <v>20100128RLS</v>
      </c>
      <c r="D188" s="508" t="s">
        <v>553</v>
      </c>
      <c r="E188" s="508" t="str">
        <f t="shared" si="8"/>
        <v>20100128LGUM_368</v>
      </c>
      <c r="F188" s="509">
        <v>23.12</v>
      </c>
      <c r="G188" s="509">
        <v>0.41</v>
      </c>
      <c r="H188" s="509">
        <v>1.44</v>
      </c>
      <c r="I188" s="509">
        <v>21.27</v>
      </c>
      <c r="J188" s="507" t="s">
        <v>531</v>
      </c>
    </row>
    <row r="189" spans="1:10">
      <c r="A189" s="507">
        <v>20100128</v>
      </c>
      <c r="B189" s="508" t="s">
        <v>459</v>
      </c>
      <c r="C189" s="508" t="str">
        <f t="shared" si="7"/>
        <v>20100128RLS</v>
      </c>
      <c r="D189" s="508" t="s">
        <v>554</v>
      </c>
      <c r="E189" s="508" t="str">
        <f t="shared" si="8"/>
        <v>20100128LGUM_369</v>
      </c>
      <c r="F189" s="509">
        <v>27.09</v>
      </c>
      <c r="G189" s="509">
        <v>0.6</v>
      </c>
      <c r="H189" s="509">
        <v>3.18</v>
      </c>
      <c r="I189" s="509">
        <v>23.31</v>
      </c>
      <c r="J189" s="507" t="s">
        <v>555</v>
      </c>
    </row>
    <row r="190" spans="1:10">
      <c r="A190" s="507">
        <v>20100128</v>
      </c>
      <c r="B190" s="508" t="s">
        <v>459</v>
      </c>
      <c r="C190" s="508" t="str">
        <f t="shared" si="7"/>
        <v>20100128RLS</v>
      </c>
      <c r="D190" s="508" t="s">
        <v>278</v>
      </c>
      <c r="E190" s="508" t="str">
        <f t="shared" si="8"/>
        <v>20100128LGUM_370</v>
      </c>
      <c r="F190" s="509">
        <v>22.01</v>
      </c>
      <c r="G190" s="509">
        <v>0.53</v>
      </c>
      <c r="H190" s="509">
        <v>2.14</v>
      </c>
      <c r="I190" s="509">
        <v>19.34</v>
      </c>
      <c r="J190" s="507" t="s">
        <v>556</v>
      </c>
    </row>
    <row r="191" spans="1:10">
      <c r="A191" s="507">
        <v>20100128</v>
      </c>
      <c r="B191" s="508" t="s">
        <v>459</v>
      </c>
      <c r="C191" s="508" t="str">
        <f t="shared" si="7"/>
        <v>20100128RLS</v>
      </c>
      <c r="D191" s="508" t="s">
        <v>279</v>
      </c>
      <c r="E191" s="508" t="str">
        <f t="shared" si="8"/>
        <v>20100128LGUM_371</v>
      </c>
      <c r="F191" s="509">
        <v>23.95</v>
      </c>
      <c r="G191" s="509">
        <v>0.53</v>
      </c>
      <c r="H191" s="509">
        <v>3.4</v>
      </c>
      <c r="I191" s="509">
        <v>20.02</v>
      </c>
      <c r="J191" s="507" t="s">
        <v>557</v>
      </c>
    </row>
    <row r="192" spans="1:10">
      <c r="A192" s="507">
        <v>20100128</v>
      </c>
      <c r="B192" s="508" t="s">
        <v>459</v>
      </c>
      <c r="C192" s="508" t="str">
        <f t="shared" si="7"/>
        <v>20100128RLS</v>
      </c>
      <c r="D192" s="508" t="s">
        <v>280</v>
      </c>
      <c r="E192" s="508" t="str">
        <f t="shared" si="8"/>
        <v>20100128LGUM_372</v>
      </c>
      <c r="F192" s="509">
        <v>10.050000000000001</v>
      </c>
      <c r="G192" s="509">
        <v>0.55000000000000004</v>
      </c>
      <c r="H192" s="509">
        <v>1.44</v>
      </c>
      <c r="I192" s="509">
        <v>8.06</v>
      </c>
      <c r="J192" s="507" t="s">
        <v>509</v>
      </c>
    </row>
    <row r="193" spans="1:10">
      <c r="A193" s="507">
        <v>20100128</v>
      </c>
      <c r="B193" s="508" t="s">
        <v>459</v>
      </c>
      <c r="C193" s="508" t="str">
        <f t="shared" si="7"/>
        <v>20100128RLS</v>
      </c>
      <c r="D193" s="508" t="s">
        <v>281</v>
      </c>
      <c r="E193" s="508" t="str">
        <f t="shared" si="8"/>
        <v>20100128LGUM_373</v>
      </c>
      <c r="F193" s="509">
        <v>10.050000000000001</v>
      </c>
      <c r="G193" s="509">
        <v>0.55000000000000004</v>
      </c>
      <c r="H193" s="509">
        <v>1.44</v>
      </c>
      <c r="I193" s="509">
        <v>8.06</v>
      </c>
      <c r="J193" s="507" t="s">
        <v>510</v>
      </c>
    </row>
    <row r="194" spans="1:10">
      <c r="A194" s="507">
        <v>20100128</v>
      </c>
      <c r="B194" s="508" t="s">
        <v>459</v>
      </c>
      <c r="C194" s="508" t="str">
        <f t="shared" si="7"/>
        <v>20100128RLS</v>
      </c>
      <c r="D194" s="508" t="s">
        <v>282</v>
      </c>
      <c r="E194" s="508" t="str">
        <f t="shared" si="8"/>
        <v>20100128LGUM_374</v>
      </c>
      <c r="F194" s="509">
        <v>12.22</v>
      </c>
      <c r="G194" s="509">
        <v>0.57999999999999996</v>
      </c>
      <c r="H194" s="509">
        <v>0.99</v>
      </c>
      <c r="I194" s="509">
        <v>10.65</v>
      </c>
      <c r="J194" s="507" t="s">
        <v>558</v>
      </c>
    </row>
    <row r="195" spans="1:10">
      <c r="A195" s="507">
        <v>20100128</v>
      </c>
      <c r="B195" s="508" t="s">
        <v>459</v>
      </c>
      <c r="C195" s="508" t="str">
        <f t="shared" si="7"/>
        <v>20100128RLS</v>
      </c>
      <c r="D195" s="508" t="s">
        <v>283</v>
      </c>
      <c r="E195" s="508" t="str">
        <f t="shared" si="8"/>
        <v>20100128LGUM_375</v>
      </c>
      <c r="F195" s="509">
        <v>20.61</v>
      </c>
      <c r="G195" s="509">
        <v>0.55000000000000004</v>
      </c>
      <c r="H195" s="509">
        <v>1.38</v>
      </c>
      <c r="I195" s="509">
        <v>18.68</v>
      </c>
      <c r="J195" s="507" t="s">
        <v>559</v>
      </c>
    </row>
    <row r="196" spans="1:10">
      <c r="A196" s="507">
        <v>20100128</v>
      </c>
      <c r="B196" s="508" t="s">
        <v>459</v>
      </c>
      <c r="C196" s="508" t="str">
        <f t="shared" si="7"/>
        <v>20100128RLS</v>
      </c>
      <c r="D196" s="508" t="s">
        <v>284</v>
      </c>
      <c r="E196" s="508" t="str">
        <f t="shared" si="8"/>
        <v>20100128LGUM_376</v>
      </c>
      <c r="F196" s="509">
        <v>11.72</v>
      </c>
      <c r="G196" s="509">
        <v>0.52</v>
      </c>
      <c r="H196" s="509">
        <v>0.85</v>
      </c>
      <c r="I196" s="509">
        <v>10.350000000000001</v>
      </c>
      <c r="J196" s="507" t="s">
        <v>560</v>
      </c>
    </row>
    <row r="197" spans="1:10">
      <c r="A197" s="507">
        <v>20100128</v>
      </c>
      <c r="B197" s="508" t="s">
        <v>459</v>
      </c>
      <c r="C197" s="508" t="str">
        <f t="shared" si="7"/>
        <v>20100128RLS</v>
      </c>
      <c r="D197" s="508" t="s">
        <v>285</v>
      </c>
      <c r="E197" s="508" t="str">
        <f t="shared" si="8"/>
        <v>20100128LGUM_377</v>
      </c>
      <c r="F197" s="509">
        <v>17.75</v>
      </c>
      <c r="G197" s="509">
        <v>0.55000000000000004</v>
      </c>
      <c r="H197" s="509">
        <v>1.38</v>
      </c>
      <c r="I197" s="509">
        <v>15.82</v>
      </c>
      <c r="J197" s="507" t="s">
        <v>561</v>
      </c>
    </row>
    <row r="198" spans="1:10">
      <c r="A198" s="507">
        <v>20100128</v>
      </c>
      <c r="B198" s="508" t="s">
        <v>459</v>
      </c>
      <c r="C198" s="508" t="str">
        <f t="shared" si="7"/>
        <v>20100128RLS</v>
      </c>
      <c r="D198" s="508" t="s">
        <v>286</v>
      </c>
      <c r="E198" s="508" t="str">
        <f t="shared" si="8"/>
        <v>20100128LGUM_378</v>
      </c>
      <c r="F198" s="509">
        <v>55.3</v>
      </c>
      <c r="G198" s="509">
        <v>1.0900000000000001</v>
      </c>
      <c r="H198" s="509">
        <v>7.58</v>
      </c>
      <c r="I198" s="509">
        <v>46.629999999999995</v>
      </c>
      <c r="J198" s="507" t="s">
        <v>562</v>
      </c>
    </row>
    <row r="199" spans="1:10">
      <c r="A199" s="507">
        <v>20100128</v>
      </c>
      <c r="B199" s="508" t="s">
        <v>459</v>
      </c>
      <c r="C199" s="508" t="str">
        <f t="shared" si="7"/>
        <v>20100128RLS</v>
      </c>
      <c r="D199" s="508" t="s">
        <v>287</v>
      </c>
      <c r="E199" s="508" t="str">
        <f t="shared" si="8"/>
        <v>20100128LGUM_379</v>
      </c>
      <c r="F199" s="509">
        <v>29.05</v>
      </c>
      <c r="G199" s="509">
        <v>1.0900000000000001</v>
      </c>
      <c r="H199" s="509">
        <v>7.57</v>
      </c>
      <c r="I199" s="509">
        <v>20.39</v>
      </c>
      <c r="J199" s="507" t="s">
        <v>517</v>
      </c>
    </row>
    <row r="200" spans="1:10">
      <c r="A200" s="507">
        <v>20100128</v>
      </c>
      <c r="B200" s="508" t="s">
        <v>459</v>
      </c>
      <c r="C200" s="508" t="str">
        <f t="shared" si="7"/>
        <v>20100128RLS</v>
      </c>
      <c r="D200" s="508" t="s">
        <v>288</v>
      </c>
      <c r="E200" s="508" t="str">
        <f t="shared" si="8"/>
        <v>20100128LGUM_380</v>
      </c>
      <c r="F200" s="509">
        <v>15.79</v>
      </c>
      <c r="G200" s="509">
        <v>0.52</v>
      </c>
      <c r="H200" s="509">
        <v>0.69</v>
      </c>
      <c r="I200" s="509">
        <v>14.58</v>
      </c>
      <c r="J200" s="507" t="s">
        <v>563</v>
      </c>
    </row>
    <row r="201" spans="1:10">
      <c r="A201" s="507">
        <v>20100128</v>
      </c>
      <c r="B201" s="508" t="s">
        <v>459</v>
      </c>
      <c r="C201" s="508" t="str">
        <f t="shared" si="7"/>
        <v>20100128RLS</v>
      </c>
      <c r="D201" s="508" t="s">
        <v>289</v>
      </c>
      <c r="E201" s="508" t="str">
        <f t="shared" si="8"/>
        <v>20100128LGUM_381</v>
      </c>
      <c r="F201" s="509">
        <v>16.559999999999999</v>
      </c>
      <c r="G201" s="509">
        <v>0.57999999999999996</v>
      </c>
      <c r="H201" s="509">
        <v>0.99</v>
      </c>
      <c r="I201" s="509">
        <v>14.989999999999998</v>
      </c>
      <c r="J201" s="507" t="s">
        <v>564</v>
      </c>
    </row>
    <row r="202" spans="1:10">
      <c r="A202" s="507">
        <v>20100128</v>
      </c>
      <c r="B202" s="508" t="s">
        <v>459</v>
      </c>
      <c r="C202" s="508" t="str">
        <f t="shared" si="7"/>
        <v>20100128RLS</v>
      </c>
      <c r="D202" s="508" t="s">
        <v>290</v>
      </c>
      <c r="E202" s="508" t="str">
        <f t="shared" si="8"/>
        <v>20100128LGUM_382</v>
      </c>
      <c r="F202" s="509">
        <v>15.98</v>
      </c>
      <c r="G202" s="509">
        <v>0.52</v>
      </c>
      <c r="H202" s="509">
        <v>0.69</v>
      </c>
      <c r="I202" s="509">
        <v>14.770000000000001</v>
      </c>
      <c r="J202" s="507" t="s">
        <v>565</v>
      </c>
    </row>
    <row r="203" spans="1:10">
      <c r="A203" s="507">
        <v>20100128</v>
      </c>
      <c r="B203" s="508" t="s">
        <v>459</v>
      </c>
      <c r="C203" s="508" t="str">
        <f t="shared" si="7"/>
        <v>20100128RLS</v>
      </c>
      <c r="D203" s="508" t="s">
        <v>291</v>
      </c>
      <c r="E203" s="508" t="str">
        <f t="shared" si="8"/>
        <v>20100128LGUM_383</v>
      </c>
      <c r="F203" s="509">
        <v>17.09</v>
      </c>
      <c r="G203" s="509">
        <v>0.57999999999999996</v>
      </c>
      <c r="H203" s="509">
        <v>0.99</v>
      </c>
      <c r="I203" s="509">
        <v>15.520000000000001</v>
      </c>
      <c r="J203" s="507" t="s">
        <v>566</v>
      </c>
    </row>
    <row r="204" spans="1:10">
      <c r="A204" s="507">
        <v>20100128</v>
      </c>
      <c r="B204" s="508" t="s">
        <v>567</v>
      </c>
      <c r="C204" s="508" t="str">
        <f t="shared" si="7"/>
        <v>20100128LS</v>
      </c>
      <c r="D204" s="508" t="s">
        <v>292</v>
      </c>
      <c r="E204" s="508" t="str">
        <f t="shared" si="8"/>
        <v>20100128LGUM_412</v>
      </c>
      <c r="F204" s="509">
        <v>16.38</v>
      </c>
      <c r="G204" s="509">
        <v>0.84</v>
      </c>
      <c r="H204" s="509">
        <v>0.75</v>
      </c>
      <c r="I204" s="509">
        <v>14.79</v>
      </c>
      <c r="J204" s="507" t="s">
        <v>568</v>
      </c>
    </row>
    <row r="205" spans="1:10">
      <c r="A205" s="507">
        <v>20100128</v>
      </c>
      <c r="B205" s="508" t="s">
        <v>567</v>
      </c>
      <c r="C205" s="508" t="str">
        <f t="shared" si="7"/>
        <v>20100128LS</v>
      </c>
      <c r="D205" s="508" t="s">
        <v>293</v>
      </c>
      <c r="E205" s="508" t="str">
        <f t="shared" si="8"/>
        <v>20100128LGUM_413</v>
      </c>
      <c r="F205" s="509">
        <v>16.88</v>
      </c>
      <c r="G205" s="509">
        <v>0.75</v>
      </c>
      <c r="H205" s="509">
        <v>0.99</v>
      </c>
      <c r="I205" s="509">
        <v>15.139999999999999</v>
      </c>
      <c r="J205" s="507" t="s">
        <v>569</v>
      </c>
    </row>
    <row r="206" spans="1:10">
      <c r="A206" s="507">
        <v>20100128</v>
      </c>
      <c r="B206" s="508" t="s">
        <v>567</v>
      </c>
      <c r="C206" s="508" t="str">
        <f t="shared" si="7"/>
        <v>20100128LS</v>
      </c>
      <c r="D206" s="508" t="s">
        <v>294</v>
      </c>
      <c r="E206" s="508" t="str">
        <f t="shared" si="8"/>
        <v>20100128LGUM_414</v>
      </c>
      <c r="F206" s="509">
        <v>17.84</v>
      </c>
      <c r="G206" s="509">
        <v>0.61</v>
      </c>
      <c r="H206" s="509">
        <v>1.37</v>
      </c>
      <c r="I206" s="509">
        <v>15.86</v>
      </c>
      <c r="J206" s="507" t="s">
        <v>570</v>
      </c>
    </row>
    <row r="207" spans="1:10">
      <c r="A207" s="507">
        <v>20100128</v>
      </c>
      <c r="B207" s="508" t="s">
        <v>567</v>
      </c>
      <c r="C207" s="508" t="str">
        <f t="shared" si="7"/>
        <v>20100128LS</v>
      </c>
      <c r="D207" s="508" t="s">
        <v>295</v>
      </c>
      <c r="E207" s="508" t="str">
        <f t="shared" si="8"/>
        <v>20100128LGUM_415</v>
      </c>
      <c r="F207" s="509">
        <v>16.71</v>
      </c>
      <c r="G207" s="509">
        <v>0.84</v>
      </c>
      <c r="H207" s="509">
        <v>0.75</v>
      </c>
      <c r="I207" s="509">
        <v>15.120000000000001</v>
      </c>
      <c r="J207" s="507" t="s">
        <v>571</v>
      </c>
    </row>
    <row r="208" spans="1:10">
      <c r="A208" s="507">
        <v>20100128</v>
      </c>
      <c r="B208" s="508" t="s">
        <v>567</v>
      </c>
      <c r="C208" s="508" t="str">
        <f t="shared" si="7"/>
        <v>20100128LS</v>
      </c>
      <c r="D208" s="508" t="s">
        <v>296</v>
      </c>
      <c r="E208" s="508" t="str">
        <f t="shared" si="8"/>
        <v>20100128LGUM_416</v>
      </c>
      <c r="F208" s="509">
        <v>18.649999999999999</v>
      </c>
      <c r="G208" s="509">
        <v>0.75</v>
      </c>
      <c r="H208" s="509">
        <v>0.99</v>
      </c>
      <c r="I208" s="509">
        <v>16.91</v>
      </c>
      <c r="J208" s="507" t="s">
        <v>572</v>
      </c>
    </row>
    <row r="209" spans="1:10">
      <c r="A209" s="507">
        <v>20100128</v>
      </c>
      <c r="B209" s="508" t="s">
        <v>567</v>
      </c>
      <c r="C209" s="508" t="str">
        <f t="shared" si="7"/>
        <v>20100128LS</v>
      </c>
      <c r="D209" s="508" t="s">
        <v>297</v>
      </c>
      <c r="E209" s="508" t="str">
        <f t="shared" si="8"/>
        <v>20100128LGUM_417</v>
      </c>
      <c r="F209" s="509">
        <v>19.600000000000001</v>
      </c>
      <c r="G209" s="509">
        <v>0.75</v>
      </c>
      <c r="H209" s="509">
        <v>0.99</v>
      </c>
      <c r="I209" s="509">
        <v>17.860000000000003</v>
      </c>
      <c r="J209" s="507" t="s">
        <v>573</v>
      </c>
    </row>
    <row r="210" spans="1:10">
      <c r="A210" s="507">
        <v>20100128</v>
      </c>
      <c r="B210" s="508" t="s">
        <v>567</v>
      </c>
      <c r="C210" s="508" t="str">
        <f t="shared" si="7"/>
        <v>20100128LS</v>
      </c>
      <c r="D210" s="508" t="s">
        <v>298</v>
      </c>
      <c r="E210" s="508" t="str">
        <f t="shared" si="8"/>
        <v>20100128LGUM_418</v>
      </c>
      <c r="F210" s="509">
        <v>19.52</v>
      </c>
      <c r="G210" s="509">
        <v>0.61</v>
      </c>
      <c r="H210" s="509">
        <v>1.37</v>
      </c>
      <c r="I210" s="509">
        <v>17.54</v>
      </c>
      <c r="J210" s="507" t="s">
        <v>574</v>
      </c>
    </row>
    <row r="211" spans="1:10">
      <c r="A211" s="507">
        <v>20100128</v>
      </c>
      <c r="B211" s="508" t="s">
        <v>567</v>
      </c>
      <c r="C211" s="508" t="str">
        <f t="shared" si="7"/>
        <v>20100128LS</v>
      </c>
      <c r="D211" s="508" t="s">
        <v>299</v>
      </c>
      <c r="E211" s="508" t="str">
        <f t="shared" si="8"/>
        <v>20100128LGUM_419</v>
      </c>
      <c r="F211" s="509">
        <v>20.41</v>
      </c>
      <c r="G211" s="509">
        <v>0.61</v>
      </c>
      <c r="H211" s="509">
        <v>1.37</v>
      </c>
      <c r="I211" s="509">
        <v>18.43</v>
      </c>
      <c r="J211" s="507" t="s">
        <v>575</v>
      </c>
    </row>
    <row r="212" spans="1:10">
      <c r="A212" s="507">
        <v>20100128</v>
      </c>
      <c r="B212" s="508" t="s">
        <v>567</v>
      </c>
      <c r="C212" s="508" t="str">
        <f t="shared" si="7"/>
        <v>20100128LS</v>
      </c>
      <c r="D212" s="508" t="s">
        <v>300</v>
      </c>
      <c r="E212" s="508" t="str">
        <f t="shared" si="8"/>
        <v>20100128LGUM_420</v>
      </c>
      <c r="F212" s="509">
        <v>24.88</v>
      </c>
      <c r="G212" s="509">
        <v>0.61</v>
      </c>
      <c r="H212" s="509">
        <v>1.37</v>
      </c>
      <c r="I212" s="509">
        <v>22.9</v>
      </c>
      <c r="J212" s="507" t="s">
        <v>576</v>
      </c>
    </row>
    <row r="213" spans="1:10">
      <c r="A213" s="507">
        <v>20100128</v>
      </c>
      <c r="B213" s="508" t="s">
        <v>567</v>
      </c>
      <c r="C213" s="508" t="str">
        <f t="shared" si="7"/>
        <v>20100128LS</v>
      </c>
      <c r="D213" s="508" t="s">
        <v>301</v>
      </c>
      <c r="E213" s="508" t="str">
        <f t="shared" si="8"/>
        <v>20100128LGUM_421</v>
      </c>
      <c r="F213" s="509">
        <v>27.66</v>
      </c>
      <c r="G213" s="509">
        <v>0.72</v>
      </c>
      <c r="H213" s="509">
        <v>2.14</v>
      </c>
      <c r="I213" s="509">
        <v>24.8</v>
      </c>
      <c r="J213" s="507" t="s">
        <v>577</v>
      </c>
    </row>
    <row r="214" spans="1:10">
      <c r="A214" s="507">
        <v>20100128</v>
      </c>
      <c r="B214" s="508" t="s">
        <v>567</v>
      </c>
      <c r="C214" s="508" t="str">
        <f t="shared" si="7"/>
        <v>20100128LS</v>
      </c>
      <c r="D214" s="508" t="s">
        <v>302</v>
      </c>
      <c r="E214" s="508" t="str">
        <f t="shared" si="8"/>
        <v>20100128LGUM_422</v>
      </c>
      <c r="F214" s="509">
        <v>31.49</v>
      </c>
      <c r="G214" s="509">
        <v>0.8</v>
      </c>
      <c r="H214" s="509">
        <v>3.4</v>
      </c>
      <c r="I214" s="509">
        <v>27.29</v>
      </c>
      <c r="J214" s="507" t="s">
        <v>578</v>
      </c>
    </row>
    <row r="215" spans="1:10">
      <c r="A215" s="507">
        <v>20100128</v>
      </c>
      <c r="B215" s="508" t="s">
        <v>567</v>
      </c>
      <c r="C215" s="508" t="str">
        <f t="shared" si="7"/>
        <v>20100128LS</v>
      </c>
      <c r="D215" s="508" t="s">
        <v>303</v>
      </c>
      <c r="E215" s="508" t="str">
        <f t="shared" si="8"/>
        <v>20100128LGUM_423</v>
      </c>
      <c r="F215" s="509">
        <v>21.86</v>
      </c>
      <c r="G215" s="509">
        <v>0.61</v>
      </c>
      <c r="H215" s="509">
        <v>1.37</v>
      </c>
      <c r="I215" s="509">
        <v>19.88</v>
      </c>
      <c r="J215" s="507" t="s">
        <v>579</v>
      </c>
    </row>
    <row r="216" spans="1:10">
      <c r="A216" s="507">
        <v>20100128</v>
      </c>
      <c r="B216" s="508" t="s">
        <v>567</v>
      </c>
      <c r="C216" s="508" t="str">
        <f t="shared" si="7"/>
        <v>20100128LS</v>
      </c>
      <c r="D216" s="508" t="s">
        <v>304</v>
      </c>
      <c r="E216" s="508" t="str">
        <f t="shared" si="8"/>
        <v>20100128LGUM_424</v>
      </c>
      <c r="F216" s="509">
        <v>23.91</v>
      </c>
      <c r="G216" s="509">
        <v>0.72</v>
      </c>
      <c r="H216" s="509">
        <v>2.14</v>
      </c>
      <c r="I216" s="509">
        <v>21.05</v>
      </c>
      <c r="J216" s="507" t="s">
        <v>580</v>
      </c>
    </row>
    <row r="217" spans="1:10">
      <c r="A217" s="507">
        <v>20100128</v>
      </c>
      <c r="B217" s="508" t="s">
        <v>567</v>
      </c>
      <c r="C217" s="508" t="str">
        <f t="shared" si="7"/>
        <v>20100128LS</v>
      </c>
      <c r="D217" s="508" t="s">
        <v>305</v>
      </c>
      <c r="E217" s="508" t="str">
        <f t="shared" si="8"/>
        <v>20100128LGUM_425</v>
      </c>
      <c r="F217" s="509">
        <v>27.78</v>
      </c>
      <c r="G217" s="509">
        <v>0.8</v>
      </c>
      <c r="H217" s="509">
        <v>3.4</v>
      </c>
      <c r="I217" s="509">
        <v>23.580000000000002</v>
      </c>
      <c r="J217" s="507" t="s">
        <v>581</v>
      </c>
    </row>
    <row r="218" spans="1:10">
      <c r="A218" s="507">
        <v>20100128</v>
      </c>
      <c r="B218" s="508" t="s">
        <v>567</v>
      </c>
      <c r="C218" s="508" t="str">
        <f t="shared" si="7"/>
        <v>20100128LS</v>
      </c>
      <c r="D218" s="508" t="s">
        <v>306</v>
      </c>
      <c r="E218" s="508" t="str">
        <f t="shared" si="8"/>
        <v>20100128LGUM_426</v>
      </c>
      <c r="F218" s="509">
        <v>27.81</v>
      </c>
      <c r="G218" s="509">
        <v>0.84</v>
      </c>
      <c r="H218" s="509">
        <v>0.75</v>
      </c>
      <c r="I218" s="509">
        <v>26.22</v>
      </c>
      <c r="J218" s="507" t="s">
        <v>582</v>
      </c>
    </row>
    <row r="219" spans="1:10">
      <c r="A219" s="507">
        <v>20100128</v>
      </c>
      <c r="B219" s="508" t="s">
        <v>567</v>
      </c>
      <c r="C219" s="508" t="str">
        <f t="shared" si="7"/>
        <v>20100128LS</v>
      </c>
      <c r="D219" s="508" t="s">
        <v>307</v>
      </c>
      <c r="E219" s="508" t="str">
        <f t="shared" si="8"/>
        <v>20100128LGUM_427</v>
      </c>
      <c r="F219" s="509">
        <v>29.49</v>
      </c>
      <c r="G219" s="509">
        <v>0.84</v>
      </c>
      <c r="H219" s="509">
        <v>0.75</v>
      </c>
      <c r="I219" s="509">
        <v>27.9</v>
      </c>
      <c r="J219" s="507" t="s">
        <v>583</v>
      </c>
    </row>
    <row r="220" spans="1:10">
      <c r="A220" s="507">
        <v>20100128</v>
      </c>
      <c r="B220" s="508" t="s">
        <v>567</v>
      </c>
      <c r="C220" s="508" t="str">
        <f t="shared" si="7"/>
        <v>20100128LS</v>
      </c>
      <c r="D220" s="508" t="s">
        <v>308</v>
      </c>
      <c r="E220" s="508" t="str">
        <f t="shared" si="8"/>
        <v>20100128LGUM_428</v>
      </c>
      <c r="F220" s="509">
        <v>28.46</v>
      </c>
      <c r="G220" s="509">
        <v>0.75</v>
      </c>
      <c r="H220" s="509">
        <v>0.99</v>
      </c>
      <c r="I220" s="509">
        <v>26.720000000000002</v>
      </c>
      <c r="J220" s="507" t="s">
        <v>584</v>
      </c>
    </row>
    <row r="221" spans="1:10">
      <c r="A221" s="507">
        <v>20100128</v>
      </c>
      <c r="B221" s="508" t="s">
        <v>567</v>
      </c>
      <c r="C221" s="508" t="str">
        <f t="shared" si="7"/>
        <v>20100128LS</v>
      </c>
      <c r="D221" s="508" t="s">
        <v>309</v>
      </c>
      <c r="E221" s="508" t="str">
        <f t="shared" si="8"/>
        <v>20100128LGUM_429</v>
      </c>
      <c r="F221" s="509">
        <v>30.15</v>
      </c>
      <c r="G221" s="509">
        <v>0.75</v>
      </c>
      <c r="H221" s="509">
        <v>0.99</v>
      </c>
      <c r="I221" s="509">
        <v>28.41</v>
      </c>
      <c r="J221" s="507" t="s">
        <v>585</v>
      </c>
    </row>
    <row r="222" spans="1:10">
      <c r="A222" s="507">
        <v>20100128</v>
      </c>
      <c r="B222" s="508" t="s">
        <v>567</v>
      </c>
      <c r="C222" s="508" t="str">
        <f t="shared" ref="C222:C256" si="9">A222&amp;B222</f>
        <v>20100128LS</v>
      </c>
      <c r="D222" s="508" t="s">
        <v>310</v>
      </c>
      <c r="E222" s="508" t="str">
        <f t="shared" ref="E222:E256" si="10">A222&amp;D222</f>
        <v>20100128LGUM_430</v>
      </c>
      <c r="F222" s="509">
        <v>26.99</v>
      </c>
      <c r="G222" s="509">
        <v>0.84</v>
      </c>
      <c r="H222" s="509">
        <v>0.75</v>
      </c>
      <c r="I222" s="509">
        <v>25.4</v>
      </c>
      <c r="J222" s="507" t="s">
        <v>586</v>
      </c>
    </row>
    <row r="223" spans="1:10">
      <c r="A223" s="507">
        <v>20100128</v>
      </c>
      <c r="B223" s="508" t="s">
        <v>567</v>
      </c>
      <c r="C223" s="508" t="str">
        <f t="shared" si="9"/>
        <v>20100128LS</v>
      </c>
      <c r="D223" s="508" t="s">
        <v>311</v>
      </c>
      <c r="E223" s="508" t="str">
        <f t="shared" si="10"/>
        <v>20100128LGUM_431</v>
      </c>
      <c r="F223" s="509">
        <v>27.56</v>
      </c>
      <c r="G223" s="509">
        <v>0.84</v>
      </c>
      <c r="H223" s="509">
        <v>0.75</v>
      </c>
      <c r="I223" s="509">
        <v>25.97</v>
      </c>
      <c r="J223" s="507" t="s">
        <v>587</v>
      </c>
    </row>
    <row r="224" spans="1:10">
      <c r="A224" s="507">
        <v>20100128</v>
      </c>
      <c r="B224" s="508" t="s">
        <v>567</v>
      </c>
      <c r="C224" s="508" t="str">
        <f t="shared" si="9"/>
        <v>20100128LS</v>
      </c>
      <c r="D224" s="508" t="s">
        <v>339</v>
      </c>
      <c r="E224" s="508" t="str">
        <f t="shared" si="10"/>
        <v>20100128LGUM_432</v>
      </c>
      <c r="F224" s="509">
        <v>28.67</v>
      </c>
      <c r="G224" s="509">
        <v>0.75</v>
      </c>
      <c r="H224" s="509">
        <v>0.99</v>
      </c>
      <c r="I224" s="509">
        <v>26.930000000000003</v>
      </c>
      <c r="J224" s="507" t="s">
        <v>588</v>
      </c>
    </row>
    <row r="225" spans="1:10">
      <c r="A225" s="507">
        <v>20100128</v>
      </c>
      <c r="B225" s="508" t="s">
        <v>567</v>
      </c>
      <c r="C225" s="508" t="str">
        <f t="shared" si="9"/>
        <v>20100128LS</v>
      </c>
      <c r="D225" s="508" t="s">
        <v>312</v>
      </c>
      <c r="E225" s="508" t="str">
        <f t="shared" si="10"/>
        <v>20100128LGUM_433</v>
      </c>
      <c r="F225" s="509">
        <v>29.23</v>
      </c>
      <c r="G225" s="509">
        <v>0.75</v>
      </c>
      <c r="H225" s="509">
        <v>0.99</v>
      </c>
      <c r="I225" s="509">
        <v>27.490000000000002</v>
      </c>
      <c r="J225" s="507" t="s">
        <v>589</v>
      </c>
    </row>
    <row r="226" spans="1:10">
      <c r="A226" s="507">
        <v>20100128</v>
      </c>
      <c r="B226" s="508" t="s">
        <v>567</v>
      </c>
      <c r="C226" s="508" t="str">
        <f t="shared" si="9"/>
        <v>20100128LS</v>
      </c>
      <c r="D226" s="508" t="s">
        <v>313</v>
      </c>
      <c r="E226" s="508" t="str">
        <f t="shared" si="10"/>
        <v>20100128LGUM_434</v>
      </c>
      <c r="F226" s="509">
        <v>16.350000000000001</v>
      </c>
      <c r="G226" s="509">
        <v>0.7</v>
      </c>
      <c r="H226" s="509">
        <v>0.85</v>
      </c>
      <c r="I226" s="509">
        <v>14.800000000000002</v>
      </c>
      <c r="J226" s="507" t="s">
        <v>590</v>
      </c>
    </row>
    <row r="227" spans="1:10">
      <c r="A227" s="507">
        <v>20100128</v>
      </c>
      <c r="B227" s="508" t="s">
        <v>567</v>
      </c>
      <c r="C227" s="508" t="str">
        <f t="shared" si="9"/>
        <v>20100128LS</v>
      </c>
      <c r="D227" s="508" t="s">
        <v>314</v>
      </c>
      <c r="E227" s="508" t="str">
        <f t="shared" si="10"/>
        <v>20100128LGUM_435</v>
      </c>
      <c r="F227" s="509">
        <v>17.920000000000002</v>
      </c>
      <c r="G227" s="509">
        <v>0.63</v>
      </c>
      <c r="H227" s="509">
        <v>1.44</v>
      </c>
      <c r="I227" s="509">
        <v>15.850000000000003</v>
      </c>
      <c r="J227" s="507" t="s">
        <v>591</v>
      </c>
    </row>
    <row r="228" spans="1:10">
      <c r="A228" s="507">
        <v>20100128</v>
      </c>
      <c r="B228" s="508" t="s">
        <v>567</v>
      </c>
      <c r="C228" s="508" t="str">
        <f t="shared" si="9"/>
        <v>20100128LS</v>
      </c>
      <c r="D228" s="508" t="s">
        <v>592</v>
      </c>
      <c r="E228" s="508" t="str">
        <f t="shared" si="10"/>
        <v>20100128LGUM_436</v>
      </c>
      <c r="F228" s="509">
        <v>21.89</v>
      </c>
      <c r="G228" s="509">
        <v>0.63</v>
      </c>
      <c r="H228" s="509">
        <v>1.44</v>
      </c>
      <c r="I228" s="509">
        <v>19.82</v>
      </c>
      <c r="J228" s="507" t="s">
        <v>593</v>
      </c>
    </row>
    <row r="229" spans="1:10">
      <c r="A229" s="507">
        <v>20100128</v>
      </c>
      <c r="B229" s="508" t="s">
        <v>567</v>
      </c>
      <c r="C229" s="508" t="str">
        <f t="shared" si="9"/>
        <v>20100128LS</v>
      </c>
      <c r="D229" s="508" t="s">
        <v>315</v>
      </c>
      <c r="E229" s="508" t="str">
        <f t="shared" si="10"/>
        <v>20100128LGUM_437</v>
      </c>
      <c r="F229" s="509">
        <v>23.31</v>
      </c>
      <c r="G229" s="509">
        <v>0.52</v>
      </c>
      <c r="H229" s="509">
        <v>2.04</v>
      </c>
      <c r="I229" s="509">
        <v>20.75</v>
      </c>
      <c r="J229" s="507" t="s">
        <v>594</v>
      </c>
    </row>
    <row r="230" spans="1:10">
      <c r="A230" s="507">
        <v>20100128</v>
      </c>
      <c r="B230" s="508" t="s">
        <v>567</v>
      </c>
      <c r="C230" s="508" t="str">
        <f t="shared" si="9"/>
        <v>20100128LS</v>
      </c>
      <c r="D230" s="508" t="s">
        <v>316</v>
      </c>
      <c r="E230" s="508" t="str">
        <f t="shared" si="10"/>
        <v>20100128LGUM_438</v>
      </c>
      <c r="F230" s="509">
        <v>26.69</v>
      </c>
      <c r="G230" s="509">
        <v>0.69</v>
      </c>
      <c r="H230" s="509">
        <v>3.17</v>
      </c>
      <c r="I230" s="509">
        <v>22.83</v>
      </c>
      <c r="J230" s="507" t="s">
        <v>595</v>
      </c>
    </row>
    <row r="231" spans="1:10">
      <c r="A231" s="507">
        <v>20100128</v>
      </c>
      <c r="B231" s="508" t="s">
        <v>567</v>
      </c>
      <c r="C231" s="508" t="str">
        <f t="shared" si="9"/>
        <v>20100128LS</v>
      </c>
      <c r="D231" s="508" t="s">
        <v>317</v>
      </c>
      <c r="E231" s="508" t="str">
        <f t="shared" si="10"/>
        <v>20100128LGUM_452</v>
      </c>
      <c r="F231" s="509">
        <v>10.130000000000001</v>
      </c>
      <c r="G231" s="509">
        <v>0.61</v>
      </c>
      <c r="H231" s="509">
        <v>1.37</v>
      </c>
      <c r="I231" s="509">
        <v>8.1500000000000021</v>
      </c>
      <c r="J231" s="507" t="s">
        <v>596</v>
      </c>
    </row>
    <row r="232" spans="1:10">
      <c r="A232" s="507">
        <v>20100128</v>
      </c>
      <c r="B232" s="508" t="s">
        <v>567</v>
      </c>
      <c r="C232" s="508" t="str">
        <f t="shared" si="9"/>
        <v>20100128LS</v>
      </c>
      <c r="D232" s="508" t="s">
        <v>318</v>
      </c>
      <c r="E232" s="508" t="str">
        <f t="shared" si="10"/>
        <v>20100128LGUM_453</v>
      </c>
      <c r="F232" s="509">
        <v>12.19</v>
      </c>
      <c r="G232" s="509">
        <v>0.72</v>
      </c>
      <c r="H232" s="509">
        <v>2.14</v>
      </c>
      <c r="I232" s="509">
        <v>9.3299999999999983</v>
      </c>
      <c r="J232" s="507" t="s">
        <v>597</v>
      </c>
    </row>
    <row r="233" spans="1:10">
      <c r="A233" s="507">
        <v>20100128</v>
      </c>
      <c r="B233" s="508" t="s">
        <v>567</v>
      </c>
      <c r="C233" s="508" t="str">
        <f t="shared" si="9"/>
        <v>20100128LS</v>
      </c>
      <c r="D233" s="508" t="s">
        <v>319</v>
      </c>
      <c r="E233" s="508" t="str">
        <f t="shared" si="10"/>
        <v>20100128LGUM_454</v>
      </c>
      <c r="F233" s="509">
        <v>16.059999999999999</v>
      </c>
      <c r="G233" s="509">
        <v>0.8</v>
      </c>
      <c r="H233" s="509">
        <v>3.4</v>
      </c>
      <c r="I233" s="509">
        <v>11.859999999999998</v>
      </c>
      <c r="J233" s="507" t="s">
        <v>598</v>
      </c>
    </row>
    <row r="234" spans="1:10">
      <c r="A234" s="507">
        <v>20100128</v>
      </c>
      <c r="B234" s="508" t="s">
        <v>567</v>
      </c>
      <c r="C234" s="508" t="str">
        <f t="shared" si="9"/>
        <v>20100128LS</v>
      </c>
      <c r="D234" s="508" t="s">
        <v>320</v>
      </c>
      <c r="E234" s="508" t="str">
        <f t="shared" si="10"/>
        <v>20100128LGUM_455</v>
      </c>
      <c r="F234" s="509">
        <v>11.55</v>
      </c>
      <c r="G234" s="509">
        <v>0.61</v>
      </c>
      <c r="H234" s="509">
        <v>1.37</v>
      </c>
      <c r="I234" s="509">
        <v>9.57</v>
      </c>
      <c r="J234" s="507" t="s">
        <v>599</v>
      </c>
    </row>
    <row r="235" spans="1:10">
      <c r="A235" s="507">
        <v>20100128</v>
      </c>
      <c r="B235" s="508" t="s">
        <v>567</v>
      </c>
      <c r="C235" s="508" t="str">
        <f t="shared" si="9"/>
        <v>20100128LS</v>
      </c>
      <c r="D235" s="508" t="s">
        <v>321</v>
      </c>
      <c r="E235" s="508" t="str">
        <f t="shared" si="10"/>
        <v>20100128LGUM_456</v>
      </c>
      <c r="F235" s="509">
        <v>16.91</v>
      </c>
      <c r="G235" s="509">
        <v>0.8</v>
      </c>
      <c r="H235" s="509">
        <v>3.4</v>
      </c>
      <c r="I235" s="509">
        <v>12.709999999999999</v>
      </c>
      <c r="J235" s="507" t="s">
        <v>600</v>
      </c>
    </row>
    <row r="236" spans="1:10">
      <c r="A236" s="507">
        <v>20100128</v>
      </c>
      <c r="B236" s="508" t="s">
        <v>567</v>
      </c>
      <c r="C236" s="508" t="str">
        <f t="shared" si="9"/>
        <v>20100128LS</v>
      </c>
      <c r="D236" s="508" t="s">
        <v>322</v>
      </c>
      <c r="E236" s="508" t="str">
        <f t="shared" si="10"/>
        <v>20100128LGUM_457</v>
      </c>
      <c r="F236" s="509">
        <v>8.99</v>
      </c>
      <c r="G236" s="509">
        <v>0.75</v>
      </c>
      <c r="H236" s="509">
        <v>0.99</v>
      </c>
      <c r="I236" s="509">
        <v>7.25</v>
      </c>
      <c r="J236" s="507" t="s">
        <v>601</v>
      </c>
    </row>
    <row r="237" spans="1:10">
      <c r="A237" s="507">
        <v>20100128</v>
      </c>
      <c r="B237" s="508" t="s">
        <v>567</v>
      </c>
      <c r="C237" s="508" t="str">
        <f t="shared" si="9"/>
        <v>20100128LS</v>
      </c>
      <c r="D237" s="508" t="s">
        <v>323</v>
      </c>
      <c r="E237" s="508" t="str">
        <f t="shared" si="10"/>
        <v>20100128LGUM_458</v>
      </c>
      <c r="F237" s="509">
        <v>10.16</v>
      </c>
      <c r="G237" s="509">
        <v>0.63</v>
      </c>
      <c r="H237" s="509">
        <v>1.44</v>
      </c>
      <c r="I237" s="509">
        <v>8.09</v>
      </c>
      <c r="J237" s="507" t="s">
        <v>602</v>
      </c>
    </row>
    <row r="238" spans="1:10">
      <c r="A238" s="507">
        <v>20100128</v>
      </c>
      <c r="B238" s="508" t="s">
        <v>567</v>
      </c>
      <c r="C238" s="508" t="str">
        <f t="shared" si="9"/>
        <v>20100128LS</v>
      </c>
      <c r="D238" s="508" t="s">
        <v>324</v>
      </c>
      <c r="E238" s="508" t="str">
        <f t="shared" si="10"/>
        <v>20100128LGUM_459</v>
      </c>
      <c r="F238" s="509">
        <v>11.59</v>
      </c>
      <c r="G238" s="509">
        <v>0.52</v>
      </c>
      <c r="H238" s="509">
        <v>2.04</v>
      </c>
      <c r="I238" s="509">
        <v>9.0300000000000011</v>
      </c>
      <c r="J238" s="507" t="s">
        <v>603</v>
      </c>
    </row>
    <row r="239" spans="1:10">
      <c r="A239" s="507">
        <v>20100128</v>
      </c>
      <c r="B239" s="508" t="s">
        <v>567</v>
      </c>
      <c r="C239" s="508" t="str">
        <f t="shared" si="9"/>
        <v>20100128LS</v>
      </c>
      <c r="D239" s="508" t="s">
        <v>325</v>
      </c>
      <c r="E239" s="508" t="str">
        <f t="shared" si="10"/>
        <v>20100128LGUM_460</v>
      </c>
      <c r="F239" s="509">
        <v>14.96</v>
      </c>
      <c r="G239" s="509">
        <v>0.69</v>
      </c>
      <c r="H239" s="509">
        <v>3.17</v>
      </c>
      <c r="I239" s="509">
        <v>11.100000000000001</v>
      </c>
      <c r="J239" s="507" t="s">
        <v>604</v>
      </c>
    </row>
    <row r="240" spans="1:10">
      <c r="A240" s="507">
        <v>20100128</v>
      </c>
      <c r="B240" s="508" t="s">
        <v>567</v>
      </c>
      <c r="C240" s="508" t="str">
        <f t="shared" si="9"/>
        <v>20100128LS</v>
      </c>
      <c r="D240" s="508" t="s">
        <v>326</v>
      </c>
      <c r="E240" s="508" t="str">
        <f t="shared" si="10"/>
        <v>20100128LGUM_461</v>
      </c>
      <c r="F240" s="509">
        <v>16.309999999999999</v>
      </c>
      <c r="G240" s="509">
        <v>0.69</v>
      </c>
      <c r="H240" s="509">
        <v>3.17</v>
      </c>
      <c r="I240" s="509">
        <v>12.45</v>
      </c>
      <c r="J240" s="507" t="s">
        <v>605</v>
      </c>
    </row>
    <row r="241" spans="1:10">
      <c r="A241" s="507">
        <v>20100128</v>
      </c>
      <c r="B241" s="508" t="s">
        <v>567</v>
      </c>
      <c r="C241" s="508" t="str">
        <f t="shared" si="9"/>
        <v>20100128LS</v>
      </c>
      <c r="D241" s="508" t="s">
        <v>327</v>
      </c>
      <c r="E241" s="508" t="str">
        <f t="shared" si="10"/>
        <v>20100128LGUM_462</v>
      </c>
      <c r="F241" s="509">
        <v>9.9</v>
      </c>
      <c r="G241" s="509">
        <v>0.63</v>
      </c>
      <c r="H241" s="509">
        <v>1.44</v>
      </c>
      <c r="I241" s="509">
        <v>7.83</v>
      </c>
      <c r="J241" s="507" t="s">
        <v>606</v>
      </c>
    </row>
    <row r="242" spans="1:10">
      <c r="A242" s="507">
        <v>20100128</v>
      </c>
      <c r="B242" s="508" t="s">
        <v>567</v>
      </c>
      <c r="C242" s="508" t="str">
        <f t="shared" si="9"/>
        <v>20100128LS</v>
      </c>
      <c r="D242" s="508" t="s">
        <v>328</v>
      </c>
      <c r="E242" s="508" t="str">
        <f t="shared" si="10"/>
        <v>20100128LGUM_470</v>
      </c>
      <c r="F242" s="509">
        <v>10.39</v>
      </c>
      <c r="G242" s="509">
        <v>0.64</v>
      </c>
      <c r="H242" s="509">
        <v>1.42</v>
      </c>
      <c r="I242" s="509">
        <v>8.33</v>
      </c>
      <c r="J242" s="507" t="s">
        <v>607</v>
      </c>
    </row>
    <row r="243" spans="1:10">
      <c r="A243" s="507">
        <v>20100128</v>
      </c>
      <c r="B243" s="508" t="s">
        <v>567</v>
      </c>
      <c r="C243" s="508" t="str">
        <f t="shared" si="9"/>
        <v>20100128LS</v>
      </c>
      <c r="D243" s="508" t="s">
        <v>329</v>
      </c>
      <c r="E243" s="508" t="str">
        <f t="shared" si="10"/>
        <v>20100128LGUM_471</v>
      </c>
      <c r="F243" s="509">
        <v>12.33</v>
      </c>
      <c r="G243" s="509">
        <v>0.64</v>
      </c>
      <c r="H243" s="509">
        <v>1.42</v>
      </c>
      <c r="I243" s="509">
        <v>10.27</v>
      </c>
      <c r="J243" s="507" t="s">
        <v>608</v>
      </c>
    </row>
    <row r="244" spans="1:10">
      <c r="A244" s="507">
        <v>20100128</v>
      </c>
      <c r="B244" s="508" t="s">
        <v>567</v>
      </c>
      <c r="C244" s="508" t="str">
        <f t="shared" si="9"/>
        <v>20100128LS</v>
      </c>
      <c r="D244" s="508" t="s">
        <v>609</v>
      </c>
      <c r="E244" s="508" t="str">
        <f t="shared" si="10"/>
        <v>20100128LGUM_472</v>
      </c>
      <c r="F244" s="509">
        <v>18.68</v>
      </c>
      <c r="G244" s="509">
        <v>0.64</v>
      </c>
      <c r="H244" s="509">
        <v>1.42</v>
      </c>
      <c r="I244" s="509">
        <v>16.619999999999997</v>
      </c>
      <c r="J244" s="507" t="s">
        <v>610</v>
      </c>
    </row>
    <row r="245" spans="1:10">
      <c r="A245" s="507">
        <v>20100128</v>
      </c>
      <c r="B245" s="508" t="s">
        <v>567</v>
      </c>
      <c r="C245" s="508" t="str">
        <f t="shared" si="9"/>
        <v>20100128LS</v>
      </c>
      <c r="D245" s="508" t="s">
        <v>330</v>
      </c>
      <c r="E245" s="508" t="str">
        <f t="shared" si="10"/>
        <v>20100128LGUM_473</v>
      </c>
      <c r="F245" s="509">
        <v>14.93</v>
      </c>
      <c r="G245" s="509">
        <v>0.64</v>
      </c>
      <c r="H245" s="509">
        <v>3.09</v>
      </c>
      <c r="I245" s="509">
        <v>11.2</v>
      </c>
      <c r="J245" s="507" t="s">
        <v>611</v>
      </c>
    </row>
    <row r="246" spans="1:10">
      <c r="A246" s="507">
        <v>20100128</v>
      </c>
      <c r="B246" s="508" t="s">
        <v>567</v>
      </c>
      <c r="C246" s="508" t="str">
        <f t="shared" si="9"/>
        <v>20100128LS</v>
      </c>
      <c r="D246" s="508" t="s">
        <v>331</v>
      </c>
      <c r="E246" s="508" t="str">
        <f t="shared" si="10"/>
        <v>20100128LGUM_474</v>
      </c>
      <c r="F246" s="509">
        <v>16.88</v>
      </c>
      <c r="G246" s="509">
        <v>0.64</v>
      </c>
      <c r="H246" s="509">
        <v>3.09</v>
      </c>
      <c r="I246" s="509">
        <v>13.149999999999999</v>
      </c>
      <c r="J246" s="507" t="s">
        <v>612</v>
      </c>
    </row>
    <row r="247" spans="1:10">
      <c r="A247" s="507">
        <v>20100128</v>
      </c>
      <c r="B247" s="508" t="s">
        <v>567</v>
      </c>
      <c r="C247" s="508" t="str">
        <f t="shared" si="9"/>
        <v>20100128LS</v>
      </c>
      <c r="D247" s="508" t="s">
        <v>332</v>
      </c>
      <c r="E247" s="508" t="str">
        <f t="shared" si="10"/>
        <v>20100128LGUM_475</v>
      </c>
      <c r="F247" s="509">
        <v>23.23</v>
      </c>
      <c r="G247" s="509">
        <v>0.64</v>
      </c>
      <c r="H247" s="509">
        <v>3.09</v>
      </c>
      <c r="I247" s="509">
        <v>19.5</v>
      </c>
      <c r="J247" s="507" t="s">
        <v>613</v>
      </c>
    </row>
    <row r="248" spans="1:10">
      <c r="A248" s="507">
        <v>20100128</v>
      </c>
      <c r="B248" s="508" t="s">
        <v>567</v>
      </c>
      <c r="C248" s="508" t="str">
        <f t="shared" si="9"/>
        <v>20100128LS</v>
      </c>
      <c r="D248" s="508" t="s">
        <v>333</v>
      </c>
      <c r="E248" s="508" t="str">
        <f t="shared" si="10"/>
        <v>20100128LGUM_476</v>
      </c>
      <c r="F248" s="509">
        <v>30.9</v>
      </c>
      <c r="G248" s="509">
        <v>0.64</v>
      </c>
      <c r="H248" s="509">
        <v>7.41</v>
      </c>
      <c r="I248" s="509">
        <v>22.849999999999998</v>
      </c>
      <c r="J248" s="507" t="s">
        <v>614</v>
      </c>
    </row>
    <row r="249" spans="1:10">
      <c r="A249" s="507">
        <v>20100128</v>
      </c>
      <c r="B249" s="508" t="s">
        <v>567</v>
      </c>
      <c r="C249" s="508" t="str">
        <f t="shared" si="9"/>
        <v>20100128LS</v>
      </c>
      <c r="D249" s="508" t="s">
        <v>334</v>
      </c>
      <c r="E249" s="508" t="str">
        <f t="shared" si="10"/>
        <v>20100128LGUM_477</v>
      </c>
      <c r="F249" s="509">
        <v>33.61</v>
      </c>
      <c r="G249" s="509">
        <v>0.64</v>
      </c>
      <c r="H249" s="509">
        <v>7.41</v>
      </c>
      <c r="I249" s="509">
        <v>25.56</v>
      </c>
      <c r="J249" s="507" t="s">
        <v>615</v>
      </c>
    </row>
    <row r="250" spans="1:10">
      <c r="A250" s="507">
        <v>20100128</v>
      </c>
      <c r="B250" s="508" t="s">
        <v>567</v>
      </c>
      <c r="C250" s="508" t="str">
        <f t="shared" si="9"/>
        <v>20100128LS</v>
      </c>
      <c r="D250" s="508" t="s">
        <v>616</v>
      </c>
      <c r="E250" s="508" t="str">
        <f t="shared" si="10"/>
        <v>20100128LGUM_478</v>
      </c>
      <c r="F250" s="509">
        <v>39.19</v>
      </c>
      <c r="G250" s="509">
        <v>0.64</v>
      </c>
      <c r="H250" s="509">
        <v>7.41</v>
      </c>
      <c r="I250" s="509">
        <v>31.139999999999997</v>
      </c>
      <c r="J250" s="507" t="s">
        <v>617</v>
      </c>
    </row>
    <row r="251" spans="1:10">
      <c r="A251" s="507">
        <v>20100128</v>
      </c>
      <c r="B251" s="508" t="s">
        <v>567</v>
      </c>
      <c r="C251" s="508" t="str">
        <f t="shared" si="9"/>
        <v>20100128LS</v>
      </c>
      <c r="D251" s="508" t="s">
        <v>618</v>
      </c>
      <c r="E251" s="508" t="str">
        <f t="shared" si="10"/>
        <v>20100128LGUM_479</v>
      </c>
      <c r="F251" s="509">
        <v>11.47</v>
      </c>
      <c r="G251" s="509">
        <v>0.64</v>
      </c>
      <c r="H251" s="509">
        <v>1.42</v>
      </c>
      <c r="I251" s="509">
        <v>9.41</v>
      </c>
      <c r="J251" s="507" t="s">
        <v>619</v>
      </c>
    </row>
    <row r="252" spans="1:10">
      <c r="A252" s="507">
        <v>20100128</v>
      </c>
      <c r="B252" s="508" t="s">
        <v>567</v>
      </c>
      <c r="C252" s="508" t="str">
        <f t="shared" si="9"/>
        <v>20100128LS</v>
      </c>
      <c r="D252" s="508" t="s">
        <v>620</v>
      </c>
      <c r="E252" s="508" t="str">
        <f t="shared" si="10"/>
        <v>20100128LGUM_480</v>
      </c>
      <c r="F252" s="509">
        <v>19.78</v>
      </c>
      <c r="G252" s="509">
        <v>0.64</v>
      </c>
      <c r="H252" s="509">
        <v>1.42</v>
      </c>
      <c r="I252" s="509">
        <v>17.72</v>
      </c>
      <c r="J252" s="507" t="s">
        <v>621</v>
      </c>
    </row>
    <row r="253" spans="1:10">
      <c r="A253" s="507">
        <v>20100128</v>
      </c>
      <c r="B253" s="508" t="s">
        <v>567</v>
      </c>
      <c r="C253" s="508" t="str">
        <f t="shared" si="9"/>
        <v>20100128LS</v>
      </c>
      <c r="D253" s="508" t="s">
        <v>360</v>
      </c>
      <c r="E253" s="508" t="str">
        <f t="shared" si="10"/>
        <v>20100128LGUM_481</v>
      </c>
      <c r="F253" s="509">
        <v>16.45</v>
      </c>
      <c r="G253" s="509">
        <v>0.64</v>
      </c>
      <c r="H253" s="509">
        <v>3.09</v>
      </c>
      <c r="I253" s="509">
        <v>12.719999999999999</v>
      </c>
      <c r="J253" s="507" t="s">
        <v>622</v>
      </c>
    </row>
    <row r="254" spans="1:10">
      <c r="A254" s="507">
        <v>20100128</v>
      </c>
      <c r="B254" s="508" t="s">
        <v>567</v>
      </c>
      <c r="C254" s="508" t="str">
        <f t="shared" si="9"/>
        <v>20100128LS</v>
      </c>
      <c r="D254" s="508" t="s">
        <v>335</v>
      </c>
      <c r="E254" s="508" t="str">
        <f t="shared" si="10"/>
        <v>20100128LGUM_482</v>
      </c>
      <c r="F254" s="509">
        <v>24.75</v>
      </c>
      <c r="G254" s="509">
        <v>0.64</v>
      </c>
      <c r="H254" s="509">
        <v>3.09</v>
      </c>
      <c r="I254" s="509">
        <v>21.02</v>
      </c>
      <c r="J254" s="507" t="s">
        <v>623</v>
      </c>
    </row>
    <row r="255" spans="1:10">
      <c r="A255" s="507">
        <v>20100128</v>
      </c>
      <c r="B255" s="508" t="s">
        <v>567</v>
      </c>
      <c r="C255" s="508" t="str">
        <f t="shared" si="9"/>
        <v>20100128LS</v>
      </c>
      <c r="D255" s="508" t="s">
        <v>336</v>
      </c>
      <c r="E255" s="508" t="str">
        <f t="shared" si="10"/>
        <v>20100128LGUM_483</v>
      </c>
      <c r="F255" s="509">
        <v>33.42</v>
      </c>
      <c r="G255" s="509">
        <v>0.64</v>
      </c>
      <c r="H255" s="509">
        <v>7.41</v>
      </c>
      <c r="I255" s="509">
        <v>25.37</v>
      </c>
      <c r="J255" s="507" t="s">
        <v>624</v>
      </c>
    </row>
    <row r="256" spans="1:10">
      <c r="A256" s="507">
        <v>20100128</v>
      </c>
      <c r="B256" s="508" t="s">
        <v>567</v>
      </c>
      <c r="C256" s="508" t="str">
        <f t="shared" si="9"/>
        <v>20100128LS</v>
      </c>
      <c r="D256" s="508" t="s">
        <v>337</v>
      </c>
      <c r="E256" s="508" t="str">
        <f t="shared" si="10"/>
        <v>20100128LGUM_484</v>
      </c>
      <c r="F256" s="509">
        <v>41.72</v>
      </c>
      <c r="G256" s="509">
        <v>0.64</v>
      </c>
      <c r="H256" s="509">
        <v>7.41</v>
      </c>
      <c r="I256" s="509">
        <v>33.67</v>
      </c>
      <c r="J256" s="507" t="s">
        <v>625</v>
      </c>
    </row>
    <row r="257" spans="1:10">
      <c r="A257" s="108">
        <v>20100729</v>
      </c>
      <c r="B257" s="206" t="s">
        <v>459</v>
      </c>
      <c r="C257" s="206" t="str">
        <f t="shared" ref="C257:C291" si="11">A257&amp;B257</f>
        <v>20100729RLS</v>
      </c>
      <c r="D257" s="206" t="s">
        <v>137</v>
      </c>
      <c r="E257" s="206" t="str">
        <f t="shared" ref="E257:E291" si="12">A257&amp;D257</f>
        <v>20100729LGUM_001</v>
      </c>
      <c r="F257" s="114">
        <v>7.89</v>
      </c>
      <c r="G257" s="114">
        <v>0.14000000000000001</v>
      </c>
      <c r="H257" s="114">
        <v>0.86</v>
      </c>
      <c r="I257" s="114">
        <v>6.89</v>
      </c>
      <c r="J257" s="108" t="s">
        <v>460</v>
      </c>
    </row>
    <row r="258" spans="1:10">
      <c r="A258" s="108">
        <v>20100729</v>
      </c>
      <c r="B258" s="206" t="s">
        <v>459</v>
      </c>
      <c r="C258" s="206" t="str">
        <f t="shared" si="11"/>
        <v>20100729RLS</v>
      </c>
      <c r="D258" s="206" t="s">
        <v>169</v>
      </c>
      <c r="E258" s="206" t="str">
        <f t="shared" si="12"/>
        <v>20100729LGUM_101</v>
      </c>
      <c r="F258" s="114">
        <v>7.89</v>
      </c>
      <c r="G258" s="114">
        <v>0.14000000000000001</v>
      </c>
      <c r="H258" s="114">
        <v>0.86</v>
      </c>
      <c r="I258" s="114">
        <v>6.89</v>
      </c>
      <c r="J258" s="108" t="s">
        <v>460</v>
      </c>
    </row>
    <row r="259" spans="1:10">
      <c r="A259" s="108">
        <v>20100729</v>
      </c>
      <c r="B259" s="206" t="s">
        <v>459</v>
      </c>
      <c r="C259" s="206" t="str">
        <f t="shared" si="11"/>
        <v>20100729RLS</v>
      </c>
      <c r="D259" s="206" t="s">
        <v>342</v>
      </c>
      <c r="E259" s="206" t="str">
        <f t="shared" si="12"/>
        <v>20100729LGUM_201</v>
      </c>
      <c r="F259" s="114">
        <v>7.89</v>
      </c>
      <c r="G259" s="114">
        <v>0.14000000000000001</v>
      </c>
      <c r="H259" s="114">
        <v>0.86</v>
      </c>
      <c r="I259" s="114">
        <v>6.89</v>
      </c>
      <c r="J259" s="108" t="s">
        <v>460</v>
      </c>
    </row>
    <row r="260" spans="1:10">
      <c r="A260" s="108">
        <v>20100729</v>
      </c>
      <c r="B260" s="206" t="s">
        <v>459</v>
      </c>
      <c r="C260" s="206" t="str">
        <f t="shared" si="11"/>
        <v>20100729RLS</v>
      </c>
      <c r="D260" s="206" t="s">
        <v>138</v>
      </c>
      <c r="E260" s="206" t="str">
        <f t="shared" si="12"/>
        <v>20100729LGUM_002</v>
      </c>
      <c r="F260" s="114">
        <v>8.82</v>
      </c>
      <c r="G260" s="114">
        <v>0.1</v>
      </c>
      <c r="H260" s="114">
        <v>1.44</v>
      </c>
      <c r="I260" s="114">
        <v>7.2800000000000011</v>
      </c>
      <c r="J260" s="108" t="s">
        <v>461</v>
      </c>
    </row>
    <row r="261" spans="1:10">
      <c r="A261" s="108">
        <v>20100729</v>
      </c>
      <c r="B261" s="206" t="s">
        <v>459</v>
      </c>
      <c r="C261" s="206" t="str">
        <f t="shared" si="11"/>
        <v>20100729RLS</v>
      </c>
      <c r="D261" s="206" t="s">
        <v>170</v>
      </c>
      <c r="E261" s="206" t="str">
        <f t="shared" si="12"/>
        <v>20100729LGUM_102</v>
      </c>
      <c r="F261" s="114">
        <v>8.82</v>
      </c>
      <c r="G261" s="114">
        <v>0.1</v>
      </c>
      <c r="H261" s="114">
        <v>1.44</v>
      </c>
      <c r="I261" s="114">
        <v>7.2800000000000011</v>
      </c>
      <c r="J261" s="108" t="s">
        <v>461</v>
      </c>
    </row>
    <row r="262" spans="1:10">
      <c r="A262" s="108">
        <v>20100729</v>
      </c>
      <c r="B262" s="206" t="s">
        <v>459</v>
      </c>
      <c r="C262" s="206" t="str">
        <f t="shared" si="11"/>
        <v>20100729RLS</v>
      </c>
      <c r="D262" s="206" t="s">
        <v>212</v>
      </c>
      <c r="E262" s="206" t="str">
        <f t="shared" si="12"/>
        <v>20100729LGUM_202</v>
      </c>
      <c r="F262" s="114">
        <v>8.82</v>
      </c>
      <c r="G262" s="114">
        <v>0.1</v>
      </c>
      <c r="H262" s="114">
        <v>1.44</v>
      </c>
      <c r="I262" s="114">
        <v>7.2800000000000011</v>
      </c>
      <c r="J262" s="108" t="s">
        <v>461</v>
      </c>
    </row>
    <row r="263" spans="1:10">
      <c r="A263" s="108">
        <v>20100729</v>
      </c>
      <c r="B263" s="206" t="s">
        <v>459</v>
      </c>
      <c r="C263" s="206" t="str">
        <f t="shared" si="11"/>
        <v>20100729RLS</v>
      </c>
      <c r="D263" s="206" t="s">
        <v>139</v>
      </c>
      <c r="E263" s="206" t="str">
        <f t="shared" si="12"/>
        <v>20100729LGUM_003</v>
      </c>
      <c r="F263" s="114">
        <v>10.18</v>
      </c>
      <c r="G263" s="114">
        <v>0.13</v>
      </c>
      <c r="H263" s="114">
        <v>2.04</v>
      </c>
      <c r="I263" s="114">
        <v>8.009999999999998</v>
      </c>
      <c r="J263" s="108" t="s">
        <v>462</v>
      </c>
    </row>
    <row r="264" spans="1:10">
      <c r="A264" s="108">
        <v>20100729</v>
      </c>
      <c r="B264" s="206" t="s">
        <v>459</v>
      </c>
      <c r="C264" s="206" t="str">
        <f t="shared" si="11"/>
        <v>20100729RLS</v>
      </c>
      <c r="D264" s="206" t="s">
        <v>171</v>
      </c>
      <c r="E264" s="206" t="str">
        <f t="shared" si="12"/>
        <v>20100729LGUM_103</v>
      </c>
      <c r="F264" s="114">
        <v>10.18</v>
      </c>
      <c r="G264" s="114">
        <v>0.13</v>
      </c>
      <c r="H264" s="114">
        <v>2.04</v>
      </c>
      <c r="I264" s="114">
        <v>8.009999999999998</v>
      </c>
      <c r="J264" s="108" t="s">
        <v>462</v>
      </c>
    </row>
    <row r="265" spans="1:10">
      <c r="A265" s="108">
        <v>20100729</v>
      </c>
      <c r="B265" s="206" t="s">
        <v>459</v>
      </c>
      <c r="C265" s="206" t="str">
        <f t="shared" si="11"/>
        <v>20100729RLS</v>
      </c>
      <c r="D265" s="206" t="s">
        <v>213</v>
      </c>
      <c r="E265" s="206" t="str">
        <f t="shared" si="12"/>
        <v>20100729LGUM_203</v>
      </c>
      <c r="F265" s="114">
        <v>10.18</v>
      </c>
      <c r="G265" s="114">
        <v>0.13</v>
      </c>
      <c r="H265" s="114">
        <v>2.04</v>
      </c>
      <c r="I265" s="114">
        <v>8.009999999999998</v>
      </c>
      <c r="J265" s="108" t="s">
        <v>462</v>
      </c>
    </row>
    <row r="266" spans="1:10">
      <c r="A266" s="108">
        <v>20100729</v>
      </c>
      <c r="B266" s="206" t="s">
        <v>459</v>
      </c>
      <c r="C266" s="206" t="str">
        <f t="shared" si="11"/>
        <v>20100729RLS</v>
      </c>
      <c r="D266" s="206" t="s">
        <v>140</v>
      </c>
      <c r="E266" s="206" t="str">
        <f t="shared" si="12"/>
        <v>20100729LGUM_004</v>
      </c>
      <c r="F266" s="114">
        <v>12.54</v>
      </c>
      <c r="G266" s="114">
        <v>0.15</v>
      </c>
      <c r="H266" s="114">
        <v>3.18</v>
      </c>
      <c r="I266" s="114">
        <v>9.2099999999999991</v>
      </c>
      <c r="J266" s="108" t="s">
        <v>463</v>
      </c>
    </row>
    <row r="267" spans="1:10">
      <c r="A267" s="108">
        <v>20100729</v>
      </c>
      <c r="B267" s="206" t="s">
        <v>459</v>
      </c>
      <c r="C267" s="206" t="str">
        <f t="shared" si="11"/>
        <v>20100729RLS</v>
      </c>
      <c r="D267" s="206" t="s">
        <v>172</v>
      </c>
      <c r="E267" s="206" t="str">
        <f t="shared" si="12"/>
        <v>20100729LGUM_104</v>
      </c>
      <c r="F267" s="114">
        <v>12.54</v>
      </c>
      <c r="G267" s="114">
        <v>0.15</v>
      </c>
      <c r="H267" s="114">
        <v>3.18</v>
      </c>
      <c r="I267" s="114">
        <v>9.2099999999999991</v>
      </c>
      <c r="J267" s="108" t="s">
        <v>463</v>
      </c>
    </row>
    <row r="268" spans="1:10">
      <c r="A268" s="108">
        <v>20100729</v>
      </c>
      <c r="B268" s="206" t="s">
        <v>459</v>
      </c>
      <c r="C268" s="206" t="str">
        <f t="shared" si="11"/>
        <v>20100729RLS</v>
      </c>
      <c r="D268" s="206" t="s">
        <v>214</v>
      </c>
      <c r="E268" s="206" t="str">
        <f t="shared" si="12"/>
        <v>20100729LGUM_204</v>
      </c>
      <c r="F268" s="114">
        <v>12.54</v>
      </c>
      <c r="G268" s="114">
        <v>0.15</v>
      </c>
      <c r="H268" s="114">
        <v>3.18</v>
      </c>
      <c r="I268" s="114">
        <v>9.2099999999999991</v>
      </c>
      <c r="J268" s="108" t="s">
        <v>463</v>
      </c>
    </row>
    <row r="269" spans="1:10">
      <c r="A269" s="108">
        <v>20100729</v>
      </c>
      <c r="B269" s="206" t="s">
        <v>459</v>
      </c>
      <c r="C269" s="206" t="str">
        <f t="shared" si="11"/>
        <v>20100729RLS</v>
      </c>
      <c r="D269" s="206" t="s">
        <v>141</v>
      </c>
      <c r="E269" s="206" t="str">
        <f t="shared" si="12"/>
        <v>20100729LGUM_005</v>
      </c>
      <c r="F269" s="114">
        <v>9.8800000000000008</v>
      </c>
      <c r="G269" s="114">
        <v>0.14000000000000001</v>
      </c>
      <c r="H269" s="114">
        <v>0.99</v>
      </c>
      <c r="I269" s="114">
        <v>8.75</v>
      </c>
      <c r="J269" s="108" t="s">
        <v>464</v>
      </c>
    </row>
    <row r="270" spans="1:10">
      <c r="A270" s="108">
        <v>20100729</v>
      </c>
      <c r="B270" s="206" t="s">
        <v>459</v>
      </c>
      <c r="C270" s="206" t="str">
        <f t="shared" si="11"/>
        <v>20100729RLS</v>
      </c>
      <c r="D270" s="206" t="s">
        <v>173</v>
      </c>
      <c r="E270" s="206" t="str">
        <f t="shared" si="12"/>
        <v>20100729LGUM_105</v>
      </c>
      <c r="F270" s="114">
        <v>9.8800000000000008</v>
      </c>
      <c r="G270" s="114">
        <v>0.14000000000000001</v>
      </c>
      <c r="H270" s="114">
        <v>0.99</v>
      </c>
      <c r="I270" s="114">
        <v>8.75</v>
      </c>
      <c r="J270" s="108" t="s">
        <v>464</v>
      </c>
    </row>
    <row r="271" spans="1:10">
      <c r="A271" s="108">
        <v>20100729</v>
      </c>
      <c r="B271" s="206" t="s">
        <v>459</v>
      </c>
      <c r="C271" s="206" t="str">
        <f t="shared" si="11"/>
        <v>20100729RLS</v>
      </c>
      <c r="D271" s="206" t="s">
        <v>343</v>
      </c>
      <c r="E271" s="206" t="str">
        <f t="shared" si="12"/>
        <v>20100729LGUM_205</v>
      </c>
      <c r="F271" s="114">
        <v>9.8800000000000008</v>
      </c>
      <c r="G271" s="114">
        <v>0.14000000000000001</v>
      </c>
      <c r="H271" s="114">
        <v>0.99</v>
      </c>
      <c r="I271" s="114">
        <v>8.75</v>
      </c>
      <c r="J271" s="108" t="s">
        <v>464</v>
      </c>
    </row>
    <row r="272" spans="1:10">
      <c r="A272" s="108">
        <v>20100729</v>
      </c>
      <c r="B272" s="206" t="s">
        <v>459</v>
      </c>
      <c r="C272" s="206" t="str">
        <f t="shared" si="11"/>
        <v>20100729RLS</v>
      </c>
      <c r="D272" s="206" t="s">
        <v>465</v>
      </c>
      <c r="E272" s="206" t="str">
        <f t="shared" si="12"/>
        <v>20100729LGUM_006</v>
      </c>
      <c r="F272" s="114">
        <v>13.13</v>
      </c>
      <c r="G272" s="114">
        <v>0.14000000000000001</v>
      </c>
      <c r="H272" s="114">
        <v>0.86</v>
      </c>
      <c r="I272" s="114">
        <v>12.13</v>
      </c>
      <c r="J272" s="108" t="s">
        <v>466</v>
      </c>
    </row>
    <row r="273" spans="1:10">
      <c r="A273" s="108">
        <v>20100729</v>
      </c>
      <c r="B273" s="206" t="s">
        <v>459</v>
      </c>
      <c r="C273" s="206" t="str">
        <f t="shared" si="11"/>
        <v>20100729RLS</v>
      </c>
      <c r="D273" s="206" t="s">
        <v>174</v>
      </c>
      <c r="E273" s="206" t="str">
        <f t="shared" si="12"/>
        <v>20100729LGUM_106</v>
      </c>
      <c r="F273" s="114">
        <v>13.13</v>
      </c>
      <c r="G273" s="114">
        <v>0.14000000000000001</v>
      </c>
      <c r="H273" s="114">
        <v>0.86</v>
      </c>
      <c r="I273" s="114">
        <v>12.13</v>
      </c>
      <c r="J273" s="108" t="s">
        <v>466</v>
      </c>
    </row>
    <row r="274" spans="1:10">
      <c r="A274" s="108">
        <v>20100729</v>
      </c>
      <c r="B274" s="206" t="s">
        <v>459</v>
      </c>
      <c r="C274" s="206" t="str">
        <f t="shared" si="11"/>
        <v>20100729RLS</v>
      </c>
      <c r="D274" s="206" t="s">
        <v>215</v>
      </c>
      <c r="E274" s="206" t="str">
        <f t="shared" si="12"/>
        <v>20100729LGUM_206</v>
      </c>
      <c r="F274" s="114">
        <v>13.13</v>
      </c>
      <c r="G274" s="114">
        <v>0.14000000000000001</v>
      </c>
      <c r="H274" s="114">
        <v>0.86</v>
      </c>
      <c r="I274" s="114">
        <v>12.13</v>
      </c>
      <c r="J274" s="108" t="s">
        <v>466</v>
      </c>
    </row>
    <row r="275" spans="1:10">
      <c r="A275" s="108">
        <v>20100729</v>
      </c>
      <c r="B275" s="206" t="s">
        <v>459</v>
      </c>
      <c r="C275" s="206" t="str">
        <f t="shared" si="11"/>
        <v>20100729RLS</v>
      </c>
      <c r="D275" s="206" t="s">
        <v>142</v>
      </c>
      <c r="E275" s="206" t="str">
        <f t="shared" si="12"/>
        <v>20100729LGUM_007</v>
      </c>
      <c r="F275" s="114">
        <v>12.54</v>
      </c>
      <c r="G275" s="114">
        <v>0.15</v>
      </c>
      <c r="H275" s="114">
        <v>3.18</v>
      </c>
      <c r="I275" s="114">
        <v>9.2099999999999991</v>
      </c>
      <c r="J275" s="108" t="s">
        <v>467</v>
      </c>
    </row>
    <row r="276" spans="1:10">
      <c r="A276" s="108">
        <v>20100729</v>
      </c>
      <c r="B276" s="206" t="s">
        <v>459</v>
      </c>
      <c r="C276" s="206" t="str">
        <f t="shared" si="11"/>
        <v>20100729RLS</v>
      </c>
      <c r="D276" s="206" t="s">
        <v>175</v>
      </c>
      <c r="E276" s="206" t="str">
        <f t="shared" si="12"/>
        <v>20100729LGUM_107</v>
      </c>
      <c r="F276" s="114">
        <v>12.54</v>
      </c>
      <c r="G276" s="114">
        <v>0.15</v>
      </c>
      <c r="H276" s="114">
        <v>3.18</v>
      </c>
      <c r="I276" s="114">
        <v>9.2099999999999991</v>
      </c>
      <c r="J276" s="108" t="s">
        <v>467</v>
      </c>
    </row>
    <row r="277" spans="1:10">
      <c r="A277" s="108">
        <v>20100729</v>
      </c>
      <c r="B277" s="206" t="s">
        <v>459</v>
      </c>
      <c r="C277" s="206" t="str">
        <f t="shared" si="11"/>
        <v>20100729RLS</v>
      </c>
      <c r="D277" s="206" t="s">
        <v>216</v>
      </c>
      <c r="E277" s="206" t="str">
        <f t="shared" si="12"/>
        <v>20100729LGUM_207</v>
      </c>
      <c r="F277" s="114">
        <v>12.54</v>
      </c>
      <c r="G277" s="114">
        <v>0.15</v>
      </c>
      <c r="H277" s="114">
        <v>3.18</v>
      </c>
      <c r="I277" s="114">
        <v>9.2099999999999991</v>
      </c>
      <c r="J277" s="108" t="s">
        <v>467</v>
      </c>
    </row>
    <row r="278" spans="1:10">
      <c r="A278" s="108">
        <v>20100729</v>
      </c>
      <c r="B278" s="206" t="s">
        <v>459</v>
      </c>
      <c r="C278" s="206" t="str">
        <f t="shared" si="11"/>
        <v>20100729RLS</v>
      </c>
      <c r="D278" s="206" t="s">
        <v>143</v>
      </c>
      <c r="E278" s="206" t="str">
        <f t="shared" si="12"/>
        <v>20100729LGUM_008</v>
      </c>
      <c r="F278" s="114">
        <v>13.91</v>
      </c>
      <c r="G278" s="114">
        <v>0.1</v>
      </c>
      <c r="H278" s="114">
        <v>1.44</v>
      </c>
      <c r="I278" s="114">
        <v>12.370000000000001</v>
      </c>
      <c r="J278" s="108" t="s">
        <v>468</v>
      </c>
    </row>
    <row r="279" spans="1:10">
      <c r="A279" s="108">
        <v>20100729</v>
      </c>
      <c r="B279" s="206" t="s">
        <v>459</v>
      </c>
      <c r="C279" s="206" t="str">
        <f t="shared" si="11"/>
        <v>20100729RLS</v>
      </c>
      <c r="D279" s="206" t="s">
        <v>176</v>
      </c>
      <c r="E279" s="206" t="str">
        <f t="shared" si="12"/>
        <v>20100729LGUM_108</v>
      </c>
      <c r="F279" s="114">
        <v>13.91</v>
      </c>
      <c r="G279" s="114">
        <v>0.1</v>
      </c>
      <c r="H279" s="114">
        <v>1.44</v>
      </c>
      <c r="I279" s="114">
        <v>12.370000000000001</v>
      </c>
      <c r="J279" s="108" t="s">
        <v>468</v>
      </c>
    </row>
    <row r="280" spans="1:10">
      <c r="A280" s="108">
        <v>20100729</v>
      </c>
      <c r="B280" s="206" t="s">
        <v>459</v>
      </c>
      <c r="C280" s="206" t="str">
        <f t="shared" si="11"/>
        <v>20100729RLS</v>
      </c>
      <c r="D280" s="206" t="s">
        <v>217</v>
      </c>
      <c r="E280" s="206" t="str">
        <f t="shared" si="12"/>
        <v>20100729LGUM_208</v>
      </c>
      <c r="F280" s="114">
        <v>13.91</v>
      </c>
      <c r="G280" s="114">
        <v>0.1</v>
      </c>
      <c r="H280" s="114">
        <v>1.44</v>
      </c>
      <c r="I280" s="114">
        <v>12.370000000000001</v>
      </c>
      <c r="J280" s="108" t="s">
        <v>468</v>
      </c>
    </row>
    <row r="281" spans="1:10">
      <c r="A281" s="108">
        <v>20100729</v>
      </c>
      <c r="B281" s="206" t="s">
        <v>459</v>
      </c>
      <c r="C281" s="206" t="str">
        <f t="shared" si="11"/>
        <v>20100729RLS</v>
      </c>
      <c r="D281" s="206" t="s">
        <v>469</v>
      </c>
      <c r="E281" s="206" t="str">
        <f t="shared" si="12"/>
        <v>20100729LGUM_009</v>
      </c>
      <c r="F281" s="114">
        <v>23.44</v>
      </c>
      <c r="G281" s="114">
        <v>0.26</v>
      </c>
      <c r="H281" s="114">
        <v>7.58</v>
      </c>
      <c r="I281" s="114">
        <v>15.6</v>
      </c>
      <c r="J281" s="108" t="s">
        <v>470</v>
      </c>
    </row>
    <row r="282" spans="1:10">
      <c r="A282" s="108">
        <v>20100729</v>
      </c>
      <c r="B282" s="206" t="s">
        <v>459</v>
      </c>
      <c r="C282" s="206" t="str">
        <f t="shared" si="11"/>
        <v>20100729RLS</v>
      </c>
      <c r="D282" s="206" t="s">
        <v>177</v>
      </c>
      <c r="E282" s="206" t="str">
        <f t="shared" si="12"/>
        <v>20100729LGUM_109</v>
      </c>
      <c r="F282" s="114">
        <v>23.44</v>
      </c>
      <c r="G282" s="114">
        <v>0.26</v>
      </c>
      <c r="H282" s="114">
        <v>7.58</v>
      </c>
      <c r="I282" s="114">
        <v>15.6</v>
      </c>
      <c r="J282" s="108" t="s">
        <v>470</v>
      </c>
    </row>
    <row r="283" spans="1:10">
      <c r="A283" s="108">
        <v>20100729</v>
      </c>
      <c r="B283" s="206" t="s">
        <v>459</v>
      </c>
      <c r="C283" s="206" t="str">
        <f t="shared" si="11"/>
        <v>20100729RLS</v>
      </c>
      <c r="D283" s="206" t="s">
        <v>344</v>
      </c>
      <c r="E283" s="206" t="str">
        <f t="shared" si="12"/>
        <v>20100729LGUM_209</v>
      </c>
      <c r="F283" s="114">
        <v>23.44</v>
      </c>
      <c r="G283" s="114">
        <v>0.26</v>
      </c>
      <c r="H283" s="114">
        <v>7.58</v>
      </c>
      <c r="I283" s="114">
        <v>15.6</v>
      </c>
      <c r="J283" s="108" t="s">
        <v>470</v>
      </c>
    </row>
    <row r="284" spans="1:10">
      <c r="A284" s="108">
        <v>20100729</v>
      </c>
      <c r="B284" s="206" t="s">
        <v>459</v>
      </c>
      <c r="C284" s="206" t="str">
        <f t="shared" si="11"/>
        <v>20100729RLS</v>
      </c>
      <c r="D284" s="206" t="s">
        <v>144</v>
      </c>
      <c r="E284" s="206" t="str">
        <f t="shared" si="12"/>
        <v>20100729LGUM_010</v>
      </c>
      <c r="F284" s="114">
        <v>23.44</v>
      </c>
      <c r="G284" s="114">
        <v>0.26</v>
      </c>
      <c r="H284" s="114">
        <v>7.58</v>
      </c>
      <c r="I284" s="114">
        <v>15.6</v>
      </c>
      <c r="J284" s="108" t="s">
        <v>471</v>
      </c>
    </row>
    <row r="285" spans="1:10">
      <c r="A285" s="108">
        <v>20100729</v>
      </c>
      <c r="B285" s="206" t="s">
        <v>459</v>
      </c>
      <c r="C285" s="206" t="str">
        <f t="shared" si="11"/>
        <v>20100729RLS</v>
      </c>
      <c r="D285" s="206" t="s">
        <v>178</v>
      </c>
      <c r="E285" s="206" t="str">
        <f t="shared" si="12"/>
        <v>20100729LGUM_110</v>
      </c>
      <c r="F285" s="114">
        <v>23.44</v>
      </c>
      <c r="G285" s="114">
        <v>0.26</v>
      </c>
      <c r="H285" s="114">
        <v>7.58</v>
      </c>
      <c r="I285" s="114">
        <v>15.6</v>
      </c>
      <c r="J285" s="108" t="s">
        <v>471</v>
      </c>
    </row>
    <row r="286" spans="1:10">
      <c r="A286" s="108">
        <v>20100729</v>
      </c>
      <c r="B286" s="206" t="s">
        <v>459</v>
      </c>
      <c r="C286" s="206" t="str">
        <f t="shared" si="11"/>
        <v>20100729RLS</v>
      </c>
      <c r="D286" s="206" t="s">
        <v>218</v>
      </c>
      <c r="E286" s="206" t="str">
        <f t="shared" si="12"/>
        <v>20100729LGUM_210</v>
      </c>
      <c r="F286" s="114">
        <v>23.44</v>
      </c>
      <c r="G286" s="114">
        <v>0.26</v>
      </c>
      <c r="H286" s="114">
        <v>7.58</v>
      </c>
      <c r="I286" s="114">
        <v>15.6</v>
      </c>
      <c r="J286" s="108" t="s">
        <v>471</v>
      </c>
    </row>
    <row r="287" spans="1:10">
      <c r="A287" s="108">
        <v>20100729</v>
      </c>
      <c r="B287" s="206" t="s">
        <v>459</v>
      </c>
      <c r="C287" s="206" t="str">
        <f t="shared" si="11"/>
        <v>20100729RLS</v>
      </c>
      <c r="D287" s="206" t="s">
        <v>145</v>
      </c>
      <c r="E287" s="206" t="str">
        <f t="shared" si="12"/>
        <v>20100729LGUM_011</v>
      </c>
      <c r="F287" s="114">
        <v>14.75</v>
      </c>
      <c r="G287" s="114">
        <v>0.13</v>
      </c>
      <c r="H287" s="114">
        <v>2.14</v>
      </c>
      <c r="I287" s="114">
        <v>12.479999999999999</v>
      </c>
      <c r="J287" s="108" t="s">
        <v>472</v>
      </c>
    </row>
    <row r="288" spans="1:10">
      <c r="A288" s="108">
        <v>20100729</v>
      </c>
      <c r="B288" s="206" t="s">
        <v>459</v>
      </c>
      <c r="C288" s="206" t="str">
        <f t="shared" si="11"/>
        <v>20100729RLS</v>
      </c>
      <c r="D288" s="206" t="s">
        <v>179</v>
      </c>
      <c r="E288" s="206" t="str">
        <f t="shared" si="12"/>
        <v>20100729LGUM_111</v>
      </c>
      <c r="F288" s="114">
        <v>14.75</v>
      </c>
      <c r="G288" s="114">
        <v>0.13</v>
      </c>
      <c r="H288" s="114">
        <v>2.14</v>
      </c>
      <c r="I288" s="114">
        <v>12.479999999999999</v>
      </c>
      <c r="J288" s="108" t="s">
        <v>472</v>
      </c>
    </row>
    <row r="289" spans="1:10">
      <c r="A289" s="108">
        <v>20100729</v>
      </c>
      <c r="B289" s="206" t="s">
        <v>459</v>
      </c>
      <c r="C289" s="206" t="str">
        <f t="shared" si="11"/>
        <v>20100729RLS</v>
      </c>
      <c r="D289" s="206" t="s">
        <v>219</v>
      </c>
      <c r="E289" s="206" t="str">
        <f t="shared" si="12"/>
        <v>20100729LGUM_211</v>
      </c>
      <c r="F289" s="114">
        <v>14.75</v>
      </c>
      <c r="G289" s="114">
        <v>0.13</v>
      </c>
      <c r="H289" s="114">
        <v>2.14</v>
      </c>
      <c r="I289" s="114">
        <v>12.479999999999999</v>
      </c>
      <c r="J289" s="108" t="s">
        <v>472</v>
      </c>
    </row>
    <row r="290" spans="1:10">
      <c r="A290" s="108">
        <v>20100729</v>
      </c>
      <c r="B290" s="206" t="s">
        <v>459</v>
      </c>
      <c r="C290" s="206" t="str">
        <f t="shared" si="11"/>
        <v>20100729RLS</v>
      </c>
      <c r="D290" s="206" t="s">
        <v>146</v>
      </c>
      <c r="E290" s="206" t="str">
        <f t="shared" si="12"/>
        <v>20100729LGUM_012</v>
      </c>
      <c r="F290" s="114">
        <v>16.03</v>
      </c>
      <c r="G290" s="114">
        <v>0.15</v>
      </c>
      <c r="H290" s="114">
        <v>3.4</v>
      </c>
      <c r="I290" s="114">
        <v>12.48</v>
      </c>
      <c r="J290" s="108" t="s">
        <v>473</v>
      </c>
    </row>
    <row r="291" spans="1:10">
      <c r="A291" s="108">
        <v>20100729</v>
      </c>
      <c r="B291" s="206" t="s">
        <v>459</v>
      </c>
      <c r="C291" s="206" t="str">
        <f t="shared" si="11"/>
        <v>20100729RLS</v>
      </c>
      <c r="D291" s="206" t="s">
        <v>180</v>
      </c>
      <c r="E291" s="206" t="str">
        <f t="shared" si="12"/>
        <v>20100729LGUM_112</v>
      </c>
      <c r="F291" s="114">
        <v>16.03</v>
      </c>
      <c r="G291" s="114">
        <v>0.15</v>
      </c>
      <c r="H291" s="114">
        <v>3.4</v>
      </c>
      <c r="I291" s="114">
        <v>12.48</v>
      </c>
      <c r="J291" s="108" t="s">
        <v>473</v>
      </c>
    </row>
    <row r="292" spans="1:10">
      <c r="A292" s="108">
        <v>20100729</v>
      </c>
      <c r="B292" s="206" t="s">
        <v>459</v>
      </c>
      <c r="C292" s="206" t="str">
        <f t="shared" ref="C292:C355" si="13">A292&amp;B292</f>
        <v>20100729RLS</v>
      </c>
      <c r="D292" s="206" t="s">
        <v>220</v>
      </c>
      <c r="E292" s="206" t="str">
        <f t="shared" ref="E292:E355" si="14">A292&amp;D292</f>
        <v>20100729LGUM_212</v>
      </c>
      <c r="F292" s="114">
        <v>16.03</v>
      </c>
      <c r="G292" s="114">
        <v>0.15</v>
      </c>
      <c r="H292" s="114">
        <v>3.4</v>
      </c>
      <c r="I292" s="114">
        <v>12.48</v>
      </c>
      <c r="J292" s="108" t="s">
        <v>473</v>
      </c>
    </row>
    <row r="293" spans="1:10">
      <c r="A293" s="108">
        <v>20100729</v>
      </c>
      <c r="B293" s="206" t="s">
        <v>459</v>
      </c>
      <c r="C293" s="206" t="str">
        <f t="shared" si="13"/>
        <v>20100729RLS</v>
      </c>
      <c r="D293" s="206" t="s">
        <v>147</v>
      </c>
      <c r="E293" s="206" t="str">
        <f t="shared" si="14"/>
        <v>20100729LGUM_013</v>
      </c>
      <c r="F293" s="114">
        <v>16.03</v>
      </c>
      <c r="G293" s="114">
        <v>0.15</v>
      </c>
      <c r="H293" s="114">
        <v>3.4</v>
      </c>
      <c r="I293" s="114">
        <v>12.48</v>
      </c>
      <c r="J293" s="108" t="s">
        <v>474</v>
      </c>
    </row>
    <row r="294" spans="1:10">
      <c r="A294" s="108">
        <v>20100729</v>
      </c>
      <c r="B294" s="206" t="s">
        <v>459</v>
      </c>
      <c r="C294" s="206" t="str">
        <f t="shared" si="13"/>
        <v>20100729RLS</v>
      </c>
      <c r="D294" s="206" t="s">
        <v>181</v>
      </c>
      <c r="E294" s="206" t="str">
        <f t="shared" si="14"/>
        <v>20100729LGUM_113</v>
      </c>
      <c r="F294" s="114">
        <v>16.03</v>
      </c>
      <c r="G294" s="114">
        <v>0.15</v>
      </c>
      <c r="H294" s="114">
        <v>3.4</v>
      </c>
      <c r="I294" s="114">
        <v>12.48</v>
      </c>
      <c r="J294" s="108" t="s">
        <v>474</v>
      </c>
    </row>
    <row r="295" spans="1:10">
      <c r="A295" s="108">
        <v>20100729</v>
      </c>
      <c r="B295" s="206" t="s">
        <v>459</v>
      </c>
      <c r="C295" s="206" t="str">
        <f t="shared" si="13"/>
        <v>20100729RLS</v>
      </c>
      <c r="D295" s="206" t="s">
        <v>345</v>
      </c>
      <c r="E295" s="206" t="str">
        <f t="shared" si="14"/>
        <v>20100729LGUM_213</v>
      </c>
      <c r="F295" s="114">
        <v>16.03</v>
      </c>
      <c r="G295" s="114">
        <v>0.15</v>
      </c>
      <c r="H295" s="114">
        <v>3.4</v>
      </c>
      <c r="I295" s="114">
        <v>12.48</v>
      </c>
      <c r="J295" s="108" t="s">
        <v>474</v>
      </c>
    </row>
    <row r="296" spans="1:10">
      <c r="A296" s="108">
        <v>20100729</v>
      </c>
      <c r="B296" s="206" t="s">
        <v>459</v>
      </c>
      <c r="C296" s="206" t="str">
        <f t="shared" si="13"/>
        <v>20100729RLS</v>
      </c>
      <c r="D296" s="206" t="s">
        <v>475</v>
      </c>
      <c r="E296" s="206" t="str">
        <f t="shared" si="14"/>
        <v>20100729LGUM_016</v>
      </c>
      <c r="F296" s="114">
        <v>26.92</v>
      </c>
      <c r="G296" s="114">
        <v>0.13</v>
      </c>
      <c r="H296" s="114">
        <v>2.14</v>
      </c>
      <c r="I296" s="114">
        <v>24.650000000000002</v>
      </c>
      <c r="J296" s="108" t="s">
        <v>476</v>
      </c>
    </row>
    <row r="297" spans="1:10">
      <c r="A297" s="108">
        <v>20100729</v>
      </c>
      <c r="B297" s="206" t="s">
        <v>459</v>
      </c>
      <c r="C297" s="206" t="str">
        <f t="shared" si="13"/>
        <v>20100729RLS</v>
      </c>
      <c r="D297" s="206" t="s">
        <v>182</v>
      </c>
      <c r="E297" s="206" t="str">
        <f t="shared" si="14"/>
        <v>20100729LGUM_116</v>
      </c>
      <c r="F297" s="114">
        <v>26.92</v>
      </c>
      <c r="G297" s="114">
        <v>0.13</v>
      </c>
      <c r="H297" s="114">
        <v>2.14</v>
      </c>
      <c r="I297" s="114">
        <v>24.650000000000002</v>
      </c>
      <c r="J297" s="108" t="s">
        <v>476</v>
      </c>
    </row>
    <row r="298" spans="1:10">
      <c r="A298" s="108">
        <v>20100729</v>
      </c>
      <c r="B298" s="206" t="s">
        <v>459</v>
      </c>
      <c r="C298" s="206" t="str">
        <f t="shared" si="13"/>
        <v>20100729RLS</v>
      </c>
      <c r="D298" s="206" t="s">
        <v>346</v>
      </c>
      <c r="E298" s="206" t="str">
        <f t="shared" si="14"/>
        <v>20100729LGUM_216</v>
      </c>
      <c r="F298" s="114">
        <v>26.92</v>
      </c>
      <c r="G298" s="114">
        <v>0.13</v>
      </c>
      <c r="H298" s="114">
        <v>2.14</v>
      </c>
      <c r="I298" s="114">
        <v>24.650000000000002</v>
      </c>
      <c r="J298" s="108" t="s">
        <v>476</v>
      </c>
    </row>
    <row r="299" spans="1:10">
      <c r="A299" s="108">
        <v>20100729</v>
      </c>
      <c r="B299" s="206" t="s">
        <v>459</v>
      </c>
      <c r="C299" s="206" t="str">
        <f t="shared" si="13"/>
        <v>20100729RLS</v>
      </c>
      <c r="D299" s="206" t="s">
        <v>477</v>
      </c>
      <c r="E299" s="206" t="str">
        <f t="shared" si="14"/>
        <v>20100729LGUM_017</v>
      </c>
      <c r="F299" s="114">
        <v>30</v>
      </c>
      <c r="G299" s="114">
        <v>0.15</v>
      </c>
      <c r="H299" s="114">
        <v>3.4</v>
      </c>
      <c r="I299" s="114">
        <v>26.450000000000003</v>
      </c>
      <c r="J299" s="108" t="s">
        <v>478</v>
      </c>
    </row>
    <row r="300" spans="1:10">
      <c r="A300" s="108">
        <v>20100729</v>
      </c>
      <c r="B300" s="206" t="s">
        <v>459</v>
      </c>
      <c r="C300" s="206" t="str">
        <f t="shared" si="13"/>
        <v>20100729RLS</v>
      </c>
      <c r="D300" s="206" t="s">
        <v>183</v>
      </c>
      <c r="E300" s="206" t="str">
        <f t="shared" si="14"/>
        <v>20100729LGUM_117</v>
      </c>
      <c r="F300" s="114">
        <v>30</v>
      </c>
      <c r="G300" s="114">
        <v>0.15</v>
      </c>
      <c r="H300" s="114">
        <v>3.4</v>
      </c>
      <c r="I300" s="114">
        <v>26.450000000000003</v>
      </c>
      <c r="J300" s="108" t="s">
        <v>478</v>
      </c>
    </row>
    <row r="301" spans="1:10">
      <c r="A301" s="108">
        <v>20100729</v>
      </c>
      <c r="B301" s="206" t="s">
        <v>459</v>
      </c>
      <c r="C301" s="206" t="str">
        <f t="shared" si="13"/>
        <v>20100729RLS</v>
      </c>
      <c r="D301" s="206" t="s">
        <v>347</v>
      </c>
      <c r="E301" s="206" t="str">
        <f t="shared" si="14"/>
        <v>20100729LGUM_217</v>
      </c>
      <c r="F301" s="114">
        <v>30</v>
      </c>
      <c r="G301" s="114">
        <v>0.15</v>
      </c>
      <c r="H301" s="114">
        <v>3.4</v>
      </c>
      <c r="I301" s="114">
        <v>26.450000000000003</v>
      </c>
      <c r="J301" s="108" t="s">
        <v>478</v>
      </c>
    </row>
    <row r="302" spans="1:10">
      <c r="A302" s="108">
        <v>20100729</v>
      </c>
      <c r="B302" s="206" t="s">
        <v>459</v>
      </c>
      <c r="C302" s="206" t="str">
        <f t="shared" si="13"/>
        <v>20100729RLS</v>
      </c>
      <c r="D302" s="206" t="s">
        <v>148</v>
      </c>
      <c r="E302" s="206" t="str">
        <f t="shared" si="14"/>
        <v>20100729LGUM_022</v>
      </c>
      <c r="F302" s="114">
        <v>12.51</v>
      </c>
      <c r="G302" s="114">
        <v>0.13</v>
      </c>
      <c r="H302" s="114">
        <v>1.44</v>
      </c>
      <c r="I302" s="114">
        <v>10.94</v>
      </c>
      <c r="J302" s="108" t="s">
        <v>479</v>
      </c>
    </row>
    <row r="303" spans="1:10">
      <c r="A303" s="108">
        <v>20100729</v>
      </c>
      <c r="B303" s="206" t="s">
        <v>459</v>
      </c>
      <c r="C303" s="206" t="str">
        <f t="shared" si="13"/>
        <v>20100729RLS</v>
      </c>
      <c r="D303" s="206" t="s">
        <v>184</v>
      </c>
      <c r="E303" s="206" t="str">
        <f t="shared" si="14"/>
        <v>20100729LGUM_122</v>
      </c>
      <c r="F303" s="114">
        <v>12.51</v>
      </c>
      <c r="G303" s="114">
        <v>0.13</v>
      </c>
      <c r="H303" s="114">
        <v>1.44</v>
      </c>
      <c r="I303" s="114">
        <v>10.94</v>
      </c>
      <c r="J303" s="108" t="s">
        <v>479</v>
      </c>
    </row>
    <row r="304" spans="1:10">
      <c r="A304" s="108">
        <v>20100729</v>
      </c>
      <c r="B304" s="206" t="s">
        <v>459</v>
      </c>
      <c r="C304" s="206" t="str">
        <f t="shared" si="13"/>
        <v>20100729RLS</v>
      </c>
      <c r="D304" s="206" t="s">
        <v>221</v>
      </c>
      <c r="E304" s="206" t="str">
        <f t="shared" si="14"/>
        <v>20100729LGUM_222</v>
      </c>
      <c r="F304" s="114">
        <v>12.51</v>
      </c>
      <c r="G304" s="114">
        <v>0.13</v>
      </c>
      <c r="H304" s="114">
        <v>1.44</v>
      </c>
      <c r="I304" s="114">
        <v>10.94</v>
      </c>
      <c r="J304" s="108" t="s">
        <v>479</v>
      </c>
    </row>
    <row r="305" spans="1:10">
      <c r="A305" s="108">
        <v>20100729</v>
      </c>
      <c r="B305" s="206" t="s">
        <v>459</v>
      </c>
      <c r="C305" s="206" t="str">
        <f t="shared" si="13"/>
        <v>20100729RLS</v>
      </c>
      <c r="D305" s="206" t="s">
        <v>149</v>
      </c>
      <c r="E305" s="206" t="str">
        <f t="shared" si="14"/>
        <v>20100729LGUM_023</v>
      </c>
      <c r="F305" s="114">
        <v>12.51</v>
      </c>
      <c r="G305" s="114">
        <v>0.13</v>
      </c>
      <c r="H305" s="114">
        <v>1.44</v>
      </c>
      <c r="I305" s="114">
        <v>10.94</v>
      </c>
      <c r="J305" s="108" t="s">
        <v>480</v>
      </c>
    </row>
    <row r="306" spans="1:10">
      <c r="A306" s="108">
        <v>20100729</v>
      </c>
      <c r="B306" s="206" t="s">
        <v>459</v>
      </c>
      <c r="C306" s="206" t="str">
        <f t="shared" si="13"/>
        <v>20100729RLS</v>
      </c>
      <c r="D306" s="206" t="s">
        <v>185</v>
      </c>
      <c r="E306" s="206" t="str">
        <f t="shared" si="14"/>
        <v>20100729LGUM_123</v>
      </c>
      <c r="F306" s="114">
        <v>12.51</v>
      </c>
      <c r="G306" s="114">
        <v>0.13</v>
      </c>
      <c r="H306" s="114">
        <v>1.44</v>
      </c>
      <c r="I306" s="114">
        <v>10.94</v>
      </c>
      <c r="J306" s="108" t="s">
        <v>480</v>
      </c>
    </row>
    <row r="307" spans="1:10">
      <c r="A307" s="108">
        <v>20100729</v>
      </c>
      <c r="B307" s="206" t="s">
        <v>459</v>
      </c>
      <c r="C307" s="206" t="str">
        <f t="shared" si="13"/>
        <v>20100729RLS</v>
      </c>
      <c r="D307" s="206" t="s">
        <v>348</v>
      </c>
      <c r="E307" s="206" t="str">
        <f t="shared" si="14"/>
        <v>20100729LGUM_223</v>
      </c>
      <c r="F307" s="114">
        <v>12.51</v>
      </c>
      <c r="G307" s="114">
        <v>0.13</v>
      </c>
      <c r="H307" s="114">
        <v>1.44</v>
      </c>
      <c r="I307" s="114">
        <v>10.94</v>
      </c>
      <c r="J307" s="108" t="s">
        <v>480</v>
      </c>
    </row>
    <row r="308" spans="1:10">
      <c r="A308" s="108">
        <v>20100729</v>
      </c>
      <c r="B308" s="206" t="s">
        <v>459</v>
      </c>
      <c r="C308" s="206" t="str">
        <f t="shared" si="13"/>
        <v>20100729RLS</v>
      </c>
      <c r="D308" s="206" t="s">
        <v>150</v>
      </c>
      <c r="E308" s="206" t="str">
        <f t="shared" si="14"/>
        <v>20100729LGUM_024</v>
      </c>
      <c r="F308" s="114">
        <v>17.37</v>
      </c>
      <c r="G308" s="114">
        <v>0.14000000000000001</v>
      </c>
      <c r="H308" s="114">
        <v>0.99</v>
      </c>
      <c r="I308" s="114">
        <v>16.240000000000002</v>
      </c>
      <c r="J308" s="108" t="s">
        <v>481</v>
      </c>
    </row>
    <row r="309" spans="1:10">
      <c r="A309" s="108">
        <v>20100729</v>
      </c>
      <c r="B309" s="206" t="s">
        <v>459</v>
      </c>
      <c r="C309" s="206" t="str">
        <f t="shared" si="13"/>
        <v>20100729RLS</v>
      </c>
      <c r="D309" s="206" t="s">
        <v>186</v>
      </c>
      <c r="E309" s="206" t="str">
        <f t="shared" si="14"/>
        <v>20100729LGUM_124</v>
      </c>
      <c r="F309" s="114">
        <v>17.37</v>
      </c>
      <c r="G309" s="114">
        <v>0.14000000000000001</v>
      </c>
      <c r="H309" s="114">
        <v>0.99</v>
      </c>
      <c r="I309" s="114">
        <v>16.240000000000002</v>
      </c>
      <c r="J309" s="108" t="s">
        <v>481</v>
      </c>
    </row>
    <row r="310" spans="1:10">
      <c r="A310" s="108">
        <v>20100729</v>
      </c>
      <c r="B310" s="206" t="s">
        <v>459</v>
      </c>
      <c r="C310" s="206" t="str">
        <f t="shared" si="13"/>
        <v>20100729RLS</v>
      </c>
      <c r="D310" s="206" t="s">
        <v>222</v>
      </c>
      <c r="E310" s="206" t="str">
        <f t="shared" si="14"/>
        <v>20100729LGUM_224</v>
      </c>
      <c r="F310" s="114">
        <v>17.37</v>
      </c>
      <c r="G310" s="114">
        <v>0.14000000000000001</v>
      </c>
      <c r="H310" s="114">
        <v>0.99</v>
      </c>
      <c r="I310" s="114">
        <v>16.240000000000002</v>
      </c>
      <c r="J310" s="108" t="s">
        <v>481</v>
      </c>
    </row>
    <row r="311" spans="1:10">
      <c r="A311" s="108">
        <v>20100729</v>
      </c>
      <c r="B311" s="206" t="s">
        <v>459</v>
      </c>
      <c r="C311" s="206" t="str">
        <f t="shared" si="13"/>
        <v>20100729RLS</v>
      </c>
      <c r="D311" s="206" t="s">
        <v>482</v>
      </c>
      <c r="E311" s="206" t="str">
        <f t="shared" si="14"/>
        <v>20100729LGUM_025</v>
      </c>
      <c r="F311" s="114">
        <v>23.41</v>
      </c>
      <c r="G311" s="114">
        <v>0.13</v>
      </c>
      <c r="H311" s="114">
        <v>1.44</v>
      </c>
      <c r="I311" s="114">
        <v>21.84</v>
      </c>
      <c r="J311" s="108" t="s">
        <v>479</v>
      </c>
    </row>
    <row r="312" spans="1:10">
      <c r="A312" s="108">
        <v>20100729</v>
      </c>
      <c r="B312" s="206" t="s">
        <v>459</v>
      </c>
      <c r="C312" s="206" t="str">
        <f t="shared" si="13"/>
        <v>20100729RLS</v>
      </c>
      <c r="D312" s="206" t="s">
        <v>483</v>
      </c>
      <c r="E312" s="206" t="str">
        <f t="shared" si="14"/>
        <v>20100729LGUM_125</v>
      </c>
      <c r="F312" s="114">
        <v>23.41</v>
      </c>
      <c r="G312" s="114">
        <v>0.13</v>
      </c>
      <c r="H312" s="114">
        <v>1.44</v>
      </c>
      <c r="I312" s="114">
        <v>21.84</v>
      </c>
      <c r="J312" s="108" t="s">
        <v>479</v>
      </c>
    </row>
    <row r="313" spans="1:10">
      <c r="A313" s="108">
        <v>20100729</v>
      </c>
      <c r="B313" s="206" t="s">
        <v>459</v>
      </c>
      <c r="C313" s="206" t="str">
        <f t="shared" si="13"/>
        <v>20100729RLS</v>
      </c>
      <c r="D313" s="206" t="s">
        <v>484</v>
      </c>
      <c r="E313" s="206" t="str">
        <f t="shared" si="14"/>
        <v>20100729LGUM_225</v>
      </c>
      <c r="F313" s="114">
        <v>23.41</v>
      </c>
      <c r="G313" s="114">
        <v>0.13</v>
      </c>
      <c r="H313" s="114">
        <v>1.44</v>
      </c>
      <c r="I313" s="114">
        <v>21.84</v>
      </c>
      <c r="J313" s="108" t="s">
        <v>479</v>
      </c>
    </row>
    <row r="314" spans="1:10">
      <c r="A314" s="108">
        <v>20100729</v>
      </c>
      <c r="B314" s="206" t="s">
        <v>459</v>
      </c>
      <c r="C314" s="206" t="str">
        <f t="shared" si="13"/>
        <v>20100729RLS</v>
      </c>
      <c r="D314" s="206" t="s">
        <v>485</v>
      </c>
      <c r="E314" s="206" t="str">
        <f t="shared" si="14"/>
        <v>20100729LGUM_026</v>
      </c>
      <c r="F314" s="114">
        <v>13.22</v>
      </c>
      <c r="G314" s="114">
        <v>0.13</v>
      </c>
      <c r="H314" s="114">
        <v>0.69</v>
      </c>
      <c r="I314" s="114">
        <v>12.4</v>
      </c>
      <c r="J314" s="108" t="s">
        <v>486</v>
      </c>
    </row>
    <row r="315" spans="1:10">
      <c r="A315" s="108">
        <v>20100729</v>
      </c>
      <c r="B315" s="206" t="s">
        <v>459</v>
      </c>
      <c r="C315" s="206" t="str">
        <f t="shared" si="13"/>
        <v>20100729RLS</v>
      </c>
      <c r="D315" s="206" t="s">
        <v>487</v>
      </c>
      <c r="E315" s="206" t="str">
        <f t="shared" si="14"/>
        <v>20100729LGUM_126</v>
      </c>
      <c r="F315" s="114">
        <v>13.22</v>
      </c>
      <c r="G315" s="114">
        <v>0.13</v>
      </c>
      <c r="H315" s="114">
        <v>0.69</v>
      </c>
      <c r="I315" s="114">
        <v>12.4</v>
      </c>
      <c r="J315" s="108" t="s">
        <v>486</v>
      </c>
    </row>
    <row r="316" spans="1:10">
      <c r="A316" s="108">
        <v>20100729</v>
      </c>
      <c r="B316" s="206" t="s">
        <v>459</v>
      </c>
      <c r="C316" s="206" t="str">
        <f t="shared" si="13"/>
        <v>20100729RLS</v>
      </c>
      <c r="D316" s="206" t="s">
        <v>488</v>
      </c>
      <c r="E316" s="206" t="str">
        <f t="shared" si="14"/>
        <v>20100729LGUM_226</v>
      </c>
      <c r="F316" s="114">
        <v>13.22</v>
      </c>
      <c r="G316" s="114">
        <v>0.13</v>
      </c>
      <c r="H316" s="114">
        <v>0.69</v>
      </c>
      <c r="I316" s="114">
        <v>12.4</v>
      </c>
      <c r="J316" s="108" t="s">
        <v>486</v>
      </c>
    </row>
    <row r="317" spans="1:10">
      <c r="A317" s="108">
        <v>20100729</v>
      </c>
      <c r="B317" s="206" t="s">
        <v>459</v>
      </c>
      <c r="C317" s="206" t="str">
        <f t="shared" si="13"/>
        <v>20100729RLS</v>
      </c>
      <c r="D317" s="206" t="s">
        <v>489</v>
      </c>
      <c r="E317" s="206" t="str">
        <f t="shared" si="14"/>
        <v>20100729LGUM_251</v>
      </c>
      <c r="F317" s="114">
        <v>1.0000000000000001E-9</v>
      </c>
      <c r="G317" s="114">
        <v>0</v>
      </c>
      <c r="H317" s="114">
        <v>0</v>
      </c>
      <c r="I317" s="114">
        <v>0</v>
      </c>
      <c r="J317" s="108" t="s">
        <v>490</v>
      </c>
    </row>
    <row r="318" spans="1:10">
      <c r="A318" s="108">
        <v>20100729</v>
      </c>
      <c r="B318" s="206" t="s">
        <v>459</v>
      </c>
      <c r="C318" s="206" t="str">
        <f t="shared" si="13"/>
        <v>20100729RLS</v>
      </c>
      <c r="D318" s="206" t="s">
        <v>151</v>
      </c>
      <c r="E318" s="206" t="str">
        <f t="shared" si="14"/>
        <v>20100729LGUM_052</v>
      </c>
      <c r="F318" s="114">
        <v>10.220000000000001</v>
      </c>
      <c r="G318" s="114">
        <v>0.1</v>
      </c>
      <c r="H318" s="114">
        <v>1.44</v>
      </c>
      <c r="I318" s="114">
        <v>8.6800000000000015</v>
      </c>
      <c r="J318" s="108" t="s">
        <v>491</v>
      </c>
    </row>
    <row r="319" spans="1:10">
      <c r="A319" s="108">
        <v>20100729</v>
      </c>
      <c r="B319" s="206" t="s">
        <v>459</v>
      </c>
      <c r="C319" s="206" t="str">
        <f t="shared" si="13"/>
        <v>20100729RLS</v>
      </c>
      <c r="D319" s="206" t="s">
        <v>187</v>
      </c>
      <c r="E319" s="206" t="str">
        <f t="shared" si="14"/>
        <v>20100729LGUM_152</v>
      </c>
      <c r="F319" s="114">
        <v>10.220000000000001</v>
      </c>
      <c r="G319" s="114">
        <v>0.1</v>
      </c>
      <c r="H319" s="114">
        <v>1.44</v>
      </c>
      <c r="I319" s="114">
        <v>8.6800000000000015</v>
      </c>
      <c r="J319" s="108" t="s">
        <v>491</v>
      </c>
    </row>
    <row r="320" spans="1:10">
      <c r="A320" s="108">
        <v>20100729</v>
      </c>
      <c r="B320" s="206" t="s">
        <v>459</v>
      </c>
      <c r="C320" s="206" t="str">
        <f t="shared" si="13"/>
        <v>20100729RLS</v>
      </c>
      <c r="D320" s="206" t="s">
        <v>223</v>
      </c>
      <c r="E320" s="206" t="str">
        <f t="shared" si="14"/>
        <v>20100729LGUM_252</v>
      </c>
      <c r="F320" s="114">
        <v>10.220000000000001</v>
      </c>
      <c r="G320" s="114">
        <v>0.1</v>
      </c>
      <c r="H320" s="114">
        <v>1.44</v>
      </c>
      <c r="I320" s="114">
        <v>8.6800000000000015</v>
      </c>
      <c r="J320" s="108" t="s">
        <v>491</v>
      </c>
    </row>
    <row r="321" spans="1:10">
      <c r="A321" s="108">
        <v>20100729</v>
      </c>
      <c r="B321" s="206" t="s">
        <v>459</v>
      </c>
      <c r="C321" s="206" t="str">
        <f t="shared" si="13"/>
        <v>20100729RLS</v>
      </c>
      <c r="D321" s="206" t="s">
        <v>152</v>
      </c>
      <c r="E321" s="206" t="str">
        <f t="shared" si="14"/>
        <v>20100729LGUM_053</v>
      </c>
      <c r="F321" s="114">
        <v>11.65</v>
      </c>
      <c r="G321" s="114">
        <v>0.13</v>
      </c>
      <c r="H321" s="114">
        <v>2.04</v>
      </c>
      <c r="I321" s="114">
        <v>9.48</v>
      </c>
      <c r="J321" s="108" t="s">
        <v>492</v>
      </c>
    </row>
    <row r="322" spans="1:10">
      <c r="A322" s="108">
        <v>20100729</v>
      </c>
      <c r="B322" s="206" t="s">
        <v>459</v>
      </c>
      <c r="C322" s="206" t="str">
        <f t="shared" si="13"/>
        <v>20100729RLS</v>
      </c>
      <c r="D322" s="206" t="s">
        <v>188</v>
      </c>
      <c r="E322" s="206" t="str">
        <f t="shared" si="14"/>
        <v>20100729LGUM_153</v>
      </c>
      <c r="F322" s="114">
        <v>11.65</v>
      </c>
      <c r="G322" s="114">
        <v>0.13</v>
      </c>
      <c r="H322" s="114">
        <v>2.04</v>
      </c>
      <c r="I322" s="114">
        <v>9.48</v>
      </c>
      <c r="J322" s="108" t="s">
        <v>492</v>
      </c>
    </row>
    <row r="323" spans="1:10">
      <c r="A323" s="108">
        <v>20100729</v>
      </c>
      <c r="B323" s="206" t="s">
        <v>459</v>
      </c>
      <c r="C323" s="206" t="str">
        <f t="shared" si="13"/>
        <v>20100729RLS</v>
      </c>
      <c r="D323" s="206" t="s">
        <v>224</v>
      </c>
      <c r="E323" s="206" t="str">
        <f t="shared" si="14"/>
        <v>20100729LGUM_253</v>
      </c>
      <c r="F323" s="114">
        <v>11.65</v>
      </c>
      <c r="G323" s="114">
        <v>0.13</v>
      </c>
      <c r="H323" s="114">
        <v>2.04</v>
      </c>
      <c r="I323" s="114">
        <v>9.48</v>
      </c>
      <c r="J323" s="108" t="s">
        <v>492</v>
      </c>
    </row>
    <row r="324" spans="1:10">
      <c r="A324" s="108">
        <v>20100729</v>
      </c>
      <c r="B324" s="206" t="s">
        <v>459</v>
      </c>
      <c r="C324" s="206" t="str">
        <f t="shared" si="13"/>
        <v>20100729RLS</v>
      </c>
      <c r="D324" s="206" t="s">
        <v>153</v>
      </c>
      <c r="E324" s="206" t="str">
        <f t="shared" si="14"/>
        <v>20100729LGUM_054</v>
      </c>
      <c r="F324" s="114">
        <v>14.15</v>
      </c>
      <c r="G324" s="114">
        <v>0.15</v>
      </c>
      <c r="H324" s="114">
        <v>3.18</v>
      </c>
      <c r="I324" s="114">
        <v>10.82</v>
      </c>
      <c r="J324" s="108" t="s">
        <v>493</v>
      </c>
    </row>
    <row r="325" spans="1:10">
      <c r="A325" s="108">
        <v>20100729</v>
      </c>
      <c r="B325" s="206" t="s">
        <v>459</v>
      </c>
      <c r="C325" s="206" t="str">
        <f t="shared" si="13"/>
        <v>20100729RLS</v>
      </c>
      <c r="D325" s="206" t="s">
        <v>189</v>
      </c>
      <c r="E325" s="206" t="str">
        <f t="shared" si="14"/>
        <v>20100729LGUM_154</v>
      </c>
      <c r="F325" s="114">
        <v>14.15</v>
      </c>
      <c r="G325" s="114">
        <v>0.15</v>
      </c>
      <c r="H325" s="114">
        <v>3.18</v>
      </c>
      <c r="I325" s="114">
        <v>10.82</v>
      </c>
      <c r="J325" s="108" t="s">
        <v>493</v>
      </c>
    </row>
    <row r="326" spans="1:10">
      <c r="A326" s="108">
        <v>20100729</v>
      </c>
      <c r="B326" s="206" t="s">
        <v>459</v>
      </c>
      <c r="C326" s="206" t="str">
        <f t="shared" si="13"/>
        <v>20100729RLS</v>
      </c>
      <c r="D326" s="206" t="s">
        <v>349</v>
      </c>
      <c r="E326" s="206" t="str">
        <f t="shared" si="14"/>
        <v>20100729LGUM_254</v>
      </c>
      <c r="F326" s="114">
        <v>14.15</v>
      </c>
      <c r="G326" s="114">
        <v>0.15</v>
      </c>
      <c r="H326" s="114">
        <v>3.18</v>
      </c>
      <c r="I326" s="114">
        <v>10.82</v>
      </c>
      <c r="J326" s="108" t="s">
        <v>493</v>
      </c>
    </row>
    <row r="327" spans="1:10">
      <c r="A327" s="108">
        <v>20100729</v>
      </c>
      <c r="B327" s="206" t="s">
        <v>459</v>
      </c>
      <c r="C327" s="206" t="str">
        <f t="shared" si="13"/>
        <v>20100729RLS</v>
      </c>
      <c r="D327" s="206" t="s">
        <v>154</v>
      </c>
      <c r="E327" s="206" t="str">
        <f t="shared" si="14"/>
        <v>20100729LGUM_055</v>
      </c>
      <c r="F327" s="114">
        <v>9.8800000000000008</v>
      </c>
      <c r="G327" s="114">
        <v>0.14000000000000001</v>
      </c>
      <c r="H327" s="114">
        <v>0.99</v>
      </c>
      <c r="I327" s="114">
        <v>8.75</v>
      </c>
      <c r="J327" s="108" t="s">
        <v>494</v>
      </c>
    </row>
    <row r="328" spans="1:10">
      <c r="A328" s="108">
        <v>20100729</v>
      </c>
      <c r="B328" s="206" t="s">
        <v>459</v>
      </c>
      <c r="C328" s="206" t="str">
        <f t="shared" si="13"/>
        <v>20100729RLS</v>
      </c>
      <c r="D328" s="206" t="s">
        <v>190</v>
      </c>
      <c r="E328" s="206" t="str">
        <f t="shared" si="14"/>
        <v>20100729LGUM_155</v>
      </c>
      <c r="F328" s="114">
        <v>9.8800000000000008</v>
      </c>
      <c r="G328" s="114">
        <v>0.14000000000000001</v>
      </c>
      <c r="H328" s="114">
        <v>0.99</v>
      </c>
      <c r="I328" s="114">
        <v>8.75</v>
      </c>
      <c r="J328" s="108" t="s">
        <v>494</v>
      </c>
    </row>
    <row r="329" spans="1:10">
      <c r="A329" s="108">
        <v>20100729</v>
      </c>
      <c r="B329" s="206" t="s">
        <v>459</v>
      </c>
      <c r="C329" s="206" t="str">
        <f t="shared" si="13"/>
        <v>20100729RLS</v>
      </c>
      <c r="D329" s="206" t="s">
        <v>225</v>
      </c>
      <c r="E329" s="206" t="str">
        <f t="shared" si="14"/>
        <v>20100729LGUM_255</v>
      </c>
      <c r="F329" s="114">
        <v>9.8800000000000008</v>
      </c>
      <c r="G329" s="114">
        <v>0.14000000000000001</v>
      </c>
      <c r="H329" s="114">
        <v>0.99</v>
      </c>
      <c r="I329" s="114">
        <v>8.75</v>
      </c>
      <c r="J329" s="108" t="s">
        <v>494</v>
      </c>
    </row>
    <row r="330" spans="1:10">
      <c r="A330" s="108">
        <v>20100729</v>
      </c>
      <c r="B330" s="206" t="s">
        <v>459</v>
      </c>
      <c r="C330" s="206" t="str">
        <f t="shared" si="13"/>
        <v>20100729RLS</v>
      </c>
      <c r="D330" s="206" t="s">
        <v>495</v>
      </c>
      <c r="E330" s="206" t="str">
        <f t="shared" si="14"/>
        <v>20100729LGUM_056</v>
      </c>
      <c r="F330" s="114">
        <v>13.12</v>
      </c>
      <c r="G330" s="114">
        <v>0.14000000000000001</v>
      </c>
      <c r="H330" s="114">
        <v>0.86</v>
      </c>
      <c r="I330" s="114">
        <v>12.12</v>
      </c>
      <c r="J330" s="108" t="s">
        <v>496</v>
      </c>
    </row>
    <row r="331" spans="1:10">
      <c r="A331" s="108">
        <v>20100729</v>
      </c>
      <c r="B331" s="206" t="s">
        <v>459</v>
      </c>
      <c r="C331" s="206" t="str">
        <f t="shared" si="13"/>
        <v>20100729RLS</v>
      </c>
      <c r="D331" s="206" t="s">
        <v>497</v>
      </c>
      <c r="E331" s="206" t="str">
        <f t="shared" si="14"/>
        <v>20100729LGUM_156</v>
      </c>
      <c r="F331" s="114">
        <v>13.12</v>
      </c>
      <c r="G331" s="114">
        <v>0.14000000000000001</v>
      </c>
      <c r="H331" s="114">
        <v>0.86</v>
      </c>
      <c r="I331" s="114">
        <v>12.12</v>
      </c>
      <c r="J331" s="108" t="s">
        <v>496</v>
      </c>
    </row>
    <row r="332" spans="1:10">
      <c r="A332" s="108">
        <v>20100729</v>
      </c>
      <c r="B332" s="206" t="s">
        <v>459</v>
      </c>
      <c r="C332" s="206" t="str">
        <f t="shared" si="13"/>
        <v>20100729RLS</v>
      </c>
      <c r="D332" s="206" t="s">
        <v>498</v>
      </c>
      <c r="E332" s="206" t="str">
        <f t="shared" si="14"/>
        <v>20100729LGUM_256</v>
      </c>
      <c r="F332" s="114">
        <v>13.12</v>
      </c>
      <c r="G332" s="114">
        <v>0.14000000000000001</v>
      </c>
      <c r="H332" s="114">
        <v>0.86</v>
      </c>
      <c r="I332" s="114">
        <v>12.12</v>
      </c>
      <c r="J332" s="108" t="s">
        <v>496</v>
      </c>
    </row>
    <row r="333" spans="1:10">
      <c r="A333" s="108">
        <v>20100729</v>
      </c>
      <c r="B333" s="206" t="s">
        <v>459</v>
      </c>
      <c r="C333" s="206" t="str">
        <f t="shared" si="13"/>
        <v>20100729RLS</v>
      </c>
      <c r="D333" s="206" t="s">
        <v>155</v>
      </c>
      <c r="E333" s="206" t="str">
        <f t="shared" si="14"/>
        <v>20100729LGUM_057</v>
      </c>
      <c r="F333" s="114">
        <v>14.15</v>
      </c>
      <c r="G333" s="114">
        <v>0.15</v>
      </c>
      <c r="H333" s="114">
        <v>3.18</v>
      </c>
      <c r="I333" s="114">
        <v>10.82</v>
      </c>
      <c r="J333" s="108" t="s">
        <v>499</v>
      </c>
    </row>
    <row r="334" spans="1:10">
      <c r="A334" s="108">
        <v>20100729</v>
      </c>
      <c r="B334" s="206" t="s">
        <v>459</v>
      </c>
      <c r="C334" s="206" t="str">
        <f t="shared" si="13"/>
        <v>20100729RLS</v>
      </c>
      <c r="D334" s="206" t="s">
        <v>191</v>
      </c>
      <c r="E334" s="206" t="str">
        <f t="shared" si="14"/>
        <v>20100729LGUM_157</v>
      </c>
      <c r="F334" s="114">
        <v>14.15</v>
      </c>
      <c r="G334" s="114">
        <v>0.15</v>
      </c>
      <c r="H334" s="114">
        <v>3.18</v>
      </c>
      <c r="I334" s="114">
        <v>10.82</v>
      </c>
      <c r="J334" s="108" t="s">
        <v>499</v>
      </c>
    </row>
    <row r="335" spans="1:10">
      <c r="A335" s="108">
        <v>20100729</v>
      </c>
      <c r="B335" s="206" t="s">
        <v>459</v>
      </c>
      <c r="C335" s="206" t="str">
        <f t="shared" si="13"/>
        <v>20100729RLS</v>
      </c>
      <c r="D335" s="206" t="s">
        <v>350</v>
      </c>
      <c r="E335" s="206" t="str">
        <f t="shared" si="14"/>
        <v>20100729LGUM_257</v>
      </c>
      <c r="F335" s="114">
        <v>14.15</v>
      </c>
      <c r="G335" s="114">
        <v>0.15</v>
      </c>
      <c r="H335" s="114">
        <v>3.18</v>
      </c>
      <c r="I335" s="114">
        <v>10.82</v>
      </c>
      <c r="J335" s="108" t="s">
        <v>499</v>
      </c>
    </row>
    <row r="336" spans="1:10">
      <c r="A336" s="108">
        <v>20100729</v>
      </c>
      <c r="B336" s="206" t="s">
        <v>459</v>
      </c>
      <c r="C336" s="206" t="str">
        <f t="shared" si="13"/>
        <v>20100729RLS</v>
      </c>
      <c r="D336" s="206" t="s">
        <v>156</v>
      </c>
      <c r="E336" s="206" t="str">
        <f t="shared" si="14"/>
        <v>20100729LGUM_058</v>
      </c>
      <c r="F336" s="114">
        <v>14.88</v>
      </c>
      <c r="G336" s="114">
        <v>0.1</v>
      </c>
      <c r="H336" s="114">
        <v>1.44</v>
      </c>
      <c r="I336" s="114">
        <v>13.340000000000002</v>
      </c>
      <c r="J336" s="108" t="s">
        <v>500</v>
      </c>
    </row>
    <row r="337" spans="1:10">
      <c r="A337" s="108">
        <v>20100729</v>
      </c>
      <c r="B337" s="206" t="s">
        <v>459</v>
      </c>
      <c r="C337" s="206" t="str">
        <f t="shared" si="13"/>
        <v>20100729RLS</v>
      </c>
      <c r="D337" s="206" t="s">
        <v>192</v>
      </c>
      <c r="E337" s="206" t="str">
        <f t="shared" si="14"/>
        <v>20100729LGUM_158</v>
      </c>
      <c r="F337" s="114">
        <v>14.88</v>
      </c>
      <c r="G337" s="114">
        <v>0.1</v>
      </c>
      <c r="H337" s="114">
        <v>1.44</v>
      </c>
      <c r="I337" s="114">
        <v>13.340000000000002</v>
      </c>
      <c r="J337" s="108" t="s">
        <v>500</v>
      </c>
    </row>
    <row r="338" spans="1:10">
      <c r="A338" s="108">
        <v>20100729</v>
      </c>
      <c r="B338" s="206" t="s">
        <v>459</v>
      </c>
      <c r="C338" s="206" t="str">
        <f t="shared" si="13"/>
        <v>20100729RLS</v>
      </c>
      <c r="D338" s="206" t="s">
        <v>226</v>
      </c>
      <c r="E338" s="206" t="str">
        <f t="shared" si="14"/>
        <v>20100729LGUM_258</v>
      </c>
      <c r="F338" s="114">
        <v>14.88</v>
      </c>
      <c r="G338" s="114">
        <v>0.1</v>
      </c>
      <c r="H338" s="114">
        <v>1.44</v>
      </c>
      <c r="I338" s="114">
        <v>13.340000000000002</v>
      </c>
      <c r="J338" s="108" t="s">
        <v>500</v>
      </c>
    </row>
    <row r="339" spans="1:10">
      <c r="A339" s="108">
        <v>20100729</v>
      </c>
      <c r="B339" s="206" t="s">
        <v>459</v>
      </c>
      <c r="C339" s="206" t="str">
        <f t="shared" si="13"/>
        <v>20100729RLS</v>
      </c>
      <c r="D339" s="206" t="s">
        <v>361</v>
      </c>
      <c r="E339" s="206" t="str">
        <f t="shared" si="14"/>
        <v>20100729LGUM_059</v>
      </c>
      <c r="F339" s="114">
        <v>26.08</v>
      </c>
      <c r="G339" s="114">
        <v>0.26</v>
      </c>
      <c r="H339" s="114">
        <v>7.58</v>
      </c>
      <c r="I339" s="114">
        <v>18.239999999999995</v>
      </c>
      <c r="J339" s="108" t="s">
        <v>501</v>
      </c>
    </row>
    <row r="340" spans="1:10">
      <c r="A340" s="108">
        <v>20100729</v>
      </c>
      <c r="B340" s="206" t="s">
        <v>459</v>
      </c>
      <c r="C340" s="206" t="str">
        <f t="shared" si="13"/>
        <v>20100729RLS</v>
      </c>
      <c r="D340" s="206" t="s">
        <v>193</v>
      </c>
      <c r="E340" s="206" t="str">
        <f t="shared" si="14"/>
        <v>20100729LGUM_159</v>
      </c>
      <c r="F340" s="114">
        <v>26.08</v>
      </c>
      <c r="G340" s="114">
        <v>0.26</v>
      </c>
      <c r="H340" s="114">
        <v>7.58</v>
      </c>
      <c r="I340" s="114">
        <v>18.239999999999995</v>
      </c>
      <c r="J340" s="108" t="s">
        <v>501</v>
      </c>
    </row>
    <row r="341" spans="1:10">
      <c r="A341" s="108">
        <v>20100729</v>
      </c>
      <c r="B341" s="206" t="s">
        <v>459</v>
      </c>
      <c r="C341" s="206" t="str">
        <f t="shared" si="13"/>
        <v>20100729RLS</v>
      </c>
      <c r="D341" s="206" t="s">
        <v>227</v>
      </c>
      <c r="E341" s="206" t="str">
        <f t="shared" si="14"/>
        <v>20100729LGUM_259</v>
      </c>
      <c r="F341" s="114">
        <v>26.08</v>
      </c>
      <c r="G341" s="114">
        <v>0.26</v>
      </c>
      <c r="H341" s="114">
        <v>7.58</v>
      </c>
      <c r="I341" s="114">
        <v>18.239999999999995</v>
      </c>
      <c r="J341" s="108" t="s">
        <v>501</v>
      </c>
    </row>
    <row r="342" spans="1:10">
      <c r="A342" s="108">
        <v>20100729</v>
      </c>
      <c r="B342" s="206" t="s">
        <v>459</v>
      </c>
      <c r="C342" s="206" t="str">
        <f t="shared" si="13"/>
        <v>20100729RLS</v>
      </c>
      <c r="D342" s="206" t="s">
        <v>502</v>
      </c>
      <c r="E342" s="206" t="str">
        <f t="shared" si="14"/>
        <v>20100729LGUM_060</v>
      </c>
      <c r="F342" s="114">
        <v>26.21</v>
      </c>
      <c r="G342" s="114">
        <v>0.26</v>
      </c>
      <c r="H342" s="114">
        <v>7.58</v>
      </c>
      <c r="I342" s="114">
        <v>18.369999999999997</v>
      </c>
      <c r="J342" s="108" t="s">
        <v>503</v>
      </c>
    </row>
    <row r="343" spans="1:10">
      <c r="A343" s="108">
        <v>20100729</v>
      </c>
      <c r="B343" s="206" t="s">
        <v>459</v>
      </c>
      <c r="C343" s="206" t="str">
        <f t="shared" si="13"/>
        <v>20100729RLS</v>
      </c>
      <c r="D343" s="206" t="s">
        <v>194</v>
      </c>
      <c r="E343" s="206" t="str">
        <f t="shared" si="14"/>
        <v>20100729LGUM_160</v>
      </c>
      <c r="F343" s="114">
        <v>26.21</v>
      </c>
      <c r="G343" s="114">
        <v>0.26</v>
      </c>
      <c r="H343" s="114">
        <v>7.58</v>
      </c>
      <c r="I343" s="114">
        <v>18.369999999999997</v>
      </c>
      <c r="J343" s="108" t="s">
        <v>503</v>
      </c>
    </row>
    <row r="344" spans="1:10">
      <c r="A344" s="108">
        <v>20100729</v>
      </c>
      <c r="B344" s="206" t="s">
        <v>459</v>
      </c>
      <c r="C344" s="206" t="str">
        <f t="shared" si="13"/>
        <v>20100729RLS</v>
      </c>
      <c r="D344" s="206" t="s">
        <v>351</v>
      </c>
      <c r="E344" s="206" t="str">
        <f t="shared" si="14"/>
        <v>20100729LGUM_260</v>
      </c>
      <c r="F344" s="114">
        <v>26.21</v>
      </c>
      <c r="G344" s="114">
        <v>0.26</v>
      </c>
      <c r="H344" s="114">
        <v>7.58</v>
      </c>
      <c r="I344" s="114">
        <v>18.369999999999997</v>
      </c>
      <c r="J344" s="108" t="s">
        <v>503</v>
      </c>
    </row>
    <row r="345" spans="1:10">
      <c r="A345" s="108">
        <v>20100729</v>
      </c>
      <c r="B345" s="206" t="s">
        <v>459</v>
      </c>
      <c r="C345" s="206" t="str">
        <f t="shared" si="13"/>
        <v>20100729RLS</v>
      </c>
      <c r="D345" s="206" t="s">
        <v>157</v>
      </c>
      <c r="E345" s="206" t="str">
        <f t="shared" si="14"/>
        <v>20100729LGUM_061</v>
      </c>
      <c r="F345" s="114">
        <v>14.75</v>
      </c>
      <c r="G345" s="114">
        <v>0.13</v>
      </c>
      <c r="H345" s="114">
        <v>2.14</v>
      </c>
      <c r="I345" s="114">
        <v>12.479999999999999</v>
      </c>
      <c r="J345" s="108" t="s">
        <v>504</v>
      </c>
    </row>
    <row r="346" spans="1:10">
      <c r="A346" s="108">
        <v>20100729</v>
      </c>
      <c r="B346" s="206" t="s">
        <v>459</v>
      </c>
      <c r="C346" s="206" t="str">
        <f t="shared" si="13"/>
        <v>20100729RLS</v>
      </c>
      <c r="D346" s="206" t="s">
        <v>195</v>
      </c>
      <c r="E346" s="206" t="str">
        <f t="shared" si="14"/>
        <v>20100729LGUM_161</v>
      </c>
      <c r="F346" s="114">
        <v>14.75</v>
      </c>
      <c r="G346" s="114">
        <v>0.13</v>
      </c>
      <c r="H346" s="114">
        <v>2.14</v>
      </c>
      <c r="I346" s="114">
        <v>12.479999999999999</v>
      </c>
      <c r="J346" s="108" t="s">
        <v>504</v>
      </c>
    </row>
    <row r="347" spans="1:10">
      <c r="A347" s="108">
        <v>20100729</v>
      </c>
      <c r="B347" s="206" t="s">
        <v>459</v>
      </c>
      <c r="C347" s="206" t="str">
        <f t="shared" si="13"/>
        <v>20100729RLS</v>
      </c>
      <c r="D347" s="206" t="s">
        <v>228</v>
      </c>
      <c r="E347" s="206" t="str">
        <f t="shared" si="14"/>
        <v>20100729LGUM_261</v>
      </c>
      <c r="F347" s="114">
        <v>14.75</v>
      </c>
      <c r="G347" s="114">
        <v>0.13</v>
      </c>
      <c r="H347" s="114">
        <v>2.14</v>
      </c>
      <c r="I347" s="114">
        <v>12.479999999999999</v>
      </c>
      <c r="J347" s="108" t="s">
        <v>504</v>
      </c>
    </row>
    <row r="348" spans="1:10">
      <c r="A348" s="108">
        <v>20100729</v>
      </c>
      <c r="B348" s="206" t="s">
        <v>459</v>
      </c>
      <c r="C348" s="206" t="str">
        <f t="shared" si="13"/>
        <v>20100729RLS</v>
      </c>
      <c r="D348" s="206" t="s">
        <v>158</v>
      </c>
      <c r="E348" s="206" t="str">
        <f t="shared" si="14"/>
        <v>20100729LGUM_062</v>
      </c>
      <c r="F348" s="114">
        <v>16.03</v>
      </c>
      <c r="G348" s="114">
        <v>0.15</v>
      </c>
      <c r="H348" s="114">
        <v>3.4</v>
      </c>
      <c r="I348" s="114">
        <v>12.48</v>
      </c>
      <c r="J348" s="108" t="s">
        <v>505</v>
      </c>
    </row>
    <row r="349" spans="1:10">
      <c r="A349" s="108">
        <v>20100729</v>
      </c>
      <c r="B349" s="206" t="s">
        <v>459</v>
      </c>
      <c r="C349" s="206" t="str">
        <f t="shared" si="13"/>
        <v>20100729RLS</v>
      </c>
      <c r="D349" s="206" t="s">
        <v>196</v>
      </c>
      <c r="E349" s="206" t="str">
        <f t="shared" si="14"/>
        <v>20100729LGUM_162</v>
      </c>
      <c r="F349" s="114">
        <v>16.03</v>
      </c>
      <c r="G349" s="114">
        <v>0.15</v>
      </c>
      <c r="H349" s="114">
        <v>3.4</v>
      </c>
      <c r="I349" s="114">
        <v>12.48</v>
      </c>
      <c r="J349" s="108" t="s">
        <v>505</v>
      </c>
    </row>
    <row r="350" spans="1:10">
      <c r="A350" s="108">
        <v>20100729</v>
      </c>
      <c r="B350" s="206" t="s">
        <v>459</v>
      </c>
      <c r="C350" s="206" t="str">
        <f t="shared" si="13"/>
        <v>20100729RLS</v>
      </c>
      <c r="D350" s="206" t="s">
        <v>229</v>
      </c>
      <c r="E350" s="206" t="str">
        <f t="shared" si="14"/>
        <v>20100729LGUM_262</v>
      </c>
      <c r="F350" s="114">
        <v>16.03</v>
      </c>
      <c r="G350" s="114">
        <v>0.15</v>
      </c>
      <c r="H350" s="114">
        <v>3.4</v>
      </c>
      <c r="I350" s="114">
        <v>12.48</v>
      </c>
      <c r="J350" s="108" t="s">
        <v>505</v>
      </c>
    </row>
    <row r="351" spans="1:10">
      <c r="A351" s="108">
        <v>20100729</v>
      </c>
      <c r="B351" s="206" t="s">
        <v>459</v>
      </c>
      <c r="C351" s="206" t="str">
        <f t="shared" si="13"/>
        <v>20100729RLS</v>
      </c>
      <c r="D351" s="206" t="s">
        <v>159</v>
      </c>
      <c r="E351" s="206" t="str">
        <f t="shared" si="14"/>
        <v>20100729LGUM_063</v>
      </c>
      <c r="F351" s="114">
        <v>16.03</v>
      </c>
      <c r="G351" s="114">
        <v>0.15</v>
      </c>
      <c r="H351" s="114">
        <v>3.4</v>
      </c>
      <c r="I351" s="114">
        <v>12.48</v>
      </c>
      <c r="J351" s="108" t="s">
        <v>506</v>
      </c>
    </row>
    <row r="352" spans="1:10">
      <c r="A352" s="108">
        <v>20100729</v>
      </c>
      <c r="B352" s="206" t="s">
        <v>459</v>
      </c>
      <c r="C352" s="206" t="str">
        <f t="shared" si="13"/>
        <v>20100729RLS</v>
      </c>
      <c r="D352" s="206" t="s">
        <v>197</v>
      </c>
      <c r="E352" s="206" t="str">
        <f t="shared" si="14"/>
        <v>20100729LGUM_163</v>
      </c>
      <c r="F352" s="114">
        <v>16.03</v>
      </c>
      <c r="G352" s="114">
        <v>0.15</v>
      </c>
      <c r="H352" s="114">
        <v>3.4</v>
      </c>
      <c r="I352" s="114">
        <v>12.48</v>
      </c>
      <c r="J352" s="108" t="s">
        <v>506</v>
      </c>
    </row>
    <row r="353" spans="1:10">
      <c r="A353" s="108">
        <v>20100729</v>
      </c>
      <c r="B353" s="206" t="s">
        <v>459</v>
      </c>
      <c r="C353" s="206" t="str">
        <f t="shared" si="13"/>
        <v>20100729RLS</v>
      </c>
      <c r="D353" s="206" t="s">
        <v>230</v>
      </c>
      <c r="E353" s="206" t="str">
        <f t="shared" si="14"/>
        <v>20100729LGUM_263</v>
      </c>
      <c r="F353" s="114">
        <v>16.03</v>
      </c>
      <c r="G353" s="114">
        <v>0.15</v>
      </c>
      <c r="H353" s="114">
        <v>3.4</v>
      </c>
      <c r="I353" s="114">
        <v>12.48</v>
      </c>
      <c r="J353" s="108" t="s">
        <v>506</v>
      </c>
    </row>
    <row r="354" spans="1:10">
      <c r="A354" s="108">
        <v>20100729</v>
      </c>
      <c r="B354" s="206" t="s">
        <v>459</v>
      </c>
      <c r="C354" s="206" t="str">
        <f t="shared" si="13"/>
        <v>20100729RLS</v>
      </c>
      <c r="D354" s="206" t="s">
        <v>160</v>
      </c>
      <c r="E354" s="206" t="str">
        <f t="shared" si="14"/>
        <v>20100729LGUM_066</v>
      </c>
      <c r="F354" s="114">
        <v>26.92</v>
      </c>
      <c r="G354" s="114">
        <v>0.13</v>
      </c>
      <c r="H354" s="114">
        <v>2.14</v>
      </c>
      <c r="I354" s="114">
        <v>24.650000000000002</v>
      </c>
      <c r="J354" s="108" t="s">
        <v>507</v>
      </c>
    </row>
    <row r="355" spans="1:10">
      <c r="A355" s="108">
        <v>20100729</v>
      </c>
      <c r="B355" s="206" t="s">
        <v>459</v>
      </c>
      <c r="C355" s="206" t="str">
        <f t="shared" si="13"/>
        <v>20100729RLS</v>
      </c>
      <c r="D355" s="206" t="s">
        <v>198</v>
      </c>
      <c r="E355" s="206" t="str">
        <f t="shared" si="14"/>
        <v>20100729LGUM_166</v>
      </c>
      <c r="F355" s="114">
        <v>26.92</v>
      </c>
      <c r="G355" s="114">
        <v>0.13</v>
      </c>
      <c r="H355" s="114">
        <v>2.14</v>
      </c>
      <c r="I355" s="114">
        <v>24.650000000000002</v>
      </c>
      <c r="J355" s="108" t="s">
        <v>507</v>
      </c>
    </row>
    <row r="356" spans="1:10">
      <c r="A356" s="108">
        <v>20100729</v>
      </c>
      <c r="B356" s="206" t="s">
        <v>459</v>
      </c>
      <c r="C356" s="206" t="str">
        <f t="shared" ref="C356:C419" si="15">A356&amp;B356</f>
        <v>20100729RLS</v>
      </c>
      <c r="D356" s="206" t="s">
        <v>231</v>
      </c>
      <c r="E356" s="206" t="str">
        <f t="shared" ref="E356:E419" si="16">A356&amp;D356</f>
        <v>20100729LGUM_266</v>
      </c>
      <c r="F356" s="114">
        <v>26.92</v>
      </c>
      <c r="G356" s="114">
        <v>0.13</v>
      </c>
      <c r="H356" s="114">
        <v>2.14</v>
      </c>
      <c r="I356" s="114">
        <v>24.650000000000002</v>
      </c>
      <c r="J356" s="108" t="s">
        <v>507</v>
      </c>
    </row>
    <row r="357" spans="1:10">
      <c r="A357" s="108">
        <v>20100729</v>
      </c>
      <c r="B357" s="206" t="s">
        <v>459</v>
      </c>
      <c r="C357" s="206" t="str">
        <f t="shared" si="15"/>
        <v>20100729RLS</v>
      </c>
      <c r="D357" s="206" t="s">
        <v>161</v>
      </c>
      <c r="E357" s="206" t="str">
        <f t="shared" si="16"/>
        <v>20100729LGUM_067</v>
      </c>
      <c r="F357" s="114">
        <v>30</v>
      </c>
      <c r="G357" s="114">
        <v>0.15</v>
      </c>
      <c r="H357" s="114">
        <v>3.4</v>
      </c>
      <c r="I357" s="114">
        <v>26.450000000000003</v>
      </c>
      <c r="J357" s="108" t="s">
        <v>508</v>
      </c>
    </row>
    <row r="358" spans="1:10">
      <c r="A358" s="108">
        <v>20100729</v>
      </c>
      <c r="B358" s="206" t="s">
        <v>459</v>
      </c>
      <c r="C358" s="206" t="str">
        <f t="shared" si="15"/>
        <v>20100729RLS</v>
      </c>
      <c r="D358" s="206" t="s">
        <v>199</v>
      </c>
      <c r="E358" s="206" t="str">
        <f t="shared" si="16"/>
        <v>20100729LGUM_167</v>
      </c>
      <c r="F358" s="114">
        <v>30</v>
      </c>
      <c r="G358" s="114">
        <v>0.15</v>
      </c>
      <c r="H358" s="114">
        <v>3.4</v>
      </c>
      <c r="I358" s="114">
        <v>26.450000000000003</v>
      </c>
      <c r="J358" s="108" t="s">
        <v>508</v>
      </c>
    </row>
    <row r="359" spans="1:10">
      <c r="A359" s="108">
        <v>20100729</v>
      </c>
      <c r="B359" s="206" t="s">
        <v>459</v>
      </c>
      <c r="C359" s="206" t="str">
        <f t="shared" si="15"/>
        <v>20100729RLS</v>
      </c>
      <c r="D359" s="206" t="s">
        <v>232</v>
      </c>
      <c r="E359" s="206" t="str">
        <f t="shared" si="16"/>
        <v>20100729LGUM_267</v>
      </c>
      <c r="F359" s="114">
        <v>30</v>
      </c>
      <c r="G359" s="114">
        <v>0.15</v>
      </c>
      <c r="H359" s="114">
        <v>3.4</v>
      </c>
      <c r="I359" s="114">
        <v>26.450000000000003</v>
      </c>
      <c r="J359" s="108" t="s">
        <v>508</v>
      </c>
    </row>
    <row r="360" spans="1:10">
      <c r="A360" s="108">
        <v>20100729</v>
      </c>
      <c r="B360" s="206" t="s">
        <v>459</v>
      </c>
      <c r="C360" s="206" t="str">
        <f t="shared" si="15"/>
        <v>20100729RLS</v>
      </c>
      <c r="D360" s="206" t="s">
        <v>162</v>
      </c>
      <c r="E360" s="206" t="str">
        <f t="shared" si="16"/>
        <v>20100729LGUM_072</v>
      </c>
      <c r="F360" s="114">
        <v>12.51</v>
      </c>
      <c r="G360" s="114">
        <v>0.13</v>
      </c>
      <c r="H360" s="114">
        <v>1.44</v>
      </c>
      <c r="I360" s="114">
        <v>10.94</v>
      </c>
      <c r="J360" s="108" t="s">
        <v>509</v>
      </c>
    </row>
    <row r="361" spans="1:10">
      <c r="A361" s="108">
        <v>20100729</v>
      </c>
      <c r="B361" s="206" t="s">
        <v>459</v>
      </c>
      <c r="C361" s="206" t="str">
        <f t="shared" si="15"/>
        <v>20100729RLS</v>
      </c>
      <c r="D361" s="206" t="s">
        <v>200</v>
      </c>
      <c r="E361" s="206" t="str">
        <f t="shared" si="16"/>
        <v>20100729LGUM_172</v>
      </c>
      <c r="F361" s="114">
        <v>12.51</v>
      </c>
      <c r="G361" s="114">
        <v>0.13</v>
      </c>
      <c r="H361" s="114">
        <v>1.44</v>
      </c>
      <c r="I361" s="114">
        <v>10.94</v>
      </c>
      <c r="J361" s="108" t="s">
        <v>509</v>
      </c>
    </row>
    <row r="362" spans="1:10">
      <c r="A362" s="108">
        <v>20100729</v>
      </c>
      <c r="B362" s="206" t="s">
        <v>459</v>
      </c>
      <c r="C362" s="206" t="str">
        <f t="shared" si="15"/>
        <v>20100729RLS</v>
      </c>
      <c r="D362" s="206" t="s">
        <v>233</v>
      </c>
      <c r="E362" s="206" t="str">
        <f t="shared" si="16"/>
        <v>20100729LGUM_272</v>
      </c>
      <c r="F362" s="114">
        <v>12.51</v>
      </c>
      <c r="G362" s="114">
        <v>0.13</v>
      </c>
      <c r="H362" s="114">
        <v>1.44</v>
      </c>
      <c r="I362" s="114">
        <v>10.94</v>
      </c>
      <c r="J362" s="108" t="s">
        <v>509</v>
      </c>
    </row>
    <row r="363" spans="1:10">
      <c r="A363" s="108">
        <v>20100729</v>
      </c>
      <c r="B363" s="206" t="s">
        <v>459</v>
      </c>
      <c r="C363" s="206" t="str">
        <f t="shared" si="15"/>
        <v>20100729RLS</v>
      </c>
      <c r="D363" s="206" t="s">
        <v>163</v>
      </c>
      <c r="E363" s="206" t="str">
        <f t="shared" si="16"/>
        <v>20100729LGUM_073</v>
      </c>
      <c r="F363" s="114">
        <v>12.51</v>
      </c>
      <c r="G363" s="114">
        <v>0.13</v>
      </c>
      <c r="H363" s="114">
        <v>1.44</v>
      </c>
      <c r="I363" s="114">
        <v>10.94</v>
      </c>
      <c r="J363" s="108" t="s">
        <v>510</v>
      </c>
    </row>
    <row r="364" spans="1:10">
      <c r="A364" s="108">
        <v>20100729</v>
      </c>
      <c r="B364" s="206" t="s">
        <v>459</v>
      </c>
      <c r="C364" s="206" t="str">
        <f t="shared" si="15"/>
        <v>20100729RLS</v>
      </c>
      <c r="D364" s="206" t="s">
        <v>201</v>
      </c>
      <c r="E364" s="206" t="str">
        <f t="shared" si="16"/>
        <v>20100729LGUM_173</v>
      </c>
      <c r="F364" s="114">
        <v>12.51</v>
      </c>
      <c r="G364" s="114">
        <v>0.13</v>
      </c>
      <c r="H364" s="114">
        <v>1.44</v>
      </c>
      <c r="I364" s="114">
        <v>10.94</v>
      </c>
      <c r="J364" s="108" t="s">
        <v>510</v>
      </c>
    </row>
    <row r="365" spans="1:10">
      <c r="A365" s="108">
        <v>20100729</v>
      </c>
      <c r="B365" s="206" t="s">
        <v>459</v>
      </c>
      <c r="C365" s="206" t="str">
        <f t="shared" si="15"/>
        <v>20100729RLS</v>
      </c>
      <c r="D365" s="206" t="s">
        <v>352</v>
      </c>
      <c r="E365" s="206" t="str">
        <f t="shared" si="16"/>
        <v>20100729LGUM_273</v>
      </c>
      <c r="F365" s="114">
        <v>12.51</v>
      </c>
      <c r="G365" s="114">
        <v>0.13</v>
      </c>
      <c r="H365" s="114">
        <v>1.44</v>
      </c>
      <c r="I365" s="114">
        <v>10.94</v>
      </c>
      <c r="J365" s="108" t="s">
        <v>510</v>
      </c>
    </row>
    <row r="366" spans="1:10">
      <c r="A366" s="108">
        <v>20100729</v>
      </c>
      <c r="B366" s="206" t="s">
        <v>459</v>
      </c>
      <c r="C366" s="206" t="str">
        <f t="shared" si="15"/>
        <v>20100729RLS</v>
      </c>
      <c r="D366" s="206" t="s">
        <v>164</v>
      </c>
      <c r="E366" s="206" t="str">
        <f t="shared" si="16"/>
        <v>20100729LGUM_074</v>
      </c>
      <c r="F366" s="114">
        <v>17.559999999999999</v>
      </c>
      <c r="G366" s="114">
        <v>0.14000000000000001</v>
      </c>
      <c r="H366" s="114">
        <v>0.99</v>
      </c>
      <c r="I366" s="114">
        <v>16.43</v>
      </c>
      <c r="J366" s="108" t="s">
        <v>511</v>
      </c>
    </row>
    <row r="367" spans="1:10">
      <c r="A367" s="108">
        <v>20100729</v>
      </c>
      <c r="B367" s="206" t="s">
        <v>459</v>
      </c>
      <c r="C367" s="206" t="str">
        <f t="shared" si="15"/>
        <v>20100729RLS</v>
      </c>
      <c r="D367" s="206" t="s">
        <v>202</v>
      </c>
      <c r="E367" s="206" t="str">
        <f t="shared" si="16"/>
        <v>20100729LGUM_174</v>
      </c>
      <c r="F367" s="114">
        <v>17.559999999999999</v>
      </c>
      <c r="G367" s="114">
        <v>0.14000000000000001</v>
      </c>
      <c r="H367" s="114">
        <v>0.99</v>
      </c>
      <c r="I367" s="114">
        <v>16.43</v>
      </c>
      <c r="J367" s="108" t="s">
        <v>511</v>
      </c>
    </row>
    <row r="368" spans="1:10">
      <c r="A368" s="108">
        <v>20100729</v>
      </c>
      <c r="B368" s="206" t="s">
        <v>459</v>
      </c>
      <c r="C368" s="206" t="str">
        <f t="shared" si="15"/>
        <v>20100729RLS</v>
      </c>
      <c r="D368" s="206" t="s">
        <v>234</v>
      </c>
      <c r="E368" s="206" t="str">
        <f t="shared" si="16"/>
        <v>20100729LGUM_274</v>
      </c>
      <c r="F368" s="114">
        <v>17.559999999999999</v>
      </c>
      <c r="G368" s="114">
        <v>0.14000000000000001</v>
      </c>
      <c r="H368" s="114">
        <v>0.99</v>
      </c>
      <c r="I368" s="114">
        <v>16.43</v>
      </c>
      <c r="J368" s="108" t="s">
        <v>511</v>
      </c>
    </row>
    <row r="369" spans="1:10">
      <c r="A369" s="108">
        <v>20100729</v>
      </c>
      <c r="B369" s="206" t="s">
        <v>459</v>
      </c>
      <c r="C369" s="206" t="str">
        <f t="shared" si="15"/>
        <v>20100729RLS</v>
      </c>
      <c r="D369" s="206" t="s">
        <v>165</v>
      </c>
      <c r="E369" s="206" t="str">
        <f t="shared" si="16"/>
        <v>20100729LGUM_075</v>
      </c>
      <c r="F369" s="114">
        <v>23.41</v>
      </c>
      <c r="G369" s="114">
        <v>0.13</v>
      </c>
      <c r="H369" s="114">
        <v>1.44</v>
      </c>
      <c r="I369" s="114">
        <v>21.84</v>
      </c>
      <c r="J369" s="108" t="s">
        <v>509</v>
      </c>
    </row>
    <row r="370" spans="1:10">
      <c r="A370" s="108">
        <v>20100729</v>
      </c>
      <c r="B370" s="206" t="s">
        <v>459</v>
      </c>
      <c r="C370" s="206" t="str">
        <f t="shared" si="15"/>
        <v>20100729RLS</v>
      </c>
      <c r="D370" s="206" t="s">
        <v>203</v>
      </c>
      <c r="E370" s="206" t="str">
        <f t="shared" si="16"/>
        <v>20100729LGUM_175</v>
      </c>
      <c r="F370" s="114">
        <v>23.41</v>
      </c>
      <c r="G370" s="114">
        <v>0.13</v>
      </c>
      <c r="H370" s="114">
        <v>1.44</v>
      </c>
      <c r="I370" s="114">
        <v>21.84</v>
      </c>
      <c r="J370" s="108" t="s">
        <v>509</v>
      </c>
    </row>
    <row r="371" spans="1:10">
      <c r="A371" s="108">
        <v>20100729</v>
      </c>
      <c r="B371" s="206" t="s">
        <v>459</v>
      </c>
      <c r="C371" s="206" t="str">
        <f t="shared" si="15"/>
        <v>20100729RLS</v>
      </c>
      <c r="D371" s="206" t="s">
        <v>353</v>
      </c>
      <c r="E371" s="206" t="str">
        <f t="shared" si="16"/>
        <v>20100729LGUM_275</v>
      </c>
      <c r="F371" s="114">
        <v>23.41</v>
      </c>
      <c r="G371" s="114">
        <v>0.13</v>
      </c>
      <c r="H371" s="114">
        <v>1.44</v>
      </c>
      <c r="I371" s="114">
        <v>21.84</v>
      </c>
      <c r="J371" s="108" t="s">
        <v>509</v>
      </c>
    </row>
    <row r="372" spans="1:10">
      <c r="A372" s="108">
        <v>20100729</v>
      </c>
      <c r="B372" s="206" t="s">
        <v>459</v>
      </c>
      <c r="C372" s="206" t="str">
        <f t="shared" si="15"/>
        <v>20100729RLS</v>
      </c>
      <c r="D372" s="206" t="s">
        <v>166</v>
      </c>
      <c r="E372" s="206" t="str">
        <f t="shared" si="16"/>
        <v>20100729LGUM_076</v>
      </c>
      <c r="F372" s="114">
        <v>13.22</v>
      </c>
      <c r="G372" s="114">
        <v>0.13</v>
      </c>
      <c r="H372" s="114">
        <v>0.69</v>
      </c>
      <c r="I372" s="114">
        <v>12.4</v>
      </c>
      <c r="J372" s="108" t="s">
        <v>512</v>
      </c>
    </row>
    <row r="373" spans="1:10">
      <c r="A373" s="108">
        <v>20100729</v>
      </c>
      <c r="B373" s="206" t="s">
        <v>459</v>
      </c>
      <c r="C373" s="206" t="str">
        <f t="shared" si="15"/>
        <v>20100729RLS</v>
      </c>
      <c r="D373" s="206" t="s">
        <v>204</v>
      </c>
      <c r="E373" s="206" t="str">
        <f t="shared" si="16"/>
        <v>20100729LGUM_176</v>
      </c>
      <c r="F373" s="114">
        <v>13.22</v>
      </c>
      <c r="G373" s="114">
        <v>0.13</v>
      </c>
      <c r="H373" s="114">
        <v>0.69</v>
      </c>
      <c r="I373" s="114">
        <v>12.4</v>
      </c>
      <c r="J373" s="108" t="s">
        <v>512</v>
      </c>
    </row>
    <row r="374" spans="1:10">
      <c r="A374" s="108">
        <v>20100729</v>
      </c>
      <c r="B374" s="206" t="s">
        <v>459</v>
      </c>
      <c r="C374" s="206" t="str">
        <f t="shared" si="15"/>
        <v>20100729RLS</v>
      </c>
      <c r="D374" s="206" t="s">
        <v>235</v>
      </c>
      <c r="E374" s="206" t="str">
        <f t="shared" si="16"/>
        <v>20100729LGUM_276</v>
      </c>
      <c r="F374" s="114">
        <v>13.22</v>
      </c>
      <c r="G374" s="114">
        <v>0.13</v>
      </c>
      <c r="H374" s="114">
        <v>0.69</v>
      </c>
      <c r="I374" s="114">
        <v>12.4</v>
      </c>
      <c r="J374" s="108" t="s">
        <v>512</v>
      </c>
    </row>
    <row r="375" spans="1:10">
      <c r="A375" s="108">
        <v>20100729</v>
      </c>
      <c r="B375" s="206" t="s">
        <v>459</v>
      </c>
      <c r="C375" s="206" t="str">
        <f t="shared" si="15"/>
        <v>20100729RLS</v>
      </c>
      <c r="D375" s="206" t="s">
        <v>167</v>
      </c>
      <c r="E375" s="206" t="str">
        <f t="shared" si="16"/>
        <v>20100729LGUM_077</v>
      </c>
      <c r="F375" s="114">
        <v>20.97</v>
      </c>
      <c r="G375" s="114">
        <v>0.13</v>
      </c>
      <c r="H375" s="114">
        <v>1.44</v>
      </c>
      <c r="I375" s="114">
        <v>19.399999999999999</v>
      </c>
      <c r="J375" s="108" t="s">
        <v>513</v>
      </c>
    </row>
    <row r="376" spans="1:10">
      <c r="A376" s="108">
        <v>20100729</v>
      </c>
      <c r="B376" s="206" t="s">
        <v>459</v>
      </c>
      <c r="C376" s="206" t="str">
        <f t="shared" si="15"/>
        <v>20100729RLS</v>
      </c>
      <c r="D376" s="206" t="s">
        <v>205</v>
      </c>
      <c r="E376" s="206" t="str">
        <f t="shared" si="16"/>
        <v>20100729LGUM_177</v>
      </c>
      <c r="F376" s="114">
        <v>20.97</v>
      </c>
      <c r="G376" s="114">
        <v>0.13</v>
      </c>
      <c r="H376" s="114">
        <v>1.44</v>
      </c>
      <c r="I376" s="114">
        <v>19.399999999999999</v>
      </c>
      <c r="J376" s="108" t="s">
        <v>513</v>
      </c>
    </row>
    <row r="377" spans="1:10">
      <c r="A377" s="108">
        <v>20100729</v>
      </c>
      <c r="B377" s="206" t="s">
        <v>459</v>
      </c>
      <c r="C377" s="206" t="str">
        <f t="shared" si="15"/>
        <v>20100729RLS</v>
      </c>
      <c r="D377" s="206" t="s">
        <v>236</v>
      </c>
      <c r="E377" s="206" t="str">
        <f t="shared" si="16"/>
        <v>20100729LGUM_277</v>
      </c>
      <c r="F377" s="114">
        <v>20.97</v>
      </c>
      <c r="G377" s="114">
        <v>0.13</v>
      </c>
      <c r="H377" s="114">
        <v>1.44</v>
      </c>
      <c r="I377" s="114">
        <v>19.399999999999999</v>
      </c>
      <c r="J377" s="108" t="s">
        <v>513</v>
      </c>
    </row>
    <row r="378" spans="1:10">
      <c r="A378" s="108">
        <v>20100729</v>
      </c>
      <c r="B378" s="206" t="s">
        <v>459</v>
      </c>
      <c r="C378" s="206" t="str">
        <f t="shared" si="15"/>
        <v>20100729RLS</v>
      </c>
      <c r="D378" s="206" t="s">
        <v>514</v>
      </c>
      <c r="E378" s="206" t="str">
        <f t="shared" si="16"/>
        <v>20100729LGUM_078</v>
      </c>
      <c r="F378" s="114">
        <v>67.180000000000007</v>
      </c>
      <c r="G378" s="114">
        <v>0.26</v>
      </c>
      <c r="H378" s="114">
        <v>9.98</v>
      </c>
      <c r="I378" s="114">
        <v>56.94</v>
      </c>
      <c r="J378" s="108" t="s">
        <v>515</v>
      </c>
    </row>
    <row r="379" spans="1:10">
      <c r="A379" s="108">
        <v>20100729</v>
      </c>
      <c r="B379" s="206" t="s">
        <v>459</v>
      </c>
      <c r="C379" s="206" t="str">
        <f t="shared" si="15"/>
        <v>20100729RLS</v>
      </c>
      <c r="D379" s="206" t="s">
        <v>206</v>
      </c>
      <c r="E379" s="206" t="str">
        <f t="shared" si="16"/>
        <v>20100729LGUM_178</v>
      </c>
      <c r="F379" s="114">
        <v>67.180000000000007</v>
      </c>
      <c r="G379" s="114">
        <v>0.26</v>
      </c>
      <c r="H379" s="114">
        <v>9.98</v>
      </c>
      <c r="I379" s="114">
        <v>56.94</v>
      </c>
      <c r="J379" s="108" t="s">
        <v>515</v>
      </c>
    </row>
    <row r="380" spans="1:10">
      <c r="A380" s="108">
        <v>20100729</v>
      </c>
      <c r="B380" s="206" t="s">
        <v>459</v>
      </c>
      <c r="C380" s="206" t="str">
        <f t="shared" si="15"/>
        <v>20100729RLS</v>
      </c>
      <c r="D380" s="206" t="s">
        <v>354</v>
      </c>
      <c r="E380" s="206" t="str">
        <f t="shared" si="16"/>
        <v>20100729LGUM_278</v>
      </c>
      <c r="F380" s="114">
        <v>67.180000000000007</v>
      </c>
      <c r="G380" s="114">
        <v>0.26</v>
      </c>
      <c r="H380" s="114">
        <v>9.98</v>
      </c>
      <c r="I380" s="114">
        <v>56.94</v>
      </c>
      <c r="J380" s="108" t="s">
        <v>515</v>
      </c>
    </row>
    <row r="381" spans="1:10">
      <c r="A381" s="108">
        <v>20100729</v>
      </c>
      <c r="B381" s="206" t="s">
        <v>459</v>
      </c>
      <c r="C381" s="206" t="str">
        <f t="shared" si="15"/>
        <v>20100729RLS</v>
      </c>
      <c r="D381" s="206" t="s">
        <v>516</v>
      </c>
      <c r="E381" s="206" t="str">
        <f t="shared" si="16"/>
        <v>20100729LGUM_079</v>
      </c>
      <c r="F381" s="114">
        <v>37.4</v>
      </c>
      <c r="G381" s="114">
        <v>0.26</v>
      </c>
      <c r="H381" s="114">
        <v>9.98</v>
      </c>
      <c r="I381" s="114">
        <v>27.16</v>
      </c>
      <c r="J381" s="108" t="s">
        <v>517</v>
      </c>
    </row>
    <row r="382" spans="1:10">
      <c r="A382" s="108">
        <v>20100729</v>
      </c>
      <c r="B382" s="206" t="s">
        <v>459</v>
      </c>
      <c r="C382" s="206" t="str">
        <f t="shared" si="15"/>
        <v>20100729RLS</v>
      </c>
      <c r="D382" s="206" t="s">
        <v>207</v>
      </c>
      <c r="E382" s="206" t="str">
        <f t="shared" si="16"/>
        <v>20100729LGUM_179</v>
      </c>
      <c r="F382" s="114">
        <v>37.4</v>
      </c>
      <c r="G382" s="114">
        <v>0.26</v>
      </c>
      <c r="H382" s="114">
        <v>9.98</v>
      </c>
      <c r="I382" s="114">
        <v>27.16</v>
      </c>
      <c r="J382" s="108" t="s">
        <v>517</v>
      </c>
    </row>
    <row r="383" spans="1:10">
      <c r="A383" s="108">
        <v>20100729</v>
      </c>
      <c r="B383" s="206" t="s">
        <v>459</v>
      </c>
      <c r="C383" s="206" t="str">
        <f t="shared" si="15"/>
        <v>20100729RLS</v>
      </c>
      <c r="D383" s="206" t="s">
        <v>355</v>
      </c>
      <c r="E383" s="206" t="str">
        <f t="shared" si="16"/>
        <v>20100729LGUM_279</v>
      </c>
      <c r="F383" s="114">
        <v>37.4</v>
      </c>
      <c r="G383" s="114">
        <v>0.26</v>
      </c>
      <c r="H383" s="114">
        <v>9.98</v>
      </c>
      <c r="I383" s="114">
        <v>27.16</v>
      </c>
      <c r="J383" s="108" t="s">
        <v>517</v>
      </c>
    </row>
    <row r="384" spans="1:10">
      <c r="A384" s="108">
        <v>20100729</v>
      </c>
      <c r="B384" s="206" t="s">
        <v>459</v>
      </c>
      <c r="C384" s="206" t="str">
        <f t="shared" si="15"/>
        <v>20100729RLS</v>
      </c>
      <c r="D384" s="206" t="s">
        <v>518</v>
      </c>
      <c r="E384" s="206" t="str">
        <f t="shared" si="16"/>
        <v>20100729LGUM_080</v>
      </c>
      <c r="F384" s="114">
        <v>18.37</v>
      </c>
      <c r="G384" s="114">
        <v>0.13</v>
      </c>
      <c r="H384" s="114">
        <v>0.69</v>
      </c>
      <c r="I384" s="114">
        <v>17.55</v>
      </c>
      <c r="J384" s="108" t="s">
        <v>519</v>
      </c>
    </row>
    <row r="385" spans="1:10">
      <c r="A385" s="108">
        <v>20100729</v>
      </c>
      <c r="B385" s="206" t="s">
        <v>459</v>
      </c>
      <c r="C385" s="206" t="str">
        <f t="shared" si="15"/>
        <v>20100729RLS</v>
      </c>
      <c r="D385" s="206" t="s">
        <v>208</v>
      </c>
      <c r="E385" s="206" t="str">
        <f t="shared" si="16"/>
        <v>20100729LGUM_180</v>
      </c>
      <c r="F385" s="114">
        <v>18.37</v>
      </c>
      <c r="G385" s="114">
        <v>0.13</v>
      </c>
      <c r="H385" s="114">
        <v>0.69</v>
      </c>
      <c r="I385" s="114">
        <v>17.55</v>
      </c>
      <c r="J385" s="108" t="s">
        <v>519</v>
      </c>
    </row>
    <row r="386" spans="1:10">
      <c r="A386" s="108">
        <v>20100729</v>
      </c>
      <c r="B386" s="206" t="s">
        <v>459</v>
      </c>
      <c r="C386" s="206" t="str">
        <f t="shared" si="15"/>
        <v>20100729RLS</v>
      </c>
      <c r="D386" s="206" t="s">
        <v>359</v>
      </c>
      <c r="E386" s="206" t="str">
        <f t="shared" si="16"/>
        <v>20100729LGUM_280</v>
      </c>
      <c r="F386" s="114">
        <v>18.37</v>
      </c>
      <c r="G386" s="114">
        <v>0.13</v>
      </c>
      <c r="H386" s="114">
        <v>0.69</v>
      </c>
      <c r="I386" s="114">
        <v>17.55</v>
      </c>
      <c r="J386" s="108" t="s">
        <v>519</v>
      </c>
    </row>
    <row r="387" spans="1:10">
      <c r="A387" s="108">
        <v>20100729</v>
      </c>
      <c r="B387" s="206" t="s">
        <v>459</v>
      </c>
      <c r="C387" s="206" t="str">
        <f t="shared" si="15"/>
        <v>20100729RLS</v>
      </c>
      <c r="D387" s="206" t="s">
        <v>338</v>
      </c>
      <c r="E387" s="206" t="str">
        <f t="shared" si="16"/>
        <v>20100729LGUM_081</v>
      </c>
      <c r="F387" s="114">
        <v>19.36</v>
      </c>
      <c r="G387" s="114">
        <v>0.14000000000000001</v>
      </c>
      <c r="H387" s="114">
        <v>0.99</v>
      </c>
      <c r="I387" s="114">
        <v>18.23</v>
      </c>
      <c r="J387" s="108" t="s">
        <v>520</v>
      </c>
    </row>
    <row r="388" spans="1:10">
      <c r="A388" s="108">
        <v>20100729</v>
      </c>
      <c r="B388" s="206" t="s">
        <v>459</v>
      </c>
      <c r="C388" s="206" t="str">
        <f t="shared" si="15"/>
        <v>20100729RLS</v>
      </c>
      <c r="D388" s="206" t="s">
        <v>209</v>
      </c>
      <c r="E388" s="206" t="str">
        <f t="shared" si="16"/>
        <v>20100729LGUM_181</v>
      </c>
      <c r="F388" s="114">
        <v>19.36</v>
      </c>
      <c r="G388" s="114">
        <v>0.14000000000000001</v>
      </c>
      <c r="H388" s="114">
        <v>0.99</v>
      </c>
      <c r="I388" s="114">
        <v>18.23</v>
      </c>
      <c r="J388" s="108" t="s">
        <v>520</v>
      </c>
    </row>
    <row r="389" spans="1:10">
      <c r="A389" s="108">
        <v>20100729</v>
      </c>
      <c r="B389" s="206" t="s">
        <v>459</v>
      </c>
      <c r="C389" s="206" t="str">
        <f t="shared" si="15"/>
        <v>20100729RLS</v>
      </c>
      <c r="D389" s="206" t="s">
        <v>356</v>
      </c>
      <c r="E389" s="206" t="str">
        <f t="shared" si="16"/>
        <v>20100729LGUM_281</v>
      </c>
      <c r="F389" s="114">
        <v>19.36</v>
      </c>
      <c r="G389" s="114">
        <v>0.14000000000000001</v>
      </c>
      <c r="H389" s="114">
        <v>0.99</v>
      </c>
      <c r="I389" s="114">
        <v>18.23</v>
      </c>
      <c r="J389" s="108" t="s">
        <v>520</v>
      </c>
    </row>
    <row r="390" spans="1:10">
      <c r="A390" s="108">
        <v>20100729</v>
      </c>
      <c r="B390" s="206" t="s">
        <v>459</v>
      </c>
      <c r="C390" s="206" t="str">
        <f t="shared" si="15"/>
        <v>20100729RLS</v>
      </c>
      <c r="D390" s="206" t="s">
        <v>168</v>
      </c>
      <c r="E390" s="206" t="str">
        <f t="shared" si="16"/>
        <v>20100729LGUM_082</v>
      </c>
      <c r="F390" s="114">
        <v>18.55</v>
      </c>
      <c r="G390" s="114">
        <v>0.13</v>
      </c>
      <c r="H390" s="114">
        <v>0.69</v>
      </c>
      <c r="I390" s="114">
        <v>17.73</v>
      </c>
      <c r="J390" s="108" t="s">
        <v>521</v>
      </c>
    </row>
    <row r="391" spans="1:10">
      <c r="A391" s="108">
        <v>20100729</v>
      </c>
      <c r="B391" s="206" t="s">
        <v>459</v>
      </c>
      <c r="C391" s="206" t="str">
        <f t="shared" si="15"/>
        <v>20100729RLS</v>
      </c>
      <c r="D391" s="206" t="s">
        <v>210</v>
      </c>
      <c r="E391" s="206" t="str">
        <f t="shared" si="16"/>
        <v>20100729LGUM_182</v>
      </c>
      <c r="F391" s="114">
        <v>18.55</v>
      </c>
      <c r="G391" s="114">
        <v>0.13</v>
      </c>
      <c r="H391" s="114">
        <v>0.69</v>
      </c>
      <c r="I391" s="114">
        <v>17.73</v>
      </c>
      <c r="J391" s="108" t="s">
        <v>521</v>
      </c>
    </row>
    <row r="392" spans="1:10">
      <c r="A392" s="108">
        <v>20100729</v>
      </c>
      <c r="B392" s="206" t="s">
        <v>459</v>
      </c>
      <c r="C392" s="206" t="str">
        <f t="shared" si="15"/>
        <v>20100729RLS</v>
      </c>
      <c r="D392" s="206" t="s">
        <v>357</v>
      </c>
      <c r="E392" s="206" t="str">
        <f t="shared" si="16"/>
        <v>20100729LGUM_282</v>
      </c>
      <c r="F392" s="114">
        <v>18.55</v>
      </c>
      <c r="G392" s="114">
        <v>0.13</v>
      </c>
      <c r="H392" s="114">
        <v>0.69</v>
      </c>
      <c r="I392" s="114">
        <v>17.73</v>
      </c>
      <c r="J392" s="108" t="s">
        <v>521</v>
      </c>
    </row>
    <row r="393" spans="1:10">
      <c r="A393" s="108">
        <v>20100729</v>
      </c>
      <c r="B393" s="206" t="s">
        <v>459</v>
      </c>
      <c r="C393" s="206" t="str">
        <f t="shared" si="15"/>
        <v>20100729RLS</v>
      </c>
      <c r="D393" s="206" t="s">
        <v>522</v>
      </c>
      <c r="E393" s="206" t="str">
        <f t="shared" si="16"/>
        <v>20100729LGUM_083</v>
      </c>
      <c r="F393" s="114">
        <v>19.559999999999999</v>
      </c>
      <c r="G393" s="114">
        <v>0.14000000000000001</v>
      </c>
      <c r="H393" s="114">
        <v>0.99</v>
      </c>
      <c r="I393" s="114">
        <v>18.43</v>
      </c>
      <c r="J393" s="108" t="s">
        <v>523</v>
      </c>
    </row>
    <row r="394" spans="1:10">
      <c r="A394" s="108">
        <v>20100729</v>
      </c>
      <c r="B394" s="206" t="s">
        <v>459</v>
      </c>
      <c r="C394" s="206" t="str">
        <f t="shared" si="15"/>
        <v>20100729RLS</v>
      </c>
      <c r="D394" s="206" t="s">
        <v>211</v>
      </c>
      <c r="E394" s="206" t="str">
        <f t="shared" si="16"/>
        <v>20100729LGUM_183</v>
      </c>
      <c r="F394" s="114">
        <v>19.559999999999999</v>
      </c>
      <c r="G394" s="114">
        <v>0.14000000000000001</v>
      </c>
      <c r="H394" s="114">
        <v>0.99</v>
      </c>
      <c r="I394" s="114">
        <v>18.43</v>
      </c>
      <c r="J394" s="108" t="s">
        <v>523</v>
      </c>
    </row>
    <row r="395" spans="1:10">
      <c r="A395" s="108">
        <v>20100729</v>
      </c>
      <c r="B395" s="206" t="s">
        <v>459</v>
      </c>
      <c r="C395" s="206" t="str">
        <f t="shared" si="15"/>
        <v>20100729RLS</v>
      </c>
      <c r="D395" s="206" t="s">
        <v>358</v>
      </c>
      <c r="E395" s="206" t="str">
        <f t="shared" si="16"/>
        <v>20100729LGUM_283</v>
      </c>
      <c r="F395" s="114">
        <v>19.559999999999999</v>
      </c>
      <c r="G395" s="114">
        <v>0.14000000000000001</v>
      </c>
      <c r="H395" s="114">
        <v>0.99</v>
      </c>
      <c r="I395" s="114">
        <v>18.43</v>
      </c>
      <c r="J395" s="108" t="s">
        <v>523</v>
      </c>
    </row>
    <row r="396" spans="1:10">
      <c r="A396" s="108">
        <v>20100729</v>
      </c>
      <c r="B396" s="206" t="s">
        <v>459</v>
      </c>
      <c r="C396" s="206" t="str">
        <f t="shared" si="15"/>
        <v>20100729RLS</v>
      </c>
      <c r="D396" s="206" t="s">
        <v>237</v>
      </c>
      <c r="E396" s="206" t="str">
        <f t="shared" si="16"/>
        <v>20100729LGUM_301</v>
      </c>
      <c r="F396" s="114">
        <v>7.17</v>
      </c>
      <c r="G396" s="114">
        <v>0.14000000000000001</v>
      </c>
      <c r="H396" s="114">
        <v>0.86</v>
      </c>
      <c r="I396" s="114">
        <v>6.17</v>
      </c>
      <c r="J396" s="108" t="s">
        <v>460</v>
      </c>
    </row>
    <row r="397" spans="1:10">
      <c r="A397" s="108">
        <v>20100729</v>
      </c>
      <c r="B397" s="206" t="s">
        <v>459</v>
      </c>
      <c r="C397" s="206" t="str">
        <f t="shared" si="15"/>
        <v>20100729RLS</v>
      </c>
      <c r="D397" s="206" t="s">
        <v>238</v>
      </c>
      <c r="E397" s="206" t="str">
        <f t="shared" si="16"/>
        <v>20100729LGUM_302</v>
      </c>
      <c r="F397" s="114">
        <v>8.25</v>
      </c>
      <c r="G397" s="114">
        <v>0.1</v>
      </c>
      <c r="H397" s="114">
        <v>1.44</v>
      </c>
      <c r="I397" s="114">
        <v>6.7100000000000009</v>
      </c>
      <c r="J397" s="108" t="s">
        <v>461</v>
      </c>
    </row>
    <row r="398" spans="1:10">
      <c r="A398" s="108">
        <v>20100729</v>
      </c>
      <c r="B398" s="206" t="s">
        <v>459</v>
      </c>
      <c r="C398" s="206" t="str">
        <f t="shared" si="15"/>
        <v>20100729RLS</v>
      </c>
      <c r="D398" s="206" t="s">
        <v>239</v>
      </c>
      <c r="E398" s="206" t="str">
        <f t="shared" si="16"/>
        <v>20100729LGUM_303</v>
      </c>
      <c r="F398" s="114">
        <v>9.57</v>
      </c>
      <c r="G398" s="114">
        <v>0.13</v>
      </c>
      <c r="H398" s="114">
        <v>2.04</v>
      </c>
      <c r="I398" s="114">
        <v>7.3999999999999995</v>
      </c>
      <c r="J398" s="108" t="s">
        <v>462</v>
      </c>
    </row>
    <row r="399" spans="1:10">
      <c r="A399" s="108">
        <v>20100729</v>
      </c>
      <c r="B399" s="206" t="s">
        <v>459</v>
      </c>
      <c r="C399" s="206" t="str">
        <f t="shared" si="15"/>
        <v>20100729RLS</v>
      </c>
      <c r="D399" s="206" t="s">
        <v>240</v>
      </c>
      <c r="E399" s="206" t="str">
        <f t="shared" si="16"/>
        <v>20100729LGUM_304</v>
      </c>
      <c r="F399" s="114">
        <v>11.64</v>
      </c>
      <c r="G399" s="114">
        <v>0.15</v>
      </c>
      <c r="H399" s="114">
        <v>3.18</v>
      </c>
      <c r="I399" s="114">
        <v>8.31</v>
      </c>
      <c r="J399" s="108" t="s">
        <v>463</v>
      </c>
    </row>
    <row r="400" spans="1:10">
      <c r="A400" s="108">
        <v>20100729</v>
      </c>
      <c r="B400" s="206" t="s">
        <v>459</v>
      </c>
      <c r="C400" s="206" t="str">
        <f t="shared" si="15"/>
        <v>20100729RLS</v>
      </c>
      <c r="D400" s="206" t="s">
        <v>241</v>
      </c>
      <c r="E400" s="206" t="str">
        <f t="shared" si="16"/>
        <v>20100729LGUM_305</v>
      </c>
      <c r="F400" s="114">
        <v>9.58</v>
      </c>
      <c r="G400" s="114">
        <v>0.14000000000000001</v>
      </c>
      <c r="H400" s="114">
        <v>0.99</v>
      </c>
      <c r="I400" s="114">
        <v>8.4499999999999993</v>
      </c>
      <c r="J400" s="108" t="s">
        <v>464</v>
      </c>
    </row>
    <row r="401" spans="1:10">
      <c r="A401" s="108">
        <v>20100729</v>
      </c>
      <c r="B401" s="206" t="s">
        <v>459</v>
      </c>
      <c r="C401" s="206" t="str">
        <f t="shared" si="15"/>
        <v>20100729RLS</v>
      </c>
      <c r="D401" s="206" t="s">
        <v>242</v>
      </c>
      <c r="E401" s="206" t="str">
        <f t="shared" si="16"/>
        <v>20100729LGUM_306</v>
      </c>
      <c r="F401" s="114">
        <v>11.17</v>
      </c>
      <c r="G401" s="114">
        <v>0.14000000000000001</v>
      </c>
      <c r="H401" s="114">
        <v>0.86</v>
      </c>
      <c r="I401" s="114">
        <v>10.17</v>
      </c>
      <c r="J401" s="108" t="s">
        <v>524</v>
      </c>
    </row>
    <row r="402" spans="1:10">
      <c r="A402" s="108">
        <v>20100729</v>
      </c>
      <c r="B402" s="206" t="s">
        <v>459</v>
      </c>
      <c r="C402" s="206" t="str">
        <f t="shared" si="15"/>
        <v>20100729RLS</v>
      </c>
      <c r="D402" s="206" t="s">
        <v>243</v>
      </c>
      <c r="E402" s="206" t="str">
        <f t="shared" si="16"/>
        <v>20100729LGUM_307</v>
      </c>
      <c r="F402" s="114">
        <v>16.149999999999999</v>
      </c>
      <c r="G402" s="114">
        <v>0.15</v>
      </c>
      <c r="H402" s="114">
        <v>3.18</v>
      </c>
      <c r="I402" s="114">
        <v>12.819999999999999</v>
      </c>
      <c r="J402" s="108" t="s">
        <v>525</v>
      </c>
    </row>
    <row r="403" spans="1:10">
      <c r="A403" s="108">
        <v>20100729</v>
      </c>
      <c r="B403" s="206" t="s">
        <v>459</v>
      </c>
      <c r="C403" s="206" t="str">
        <f t="shared" si="15"/>
        <v>20100729RLS</v>
      </c>
      <c r="D403" s="206" t="s">
        <v>244</v>
      </c>
      <c r="E403" s="206" t="str">
        <f t="shared" si="16"/>
        <v>20100729LGUM_308</v>
      </c>
      <c r="F403" s="114">
        <v>12.15</v>
      </c>
      <c r="G403" s="114">
        <v>0.1</v>
      </c>
      <c r="H403" s="114">
        <v>1.44</v>
      </c>
      <c r="I403" s="114">
        <v>10.610000000000001</v>
      </c>
      <c r="J403" s="108" t="s">
        <v>642</v>
      </c>
    </row>
    <row r="404" spans="1:10">
      <c r="A404" s="108">
        <v>20100729</v>
      </c>
      <c r="B404" s="206" t="s">
        <v>459</v>
      </c>
      <c r="C404" s="206" t="str">
        <f t="shared" si="15"/>
        <v>20100729RLS</v>
      </c>
      <c r="D404" s="206" t="s">
        <v>245</v>
      </c>
      <c r="E404" s="206" t="str">
        <f t="shared" si="16"/>
        <v>20100729LGUM_309</v>
      </c>
      <c r="F404" s="114">
        <v>22.12</v>
      </c>
      <c r="G404" s="114">
        <v>0.26</v>
      </c>
      <c r="H404" s="114">
        <v>7.58</v>
      </c>
      <c r="I404" s="114">
        <v>14.28</v>
      </c>
      <c r="J404" s="108" t="s">
        <v>470</v>
      </c>
    </row>
    <row r="405" spans="1:10">
      <c r="A405" s="108">
        <v>20100729</v>
      </c>
      <c r="B405" s="206" t="s">
        <v>459</v>
      </c>
      <c r="C405" s="206" t="str">
        <f t="shared" si="15"/>
        <v>20100729RLS</v>
      </c>
      <c r="D405" s="206" t="s">
        <v>246</v>
      </c>
      <c r="E405" s="206" t="str">
        <f t="shared" si="16"/>
        <v>20100729LGUM_310</v>
      </c>
      <c r="F405" s="114">
        <v>22.12</v>
      </c>
      <c r="G405" s="114">
        <v>0.26</v>
      </c>
      <c r="H405" s="114">
        <v>7.58</v>
      </c>
      <c r="I405" s="114">
        <v>14.28</v>
      </c>
      <c r="J405" s="108" t="s">
        <v>471</v>
      </c>
    </row>
    <row r="406" spans="1:10">
      <c r="A406" s="108">
        <v>20100729</v>
      </c>
      <c r="B406" s="206" t="s">
        <v>459</v>
      </c>
      <c r="C406" s="206" t="str">
        <f t="shared" si="15"/>
        <v>20100729RLS</v>
      </c>
      <c r="D406" s="206" t="s">
        <v>247</v>
      </c>
      <c r="E406" s="206" t="str">
        <f t="shared" si="16"/>
        <v>20100729LGUM_311</v>
      </c>
      <c r="F406" s="114">
        <v>13.64</v>
      </c>
      <c r="G406" s="114">
        <v>0.13</v>
      </c>
      <c r="H406" s="114">
        <v>2.14</v>
      </c>
      <c r="I406" s="114">
        <v>11.37</v>
      </c>
      <c r="J406" s="108" t="s">
        <v>472</v>
      </c>
    </row>
    <row r="407" spans="1:10">
      <c r="A407" s="108">
        <v>20100729</v>
      </c>
      <c r="B407" s="206" t="s">
        <v>459</v>
      </c>
      <c r="C407" s="206" t="str">
        <f t="shared" si="15"/>
        <v>20100729RLS</v>
      </c>
      <c r="D407" s="206" t="s">
        <v>248</v>
      </c>
      <c r="E407" s="206" t="str">
        <f t="shared" si="16"/>
        <v>20100729LGUM_312</v>
      </c>
      <c r="F407" s="114">
        <v>14.66</v>
      </c>
      <c r="G407" s="114">
        <v>0.15</v>
      </c>
      <c r="H407" s="114">
        <v>3.4</v>
      </c>
      <c r="I407" s="114">
        <v>11.11</v>
      </c>
      <c r="J407" s="108" t="s">
        <v>473</v>
      </c>
    </row>
    <row r="408" spans="1:10">
      <c r="A408" s="108">
        <v>20100729</v>
      </c>
      <c r="B408" s="206" t="s">
        <v>459</v>
      </c>
      <c r="C408" s="206" t="str">
        <f t="shared" si="15"/>
        <v>20100729RLS</v>
      </c>
      <c r="D408" s="206" t="s">
        <v>249</v>
      </c>
      <c r="E408" s="206" t="str">
        <f t="shared" si="16"/>
        <v>20100729LGUM_313</v>
      </c>
      <c r="F408" s="114">
        <v>14.66</v>
      </c>
      <c r="G408" s="114">
        <v>0.15</v>
      </c>
      <c r="H408" s="114">
        <v>3.4</v>
      </c>
      <c r="I408" s="114">
        <v>11.11</v>
      </c>
      <c r="J408" s="108" t="s">
        <v>474</v>
      </c>
    </row>
    <row r="409" spans="1:10">
      <c r="A409" s="108">
        <v>20100729</v>
      </c>
      <c r="B409" s="206" t="s">
        <v>459</v>
      </c>
      <c r="C409" s="206" t="str">
        <f t="shared" si="15"/>
        <v>20100729RLS</v>
      </c>
      <c r="D409" s="206" t="s">
        <v>250</v>
      </c>
      <c r="E409" s="206" t="str">
        <f t="shared" si="16"/>
        <v>20100729LGUM_314</v>
      </c>
      <c r="F409" s="114">
        <v>17.54</v>
      </c>
      <c r="G409" s="114">
        <v>0.13</v>
      </c>
      <c r="H409" s="114">
        <v>2.04</v>
      </c>
      <c r="I409" s="114">
        <v>15.370000000000001</v>
      </c>
      <c r="J409" s="108" t="s">
        <v>643</v>
      </c>
    </row>
    <row r="410" spans="1:10">
      <c r="A410" s="108">
        <v>20100729</v>
      </c>
      <c r="B410" s="206" t="s">
        <v>459</v>
      </c>
      <c r="C410" s="206" t="str">
        <f t="shared" si="15"/>
        <v>20100729RLS</v>
      </c>
      <c r="D410" s="206" t="s">
        <v>251</v>
      </c>
      <c r="E410" s="206" t="str">
        <f t="shared" si="16"/>
        <v>20100729LGUM_315</v>
      </c>
      <c r="F410" s="114">
        <v>20.85</v>
      </c>
      <c r="G410" s="114">
        <v>0.15</v>
      </c>
      <c r="H410" s="114">
        <v>3.18</v>
      </c>
      <c r="I410" s="114">
        <v>17.520000000000003</v>
      </c>
      <c r="J410" s="108" t="s">
        <v>644</v>
      </c>
    </row>
    <row r="411" spans="1:10">
      <c r="A411" s="108">
        <v>20100729</v>
      </c>
      <c r="B411" s="206" t="s">
        <v>459</v>
      </c>
      <c r="C411" s="206" t="str">
        <f t="shared" si="15"/>
        <v>20100729RLS</v>
      </c>
      <c r="D411" s="206" t="s">
        <v>252</v>
      </c>
      <c r="E411" s="206" t="str">
        <f t="shared" si="16"/>
        <v>20100729LGUM_316</v>
      </c>
      <c r="F411" s="114">
        <v>24.98</v>
      </c>
      <c r="G411" s="114">
        <v>0.13</v>
      </c>
      <c r="H411" s="114">
        <v>2.14</v>
      </c>
      <c r="I411" s="114">
        <v>22.71</v>
      </c>
      <c r="J411" s="108" t="s">
        <v>476</v>
      </c>
    </row>
    <row r="412" spans="1:10">
      <c r="A412" s="108">
        <v>20100729</v>
      </c>
      <c r="B412" s="206" t="s">
        <v>459</v>
      </c>
      <c r="C412" s="206" t="str">
        <f t="shared" si="15"/>
        <v>20100729RLS</v>
      </c>
      <c r="D412" s="206" t="s">
        <v>253</v>
      </c>
      <c r="E412" s="206" t="str">
        <f t="shared" si="16"/>
        <v>20100729LGUM_317</v>
      </c>
      <c r="F412" s="114">
        <v>27.18</v>
      </c>
      <c r="G412" s="114">
        <v>0.15</v>
      </c>
      <c r="H412" s="114">
        <v>3.4</v>
      </c>
      <c r="I412" s="114">
        <v>23.630000000000003</v>
      </c>
      <c r="J412" s="108" t="s">
        <v>478</v>
      </c>
    </row>
    <row r="413" spans="1:10">
      <c r="A413" s="108">
        <v>20100729</v>
      </c>
      <c r="B413" s="206" t="s">
        <v>459</v>
      </c>
      <c r="C413" s="206" t="str">
        <f t="shared" si="15"/>
        <v>20100729RLS</v>
      </c>
      <c r="D413" s="206" t="s">
        <v>254</v>
      </c>
      <c r="E413" s="206" t="str">
        <f t="shared" si="16"/>
        <v>20100729LGUM_318</v>
      </c>
      <c r="F413" s="114">
        <v>16.18</v>
      </c>
      <c r="G413" s="114">
        <v>0.1</v>
      </c>
      <c r="H413" s="114">
        <v>1.44</v>
      </c>
      <c r="I413" s="114">
        <v>14.639999999999999</v>
      </c>
      <c r="J413" s="108" t="s">
        <v>645</v>
      </c>
    </row>
    <row r="414" spans="1:10">
      <c r="A414" s="108">
        <v>20100729</v>
      </c>
      <c r="B414" s="206" t="s">
        <v>459</v>
      </c>
      <c r="C414" s="206" t="str">
        <f t="shared" si="15"/>
        <v>20100729RLS</v>
      </c>
      <c r="D414" s="206" t="s">
        <v>532</v>
      </c>
      <c r="E414" s="206" t="str">
        <f t="shared" si="16"/>
        <v>20100729LGUM_319</v>
      </c>
      <c r="F414" s="114">
        <v>20.95</v>
      </c>
      <c r="G414" s="114">
        <v>0.15</v>
      </c>
      <c r="H414" s="114">
        <v>3.18</v>
      </c>
      <c r="I414" s="114">
        <v>17.62</v>
      </c>
      <c r="J414" s="108" t="s">
        <v>646</v>
      </c>
    </row>
    <row r="415" spans="1:10">
      <c r="A415" s="108">
        <v>20100729</v>
      </c>
      <c r="B415" s="206" t="s">
        <v>459</v>
      </c>
      <c r="C415" s="206" t="str">
        <f t="shared" si="15"/>
        <v>20100729RLS</v>
      </c>
      <c r="D415" s="206" t="s">
        <v>534</v>
      </c>
      <c r="E415" s="206" t="str">
        <f t="shared" si="16"/>
        <v>20100729LGUM_320</v>
      </c>
      <c r="F415" s="114">
        <v>24.98</v>
      </c>
      <c r="G415" s="114">
        <v>0.13</v>
      </c>
      <c r="H415" s="114">
        <v>2.14</v>
      </c>
      <c r="I415" s="114">
        <v>22.71</v>
      </c>
      <c r="J415" s="108" t="s">
        <v>647</v>
      </c>
    </row>
    <row r="416" spans="1:10">
      <c r="A416" s="108">
        <v>20100729</v>
      </c>
      <c r="B416" s="206" t="s">
        <v>459</v>
      </c>
      <c r="C416" s="206" t="str">
        <f t="shared" si="15"/>
        <v>20100729RLS</v>
      </c>
      <c r="D416" s="206" t="s">
        <v>255</v>
      </c>
      <c r="E416" s="206" t="str">
        <f t="shared" si="16"/>
        <v>20100729LGUM_321</v>
      </c>
      <c r="F416" s="114">
        <v>27.18</v>
      </c>
      <c r="G416" s="114">
        <v>0.15</v>
      </c>
      <c r="H416" s="114">
        <v>3.4</v>
      </c>
      <c r="I416" s="114">
        <v>23.630000000000003</v>
      </c>
      <c r="J416" s="108" t="s">
        <v>648</v>
      </c>
    </row>
    <row r="417" spans="1:10">
      <c r="A417" s="108">
        <v>20100729</v>
      </c>
      <c r="B417" s="206" t="s">
        <v>459</v>
      </c>
      <c r="C417" s="206" t="str">
        <f t="shared" si="15"/>
        <v>20100729RLS</v>
      </c>
      <c r="D417" s="206" t="s">
        <v>256</v>
      </c>
      <c r="E417" s="206" t="str">
        <f t="shared" si="16"/>
        <v>20100729LGUM_322</v>
      </c>
      <c r="F417" s="114">
        <v>11.4</v>
      </c>
      <c r="G417" s="114">
        <v>0.13</v>
      </c>
      <c r="H417" s="114">
        <v>1.44</v>
      </c>
      <c r="I417" s="114">
        <v>9.83</v>
      </c>
      <c r="J417" s="108" t="s">
        <v>479</v>
      </c>
    </row>
    <row r="418" spans="1:10">
      <c r="A418" s="108">
        <v>20100729</v>
      </c>
      <c r="B418" s="206" t="s">
        <v>459</v>
      </c>
      <c r="C418" s="206" t="str">
        <f t="shared" si="15"/>
        <v>20100729RLS</v>
      </c>
      <c r="D418" s="206" t="s">
        <v>257</v>
      </c>
      <c r="E418" s="206" t="str">
        <f t="shared" si="16"/>
        <v>20100729LGUM_323</v>
      </c>
      <c r="F418" s="114">
        <v>13.73</v>
      </c>
      <c r="G418" s="114">
        <v>0.13</v>
      </c>
      <c r="H418" s="114">
        <v>1.44</v>
      </c>
      <c r="I418" s="114">
        <v>12.16</v>
      </c>
      <c r="J418" s="108" t="s">
        <v>480</v>
      </c>
    </row>
    <row r="419" spans="1:10">
      <c r="A419" s="108">
        <v>20100729</v>
      </c>
      <c r="B419" s="206" t="s">
        <v>459</v>
      </c>
      <c r="C419" s="206" t="str">
        <f t="shared" si="15"/>
        <v>20100729RLS</v>
      </c>
      <c r="D419" s="206" t="s">
        <v>258</v>
      </c>
      <c r="E419" s="206" t="str">
        <f t="shared" si="16"/>
        <v>20100729LGUM_324</v>
      </c>
      <c r="F419" s="114">
        <v>13.87</v>
      </c>
      <c r="G419" s="114">
        <v>0.14000000000000001</v>
      </c>
      <c r="H419" s="114">
        <v>0.99</v>
      </c>
      <c r="I419" s="114">
        <v>12.739999999999998</v>
      </c>
      <c r="J419" s="108" t="s">
        <v>537</v>
      </c>
    </row>
    <row r="420" spans="1:10">
      <c r="A420" s="108">
        <v>20100729</v>
      </c>
      <c r="B420" s="206" t="s">
        <v>459</v>
      </c>
      <c r="C420" s="206" t="str">
        <f t="shared" ref="C420:C485" si="17">A420&amp;B420</f>
        <v>20100729RLS</v>
      </c>
      <c r="D420" s="206" t="s">
        <v>259</v>
      </c>
      <c r="E420" s="206" t="str">
        <f t="shared" ref="E420:E485" si="18">A420&amp;D420</f>
        <v>20100729LGUM_325</v>
      </c>
      <c r="F420" s="114">
        <v>23.39</v>
      </c>
      <c r="G420" s="114">
        <v>0.13</v>
      </c>
      <c r="H420" s="114">
        <v>1.44</v>
      </c>
      <c r="I420" s="114">
        <v>21.82</v>
      </c>
      <c r="J420" s="526" t="s">
        <v>690</v>
      </c>
    </row>
    <row r="421" spans="1:10">
      <c r="A421" s="108">
        <v>20100729</v>
      </c>
      <c r="B421" s="206" t="s">
        <v>459</v>
      </c>
      <c r="C421" s="206" t="str">
        <f t="shared" si="17"/>
        <v>20100729RLS</v>
      </c>
      <c r="D421" s="206" t="s">
        <v>538</v>
      </c>
      <c r="E421" s="206" t="str">
        <f t="shared" si="18"/>
        <v>20100729LGUM_345</v>
      </c>
      <c r="F421" s="114">
        <v>16.11</v>
      </c>
      <c r="G421" s="114">
        <v>0.15</v>
      </c>
      <c r="H421" s="114">
        <v>3.18</v>
      </c>
      <c r="I421" s="114">
        <v>12.78</v>
      </c>
      <c r="J421" s="108" t="s">
        <v>649</v>
      </c>
    </row>
    <row r="422" spans="1:10">
      <c r="A422" s="108">
        <v>20100729</v>
      </c>
      <c r="B422" s="206" t="s">
        <v>459</v>
      </c>
      <c r="C422" s="206" t="str">
        <f t="shared" si="17"/>
        <v>20100729RLS</v>
      </c>
      <c r="D422" s="206" t="s">
        <v>540</v>
      </c>
      <c r="E422" s="206" t="str">
        <f t="shared" si="18"/>
        <v>20100729LGUM_346</v>
      </c>
      <c r="F422" s="114">
        <v>22.05</v>
      </c>
      <c r="G422" s="114">
        <v>0.13</v>
      </c>
      <c r="H422" s="114">
        <v>2.14</v>
      </c>
      <c r="I422" s="114">
        <v>19.78</v>
      </c>
      <c r="J422" s="108" t="s">
        <v>650</v>
      </c>
    </row>
    <row r="423" spans="1:10">
      <c r="A423" s="108">
        <v>20100729</v>
      </c>
      <c r="B423" s="206" t="s">
        <v>459</v>
      </c>
      <c r="C423" s="206" t="str">
        <f t="shared" si="17"/>
        <v>20100729RLS</v>
      </c>
      <c r="D423" s="206" t="s">
        <v>542</v>
      </c>
      <c r="E423" s="206" t="str">
        <f t="shared" si="18"/>
        <v>20100729LGUM_347</v>
      </c>
      <c r="F423" s="114">
        <v>20.95</v>
      </c>
      <c r="G423" s="114">
        <v>0.15</v>
      </c>
      <c r="H423" s="114">
        <v>3.18</v>
      </c>
      <c r="I423" s="114">
        <v>17.62</v>
      </c>
      <c r="J423" s="108" t="s">
        <v>543</v>
      </c>
    </row>
    <row r="424" spans="1:10">
      <c r="A424" s="108">
        <v>20100729</v>
      </c>
      <c r="B424" s="206" t="s">
        <v>459</v>
      </c>
      <c r="C424" s="206" t="str">
        <f t="shared" si="17"/>
        <v>20100729RLS</v>
      </c>
      <c r="D424" s="206" t="s">
        <v>260</v>
      </c>
      <c r="E424" s="206" t="str">
        <f t="shared" si="18"/>
        <v>20100729LGUM_348</v>
      </c>
      <c r="F424" s="114">
        <v>11.89</v>
      </c>
      <c r="G424" s="114">
        <v>0.42</v>
      </c>
      <c r="H424" s="114">
        <v>2.39</v>
      </c>
      <c r="I424" s="114">
        <v>9.08</v>
      </c>
      <c r="J424" s="108" t="s">
        <v>544</v>
      </c>
    </row>
    <row r="425" spans="1:10">
      <c r="A425" s="108">
        <v>20100729</v>
      </c>
      <c r="B425" s="206" t="s">
        <v>459</v>
      </c>
      <c r="C425" s="206" t="str">
        <f t="shared" si="17"/>
        <v>20100729RLS</v>
      </c>
      <c r="D425" s="206" t="s">
        <v>262</v>
      </c>
      <c r="E425" s="206" t="str">
        <f t="shared" si="18"/>
        <v>20100729LGUM_349</v>
      </c>
      <c r="F425" s="114">
        <v>8.35</v>
      </c>
      <c r="G425" s="114">
        <v>0.14000000000000001</v>
      </c>
      <c r="H425" s="114">
        <v>0.86</v>
      </c>
      <c r="I425" s="114">
        <v>7.3499999999999988</v>
      </c>
      <c r="J425" s="108" t="s">
        <v>545</v>
      </c>
    </row>
    <row r="426" spans="1:10">
      <c r="A426" s="108">
        <v>20100729</v>
      </c>
      <c r="B426" s="206" t="s">
        <v>459</v>
      </c>
      <c r="C426" s="206" t="str">
        <f t="shared" si="17"/>
        <v>20100729RLS</v>
      </c>
      <c r="D426" s="206" t="s">
        <v>264</v>
      </c>
      <c r="E426" s="206" t="str">
        <f t="shared" si="18"/>
        <v>20100729LGUM_352</v>
      </c>
      <c r="F426" s="114">
        <v>10.039999999999999</v>
      </c>
      <c r="G426" s="114">
        <v>0.1</v>
      </c>
      <c r="H426" s="114">
        <v>1.44</v>
      </c>
      <c r="I426" s="114">
        <v>8.5</v>
      </c>
      <c r="J426" s="108" t="s">
        <v>491</v>
      </c>
    </row>
    <row r="427" spans="1:10">
      <c r="A427" s="108">
        <v>20100729</v>
      </c>
      <c r="B427" s="206" t="s">
        <v>459</v>
      </c>
      <c r="C427" s="206" t="str">
        <f t="shared" si="17"/>
        <v>20100729RLS</v>
      </c>
      <c r="D427" s="206" t="s">
        <v>265</v>
      </c>
      <c r="E427" s="206" t="str">
        <f t="shared" si="18"/>
        <v>20100729LGUM_353</v>
      </c>
      <c r="F427" s="114">
        <v>11.46</v>
      </c>
      <c r="G427" s="114">
        <v>0.13</v>
      </c>
      <c r="H427" s="114">
        <v>2.04</v>
      </c>
      <c r="I427" s="114">
        <v>9.2899999999999991</v>
      </c>
      <c r="J427" s="108" t="s">
        <v>492</v>
      </c>
    </row>
    <row r="428" spans="1:10">
      <c r="A428" s="108">
        <v>20100729</v>
      </c>
      <c r="B428" s="206" t="s">
        <v>459</v>
      </c>
      <c r="C428" s="206" t="str">
        <f t="shared" si="17"/>
        <v>20100729RLS</v>
      </c>
      <c r="D428" s="206" t="s">
        <v>266</v>
      </c>
      <c r="E428" s="206" t="str">
        <f t="shared" si="18"/>
        <v>20100729LGUM_354</v>
      </c>
      <c r="F428" s="114">
        <v>13.95</v>
      </c>
      <c r="G428" s="114">
        <v>0.15</v>
      </c>
      <c r="H428" s="114">
        <v>3.18</v>
      </c>
      <c r="I428" s="114">
        <v>10.62</v>
      </c>
      <c r="J428" s="108" t="s">
        <v>493</v>
      </c>
    </row>
    <row r="429" spans="1:10">
      <c r="A429" s="108">
        <v>20100729</v>
      </c>
      <c r="B429" s="206" t="s">
        <v>459</v>
      </c>
      <c r="C429" s="206" t="str">
        <f t="shared" si="17"/>
        <v>20100729RLS</v>
      </c>
      <c r="D429" s="206" t="s">
        <v>267</v>
      </c>
      <c r="E429" s="206" t="str">
        <f t="shared" si="18"/>
        <v>20100729LGUM_355</v>
      </c>
      <c r="F429" s="114">
        <v>9.58</v>
      </c>
      <c r="G429" s="114">
        <v>0.14000000000000001</v>
      </c>
      <c r="H429" s="114">
        <v>0.99</v>
      </c>
      <c r="I429" s="114">
        <v>8.4499999999999993</v>
      </c>
      <c r="J429" s="108" t="s">
        <v>494</v>
      </c>
    </row>
    <row r="430" spans="1:10">
      <c r="A430" s="108">
        <v>20100729</v>
      </c>
      <c r="B430" s="206" t="s">
        <v>459</v>
      </c>
      <c r="C430" s="206" t="str">
        <f t="shared" si="17"/>
        <v>20100729RLS</v>
      </c>
      <c r="D430" s="206" t="s">
        <v>546</v>
      </c>
      <c r="E430" s="206" t="str">
        <f t="shared" si="18"/>
        <v>20100729LGUM_356</v>
      </c>
      <c r="F430" s="114">
        <v>13.86</v>
      </c>
      <c r="G430" s="114">
        <v>0.14000000000000001</v>
      </c>
      <c r="H430" s="114">
        <v>0.86</v>
      </c>
      <c r="I430" s="114">
        <v>12.86</v>
      </c>
      <c r="J430" s="108" t="s">
        <v>547</v>
      </c>
    </row>
    <row r="431" spans="1:10">
      <c r="A431" s="108">
        <v>20100729</v>
      </c>
      <c r="B431" s="206" t="s">
        <v>459</v>
      </c>
      <c r="C431" s="206" t="str">
        <f t="shared" si="17"/>
        <v>20100729RLS</v>
      </c>
      <c r="D431" s="206" t="s">
        <v>268</v>
      </c>
      <c r="E431" s="206" t="str">
        <f t="shared" si="18"/>
        <v>20100729LGUM_357</v>
      </c>
      <c r="F431" s="114">
        <v>13.95</v>
      </c>
      <c r="G431" s="114">
        <v>0.15</v>
      </c>
      <c r="H431" s="114">
        <v>3.18</v>
      </c>
      <c r="I431" s="114">
        <v>10.62</v>
      </c>
      <c r="J431" s="108" t="s">
        <v>499</v>
      </c>
    </row>
    <row r="432" spans="1:10">
      <c r="A432" s="108">
        <v>20100729</v>
      </c>
      <c r="B432" s="206" t="s">
        <v>459</v>
      </c>
      <c r="C432" s="206" t="str">
        <f t="shared" si="17"/>
        <v>20100729RLS</v>
      </c>
      <c r="D432" s="206" t="s">
        <v>269</v>
      </c>
      <c r="E432" s="206" t="str">
        <f t="shared" si="18"/>
        <v>20100729LGUM_358</v>
      </c>
      <c r="F432" s="114">
        <v>14.68</v>
      </c>
      <c r="G432" s="114">
        <v>0.1</v>
      </c>
      <c r="H432" s="114">
        <v>1.44</v>
      </c>
      <c r="I432" s="114">
        <v>13.14</v>
      </c>
      <c r="J432" s="108" t="s">
        <v>500</v>
      </c>
    </row>
    <row r="433" spans="1:10">
      <c r="A433" s="108">
        <v>20100729</v>
      </c>
      <c r="B433" s="206" t="s">
        <v>459</v>
      </c>
      <c r="C433" s="206" t="str">
        <f t="shared" si="17"/>
        <v>20100729RLS</v>
      </c>
      <c r="D433" s="206" t="s">
        <v>270</v>
      </c>
      <c r="E433" s="206" t="str">
        <f t="shared" si="18"/>
        <v>20100729LGUM_360</v>
      </c>
      <c r="F433" s="114">
        <v>25.83</v>
      </c>
      <c r="G433" s="114">
        <v>0.26</v>
      </c>
      <c r="H433" s="114">
        <v>7.58</v>
      </c>
      <c r="I433" s="114">
        <v>17.989999999999995</v>
      </c>
      <c r="J433" s="108" t="s">
        <v>503</v>
      </c>
    </row>
    <row r="434" spans="1:10">
      <c r="A434" s="108">
        <v>20100729</v>
      </c>
      <c r="B434" s="206" t="s">
        <v>459</v>
      </c>
      <c r="C434" s="206" t="str">
        <f t="shared" si="17"/>
        <v>20100729RLS</v>
      </c>
      <c r="D434" s="206" t="s">
        <v>271</v>
      </c>
      <c r="E434" s="206" t="str">
        <f t="shared" si="18"/>
        <v>20100729LGUM_361</v>
      </c>
      <c r="F434" s="114">
        <v>13.64</v>
      </c>
      <c r="G434" s="114">
        <v>0.13</v>
      </c>
      <c r="H434" s="114">
        <v>2.14</v>
      </c>
      <c r="I434" s="114">
        <v>11.37</v>
      </c>
      <c r="J434" s="108" t="s">
        <v>504</v>
      </c>
    </row>
    <row r="435" spans="1:10">
      <c r="A435" s="108">
        <v>20100729</v>
      </c>
      <c r="B435" s="206" t="s">
        <v>459</v>
      </c>
      <c r="C435" s="206" t="str">
        <f t="shared" si="17"/>
        <v>20100729RLS</v>
      </c>
      <c r="D435" s="206" t="s">
        <v>272</v>
      </c>
      <c r="E435" s="206" t="str">
        <f t="shared" si="18"/>
        <v>20100729LGUM_362</v>
      </c>
      <c r="F435" s="114">
        <v>14.66</v>
      </c>
      <c r="G435" s="114">
        <v>0.15</v>
      </c>
      <c r="H435" s="114">
        <v>3.4</v>
      </c>
      <c r="I435" s="114">
        <v>11.11</v>
      </c>
      <c r="J435" s="108" t="s">
        <v>505</v>
      </c>
    </row>
    <row r="436" spans="1:10">
      <c r="A436" s="108">
        <v>20100729</v>
      </c>
      <c r="B436" s="206" t="s">
        <v>459</v>
      </c>
      <c r="C436" s="206" t="str">
        <f t="shared" si="17"/>
        <v>20100729RLS</v>
      </c>
      <c r="D436" s="206" t="s">
        <v>273</v>
      </c>
      <c r="E436" s="206" t="str">
        <f t="shared" si="18"/>
        <v>20100729LGUM_363</v>
      </c>
      <c r="F436" s="114">
        <v>14.66</v>
      </c>
      <c r="G436" s="114">
        <v>0.15</v>
      </c>
      <c r="H436" s="114">
        <v>3.4</v>
      </c>
      <c r="I436" s="114">
        <v>11.11</v>
      </c>
      <c r="J436" s="108" t="s">
        <v>506</v>
      </c>
    </row>
    <row r="437" spans="1:10">
      <c r="A437" s="108">
        <v>20100729</v>
      </c>
      <c r="B437" s="206" t="s">
        <v>459</v>
      </c>
      <c r="C437" s="206" t="str">
        <f t="shared" si="17"/>
        <v>20100729RLS</v>
      </c>
      <c r="D437" s="206" t="s">
        <v>274</v>
      </c>
      <c r="E437" s="206" t="str">
        <f t="shared" si="18"/>
        <v>20100729LGUM_364</v>
      </c>
      <c r="F437" s="114">
        <v>24.05</v>
      </c>
      <c r="G437" s="114">
        <v>0.13</v>
      </c>
      <c r="H437" s="114">
        <v>2.04</v>
      </c>
      <c r="I437" s="114">
        <v>21.880000000000003</v>
      </c>
      <c r="J437" s="108" t="s">
        <v>651</v>
      </c>
    </row>
    <row r="438" spans="1:10">
      <c r="A438" s="108">
        <v>20100729</v>
      </c>
      <c r="B438" s="206" t="s">
        <v>459</v>
      </c>
      <c r="C438" s="206" t="str">
        <f t="shared" si="17"/>
        <v>20100729RLS</v>
      </c>
      <c r="D438" s="206" t="s">
        <v>275</v>
      </c>
      <c r="E438" s="206" t="str">
        <f t="shared" si="18"/>
        <v>20100729LGUM_365</v>
      </c>
      <c r="F438" s="114">
        <v>27.09</v>
      </c>
      <c r="G438" s="114">
        <v>0.15</v>
      </c>
      <c r="H438" s="114">
        <v>3.18</v>
      </c>
      <c r="I438" s="114">
        <v>23.76</v>
      </c>
      <c r="J438" s="108" t="s">
        <v>652</v>
      </c>
    </row>
    <row r="439" spans="1:10">
      <c r="A439" s="108">
        <v>20100729</v>
      </c>
      <c r="B439" s="206" t="s">
        <v>459</v>
      </c>
      <c r="C439" s="206" t="str">
        <f t="shared" si="17"/>
        <v>20100729RLS</v>
      </c>
      <c r="D439" s="206" t="s">
        <v>276</v>
      </c>
      <c r="E439" s="206" t="str">
        <f t="shared" si="18"/>
        <v>20100729LGUM_366</v>
      </c>
      <c r="F439" s="114">
        <v>24.98</v>
      </c>
      <c r="G439" s="114">
        <v>0.13</v>
      </c>
      <c r="H439" s="114">
        <v>2.14</v>
      </c>
      <c r="I439" s="114">
        <v>22.71</v>
      </c>
      <c r="J439" s="108" t="s">
        <v>507</v>
      </c>
    </row>
    <row r="440" spans="1:10">
      <c r="A440" s="108">
        <v>20100729</v>
      </c>
      <c r="B440" s="206" t="s">
        <v>459</v>
      </c>
      <c r="C440" s="206" t="str">
        <f t="shared" si="17"/>
        <v>20100729RLS</v>
      </c>
      <c r="D440" s="206" t="s">
        <v>277</v>
      </c>
      <c r="E440" s="206" t="str">
        <f t="shared" si="18"/>
        <v>20100729LGUM_367</v>
      </c>
      <c r="F440" s="114">
        <v>27.18</v>
      </c>
      <c r="G440" s="114">
        <v>0.15</v>
      </c>
      <c r="H440" s="114">
        <v>3.4</v>
      </c>
      <c r="I440" s="114">
        <v>23.630000000000003</v>
      </c>
      <c r="J440" s="108" t="s">
        <v>653</v>
      </c>
    </row>
    <row r="441" spans="1:10">
      <c r="A441" s="108">
        <v>20100729</v>
      </c>
      <c r="B441" s="206" t="s">
        <v>459</v>
      </c>
      <c r="C441" s="206" t="str">
        <f t="shared" si="17"/>
        <v>20100729RLS</v>
      </c>
      <c r="D441" s="206" t="s">
        <v>553</v>
      </c>
      <c r="E441" s="206" t="str">
        <f t="shared" si="18"/>
        <v>20100729LGUM_368</v>
      </c>
      <c r="F441" s="114">
        <v>23.12</v>
      </c>
      <c r="G441" s="114">
        <v>0.1</v>
      </c>
      <c r="H441" s="114">
        <v>1.44</v>
      </c>
      <c r="I441" s="114">
        <v>21.58</v>
      </c>
      <c r="J441" s="108" t="s">
        <v>645</v>
      </c>
    </row>
    <row r="442" spans="1:10">
      <c r="A442" s="108">
        <v>20100729</v>
      </c>
      <c r="B442" s="206" t="s">
        <v>459</v>
      </c>
      <c r="C442" s="206" t="str">
        <f t="shared" si="17"/>
        <v>20100729RLS</v>
      </c>
      <c r="D442" s="206" t="s">
        <v>554</v>
      </c>
      <c r="E442" s="206" t="str">
        <f t="shared" si="18"/>
        <v>20100729LGUM_369</v>
      </c>
      <c r="F442" s="114">
        <v>27.09</v>
      </c>
      <c r="G442" s="114">
        <v>0.15</v>
      </c>
      <c r="H442" s="114">
        <v>3.18</v>
      </c>
      <c r="I442" s="114">
        <v>23.76</v>
      </c>
      <c r="J442" s="108" t="s">
        <v>654</v>
      </c>
    </row>
    <row r="443" spans="1:10">
      <c r="A443" s="108">
        <v>20100729</v>
      </c>
      <c r="B443" s="206" t="s">
        <v>459</v>
      </c>
      <c r="C443" s="206" t="str">
        <f t="shared" si="17"/>
        <v>20100729RLS</v>
      </c>
      <c r="D443" s="206" t="s">
        <v>278</v>
      </c>
      <c r="E443" s="206" t="str">
        <f t="shared" si="18"/>
        <v>20100729LGUM_370</v>
      </c>
      <c r="F443" s="114">
        <v>24.98</v>
      </c>
      <c r="G443" s="114">
        <v>0.13</v>
      </c>
      <c r="H443" s="114">
        <v>2.14</v>
      </c>
      <c r="I443" s="114">
        <v>22.71</v>
      </c>
      <c r="J443" s="108" t="s">
        <v>655</v>
      </c>
    </row>
    <row r="444" spans="1:10">
      <c r="A444" s="108">
        <v>20100729</v>
      </c>
      <c r="B444" s="206" t="s">
        <v>459</v>
      </c>
      <c r="C444" s="206" t="str">
        <f t="shared" si="17"/>
        <v>20100729RLS</v>
      </c>
      <c r="D444" s="206" t="s">
        <v>279</v>
      </c>
      <c r="E444" s="206" t="str">
        <f t="shared" si="18"/>
        <v>20100729LGUM_371</v>
      </c>
      <c r="F444" s="114">
        <v>27.18</v>
      </c>
      <c r="G444" s="114">
        <v>0.15</v>
      </c>
      <c r="H444" s="114">
        <v>3.4</v>
      </c>
      <c r="I444" s="114">
        <v>23.630000000000003</v>
      </c>
      <c r="J444" s="108" t="s">
        <v>656</v>
      </c>
    </row>
    <row r="445" spans="1:10">
      <c r="A445" s="108">
        <v>20100729</v>
      </c>
      <c r="B445" s="206" t="s">
        <v>459</v>
      </c>
      <c r="C445" s="206" t="str">
        <f t="shared" si="17"/>
        <v>20100729RLS</v>
      </c>
      <c r="D445" s="206" t="s">
        <v>280</v>
      </c>
      <c r="E445" s="206" t="str">
        <f t="shared" si="18"/>
        <v>20100729LGUM_372</v>
      </c>
      <c r="F445" s="114">
        <v>11.4</v>
      </c>
      <c r="G445" s="114">
        <v>0.13</v>
      </c>
      <c r="H445" s="114">
        <v>1.44</v>
      </c>
      <c r="I445" s="114">
        <v>9.83</v>
      </c>
      <c r="J445" s="108" t="s">
        <v>509</v>
      </c>
    </row>
    <row r="446" spans="1:10">
      <c r="A446" s="108">
        <v>20100729</v>
      </c>
      <c r="B446" s="206" t="s">
        <v>459</v>
      </c>
      <c r="C446" s="206" t="str">
        <f t="shared" si="17"/>
        <v>20100729RLS</v>
      </c>
      <c r="D446" s="206" t="s">
        <v>281</v>
      </c>
      <c r="E446" s="206" t="str">
        <f t="shared" si="18"/>
        <v>20100729LGUM_373</v>
      </c>
      <c r="F446" s="114">
        <v>11.4</v>
      </c>
      <c r="G446" s="114">
        <v>0.13</v>
      </c>
      <c r="H446" s="114">
        <v>1.44</v>
      </c>
      <c r="I446" s="114">
        <v>9.83</v>
      </c>
      <c r="J446" s="108" t="s">
        <v>510</v>
      </c>
    </row>
    <row r="447" spans="1:10">
      <c r="A447" s="108">
        <v>20100729</v>
      </c>
      <c r="B447" s="206" t="s">
        <v>459</v>
      </c>
      <c r="C447" s="206" t="str">
        <f t="shared" si="17"/>
        <v>20100729RLS</v>
      </c>
      <c r="D447" s="206" t="s">
        <v>282</v>
      </c>
      <c r="E447" s="206" t="str">
        <f t="shared" si="18"/>
        <v>20100729LGUM_374</v>
      </c>
      <c r="F447" s="114">
        <v>13.87</v>
      </c>
      <c r="G447" s="114">
        <v>0.14000000000000001</v>
      </c>
      <c r="H447" s="114">
        <v>0.99</v>
      </c>
      <c r="I447" s="114">
        <v>12.739999999999998</v>
      </c>
      <c r="J447" s="108" t="s">
        <v>558</v>
      </c>
    </row>
    <row r="448" spans="1:10">
      <c r="A448" s="108">
        <v>20100729</v>
      </c>
      <c r="B448" s="206" t="s">
        <v>459</v>
      </c>
      <c r="C448" s="206" t="str">
        <f t="shared" si="17"/>
        <v>20100729RLS</v>
      </c>
      <c r="D448" s="206" t="s">
        <v>283</v>
      </c>
      <c r="E448" s="206" t="str">
        <f t="shared" si="18"/>
        <v>20100729LGUM_375</v>
      </c>
      <c r="F448" s="114">
        <v>23.39</v>
      </c>
      <c r="G448" s="114">
        <v>0.13</v>
      </c>
      <c r="H448" s="114">
        <v>1.44</v>
      </c>
      <c r="I448" s="114">
        <v>21.82</v>
      </c>
      <c r="J448" s="526" t="s">
        <v>691</v>
      </c>
    </row>
    <row r="449" spans="1:10">
      <c r="A449" s="108">
        <v>20100729</v>
      </c>
      <c r="B449" s="206" t="s">
        <v>459</v>
      </c>
      <c r="C449" s="206" t="str">
        <f t="shared" si="17"/>
        <v>20100729RLS</v>
      </c>
      <c r="D449" s="206" t="s">
        <v>284</v>
      </c>
      <c r="E449" s="206" t="str">
        <f t="shared" si="18"/>
        <v>20100729LGUM_376</v>
      </c>
      <c r="F449" s="114">
        <v>13.3</v>
      </c>
      <c r="G449" s="114">
        <v>0.13</v>
      </c>
      <c r="H449" s="114">
        <v>0.69</v>
      </c>
      <c r="I449" s="114">
        <v>12.48</v>
      </c>
      <c r="J449" s="108" t="s">
        <v>512</v>
      </c>
    </row>
    <row r="450" spans="1:10">
      <c r="A450" s="108">
        <v>20100729</v>
      </c>
      <c r="B450" s="206" t="s">
        <v>459</v>
      </c>
      <c r="C450" s="206" t="str">
        <f t="shared" si="17"/>
        <v>20100729RLS</v>
      </c>
      <c r="D450" s="206" t="s">
        <v>285</v>
      </c>
      <c r="E450" s="206" t="str">
        <f t="shared" si="18"/>
        <v>20100729LGUM_377</v>
      </c>
      <c r="F450" s="114">
        <v>20.14</v>
      </c>
      <c r="G450" s="114">
        <v>0.13</v>
      </c>
      <c r="H450" s="114">
        <v>1.44</v>
      </c>
      <c r="I450" s="114">
        <v>18.57</v>
      </c>
      <c r="J450" s="108" t="s">
        <v>658</v>
      </c>
    </row>
    <row r="451" spans="1:10">
      <c r="A451" s="108">
        <v>20100729</v>
      </c>
      <c r="B451" s="206" t="s">
        <v>459</v>
      </c>
      <c r="C451" s="206" t="str">
        <f t="shared" si="17"/>
        <v>20100729RLS</v>
      </c>
      <c r="D451" s="206" t="s">
        <v>286</v>
      </c>
      <c r="E451" s="206" t="str">
        <f t="shared" si="18"/>
        <v>20100729LGUM_378</v>
      </c>
      <c r="F451" s="114">
        <v>62.75</v>
      </c>
      <c r="G451" s="114">
        <v>0.26</v>
      </c>
      <c r="H451" s="114">
        <v>9.98</v>
      </c>
      <c r="I451" s="114">
        <v>52.510000000000005</v>
      </c>
      <c r="J451" s="108" t="s">
        <v>515</v>
      </c>
    </row>
    <row r="452" spans="1:10">
      <c r="A452" s="108">
        <v>20100729</v>
      </c>
      <c r="B452" s="206" t="s">
        <v>459</v>
      </c>
      <c r="C452" s="206" t="str">
        <f t="shared" si="17"/>
        <v>20100729RLS</v>
      </c>
      <c r="D452" s="206" t="s">
        <v>287</v>
      </c>
      <c r="E452" s="206" t="str">
        <f t="shared" si="18"/>
        <v>20100729LGUM_379</v>
      </c>
      <c r="F452" s="114">
        <v>32.97</v>
      </c>
      <c r="G452" s="114">
        <v>0.26</v>
      </c>
      <c r="H452" s="114">
        <v>9.98</v>
      </c>
      <c r="I452" s="114">
        <v>22.73</v>
      </c>
      <c r="J452" s="108" t="s">
        <v>517</v>
      </c>
    </row>
    <row r="453" spans="1:10">
      <c r="A453" s="108">
        <v>20100729</v>
      </c>
      <c r="B453" s="206" t="s">
        <v>459</v>
      </c>
      <c r="C453" s="206" t="str">
        <f t="shared" si="17"/>
        <v>20100729RLS</v>
      </c>
      <c r="D453" s="206" t="s">
        <v>288</v>
      </c>
      <c r="E453" s="206" t="str">
        <f t="shared" si="18"/>
        <v>20100729LGUM_380</v>
      </c>
      <c r="F453" s="114">
        <v>17.920000000000002</v>
      </c>
      <c r="G453" s="114">
        <v>0.13</v>
      </c>
      <c r="H453" s="114">
        <v>0.69</v>
      </c>
      <c r="I453" s="114">
        <v>17.100000000000001</v>
      </c>
      <c r="J453" s="108" t="s">
        <v>519</v>
      </c>
    </row>
    <row r="454" spans="1:10">
      <c r="A454" s="108">
        <v>20100729</v>
      </c>
      <c r="B454" s="206" t="s">
        <v>459</v>
      </c>
      <c r="C454" s="206" t="str">
        <f t="shared" si="17"/>
        <v>20100729RLS</v>
      </c>
      <c r="D454" s="206" t="s">
        <v>289</v>
      </c>
      <c r="E454" s="206" t="str">
        <f t="shared" si="18"/>
        <v>20100729LGUM_381</v>
      </c>
      <c r="F454" s="114">
        <v>18.79</v>
      </c>
      <c r="G454" s="114">
        <v>0.14000000000000001</v>
      </c>
      <c r="H454" s="114">
        <v>0.99</v>
      </c>
      <c r="I454" s="114">
        <v>17.66</v>
      </c>
      <c r="J454" s="108" t="s">
        <v>564</v>
      </c>
    </row>
    <row r="455" spans="1:10">
      <c r="A455" s="108">
        <v>20100729</v>
      </c>
      <c r="B455" s="206" t="s">
        <v>459</v>
      </c>
      <c r="C455" s="206" t="str">
        <f t="shared" si="17"/>
        <v>20100729RLS</v>
      </c>
      <c r="D455" s="206" t="s">
        <v>290</v>
      </c>
      <c r="E455" s="206" t="str">
        <f t="shared" si="18"/>
        <v>20100729LGUM_382</v>
      </c>
      <c r="F455" s="114">
        <v>18.13</v>
      </c>
      <c r="G455" s="114">
        <v>0.13</v>
      </c>
      <c r="H455" s="114">
        <v>0.69</v>
      </c>
      <c r="I455" s="114">
        <v>17.309999999999999</v>
      </c>
      <c r="J455" s="108" t="s">
        <v>521</v>
      </c>
    </row>
    <row r="456" spans="1:10">
      <c r="A456" s="108">
        <v>20100729</v>
      </c>
      <c r="B456" s="206" t="s">
        <v>459</v>
      </c>
      <c r="C456" s="206" t="str">
        <f t="shared" si="17"/>
        <v>20100729RLS</v>
      </c>
      <c r="D456" s="206" t="s">
        <v>291</v>
      </c>
      <c r="E456" s="206" t="str">
        <f t="shared" si="18"/>
        <v>20100729LGUM_383</v>
      </c>
      <c r="F456" s="114">
        <v>19.39</v>
      </c>
      <c r="G456" s="114">
        <v>0.14000000000000001</v>
      </c>
      <c r="H456" s="114">
        <v>0.99</v>
      </c>
      <c r="I456" s="114">
        <v>18.260000000000002</v>
      </c>
      <c r="J456" s="108" t="s">
        <v>566</v>
      </c>
    </row>
    <row r="457" spans="1:10">
      <c r="A457" s="108">
        <v>20100729</v>
      </c>
      <c r="B457" s="206" t="s">
        <v>684</v>
      </c>
      <c r="C457" s="206" t="str">
        <f t="shared" si="17"/>
        <v>20100729DSK</v>
      </c>
      <c r="D457" s="210" t="s">
        <v>340</v>
      </c>
      <c r="E457" s="206" t="str">
        <f t="shared" si="18"/>
        <v>20100729LGUM_400</v>
      </c>
      <c r="F457" s="114">
        <v>22.52</v>
      </c>
      <c r="G457" s="114">
        <v>0.17</v>
      </c>
      <c r="H457" s="114">
        <v>0.86</v>
      </c>
      <c r="I457" s="114">
        <v>17.64</v>
      </c>
      <c r="J457" s="108" t="s">
        <v>685</v>
      </c>
    </row>
    <row r="458" spans="1:10">
      <c r="A458" s="108">
        <v>20100729</v>
      </c>
      <c r="B458" s="206" t="s">
        <v>684</v>
      </c>
      <c r="C458" s="206" t="str">
        <f t="shared" si="17"/>
        <v>20100729DSK</v>
      </c>
      <c r="D458" s="210" t="s">
        <v>692</v>
      </c>
      <c r="E458" s="206" t="str">
        <f t="shared" si="18"/>
        <v>20100729LGUM_401</v>
      </c>
      <c r="F458" s="114">
        <v>23.43</v>
      </c>
      <c r="G458" s="114">
        <v>0.18</v>
      </c>
      <c r="H458" s="114">
        <v>0.99</v>
      </c>
      <c r="I458" s="114">
        <v>17.64</v>
      </c>
      <c r="J458" s="526" t="s">
        <v>693</v>
      </c>
    </row>
    <row r="459" spans="1:10">
      <c r="A459" s="108">
        <v>20100729</v>
      </c>
      <c r="B459" s="206" t="s">
        <v>567</v>
      </c>
      <c r="C459" s="206" t="str">
        <f t="shared" si="17"/>
        <v>20100729LS</v>
      </c>
      <c r="D459" s="206" t="s">
        <v>292</v>
      </c>
      <c r="E459" s="206" t="str">
        <f t="shared" si="18"/>
        <v>20100729LGUM_412</v>
      </c>
      <c r="F459" s="114">
        <v>18.59</v>
      </c>
      <c r="G459" s="114">
        <v>0.2</v>
      </c>
      <c r="H459" s="114">
        <v>0.75</v>
      </c>
      <c r="I459" s="114">
        <v>17.64</v>
      </c>
      <c r="J459" s="108" t="s">
        <v>568</v>
      </c>
    </row>
    <row r="460" spans="1:10">
      <c r="A460" s="108">
        <v>20100729</v>
      </c>
      <c r="B460" s="206" t="s">
        <v>567</v>
      </c>
      <c r="C460" s="206" t="str">
        <f t="shared" si="17"/>
        <v>20100729LS</v>
      </c>
      <c r="D460" s="206" t="s">
        <v>293</v>
      </c>
      <c r="E460" s="206" t="str">
        <f t="shared" si="18"/>
        <v>20100729LGUM_413</v>
      </c>
      <c r="F460" s="114">
        <v>19.16</v>
      </c>
      <c r="G460" s="114">
        <v>0.18</v>
      </c>
      <c r="H460" s="114">
        <v>0.99</v>
      </c>
      <c r="I460" s="114">
        <v>17.990000000000002</v>
      </c>
      <c r="J460" s="108" t="s">
        <v>569</v>
      </c>
    </row>
    <row r="461" spans="1:10">
      <c r="A461" s="108">
        <v>20100729</v>
      </c>
      <c r="B461" s="206" t="s">
        <v>567</v>
      </c>
      <c r="C461" s="206" t="str">
        <f t="shared" si="17"/>
        <v>20100729LS</v>
      </c>
      <c r="D461" s="206" t="s">
        <v>294</v>
      </c>
      <c r="E461" s="206" t="str">
        <f t="shared" si="18"/>
        <v>20100729LGUM_414</v>
      </c>
      <c r="F461" s="114">
        <v>20.239999999999998</v>
      </c>
      <c r="G461" s="114">
        <v>0.15</v>
      </c>
      <c r="H461" s="114">
        <v>1.38</v>
      </c>
      <c r="I461" s="114">
        <v>18.71</v>
      </c>
      <c r="J461" s="108" t="s">
        <v>570</v>
      </c>
    </row>
    <row r="462" spans="1:10">
      <c r="A462" s="108">
        <v>20100729</v>
      </c>
      <c r="B462" s="206" t="s">
        <v>567</v>
      </c>
      <c r="C462" s="206" t="str">
        <f t="shared" si="17"/>
        <v>20100729LS</v>
      </c>
      <c r="D462" s="206" t="s">
        <v>295</v>
      </c>
      <c r="E462" s="206" t="str">
        <f t="shared" si="18"/>
        <v>20100729LGUM_415</v>
      </c>
      <c r="F462" s="114">
        <v>18.96</v>
      </c>
      <c r="G462" s="114">
        <v>0.2</v>
      </c>
      <c r="H462" s="114">
        <v>0.75</v>
      </c>
      <c r="I462" s="114">
        <v>18.010000000000002</v>
      </c>
      <c r="J462" s="108" t="s">
        <v>571</v>
      </c>
    </row>
    <row r="463" spans="1:10">
      <c r="A463" s="108">
        <v>20100729</v>
      </c>
      <c r="B463" s="206" t="s">
        <v>567</v>
      </c>
      <c r="C463" s="206" t="str">
        <f t="shared" si="17"/>
        <v>20100729LS</v>
      </c>
      <c r="D463" s="206" t="s">
        <v>296</v>
      </c>
      <c r="E463" s="206" t="str">
        <f t="shared" si="18"/>
        <v>20100729LGUM_416</v>
      </c>
      <c r="F463" s="114">
        <v>21.16</v>
      </c>
      <c r="G463" s="114">
        <v>0.18</v>
      </c>
      <c r="H463" s="114">
        <v>0.99</v>
      </c>
      <c r="I463" s="114">
        <v>19.990000000000002</v>
      </c>
      <c r="J463" s="108" t="s">
        <v>572</v>
      </c>
    </row>
    <row r="464" spans="1:10">
      <c r="A464" s="108">
        <v>20100729</v>
      </c>
      <c r="B464" s="206" t="s">
        <v>567</v>
      </c>
      <c r="C464" s="206" t="str">
        <f t="shared" si="17"/>
        <v>20100729LS</v>
      </c>
      <c r="D464" s="206" t="s">
        <v>297</v>
      </c>
      <c r="E464" s="206" t="str">
        <f t="shared" si="18"/>
        <v>20100729LGUM_417</v>
      </c>
      <c r="F464" s="114">
        <v>22.24</v>
      </c>
      <c r="G464" s="114">
        <v>0.18</v>
      </c>
      <c r="H464" s="114">
        <v>0.99</v>
      </c>
      <c r="I464" s="114">
        <v>21.07</v>
      </c>
      <c r="J464" s="108" t="s">
        <v>573</v>
      </c>
    </row>
    <row r="465" spans="1:10">
      <c r="A465" s="108">
        <v>20100729</v>
      </c>
      <c r="B465" s="206" t="s">
        <v>567</v>
      </c>
      <c r="C465" s="206" t="str">
        <f t="shared" si="17"/>
        <v>20100729LS</v>
      </c>
      <c r="D465" s="206" t="s">
        <v>298</v>
      </c>
      <c r="E465" s="206" t="str">
        <f t="shared" si="18"/>
        <v>20100729LGUM_418</v>
      </c>
      <c r="F465" s="114">
        <v>22.15</v>
      </c>
      <c r="G465" s="114">
        <v>0.15</v>
      </c>
      <c r="H465" s="114">
        <v>1.38</v>
      </c>
      <c r="I465" s="114">
        <v>20.62</v>
      </c>
      <c r="J465" s="108" t="s">
        <v>574</v>
      </c>
    </row>
    <row r="466" spans="1:10">
      <c r="A466" s="108">
        <v>20100729</v>
      </c>
      <c r="B466" s="206" t="s">
        <v>567</v>
      </c>
      <c r="C466" s="206" t="str">
        <f t="shared" si="17"/>
        <v>20100729LS</v>
      </c>
      <c r="D466" s="206" t="s">
        <v>299</v>
      </c>
      <c r="E466" s="206" t="str">
        <f t="shared" si="18"/>
        <v>20100729LGUM_419</v>
      </c>
      <c r="F466" s="114">
        <v>23.16</v>
      </c>
      <c r="G466" s="114">
        <v>0.15</v>
      </c>
      <c r="H466" s="114">
        <v>1.38</v>
      </c>
      <c r="I466" s="114">
        <v>21.630000000000003</v>
      </c>
      <c r="J466" s="108" t="s">
        <v>575</v>
      </c>
    </row>
    <row r="467" spans="1:10">
      <c r="A467" s="108">
        <v>20100729</v>
      </c>
      <c r="B467" s="206" t="s">
        <v>567</v>
      </c>
      <c r="C467" s="206" t="str">
        <f t="shared" si="17"/>
        <v>20100729LS</v>
      </c>
      <c r="D467" s="206" t="s">
        <v>300</v>
      </c>
      <c r="E467" s="206" t="str">
        <f t="shared" si="18"/>
        <v>20100729LGUM_420</v>
      </c>
      <c r="F467" s="114">
        <v>28.23</v>
      </c>
      <c r="G467" s="114">
        <v>0.15</v>
      </c>
      <c r="H467" s="114">
        <v>1.38</v>
      </c>
      <c r="I467" s="114">
        <v>26.700000000000003</v>
      </c>
      <c r="J467" s="108" t="s">
        <v>576</v>
      </c>
    </row>
    <row r="468" spans="1:10">
      <c r="A468" s="108">
        <v>20100729</v>
      </c>
      <c r="B468" s="206" t="s">
        <v>567</v>
      </c>
      <c r="C468" s="206" t="str">
        <f t="shared" si="17"/>
        <v>20100729LS</v>
      </c>
      <c r="D468" s="206" t="s">
        <v>301</v>
      </c>
      <c r="E468" s="206" t="str">
        <f t="shared" si="18"/>
        <v>20100729LGUM_421</v>
      </c>
      <c r="F468" s="114">
        <v>31.39</v>
      </c>
      <c r="G468" s="114">
        <v>0.72</v>
      </c>
      <c r="H468" s="114">
        <v>2.14</v>
      </c>
      <c r="I468" s="114">
        <v>28.53</v>
      </c>
      <c r="J468" s="108" t="s">
        <v>577</v>
      </c>
    </row>
    <row r="469" spans="1:10">
      <c r="A469" s="108">
        <v>20100729</v>
      </c>
      <c r="B469" s="206" t="s">
        <v>567</v>
      </c>
      <c r="C469" s="206" t="str">
        <f t="shared" si="17"/>
        <v>20100729LS</v>
      </c>
      <c r="D469" s="206" t="s">
        <v>302</v>
      </c>
      <c r="E469" s="206" t="str">
        <f t="shared" si="18"/>
        <v>20100729LGUM_422</v>
      </c>
      <c r="F469" s="114">
        <v>35.729999999999997</v>
      </c>
      <c r="G469" s="114">
        <v>0.19</v>
      </c>
      <c r="H469" s="114">
        <v>3.4</v>
      </c>
      <c r="I469" s="114">
        <v>32.14</v>
      </c>
      <c r="J469" s="108" t="s">
        <v>578</v>
      </c>
    </row>
    <row r="470" spans="1:10">
      <c r="A470" s="108">
        <v>20100729</v>
      </c>
      <c r="B470" s="206" t="s">
        <v>567</v>
      </c>
      <c r="C470" s="206" t="str">
        <f t="shared" si="17"/>
        <v>20100729LS</v>
      </c>
      <c r="D470" s="206" t="s">
        <v>303</v>
      </c>
      <c r="E470" s="206" t="str">
        <f t="shared" si="18"/>
        <v>20100729LGUM_423</v>
      </c>
      <c r="F470" s="114">
        <v>24.81</v>
      </c>
      <c r="G470" s="114">
        <v>0.15</v>
      </c>
      <c r="H470" s="114">
        <v>1.38</v>
      </c>
      <c r="I470" s="114">
        <v>23.28</v>
      </c>
      <c r="J470" s="108" t="s">
        <v>579</v>
      </c>
    </row>
    <row r="471" spans="1:10">
      <c r="A471" s="108">
        <v>20100729</v>
      </c>
      <c r="B471" s="206" t="s">
        <v>567</v>
      </c>
      <c r="C471" s="206" t="str">
        <f t="shared" si="17"/>
        <v>20100729LS</v>
      </c>
      <c r="D471" s="206" t="s">
        <v>304</v>
      </c>
      <c r="E471" s="206" t="str">
        <f t="shared" si="18"/>
        <v>20100729LGUM_424</v>
      </c>
      <c r="F471" s="114">
        <v>27.13</v>
      </c>
      <c r="G471" s="114">
        <v>0.72</v>
      </c>
      <c r="H471" s="114">
        <v>2.14</v>
      </c>
      <c r="I471" s="114">
        <v>24.27</v>
      </c>
      <c r="J471" s="108" t="s">
        <v>580</v>
      </c>
    </row>
    <row r="472" spans="1:10">
      <c r="A472" s="108">
        <v>20100729</v>
      </c>
      <c r="B472" s="206" t="s">
        <v>567</v>
      </c>
      <c r="C472" s="206" t="str">
        <f t="shared" si="17"/>
        <v>20100729LS</v>
      </c>
      <c r="D472" s="206" t="s">
        <v>305</v>
      </c>
      <c r="E472" s="206" t="str">
        <f t="shared" si="18"/>
        <v>20100729LGUM_425</v>
      </c>
      <c r="F472" s="114">
        <v>31.52</v>
      </c>
      <c r="G472" s="114">
        <v>0.19</v>
      </c>
      <c r="H472" s="114">
        <v>3.4</v>
      </c>
      <c r="I472" s="114">
        <v>27.93</v>
      </c>
      <c r="J472" s="108" t="s">
        <v>581</v>
      </c>
    </row>
    <row r="473" spans="1:10">
      <c r="A473" s="108">
        <v>20100729</v>
      </c>
      <c r="B473" s="206" t="s">
        <v>567</v>
      </c>
      <c r="C473" s="206" t="str">
        <f t="shared" si="17"/>
        <v>20100729LS</v>
      </c>
      <c r="D473" s="206" t="s">
        <v>306</v>
      </c>
      <c r="E473" s="206" t="str">
        <f t="shared" si="18"/>
        <v>20100729LGUM_426</v>
      </c>
      <c r="F473" s="114">
        <v>31.56</v>
      </c>
      <c r="G473" s="114">
        <v>0.2</v>
      </c>
      <c r="H473" s="114">
        <v>0.75</v>
      </c>
      <c r="I473" s="114">
        <v>30.61</v>
      </c>
      <c r="J473" s="108" t="s">
        <v>582</v>
      </c>
    </row>
    <row r="474" spans="1:10">
      <c r="A474" s="108">
        <v>20100729</v>
      </c>
      <c r="B474" s="206" t="s">
        <v>567</v>
      </c>
      <c r="C474" s="206" t="str">
        <f t="shared" si="17"/>
        <v>20100729LS</v>
      </c>
      <c r="D474" s="206" t="s">
        <v>307</v>
      </c>
      <c r="E474" s="206" t="str">
        <f t="shared" si="18"/>
        <v>20100729LGUM_427</v>
      </c>
      <c r="F474" s="114">
        <v>33.47</v>
      </c>
      <c r="G474" s="114">
        <v>0.2</v>
      </c>
      <c r="H474" s="114">
        <v>0.75</v>
      </c>
      <c r="I474" s="114">
        <v>32.519999999999996</v>
      </c>
      <c r="J474" s="108" t="s">
        <v>583</v>
      </c>
    </row>
    <row r="475" spans="1:10">
      <c r="A475" s="108">
        <v>20100729</v>
      </c>
      <c r="B475" s="206" t="s">
        <v>567</v>
      </c>
      <c r="C475" s="206" t="str">
        <f t="shared" si="17"/>
        <v>20100729LS</v>
      </c>
      <c r="D475" s="206" t="s">
        <v>308</v>
      </c>
      <c r="E475" s="206" t="str">
        <f t="shared" si="18"/>
        <v>20100729LGUM_428</v>
      </c>
      <c r="F475" s="114">
        <v>32.299999999999997</v>
      </c>
      <c r="G475" s="114">
        <v>0.18</v>
      </c>
      <c r="H475" s="114">
        <v>0.99</v>
      </c>
      <c r="I475" s="114">
        <v>31.13</v>
      </c>
      <c r="J475" s="108" t="s">
        <v>584</v>
      </c>
    </row>
    <row r="476" spans="1:10">
      <c r="A476" s="108">
        <v>20100729</v>
      </c>
      <c r="B476" s="206" t="s">
        <v>567</v>
      </c>
      <c r="C476" s="206" t="str">
        <f t="shared" si="17"/>
        <v>20100729LS</v>
      </c>
      <c r="D476" s="206" t="s">
        <v>309</v>
      </c>
      <c r="E476" s="206" t="str">
        <f t="shared" si="18"/>
        <v>20100729LGUM_429</v>
      </c>
      <c r="F476" s="114">
        <v>34.21</v>
      </c>
      <c r="G476" s="114">
        <v>0.18</v>
      </c>
      <c r="H476" s="114">
        <v>0.99</v>
      </c>
      <c r="I476" s="114">
        <v>33.04</v>
      </c>
      <c r="J476" s="108" t="s">
        <v>585</v>
      </c>
    </row>
    <row r="477" spans="1:10">
      <c r="A477" s="108">
        <v>20100729</v>
      </c>
      <c r="B477" s="206" t="s">
        <v>567</v>
      </c>
      <c r="C477" s="206" t="str">
        <f t="shared" si="17"/>
        <v>20100729LS</v>
      </c>
      <c r="D477" s="206" t="s">
        <v>310</v>
      </c>
      <c r="E477" s="206" t="str">
        <f t="shared" si="18"/>
        <v>20100729LGUM_430</v>
      </c>
      <c r="F477" s="114">
        <v>30.63</v>
      </c>
      <c r="G477" s="114">
        <v>0.2</v>
      </c>
      <c r="H477" s="114">
        <v>0.75</v>
      </c>
      <c r="I477" s="114">
        <v>29.68</v>
      </c>
      <c r="J477" s="108" t="s">
        <v>586</v>
      </c>
    </row>
    <row r="478" spans="1:10">
      <c r="A478" s="108">
        <v>20100729</v>
      </c>
      <c r="B478" s="206" t="s">
        <v>567</v>
      </c>
      <c r="C478" s="206" t="str">
        <f t="shared" si="17"/>
        <v>20100729LS</v>
      </c>
      <c r="D478" s="206" t="s">
        <v>311</v>
      </c>
      <c r="E478" s="206" t="str">
        <f t="shared" si="18"/>
        <v>20100729LGUM_431</v>
      </c>
      <c r="F478" s="114">
        <v>31.28</v>
      </c>
      <c r="G478" s="114">
        <v>0.2</v>
      </c>
      <c r="H478" s="114">
        <v>0.75</v>
      </c>
      <c r="I478" s="114">
        <v>30.330000000000002</v>
      </c>
      <c r="J478" s="108" t="s">
        <v>587</v>
      </c>
    </row>
    <row r="479" spans="1:10">
      <c r="A479" s="108">
        <v>20100729</v>
      </c>
      <c r="B479" s="206" t="s">
        <v>567</v>
      </c>
      <c r="C479" s="206" t="str">
        <f t="shared" si="17"/>
        <v>20100729LS</v>
      </c>
      <c r="D479" s="206" t="s">
        <v>339</v>
      </c>
      <c r="E479" s="206" t="str">
        <f t="shared" si="18"/>
        <v>20100729LGUM_432</v>
      </c>
      <c r="F479" s="114">
        <v>32.53</v>
      </c>
      <c r="G479" s="114">
        <v>0.18</v>
      </c>
      <c r="H479" s="114">
        <v>0.99</v>
      </c>
      <c r="I479" s="114">
        <v>31.360000000000003</v>
      </c>
      <c r="J479" s="108" t="s">
        <v>588</v>
      </c>
    </row>
    <row r="480" spans="1:10">
      <c r="A480" s="108">
        <v>20100729</v>
      </c>
      <c r="B480" s="206" t="s">
        <v>567</v>
      </c>
      <c r="C480" s="206" t="str">
        <f t="shared" si="17"/>
        <v>20100729LS</v>
      </c>
      <c r="D480" s="206" t="s">
        <v>312</v>
      </c>
      <c r="E480" s="206" t="str">
        <f t="shared" si="18"/>
        <v>20100729LGUM_433</v>
      </c>
      <c r="F480" s="114">
        <v>33.17</v>
      </c>
      <c r="G480" s="114">
        <v>0.18</v>
      </c>
      <c r="H480" s="114">
        <v>0.99</v>
      </c>
      <c r="I480" s="114">
        <v>32</v>
      </c>
      <c r="J480" s="108" t="s">
        <v>589</v>
      </c>
    </row>
    <row r="481" spans="1:10">
      <c r="A481" s="108">
        <v>20100729</v>
      </c>
      <c r="B481" s="206" t="s">
        <v>567</v>
      </c>
      <c r="C481" s="206" t="str">
        <f t="shared" si="17"/>
        <v>20100729LS</v>
      </c>
      <c r="D481" s="206" t="s">
        <v>313</v>
      </c>
      <c r="E481" s="206" t="str">
        <f t="shared" si="18"/>
        <v>20100729LGUM_434</v>
      </c>
      <c r="F481" s="114">
        <v>16.350000000000001</v>
      </c>
      <c r="G481" s="114">
        <v>0.17</v>
      </c>
      <c r="H481" s="114">
        <v>0.86</v>
      </c>
      <c r="I481" s="114">
        <v>15.32</v>
      </c>
      <c r="J481" s="108" t="s">
        <v>590</v>
      </c>
    </row>
    <row r="482" spans="1:10">
      <c r="A482" s="108">
        <v>20100729</v>
      </c>
      <c r="B482" s="206" t="s">
        <v>567</v>
      </c>
      <c r="C482" s="206" t="str">
        <f t="shared" si="17"/>
        <v>20100729LS</v>
      </c>
      <c r="D482" s="206" t="s">
        <v>314</v>
      </c>
      <c r="E482" s="206" t="str">
        <f t="shared" si="18"/>
        <v>20100729LGUM_435</v>
      </c>
      <c r="F482" s="114">
        <v>17.920000000000002</v>
      </c>
      <c r="G482" s="114">
        <v>0.15</v>
      </c>
      <c r="H482" s="114">
        <v>1.44</v>
      </c>
      <c r="I482" s="114">
        <v>16.330000000000002</v>
      </c>
      <c r="J482" s="108" t="s">
        <v>591</v>
      </c>
    </row>
    <row r="483" spans="1:10">
      <c r="A483" s="108">
        <v>20100729</v>
      </c>
      <c r="B483" s="206" t="s">
        <v>567</v>
      </c>
      <c r="C483" s="206" t="str">
        <f t="shared" si="17"/>
        <v>20100729LS</v>
      </c>
      <c r="D483" s="206" t="s">
        <v>592</v>
      </c>
      <c r="E483" s="206" t="str">
        <f t="shared" si="18"/>
        <v>20100729LGUM_436</v>
      </c>
      <c r="F483" s="114">
        <v>21.89</v>
      </c>
      <c r="G483" s="114">
        <v>0.15</v>
      </c>
      <c r="H483" s="114">
        <v>1.44</v>
      </c>
      <c r="I483" s="114">
        <v>20.3</v>
      </c>
      <c r="J483" s="108" t="s">
        <v>593</v>
      </c>
    </row>
    <row r="484" spans="1:10">
      <c r="A484" s="108">
        <v>20100729</v>
      </c>
      <c r="B484" s="206" t="s">
        <v>567</v>
      </c>
      <c r="C484" s="206" t="str">
        <f t="shared" si="17"/>
        <v>20100729LS</v>
      </c>
      <c r="D484" s="206" t="s">
        <v>315</v>
      </c>
      <c r="E484" s="206" t="str">
        <f t="shared" si="18"/>
        <v>20100729LGUM_437</v>
      </c>
      <c r="F484" s="114">
        <v>23.31</v>
      </c>
      <c r="G484" s="114">
        <v>0.13</v>
      </c>
      <c r="H484" s="114">
        <v>2.04</v>
      </c>
      <c r="I484" s="114">
        <v>21.14</v>
      </c>
      <c r="J484" s="108" t="s">
        <v>594</v>
      </c>
    </row>
    <row r="485" spans="1:10">
      <c r="A485" s="108">
        <v>20100729</v>
      </c>
      <c r="B485" s="206" t="s">
        <v>567</v>
      </c>
      <c r="C485" s="206" t="str">
        <f t="shared" si="17"/>
        <v>20100729LS</v>
      </c>
      <c r="D485" s="206" t="s">
        <v>316</v>
      </c>
      <c r="E485" s="206" t="str">
        <f t="shared" si="18"/>
        <v>20100729LGUM_438</v>
      </c>
      <c r="F485" s="114">
        <v>26.69</v>
      </c>
      <c r="G485" s="114">
        <v>0.17</v>
      </c>
      <c r="H485" s="114">
        <v>3.18</v>
      </c>
      <c r="I485" s="114">
        <v>23.34</v>
      </c>
      <c r="J485" s="108" t="s">
        <v>595</v>
      </c>
    </row>
    <row r="486" spans="1:10">
      <c r="A486" s="108">
        <v>20100729</v>
      </c>
      <c r="B486" s="206" t="s">
        <v>567</v>
      </c>
      <c r="C486" s="206" t="str">
        <f t="shared" ref="C486:C514" si="19">A486&amp;B486</f>
        <v>20100729LS</v>
      </c>
      <c r="D486" s="210" t="s">
        <v>687</v>
      </c>
      <c r="E486" s="206" t="str">
        <f t="shared" ref="E486:E514" si="20">A486&amp;D486</f>
        <v>20100729LGUM_439</v>
      </c>
      <c r="F486" s="114">
        <v>15.26</v>
      </c>
      <c r="G486" s="114">
        <v>0.15</v>
      </c>
      <c r="H486" s="114">
        <v>1.38</v>
      </c>
      <c r="I486" s="114">
        <v>26.700000000000003</v>
      </c>
      <c r="J486" s="526" t="s">
        <v>694</v>
      </c>
    </row>
    <row r="487" spans="1:10">
      <c r="A487" s="108">
        <v>20100729</v>
      </c>
      <c r="B487" s="206" t="s">
        <v>567</v>
      </c>
      <c r="C487" s="206" t="str">
        <f t="shared" si="19"/>
        <v>20100729LS</v>
      </c>
      <c r="D487" s="210" t="s">
        <v>688</v>
      </c>
      <c r="E487" s="206" t="str">
        <f t="shared" si="20"/>
        <v>20100729LGUM_440</v>
      </c>
      <c r="F487" s="114">
        <v>17.309999999999999</v>
      </c>
      <c r="G487" s="114">
        <v>0.72</v>
      </c>
      <c r="H487" s="114">
        <v>2.14</v>
      </c>
      <c r="I487" s="114">
        <v>28.53</v>
      </c>
      <c r="J487" s="526" t="s">
        <v>696</v>
      </c>
    </row>
    <row r="488" spans="1:10">
      <c r="A488" s="108">
        <v>20100729</v>
      </c>
      <c r="B488" s="206" t="s">
        <v>567</v>
      </c>
      <c r="C488" s="206" t="str">
        <f t="shared" si="19"/>
        <v>20100729LS</v>
      </c>
      <c r="D488" s="210" t="s">
        <v>341</v>
      </c>
      <c r="E488" s="206" t="str">
        <f t="shared" si="20"/>
        <v>20100729LGUM_441</v>
      </c>
      <c r="F488" s="114">
        <v>20.21</v>
      </c>
      <c r="G488" s="114">
        <v>0.19</v>
      </c>
      <c r="H488" s="114">
        <v>3.4</v>
      </c>
      <c r="I488" s="114">
        <v>23.34</v>
      </c>
      <c r="J488" s="526" t="s">
        <v>695</v>
      </c>
    </row>
    <row r="489" spans="1:10">
      <c r="A489" s="108">
        <v>20100729</v>
      </c>
      <c r="B489" s="206" t="s">
        <v>567</v>
      </c>
      <c r="C489" s="206" t="str">
        <f t="shared" si="19"/>
        <v>20100729LS</v>
      </c>
      <c r="D489" s="206" t="s">
        <v>317</v>
      </c>
      <c r="E489" s="206" t="str">
        <f t="shared" si="20"/>
        <v>20100729LGUM_452</v>
      </c>
      <c r="F489" s="114">
        <v>11.5</v>
      </c>
      <c r="G489" s="114">
        <v>0.15</v>
      </c>
      <c r="H489" s="114">
        <v>1.38</v>
      </c>
      <c r="I489" s="114">
        <v>9.9699999999999989</v>
      </c>
      <c r="J489" s="108" t="s">
        <v>596</v>
      </c>
    </row>
    <row r="490" spans="1:10">
      <c r="A490" s="108">
        <v>20100729</v>
      </c>
      <c r="B490" s="206" t="s">
        <v>567</v>
      </c>
      <c r="C490" s="206" t="str">
        <f t="shared" si="19"/>
        <v>20100729LS</v>
      </c>
      <c r="D490" s="206" t="s">
        <v>318</v>
      </c>
      <c r="E490" s="206" t="str">
        <f t="shared" si="20"/>
        <v>20100729LGUM_453</v>
      </c>
      <c r="F490" s="114">
        <v>13.83</v>
      </c>
      <c r="G490" s="114">
        <v>0.72</v>
      </c>
      <c r="H490" s="114">
        <v>2.14</v>
      </c>
      <c r="I490" s="114">
        <v>10.969999999999999</v>
      </c>
      <c r="J490" s="108" t="s">
        <v>597</v>
      </c>
    </row>
    <row r="491" spans="1:10">
      <c r="A491" s="108">
        <v>20100729</v>
      </c>
      <c r="B491" s="206" t="s">
        <v>567</v>
      </c>
      <c r="C491" s="206" t="str">
        <f t="shared" si="19"/>
        <v>20100729LS</v>
      </c>
      <c r="D491" s="206" t="s">
        <v>319</v>
      </c>
      <c r="E491" s="206" t="str">
        <f t="shared" si="20"/>
        <v>20100729LGUM_454</v>
      </c>
      <c r="F491" s="114">
        <v>18.22</v>
      </c>
      <c r="G491" s="114">
        <v>0.19</v>
      </c>
      <c r="H491" s="114">
        <v>3.4</v>
      </c>
      <c r="I491" s="114">
        <v>14.629999999999997</v>
      </c>
      <c r="J491" s="108" t="s">
        <v>598</v>
      </c>
    </row>
    <row r="492" spans="1:10">
      <c r="A492" s="108">
        <v>20100729</v>
      </c>
      <c r="B492" s="206" t="s">
        <v>567</v>
      </c>
      <c r="C492" s="206" t="str">
        <f t="shared" si="19"/>
        <v>20100729LS</v>
      </c>
      <c r="D492" s="206" t="s">
        <v>320</v>
      </c>
      <c r="E492" s="206" t="str">
        <f t="shared" si="20"/>
        <v>20100729LGUM_455</v>
      </c>
      <c r="F492" s="114">
        <v>13.11</v>
      </c>
      <c r="G492" s="114">
        <v>0.15</v>
      </c>
      <c r="H492" s="114">
        <v>1.38</v>
      </c>
      <c r="I492" s="114">
        <v>11.579999999999998</v>
      </c>
      <c r="J492" s="108" t="s">
        <v>599</v>
      </c>
    </row>
    <row r="493" spans="1:10">
      <c r="A493" s="108">
        <v>20100729</v>
      </c>
      <c r="B493" s="206" t="s">
        <v>567</v>
      </c>
      <c r="C493" s="206" t="str">
        <f t="shared" si="19"/>
        <v>20100729LS</v>
      </c>
      <c r="D493" s="206" t="s">
        <v>321</v>
      </c>
      <c r="E493" s="206" t="str">
        <f t="shared" si="20"/>
        <v>20100729LGUM_456</v>
      </c>
      <c r="F493" s="114">
        <v>19.190000000000001</v>
      </c>
      <c r="G493" s="114">
        <v>0.19</v>
      </c>
      <c r="H493" s="114">
        <v>3.4</v>
      </c>
      <c r="I493" s="114">
        <v>15.6</v>
      </c>
      <c r="J493" s="108" t="s">
        <v>600</v>
      </c>
    </row>
    <row r="494" spans="1:10">
      <c r="A494" s="108">
        <v>20100729</v>
      </c>
      <c r="B494" s="206" t="s">
        <v>567</v>
      </c>
      <c r="C494" s="206" t="str">
        <f t="shared" si="19"/>
        <v>20100729LS</v>
      </c>
      <c r="D494" s="206" t="s">
        <v>322</v>
      </c>
      <c r="E494" s="206" t="str">
        <f t="shared" si="20"/>
        <v>20100729LGUM_457</v>
      </c>
      <c r="F494" s="114">
        <v>10.199999999999999</v>
      </c>
      <c r="G494" s="114">
        <v>0.18</v>
      </c>
      <c r="H494" s="114">
        <v>0.99</v>
      </c>
      <c r="I494" s="114">
        <v>9.0299999999999994</v>
      </c>
      <c r="J494" s="108" t="s">
        <v>601</v>
      </c>
    </row>
    <row r="495" spans="1:10">
      <c r="A495" s="108">
        <v>20100729</v>
      </c>
      <c r="B495" s="206" t="s">
        <v>567</v>
      </c>
      <c r="C495" s="206" t="str">
        <f t="shared" si="19"/>
        <v>20100729LS</v>
      </c>
      <c r="D495" s="206" t="s">
        <v>323</v>
      </c>
      <c r="E495" s="206" t="str">
        <f t="shared" si="20"/>
        <v>20100729LGUM_458</v>
      </c>
      <c r="F495" s="114">
        <v>10.16</v>
      </c>
      <c r="G495" s="114">
        <v>0.15</v>
      </c>
      <c r="H495" s="114">
        <v>1.44</v>
      </c>
      <c r="I495" s="114">
        <v>8.57</v>
      </c>
      <c r="J495" s="108" t="s">
        <v>602</v>
      </c>
    </row>
    <row r="496" spans="1:10">
      <c r="A496" s="108">
        <v>20100729</v>
      </c>
      <c r="B496" s="206" t="s">
        <v>567</v>
      </c>
      <c r="C496" s="206" t="str">
        <f t="shared" si="19"/>
        <v>20100729LS</v>
      </c>
      <c r="D496" s="206" t="s">
        <v>324</v>
      </c>
      <c r="E496" s="206" t="str">
        <f t="shared" si="20"/>
        <v>20100729LGUM_459</v>
      </c>
      <c r="F496" s="114">
        <v>11.59</v>
      </c>
      <c r="G496" s="114">
        <v>0.13</v>
      </c>
      <c r="H496" s="114">
        <v>2.04</v>
      </c>
      <c r="I496" s="114">
        <v>9.4199999999999982</v>
      </c>
      <c r="J496" s="108" t="s">
        <v>603</v>
      </c>
    </row>
    <row r="497" spans="1:10">
      <c r="A497" s="108">
        <v>20100729</v>
      </c>
      <c r="B497" s="206" t="s">
        <v>567</v>
      </c>
      <c r="C497" s="206" t="str">
        <f t="shared" si="19"/>
        <v>20100729LS</v>
      </c>
      <c r="D497" s="206" t="s">
        <v>325</v>
      </c>
      <c r="E497" s="206" t="str">
        <f t="shared" si="20"/>
        <v>20100729LGUM_460</v>
      </c>
      <c r="F497" s="114">
        <v>14.96</v>
      </c>
      <c r="G497" s="114">
        <v>0.17</v>
      </c>
      <c r="H497" s="114">
        <v>3.18</v>
      </c>
      <c r="I497" s="114">
        <v>11.610000000000001</v>
      </c>
      <c r="J497" s="108" t="s">
        <v>604</v>
      </c>
    </row>
    <row r="498" spans="1:10">
      <c r="A498" s="108">
        <v>20100729</v>
      </c>
      <c r="B498" s="206" t="s">
        <v>567</v>
      </c>
      <c r="C498" s="206" t="str">
        <f t="shared" si="19"/>
        <v>20100729LS</v>
      </c>
      <c r="D498" s="206" t="s">
        <v>326</v>
      </c>
      <c r="E498" s="206" t="str">
        <f t="shared" si="20"/>
        <v>20100729LGUM_461</v>
      </c>
      <c r="F498" s="114">
        <v>16.309999999999999</v>
      </c>
      <c r="G498" s="114">
        <v>0.17</v>
      </c>
      <c r="H498" s="114">
        <v>3.18</v>
      </c>
      <c r="I498" s="114">
        <v>12.959999999999997</v>
      </c>
      <c r="J498" s="108" t="s">
        <v>605</v>
      </c>
    </row>
    <row r="499" spans="1:10">
      <c r="A499" s="108">
        <v>20100729</v>
      </c>
      <c r="B499" s="206" t="s">
        <v>567</v>
      </c>
      <c r="C499" s="206" t="str">
        <f t="shared" si="19"/>
        <v>20100729LS</v>
      </c>
      <c r="D499" s="206" t="s">
        <v>327</v>
      </c>
      <c r="E499" s="206" t="str">
        <f t="shared" si="20"/>
        <v>20100729LGUM_462</v>
      </c>
      <c r="F499" s="114">
        <v>9.9</v>
      </c>
      <c r="G499" s="114">
        <v>0.15</v>
      </c>
      <c r="H499" s="114">
        <v>1.44</v>
      </c>
      <c r="I499" s="114">
        <v>8.31</v>
      </c>
      <c r="J499" s="108" t="s">
        <v>606</v>
      </c>
    </row>
    <row r="500" spans="1:10">
      <c r="A500" s="108">
        <v>20100729</v>
      </c>
      <c r="B500" s="206" t="s">
        <v>567</v>
      </c>
      <c r="C500" s="206" t="str">
        <f t="shared" si="19"/>
        <v>20100729LS</v>
      </c>
      <c r="D500" s="206" t="s">
        <v>328</v>
      </c>
      <c r="E500" s="206" t="str">
        <f t="shared" si="20"/>
        <v>20100729LGUM_470</v>
      </c>
      <c r="F500" s="114">
        <v>11.79</v>
      </c>
      <c r="G500" s="114">
        <v>0.16</v>
      </c>
      <c r="H500" s="114">
        <v>1.42</v>
      </c>
      <c r="I500" s="114">
        <v>10.209999999999999</v>
      </c>
      <c r="J500" s="108" t="s">
        <v>607</v>
      </c>
    </row>
    <row r="501" spans="1:10">
      <c r="A501" s="108">
        <v>20100729</v>
      </c>
      <c r="B501" s="206" t="s">
        <v>567</v>
      </c>
      <c r="C501" s="206" t="str">
        <f t="shared" si="19"/>
        <v>20100729LS</v>
      </c>
      <c r="D501" s="206" t="s">
        <v>329</v>
      </c>
      <c r="E501" s="206" t="str">
        <f t="shared" si="20"/>
        <v>20100729LGUM_471</v>
      </c>
      <c r="F501" s="114">
        <v>13.99</v>
      </c>
      <c r="G501" s="114">
        <v>0.16</v>
      </c>
      <c r="H501" s="114">
        <v>1.42</v>
      </c>
      <c r="I501" s="114">
        <v>12.41</v>
      </c>
      <c r="J501" s="108" t="s">
        <v>608</v>
      </c>
    </row>
    <row r="502" spans="1:10">
      <c r="A502" s="108">
        <v>20100729</v>
      </c>
      <c r="B502" s="206" t="s">
        <v>567</v>
      </c>
      <c r="C502" s="206" t="str">
        <f t="shared" si="19"/>
        <v>20100729LS</v>
      </c>
      <c r="D502" s="206" t="s">
        <v>609</v>
      </c>
      <c r="E502" s="206" t="str">
        <f t="shared" si="20"/>
        <v>20100729LGUM_472</v>
      </c>
      <c r="F502" s="114">
        <v>21.2</v>
      </c>
      <c r="G502" s="114">
        <v>0.16</v>
      </c>
      <c r="H502" s="114">
        <v>1.42</v>
      </c>
      <c r="I502" s="114">
        <v>19.619999999999997</v>
      </c>
      <c r="J502" s="108" t="s">
        <v>610</v>
      </c>
    </row>
    <row r="503" spans="1:10">
      <c r="A503" s="108">
        <v>20100729</v>
      </c>
      <c r="B503" s="206" t="s">
        <v>567</v>
      </c>
      <c r="C503" s="206" t="str">
        <f t="shared" si="19"/>
        <v>20100729LS</v>
      </c>
      <c r="D503" s="206" t="s">
        <v>330</v>
      </c>
      <c r="E503" s="206" t="str">
        <f t="shared" si="20"/>
        <v>20100729LGUM_473</v>
      </c>
      <c r="F503" s="114">
        <v>16.95</v>
      </c>
      <c r="G503" s="114">
        <v>0.16</v>
      </c>
      <c r="H503" s="114">
        <v>3.09</v>
      </c>
      <c r="I503" s="114">
        <v>13.7</v>
      </c>
      <c r="J503" s="108" t="s">
        <v>611</v>
      </c>
    </row>
    <row r="504" spans="1:10">
      <c r="A504" s="108">
        <v>20100729</v>
      </c>
      <c r="B504" s="206" t="s">
        <v>567</v>
      </c>
      <c r="C504" s="206" t="str">
        <f t="shared" si="19"/>
        <v>20100729LS</v>
      </c>
      <c r="D504" s="206" t="s">
        <v>331</v>
      </c>
      <c r="E504" s="206" t="str">
        <f t="shared" si="20"/>
        <v>20100729LGUM_474</v>
      </c>
      <c r="F504" s="114">
        <v>19.16</v>
      </c>
      <c r="G504" s="114">
        <v>0.16</v>
      </c>
      <c r="H504" s="114">
        <v>3.09</v>
      </c>
      <c r="I504" s="114">
        <v>15.91</v>
      </c>
      <c r="J504" s="108" t="s">
        <v>612</v>
      </c>
    </row>
    <row r="505" spans="1:10">
      <c r="A505" s="108">
        <v>20100729</v>
      </c>
      <c r="B505" s="206" t="s">
        <v>567</v>
      </c>
      <c r="C505" s="206" t="str">
        <f t="shared" si="19"/>
        <v>20100729LS</v>
      </c>
      <c r="D505" s="206" t="s">
        <v>332</v>
      </c>
      <c r="E505" s="206" t="str">
        <f t="shared" si="20"/>
        <v>20100729LGUM_475</v>
      </c>
      <c r="F505" s="114">
        <v>26.36</v>
      </c>
      <c r="G505" s="114">
        <v>0.16</v>
      </c>
      <c r="H505" s="114">
        <v>3.09</v>
      </c>
      <c r="I505" s="114">
        <v>23.11</v>
      </c>
      <c r="J505" s="108" t="s">
        <v>613</v>
      </c>
    </row>
    <row r="506" spans="1:10">
      <c r="A506" s="108">
        <v>20100729</v>
      </c>
      <c r="B506" s="206" t="s">
        <v>567</v>
      </c>
      <c r="C506" s="206" t="str">
        <f t="shared" si="19"/>
        <v>20100729LS</v>
      </c>
      <c r="D506" s="206" t="s">
        <v>333</v>
      </c>
      <c r="E506" s="206" t="str">
        <f t="shared" si="20"/>
        <v>20100729LGUM_476</v>
      </c>
      <c r="F506" s="114">
        <v>35.07</v>
      </c>
      <c r="G506" s="114">
        <v>0.16</v>
      </c>
      <c r="H506" s="114">
        <v>7.41</v>
      </c>
      <c r="I506" s="114">
        <v>27.500000000000004</v>
      </c>
      <c r="J506" s="108" t="s">
        <v>614</v>
      </c>
    </row>
    <row r="507" spans="1:10">
      <c r="A507" s="108">
        <v>20100729</v>
      </c>
      <c r="B507" s="206" t="s">
        <v>567</v>
      </c>
      <c r="C507" s="206" t="str">
        <f t="shared" si="19"/>
        <v>20100729LS</v>
      </c>
      <c r="D507" s="206" t="s">
        <v>334</v>
      </c>
      <c r="E507" s="206" t="str">
        <f t="shared" si="20"/>
        <v>20100729LGUM_477</v>
      </c>
      <c r="F507" s="114">
        <v>38.14</v>
      </c>
      <c r="G507" s="114">
        <v>0.16</v>
      </c>
      <c r="H507" s="114">
        <v>7.41</v>
      </c>
      <c r="I507" s="114">
        <v>30.570000000000004</v>
      </c>
      <c r="J507" s="108" t="s">
        <v>615</v>
      </c>
    </row>
    <row r="508" spans="1:10">
      <c r="A508" s="108">
        <v>20100729</v>
      </c>
      <c r="B508" s="206" t="s">
        <v>567</v>
      </c>
      <c r="C508" s="206" t="str">
        <f t="shared" si="19"/>
        <v>20100729LS</v>
      </c>
      <c r="D508" s="206" t="s">
        <v>616</v>
      </c>
      <c r="E508" s="206" t="str">
        <f t="shared" si="20"/>
        <v>20100729LGUM_478</v>
      </c>
      <c r="F508" s="114">
        <v>44.47</v>
      </c>
      <c r="G508" s="114">
        <v>0.16</v>
      </c>
      <c r="H508" s="114">
        <v>7.41</v>
      </c>
      <c r="I508" s="114">
        <v>36.900000000000006</v>
      </c>
      <c r="J508" s="108" t="s">
        <v>617</v>
      </c>
    </row>
    <row r="509" spans="1:10">
      <c r="A509" s="108">
        <v>20100729</v>
      </c>
      <c r="B509" s="206" t="s">
        <v>567</v>
      </c>
      <c r="C509" s="206" t="str">
        <f t="shared" si="19"/>
        <v>20100729LS</v>
      </c>
      <c r="D509" s="206" t="s">
        <v>618</v>
      </c>
      <c r="E509" s="206" t="str">
        <f t="shared" si="20"/>
        <v>20100729LGUM_479</v>
      </c>
      <c r="F509" s="114">
        <v>13.02</v>
      </c>
      <c r="G509" s="114">
        <v>0.16</v>
      </c>
      <c r="H509" s="114">
        <v>1.42</v>
      </c>
      <c r="I509" s="114">
        <v>11.44</v>
      </c>
      <c r="J509" s="108" t="s">
        <v>619</v>
      </c>
    </row>
    <row r="510" spans="1:10">
      <c r="A510" s="108">
        <v>20100729</v>
      </c>
      <c r="B510" s="206" t="s">
        <v>567</v>
      </c>
      <c r="C510" s="206" t="str">
        <f t="shared" si="19"/>
        <v>20100729LS</v>
      </c>
      <c r="D510" s="206" t="s">
        <v>620</v>
      </c>
      <c r="E510" s="206" t="str">
        <f t="shared" si="20"/>
        <v>20100729LGUM_480</v>
      </c>
      <c r="F510" s="114">
        <v>22.45</v>
      </c>
      <c r="G510" s="114">
        <v>0.16</v>
      </c>
      <c r="H510" s="114">
        <v>1.42</v>
      </c>
      <c r="I510" s="114">
        <v>20.869999999999997</v>
      </c>
      <c r="J510" s="108" t="s">
        <v>621</v>
      </c>
    </row>
    <row r="511" spans="1:10">
      <c r="A511" s="108">
        <v>20100729</v>
      </c>
      <c r="B511" s="206" t="s">
        <v>567</v>
      </c>
      <c r="C511" s="206" t="str">
        <f t="shared" si="19"/>
        <v>20100729LS</v>
      </c>
      <c r="D511" s="206" t="s">
        <v>360</v>
      </c>
      <c r="E511" s="206" t="str">
        <f t="shared" si="20"/>
        <v>20100729LGUM_481</v>
      </c>
      <c r="F511" s="114">
        <v>18.670000000000002</v>
      </c>
      <c r="G511" s="114">
        <v>0.16</v>
      </c>
      <c r="H511" s="114">
        <v>3.09</v>
      </c>
      <c r="I511" s="114">
        <v>15.420000000000002</v>
      </c>
      <c r="J511" s="108" t="s">
        <v>622</v>
      </c>
    </row>
    <row r="512" spans="1:10">
      <c r="A512" s="108">
        <v>20100729</v>
      </c>
      <c r="B512" s="206" t="s">
        <v>567</v>
      </c>
      <c r="C512" s="206" t="str">
        <f t="shared" si="19"/>
        <v>20100729LS</v>
      </c>
      <c r="D512" s="206" t="s">
        <v>335</v>
      </c>
      <c r="E512" s="206" t="str">
        <f t="shared" si="20"/>
        <v>20100729LGUM_482</v>
      </c>
      <c r="F512" s="114">
        <v>28.09</v>
      </c>
      <c r="G512" s="114">
        <v>0.16</v>
      </c>
      <c r="H512" s="114">
        <v>3.09</v>
      </c>
      <c r="I512" s="114">
        <v>24.84</v>
      </c>
      <c r="J512" s="108" t="s">
        <v>623</v>
      </c>
    </row>
    <row r="513" spans="1:10">
      <c r="A513" s="108">
        <v>20100729</v>
      </c>
      <c r="B513" s="206" t="s">
        <v>567</v>
      </c>
      <c r="C513" s="206" t="str">
        <f t="shared" si="19"/>
        <v>20100729LS</v>
      </c>
      <c r="D513" s="206" t="s">
        <v>336</v>
      </c>
      <c r="E513" s="206" t="str">
        <f t="shared" si="20"/>
        <v>20100729LGUM_483</v>
      </c>
      <c r="F513" s="114">
        <v>37.93</v>
      </c>
      <c r="G513" s="114">
        <v>0.16</v>
      </c>
      <c r="H513" s="114">
        <v>7.41</v>
      </c>
      <c r="I513" s="114">
        <v>30.360000000000003</v>
      </c>
      <c r="J513" s="108" t="s">
        <v>624</v>
      </c>
    </row>
    <row r="514" spans="1:10">
      <c r="A514" s="108">
        <v>20100729</v>
      </c>
      <c r="B514" s="206" t="s">
        <v>567</v>
      </c>
      <c r="C514" s="206" t="str">
        <f t="shared" si="19"/>
        <v>20100729LS</v>
      </c>
      <c r="D514" s="206" t="s">
        <v>337</v>
      </c>
      <c r="E514" s="206" t="str">
        <f t="shared" si="20"/>
        <v>20100729LGUM_484</v>
      </c>
      <c r="F514" s="114">
        <v>47.34</v>
      </c>
      <c r="G514" s="114">
        <v>0.16</v>
      </c>
      <c r="H514" s="114">
        <v>7.41</v>
      </c>
      <c r="I514" s="114">
        <v>39.77000000000001</v>
      </c>
      <c r="J514" s="108" t="s">
        <v>625</v>
      </c>
    </row>
    <row r="515" spans="1:10">
      <c r="A515" s="512">
        <v>20110629</v>
      </c>
      <c r="B515" s="513" t="s">
        <v>459</v>
      </c>
      <c r="C515" s="513" t="str">
        <f t="shared" ref="C515:C560" si="21">A515&amp;B515</f>
        <v>20110629RLS</v>
      </c>
      <c r="D515" s="513" t="s">
        <v>137</v>
      </c>
      <c r="E515" s="513" t="str">
        <f t="shared" ref="E515:E560" si="22">A515&amp;D515</f>
        <v>20110629LGUM_001</v>
      </c>
      <c r="F515" s="514">
        <v>7.95</v>
      </c>
      <c r="G515" s="514">
        <v>0.14000000000000001</v>
      </c>
      <c r="H515" s="514">
        <v>0.92</v>
      </c>
      <c r="I515" s="514">
        <v>6.8900000000000006</v>
      </c>
      <c r="J515" s="512" t="s">
        <v>460</v>
      </c>
    </row>
    <row r="516" spans="1:10">
      <c r="A516" s="512">
        <f t="shared" ref="A516:A544" si="23">A515</f>
        <v>20110629</v>
      </c>
      <c r="B516" s="513" t="s">
        <v>459</v>
      </c>
      <c r="C516" s="513" t="str">
        <f t="shared" si="21"/>
        <v>20110629RLS</v>
      </c>
      <c r="D516" s="513" t="s">
        <v>169</v>
      </c>
      <c r="E516" s="513" t="str">
        <f t="shared" si="22"/>
        <v>20110629LGUM_101</v>
      </c>
      <c r="F516" s="514">
        <v>7.95</v>
      </c>
      <c r="G516" s="514">
        <v>0.14000000000000001</v>
      </c>
      <c r="H516" s="514">
        <v>0.92</v>
      </c>
      <c r="I516" s="514">
        <v>6.8900000000000006</v>
      </c>
      <c r="J516" s="512" t="s">
        <v>460</v>
      </c>
    </row>
    <row r="517" spans="1:10">
      <c r="A517" s="512">
        <f t="shared" si="23"/>
        <v>20110629</v>
      </c>
      <c r="B517" s="513" t="s">
        <v>459</v>
      </c>
      <c r="C517" s="513" t="str">
        <f t="shared" si="21"/>
        <v>20110629RLS</v>
      </c>
      <c r="D517" s="513" t="s">
        <v>342</v>
      </c>
      <c r="E517" s="513" t="str">
        <f t="shared" si="22"/>
        <v>20110629LGUM_201</v>
      </c>
      <c r="F517" s="514">
        <v>7.95</v>
      </c>
      <c r="G517" s="514">
        <v>0.14000000000000001</v>
      </c>
      <c r="H517" s="514">
        <v>0.92</v>
      </c>
      <c r="I517" s="514">
        <v>6.8900000000000006</v>
      </c>
      <c r="J517" s="512" t="s">
        <v>460</v>
      </c>
    </row>
    <row r="518" spans="1:10">
      <c r="A518" s="512">
        <f t="shared" si="23"/>
        <v>20110629</v>
      </c>
      <c r="B518" s="513" t="s">
        <v>459</v>
      </c>
      <c r="C518" s="513" t="str">
        <f t="shared" si="21"/>
        <v>20110629RLS</v>
      </c>
      <c r="D518" s="513" t="s">
        <v>138</v>
      </c>
      <c r="E518" s="513" t="str">
        <f t="shared" si="22"/>
        <v>20110629LGUM_002</v>
      </c>
      <c r="F518" s="514">
        <v>8.93</v>
      </c>
      <c r="G518" s="514">
        <v>0.1</v>
      </c>
      <c r="H518" s="514">
        <v>1.55</v>
      </c>
      <c r="I518" s="514">
        <v>7.28</v>
      </c>
      <c r="J518" s="512" t="s">
        <v>461</v>
      </c>
    </row>
    <row r="519" spans="1:10">
      <c r="A519" s="512">
        <f t="shared" si="23"/>
        <v>20110629</v>
      </c>
      <c r="B519" s="513" t="s">
        <v>459</v>
      </c>
      <c r="C519" s="513" t="str">
        <f t="shared" si="21"/>
        <v>20110629RLS</v>
      </c>
      <c r="D519" s="513" t="s">
        <v>170</v>
      </c>
      <c r="E519" s="513" t="str">
        <f t="shared" si="22"/>
        <v>20110629LGUM_102</v>
      </c>
      <c r="F519" s="514">
        <v>8.93</v>
      </c>
      <c r="G519" s="514">
        <v>0.1</v>
      </c>
      <c r="H519" s="514">
        <v>1.55</v>
      </c>
      <c r="I519" s="514">
        <v>7.28</v>
      </c>
      <c r="J519" s="512" t="s">
        <v>461</v>
      </c>
    </row>
    <row r="520" spans="1:10">
      <c r="A520" s="512">
        <f t="shared" si="23"/>
        <v>20110629</v>
      </c>
      <c r="B520" s="513" t="s">
        <v>459</v>
      </c>
      <c r="C520" s="513" t="str">
        <f t="shared" si="21"/>
        <v>20110629RLS</v>
      </c>
      <c r="D520" s="513" t="s">
        <v>212</v>
      </c>
      <c r="E520" s="513" t="str">
        <f t="shared" si="22"/>
        <v>20110629LGUM_202</v>
      </c>
      <c r="F520" s="514">
        <v>8.93</v>
      </c>
      <c r="G520" s="514">
        <v>0.1</v>
      </c>
      <c r="H520" s="514">
        <v>1.55</v>
      </c>
      <c r="I520" s="514">
        <v>7.28</v>
      </c>
      <c r="J520" s="512" t="s">
        <v>461</v>
      </c>
    </row>
    <row r="521" spans="1:10">
      <c r="A521" s="512">
        <f t="shared" si="23"/>
        <v>20110629</v>
      </c>
      <c r="B521" s="513" t="s">
        <v>459</v>
      </c>
      <c r="C521" s="513" t="str">
        <f t="shared" si="21"/>
        <v>20110629RLS</v>
      </c>
      <c r="D521" s="513" t="s">
        <v>139</v>
      </c>
      <c r="E521" s="513" t="str">
        <f t="shared" si="22"/>
        <v>20110629LGUM_003</v>
      </c>
      <c r="F521" s="514">
        <v>10.34</v>
      </c>
      <c r="G521" s="514">
        <v>0.13</v>
      </c>
      <c r="H521" s="514">
        <v>2.2000000000000002</v>
      </c>
      <c r="I521" s="514">
        <v>8.009999999999998</v>
      </c>
      <c r="J521" s="512" t="s">
        <v>462</v>
      </c>
    </row>
    <row r="522" spans="1:10">
      <c r="A522" s="512">
        <f t="shared" si="23"/>
        <v>20110629</v>
      </c>
      <c r="B522" s="513" t="s">
        <v>459</v>
      </c>
      <c r="C522" s="513" t="str">
        <f t="shared" si="21"/>
        <v>20110629RLS</v>
      </c>
      <c r="D522" s="513" t="s">
        <v>171</v>
      </c>
      <c r="E522" s="513" t="str">
        <f t="shared" si="22"/>
        <v>20110629LGUM_103</v>
      </c>
      <c r="F522" s="514">
        <v>10.34</v>
      </c>
      <c r="G522" s="514">
        <v>0.13</v>
      </c>
      <c r="H522" s="514">
        <v>2.2000000000000002</v>
      </c>
      <c r="I522" s="514">
        <v>8.009999999999998</v>
      </c>
      <c r="J522" s="512" t="s">
        <v>462</v>
      </c>
    </row>
    <row r="523" spans="1:10">
      <c r="A523" s="512">
        <f t="shared" si="23"/>
        <v>20110629</v>
      </c>
      <c r="B523" s="513" t="s">
        <v>459</v>
      </c>
      <c r="C523" s="513" t="str">
        <f t="shared" si="21"/>
        <v>20110629RLS</v>
      </c>
      <c r="D523" s="513" t="s">
        <v>213</v>
      </c>
      <c r="E523" s="513" t="str">
        <f t="shared" si="22"/>
        <v>20110629LGUM_203</v>
      </c>
      <c r="F523" s="514">
        <v>10.34</v>
      </c>
      <c r="G523" s="514">
        <v>0.13</v>
      </c>
      <c r="H523" s="514">
        <v>2.2000000000000002</v>
      </c>
      <c r="I523" s="514">
        <v>8.009999999999998</v>
      </c>
      <c r="J523" s="512" t="s">
        <v>462</v>
      </c>
    </row>
    <row r="524" spans="1:10">
      <c r="A524" s="512">
        <f t="shared" si="23"/>
        <v>20110629</v>
      </c>
      <c r="B524" s="513" t="s">
        <v>459</v>
      </c>
      <c r="C524" s="513" t="str">
        <f t="shared" si="21"/>
        <v>20110629RLS</v>
      </c>
      <c r="D524" s="513" t="s">
        <v>140</v>
      </c>
      <c r="E524" s="513" t="str">
        <f t="shared" si="22"/>
        <v>20110629LGUM_004</v>
      </c>
      <c r="F524" s="514">
        <v>12.78</v>
      </c>
      <c r="G524" s="514">
        <v>0.15</v>
      </c>
      <c r="H524" s="514">
        <v>3.41</v>
      </c>
      <c r="I524" s="514">
        <v>9.2199999999999989</v>
      </c>
      <c r="J524" s="512" t="s">
        <v>463</v>
      </c>
    </row>
    <row r="525" spans="1:10">
      <c r="A525" s="512">
        <f t="shared" si="23"/>
        <v>20110629</v>
      </c>
      <c r="B525" s="513" t="s">
        <v>459</v>
      </c>
      <c r="C525" s="513" t="str">
        <f t="shared" si="21"/>
        <v>20110629RLS</v>
      </c>
      <c r="D525" s="513" t="s">
        <v>172</v>
      </c>
      <c r="E525" s="513" t="str">
        <f t="shared" si="22"/>
        <v>20110629LGUM_104</v>
      </c>
      <c r="F525" s="514">
        <v>12.78</v>
      </c>
      <c r="G525" s="514">
        <v>0.15</v>
      </c>
      <c r="H525" s="514">
        <v>3.41</v>
      </c>
      <c r="I525" s="514">
        <v>9.2199999999999989</v>
      </c>
      <c r="J525" s="512" t="s">
        <v>463</v>
      </c>
    </row>
    <row r="526" spans="1:10">
      <c r="A526" s="512">
        <f t="shared" si="23"/>
        <v>20110629</v>
      </c>
      <c r="B526" s="513" t="s">
        <v>459</v>
      </c>
      <c r="C526" s="513" t="str">
        <f t="shared" si="21"/>
        <v>20110629RLS</v>
      </c>
      <c r="D526" s="513" t="s">
        <v>214</v>
      </c>
      <c r="E526" s="513" t="str">
        <f t="shared" si="22"/>
        <v>20110629LGUM_204</v>
      </c>
      <c r="F526" s="514">
        <v>12.78</v>
      </c>
      <c r="G526" s="514">
        <v>0.15</v>
      </c>
      <c r="H526" s="514">
        <v>3.41</v>
      </c>
      <c r="I526" s="514">
        <v>9.2199999999999989</v>
      </c>
      <c r="J526" s="512" t="s">
        <v>463</v>
      </c>
    </row>
    <row r="527" spans="1:10">
      <c r="A527" s="512">
        <f t="shared" si="23"/>
        <v>20110629</v>
      </c>
      <c r="B527" s="513" t="s">
        <v>459</v>
      </c>
      <c r="C527" s="513" t="str">
        <f t="shared" si="21"/>
        <v>20110629RLS</v>
      </c>
      <c r="D527" s="513" t="s">
        <v>141</v>
      </c>
      <c r="E527" s="513" t="str">
        <f t="shared" si="22"/>
        <v>20110629LGUM_005</v>
      </c>
      <c r="F527" s="514">
        <v>9.9600000000000009</v>
      </c>
      <c r="G527" s="514">
        <v>0.14000000000000001</v>
      </c>
      <c r="H527" s="514">
        <v>1.07</v>
      </c>
      <c r="I527" s="514">
        <v>8.75</v>
      </c>
      <c r="J527" s="512" t="s">
        <v>464</v>
      </c>
    </row>
    <row r="528" spans="1:10">
      <c r="A528" s="512">
        <f t="shared" si="23"/>
        <v>20110629</v>
      </c>
      <c r="B528" s="513" t="s">
        <v>459</v>
      </c>
      <c r="C528" s="513" t="str">
        <f t="shared" si="21"/>
        <v>20110629RLS</v>
      </c>
      <c r="D528" s="513" t="s">
        <v>173</v>
      </c>
      <c r="E528" s="513" t="str">
        <f t="shared" si="22"/>
        <v>20110629LGUM_105</v>
      </c>
      <c r="F528" s="514">
        <v>9.9600000000000009</v>
      </c>
      <c r="G528" s="514">
        <v>0.14000000000000001</v>
      </c>
      <c r="H528" s="514">
        <v>1.07</v>
      </c>
      <c r="I528" s="514">
        <v>8.75</v>
      </c>
      <c r="J528" s="512" t="s">
        <v>464</v>
      </c>
    </row>
    <row r="529" spans="1:10">
      <c r="A529" s="512">
        <f t="shared" si="23"/>
        <v>20110629</v>
      </c>
      <c r="B529" s="513" t="s">
        <v>459</v>
      </c>
      <c r="C529" s="513" t="str">
        <f t="shared" si="21"/>
        <v>20110629RLS</v>
      </c>
      <c r="D529" s="513" t="s">
        <v>343</v>
      </c>
      <c r="E529" s="513" t="str">
        <f t="shared" si="22"/>
        <v>20110629LGUM_205</v>
      </c>
      <c r="F529" s="514">
        <v>9.9600000000000009</v>
      </c>
      <c r="G529" s="514">
        <v>0.14000000000000001</v>
      </c>
      <c r="H529" s="514">
        <v>1.07</v>
      </c>
      <c r="I529" s="514">
        <v>8.75</v>
      </c>
      <c r="J529" s="512" t="s">
        <v>464</v>
      </c>
    </row>
    <row r="530" spans="1:10">
      <c r="A530" s="512">
        <f t="shared" si="23"/>
        <v>20110629</v>
      </c>
      <c r="B530" s="513" t="s">
        <v>459</v>
      </c>
      <c r="C530" s="513" t="str">
        <f t="shared" si="21"/>
        <v>20110629RLS</v>
      </c>
      <c r="D530" s="513" t="s">
        <v>465</v>
      </c>
      <c r="E530" s="513" t="str">
        <f t="shared" si="22"/>
        <v>20110629LGUM_006</v>
      </c>
      <c r="F530" s="514">
        <v>13.19</v>
      </c>
      <c r="G530" s="514">
        <v>0.14000000000000001</v>
      </c>
      <c r="H530" s="514">
        <v>0.92</v>
      </c>
      <c r="I530" s="514">
        <v>12.129999999999999</v>
      </c>
      <c r="J530" s="512" t="s">
        <v>466</v>
      </c>
    </row>
    <row r="531" spans="1:10">
      <c r="A531" s="512">
        <f t="shared" si="23"/>
        <v>20110629</v>
      </c>
      <c r="B531" s="513" t="s">
        <v>459</v>
      </c>
      <c r="C531" s="513" t="str">
        <f t="shared" si="21"/>
        <v>20110629RLS</v>
      </c>
      <c r="D531" s="513" t="s">
        <v>174</v>
      </c>
      <c r="E531" s="513" t="str">
        <f t="shared" si="22"/>
        <v>20110629LGUM_106</v>
      </c>
      <c r="F531" s="514">
        <v>13.19</v>
      </c>
      <c r="G531" s="514">
        <v>0.14000000000000001</v>
      </c>
      <c r="H531" s="514">
        <v>0.92</v>
      </c>
      <c r="I531" s="514">
        <v>12.129999999999999</v>
      </c>
      <c r="J531" s="512" t="s">
        <v>466</v>
      </c>
    </row>
    <row r="532" spans="1:10">
      <c r="A532" s="512">
        <f t="shared" si="23"/>
        <v>20110629</v>
      </c>
      <c r="B532" s="513" t="s">
        <v>459</v>
      </c>
      <c r="C532" s="513" t="str">
        <f t="shared" si="21"/>
        <v>20110629RLS</v>
      </c>
      <c r="D532" s="513" t="s">
        <v>215</v>
      </c>
      <c r="E532" s="513" t="str">
        <f t="shared" si="22"/>
        <v>20110629LGUM_206</v>
      </c>
      <c r="F532" s="514">
        <v>13.19</v>
      </c>
      <c r="G532" s="514">
        <v>0.14000000000000001</v>
      </c>
      <c r="H532" s="514">
        <v>0.92</v>
      </c>
      <c r="I532" s="514">
        <v>12.129999999999999</v>
      </c>
      <c r="J532" s="512" t="s">
        <v>466</v>
      </c>
    </row>
    <row r="533" spans="1:10">
      <c r="A533" s="512">
        <f t="shared" si="23"/>
        <v>20110629</v>
      </c>
      <c r="B533" s="513" t="s">
        <v>459</v>
      </c>
      <c r="C533" s="513" t="str">
        <f t="shared" si="21"/>
        <v>20110629RLS</v>
      </c>
      <c r="D533" s="513" t="s">
        <v>142</v>
      </c>
      <c r="E533" s="513" t="str">
        <f t="shared" si="22"/>
        <v>20110629LGUM_007</v>
      </c>
      <c r="F533" s="514">
        <v>12.78</v>
      </c>
      <c r="G533" s="514">
        <v>0.15</v>
      </c>
      <c r="H533" s="514">
        <v>3.41</v>
      </c>
      <c r="I533" s="514">
        <v>9.2199999999999989</v>
      </c>
      <c r="J533" s="512" t="s">
        <v>467</v>
      </c>
    </row>
    <row r="534" spans="1:10">
      <c r="A534" s="512">
        <f t="shared" si="23"/>
        <v>20110629</v>
      </c>
      <c r="B534" s="513" t="s">
        <v>459</v>
      </c>
      <c r="C534" s="513" t="str">
        <f t="shared" si="21"/>
        <v>20110629RLS</v>
      </c>
      <c r="D534" s="513" t="s">
        <v>175</v>
      </c>
      <c r="E534" s="513" t="str">
        <f t="shared" si="22"/>
        <v>20110629LGUM_107</v>
      </c>
      <c r="F534" s="514">
        <v>12.78</v>
      </c>
      <c r="G534" s="514">
        <v>0.15</v>
      </c>
      <c r="H534" s="514">
        <v>3.41</v>
      </c>
      <c r="I534" s="514">
        <v>9.2199999999999989</v>
      </c>
      <c r="J534" s="512" t="s">
        <v>467</v>
      </c>
    </row>
    <row r="535" spans="1:10">
      <c r="A535" s="512">
        <f t="shared" si="23"/>
        <v>20110629</v>
      </c>
      <c r="B535" s="513" t="s">
        <v>459</v>
      </c>
      <c r="C535" s="513" t="str">
        <f t="shared" si="21"/>
        <v>20110629RLS</v>
      </c>
      <c r="D535" s="513" t="s">
        <v>216</v>
      </c>
      <c r="E535" s="513" t="str">
        <f t="shared" si="22"/>
        <v>20110629LGUM_207</v>
      </c>
      <c r="F535" s="514">
        <v>12.78</v>
      </c>
      <c r="G535" s="514">
        <v>0.15</v>
      </c>
      <c r="H535" s="514">
        <v>3.41</v>
      </c>
      <c r="I535" s="514">
        <v>9.2199999999999989</v>
      </c>
      <c r="J535" s="512" t="s">
        <v>467</v>
      </c>
    </row>
    <row r="536" spans="1:10">
      <c r="A536" s="512">
        <f t="shared" si="23"/>
        <v>20110629</v>
      </c>
      <c r="B536" s="513" t="s">
        <v>459</v>
      </c>
      <c r="C536" s="513" t="str">
        <f t="shared" si="21"/>
        <v>20110629RLS</v>
      </c>
      <c r="D536" s="513" t="s">
        <v>143</v>
      </c>
      <c r="E536" s="513" t="str">
        <f t="shared" si="22"/>
        <v>20110629LGUM_008</v>
      </c>
      <c r="F536" s="514">
        <v>14.02</v>
      </c>
      <c r="G536" s="514">
        <v>0.1</v>
      </c>
      <c r="H536" s="514">
        <v>1.55</v>
      </c>
      <c r="I536" s="514">
        <v>12.37</v>
      </c>
      <c r="J536" s="512" t="s">
        <v>468</v>
      </c>
    </row>
    <row r="537" spans="1:10">
      <c r="A537" s="512">
        <f t="shared" si="23"/>
        <v>20110629</v>
      </c>
      <c r="B537" s="513" t="s">
        <v>459</v>
      </c>
      <c r="C537" s="513" t="str">
        <f t="shared" si="21"/>
        <v>20110629RLS</v>
      </c>
      <c r="D537" s="513" t="s">
        <v>176</v>
      </c>
      <c r="E537" s="513" t="str">
        <f t="shared" si="22"/>
        <v>20110629LGUM_108</v>
      </c>
      <c r="F537" s="514">
        <v>14.02</v>
      </c>
      <c r="G537" s="514">
        <v>0.1</v>
      </c>
      <c r="H537" s="514">
        <v>1.55</v>
      </c>
      <c r="I537" s="514">
        <v>12.37</v>
      </c>
      <c r="J537" s="512" t="s">
        <v>468</v>
      </c>
    </row>
    <row r="538" spans="1:10">
      <c r="A538" s="512">
        <f t="shared" si="23"/>
        <v>20110629</v>
      </c>
      <c r="B538" s="513" t="s">
        <v>459</v>
      </c>
      <c r="C538" s="513" t="str">
        <f t="shared" si="21"/>
        <v>20110629RLS</v>
      </c>
      <c r="D538" s="513" t="s">
        <v>217</v>
      </c>
      <c r="E538" s="513" t="str">
        <f t="shared" si="22"/>
        <v>20110629LGUM_208</v>
      </c>
      <c r="F538" s="514">
        <v>14.02</v>
      </c>
      <c r="G538" s="514">
        <v>0.1</v>
      </c>
      <c r="H538" s="514">
        <v>1.55</v>
      </c>
      <c r="I538" s="514">
        <v>12.37</v>
      </c>
      <c r="J538" s="512" t="s">
        <v>468</v>
      </c>
    </row>
    <row r="539" spans="1:10">
      <c r="A539" s="512">
        <f t="shared" si="23"/>
        <v>20110629</v>
      </c>
      <c r="B539" s="513" t="s">
        <v>459</v>
      </c>
      <c r="C539" s="513" t="str">
        <f t="shared" si="21"/>
        <v>20110629RLS</v>
      </c>
      <c r="D539" s="513" t="s">
        <v>469</v>
      </c>
      <c r="E539" s="513" t="str">
        <f t="shared" si="22"/>
        <v>20110629LGUM_009</v>
      </c>
      <c r="F539" s="514">
        <v>24.02</v>
      </c>
      <c r="G539" s="514">
        <v>0.26</v>
      </c>
      <c r="H539" s="514">
        <v>8.16</v>
      </c>
      <c r="I539" s="514">
        <v>15.599999999999998</v>
      </c>
      <c r="J539" s="512" t="s">
        <v>470</v>
      </c>
    </row>
    <row r="540" spans="1:10">
      <c r="A540" s="512">
        <f t="shared" si="23"/>
        <v>20110629</v>
      </c>
      <c r="B540" s="513" t="s">
        <v>459</v>
      </c>
      <c r="C540" s="513" t="str">
        <f t="shared" si="21"/>
        <v>20110629RLS</v>
      </c>
      <c r="D540" s="513" t="s">
        <v>177</v>
      </c>
      <c r="E540" s="513" t="str">
        <f t="shared" si="22"/>
        <v>20110629LGUM_109</v>
      </c>
      <c r="F540" s="514">
        <v>24.02</v>
      </c>
      <c r="G540" s="514">
        <v>0.26</v>
      </c>
      <c r="H540" s="514">
        <v>8.16</v>
      </c>
      <c r="I540" s="514">
        <v>15.599999999999998</v>
      </c>
      <c r="J540" s="512" t="s">
        <v>470</v>
      </c>
    </row>
    <row r="541" spans="1:10">
      <c r="A541" s="512">
        <f t="shared" si="23"/>
        <v>20110629</v>
      </c>
      <c r="B541" s="513" t="s">
        <v>459</v>
      </c>
      <c r="C541" s="513" t="str">
        <f t="shared" si="21"/>
        <v>20110629RLS</v>
      </c>
      <c r="D541" s="513" t="s">
        <v>344</v>
      </c>
      <c r="E541" s="513" t="str">
        <f t="shared" si="22"/>
        <v>20110629LGUM_209</v>
      </c>
      <c r="F541" s="514">
        <v>24.02</v>
      </c>
      <c r="G541" s="514">
        <v>0.26</v>
      </c>
      <c r="H541" s="514">
        <v>8.16</v>
      </c>
      <c r="I541" s="514">
        <v>15.599999999999998</v>
      </c>
      <c r="J541" s="512" t="s">
        <v>470</v>
      </c>
    </row>
    <row r="542" spans="1:10">
      <c r="A542" s="512">
        <f t="shared" si="23"/>
        <v>20110629</v>
      </c>
      <c r="B542" s="513" t="s">
        <v>459</v>
      </c>
      <c r="C542" s="513" t="str">
        <f t="shared" si="21"/>
        <v>20110629RLS</v>
      </c>
      <c r="D542" s="513" t="s">
        <v>144</v>
      </c>
      <c r="E542" s="513" t="str">
        <f t="shared" si="22"/>
        <v>20110629LGUM_010</v>
      </c>
      <c r="F542" s="514">
        <v>24.02</v>
      </c>
      <c r="G542" s="514">
        <v>0.26</v>
      </c>
      <c r="H542" s="514">
        <v>8.16</v>
      </c>
      <c r="I542" s="514">
        <v>15.599999999999998</v>
      </c>
      <c r="J542" s="512" t="s">
        <v>471</v>
      </c>
    </row>
    <row r="543" spans="1:10">
      <c r="A543" s="512">
        <f t="shared" si="23"/>
        <v>20110629</v>
      </c>
      <c r="B543" s="513" t="s">
        <v>459</v>
      </c>
      <c r="C543" s="513" t="str">
        <f t="shared" si="21"/>
        <v>20110629RLS</v>
      </c>
      <c r="D543" s="513" t="s">
        <v>178</v>
      </c>
      <c r="E543" s="513" t="str">
        <f t="shared" si="22"/>
        <v>20110629LGUM_110</v>
      </c>
      <c r="F543" s="514">
        <v>24.02</v>
      </c>
      <c r="G543" s="514">
        <v>0.26</v>
      </c>
      <c r="H543" s="514">
        <v>8.16</v>
      </c>
      <c r="I543" s="514">
        <v>15.599999999999998</v>
      </c>
      <c r="J543" s="512" t="s">
        <v>471</v>
      </c>
    </row>
    <row r="544" spans="1:10">
      <c r="A544" s="512">
        <f t="shared" si="23"/>
        <v>20110629</v>
      </c>
      <c r="B544" s="513" t="s">
        <v>459</v>
      </c>
      <c r="C544" s="513" t="str">
        <f t="shared" si="21"/>
        <v>20110629RLS</v>
      </c>
      <c r="D544" s="513" t="s">
        <v>218</v>
      </c>
      <c r="E544" s="513" t="str">
        <f t="shared" si="22"/>
        <v>20110629LGUM_210</v>
      </c>
      <c r="F544" s="514">
        <v>24.02</v>
      </c>
      <c r="G544" s="514">
        <v>0.26</v>
      </c>
      <c r="H544" s="514">
        <v>8.16</v>
      </c>
      <c r="I544" s="514">
        <v>15.599999999999998</v>
      </c>
      <c r="J544" s="512" t="s">
        <v>471</v>
      </c>
    </row>
    <row r="545" spans="1:10">
      <c r="A545" s="512">
        <f t="shared" ref="A545:A608" si="24">A544</f>
        <v>20110629</v>
      </c>
      <c r="B545" s="513" t="s">
        <v>459</v>
      </c>
      <c r="C545" s="513" t="str">
        <f t="shared" si="21"/>
        <v>20110629RLS</v>
      </c>
      <c r="D545" s="513" t="s">
        <v>145</v>
      </c>
      <c r="E545" s="513" t="str">
        <f t="shared" si="22"/>
        <v>20110629LGUM_011</v>
      </c>
      <c r="F545" s="514">
        <v>14.91</v>
      </c>
      <c r="G545" s="514">
        <v>0.13</v>
      </c>
      <c r="H545" s="514">
        <v>2.2999999999999998</v>
      </c>
      <c r="I545" s="514">
        <v>12.48</v>
      </c>
      <c r="J545" s="512" t="s">
        <v>472</v>
      </c>
    </row>
    <row r="546" spans="1:10">
      <c r="A546" s="512">
        <f t="shared" si="24"/>
        <v>20110629</v>
      </c>
      <c r="B546" s="513" t="s">
        <v>459</v>
      </c>
      <c r="C546" s="513" t="str">
        <f t="shared" si="21"/>
        <v>20110629RLS</v>
      </c>
      <c r="D546" s="513" t="s">
        <v>179</v>
      </c>
      <c r="E546" s="513" t="str">
        <f t="shared" si="22"/>
        <v>20110629LGUM_111</v>
      </c>
      <c r="F546" s="514">
        <v>14.91</v>
      </c>
      <c r="G546" s="514">
        <v>0.13</v>
      </c>
      <c r="H546" s="514">
        <v>2.2999999999999998</v>
      </c>
      <c r="I546" s="514">
        <v>12.48</v>
      </c>
      <c r="J546" s="512" t="s">
        <v>472</v>
      </c>
    </row>
    <row r="547" spans="1:10">
      <c r="A547" s="512">
        <f t="shared" si="24"/>
        <v>20110629</v>
      </c>
      <c r="B547" s="513" t="s">
        <v>459</v>
      </c>
      <c r="C547" s="513" t="str">
        <f t="shared" si="21"/>
        <v>20110629RLS</v>
      </c>
      <c r="D547" s="513" t="s">
        <v>219</v>
      </c>
      <c r="E547" s="513" t="str">
        <f t="shared" si="22"/>
        <v>20110629LGUM_211</v>
      </c>
      <c r="F547" s="514">
        <v>14.91</v>
      </c>
      <c r="G547" s="514">
        <v>0.13</v>
      </c>
      <c r="H547" s="514">
        <v>2.2999999999999998</v>
      </c>
      <c r="I547" s="514">
        <v>12.48</v>
      </c>
      <c r="J547" s="512" t="s">
        <v>472</v>
      </c>
    </row>
    <row r="548" spans="1:10">
      <c r="A548" s="512">
        <f t="shared" si="24"/>
        <v>20110629</v>
      </c>
      <c r="B548" s="513" t="s">
        <v>459</v>
      </c>
      <c r="C548" s="513" t="str">
        <f t="shared" si="21"/>
        <v>20110629RLS</v>
      </c>
      <c r="D548" s="513" t="s">
        <v>146</v>
      </c>
      <c r="E548" s="513" t="str">
        <f t="shared" si="22"/>
        <v>20110629LGUM_012</v>
      </c>
      <c r="F548" s="514">
        <v>16.29</v>
      </c>
      <c r="G548" s="514">
        <v>0.15</v>
      </c>
      <c r="H548" s="514">
        <v>3.65</v>
      </c>
      <c r="I548" s="514">
        <v>12.49</v>
      </c>
      <c r="J548" s="512" t="s">
        <v>473</v>
      </c>
    </row>
    <row r="549" spans="1:10">
      <c r="A549" s="512">
        <f t="shared" si="24"/>
        <v>20110629</v>
      </c>
      <c r="B549" s="513" t="s">
        <v>459</v>
      </c>
      <c r="C549" s="513" t="str">
        <f t="shared" si="21"/>
        <v>20110629RLS</v>
      </c>
      <c r="D549" s="513" t="s">
        <v>180</v>
      </c>
      <c r="E549" s="513" t="str">
        <f t="shared" si="22"/>
        <v>20110629LGUM_112</v>
      </c>
      <c r="F549" s="514">
        <v>16.29</v>
      </c>
      <c r="G549" s="514">
        <v>0.15</v>
      </c>
      <c r="H549" s="514">
        <v>3.65</v>
      </c>
      <c r="I549" s="514">
        <v>12.49</v>
      </c>
      <c r="J549" s="512" t="s">
        <v>473</v>
      </c>
    </row>
    <row r="550" spans="1:10">
      <c r="A550" s="512">
        <f t="shared" si="24"/>
        <v>20110629</v>
      </c>
      <c r="B550" s="513" t="s">
        <v>459</v>
      </c>
      <c r="C550" s="513" t="str">
        <f t="shared" si="21"/>
        <v>20110629RLS</v>
      </c>
      <c r="D550" s="513" t="s">
        <v>220</v>
      </c>
      <c r="E550" s="513" t="str">
        <f t="shared" si="22"/>
        <v>20110629LGUM_212</v>
      </c>
      <c r="F550" s="514">
        <v>16.29</v>
      </c>
      <c r="G550" s="514">
        <v>0.15</v>
      </c>
      <c r="H550" s="514">
        <v>3.65</v>
      </c>
      <c r="I550" s="514">
        <v>12.49</v>
      </c>
      <c r="J550" s="512" t="s">
        <v>473</v>
      </c>
    </row>
    <row r="551" spans="1:10">
      <c r="A551" s="512">
        <f t="shared" si="24"/>
        <v>20110629</v>
      </c>
      <c r="B551" s="513" t="s">
        <v>459</v>
      </c>
      <c r="C551" s="513" t="str">
        <f t="shared" si="21"/>
        <v>20110629RLS</v>
      </c>
      <c r="D551" s="513" t="s">
        <v>147</v>
      </c>
      <c r="E551" s="513" t="str">
        <f t="shared" si="22"/>
        <v>20110629LGUM_013</v>
      </c>
      <c r="F551" s="514">
        <v>16.29</v>
      </c>
      <c r="G551" s="514">
        <v>0.15</v>
      </c>
      <c r="H551" s="514">
        <v>3.65</v>
      </c>
      <c r="I551" s="514">
        <v>12.49</v>
      </c>
      <c r="J551" s="512" t="s">
        <v>474</v>
      </c>
    </row>
    <row r="552" spans="1:10">
      <c r="A552" s="512">
        <f t="shared" si="24"/>
        <v>20110629</v>
      </c>
      <c r="B552" s="513" t="s">
        <v>459</v>
      </c>
      <c r="C552" s="513" t="str">
        <f t="shared" si="21"/>
        <v>20110629RLS</v>
      </c>
      <c r="D552" s="513" t="s">
        <v>181</v>
      </c>
      <c r="E552" s="513" t="str">
        <f t="shared" si="22"/>
        <v>20110629LGUM_113</v>
      </c>
      <c r="F552" s="514">
        <v>16.29</v>
      </c>
      <c r="G552" s="514">
        <v>0.15</v>
      </c>
      <c r="H552" s="514">
        <v>3.65</v>
      </c>
      <c r="I552" s="514">
        <v>12.49</v>
      </c>
      <c r="J552" s="512" t="s">
        <v>474</v>
      </c>
    </row>
    <row r="553" spans="1:10">
      <c r="A553" s="512">
        <f t="shared" si="24"/>
        <v>20110629</v>
      </c>
      <c r="B553" s="513" t="s">
        <v>459</v>
      </c>
      <c r="C553" s="513" t="str">
        <f t="shared" si="21"/>
        <v>20110629RLS</v>
      </c>
      <c r="D553" s="513" t="s">
        <v>345</v>
      </c>
      <c r="E553" s="513" t="str">
        <f t="shared" si="22"/>
        <v>20110629LGUM_213</v>
      </c>
      <c r="F553" s="514">
        <v>16.29</v>
      </c>
      <c r="G553" s="514">
        <v>0.15</v>
      </c>
      <c r="H553" s="514">
        <v>3.65</v>
      </c>
      <c r="I553" s="514">
        <v>12.49</v>
      </c>
      <c r="J553" s="512" t="s">
        <v>474</v>
      </c>
    </row>
    <row r="554" spans="1:10">
      <c r="A554" s="512">
        <f t="shared" si="24"/>
        <v>20110629</v>
      </c>
      <c r="B554" s="513" t="s">
        <v>459</v>
      </c>
      <c r="C554" s="513" t="str">
        <f t="shared" si="21"/>
        <v>20110629RLS</v>
      </c>
      <c r="D554" s="513" t="s">
        <v>475</v>
      </c>
      <c r="E554" s="513" t="str">
        <f t="shared" si="22"/>
        <v>20110629LGUM_016</v>
      </c>
      <c r="F554" s="514">
        <v>27.08</v>
      </c>
      <c r="G554" s="514">
        <v>0.13</v>
      </c>
      <c r="H554" s="514">
        <v>2.2999999999999998</v>
      </c>
      <c r="I554" s="514">
        <v>24.65</v>
      </c>
      <c r="J554" s="512" t="s">
        <v>476</v>
      </c>
    </row>
    <row r="555" spans="1:10">
      <c r="A555" s="512">
        <f t="shared" si="24"/>
        <v>20110629</v>
      </c>
      <c r="B555" s="513" t="s">
        <v>459</v>
      </c>
      <c r="C555" s="513" t="str">
        <f t="shared" si="21"/>
        <v>20110629RLS</v>
      </c>
      <c r="D555" s="513" t="s">
        <v>182</v>
      </c>
      <c r="E555" s="513" t="str">
        <f t="shared" si="22"/>
        <v>20110629LGUM_116</v>
      </c>
      <c r="F555" s="514">
        <v>27.08</v>
      </c>
      <c r="G555" s="514">
        <v>0.13</v>
      </c>
      <c r="H555" s="514">
        <v>2.2999999999999998</v>
      </c>
      <c r="I555" s="514">
        <v>24.65</v>
      </c>
      <c r="J555" s="512" t="s">
        <v>476</v>
      </c>
    </row>
    <row r="556" spans="1:10">
      <c r="A556" s="512">
        <f t="shared" si="24"/>
        <v>20110629</v>
      </c>
      <c r="B556" s="513" t="s">
        <v>459</v>
      </c>
      <c r="C556" s="513" t="str">
        <f t="shared" si="21"/>
        <v>20110629RLS</v>
      </c>
      <c r="D556" s="513" t="s">
        <v>346</v>
      </c>
      <c r="E556" s="513" t="str">
        <f t="shared" si="22"/>
        <v>20110629LGUM_216</v>
      </c>
      <c r="F556" s="514">
        <v>27.08</v>
      </c>
      <c r="G556" s="514">
        <v>0.13</v>
      </c>
      <c r="H556" s="514">
        <v>2.2999999999999998</v>
      </c>
      <c r="I556" s="514">
        <v>24.65</v>
      </c>
      <c r="J556" s="512" t="s">
        <v>476</v>
      </c>
    </row>
    <row r="557" spans="1:10">
      <c r="A557" s="512">
        <f t="shared" si="24"/>
        <v>20110629</v>
      </c>
      <c r="B557" s="513" t="s">
        <v>459</v>
      </c>
      <c r="C557" s="513" t="str">
        <f t="shared" si="21"/>
        <v>20110629RLS</v>
      </c>
      <c r="D557" s="513" t="s">
        <v>477</v>
      </c>
      <c r="E557" s="513" t="str">
        <f t="shared" si="22"/>
        <v>20110629LGUM_017</v>
      </c>
      <c r="F557" s="514">
        <v>30.26</v>
      </c>
      <c r="G557" s="514">
        <v>0.15</v>
      </c>
      <c r="H557" s="514">
        <v>3.65</v>
      </c>
      <c r="I557" s="514">
        <v>26.460000000000004</v>
      </c>
      <c r="J557" s="512" t="s">
        <v>478</v>
      </c>
    </row>
    <row r="558" spans="1:10">
      <c r="A558" s="512">
        <f t="shared" si="24"/>
        <v>20110629</v>
      </c>
      <c r="B558" s="513" t="s">
        <v>459</v>
      </c>
      <c r="C558" s="513" t="str">
        <f t="shared" si="21"/>
        <v>20110629RLS</v>
      </c>
      <c r="D558" s="513" t="s">
        <v>183</v>
      </c>
      <c r="E558" s="513" t="str">
        <f t="shared" si="22"/>
        <v>20110629LGUM_117</v>
      </c>
      <c r="F558" s="514">
        <v>30.26</v>
      </c>
      <c r="G558" s="514">
        <v>0.15</v>
      </c>
      <c r="H558" s="514">
        <v>3.65</v>
      </c>
      <c r="I558" s="514">
        <v>26.460000000000004</v>
      </c>
      <c r="J558" s="512" t="s">
        <v>478</v>
      </c>
    </row>
    <row r="559" spans="1:10">
      <c r="A559" s="512">
        <f t="shared" si="24"/>
        <v>20110629</v>
      </c>
      <c r="B559" s="513" t="s">
        <v>459</v>
      </c>
      <c r="C559" s="513" t="str">
        <f t="shared" si="21"/>
        <v>20110629RLS</v>
      </c>
      <c r="D559" s="513" t="s">
        <v>347</v>
      </c>
      <c r="E559" s="513" t="str">
        <f t="shared" si="22"/>
        <v>20110629LGUM_217</v>
      </c>
      <c r="F559" s="514">
        <v>30.26</v>
      </c>
      <c r="G559" s="514">
        <v>0.15</v>
      </c>
      <c r="H559" s="514">
        <v>3.65</v>
      </c>
      <c r="I559" s="514">
        <v>26.460000000000004</v>
      </c>
      <c r="J559" s="512" t="s">
        <v>478</v>
      </c>
    </row>
    <row r="560" spans="1:10">
      <c r="A560" s="512">
        <f t="shared" si="24"/>
        <v>20110629</v>
      </c>
      <c r="B560" s="513" t="s">
        <v>459</v>
      </c>
      <c r="C560" s="513" t="str">
        <f t="shared" si="21"/>
        <v>20110629RLS</v>
      </c>
      <c r="D560" s="513" t="s">
        <v>148</v>
      </c>
      <c r="E560" s="513" t="str">
        <f t="shared" si="22"/>
        <v>20110629LGUM_022</v>
      </c>
      <c r="F560" s="514">
        <v>12.62</v>
      </c>
      <c r="G560" s="514">
        <v>0.13</v>
      </c>
      <c r="H560" s="514">
        <v>1.55</v>
      </c>
      <c r="I560" s="514">
        <v>10.939999999999998</v>
      </c>
      <c r="J560" s="512" t="s">
        <v>479</v>
      </c>
    </row>
    <row r="561" spans="1:10">
      <c r="A561" s="512">
        <f t="shared" si="24"/>
        <v>20110629</v>
      </c>
      <c r="B561" s="513" t="s">
        <v>459</v>
      </c>
      <c r="C561" s="513" t="str">
        <f t="shared" ref="C561:C624" si="25">A561&amp;B561</f>
        <v>20110629RLS</v>
      </c>
      <c r="D561" s="513" t="s">
        <v>184</v>
      </c>
      <c r="E561" s="513" t="str">
        <f t="shared" ref="E561:E624" si="26">A561&amp;D561</f>
        <v>20110629LGUM_122</v>
      </c>
      <c r="F561" s="514">
        <v>12.62</v>
      </c>
      <c r="G561" s="514">
        <v>0.13</v>
      </c>
      <c r="H561" s="514">
        <v>1.55</v>
      </c>
      <c r="I561" s="514">
        <v>10.939999999999998</v>
      </c>
      <c r="J561" s="512" t="s">
        <v>479</v>
      </c>
    </row>
    <row r="562" spans="1:10">
      <c r="A562" s="512">
        <f t="shared" si="24"/>
        <v>20110629</v>
      </c>
      <c r="B562" s="513" t="s">
        <v>459</v>
      </c>
      <c r="C562" s="513" t="str">
        <f t="shared" si="25"/>
        <v>20110629RLS</v>
      </c>
      <c r="D562" s="513" t="s">
        <v>221</v>
      </c>
      <c r="E562" s="513" t="str">
        <f t="shared" si="26"/>
        <v>20110629LGUM_222</v>
      </c>
      <c r="F562" s="514">
        <v>12.62</v>
      </c>
      <c r="G562" s="514">
        <v>0.13</v>
      </c>
      <c r="H562" s="514">
        <v>1.55</v>
      </c>
      <c r="I562" s="514">
        <v>10.939999999999998</v>
      </c>
      <c r="J562" s="512" t="s">
        <v>479</v>
      </c>
    </row>
    <row r="563" spans="1:10">
      <c r="A563" s="512">
        <f t="shared" si="24"/>
        <v>20110629</v>
      </c>
      <c r="B563" s="513" t="s">
        <v>459</v>
      </c>
      <c r="C563" s="513" t="str">
        <f t="shared" si="25"/>
        <v>20110629RLS</v>
      </c>
      <c r="D563" s="513" t="s">
        <v>149</v>
      </c>
      <c r="E563" s="513" t="str">
        <f t="shared" si="26"/>
        <v>20110629LGUM_023</v>
      </c>
      <c r="F563" s="514">
        <v>12.62</v>
      </c>
      <c r="G563" s="514">
        <v>0.13</v>
      </c>
      <c r="H563" s="514">
        <v>1.55</v>
      </c>
      <c r="I563" s="514">
        <v>10.939999999999998</v>
      </c>
      <c r="J563" s="512" t="s">
        <v>480</v>
      </c>
    </row>
    <row r="564" spans="1:10">
      <c r="A564" s="512">
        <f t="shared" si="24"/>
        <v>20110629</v>
      </c>
      <c r="B564" s="513" t="s">
        <v>459</v>
      </c>
      <c r="C564" s="513" t="str">
        <f t="shared" si="25"/>
        <v>20110629RLS</v>
      </c>
      <c r="D564" s="513" t="s">
        <v>185</v>
      </c>
      <c r="E564" s="513" t="str">
        <f t="shared" si="26"/>
        <v>20110629LGUM_123</v>
      </c>
      <c r="F564" s="514">
        <v>12.62</v>
      </c>
      <c r="G564" s="514">
        <v>0.13</v>
      </c>
      <c r="H564" s="514">
        <v>1.55</v>
      </c>
      <c r="I564" s="514">
        <v>10.939999999999998</v>
      </c>
      <c r="J564" s="512" t="s">
        <v>480</v>
      </c>
    </row>
    <row r="565" spans="1:10">
      <c r="A565" s="512">
        <f t="shared" si="24"/>
        <v>20110629</v>
      </c>
      <c r="B565" s="513" t="s">
        <v>459</v>
      </c>
      <c r="C565" s="513" t="str">
        <f t="shared" si="25"/>
        <v>20110629RLS</v>
      </c>
      <c r="D565" s="513" t="s">
        <v>348</v>
      </c>
      <c r="E565" s="513" t="str">
        <f t="shared" si="26"/>
        <v>20110629LGUM_223</v>
      </c>
      <c r="F565" s="514">
        <v>12.62</v>
      </c>
      <c r="G565" s="514">
        <v>0.13</v>
      </c>
      <c r="H565" s="514">
        <v>1.55</v>
      </c>
      <c r="I565" s="514">
        <v>10.939999999999998</v>
      </c>
      <c r="J565" s="512" t="s">
        <v>480</v>
      </c>
    </row>
    <row r="566" spans="1:10">
      <c r="A566" s="512">
        <f t="shared" si="24"/>
        <v>20110629</v>
      </c>
      <c r="B566" s="513" t="s">
        <v>459</v>
      </c>
      <c r="C566" s="513" t="str">
        <f t="shared" si="25"/>
        <v>20110629RLS</v>
      </c>
      <c r="D566" s="513" t="s">
        <v>150</v>
      </c>
      <c r="E566" s="513" t="str">
        <f t="shared" si="26"/>
        <v>20110629LGUM_024</v>
      </c>
      <c r="F566" s="514">
        <v>17.45</v>
      </c>
      <c r="G566" s="514">
        <v>0.14000000000000001</v>
      </c>
      <c r="H566" s="514">
        <v>1.07</v>
      </c>
      <c r="I566" s="514">
        <v>16.239999999999998</v>
      </c>
      <c r="J566" s="512" t="s">
        <v>481</v>
      </c>
    </row>
    <row r="567" spans="1:10">
      <c r="A567" s="512">
        <f t="shared" si="24"/>
        <v>20110629</v>
      </c>
      <c r="B567" s="513" t="s">
        <v>459</v>
      </c>
      <c r="C567" s="513" t="str">
        <f t="shared" si="25"/>
        <v>20110629RLS</v>
      </c>
      <c r="D567" s="513" t="s">
        <v>186</v>
      </c>
      <c r="E567" s="513" t="str">
        <f t="shared" si="26"/>
        <v>20110629LGUM_124</v>
      </c>
      <c r="F567" s="514">
        <v>17.45</v>
      </c>
      <c r="G567" s="514">
        <v>0.14000000000000001</v>
      </c>
      <c r="H567" s="514">
        <v>1.07</v>
      </c>
      <c r="I567" s="514">
        <v>16.239999999999998</v>
      </c>
      <c r="J567" s="512" t="s">
        <v>481</v>
      </c>
    </row>
    <row r="568" spans="1:10">
      <c r="A568" s="512">
        <f t="shared" si="24"/>
        <v>20110629</v>
      </c>
      <c r="B568" s="513" t="s">
        <v>459</v>
      </c>
      <c r="C568" s="513" t="str">
        <f t="shared" si="25"/>
        <v>20110629RLS</v>
      </c>
      <c r="D568" s="513" t="s">
        <v>222</v>
      </c>
      <c r="E568" s="513" t="str">
        <f t="shared" si="26"/>
        <v>20110629LGUM_224</v>
      </c>
      <c r="F568" s="514">
        <v>17.45</v>
      </c>
      <c r="G568" s="514">
        <v>0.14000000000000001</v>
      </c>
      <c r="H568" s="514">
        <v>1.07</v>
      </c>
      <c r="I568" s="514">
        <v>16.239999999999998</v>
      </c>
      <c r="J568" s="512" t="s">
        <v>481</v>
      </c>
    </row>
    <row r="569" spans="1:10">
      <c r="A569" s="512">
        <f t="shared" si="24"/>
        <v>20110629</v>
      </c>
      <c r="B569" s="513" t="s">
        <v>459</v>
      </c>
      <c r="C569" s="513" t="str">
        <f t="shared" si="25"/>
        <v>20110629RLS</v>
      </c>
      <c r="D569" s="513" t="s">
        <v>482</v>
      </c>
      <c r="E569" s="513" t="str">
        <f t="shared" si="26"/>
        <v>20110629LGUM_025</v>
      </c>
      <c r="F569" s="514">
        <v>23.51</v>
      </c>
      <c r="G569" s="514">
        <v>0.13</v>
      </c>
      <c r="H569" s="514">
        <v>1.55</v>
      </c>
      <c r="I569" s="514">
        <v>21.830000000000002</v>
      </c>
      <c r="J569" s="512" t="s">
        <v>479</v>
      </c>
    </row>
    <row r="570" spans="1:10">
      <c r="A570" s="512">
        <f t="shared" si="24"/>
        <v>20110629</v>
      </c>
      <c r="B570" s="513" t="s">
        <v>459</v>
      </c>
      <c r="C570" s="513" t="str">
        <f t="shared" si="25"/>
        <v>20110629RLS</v>
      </c>
      <c r="D570" s="513" t="s">
        <v>483</v>
      </c>
      <c r="E570" s="513" t="str">
        <f t="shared" si="26"/>
        <v>20110629LGUM_125</v>
      </c>
      <c r="F570" s="514">
        <v>23.51</v>
      </c>
      <c r="G570" s="514">
        <v>0.13</v>
      </c>
      <c r="H570" s="514">
        <v>1.55</v>
      </c>
      <c r="I570" s="514">
        <v>21.830000000000002</v>
      </c>
      <c r="J570" s="512" t="s">
        <v>479</v>
      </c>
    </row>
    <row r="571" spans="1:10">
      <c r="A571" s="512">
        <f t="shared" si="24"/>
        <v>20110629</v>
      </c>
      <c r="B571" s="513" t="s">
        <v>459</v>
      </c>
      <c r="C571" s="513" t="str">
        <f t="shared" si="25"/>
        <v>20110629RLS</v>
      </c>
      <c r="D571" s="513" t="s">
        <v>484</v>
      </c>
      <c r="E571" s="513" t="str">
        <f t="shared" si="26"/>
        <v>20110629LGUM_225</v>
      </c>
      <c r="F571" s="514">
        <v>23.51</v>
      </c>
      <c r="G571" s="514">
        <v>0.13</v>
      </c>
      <c r="H571" s="514">
        <v>1.55</v>
      </c>
      <c r="I571" s="514">
        <v>21.830000000000002</v>
      </c>
      <c r="J571" s="512" t="s">
        <v>479</v>
      </c>
    </row>
    <row r="572" spans="1:10">
      <c r="A572" s="512">
        <f t="shared" si="24"/>
        <v>20110629</v>
      </c>
      <c r="B572" s="513" t="s">
        <v>459</v>
      </c>
      <c r="C572" s="513" t="str">
        <f t="shared" si="25"/>
        <v>20110629RLS</v>
      </c>
      <c r="D572" s="513" t="s">
        <v>485</v>
      </c>
      <c r="E572" s="513" t="str">
        <f t="shared" si="26"/>
        <v>20110629LGUM_026</v>
      </c>
      <c r="F572" s="514">
        <v>13.27</v>
      </c>
      <c r="G572" s="514">
        <v>0.13</v>
      </c>
      <c r="H572" s="514">
        <v>0.74</v>
      </c>
      <c r="I572" s="514">
        <v>12.399999999999999</v>
      </c>
      <c r="J572" s="512" t="s">
        <v>486</v>
      </c>
    </row>
    <row r="573" spans="1:10">
      <c r="A573" s="512">
        <f t="shared" si="24"/>
        <v>20110629</v>
      </c>
      <c r="B573" s="513" t="s">
        <v>459</v>
      </c>
      <c r="C573" s="513" t="str">
        <f t="shared" si="25"/>
        <v>20110629RLS</v>
      </c>
      <c r="D573" s="513" t="s">
        <v>487</v>
      </c>
      <c r="E573" s="513" t="str">
        <f t="shared" si="26"/>
        <v>20110629LGUM_126</v>
      </c>
      <c r="F573" s="514">
        <v>13.27</v>
      </c>
      <c r="G573" s="514">
        <v>0.13</v>
      </c>
      <c r="H573" s="514">
        <v>0.74</v>
      </c>
      <c r="I573" s="514">
        <v>12.399999999999999</v>
      </c>
      <c r="J573" s="512" t="s">
        <v>486</v>
      </c>
    </row>
    <row r="574" spans="1:10">
      <c r="A574" s="512">
        <f t="shared" si="24"/>
        <v>20110629</v>
      </c>
      <c r="B574" s="513" t="s">
        <v>459</v>
      </c>
      <c r="C574" s="513" t="str">
        <f t="shared" si="25"/>
        <v>20110629RLS</v>
      </c>
      <c r="D574" s="513" t="s">
        <v>488</v>
      </c>
      <c r="E574" s="513" t="str">
        <f t="shared" si="26"/>
        <v>20110629LGUM_226</v>
      </c>
      <c r="F574" s="514">
        <v>13.27</v>
      </c>
      <c r="G574" s="514">
        <v>0.13</v>
      </c>
      <c r="H574" s="514">
        <v>0.74</v>
      </c>
      <c r="I574" s="514">
        <v>12.399999999999999</v>
      </c>
      <c r="J574" s="512" t="s">
        <v>486</v>
      </c>
    </row>
    <row r="575" spans="1:10">
      <c r="A575" s="512">
        <f t="shared" si="24"/>
        <v>20110629</v>
      </c>
      <c r="B575" s="513" t="s">
        <v>459</v>
      </c>
      <c r="C575" s="513" t="str">
        <f t="shared" si="25"/>
        <v>20110629RLS</v>
      </c>
      <c r="D575" s="513" t="s">
        <v>489</v>
      </c>
      <c r="E575" s="513" t="str">
        <f t="shared" si="26"/>
        <v>20110629LGUM_251</v>
      </c>
      <c r="F575" s="514">
        <v>1.0000000000000001E-9</v>
      </c>
      <c r="G575" s="514">
        <v>0</v>
      </c>
      <c r="H575" s="514">
        <v>0</v>
      </c>
      <c r="I575" s="514">
        <v>1.0000000000000001E-9</v>
      </c>
      <c r="J575" s="512" t="s">
        <v>490</v>
      </c>
    </row>
    <row r="576" spans="1:10">
      <c r="A576" s="512">
        <f t="shared" si="24"/>
        <v>20110629</v>
      </c>
      <c r="B576" s="513" t="s">
        <v>459</v>
      </c>
      <c r="C576" s="513" t="str">
        <f t="shared" si="25"/>
        <v>20110629RLS</v>
      </c>
      <c r="D576" s="513" t="s">
        <v>151</v>
      </c>
      <c r="E576" s="513" t="str">
        <f t="shared" si="26"/>
        <v>20110629LGUM_052</v>
      </c>
      <c r="F576" s="514">
        <v>10.33</v>
      </c>
      <c r="G576" s="514">
        <v>0.1</v>
      </c>
      <c r="H576" s="514">
        <v>1.55</v>
      </c>
      <c r="I576" s="514">
        <v>8.68</v>
      </c>
      <c r="J576" s="512" t="s">
        <v>491</v>
      </c>
    </row>
    <row r="577" spans="1:10">
      <c r="A577" s="512">
        <f t="shared" si="24"/>
        <v>20110629</v>
      </c>
      <c r="B577" s="513" t="s">
        <v>459</v>
      </c>
      <c r="C577" s="513" t="str">
        <f t="shared" si="25"/>
        <v>20110629RLS</v>
      </c>
      <c r="D577" s="513" t="s">
        <v>187</v>
      </c>
      <c r="E577" s="513" t="str">
        <f t="shared" si="26"/>
        <v>20110629LGUM_152</v>
      </c>
      <c r="F577" s="514">
        <v>10.33</v>
      </c>
      <c r="G577" s="514">
        <v>0.1</v>
      </c>
      <c r="H577" s="514">
        <v>1.55</v>
      </c>
      <c r="I577" s="514">
        <v>8.68</v>
      </c>
      <c r="J577" s="512" t="s">
        <v>491</v>
      </c>
    </row>
    <row r="578" spans="1:10">
      <c r="A578" s="512">
        <f t="shared" si="24"/>
        <v>20110629</v>
      </c>
      <c r="B578" s="513" t="s">
        <v>459</v>
      </c>
      <c r="C578" s="513" t="str">
        <f t="shared" si="25"/>
        <v>20110629RLS</v>
      </c>
      <c r="D578" s="513" t="s">
        <v>223</v>
      </c>
      <c r="E578" s="513" t="str">
        <f t="shared" si="26"/>
        <v>20110629LGUM_252</v>
      </c>
      <c r="F578" s="514">
        <v>10.33</v>
      </c>
      <c r="G578" s="514">
        <v>0.1</v>
      </c>
      <c r="H578" s="514">
        <v>1.55</v>
      </c>
      <c r="I578" s="514">
        <v>8.68</v>
      </c>
      <c r="J578" s="512" t="s">
        <v>491</v>
      </c>
    </row>
    <row r="579" spans="1:10">
      <c r="A579" s="512">
        <f t="shared" si="24"/>
        <v>20110629</v>
      </c>
      <c r="B579" s="513" t="s">
        <v>459</v>
      </c>
      <c r="C579" s="513" t="str">
        <f t="shared" si="25"/>
        <v>20110629RLS</v>
      </c>
      <c r="D579" s="513" t="s">
        <v>152</v>
      </c>
      <c r="E579" s="513" t="str">
        <f t="shared" si="26"/>
        <v>20110629LGUM_053</v>
      </c>
      <c r="F579" s="514">
        <v>11.81</v>
      </c>
      <c r="G579" s="514">
        <v>0.13</v>
      </c>
      <c r="H579" s="514">
        <v>2.2000000000000002</v>
      </c>
      <c r="I579" s="514">
        <v>9.48</v>
      </c>
      <c r="J579" s="512" t="s">
        <v>492</v>
      </c>
    </row>
    <row r="580" spans="1:10">
      <c r="A580" s="512">
        <f t="shared" si="24"/>
        <v>20110629</v>
      </c>
      <c r="B580" s="513" t="s">
        <v>459</v>
      </c>
      <c r="C580" s="513" t="str">
        <f t="shared" si="25"/>
        <v>20110629RLS</v>
      </c>
      <c r="D580" s="513" t="s">
        <v>188</v>
      </c>
      <c r="E580" s="513" t="str">
        <f t="shared" si="26"/>
        <v>20110629LGUM_153</v>
      </c>
      <c r="F580" s="514">
        <v>11.81</v>
      </c>
      <c r="G580" s="514">
        <v>0.13</v>
      </c>
      <c r="H580" s="514">
        <v>2.2000000000000002</v>
      </c>
      <c r="I580" s="514">
        <v>9.48</v>
      </c>
      <c r="J580" s="512" t="s">
        <v>492</v>
      </c>
    </row>
    <row r="581" spans="1:10">
      <c r="A581" s="512">
        <f t="shared" si="24"/>
        <v>20110629</v>
      </c>
      <c r="B581" s="513" t="s">
        <v>459</v>
      </c>
      <c r="C581" s="513" t="str">
        <f t="shared" si="25"/>
        <v>20110629RLS</v>
      </c>
      <c r="D581" s="513" t="s">
        <v>224</v>
      </c>
      <c r="E581" s="513" t="str">
        <f t="shared" si="26"/>
        <v>20110629LGUM_253</v>
      </c>
      <c r="F581" s="514">
        <v>11.81</v>
      </c>
      <c r="G581" s="514">
        <v>0.13</v>
      </c>
      <c r="H581" s="514">
        <v>2.2000000000000002</v>
      </c>
      <c r="I581" s="514">
        <v>9.48</v>
      </c>
      <c r="J581" s="512" t="s">
        <v>492</v>
      </c>
    </row>
    <row r="582" spans="1:10">
      <c r="A582" s="512">
        <f t="shared" si="24"/>
        <v>20110629</v>
      </c>
      <c r="B582" s="513" t="s">
        <v>459</v>
      </c>
      <c r="C582" s="513" t="str">
        <f t="shared" si="25"/>
        <v>20110629RLS</v>
      </c>
      <c r="D582" s="513" t="s">
        <v>153</v>
      </c>
      <c r="E582" s="513" t="str">
        <f t="shared" si="26"/>
        <v>20110629LGUM_054</v>
      </c>
      <c r="F582" s="514">
        <v>14.39</v>
      </c>
      <c r="G582" s="514">
        <v>0.15</v>
      </c>
      <c r="H582" s="514">
        <v>3.41</v>
      </c>
      <c r="I582" s="514">
        <v>10.83</v>
      </c>
      <c r="J582" s="512" t="s">
        <v>493</v>
      </c>
    </row>
    <row r="583" spans="1:10">
      <c r="A583" s="512">
        <f t="shared" si="24"/>
        <v>20110629</v>
      </c>
      <c r="B583" s="513" t="s">
        <v>459</v>
      </c>
      <c r="C583" s="513" t="str">
        <f t="shared" si="25"/>
        <v>20110629RLS</v>
      </c>
      <c r="D583" s="513" t="s">
        <v>189</v>
      </c>
      <c r="E583" s="513" t="str">
        <f t="shared" si="26"/>
        <v>20110629LGUM_154</v>
      </c>
      <c r="F583" s="514">
        <v>14.39</v>
      </c>
      <c r="G583" s="514">
        <v>0.15</v>
      </c>
      <c r="H583" s="514">
        <v>3.41</v>
      </c>
      <c r="I583" s="514">
        <v>10.83</v>
      </c>
      <c r="J583" s="512" t="s">
        <v>493</v>
      </c>
    </row>
    <row r="584" spans="1:10">
      <c r="A584" s="512">
        <f t="shared" si="24"/>
        <v>20110629</v>
      </c>
      <c r="B584" s="513" t="s">
        <v>459</v>
      </c>
      <c r="C584" s="513" t="str">
        <f t="shared" si="25"/>
        <v>20110629RLS</v>
      </c>
      <c r="D584" s="513" t="s">
        <v>349</v>
      </c>
      <c r="E584" s="513" t="str">
        <f t="shared" si="26"/>
        <v>20110629LGUM_254</v>
      </c>
      <c r="F584" s="514">
        <v>14.39</v>
      </c>
      <c r="G584" s="514">
        <v>0.15</v>
      </c>
      <c r="H584" s="514">
        <v>3.41</v>
      </c>
      <c r="I584" s="514">
        <v>10.83</v>
      </c>
      <c r="J584" s="512" t="s">
        <v>493</v>
      </c>
    </row>
    <row r="585" spans="1:10">
      <c r="A585" s="512">
        <f t="shared" si="24"/>
        <v>20110629</v>
      </c>
      <c r="B585" s="513" t="s">
        <v>459</v>
      </c>
      <c r="C585" s="513" t="str">
        <f t="shared" si="25"/>
        <v>20110629RLS</v>
      </c>
      <c r="D585" s="513" t="s">
        <v>154</v>
      </c>
      <c r="E585" s="513" t="str">
        <f t="shared" si="26"/>
        <v>20110629LGUM_055</v>
      </c>
      <c r="F585" s="514">
        <v>9.9600000000000009</v>
      </c>
      <c r="G585" s="514">
        <v>0.14000000000000001</v>
      </c>
      <c r="H585" s="514">
        <v>1.07</v>
      </c>
      <c r="I585" s="514">
        <v>8.75</v>
      </c>
      <c r="J585" s="512" t="s">
        <v>494</v>
      </c>
    </row>
    <row r="586" spans="1:10">
      <c r="A586" s="512">
        <f t="shared" si="24"/>
        <v>20110629</v>
      </c>
      <c r="B586" s="513" t="s">
        <v>459</v>
      </c>
      <c r="C586" s="513" t="str">
        <f t="shared" si="25"/>
        <v>20110629RLS</v>
      </c>
      <c r="D586" s="513" t="s">
        <v>190</v>
      </c>
      <c r="E586" s="513" t="str">
        <f t="shared" si="26"/>
        <v>20110629LGUM_155</v>
      </c>
      <c r="F586" s="514">
        <v>9.9600000000000009</v>
      </c>
      <c r="G586" s="514">
        <v>0.14000000000000001</v>
      </c>
      <c r="H586" s="514">
        <v>1.07</v>
      </c>
      <c r="I586" s="514">
        <v>8.75</v>
      </c>
      <c r="J586" s="512" t="s">
        <v>494</v>
      </c>
    </row>
    <row r="587" spans="1:10">
      <c r="A587" s="512">
        <f t="shared" si="24"/>
        <v>20110629</v>
      </c>
      <c r="B587" s="513" t="s">
        <v>459</v>
      </c>
      <c r="C587" s="513" t="str">
        <f t="shared" si="25"/>
        <v>20110629RLS</v>
      </c>
      <c r="D587" s="513" t="s">
        <v>225</v>
      </c>
      <c r="E587" s="513" t="str">
        <f t="shared" si="26"/>
        <v>20110629LGUM_255</v>
      </c>
      <c r="F587" s="514">
        <v>9.9600000000000009</v>
      </c>
      <c r="G587" s="514">
        <v>0.14000000000000001</v>
      </c>
      <c r="H587" s="514">
        <v>1.07</v>
      </c>
      <c r="I587" s="514">
        <v>8.75</v>
      </c>
      <c r="J587" s="512" t="s">
        <v>494</v>
      </c>
    </row>
    <row r="588" spans="1:10">
      <c r="A588" s="512">
        <f t="shared" si="24"/>
        <v>20110629</v>
      </c>
      <c r="B588" s="513" t="s">
        <v>459</v>
      </c>
      <c r="C588" s="513" t="str">
        <f t="shared" si="25"/>
        <v>20110629RLS</v>
      </c>
      <c r="D588" s="513" t="s">
        <v>495</v>
      </c>
      <c r="E588" s="513" t="str">
        <f t="shared" si="26"/>
        <v>20110629LGUM_056</v>
      </c>
      <c r="F588" s="514">
        <v>13.18</v>
      </c>
      <c r="G588" s="514">
        <v>0.14000000000000001</v>
      </c>
      <c r="H588" s="514">
        <v>0.92</v>
      </c>
      <c r="I588" s="514">
        <v>12.12</v>
      </c>
      <c r="J588" s="512" t="s">
        <v>496</v>
      </c>
    </row>
    <row r="589" spans="1:10">
      <c r="A589" s="512">
        <f t="shared" si="24"/>
        <v>20110629</v>
      </c>
      <c r="B589" s="513" t="s">
        <v>459</v>
      </c>
      <c r="C589" s="513" t="str">
        <f t="shared" si="25"/>
        <v>20110629RLS</v>
      </c>
      <c r="D589" s="513" t="s">
        <v>497</v>
      </c>
      <c r="E589" s="513" t="str">
        <f t="shared" si="26"/>
        <v>20110629LGUM_156</v>
      </c>
      <c r="F589" s="514">
        <v>13.18</v>
      </c>
      <c r="G589" s="514">
        <v>0.14000000000000001</v>
      </c>
      <c r="H589" s="514">
        <v>0.92</v>
      </c>
      <c r="I589" s="514">
        <v>12.12</v>
      </c>
      <c r="J589" s="512" t="s">
        <v>496</v>
      </c>
    </row>
    <row r="590" spans="1:10">
      <c r="A590" s="512">
        <f t="shared" si="24"/>
        <v>20110629</v>
      </c>
      <c r="B590" s="513" t="s">
        <v>459</v>
      </c>
      <c r="C590" s="513" t="str">
        <f t="shared" si="25"/>
        <v>20110629RLS</v>
      </c>
      <c r="D590" s="513" t="s">
        <v>498</v>
      </c>
      <c r="E590" s="513" t="str">
        <f t="shared" si="26"/>
        <v>20110629LGUM_256</v>
      </c>
      <c r="F590" s="514">
        <v>13.18</v>
      </c>
      <c r="G590" s="514">
        <v>0.14000000000000001</v>
      </c>
      <c r="H590" s="514">
        <v>0.92</v>
      </c>
      <c r="I590" s="514">
        <v>12.12</v>
      </c>
      <c r="J590" s="512" t="s">
        <v>496</v>
      </c>
    </row>
    <row r="591" spans="1:10">
      <c r="A591" s="512">
        <f t="shared" si="24"/>
        <v>20110629</v>
      </c>
      <c r="B591" s="513" t="s">
        <v>459</v>
      </c>
      <c r="C591" s="513" t="str">
        <f t="shared" si="25"/>
        <v>20110629RLS</v>
      </c>
      <c r="D591" s="513" t="s">
        <v>155</v>
      </c>
      <c r="E591" s="513" t="str">
        <f t="shared" si="26"/>
        <v>20110629LGUM_057</v>
      </c>
      <c r="F591" s="514">
        <v>14.39</v>
      </c>
      <c r="G591" s="514">
        <v>0.15</v>
      </c>
      <c r="H591" s="514">
        <v>3.41</v>
      </c>
      <c r="I591" s="514">
        <v>10.83</v>
      </c>
      <c r="J591" s="512" t="s">
        <v>499</v>
      </c>
    </row>
    <row r="592" spans="1:10">
      <c r="A592" s="512">
        <f t="shared" si="24"/>
        <v>20110629</v>
      </c>
      <c r="B592" s="513" t="s">
        <v>459</v>
      </c>
      <c r="C592" s="513" t="str">
        <f t="shared" si="25"/>
        <v>20110629RLS</v>
      </c>
      <c r="D592" s="513" t="s">
        <v>191</v>
      </c>
      <c r="E592" s="513" t="str">
        <f t="shared" si="26"/>
        <v>20110629LGUM_157</v>
      </c>
      <c r="F592" s="514">
        <v>14.39</v>
      </c>
      <c r="G592" s="514">
        <v>0.15</v>
      </c>
      <c r="H592" s="514">
        <v>3.41</v>
      </c>
      <c r="I592" s="514">
        <v>10.83</v>
      </c>
      <c r="J592" s="512" t="s">
        <v>499</v>
      </c>
    </row>
    <row r="593" spans="1:10">
      <c r="A593" s="512">
        <f t="shared" si="24"/>
        <v>20110629</v>
      </c>
      <c r="B593" s="513" t="s">
        <v>459</v>
      </c>
      <c r="C593" s="513" t="str">
        <f t="shared" si="25"/>
        <v>20110629RLS</v>
      </c>
      <c r="D593" s="513" t="s">
        <v>350</v>
      </c>
      <c r="E593" s="513" t="str">
        <f t="shared" si="26"/>
        <v>20110629LGUM_257</v>
      </c>
      <c r="F593" s="514">
        <v>14.39</v>
      </c>
      <c r="G593" s="514">
        <v>0.15</v>
      </c>
      <c r="H593" s="514">
        <v>3.41</v>
      </c>
      <c r="I593" s="514">
        <v>10.83</v>
      </c>
      <c r="J593" s="512" t="s">
        <v>499</v>
      </c>
    </row>
    <row r="594" spans="1:10">
      <c r="A594" s="512">
        <f t="shared" si="24"/>
        <v>20110629</v>
      </c>
      <c r="B594" s="513" t="s">
        <v>459</v>
      </c>
      <c r="C594" s="513" t="str">
        <f t="shared" si="25"/>
        <v>20110629RLS</v>
      </c>
      <c r="D594" s="513" t="s">
        <v>156</v>
      </c>
      <c r="E594" s="513" t="str">
        <f t="shared" si="26"/>
        <v>20110629LGUM_058</v>
      </c>
      <c r="F594" s="514">
        <v>14.99</v>
      </c>
      <c r="G594" s="514">
        <v>0.1</v>
      </c>
      <c r="H594" s="514">
        <v>1.55</v>
      </c>
      <c r="I594" s="514">
        <v>13.34</v>
      </c>
      <c r="J594" s="512" t="s">
        <v>500</v>
      </c>
    </row>
    <row r="595" spans="1:10">
      <c r="A595" s="512">
        <f t="shared" si="24"/>
        <v>20110629</v>
      </c>
      <c r="B595" s="513" t="s">
        <v>459</v>
      </c>
      <c r="C595" s="513" t="str">
        <f t="shared" si="25"/>
        <v>20110629RLS</v>
      </c>
      <c r="D595" s="513" t="s">
        <v>192</v>
      </c>
      <c r="E595" s="513" t="str">
        <f t="shared" si="26"/>
        <v>20110629LGUM_158</v>
      </c>
      <c r="F595" s="514">
        <v>14.99</v>
      </c>
      <c r="G595" s="514">
        <v>0.1</v>
      </c>
      <c r="H595" s="514">
        <v>1.55</v>
      </c>
      <c r="I595" s="514">
        <v>13.34</v>
      </c>
      <c r="J595" s="512" t="s">
        <v>500</v>
      </c>
    </row>
    <row r="596" spans="1:10">
      <c r="A596" s="512">
        <f t="shared" si="24"/>
        <v>20110629</v>
      </c>
      <c r="B596" s="513" t="s">
        <v>459</v>
      </c>
      <c r="C596" s="513" t="str">
        <f t="shared" si="25"/>
        <v>20110629RLS</v>
      </c>
      <c r="D596" s="513" t="s">
        <v>226</v>
      </c>
      <c r="E596" s="513" t="str">
        <f t="shared" si="26"/>
        <v>20110629LGUM_258</v>
      </c>
      <c r="F596" s="514">
        <v>14.99</v>
      </c>
      <c r="G596" s="514">
        <v>0.1</v>
      </c>
      <c r="H596" s="514">
        <v>1.55</v>
      </c>
      <c r="I596" s="514">
        <v>13.34</v>
      </c>
      <c r="J596" s="512" t="s">
        <v>500</v>
      </c>
    </row>
    <row r="597" spans="1:10">
      <c r="A597" s="512">
        <f t="shared" si="24"/>
        <v>20110629</v>
      </c>
      <c r="B597" s="513" t="s">
        <v>459</v>
      </c>
      <c r="C597" s="513" t="str">
        <f t="shared" si="25"/>
        <v>20110629RLS</v>
      </c>
      <c r="D597" s="513" t="s">
        <v>361</v>
      </c>
      <c r="E597" s="513" t="str">
        <f t="shared" si="26"/>
        <v>20110629LGUM_059</v>
      </c>
      <c r="F597" s="514">
        <v>26.66</v>
      </c>
      <c r="G597" s="514">
        <v>0.26</v>
      </c>
      <c r="H597" s="514">
        <v>8.16</v>
      </c>
      <c r="I597" s="514">
        <v>18.239999999999998</v>
      </c>
      <c r="J597" s="512" t="s">
        <v>501</v>
      </c>
    </row>
    <row r="598" spans="1:10">
      <c r="A598" s="512">
        <f t="shared" si="24"/>
        <v>20110629</v>
      </c>
      <c r="B598" s="513" t="s">
        <v>459</v>
      </c>
      <c r="C598" s="513" t="str">
        <f t="shared" si="25"/>
        <v>20110629RLS</v>
      </c>
      <c r="D598" s="513" t="s">
        <v>193</v>
      </c>
      <c r="E598" s="513" t="str">
        <f t="shared" si="26"/>
        <v>20110629LGUM_159</v>
      </c>
      <c r="F598" s="514">
        <v>26.66</v>
      </c>
      <c r="G598" s="514">
        <v>0.26</v>
      </c>
      <c r="H598" s="514">
        <v>8.16</v>
      </c>
      <c r="I598" s="514">
        <v>18.239999999999998</v>
      </c>
      <c r="J598" s="512" t="s">
        <v>501</v>
      </c>
    </row>
    <row r="599" spans="1:10">
      <c r="A599" s="512">
        <f t="shared" si="24"/>
        <v>20110629</v>
      </c>
      <c r="B599" s="513" t="s">
        <v>459</v>
      </c>
      <c r="C599" s="513" t="str">
        <f t="shared" si="25"/>
        <v>20110629RLS</v>
      </c>
      <c r="D599" s="513" t="s">
        <v>227</v>
      </c>
      <c r="E599" s="513" t="str">
        <f t="shared" si="26"/>
        <v>20110629LGUM_259</v>
      </c>
      <c r="F599" s="514">
        <v>26.66</v>
      </c>
      <c r="G599" s="514">
        <v>0.26</v>
      </c>
      <c r="H599" s="514">
        <v>8.16</v>
      </c>
      <c r="I599" s="514">
        <v>18.239999999999998</v>
      </c>
      <c r="J599" s="512" t="s">
        <v>501</v>
      </c>
    </row>
    <row r="600" spans="1:10">
      <c r="A600" s="512">
        <f t="shared" si="24"/>
        <v>20110629</v>
      </c>
      <c r="B600" s="513" t="s">
        <v>459</v>
      </c>
      <c r="C600" s="513" t="str">
        <f t="shared" si="25"/>
        <v>20110629RLS</v>
      </c>
      <c r="D600" s="513" t="s">
        <v>502</v>
      </c>
      <c r="E600" s="513" t="str">
        <f t="shared" si="26"/>
        <v>20110629LGUM_060</v>
      </c>
      <c r="F600" s="514">
        <v>26.79</v>
      </c>
      <c r="G600" s="514">
        <v>0.26</v>
      </c>
      <c r="H600" s="514">
        <v>8.16</v>
      </c>
      <c r="I600" s="514">
        <v>18.369999999999997</v>
      </c>
      <c r="J600" s="512" t="s">
        <v>503</v>
      </c>
    </row>
    <row r="601" spans="1:10">
      <c r="A601" s="512">
        <f t="shared" si="24"/>
        <v>20110629</v>
      </c>
      <c r="B601" s="513" t="s">
        <v>459</v>
      </c>
      <c r="C601" s="513" t="str">
        <f t="shared" si="25"/>
        <v>20110629RLS</v>
      </c>
      <c r="D601" s="513" t="s">
        <v>194</v>
      </c>
      <c r="E601" s="513" t="str">
        <f t="shared" si="26"/>
        <v>20110629LGUM_160</v>
      </c>
      <c r="F601" s="514">
        <v>26.79</v>
      </c>
      <c r="G601" s="514">
        <v>0.26</v>
      </c>
      <c r="H601" s="514">
        <v>8.16</v>
      </c>
      <c r="I601" s="514">
        <v>18.369999999999997</v>
      </c>
      <c r="J601" s="512" t="s">
        <v>503</v>
      </c>
    </row>
    <row r="602" spans="1:10">
      <c r="A602" s="512">
        <f t="shared" si="24"/>
        <v>20110629</v>
      </c>
      <c r="B602" s="513" t="s">
        <v>459</v>
      </c>
      <c r="C602" s="513" t="str">
        <f t="shared" si="25"/>
        <v>20110629RLS</v>
      </c>
      <c r="D602" s="513" t="s">
        <v>351</v>
      </c>
      <c r="E602" s="513" t="str">
        <f t="shared" si="26"/>
        <v>20110629LGUM_260</v>
      </c>
      <c r="F602" s="514">
        <v>26.79</v>
      </c>
      <c r="G602" s="514">
        <v>0.26</v>
      </c>
      <c r="H602" s="514">
        <v>8.16</v>
      </c>
      <c r="I602" s="514">
        <v>18.369999999999997</v>
      </c>
      <c r="J602" s="512" t="s">
        <v>503</v>
      </c>
    </row>
    <row r="603" spans="1:10">
      <c r="A603" s="512">
        <f t="shared" si="24"/>
        <v>20110629</v>
      </c>
      <c r="B603" s="513" t="s">
        <v>459</v>
      </c>
      <c r="C603" s="513" t="str">
        <f t="shared" si="25"/>
        <v>20110629RLS</v>
      </c>
      <c r="D603" s="513" t="s">
        <v>157</v>
      </c>
      <c r="E603" s="513" t="str">
        <f t="shared" si="26"/>
        <v>20110629LGUM_061</v>
      </c>
      <c r="F603" s="514">
        <v>14.91</v>
      </c>
      <c r="G603" s="514">
        <v>0.13</v>
      </c>
      <c r="H603" s="514">
        <v>2.2999999999999998</v>
      </c>
      <c r="I603" s="514">
        <v>12.48</v>
      </c>
      <c r="J603" s="512" t="s">
        <v>504</v>
      </c>
    </row>
    <row r="604" spans="1:10">
      <c r="A604" s="512">
        <f t="shared" si="24"/>
        <v>20110629</v>
      </c>
      <c r="B604" s="513" t="s">
        <v>459</v>
      </c>
      <c r="C604" s="513" t="str">
        <f t="shared" si="25"/>
        <v>20110629RLS</v>
      </c>
      <c r="D604" s="513" t="s">
        <v>195</v>
      </c>
      <c r="E604" s="513" t="str">
        <f t="shared" si="26"/>
        <v>20110629LGUM_161</v>
      </c>
      <c r="F604" s="514">
        <v>14.91</v>
      </c>
      <c r="G604" s="514">
        <v>0.13</v>
      </c>
      <c r="H604" s="514">
        <v>2.2999999999999998</v>
      </c>
      <c r="I604" s="514">
        <v>12.48</v>
      </c>
      <c r="J604" s="512" t="s">
        <v>504</v>
      </c>
    </row>
    <row r="605" spans="1:10">
      <c r="A605" s="512">
        <f t="shared" si="24"/>
        <v>20110629</v>
      </c>
      <c r="B605" s="513" t="s">
        <v>459</v>
      </c>
      <c r="C605" s="513" t="str">
        <f t="shared" si="25"/>
        <v>20110629RLS</v>
      </c>
      <c r="D605" s="513" t="s">
        <v>228</v>
      </c>
      <c r="E605" s="513" t="str">
        <f t="shared" si="26"/>
        <v>20110629LGUM_261</v>
      </c>
      <c r="F605" s="514">
        <v>14.91</v>
      </c>
      <c r="G605" s="514">
        <v>0.13</v>
      </c>
      <c r="H605" s="514">
        <v>2.2999999999999998</v>
      </c>
      <c r="I605" s="514">
        <v>12.48</v>
      </c>
      <c r="J605" s="512" t="s">
        <v>504</v>
      </c>
    </row>
    <row r="606" spans="1:10">
      <c r="A606" s="512">
        <f t="shared" si="24"/>
        <v>20110629</v>
      </c>
      <c r="B606" s="513" t="s">
        <v>459</v>
      </c>
      <c r="C606" s="513" t="str">
        <f t="shared" si="25"/>
        <v>20110629RLS</v>
      </c>
      <c r="D606" s="513" t="s">
        <v>158</v>
      </c>
      <c r="E606" s="513" t="str">
        <f t="shared" si="26"/>
        <v>20110629LGUM_062</v>
      </c>
      <c r="F606" s="514">
        <v>16.29</v>
      </c>
      <c r="G606" s="514">
        <v>0.15</v>
      </c>
      <c r="H606" s="514">
        <v>3.65</v>
      </c>
      <c r="I606" s="514">
        <v>12.49</v>
      </c>
      <c r="J606" s="512" t="s">
        <v>505</v>
      </c>
    </row>
    <row r="607" spans="1:10">
      <c r="A607" s="512">
        <f t="shared" si="24"/>
        <v>20110629</v>
      </c>
      <c r="B607" s="513" t="s">
        <v>459</v>
      </c>
      <c r="C607" s="513" t="str">
        <f t="shared" si="25"/>
        <v>20110629RLS</v>
      </c>
      <c r="D607" s="513" t="s">
        <v>196</v>
      </c>
      <c r="E607" s="513" t="str">
        <f t="shared" si="26"/>
        <v>20110629LGUM_162</v>
      </c>
      <c r="F607" s="514">
        <v>16.29</v>
      </c>
      <c r="G607" s="514">
        <v>0.15</v>
      </c>
      <c r="H607" s="514">
        <v>3.65</v>
      </c>
      <c r="I607" s="514">
        <v>12.49</v>
      </c>
      <c r="J607" s="512" t="s">
        <v>505</v>
      </c>
    </row>
    <row r="608" spans="1:10">
      <c r="A608" s="512">
        <f t="shared" si="24"/>
        <v>20110629</v>
      </c>
      <c r="B608" s="513" t="s">
        <v>459</v>
      </c>
      <c r="C608" s="513" t="str">
        <f t="shared" si="25"/>
        <v>20110629RLS</v>
      </c>
      <c r="D608" s="513" t="s">
        <v>229</v>
      </c>
      <c r="E608" s="513" t="str">
        <f t="shared" si="26"/>
        <v>20110629LGUM_262</v>
      </c>
      <c r="F608" s="514">
        <v>16.29</v>
      </c>
      <c r="G608" s="514">
        <v>0.15</v>
      </c>
      <c r="H608" s="514">
        <v>3.65</v>
      </c>
      <c r="I608" s="514">
        <v>12.49</v>
      </c>
      <c r="J608" s="512" t="s">
        <v>505</v>
      </c>
    </row>
    <row r="609" spans="1:10">
      <c r="A609" s="512">
        <f t="shared" ref="A609:A672" si="27">A608</f>
        <v>20110629</v>
      </c>
      <c r="B609" s="513" t="s">
        <v>459</v>
      </c>
      <c r="C609" s="513" t="str">
        <f t="shared" si="25"/>
        <v>20110629RLS</v>
      </c>
      <c r="D609" s="513" t="s">
        <v>159</v>
      </c>
      <c r="E609" s="513" t="str">
        <f t="shared" si="26"/>
        <v>20110629LGUM_063</v>
      </c>
      <c r="F609" s="514">
        <v>16.29</v>
      </c>
      <c r="G609" s="514">
        <v>0.15</v>
      </c>
      <c r="H609" s="514">
        <v>3.65</v>
      </c>
      <c r="I609" s="514">
        <v>12.49</v>
      </c>
      <c r="J609" s="512" t="s">
        <v>506</v>
      </c>
    </row>
    <row r="610" spans="1:10">
      <c r="A610" s="512">
        <f t="shared" si="27"/>
        <v>20110629</v>
      </c>
      <c r="B610" s="513" t="s">
        <v>459</v>
      </c>
      <c r="C610" s="513" t="str">
        <f t="shared" si="25"/>
        <v>20110629RLS</v>
      </c>
      <c r="D610" s="513" t="s">
        <v>197</v>
      </c>
      <c r="E610" s="513" t="str">
        <f t="shared" si="26"/>
        <v>20110629LGUM_163</v>
      </c>
      <c r="F610" s="514">
        <v>16.29</v>
      </c>
      <c r="G610" s="514">
        <v>0.15</v>
      </c>
      <c r="H610" s="514">
        <v>3.65</v>
      </c>
      <c r="I610" s="514">
        <v>12.49</v>
      </c>
      <c r="J610" s="512" t="s">
        <v>506</v>
      </c>
    </row>
    <row r="611" spans="1:10">
      <c r="A611" s="512">
        <f t="shared" si="27"/>
        <v>20110629</v>
      </c>
      <c r="B611" s="513" t="s">
        <v>459</v>
      </c>
      <c r="C611" s="513" t="str">
        <f t="shared" si="25"/>
        <v>20110629RLS</v>
      </c>
      <c r="D611" s="513" t="s">
        <v>230</v>
      </c>
      <c r="E611" s="513" t="str">
        <f t="shared" si="26"/>
        <v>20110629LGUM_263</v>
      </c>
      <c r="F611" s="514">
        <v>16.29</v>
      </c>
      <c r="G611" s="514">
        <v>0.15</v>
      </c>
      <c r="H611" s="514">
        <v>3.65</v>
      </c>
      <c r="I611" s="514">
        <v>12.49</v>
      </c>
      <c r="J611" s="512" t="s">
        <v>506</v>
      </c>
    </row>
    <row r="612" spans="1:10">
      <c r="A612" s="512">
        <f t="shared" si="27"/>
        <v>20110629</v>
      </c>
      <c r="B612" s="513" t="s">
        <v>459</v>
      </c>
      <c r="C612" s="513" t="str">
        <f t="shared" si="25"/>
        <v>20110629RLS</v>
      </c>
      <c r="D612" s="513" t="s">
        <v>160</v>
      </c>
      <c r="E612" s="513" t="str">
        <f t="shared" si="26"/>
        <v>20110629LGUM_066</v>
      </c>
      <c r="F612" s="514">
        <v>27.08</v>
      </c>
      <c r="G612" s="514">
        <v>0.13</v>
      </c>
      <c r="H612" s="514">
        <v>2.2999999999999998</v>
      </c>
      <c r="I612" s="514">
        <v>24.65</v>
      </c>
      <c r="J612" s="512" t="s">
        <v>507</v>
      </c>
    </row>
    <row r="613" spans="1:10">
      <c r="A613" s="512">
        <f t="shared" si="27"/>
        <v>20110629</v>
      </c>
      <c r="B613" s="513" t="s">
        <v>459</v>
      </c>
      <c r="C613" s="513" t="str">
        <f t="shared" si="25"/>
        <v>20110629RLS</v>
      </c>
      <c r="D613" s="513" t="s">
        <v>198</v>
      </c>
      <c r="E613" s="513" t="str">
        <f t="shared" si="26"/>
        <v>20110629LGUM_166</v>
      </c>
      <c r="F613" s="514">
        <v>27.08</v>
      </c>
      <c r="G613" s="514">
        <v>0.13</v>
      </c>
      <c r="H613" s="514">
        <v>2.2999999999999998</v>
      </c>
      <c r="I613" s="514">
        <v>24.65</v>
      </c>
      <c r="J613" s="512" t="s">
        <v>507</v>
      </c>
    </row>
    <row r="614" spans="1:10">
      <c r="A614" s="512">
        <f t="shared" si="27"/>
        <v>20110629</v>
      </c>
      <c r="B614" s="513" t="s">
        <v>459</v>
      </c>
      <c r="C614" s="513" t="str">
        <f t="shared" si="25"/>
        <v>20110629RLS</v>
      </c>
      <c r="D614" s="513" t="s">
        <v>231</v>
      </c>
      <c r="E614" s="513" t="str">
        <f t="shared" si="26"/>
        <v>20110629LGUM_266</v>
      </c>
      <c r="F614" s="514">
        <v>27.08</v>
      </c>
      <c r="G614" s="514">
        <v>0.13</v>
      </c>
      <c r="H614" s="514">
        <v>2.2999999999999998</v>
      </c>
      <c r="I614" s="514">
        <v>24.65</v>
      </c>
      <c r="J614" s="512" t="s">
        <v>507</v>
      </c>
    </row>
    <row r="615" spans="1:10">
      <c r="A615" s="512">
        <f t="shared" si="27"/>
        <v>20110629</v>
      </c>
      <c r="B615" s="513" t="s">
        <v>459</v>
      </c>
      <c r="C615" s="513" t="str">
        <f t="shared" si="25"/>
        <v>20110629RLS</v>
      </c>
      <c r="D615" s="513" t="s">
        <v>161</v>
      </c>
      <c r="E615" s="513" t="str">
        <f t="shared" si="26"/>
        <v>20110629LGUM_067</v>
      </c>
      <c r="F615" s="514">
        <v>30.26</v>
      </c>
      <c r="G615" s="514">
        <v>0.15</v>
      </c>
      <c r="H615" s="514">
        <v>3.65</v>
      </c>
      <c r="I615" s="514">
        <v>26.460000000000004</v>
      </c>
      <c r="J615" s="512" t="s">
        <v>508</v>
      </c>
    </row>
    <row r="616" spans="1:10">
      <c r="A616" s="512">
        <f t="shared" si="27"/>
        <v>20110629</v>
      </c>
      <c r="B616" s="513" t="s">
        <v>459</v>
      </c>
      <c r="C616" s="513" t="str">
        <f t="shared" si="25"/>
        <v>20110629RLS</v>
      </c>
      <c r="D616" s="513" t="s">
        <v>199</v>
      </c>
      <c r="E616" s="513" t="str">
        <f t="shared" si="26"/>
        <v>20110629LGUM_167</v>
      </c>
      <c r="F616" s="514">
        <v>30.26</v>
      </c>
      <c r="G616" s="514">
        <v>0.15</v>
      </c>
      <c r="H616" s="514">
        <v>3.65</v>
      </c>
      <c r="I616" s="514">
        <v>26.460000000000004</v>
      </c>
      <c r="J616" s="512" t="s">
        <v>508</v>
      </c>
    </row>
    <row r="617" spans="1:10">
      <c r="A617" s="512">
        <f t="shared" si="27"/>
        <v>20110629</v>
      </c>
      <c r="B617" s="513" t="s">
        <v>459</v>
      </c>
      <c r="C617" s="513" t="str">
        <f t="shared" si="25"/>
        <v>20110629RLS</v>
      </c>
      <c r="D617" s="513" t="s">
        <v>232</v>
      </c>
      <c r="E617" s="513" t="str">
        <f t="shared" si="26"/>
        <v>20110629LGUM_267</v>
      </c>
      <c r="F617" s="514">
        <v>30.26</v>
      </c>
      <c r="G617" s="514">
        <v>0.15</v>
      </c>
      <c r="H617" s="514">
        <v>3.65</v>
      </c>
      <c r="I617" s="514">
        <v>26.460000000000004</v>
      </c>
      <c r="J617" s="512" t="s">
        <v>508</v>
      </c>
    </row>
    <row r="618" spans="1:10">
      <c r="A618" s="512">
        <f t="shared" si="27"/>
        <v>20110629</v>
      </c>
      <c r="B618" s="513" t="s">
        <v>459</v>
      </c>
      <c r="C618" s="513" t="str">
        <f t="shared" si="25"/>
        <v>20110629RLS</v>
      </c>
      <c r="D618" s="513" t="s">
        <v>162</v>
      </c>
      <c r="E618" s="513" t="str">
        <f t="shared" si="26"/>
        <v>20110629LGUM_072</v>
      </c>
      <c r="F618" s="514">
        <v>12.62</v>
      </c>
      <c r="G618" s="514">
        <v>0.13</v>
      </c>
      <c r="H618" s="514">
        <v>1.55</v>
      </c>
      <c r="I618" s="514">
        <v>10.939999999999998</v>
      </c>
      <c r="J618" s="512" t="s">
        <v>509</v>
      </c>
    </row>
    <row r="619" spans="1:10">
      <c r="A619" s="512">
        <f t="shared" si="27"/>
        <v>20110629</v>
      </c>
      <c r="B619" s="513" t="s">
        <v>459</v>
      </c>
      <c r="C619" s="513" t="str">
        <f t="shared" si="25"/>
        <v>20110629RLS</v>
      </c>
      <c r="D619" s="513" t="s">
        <v>200</v>
      </c>
      <c r="E619" s="513" t="str">
        <f t="shared" si="26"/>
        <v>20110629LGUM_172</v>
      </c>
      <c r="F619" s="514">
        <v>12.62</v>
      </c>
      <c r="G619" s="514">
        <v>0.13</v>
      </c>
      <c r="H619" s="514">
        <v>1.55</v>
      </c>
      <c r="I619" s="514">
        <v>10.939999999999998</v>
      </c>
      <c r="J619" s="512" t="s">
        <v>509</v>
      </c>
    </row>
    <row r="620" spans="1:10">
      <c r="A620" s="512">
        <f t="shared" si="27"/>
        <v>20110629</v>
      </c>
      <c r="B620" s="513" t="s">
        <v>459</v>
      </c>
      <c r="C620" s="513" t="str">
        <f t="shared" si="25"/>
        <v>20110629RLS</v>
      </c>
      <c r="D620" s="513" t="s">
        <v>233</v>
      </c>
      <c r="E620" s="513" t="str">
        <f t="shared" si="26"/>
        <v>20110629LGUM_272</v>
      </c>
      <c r="F620" s="514">
        <v>12.62</v>
      </c>
      <c r="G620" s="514">
        <v>0.13</v>
      </c>
      <c r="H620" s="514">
        <v>1.55</v>
      </c>
      <c r="I620" s="514">
        <v>10.939999999999998</v>
      </c>
      <c r="J620" s="512" t="s">
        <v>509</v>
      </c>
    </row>
    <row r="621" spans="1:10">
      <c r="A621" s="512">
        <f t="shared" si="27"/>
        <v>20110629</v>
      </c>
      <c r="B621" s="513" t="s">
        <v>459</v>
      </c>
      <c r="C621" s="513" t="str">
        <f t="shared" si="25"/>
        <v>20110629RLS</v>
      </c>
      <c r="D621" s="513" t="s">
        <v>163</v>
      </c>
      <c r="E621" s="513" t="str">
        <f t="shared" si="26"/>
        <v>20110629LGUM_073</v>
      </c>
      <c r="F621" s="514">
        <v>12.62</v>
      </c>
      <c r="G621" s="514">
        <v>0.13</v>
      </c>
      <c r="H621" s="514">
        <v>1.55</v>
      </c>
      <c r="I621" s="514">
        <v>10.939999999999998</v>
      </c>
      <c r="J621" s="512" t="s">
        <v>510</v>
      </c>
    </row>
    <row r="622" spans="1:10">
      <c r="A622" s="512">
        <f t="shared" si="27"/>
        <v>20110629</v>
      </c>
      <c r="B622" s="513" t="s">
        <v>459</v>
      </c>
      <c r="C622" s="513" t="str">
        <f t="shared" si="25"/>
        <v>20110629RLS</v>
      </c>
      <c r="D622" s="513" t="s">
        <v>201</v>
      </c>
      <c r="E622" s="513" t="str">
        <f t="shared" si="26"/>
        <v>20110629LGUM_173</v>
      </c>
      <c r="F622" s="514">
        <v>12.62</v>
      </c>
      <c r="G622" s="514">
        <v>0.13</v>
      </c>
      <c r="H622" s="514">
        <v>1.55</v>
      </c>
      <c r="I622" s="514">
        <v>10.939999999999998</v>
      </c>
      <c r="J622" s="512" t="s">
        <v>510</v>
      </c>
    </row>
    <row r="623" spans="1:10">
      <c r="A623" s="512">
        <f t="shared" si="27"/>
        <v>20110629</v>
      </c>
      <c r="B623" s="513" t="s">
        <v>459</v>
      </c>
      <c r="C623" s="513" t="str">
        <f t="shared" si="25"/>
        <v>20110629RLS</v>
      </c>
      <c r="D623" s="513" t="s">
        <v>352</v>
      </c>
      <c r="E623" s="513" t="str">
        <f t="shared" si="26"/>
        <v>20110629LGUM_273</v>
      </c>
      <c r="F623" s="514">
        <v>12.62</v>
      </c>
      <c r="G623" s="514">
        <v>0.13</v>
      </c>
      <c r="H623" s="514">
        <v>1.55</v>
      </c>
      <c r="I623" s="514">
        <v>10.939999999999998</v>
      </c>
      <c r="J623" s="512" t="s">
        <v>510</v>
      </c>
    </row>
    <row r="624" spans="1:10">
      <c r="A624" s="512">
        <f t="shared" si="27"/>
        <v>20110629</v>
      </c>
      <c r="B624" s="513" t="s">
        <v>459</v>
      </c>
      <c r="C624" s="513" t="str">
        <f t="shared" si="25"/>
        <v>20110629RLS</v>
      </c>
      <c r="D624" s="513" t="s">
        <v>164</v>
      </c>
      <c r="E624" s="513" t="str">
        <f t="shared" si="26"/>
        <v>20110629LGUM_074</v>
      </c>
      <c r="F624" s="514">
        <v>17.64</v>
      </c>
      <c r="G624" s="514">
        <v>0.14000000000000001</v>
      </c>
      <c r="H624" s="514">
        <v>1.07</v>
      </c>
      <c r="I624" s="514">
        <v>16.43</v>
      </c>
      <c r="J624" s="512" t="s">
        <v>511</v>
      </c>
    </row>
    <row r="625" spans="1:10">
      <c r="A625" s="512">
        <f t="shared" si="27"/>
        <v>20110629</v>
      </c>
      <c r="B625" s="513" t="s">
        <v>459</v>
      </c>
      <c r="C625" s="513" t="str">
        <f t="shared" ref="C625:C688" si="28">A625&amp;B625</f>
        <v>20110629RLS</v>
      </c>
      <c r="D625" s="513" t="s">
        <v>202</v>
      </c>
      <c r="E625" s="513" t="str">
        <f t="shared" ref="E625:E688" si="29">A625&amp;D625</f>
        <v>20110629LGUM_174</v>
      </c>
      <c r="F625" s="514">
        <v>17.64</v>
      </c>
      <c r="G625" s="514">
        <v>0.14000000000000001</v>
      </c>
      <c r="H625" s="514">
        <v>1.07</v>
      </c>
      <c r="I625" s="514">
        <v>16.43</v>
      </c>
      <c r="J625" s="512" t="s">
        <v>511</v>
      </c>
    </row>
    <row r="626" spans="1:10">
      <c r="A626" s="512">
        <f t="shared" si="27"/>
        <v>20110629</v>
      </c>
      <c r="B626" s="513" t="s">
        <v>459</v>
      </c>
      <c r="C626" s="513" t="str">
        <f t="shared" si="28"/>
        <v>20110629RLS</v>
      </c>
      <c r="D626" s="513" t="s">
        <v>234</v>
      </c>
      <c r="E626" s="513" t="str">
        <f t="shared" si="29"/>
        <v>20110629LGUM_274</v>
      </c>
      <c r="F626" s="514">
        <v>17.64</v>
      </c>
      <c r="G626" s="514">
        <v>0.14000000000000001</v>
      </c>
      <c r="H626" s="514">
        <v>1.07</v>
      </c>
      <c r="I626" s="514">
        <v>16.43</v>
      </c>
      <c r="J626" s="512" t="s">
        <v>511</v>
      </c>
    </row>
    <row r="627" spans="1:10">
      <c r="A627" s="512">
        <f t="shared" si="27"/>
        <v>20110629</v>
      </c>
      <c r="B627" s="513" t="s">
        <v>459</v>
      </c>
      <c r="C627" s="513" t="str">
        <f t="shared" si="28"/>
        <v>20110629RLS</v>
      </c>
      <c r="D627" s="513" t="s">
        <v>165</v>
      </c>
      <c r="E627" s="513" t="str">
        <f t="shared" si="29"/>
        <v>20110629LGUM_075</v>
      </c>
      <c r="F627" s="514">
        <v>23.51</v>
      </c>
      <c r="G627" s="514">
        <v>0.13</v>
      </c>
      <c r="H627" s="514">
        <v>1.48</v>
      </c>
      <c r="I627" s="514">
        <v>21.900000000000002</v>
      </c>
      <c r="J627" s="512" t="s">
        <v>509</v>
      </c>
    </row>
    <row r="628" spans="1:10">
      <c r="A628" s="512">
        <f t="shared" si="27"/>
        <v>20110629</v>
      </c>
      <c r="B628" s="513" t="s">
        <v>459</v>
      </c>
      <c r="C628" s="513" t="str">
        <f t="shared" si="28"/>
        <v>20110629RLS</v>
      </c>
      <c r="D628" s="513" t="s">
        <v>203</v>
      </c>
      <c r="E628" s="513" t="str">
        <f t="shared" si="29"/>
        <v>20110629LGUM_175</v>
      </c>
      <c r="F628" s="514">
        <v>23.51</v>
      </c>
      <c r="G628" s="514">
        <v>0.13</v>
      </c>
      <c r="H628" s="514">
        <v>1.48</v>
      </c>
      <c r="I628" s="514">
        <v>21.900000000000002</v>
      </c>
      <c r="J628" s="512" t="s">
        <v>509</v>
      </c>
    </row>
    <row r="629" spans="1:10">
      <c r="A629" s="512">
        <f t="shared" si="27"/>
        <v>20110629</v>
      </c>
      <c r="B629" s="513" t="s">
        <v>459</v>
      </c>
      <c r="C629" s="513" t="str">
        <f t="shared" si="28"/>
        <v>20110629RLS</v>
      </c>
      <c r="D629" s="513" t="s">
        <v>353</v>
      </c>
      <c r="E629" s="513" t="str">
        <f t="shared" si="29"/>
        <v>20110629LGUM_275</v>
      </c>
      <c r="F629" s="514">
        <v>23.51</v>
      </c>
      <c r="G629" s="514">
        <v>0.13</v>
      </c>
      <c r="H629" s="514">
        <v>1.48</v>
      </c>
      <c r="I629" s="514">
        <v>21.900000000000002</v>
      </c>
      <c r="J629" s="512" t="s">
        <v>509</v>
      </c>
    </row>
    <row r="630" spans="1:10">
      <c r="A630" s="512">
        <f t="shared" si="27"/>
        <v>20110629</v>
      </c>
      <c r="B630" s="513" t="s">
        <v>459</v>
      </c>
      <c r="C630" s="513" t="str">
        <f t="shared" si="28"/>
        <v>20110629RLS</v>
      </c>
      <c r="D630" s="513" t="s">
        <v>166</v>
      </c>
      <c r="E630" s="513" t="str">
        <f t="shared" si="29"/>
        <v>20110629LGUM_076</v>
      </c>
      <c r="F630" s="514">
        <v>13.27</v>
      </c>
      <c r="G630" s="514">
        <v>0.13</v>
      </c>
      <c r="H630" s="514">
        <v>0.74</v>
      </c>
      <c r="I630" s="514">
        <v>12.399999999999999</v>
      </c>
      <c r="J630" s="512" t="s">
        <v>512</v>
      </c>
    </row>
    <row r="631" spans="1:10">
      <c r="A631" s="512">
        <f t="shared" si="27"/>
        <v>20110629</v>
      </c>
      <c r="B631" s="513" t="s">
        <v>459</v>
      </c>
      <c r="C631" s="513" t="str">
        <f t="shared" si="28"/>
        <v>20110629RLS</v>
      </c>
      <c r="D631" s="513" t="s">
        <v>204</v>
      </c>
      <c r="E631" s="513" t="str">
        <f t="shared" si="29"/>
        <v>20110629LGUM_176</v>
      </c>
      <c r="F631" s="514">
        <v>13.27</v>
      </c>
      <c r="G631" s="514">
        <v>0.13</v>
      </c>
      <c r="H631" s="514">
        <v>0.74</v>
      </c>
      <c r="I631" s="514">
        <v>12.399999999999999</v>
      </c>
      <c r="J631" s="512" t="s">
        <v>512</v>
      </c>
    </row>
    <row r="632" spans="1:10">
      <c r="A632" s="512">
        <f t="shared" si="27"/>
        <v>20110629</v>
      </c>
      <c r="B632" s="513" t="s">
        <v>459</v>
      </c>
      <c r="C632" s="513" t="str">
        <f t="shared" si="28"/>
        <v>20110629RLS</v>
      </c>
      <c r="D632" s="513" t="s">
        <v>235</v>
      </c>
      <c r="E632" s="513" t="str">
        <f t="shared" si="29"/>
        <v>20110629LGUM_276</v>
      </c>
      <c r="F632" s="514">
        <v>13.27</v>
      </c>
      <c r="G632" s="514">
        <v>0.13</v>
      </c>
      <c r="H632" s="514">
        <v>0.74</v>
      </c>
      <c r="I632" s="514">
        <v>12.399999999999999</v>
      </c>
      <c r="J632" s="512" t="s">
        <v>512</v>
      </c>
    </row>
    <row r="633" spans="1:10">
      <c r="A633" s="512">
        <f t="shared" si="27"/>
        <v>20110629</v>
      </c>
      <c r="B633" s="513" t="s">
        <v>459</v>
      </c>
      <c r="C633" s="513" t="str">
        <f t="shared" si="28"/>
        <v>20110629RLS</v>
      </c>
      <c r="D633" s="513" t="s">
        <v>167</v>
      </c>
      <c r="E633" s="513" t="str">
        <f t="shared" si="29"/>
        <v>20110629LGUM_077</v>
      </c>
      <c r="F633" s="514">
        <v>21.07</v>
      </c>
      <c r="G633" s="514">
        <v>0.13</v>
      </c>
      <c r="H633" s="514">
        <v>1.48</v>
      </c>
      <c r="I633" s="514">
        <v>19.46</v>
      </c>
      <c r="J633" s="512" t="s">
        <v>513</v>
      </c>
    </row>
    <row r="634" spans="1:10">
      <c r="A634" s="512">
        <f t="shared" si="27"/>
        <v>20110629</v>
      </c>
      <c r="B634" s="513" t="s">
        <v>459</v>
      </c>
      <c r="C634" s="513" t="str">
        <f t="shared" si="28"/>
        <v>20110629RLS</v>
      </c>
      <c r="D634" s="513" t="s">
        <v>205</v>
      </c>
      <c r="E634" s="513" t="str">
        <f t="shared" si="29"/>
        <v>20110629LGUM_177</v>
      </c>
      <c r="F634" s="514">
        <v>21.07</v>
      </c>
      <c r="G634" s="514">
        <v>0.13</v>
      </c>
      <c r="H634" s="514">
        <v>1.48</v>
      </c>
      <c r="I634" s="514">
        <v>19.46</v>
      </c>
      <c r="J634" s="512" t="s">
        <v>513</v>
      </c>
    </row>
    <row r="635" spans="1:10">
      <c r="A635" s="512">
        <f t="shared" si="27"/>
        <v>20110629</v>
      </c>
      <c r="B635" s="513" t="s">
        <v>459</v>
      </c>
      <c r="C635" s="513" t="str">
        <f t="shared" si="28"/>
        <v>20110629RLS</v>
      </c>
      <c r="D635" s="513" t="s">
        <v>236</v>
      </c>
      <c r="E635" s="513" t="str">
        <f t="shared" si="29"/>
        <v>20110629LGUM_277</v>
      </c>
      <c r="F635" s="514">
        <v>21.07</v>
      </c>
      <c r="G635" s="514">
        <v>0.13</v>
      </c>
      <c r="H635" s="514">
        <v>1.48</v>
      </c>
      <c r="I635" s="514">
        <v>19.46</v>
      </c>
      <c r="J635" s="512" t="s">
        <v>513</v>
      </c>
    </row>
    <row r="636" spans="1:10">
      <c r="A636" s="512">
        <f t="shared" si="27"/>
        <v>20110629</v>
      </c>
      <c r="B636" s="513" t="s">
        <v>459</v>
      </c>
      <c r="C636" s="513" t="str">
        <f t="shared" si="28"/>
        <v>20110629RLS</v>
      </c>
      <c r="D636" s="513" t="s">
        <v>514</v>
      </c>
      <c r="E636" s="513" t="str">
        <f t="shared" si="29"/>
        <v>20110629LGUM_078</v>
      </c>
      <c r="F636" s="514">
        <v>67.760000000000005</v>
      </c>
      <c r="G636" s="514">
        <v>0.26</v>
      </c>
      <c r="H636" s="514">
        <v>8.14</v>
      </c>
      <c r="I636" s="514">
        <v>59.36</v>
      </c>
      <c r="J636" s="512" t="s">
        <v>515</v>
      </c>
    </row>
    <row r="637" spans="1:10">
      <c r="A637" s="512">
        <f t="shared" si="27"/>
        <v>20110629</v>
      </c>
      <c r="B637" s="513" t="s">
        <v>459</v>
      </c>
      <c r="C637" s="513" t="str">
        <f t="shared" si="28"/>
        <v>20110629RLS</v>
      </c>
      <c r="D637" s="513" t="s">
        <v>206</v>
      </c>
      <c r="E637" s="513" t="str">
        <f t="shared" si="29"/>
        <v>20110629LGUM_178</v>
      </c>
      <c r="F637" s="514">
        <v>67.760000000000005</v>
      </c>
      <c r="G637" s="514">
        <v>0.26</v>
      </c>
      <c r="H637" s="514">
        <v>8.14</v>
      </c>
      <c r="I637" s="514">
        <v>59.36</v>
      </c>
      <c r="J637" s="512" t="s">
        <v>515</v>
      </c>
    </row>
    <row r="638" spans="1:10">
      <c r="A638" s="512">
        <f t="shared" si="27"/>
        <v>20110629</v>
      </c>
      <c r="B638" s="513" t="s">
        <v>459</v>
      </c>
      <c r="C638" s="513" t="str">
        <f t="shared" si="28"/>
        <v>20110629RLS</v>
      </c>
      <c r="D638" s="513" t="s">
        <v>354</v>
      </c>
      <c r="E638" s="513" t="str">
        <f t="shared" si="29"/>
        <v>20110629LGUM_278</v>
      </c>
      <c r="F638" s="514">
        <v>67.760000000000005</v>
      </c>
      <c r="G638" s="514">
        <v>0.26</v>
      </c>
      <c r="H638" s="514">
        <v>8.14</v>
      </c>
      <c r="I638" s="514">
        <v>59.36</v>
      </c>
      <c r="J638" s="512" t="s">
        <v>515</v>
      </c>
    </row>
    <row r="639" spans="1:10">
      <c r="A639" s="512">
        <f t="shared" si="27"/>
        <v>20110629</v>
      </c>
      <c r="B639" s="513" t="s">
        <v>459</v>
      </c>
      <c r="C639" s="513" t="str">
        <f t="shared" si="28"/>
        <v>20110629RLS</v>
      </c>
      <c r="D639" s="513" t="s">
        <v>516</v>
      </c>
      <c r="E639" s="513" t="str">
        <f t="shared" si="29"/>
        <v>20110629LGUM_079</v>
      </c>
      <c r="F639" s="514">
        <v>37.979999999999997</v>
      </c>
      <c r="G639" s="514">
        <v>0.26</v>
      </c>
      <c r="H639" s="514">
        <v>8.14</v>
      </c>
      <c r="I639" s="514">
        <v>29.58</v>
      </c>
      <c r="J639" s="512" t="s">
        <v>517</v>
      </c>
    </row>
    <row r="640" spans="1:10">
      <c r="A640" s="512">
        <f t="shared" si="27"/>
        <v>20110629</v>
      </c>
      <c r="B640" s="513" t="s">
        <v>459</v>
      </c>
      <c r="C640" s="513" t="str">
        <f t="shared" si="28"/>
        <v>20110629RLS</v>
      </c>
      <c r="D640" s="513" t="s">
        <v>207</v>
      </c>
      <c r="E640" s="513" t="str">
        <f t="shared" si="29"/>
        <v>20110629LGUM_179</v>
      </c>
      <c r="F640" s="514">
        <v>37.979999999999997</v>
      </c>
      <c r="G640" s="514">
        <v>0.26</v>
      </c>
      <c r="H640" s="514">
        <v>8.14</v>
      </c>
      <c r="I640" s="514">
        <v>29.58</v>
      </c>
      <c r="J640" s="512" t="s">
        <v>517</v>
      </c>
    </row>
    <row r="641" spans="1:10">
      <c r="A641" s="512">
        <f t="shared" si="27"/>
        <v>20110629</v>
      </c>
      <c r="B641" s="513" t="s">
        <v>459</v>
      </c>
      <c r="C641" s="513" t="str">
        <f t="shared" si="28"/>
        <v>20110629RLS</v>
      </c>
      <c r="D641" s="513" t="s">
        <v>355</v>
      </c>
      <c r="E641" s="513" t="str">
        <f t="shared" si="29"/>
        <v>20110629LGUM_279</v>
      </c>
      <c r="F641" s="514">
        <v>37.979999999999997</v>
      </c>
      <c r="G641" s="514">
        <v>0.26</v>
      </c>
      <c r="H641" s="514">
        <v>8.14</v>
      </c>
      <c r="I641" s="514">
        <v>29.58</v>
      </c>
      <c r="J641" s="512" t="s">
        <v>517</v>
      </c>
    </row>
    <row r="642" spans="1:10">
      <c r="A642" s="512">
        <f t="shared" si="27"/>
        <v>20110629</v>
      </c>
      <c r="B642" s="513" t="s">
        <v>459</v>
      </c>
      <c r="C642" s="513" t="str">
        <f t="shared" si="28"/>
        <v>20110629RLS</v>
      </c>
      <c r="D642" s="513" t="s">
        <v>518</v>
      </c>
      <c r="E642" s="513" t="str">
        <f t="shared" si="29"/>
        <v>20110629LGUM_080</v>
      </c>
      <c r="F642" s="514">
        <v>18.420000000000002</v>
      </c>
      <c r="G642" s="514">
        <v>0.13</v>
      </c>
      <c r="H642" s="514">
        <v>0.74</v>
      </c>
      <c r="I642" s="514">
        <v>17.550000000000004</v>
      </c>
      <c r="J642" s="512" t="s">
        <v>519</v>
      </c>
    </row>
    <row r="643" spans="1:10">
      <c r="A643" s="512">
        <f t="shared" si="27"/>
        <v>20110629</v>
      </c>
      <c r="B643" s="513" t="s">
        <v>459</v>
      </c>
      <c r="C643" s="513" t="str">
        <f t="shared" si="28"/>
        <v>20110629RLS</v>
      </c>
      <c r="D643" s="513" t="s">
        <v>208</v>
      </c>
      <c r="E643" s="513" t="str">
        <f t="shared" si="29"/>
        <v>20110629LGUM_180</v>
      </c>
      <c r="F643" s="514">
        <v>18.420000000000002</v>
      </c>
      <c r="G643" s="514">
        <v>0.13</v>
      </c>
      <c r="H643" s="514">
        <v>0.74</v>
      </c>
      <c r="I643" s="514">
        <v>17.550000000000004</v>
      </c>
      <c r="J643" s="512" t="s">
        <v>519</v>
      </c>
    </row>
    <row r="644" spans="1:10">
      <c r="A644" s="512">
        <f t="shared" si="27"/>
        <v>20110629</v>
      </c>
      <c r="B644" s="513" t="s">
        <v>459</v>
      </c>
      <c r="C644" s="513" t="str">
        <f t="shared" si="28"/>
        <v>20110629RLS</v>
      </c>
      <c r="D644" s="513" t="s">
        <v>359</v>
      </c>
      <c r="E644" s="513" t="str">
        <f t="shared" si="29"/>
        <v>20110629LGUM_280</v>
      </c>
      <c r="F644" s="514">
        <v>18.420000000000002</v>
      </c>
      <c r="G644" s="514">
        <v>0.13</v>
      </c>
      <c r="H644" s="514">
        <v>0.74</v>
      </c>
      <c r="I644" s="514">
        <v>17.550000000000004</v>
      </c>
      <c r="J644" s="512" t="s">
        <v>519</v>
      </c>
    </row>
    <row r="645" spans="1:10">
      <c r="A645" s="512">
        <f t="shared" si="27"/>
        <v>20110629</v>
      </c>
      <c r="B645" s="513" t="s">
        <v>459</v>
      </c>
      <c r="C645" s="513" t="str">
        <f t="shared" si="28"/>
        <v>20110629RLS</v>
      </c>
      <c r="D645" s="513" t="s">
        <v>338</v>
      </c>
      <c r="E645" s="513" t="str">
        <f t="shared" si="29"/>
        <v>20110629LGUM_081</v>
      </c>
      <c r="F645" s="514">
        <v>19.440000000000001</v>
      </c>
      <c r="G645" s="514">
        <v>0.14000000000000001</v>
      </c>
      <c r="H645" s="514">
        <v>1.07</v>
      </c>
      <c r="I645" s="514">
        <v>18.23</v>
      </c>
      <c r="J645" s="512" t="s">
        <v>520</v>
      </c>
    </row>
    <row r="646" spans="1:10">
      <c r="A646" s="512">
        <f t="shared" si="27"/>
        <v>20110629</v>
      </c>
      <c r="B646" s="513" t="s">
        <v>459</v>
      </c>
      <c r="C646" s="513" t="str">
        <f t="shared" si="28"/>
        <v>20110629RLS</v>
      </c>
      <c r="D646" s="513" t="s">
        <v>209</v>
      </c>
      <c r="E646" s="513" t="str">
        <f t="shared" si="29"/>
        <v>20110629LGUM_181</v>
      </c>
      <c r="F646" s="514">
        <v>19.440000000000001</v>
      </c>
      <c r="G646" s="514">
        <v>0.14000000000000001</v>
      </c>
      <c r="H646" s="514">
        <v>1.07</v>
      </c>
      <c r="I646" s="514">
        <v>18.23</v>
      </c>
      <c r="J646" s="512" t="s">
        <v>520</v>
      </c>
    </row>
    <row r="647" spans="1:10">
      <c r="A647" s="512">
        <f t="shared" si="27"/>
        <v>20110629</v>
      </c>
      <c r="B647" s="513" t="s">
        <v>459</v>
      </c>
      <c r="C647" s="513" t="str">
        <f t="shared" si="28"/>
        <v>20110629RLS</v>
      </c>
      <c r="D647" s="513" t="s">
        <v>356</v>
      </c>
      <c r="E647" s="513" t="str">
        <f t="shared" si="29"/>
        <v>20110629LGUM_281</v>
      </c>
      <c r="F647" s="514">
        <v>19.440000000000001</v>
      </c>
      <c r="G647" s="514">
        <v>0.14000000000000001</v>
      </c>
      <c r="H647" s="514">
        <v>1.07</v>
      </c>
      <c r="I647" s="514">
        <v>18.23</v>
      </c>
      <c r="J647" s="512" t="s">
        <v>520</v>
      </c>
    </row>
    <row r="648" spans="1:10">
      <c r="A648" s="512">
        <f t="shared" si="27"/>
        <v>20110629</v>
      </c>
      <c r="B648" s="513" t="s">
        <v>459</v>
      </c>
      <c r="C648" s="513" t="str">
        <f t="shared" si="28"/>
        <v>20110629RLS</v>
      </c>
      <c r="D648" s="513" t="s">
        <v>168</v>
      </c>
      <c r="E648" s="513" t="str">
        <f t="shared" si="29"/>
        <v>20110629LGUM_082</v>
      </c>
      <c r="F648" s="514">
        <v>18.600000000000001</v>
      </c>
      <c r="G648" s="514">
        <v>0.13</v>
      </c>
      <c r="H648" s="514">
        <v>0.74</v>
      </c>
      <c r="I648" s="514">
        <v>17.730000000000004</v>
      </c>
      <c r="J648" s="512" t="s">
        <v>521</v>
      </c>
    </row>
    <row r="649" spans="1:10">
      <c r="A649" s="512">
        <f t="shared" si="27"/>
        <v>20110629</v>
      </c>
      <c r="B649" s="513" t="s">
        <v>459</v>
      </c>
      <c r="C649" s="513" t="str">
        <f t="shared" si="28"/>
        <v>20110629RLS</v>
      </c>
      <c r="D649" s="513" t="s">
        <v>210</v>
      </c>
      <c r="E649" s="513" t="str">
        <f t="shared" si="29"/>
        <v>20110629LGUM_182</v>
      </c>
      <c r="F649" s="514">
        <v>18.600000000000001</v>
      </c>
      <c r="G649" s="514">
        <v>0.13</v>
      </c>
      <c r="H649" s="514">
        <v>0.74</v>
      </c>
      <c r="I649" s="514">
        <v>17.730000000000004</v>
      </c>
      <c r="J649" s="512" t="s">
        <v>521</v>
      </c>
    </row>
    <row r="650" spans="1:10">
      <c r="A650" s="512">
        <f t="shared" si="27"/>
        <v>20110629</v>
      </c>
      <c r="B650" s="513" t="s">
        <v>459</v>
      </c>
      <c r="C650" s="513" t="str">
        <f t="shared" si="28"/>
        <v>20110629RLS</v>
      </c>
      <c r="D650" s="513" t="s">
        <v>357</v>
      </c>
      <c r="E650" s="513" t="str">
        <f t="shared" si="29"/>
        <v>20110629LGUM_282</v>
      </c>
      <c r="F650" s="514">
        <v>18.600000000000001</v>
      </c>
      <c r="G650" s="514">
        <v>0.13</v>
      </c>
      <c r="H650" s="514">
        <v>0.74</v>
      </c>
      <c r="I650" s="514">
        <v>17.730000000000004</v>
      </c>
      <c r="J650" s="512" t="s">
        <v>521</v>
      </c>
    </row>
    <row r="651" spans="1:10">
      <c r="A651" s="512">
        <f t="shared" si="27"/>
        <v>20110629</v>
      </c>
      <c r="B651" s="513" t="s">
        <v>459</v>
      </c>
      <c r="C651" s="513" t="str">
        <f t="shared" si="28"/>
        <v>20110629RLS</v>
      </c>
      <c r="D651" s="513" t="s">
        <v>522</v>
      </c>
      <c r="E651" s="513" t="str">
        <f t="shared" si="29"/>
        <v>20110629LGUM_083</v>
      </c>
      <c r="F651" s="514">
        <v>19.64</v>
      </c>
      <c r="G651" s="514">
        <v>0.14000000000000001</v>
      </c>
      <c r="H651" s="514">
        <v>1.07</v>
      </c>
      <c r="I651" s="514">
        <v>18.43</v>
      </c>
      <c r="J651" s="512" t="s">
        <v>523</v>
      </c>
    </row>
    <row r="652" spans="1:10">
      <c r="A652" s="512">
        <f t="shared" si="27"/>
        <v>20110629</v>
      </c>
      <c r="B652" s="513" t="s">
        <v>459</v>
      </c>
      <c r="C652" s="513" t="str">
        <f t="shared" si="28"/>
        <v>20110629RLS</v>
      </c>
      <c r="D652" s="513" t="s">
        <v>211</v>
      </c>
      <c r="E652" s="513" t="str">
        <f t="shared" si="29"/>
        <v>20110629LGUM_183</v>
      </c>
      <c r="F652" s="514">
        <v>19.64</v>
      </c>
      <c r="G652" s="514">
        <v>0.14000000000000001</v>
      </c>
      <c r="H652" s="514">
        <v>1.07</v>
      </c>
      <c r="I652" s="514">
        <v>18.43</v>
      </c>
      <c r="J652" s="512" t="s">
        <v>523</v>
      </c>
    </row>
    <row r="653" spans="1:10">
      <c r="A653" s="512">
        <f t="shared" si="27"/>
        <v>20110629</v>
      </c>
      <c r="B653" s="513" t="s">
        <v>459</v>
      </c>
      <c r="C653" s="513" t="str">
        <f t="shared" si="28"/>
        <v>20110629RLS</v>
      </c>
      <c r="D653" s="513" t="s">
        <v>358</v>
      </c>
      <c r="E653" s="513" t="str">
        <f t="shared" si="29"/>
        <v>20110629LGUM_283</v>
      </c>
      <c r="F653" s="514">
        <v>19.64</v>
      </c>
      <c r="G653" s="514">
        <v>0.14000000000000001</v>
      </c>
      <c r="H653" s="514">
        <v>1.07</v>
      </c>
      <c r="I653" s="514">
        <v>18.43</v>
      </c>
      <c r="J653" s="512" t="s">
        <v>523</v>
      </c>
    </row>
    <row r="654" spans="1:10">
      <c r="A654" s="512">
        <f t="shared" si="27"/>
        <v>20110629</v>
      </c>
      <c r="B654" s="513" t="s">
        <v>459</v>
      </c>
      <c r="C654" s="513" t="str">
        <f t="shared" si="28"/>
        <v>20110629RLS</v>
      </c>
      <c r="D654" s="513" t="s">
        <v>237</v>
      </c>
      <c r="E654" s="513" t="str">
        <f t="shared" si="29"/>
        <v>20110629LGUM_301</v>
      </c>
      <c r="F654" s="514">
        <v>7.23</v>
      </c>
      <c r="G654" s="514">
        <v>0.14000000000000001</v>
      </c>
      <c r="H654" s="514">
        <v>0.92</v>
      </c>
      <c r="I654" s="514">
        <v>6.1700000000000008</v>
      </c>
      <c r="J654" s="512" t="s">
        <v>460</v>
      </c>
    </row>
    <row r="655" spans="1:10">
      <c r="A655" s="512">
        <f t="shared" si="27"/>
        <v>20110629</v>
      </c>
      <c r="B655" s="513" t="s">
        <v>459</v>
      </c>
      <c r="C655" s="513" t="str">
        <f t="shared" si="28"/>
        <v>20110629RLS</v>
      </c>
      <c r="D655" s="513" t="s">
        <v>238</v>
      </c>
      <c r="E655" s="513" t="str">
        <f t="shared" si="29"/>
        <v>20110629LGUM_302</v>
      </c>
      <c r="F655" s="514">
        <v>8.36</v>
      </c>
      <c r="G655" s="514">
        <v>0.1</v>
      </c>
      <c r="H655" s="514">
        <v>1.55</v>
      </c>
      <c r="I655" s="514">
        <v>6.71</v>
      </c>
      <c r="J655" s="512" t="s">
        <v>461</v>
      </c>
    </row>
    <row r="656" spans="1:10">
      <c r="A656" s="512">
        <f t="shared" si="27"/>
        <v>20110629</v>
      </c>
      <c r="B656" s="513" t="s">
        <v>459</v>
      </c>
      <c r="C656" s="513" t="str">
        <f t="shared" si="28"/>
        <v>20110629RLS</v>
      </c>
      <c r="D656" s="513" t="s">
        <v>239</v>
      </c>
      <c r="E656" s="513" t="str">
        <f t="shared" si="29"/>
        <v>20110629LGUM_303</v>
      </c>
      <c r="F656" s="514">
        <v>9.73</v>
      </c>
      <c r="G656" s="514">
        <v>0.13</v>
      </c>
      <c r="H656" s="514">
        <v>2.2000000000000002</v>
      </c>
      <c r="I656" s="514">
        <v>7.3999999999999995</v>
      </c>
      <c r="J656" s="512" t="s">
        <v>462</v>
      </c>
    </row>
    <row r="657" spans="1:10">
      <c r="A657" s="512">
        <f t="shared" si="27"/>
        <v>20110629</v>
      </c>
      <c r="B657" s="513" t="s">
        <v>459</v>
      </c>
      <c r="C657" s="513" t="str">
        <f t="shared" si="28"/>
        <v>20110629RLS</v>
      </c>
      <c r="D657" s="513" t="s">
        <v>240</v>
      </c>
      <c r="E657" s="513" t="str">
        <f t="shared" si="29"/>
        <v>20110629LGUM_304</v>
      </c>
      <c r="F657" s="514">
        <v>11.88</v>
      </c>
      <c r="G657" s="514">
        <v>0.15</v>
      </c>
      <c r="H657" s="514">
        <v>3.41</v>
      </c>
      <c r="I657" s="514">
        <v>8.32</v>
      </c>
      <c r="J657" s="512" t="s">
        <v>463</v>
      </c>
    </row>
    <row r="658" spans="1:10">
      <c r="A658" s="512">
        <f t="shared" si="27"/>
        <v>20110629</v>
      </c>
      <c r="B658" s="513" t="s">
        <v>459</v>
      </c>
      <c r="C658" s="513" t="str">
        <f t="shared" si="28"/>
        <v>20110629RLS</v>
      </c>
      <c r="D658" s="513" t="s">
        <v>241</v>
      </c>
      <c r="E658" s="513" t="str">
        <f t="shared" si="29"/>
        <v>20110629LGUM_305</v>
      </c>
      <c r="F658" s="514">
        <v>9.66</v>
      </c>
      <c r="G658" s="514">
        <v>0.14000000000000001</v>
      </c>
      <c r="H658" s="514">
        <v>1.07</v>
      </c>
      <c r="I658" s="514">
        <v>8.4499999999999993</v>
      </c>
      <c r="J658" s="512" t="s">
        <v>464</v>
      </c>
    </row>
    <row r="659" spans="1:10">
      <c r="A659" s="512">
        <f t="shared" si="27"/>
        <v>20110629</v>
      </c>
      <c r="B659" s="513" t="s">
        <v>459</v>
      </c>
      <c r="C659" s="513" t="str">
        <f t="shared" si="28"/>
        <v>20110629RLS</v>
      </c>
      <c r="D659" s="513" t="s">
        <v>242</v>
      </c>
      <c r="E659" s="513" t="str">
        <f t="shared" si="29"/>
        <v>20110629LGUM_306</v>
      </c>
      <c r="F659" s="514">
        <v>11.23</v>
      </c>
      <c r="G659" s="514">
        <v>0.14000000000000001</v>
      </c>
      <c r="H659" s="514">
        <v>0.92</v>
      </c>
      <c r="I659" s="514">
        <v>10.17</v>
      </c>
      <c r="J659" s="512" t="s">
        <v>524</v>
      </c>
    </row>
    <row r="660" spans="1:10">
      <c r="A660" s="512">
        <f t="shared" si="27"/>
        <v>20110629</v>
      </c>
      <c r="B660" s="513" t="s">
        <v>459</v>
      </c>
      <c r="C660" s="513" t="str">
        <f t="shared" si="28"/>
        <v>20110629RLS</v>
      </c>
      <c r="D660" s="513" t="s">
        <v>243</v>
      </c>
      <c r="E660" s="513" t="str">
        <f t="shared" si="29"/>
        <v>20110629LGUM_307</v>
      </c>
      <c r="F660" s="514">
        <v>16.39</v>
      </c>
      <c r="G660" s="514">
        <v>0.15</v>
      </c>
      <c r="H660" s="514">
        <v>3.41</v>
      </c>
      <c r="I660" s="514">
        <v>12.830000000000002</v>
      </c>
      <c r="J660" s="512" t="s">
        <v>525</v>
      </c>
    </row>
    <row r="661" spans="1:10">
      <c r="A661" s="512">
        <f t="shared" si="27"/>
        <v>20110629</v>
      </c>
      <c r="B661" s="513" t="s">
        <v>459</v>
      </c>
      <c r="C661" s="513" t="str">
        <f t="shared" si="28"/>
        <v>20110629RLS</v>
      </c>
      <c r="D661" s="513" t="s">
        <v>244</v>
      </c>
      <c r="E661" s="513" t="str">
        <f t="shared" si="29"/>
        <v>20110629LGUM_308</v>
      </c>
      <c r="F661" s="514">
        <v>12.26</v>
      </c>
      <c r="G661" s="514">
        <v>0.1</v>
      </c>
      <c r="H661" s="514">
        <v>1.55</v>
      </c>
      <c r="I661" s="514">
        <v>10.61</v>
      </c>
      <c r="J661" s="512" t="s">
        <v>642</v>
      </c>
    </row>
    <row r="662" spans="1:10">
      <c r="A662" s="512">
        <f t="shared" si="27"/>
        <v>20110629</v>
      </c>
      <c r="B662" s="513" t="s">
        <v>459</v>
      </c>
      <c r="C662" s="513" t="str">
        <f t="shared" si="28"/>
        <v>20110629RLS</v>
      </c>
      <c r="D662" s="513" t="s">
        <v>245</v>
      </c>
      <c r="E662" s="513" t="str">
        <f t="shared" si="29"/>
        <v>20110629LGUM_309</v>
      </c>
      <c r="F662" s="514">
        <v>22.7</v>
      </c>
      <c r="G662" s="514">
        <v>0.26</v>
      </c>
      <c r="H662" s="514">
        <v>8.16</v>
      </c>
      <c r="I662" s="514">
        <v>14.279999999999998</v>
      </c>
      <c r="J662" s="512" t="s">
        <v>470</v>
      </c>
    </row>
    <row r="663" spans="1:10">
      <c r="A663" s="512">
        <f t="shared" si="27"/>
        <v>20110629</v>
      </c>
      <c r="B663" s="513" t="s">
        <v>459</v>
      </c>
      <c r="C663" s="513" t="str">
        <f t="shared" si="28"/>
        <v>20110629RLS</v>
      </c>
      <c r="D663" s="513" t="s">
        <v>246</v>
      </c>
      <c r="E663" s="513" t="str">
        <f t="shared" si="29"/>
        <v>20110629LGUM_310</v>
      </c>
      <c r="F663" s="514">
        <v>22.7</v>
      </c>
      <c r="G663" s="514">
        <v>0.26</v>
      </c>
      <c r="H663" s="514">
        <v>8.16</v>
      </c>
      <c r="I663" s="514">
        <v>14.279999999999998</v>
      </c>
      <c r="J663" s="512" t="s">
        <v>471</v>
      </c>
    </row>
    <row r="664" spans="1:10">
      <c r="A664" s="512">
        <f t="shared" si="27"/>
        <v>20110629</v>
      </c>
      <c r="B664" s="513" t="s">
        <v>459</v>
      </c>
      <c r="C664" s="513" t="str">
        <f t="shared" si="28"/>
        <v>20110629RLS</v>
      </c>
      <c r="D664" s="513" t="s">
        <v>247</v>
      </c>
      <c r="E664" s="513" t="str">
        <f t="shared" si="29"/>
        <v>20110629LGUM_311</v>
      </c>
      <c r="F664" s="514">
        <v>13.8</v>
      </c>
      <c r="G664" s="514">
        <v>0.13</v>
      </c>
      <c r="H664" s="514">
        <v>2.2999999999999998</v>
      </c>
      <c r="I664" s="514">
        <v>11.370000000000001</v>
      </c>
      <c r="J664" s="512" t="s">
        <v>472</v>
      </c>
    </row>
    <row r="665" spans="1:10">
      <c r="A665" s="512">
        <f t="shared" si="27"/>
        <v>20110629</v>
      </c>
      <c r="B665" s="513" t="s">
        <v>459</v>
      </c>
      <c r="C665" s="513" t="str">
        <f t="shared" si="28"/>
        <v>20110629RLS</v>
      </c>
      <c r="D665" s="513" t="s">
        <v>248</v>
      </c>
      <c r="E665" s="513" t="str">
        <f t="shared" si="29"/>
        <v>20110629LGUM_312</v>
      </c>
      <c r="F665" s="514">
        <v>14.92</v>
      </c>
      <c r="G665" s="514">
        <v>0.15</v>
      </c>
      <c r="H665" s="514">
        <v>3.65</v>
      </c>
      <c r="I665" s="514">
        <v>11.12</v>
      </c>
      <c r="J665" s="512" t="s">
        <v>473</v>
      </c>
    </row>
    <row r="666" spans="1:10">
      <c r="A666" s="512">
        <f t="shared" si="27"/>
        <v>20110629</v>
      </c>
      <c r="B666" s="513" t="s">
        <v>459</v>
      </c>
      <c r="C666" s="513" t="str">
        <f t="shared" si="28"/>
        <v>20110629RLS</v>
      </c>
      <c r="D666" s="513" t="s">
        <v>249</v>
      </c>
      <c r="E666" s="513" t="str">
        <f t="shared" si="29"/>
        <v>20110629LGUM_313</v>
      </c>
      <c r="F666" s="514">
        <v>14.92</v>
      </c>
      <c r="G666" s="514">
        <v>0.15</v>
      </c>
      <c r="H666" s="514">
        <v>3.65</v>
      </c>
      <c r="I666" s="514">
        <v>11.12</v>
      </c>
      <c r="J666" s="512" t="s">
        <v>474</v>
      </c>
    </row>
    <row r="667" spans="1:10">
      <c r="A667" s="512">
        <f t="shared" si="27"/>
        <v>20110629</v>
      </c>
      <c r="B667" s="513" t="s">
        <v>459</v>
      </c>
      <c r="C667" s="513" t="str">
        <f t="shared" si="28"/>
        <v>20110629RLS</v>
      </c>
      <c r="D667" s="513" t="s">
        <v>250</v>
      </c>
      <c r="E667" s="513" t="str">
        <f t="shared" si="29"/>
        <v>20110629LGUM_314</v>
      </c>
      <c r="F667" s="514">
        <v>17.7</v>
      </c>
      <c r="G667" s="514">
        <v>0.13</v>
      </c>
      <c r="H667" s="514">
        <v>2.2000000000000002</v>
      </c>
      <c r="I667" s="514">
        <v>15.370000000000001</v>
      </c>
      <c r="J667" s="512" t="s">
        <v>643</v>
      </c>
    </row>
    <row r="668" spans="1:10">
      <c r="A668" s="512">
        <f t="shared" si="27"/>
        <v>20110629</v>
      </c>
      <c r="B668" s="513" t="s">
        <v>459</v>
      </c>
      <c r="C668" s="513" t="str">
        <f t="shared" si="28"/>
        <v>20110629RLS</v>
      </c>
      <c r="D668" s="513" t="s">
        <v>251</v>
      </c>
      <c r="E668" s="513" t="str">
        <f t="shared" si="29"/>
        <v>20110629LGUM_315</v>
      </c>
      <c r="F668" s="514">
        <v>21.09</v>
      </c>
      <c r="G668" s="514">
        <v>0.15</v>
      </c>
      <c r="H668" s="514">
        <v>3.41</v>
      </c>
      <c r="I668" s="514">
        <v>17.53</v>
      </c>
      <c r="J668" s="512" t="s">
        <v>644</v>
      </c>
    </row>
    <row r="669" spans="1:10">
      <c r="A669" s="512">
        <f t="shared" si="27"/>
        <v>20110629</v>
      </c>
      <c r="B669" s="513" t="s">
        <v>459</v>
      </c>
      <c r="C669" s="513" t="str">
        <f t="shared" si="28"/>
        <v>20110629RLS</v>
      </c>
      <c r="D669" s="513" t="s">
        <v>252</v>
      </c>
      <c r="E669" s="513" t="str">
        <f t="shared" si="29"/>
        <v>20110629LGUM_316</v>
      </c>
      <c r="F669" s="514">
        <v>25.14</v>
      </c>
      <c r="G669" s="514">
        <v>0.13</v>
      </c>
      <c r="H669" s="514">
        <v>2.2999999999999998</v>
      </c>
      <c r="I669" s="514">
        <v>22.71</v>
      </c>
      <c r="J669" s="512" t="s">
        <v>476</v>
      </c>
    </row>
    <row r="670" spans="1:10">
      <c r="A670" s="512">
        <f t="shared" si="27"/>
        <v>20110629</v>
      </c>
      <c r="B670" s="513" t="s">
        <v>459</v>
      </c>
      <c r="C670" s="513" t="str">
        <f t="shared" si="28"/>
        <v>20110629RLS</v>
      </c>
      <c r="D670" s="513" t="s">
        <v>253</v>
      </c>
      <c r="E670" s="513" t="str">
        <f t="shared" si="29"/>
        <v>20110629LGUM_317</v>
      </c>
      <c r="F670" s="514">
        <v>27.44</v>
      </c>
      <c r="G670" s="514">
        <v>0.15</v>
      </c>
      <c r="H670" s="514">
        <v>3.65</v>
      </c>
      <c r="I670" s="514">
        <v>23.640000000000004</v>
      </c>
      <c r="J670" s="512" t="s">
        <v>478</v>
      </c>
    </row>
    <row r="671" spans="1:10">
      <c r="A671" s="512">
        <f t="shared" si="27"/>
        <v>20110629</v>
      </c>
      <c r="B671" s="513" t="s">
        <v>459</v>
      </c>
      <c r="C671" s="513" t="str">
        <f t="shared" si="28"/>
        <v>20110629RLS</v>
      </c>
      <c r="D671" s="513" t="s">
        <v>254</v>
      </c>
      <c r="E671" s="513" t="str">
        <f t="shared" si="29"/>
        <v>20110629LGUM_318</v>
      </c>
      <c r="F671" s="514">
        <v>16.29</v>
      </c>
      <c r="G671" s="514">
        <v>0.1</v>
      </c>
      <c r="H671" s="514">
        <v>1.55</v>
      </c>
      <c r="I671" s="514">
        <v>14.639999999999997</v>
      </c>
      <c r="J671" s="512" t="s">
        <v>645</v>
      </c>
    </row>
    <row r="672" spans="1:10">
      <c r="A672" s="512">
        <f t="shared" si="27"/>
        <v>20110629</v>
      </c>
      <c r="B672" s="513" t="s">
        <v>459</v>
      </c>
      <c r="C672" s="513" t="str">
        <f t="shared" si="28"/>
        <v>20110629RLS</v>
      </c>
      <c r="D672" s="513" t="s">
        <v>532</v>
      </c>
      <c r="E672" s="513" t="str">
        <f t="shared" si="29"/>
        <v>20110629LGUM_319</v>
      </c>
      <c r="F672" s="514">
        <v>21.19</v>
      </c>
      <c r="G672" s="514">
        <v>0.15</v>
      </c>
      <c r="H672" s="514">
        <v>3.41</v>
      </c>
      <c r="I672" s="514">
        <v>17.630000000000003</v>
      </c>
      <c r="J672" s="512" t="s">
        <v>646</v>
      </c>
    </row>
    <row r="673" spans="1:10">
      <c r="A673" s="512">
        <f t="shared" ref="A673:A736" si="30">A672</f>
        <v>20110629</v>
      </c>
      <c r="B673" s="513" t="s">
        <v>459</v>
      </c>
      <c r="C673" s="513" t="str">
        <f t="shared" si="28"/>
        <v>20110629RLS</v>
      </c>
      <c r="D673" s="513" t="s">
        <v>534</v>
      </c>
      <c r="E673" s="513" t="str">
        <f t="shared" si="29"/>
        <v>20110629LGUM_320</v>
      </c>
      <c r="F673" s="514">
        <v>25.14</v>
      </c>
      <c r="G673" s="514">
        <v>0.13</v>
      </c>
      <c r="H673" s="514">
        <v>2.2999999999999998</v>
      </c>
      <c r="I673" s="514">
        <v>22.71</v>
      </c>
      <c r="J673" s="512" t="s">
        <v>647</v>
      </c>
    </row>
    <row r="674" spans="1:10">
      <c r="A674" s="512">
        <f t="shared" si="30"/>
        <v>20110629</v>
      </c>
      <c r="B674" s="513" t="s">
        <v>459</v>
      </c>
      <c r="C674" s="513" t="str">
        <f t="shared" si="28"/>
        <v>20110629RLS</v>
      </c>
      <c r="D674" s="513" t="s">
        <v>255</v>
      </c>
      <c r="E674" s="513" t="str">
        <f t="shared" si="29"/>
        <v>20110629LGUM_321</v>
      </c>
      <c r="F674" s="514">
        <v>27.44</v>
      </c>
      <c r="G674" s="514">
        <v>0.15</v>
      </c>
      <c r="H674" s="514">
        <v>3.65</v>
      </c>
      <c r="I674" s="514">
        <v>23.640000000000004</v>
      </c>
      <c r="J674" s="512" t="s">
        <v>648</v>
      </c>
    </row>
    <row r="675" spans="1:10">
      <c r="A675" s="512">
        <f t="shared" si="30"/>
        <v>20110629</v>
      </c>
      <c r="B675" s="513" t="s">
        <v>459</v>
      </c>
      <c r="C675" s="513" t="str">
        <f t="shared" si="28"/>
        <v>20110629RLS</v>
      </c>
      <c r="D675" s="513" t="s">
        <v>256</v>
      </c>
      <c r="E675" s="513" t="str">
        <f t="shared" si="29"/>
        <v>20110629LGUM_322</v>
      </c>
      <c r="F675" s="514">
        <v>11.51</v>
      </c>
      <c r="G675" s="514">
        <v>0.13</v>
      </c>
      <c r="H675" s="514">
        <v>1.55</v>
      </c>
      <c r="I675" s="514">
        <v>9.8299999999999983</v>
      </c>
      <c r="J675" s="512" t="s">
        <v>479</v>
      </c>
    </row>
    <row r="676" spans="1:10">
      <c r="A676" s="512">
        <f t="shared" si="30"/>
        <v>20110629</v>
      </c>
      <c r="B676" s="513" t="s">
        <v>459</v>
      </c>
      <c r="C676" s="513" t="str">
        <f t="shared" si="28"/>
        <v>20110629RLS</v>
      </c>
      <c r="D676" s="513" t="s">
        <v>257</v>
      </c>
      <c r="E676" s="513" t="str">
        <f t="shared" si="29"/>
        <v>20110629LGUM_323</v>
      </c>
      <c r="F676" s="514">
        <v>13.84</v>
      </c>
      <c r="G676" s="514">
        <v>0.13</v>
      </c>
      <c r="H676" s="514">
        <v>1.55</v>
      </c>
      <c r="I676" s="514">
        <v>12.159999999999998</v>
      </c>
      <c r="J676" s="512" t="s">
        <v>480</v>
      </c>
    </row>
    <row r="677" spans="1:10">
      <c r="A677" s="512">
        <f t="shared" si="30"/>
        <v>20110629</v>
      </c>
      <c r="B677" s="513" t="s">
        <v>459</v>
      </c>
      <c r="C677" s="513" t="str">
        <f t="shared" si="28"/>
        <v>20110629RLS</v>
      </c>
      <c r="D677" s="513" t="s">
        <v>258</v>
      </c>
      <c r="E677" s="513" t="str">
        <f t="shared" si="29"/>
        <v>20110629LGUM_324</v>
      </c>
      <c r="F677" s="514">
        <v>13.95</v>
      </c>
      <c r="G677" s="514">
        <v>0.14000000000000001</v>
      </c>
      <c r="H677" s="514">
        <v>1.07</v>
      </c>
      <c r="I677" s="514">
        <v>12.739999999999998</v>
      </c>
      <c r="J677" s="512" t="s">
        <v>537</v>
      </c>
    </row>
    <row r="678" spans="1:10">
      <c r="A678" s="512">
        <f t="shared" si="30"/>
        <v>20110629</v>
      </c>
      <c r="B678" s="513" t="s">
        <v>459</v>
      </c>
      <c r="C678" s="513" t="str">
        <f t="shared" si="28"/>
        <v>20110629RLS</v>
      </c>
      <c r="D678" s="513" t="s">
        <v>259</v>
      </c>
      <c r="E678" s="513" t="str">
        <f t="shared" si="29"/>
        <v>20110629LGUM_325</v>
      </c>
      <c r="F678" s="514">
        <v>23.49</v>
      </c>
      <c r="G678" s="514">
        <v>0.13</v>
      </c>
      <c r="H678" s="514">
        <v>1.55</v>
      </c>
      <c r="I678" s="514">
        <v>21.81</v>
      </c>
      <c r="J678" s="512" t="s">
        <v>690</v>
      </c>
    </row>
    <row r="679" spans="1:10">
      <c r="A679" s="512">
        <f t="shared" si="30"/>
        <v>20110629</v>
      </c>
      <c r="B679" s="513" t="s">
        <v>459</v>
      </c>
      <c r="C679" s="513" t="str">
        <f t="shared" si="28"/>
        <v>20110629RLS</v>
      </c>
      <c r="D679" s="513" t="s">
        <v>538</v>
      </c>
      <c r="E679" s="513" t="str">
        <f t="shared" si="29"/>
        <v>20110629LGUM_345</v>
      </c>
      <c r="F679" s="514">
        <v>16.22</v>
      </c>
      <c r="G679" s="514">
        <v>0.15</v>
      </c>
      <c r="H679" s="514">
        <v>3.41</v>
      </c>
      <c r="I679" s="514">
        <v>12.66</v>
      </c>
      <c r="J679" s="512" t="s">
        <v>649</v>
      </c>
    </row>
    <row r="680" spans="1:10">
      <c r="A680" s="512">
        <f t="shared" si="30"/>
        <v>20110629</v>
      </c>
      <c r="B680" s="513" t="s">
        <v>459</v>
      </c>
      <c r="C680" s="513" t="str">
        <f t="shared" si="28"/>
        <v>20110629RLS</v>
      </c>
      <c r="D680" s="513" t="s">
        <v>540</v>
      </c>
      <c r="E680" s="513" t="str">
        <f t="shared" si="29"/>
        <v>20110629LGUM_346</v>
      </c>
      <c r="F680" s="514">
        <v>22.21</v>
      </c>
      <c r="G680" s="514">
        <v>0.13</v>
      </c>
      <c r="H680" s="514">
        <v>2.2999999999999998</v>
      </c>
      <c r="I680" s="514">
        <v>19.78</v>
      </c>
      <c r="J680" s="512" t="s">
        <v>650</v>
      </c>
    </row>
    <row r="681" spans="1:10">
      <c r="A681" s="512">
        <f t="shared" si="30"/>
        <v>20110629</v>
      </c>
      <c r="B681" s="513" t="s">
        <v>459</v>
      </c>
      <c r="C681" s="513" t="str">
        <f t="shared" si="28"/>
        <v>20110629RLS</v>
      </c>
      <c r="D681" s="513" t="s">
        <v>542</v>
      </c>
      <c r="E681" s="513" t="str">
        <f t="shared" si="29"/>
        <v>20110629LGUM_347</v>
      </c>
      <c r="F681" s="514">
        <v>21.19</v>
      </c>
      <c r="G681" s="514">
        <v>0.15</v>
      </c>
      <c r="H681" s="514">
        <v>3.41</v>
      </c>
      <c r="I681" s="514">
        <v>17.630000000000003</v>
      </c>
      <c r="J681" s="512" t="s">
        <v>543</v>
      </c>
    </row>
    <row r="682" spans="1:10">
      <c r="A682" s="512">
        <f t="shared" si="30"/>
        <v>20110629</v>
      </c>
      <c r="B682" s="513" t="s">
        <v>459</v>
      </c>
      <c r="C682" s="513" t="str">
        <f t="shared" si="28"/>
        <v>20110629RLS</v>
      </c>
      <c r="D682" s="513" t="s">
        <v>260</v>
      </c>
      <c r="E682" s="513" t="str">
        <f t="shared" si="29"/>
        <v>20110629LGUM_348</v>
      </c>
      <c r="F682" s="514">
        <v>12.05</v>
      </c>
      <c r="G682" s="514">
        <v>0.42</v>
      </c>
      <c r="H682" s="514">
        <v>2.2200000000000002</v>
      </c>
      <c r="I682" s="514">
        <v>9.41</v>
      </c>
      <c r="J682" s="512" t="s">
        <v>544</v>
      </c>
    </row>
    <row r="683" spans="1:10">
      <c r="A683" s="512">
        <f t="shared" si="30"/>
        <v>20110629</v>
      </c>
      <c r="B683" s="513" t="s">
        <v>459</v>
      </c>
      <c r="C683" s="513" t="str">
        <f t="shared" si="28"/>
        <v>20110629RLS</v>
      </c>
      <c r="D683" s="513" t="s">
        <v>262</v>
      </c>
      <c r="E683" s="513" t="str">
        <f t="shared" si="29"/>
        <v>20110629LGUM_349</v>
      </c>
      <c r="F683" s="514">
        <v>8.4</v>
      </c>
      <c r="G683" s="514">
        <v>0.14000000000000001</v>
      </c>
      <c r="H683" s="514">
        <v>0.74</v>
      </c>
      <c r="I683" s="514">
        <v>7.52</v>
      </c>
      <c r="J683" s="512" t="s">
        <v>545</v>
      </c>
    </row>
    <row r="684" spans="1:10">
      <c r="A684" s="512">
        <f t="shared" si="30"/>
        <v>20110629</v>
      </c>
      <c r="B684" s="513" t="s">
        <v>459</v>
      </c>
      <c r="C684" s="513" t="str">
        <f t="shared" si="28"/>
        <v>20110629RLS</v>
      </c>
      <c r="D684" s="513" t="s">
        <v>264</v>
      </c>
      <c r="E684" s="513" t="str">
        <f t="shared" si="29"/>
        <v>20110629LGUM_352</v>
      </c>
      <c r="F684" s="514">
        <v>10.15</v>
      </c>
      <c r="G684" s="514">
        <v>0.1</v>
      </c>
      <c r="H684" s="514">
        <v>1.55</v>
      </c>
      <c r="I684" s="514">
        <v>8.5</v>
      </c>
      <c r="J684" s="512" t="s">
        <v>491</v>
      </c>
    </row>
    <row r="685" spans="1:10">
      <c r="A685" s="512">
        <f t="shared" si="30"/>
        <v>20110629</v>
      </c>
      <c r="B685" s="513" t="s">
        <v>459</v>
      </c>
      <c r="C685" s="513" t="str">
        <f t="shared" si="28"/>
        <v>20110629RLS</v>
      </c>
      <c r="D685" s="513" t="s">
        <v>265</v>
      </c>
      <c r="E685" s="513" t="str">
        <f t="shared" si="29"/>
        <v>20110629LGUM_353</v>
      </c>
      <c r="F685" s="514">
        <v>11.62</v>
      </c>
      <c r="G685" s="514">
        <v>0.13</v>
      </c>
      <c r="H685" s="514">
        <v>2.2000000000000002</v>
      </c>
      <c r="I685" s="514">
        <v>9.2899999999999991</v>
      </c>
      <c r="J685" s="512" t="s">
        <v>492</v>
      </c>
    </row>
    <row r="686" spans="1:10">
      <c r="A686" s="512">
        <f t="shared" si="30"/>
        <v>20110629</v>
      </c>
      <c r="B686" s="513" t="s">
        <v>459</v>
      </c>
      <c r="C686" s="513" t="str">
        <f t="shared" si="28"/>
        <v>20110629RLS</v>
      </c>
      <c r="D686" s="513" t="s">
        <v>266</v>
      </c>
      <c r="E686" s="513" t="str">
        <f t="shared" si="29"/>
        <v>20110629LGUM_354</v>
      </c>
      <c r="F686" s="514">
        <v>14.19</v>
      </c>
      <c r="G686" s="514">
        <v>0.15</v>
      </c>
      <c r="H686" s="514">
        <v>3.41</v>
      </c>
      <c r="I686" s="514">
        <v>10.629999999999999</v>
      </c>
      <c r="J686" s="512" t="s">
        <v>493</v>
      </c>
    </row>
    <row r="687" spans="1:10">
      <c r="A687" s="512">
        <f t="shared" si="30"/>
        <v>20110629</v>
      </c>
      <c r="B687" s="513" t="s">
        <v>459</v>
      </c>
      <c r="C687" s="513" t="str">
        <f t="shared" si="28"/>
        <v>20110629RLS</v>
      </c>
      <c r="D687" s="513" t="s">
        <v>267</v>
      </c>
      <c r="E687" s="513" t="str">
        <f t="shared" si="29"/>
        <v>20110629LGUM_355</v>
      </c>
      <c r="F687" s="514">
        <v>9.66</v>
      </c>
      <c r="G687" s="514">
        <v>0.14000000000000001</v>
      </c>
      <c r="H687" s="514">
        <v>1.07</v>
      </c>
      <c r="I687" s="514">
        <v>8.4499999999999993</v>
      </c>
      <c r="J687" s="512" t="s">
        <v>494</v>
      </c>
    </row>
    <row r="688" spans="1:10">
      <c r="A688" s="512">
        <f t="shared" si="30"/>
        <v>20110629</v>
      </c>
      <c r="B688" s="513" t="s">
        <v>459</v>
      </c>
      <c r="C688" s="513" t="str">
        <f t="shared" si="28"/>
        <v>20110629RLS</v>
      </c>
      <c r="D688" s="513" t="s">
        <v>546</v>
      </c>
      <c r="E688" s="513" t="str">
        <f t="shared" si="29"/>
        <v>20110629LGUM_356</v>
      </c>
      <c r="F688" s="514">
        <v>13.92</v>
      </c>
      <c r="G688" s="514">
        <v>0.14000000000000001</v>
      </c>
      <c r="H688" s="514">
        <v>0.92</v>
      </c>
      <c r="I688" s="514">
        <v>12.86</v>
      </c>
      <c r="J688" s="512" t="s">
        <v>547</v>
      </c>
    </row>
    <row r="689" spans="1:10">
      <c r="A689" s="512">
        <f t="shared" si="30"/>
        <v>20110629</v>
      </c>
      <c r="B689" s="513" t="s">
        <v>459</v>
      </c>
      <c r="C689" s="513" t="str">
        <f t="shared" ref="C689:C754" si="31">A689&amp;B689</f>
        <v>20110629RLS</v>
      </c>
      <c r="D689" s="513" t="s">
        <v>268</v>
      </c>
      <c r="E689" s="513" t="str">
        <f t="shared" ref="E689:E754" si="32">A689&amp;D689</f>
        <v>20110629LGUM_357</v>
      </c>
      <c r="F689" s="514">
        <v>14.19</v>
      </c>
      <c r="G689" s="514">
        <v>0.15</v>
      </c>
      <c r="H689" s="514">
        <v>3.41</v>
      </c>
      <c r="I689" s="514">
        <v>10.629999999999999</v>
      </c>
      <c r="J689" s="512" t="s">
        <v>499</v>
      </c>
    </row>
    <row r="690" spans="1:10">
      <c r="A690" s="512">
        <f t="shared" si="30"/>
        <v>20110629</v>
      </c>
      <c r="B690" s="513" t="s">
        <v>459</v>
      </c>
      <c r="C690" s="513" t="str">
        <f t="shared" si="31"/>
        <v>20110629RLS</v>
      </c>
      <c r="D690" s="513" t="s">
        <v>269</v>
      </c>
      <c r="E690" s="513" t="str">
        <f t="shared" si="32"/>
        <v>20110629LGUM_358</v>
      </c>
      <c r="F690" s="514">
        <v>14.79</v>
      </c>
      <c r="G690" s="514">
        <v>0.1</v>
      </c>
      <c r="H690" s="514">
        <v>1.55</v>
      </c>
      <c r="I690" s="514">
        <v>13.139999999999999</v>
      </c>
      <c r="J690" s="512" t="s">
        <v>500</v>
      </c>
    </row>
    <row r="691" spans="1:10">
      <c r="A691" s="512">
        <f t="shared" si="30"/>
        <v>20110629</v>
      </c>
      <c r="B691" s="513" t="s">
        <v>459</v>
      </c>
      <c r="C691" s="513" t="str">
        <f t="shared" si="31"/>
        <v>20110629RLS</v>
      </c>
      <c r="D691" s="513" t="s">
        <v>270</v>
      </c>
      <c r="E691" s="513" t="str">
        <f t="shared" si="32"/>
        <v>20110629LGUM_360</v>
      </c>
      <c r="F691" s="514">
        <v>26.41</v>
      </c>
      <c r="G691" s="514">
        <v>0.26</v>
      </c>
      <c r="H691" s="514">
        <v>8.16</v>
      </c>
      <c r="I691" s="514">
        <v>17.989999999999998</v>
      </c>
      <c r="J691" s="512" t="s">
        <v>503</v>
      </c>
    </row>
    <row r="692" spans="1:10">
      <c r="A692" s="512">
        <f t="shared" si="30"/>
        <v>20110629</v>
      </c>
      <c r="B692" s="513" t="s">
        <v>459</v>
      </c>
      <c r="C692" s="513" t="str">
        <f t="shared" si="31"/>
        <v>20110629RLS</v>
      </c>
      <c r="D692" s="513" t="s">
        <v>271</v>
      </c>
      <c r="E692" s="513" t="str">
        <f t="shared" si="32"/>
        <v>20110629LGUM_361</v>
      </c>
      <c r="F692" s="514">
        <v>13.8</v>
      </c>
      <c r="G692" s="514">
        <v>0.13</v>
      </c>
      <c r="H692" s="514">
        <v>2.2999999999999998</v>
      </c>
      <c r="I692" s="514">
        <v>11.370000000000001</v>
      </c>
      <c r="J692" s="512" t="s">
        <v>504</v>
      </c>
    </row>
    <row r="693" spans="1:10">
      <c r="A693" s="512">
        <f t="shared" si="30"/>
        <v>20110629</v>
      </c>
      <c r="B693" s="513" t="s">
        <v>459</v>
      </c>
      <c r="C693" s="513" t="str">
        <f t="shared" si="31"/>
        <v>20110629RLS</v>
      </c>
      <c r="D693" s="513" t="s">
        <v>272</v>
      </c>
      <c r="E693" s="513" t="str">
        <f t="shared" si="32"/>
        <v>20110629LGUM_362</v>
      </c>
      <c r="F693" s="514">
        <v>14.92</v>
      </c>
      <c r="G693" s="514">
        <v>0.15</v>
      </c>
      <c r="H693" s="514">
        <v>3.65</v>
      </c>
      <c r="I693" s="514">
        <v>11.12</v>
      </c>
      <c r="J693" s="512" t="s">
        <v>505</v>
      </c>
    </row>
    <row r="694" spans="1:10">
      <c r="A694" s="512">
        <f t="shared" si="30"/>
        <v>20110629</v>
      </c>
      <c r="B694" s="513" t="s">
        <v>459</v>
      </c>
      <c r="C694" s="513" t="str">
        <f t="shared" si="31"/>
        <v>20110629RLS</v>
      </c>
      <c r="D694" s="513" t="s">
        <v>273</v>
      </c>
      <c r="E694" s="513" t="str">
        <f t="shared" si="32"/>
        <v>20110629LGUM_363</v>
      </c>
      <c r="F694" s="514">
        <v>14.92</v>
      </c>
      <c r="G694" s="514">
        <v>0.15</v>
      </c>
      <c r="H694" s="514">
        <v>3.65</v>
      </c>
      <c r="I694" s="514">
        <v>11.12</v>
      </c>
      <c r="J694" s="512" t="s">
        <v>506</v>
      </c>
    </row>
    <row r="695" spans="1:10">
      <c r="A695" s="512">
        <f t="shared" si="30"/>
        <v>20110629</v>
      </c>
      <c r="B695" s="513" t="s">
        <v>459</v>
      </c>
      <c r="C695" s="513" t="str">
        <f t="shared" si="31"/>
        <v>20110629RLS</v>
      </c>
      <c r="D695" s="513" t="s">
        <v>274</v>
      </c>
      <c r="E695" s="513" t="str">
        <f t="shared" si="32"/>
        <v>20110629LGUM_364</v>
      </c>
      <c r="F695" s="514">
        <v>24.21</v>
      </c>
      <c r="G695" s="514">
        <v>0.13</v>
      </c>
      <c r="H695" s="514">
        <v>2.2000000000000002</v>
      </c>
      <c r="I695" s="514">
        <v>21.880000000000003</v>
      </c>
      <c r="J695" s="512" t="s">
        <v>651</v>
      </c>
    </row>
    <row r="696" spans="1:10">
      <c r="A696" s="512">
        <f t="shared" si="30"/>
        <v>20110629</v>
      </c>
      <c r="B696" s="513" t="s">
        <v>459</v>
      </c>
      <c r="C696" s="513" t="str">
        <f t="shared" si="31"/>
        <v>20110629RLS</v>
      </c>
      <c r="D696" s="513" t="s">
        <v>275</v>
      </c>
      <c r="E696" s="513" t="str">
        <f t="shared" si="32"/>
        <v>20110629LGUM_365</v>
      </c>
      <c r="F696" s="514">
        <v>27.33</v>
      </c>
      <c r="G696" s="514">
        <v>0.15</v>
      </c>
      <c r="H696" s="514">
        <v>3.41</v>
      </c>
      <c r="I696" s="514">
        <v>23.77</v>
      </c>
      <c r="J696" s="512" t="s">
        <v>652</v>
      </c>
    </row>
    <row r="697" spans="1:10">
      <c r="A697" s="512">
        <f t="shared" si="30"/>
        <v>20110629</v>
      </c>
      <c r="B697" s="513" t="s">
        <v>459</v>
      </c>
      <c r="C697" s="513" t="str">
        <f t="shared" si="31"/>
        <v>20110629RLS</v>
      </c>
      <c r="D697" s="513" t="s">
        <v>276</v>
      </c>
      <c r="E697" s="513" t="str">
        <f t="shared" si="32"/>
        <v>20110629LGUM_366</v>
      </c>
      <c r="F697" s="514">
        <v>25.14</v>
      </c>
      <c r="G697" s="514">
        <v>0.13</v>
      </c>
      <c r="H697" s="514">
        <v>2.2999999999999998</v>
      </c>
      <c r="I697" s="514">
        <v>22.71</v>
      </c>
      <c r="J697" s="512" t="s">
        <v>507</v>
      </c>
    </row>
    <row r="698" spans="1:10">
      <c r="A698" s="512">
        <f t="shared" si="30"/>
        <v>20110629</v>
      </c>
      <c r="B698" s="513" t="s">
        <v>459</v>
      </c>
      <c r="C698" s="513" t="str">
        <f t="shared" si="31"/>
        <v>20110629RLS</v>
      </c>
      <c r="D698" s="513" t="s">
        <v>277</v>
      </c>
      <c r="E698" s="513" t="str">
        <f t="shared" si="32"/>
        <v>20110629LGUM_367</v>
      </c>
      <c r="F698" s="514">
        <v>27.44</v>
      </c>
      <c r="G698" s="514">
        <v>0.15</v>
      </c>
      <c r="H698" s="514">
        <v>3.65</v>
      </c>
      <c r="I698" s="514">
        <v>23.640000000000004</v>
      </c>
      <c r="J698" s="512" t="s">
        <v>653</v>
      </c>
    </row>
    <row r="699" spans="1:10">
      <c r="A699" s="512">
        <f t="shared" si="30"/>
        <v>20110629</v>
      </c>
      <c r="B699" s="513" t="s">
        <v>459</v>
      </c>
      <c r="C699" s="513" t="str">
        <f t="shared" si="31"/>
        <v>20110629RLS</v>
      </c>
      <c r="D699" s="513" t="s">
        <v>553</v>
      </c>
      <c r="E699" s="513" t="str">
        <f t="shared" si="32"/>
        <v>20110629LGUM_368</v>
      </c>
      <c r="F699" s="514">
        <v>23.23</v>
      </c>
      <c r="G699" s="514">
        <v>0.1</v>
      </c>
      <c r="H699" s="514">
        <v>1.55</v>
      </c>
      <c r="I699" s="514">
        <v>21.58</v>
      </c>
      <c r="J699" s="512" t="s">
        <v>645</v>
      </c>
    </row>
    <row r="700" spans="1:10">
      <c r="A700" s="512">
        <f t="shared" si="30"/>
        <v>20110629</v>
      </c>
      <c r="B700" s="513" t="s">
        <v>459</v>
      </c>
      <c r="C700" s="513" t="str">
        <f t="shared" si="31"/>
        <v>20110629RLS</v>
      </c>
      <c r="D700" s="513" t="s">
        <v>554</v>
      </c>
      <c r="E700" s="513" t="str">
        <f t="shared" si="32"/>
        <v>20110629LGUM_369</v>
      </c>
      <c r="F700" s="514">
        <v>27.33</v>
      </c>
      <c r="G700" s="514">
        <v>0.15</v>
      </c>
      <c r="H700" s="514">
        <v>3.41</v>
      </c>
      <c r="I700" s="514">
        <v>23.77</v>
      </c>
      <c r="J700" s="512" t="s">
        <v>654</v>
      </c>
    </row>
    <row r="701" spans="1:10">
      <c r="A701" s="512">
        <f t="shared" si="30"/>
        <v>20110629</v>
      </c>
      <c r="B701" s="513" t="s">
        <v>459</v>
      </c>
      <c r="C701" s="513" t="str">
        <f t="shared" si="31"/>
        <v>20110629RLS</v>
      </c>
      <c r="D701" s="513" t="s">
        <v>278</v>
      </c>
      <c r="E701" s="513" t="str">
        <f t="shared" si="32"/>
        <v>20110629LGUM_370</v>
      </c>
      <c r="F701" s="514">
        <v>25.14</v>
      </c>
      <c r="G701" s="514">
        <v>0.13</v>
      </c>
      <c r="H701" s="514">
        <v>2.2999999999999998</v>
      </c>
      <c r="I701" s="514">
        <v>22.71</v>
      </c>
      <c r="J701" s="512" t="s">
        <v>655</v>
      </c>
    </row>
    <row r="702" spans="1:10">
      <c r="A702" s="512">
        <f t="shared" si="30"/>
        <v>20110629</v>
      </c>
      <c r="B702" s="513" t="s">
        <v>459</v>
      </c>
      <c r="C702" s="513" t="str">
        <f t="shared" si="31"/>
        <v>20110629RLS</v>
      </c>
      <c r="D702" s="513" t="s">
        <v>279</v>
      </c>
      <c r="E702" s="513" t="str">
        <f t="shared" si="32"/>
        <v>20110629LGUM_371</v>
      </c>
      <c r="F702" s="514">
        <v>27.44</v>
      </c>
      <c r="G702" s="514">
        <v>0.15</v>
      </c>
      <c r="H702" s="514">
        <v>3.65</v>
      </c>
      <c r="I702" s="514">
        <v>23.640000000000004</v>
      </c>
      <c r="J702" s="512" t="s">
        <v>656</v>
      </c>
    </row>
    <row r="703" spans="1:10">
      <c r="A703" s="512">
        <f t="shared" si="30"/>
        <v>20110629</v>
      </c>
      <c r="B703" s="513" t="s">
        <v>459</v>
      </c>
      <c r="C703" s="513" t="str">
        <f t="shared" si="31"/>
        <v>20110629RLS</v>
      </c>
      <c r="D703" s="513" t="s">
        <v>280</v>
      </c>
      <c r="E703" s="513" t="str">
        <f t="shared" si="32"/>
        <v>20110629LGUM_372</v>
      </c>
      <c r="F703" s="514">
        <v>11.51</v>
      </c>
      <c r="G703" s="514">
        <v>0.13</v>
      </c>
      <c r="H703" s="514">
        <v>1.55</v>
      </c>
      <c r="I703" s="514">
        <v>9.8299999999999983</v>
      </c>
      <c r="J703" s="512" t="s">
        <v>509</v>
      </c>
    </row>
    <row r="704" spans="1:10">
      <c r="A704" s="512">
        <f t="shared" si="30"/>
        <v>20110629</v>
      </c>
      <c r="B704" s="513" t="s">
        <v>459</v>
      </c>
      <c r="C704" s="513" t="str">
        <f t="shared" si="31"/>
        <v>20110629RLS</v>
      </c>
      <c r="D704" s="513" t="s">
        <v>281</v>
      </c>
      <c r="E704" s="513" t="str">
        <f t="shared" si="32"/>
        <v>20110629LGUM_373</v>
      </c>
      <c r="F704" s="514">
        <v>11.51</v>
      </c>
      <c r="G704" s="514">
        <v>0.13</v>
      </c>
      <c r="H704" s="514">
        <v>1.55</v>
      </c>
      <c r="I704" s="514">
        <v>9.8299999999999983</v>
      </c>
      <c r="J704" s="512" t="s">
        <v>510</v>
      </c>
    </row>
    <row r="705" spans="1:10">
      <c r="A705" s="512">
        <f t="shared" si="30"/>
        <v>20110629</v>
      </c>
      <c r="B705" s="513" t="s">
        <v>459</v>
      </c>
      <c r="C705" s="513" t="str">
        <f t="shared" si="31"/>
        <v>20110629RLS</v>
      </c>
      <c r="D705" s="513" t="s">
        <v>282</v>
      </c>
      <c r="E705" s="513" t="str">
        <f t="shared" si="32"/>
        <v>20110629LGUM_374</v>
      </c>
      <c r="F705" s="514">
        <v>13.95</v>
      </c>
      <c r="G705" s="514">
        <v>0.14000000000000001</v>
      </c>
      <c r="H705" s="514">
        <v>1.07</v>
      </c>
      <c r="I705" s="514">
        <v>12.739999999999998</v>
      </c>
      <c r="J705" s="512" t="s">
        <v>558</v>
      </c>
    </row>
    <row r="706" spans="1:10">
      <c r="A706" s="512">
        <f t="shared" si="30"/>
        <v>20110629</v>
      </c>
      <c r="B706" s="513" t="s">
        <v>459</v>
      </c>
      <c r="C706" s="513" t="str">
        <f t="shared" si="31"/>
        <v>20110629RLS</v>
      </c>
      <c r="D706" s="513" t="s">
        <v>283</v>
      </c>
      <c r="E706" s="513" t="str">
        <f t="shared" si="32"/>
        <v>20110629LGUM_375</v>
      </c>
      <c r="F706" s="514">
        <v>23.49</v>
      </c>
      <c r="G706" s="514">
        <v>0.13</v>
      </c>
      <c r="H706" s="514">
        <v>1.48</v>
      </c>
      <c r="I706" s="514">
        <v>21.88</v>
      </c>
      <c r="J706" s="512" t="s">
        <v>657</v>
      </c>
    </row>
    <row r="707" spans="1:10">
      <c r="A707" s="512">
        <f t="shared" si="30"/>
        <v>20110629</v>
      </c>
      <c r="B707" s="513" t="s">
        <v>459</v>
      </c>
      <c r="C707" s="513" t="str">
        <f t="shared" si="31"/>
        <v>20110629RLS</v>
      </c>
      <c r="D707" s="513" t="s">
        <v>284</v>
      </c>
      <c r="E707" s="513" t="str">
        <f t="shared" si="32"/>
        <v>20110629LGUM_376</v>
      </c>
      <c r="F707" s="514">
        <v>13.36</v>
      </c>
      <c r="G707" s="514">
        <v>0.13</v>
      </c>
      <c r="H707" s="514">
        <v>0.74</v>
      </c>
      <c r="I707" s="514">
        <v>12.489999999999998</v>
      </c>
      <c r="J707" s="512" t="s">
        <v>512</v>
      </c>
    </row>
    <row r="708" spans="1:10">
      <c r="A708" s="512">
        <f t="shared" si="30"/>
        <v>20110629</v>
      </c>
      <c r="B708" s="513" t="s">
        <v>459</v>
      </c>
      <c r="C708" s="513" t="str">
        <f t="shared" si="31"/>
        <v>20110629RLS</v>
      </c>
      <c r="D708" s="513" t="s">
        <v>285</v>
      </c>
      <c r="E708" s="513" t="str">
        <f t="shared" si="32"/>
        <v>20110629LGUM_377</v>
      </c>
      <c r="F708" s="514">
        <v>20.239999999999998</v>
      </c>
      <c r="G708" s="514">
        <v>0.13</v>
      </c>
      <c r="H708" s="514">
        <v>1.48</v>
      </c>
      <c r="I708" s="514">
        <v>18.63</v>
      </c>
      <c r="J708" s="512" t="s">
        <v>658</v>
      </c>
    </row>
    <row r="709" spans="1:10">
      <c r="A709" s="512">
        <f t="shared" si="30"/>
        <v>20110629</v>
      </c>
      <c r="B709" s="513" t="s">
        <v>459</v>
      </c>
      <c r="C709" s="513" t="str">
        <f t="shared" si="31"/>
        <v>20110629RLS</v>
      </c>
      <c r="D709" s="513" t="s">
        <v>286</v>
      </c>
      <c r="E709" s="513" t="str">
        <f t="shared" si="32"/>
        <v>20110629LGUM_378</v>
      </c>
      <c r="F709" s="514">
        <v>63.33</v>
      </c>
      <c r="G709" s="514">
        <v>0.26</v>
      </c>
      <c r="H709" s="514">
        <v>8.14</v>
      </c>
      <c r="I709" s="514">
        <v>54.93</v>
      </c>
      <c r="J709" s="512" t="s">
        <v>515</v>
      </c>
    </row>
    <row r="710" spans="1:10">
      <c r="A710" s="512">
        <f t="shared" si="30"/>
        <v>20110629</v>
      </c>
      <c r="B710" s="513" t="s">
        <v>459</v>
      </c>
      <c r="C710" s="513" t="str">
        <f t="shared" si="31"/>
        <v>20110629RLS</v>
      </c>
      <c r="D710" s="513" t="s">
        <v>287</v>
      </c>
      <c r="E710" s="513" t="str">
        <f t="shared" si="32"/>
        <v>20110629LGUM_379</v>
      </c>
      <c r="F710" s="514">
        <v>33.549999999999997</v>
      </c>
      <c r="G710" s="514">
        <v>0.26</v>
      </c>
      <c r="H710" s="514">
        <v>8.14</v>
      </c>
      <c r="I710" s="514">
        <v>25.15</v>
      </c>
      <c r="J710" s="512" t="s">
        <v>517</v>
      </c>
    </row>
    <row r="711" spans="1:10">
      <c r="A711" s="512">
        <f t="shared" si="30"/>
        <v>20110629</v>
      </c>
      <c r="B711" s="513" t="s">
        <v>459</v>
      </c>
      <c r="C711" s="513" t="str">
        <f t="shared" si="31"/>
        <v>20110629RLS</v>
      </c>
      <c r="D711" s="513" t="s">
        <v>288</v>
      </c>
      <c r="E711" s="513" t="str">
        <f t="shared" si="32"/>
        <v>20110629LGUM_380</v>
      </c>
      <c r="F711" s="514">
        <v>17.97</v>
      </c>
      <c r="G711" s="514">
        <v>0.13</v>
      </c>
      <c r="H711" s="514">
        <v>0.74</v>
      </c>
      <c r="I711" s="514">
        <v>17.100000000000001</v>
      </c>
      <c r="J711" s="512" t="s">
        <v>519</v>
      </c>
    </row>
    <row r="712" spans="1:10">
      <c r="A712" s="512">
        <f t="shared" si="30"/>
        <v>20110629</v>
      </c>
      <c r="B712" s="513" t="s">
        <v>459</v>
      </c>
      <c r="C712" s="513" t="str">
        <f t="shared" si="31"/>
        <v>20110629RLS</v>
      </c>
      <c r="D712" s="513" t="s">
        <v>289</v>
      </c>
      <c r="E712" s="513" t="str">
        <f t="shared" si="32"/>
        <v>20110629LGUM_381</v>
      </c>
      <c r="F712" s="514">
        <v>18.87</v>
      </c>
      <c r="G712" s="514">
        <v>0.14000000000000001</v>
      </c>
      <c r="H712" s="514">
        <v>1.07</v>
      </c>
      <c r="I712" s="514">
        <v>17.66</v>
      </c>
      <c r="J712" s="512" t="s">
        <v>564</v>
      </c>
    </row>
    <row r="713" spans="1:10">
      <c r="A713" s="512">
        <f t="shared" si="30"/>
        <v>20110629</v>
      </c>
      <c r="B713" s="513" t="s">
        <v>459</v>
      </c>
      <c r="C713" s="513" t="str">
        <f t="shared" si="31"/>
        <v>20110629RLS</v>
      </c>
      <c r="D713" s="513" t="s">
        <v>290</v>
      </c>
      <c r="E713" s="513" t="str">
        <f t="shared" si="32"/>
        <v>20110629LGUM_382</v>
      </c>
      <c r="F713" s="514">
        <v>18.18</v>
      </c>
      <c r="G713" s="514">
        <v>0.13</v>
      </c>
      <c r="H713" s="514">
        <v>0.74</v>
      </c>
      <c r="I713" s="514">
        <v>17.310000000000002</v>
      </c>
      <c r="J713" s="512" t="s">
        <v>521</v>
      </c>
    </row>
    <row r="714" spans="1:10">
      <c r="A714" s="512">
        <f t="shared" si="30"/>
        <v>20110629</v>
      </c>
      <c r="B714" s="513" t="s">
        <v>459</v>
      </c>
      <c r="C714" s="513" t="str">
        <f t="shared" si="31"/>
        <v>20110629RLS</v>
      </c>
      <c r="D714" s="513" t="s">
        <v>291</v>
      </c>
      <c r="E714" s="513" t="str">
        <f t="shared" si="32"/>
        <v>20110629LGUM_383</v>
      </c>
      <c r="F714" s="514">
        <v>19.47</v>
      </c>
      <c r="G714" s="514">
        <v>0.14000000000000001</v>
      </c>
      <c r="H714" s="514">
        <v>1.07</v>
      </c>
      <c r="I714" s="514">
        <v>18.259999999999998</v>
      </c>
      <c r="J714" s="512" t="s">
        <v>566</v>
      </c>
    </row>
    <row r="715" spans="1:10">
      <c r="A715" s="512">
        <f t="shared" si="30"/>
        <v>20110629</v>
      </c>
      <c r="B715" s="513" t="s">
        <v>684</v>
      </c>
      <c r="C715" s="513" t="str">
        <f t="shared" si="31"/>
        <v>20110629DSK</v>
      </c>
      <c r="D715" s="516" t="s">
        <v>340</v>
      </c>
      <c r="E715" s="513" t="str">
        <f t="shared" si="32"/>
        <v>20110629LGUM_400</v>
      </c>
      <c r="F715" s="514">
        <v>22.55</v>
      </c>
      <c r="G715" s="514">
        <v>0.17</v>
      </c>
      <c r="H715" s="514">
        <v>0.92</v>
      </c>
      <c r="I715" s="514">
        <v>21.459999999999997</v>
      </c>
      <c r="J715" s="527" t="s">
        <v>685</v>
      </c>
    </row>
    <row r="716" spans="1:10">
      <c r="A716" s="512">
        <f t="shared" si="30"/>
        <v>20110629</v>
      </c>
      <c r="B716" s="513" t="s">
        <v>684</v>
      </c>
      <c r="C716" s="513" t="str">
        <f t="shared" si="31"/>
        <v>20110629DSK</v>
      </c>
      <c r="D716" s="516" t="s">
        <v>692</v>
      </c>
      <c r="E716" s="513" t="str">
        <f t="shared" si="32"/>
        <v>20110629LGUM_401</v>
      </c>
      <c r="F716" s="514">
        <v>23.48</v>
      </c>
      <c r="G716" s="514">
        <v>0.18</v>
      </c>
      <c r="H716" s="514">
        <v>0.86</v>
      </c>
      <c r="I716" s="514">
        <v>22.44</v>
      </c>
      <c r="J716" s="527" t="s">
        <v>693</v>
      </c>
    </row>
    <row r="717" spans="1:10">
      <c r="A717" s="512">
        <f>A714</f>
        <v>20110629</v>
      </c>
      <c r="B717" s="513" t="s">
        <v>567</v>
      </c>
      <c r="C717" s="513" t="str">
        <f t="shared" si="31"/>
        <v>20110629LS</v>
      </c>
      <c r="D717" s="513" t="s">
        <v>292</v>
      </c>
      <c r="E717" s="513" t="str">
        <f t="shared" si="32"/>
        <v>20110629LGUM_412</v>
      </c>
      <c r="F717" s="514">
        <v>18.63</v>
      </c>
      <c r="G717" s="514">
        <v>0.2</v>
      </c>
      <c r="H717" s="514">
        <v>0.61</v>
      </c>
      <c r="I717" s="514">
        <v>17.82</v>
      </c>
      <c r="J717" s="527" t="s">
        <v>659</v>
      </c>
    </row>
    <row r="718" spans="1:10">
      <c r="A718" s="512">
        <f t="shared" si="30"/>
        <v>20110629</v>
      </c>
      <c r="B718" s="513" t="s">
        <v>567</v>
      </c>
      <c r="C718" s="513" t="str">
        <f t="shared" si="31"/>
        <v>20110629LS</v>
      </c>
      <c r="D718" s="513" t="s">
        <v>293</v>
      </c>
      <c r="E718" s="513" t="str">
        <f t="shared" si="32"/>
        <v>20110629LGUM_413</v>
      </c>
      <c r="F718" s="514">
        <v>19.22</v>
      </c>
      <c r="G718" s="514">
        <v>0.18</v>
      </c>
      <c r="H718" s="514">
        <v>0.86</v>
      </c>
      <c r="I718" s="514">
        <v>18.18</v>
      </c>
      <c r="J718" s="512" t="s">
        <v>569</v>
      </c>
    </row>
    <row r="719" spans="1:10">
      <c r="A719" s="512">
        <f t="shared" si="30"/>
        <v>20110629</v>
      </c>
      <c r="B719" s="513" t="s">
        <v>567</v>
      </c>
      <c r="C719" s="513" t="str">
        <f t="shared" si="31"/>
        <v>20110629LS</v>
      </c>
      <c r="D719" s="513" t="s">
        <v>294</v>
      </c>
      <c r="E719" s="513" t="str">
        <f t="shared" si="32"/>
        <v>20110629LGUM_414</v>
      </c>
      <c r="F719" s="514">
        <v>20.329999999999998</v>
      </c>
      <c r="G719" s="514">
        <v>0.15</v>
      </c>
      <c r="H719" s="514">
        <v>1.34</v>
      </c>
      <c r="I719" s="514">
        <v>18.84</v>
      </c>
      <c r="J719" s="512" t="s">
        <v>570</v>
      </c>
    </row>
    <row r="720" spans="1:10">
      <c r="A720" s="512">
        <f t="shared" si="30"/>
        <v>20110629</v>
      </c>
      <c r="B720" s="513" t="s">
        <v>567</v>
      </c>
      <c r="C720" s="513" t="str">
        <f t="shared" si="31"/>
        <v>20110629LS</v>
      </c>
      <c r="D720" s="513" t="s">
        <v>295</v>
      </c>
      <c r="E720" s="513" t="str">
        <f t="shared" si="32"/>
        <v>20110629LGUM_415</v>
      </c>
      <c r="F720" s="514">
        <v>19</v>
      </c>
      <c r="G720" s="514">
        <v>0.2</v>
      </c>
      <c r="H720" s="514">
        <v>0.61</v>
      </c>
      <c r="I720" s="514">
        <v>18.190000000000001</v>
      </c>
      <c r="J720" s="527" t="s">
        <v>660</v>
      </c>
    </row>
    <row r="721" spans="1:10">
      <c r="A721" s="512">
        <f t="shared" si="30"/>
        <v>20110629</v>
      </c>
      <c r="B721" s="513" t="s">
        <v>567</v>
      </c>
      <c r="C721" s="513" t="str">
        <f t="shared" si="31"/>
        <v>20110629LS</v>
      </c>
      <c r="D721" s="513" t="s">
        <v>296</v>
      </c>
      <c r="E721" s="513" t="str">
        <f t="shared" si="32"/>
        <v>20110629LGUM_416</v>
      </c>
      <c r="F721" s="514">
        <v>21.22</v>
      </c>
      <c r="G721" s="514">
        <v>0.18</v>
      </c>
      <c r="H721" s="514">
        <v>0.86</v>
      </c>
      <c r="I721" s="514">
        <v>20.18</v>
      </c>
      <c r="J721" s="512" t="s">
        <v>572</v>
      </c>
    </row>
    <row r="722" spans="1:10">
      <c r="A722" s="512">
        <f t="shared" si="30"/>
        <v>20110629</v>
      </c>
      <c r="B722" s="513" t="s">
        <v>567</v>
      </c>
      <c r="C722" s="513" t="str">
        <f t="shared" si="31"/>
        <v>20110629LS</v>
      </c>
      <c r="D722" s="513" t="s">
        <v>297</v>
      </c>
      <c r="E722" s="513" t="str">
        <f t="shared" si="32"/>
        <v>20110629LGUM_417</v>
      </c>
      <c r="F722" s="514">
        <v>22.3</v>
      </c>
      <c r="G722" s="514">
        <v>0.18</v>
      </c>
      <c r="H722" s="514">
        <v>0.86</v>
      </c>
      <c r="I722" s="514">
        <v>21.26</v>
      </c>
      <c r="J722" s="512" t="s">
        <v>573</v>
      </c>
    </row>
    <row r="723" spans="1:10">
      <c r="A723" s="512">
        <f t="shared" si="30"/>
        <v>20110629</v>
      </c>
      <c r="B723" s="513" t="s">
        <v>567</v>
      </c>
      <c r="C723" s="513" t="str">
        <f t="shared" si="31"/>
        <v>20110629LS</v>
      </c>
      <c r="D723" s="513" t="s">
        <v>298</v>
      </c>
      <c r="E723" s="513" t="str">
        <f t="shared" si="32"/>
        <v>20110629LGUM_418</v>
      </c>
      <c r="F723" s="514">
        <v>22.24</v>
      </c>
      <c r="G723" s="514">
        <v>0.15</v>
      </c>
      <c r="H723" s="514">
        <v>1.34</v>
      </c>
      <c r="I723" s="514">
        <v>20.75</v>
      </c>
      <c r="J723" s="512" t="s">
        <v>574</v>
      </c>
    </row>
    <row r="724" spans="1:10">
      <c r="A724" s="512">
        <f t="shared" si="30"/>
        <v>20110629</v>
      </c>
      <c r="B724" s="513" t="s">
        <v>567</v>
      </c>
      <c r="C724" s="513" t="str">
        <f t="shared" si="31"/>
        <v>20110629LS</v>
      </c>
      <c r="D724" s="513" t="s">
        <v>299</v>
      </c>
      <c r="E724" s="513" t="str">
        <f t="shared" si="32"/>
        <v>20110629LGUM_419</v>
      </c>
      <c r="F724" s="514">
        <v>23.25</v>
      </c>
      <c r="G724" s="514">
        <v>0.15</v>
      </c>
      <c r="H724" s="514">
        <v>1.34</v>
      </c>
      <c r="I724" s="514">
        <v>21.76</v>
      </c>
      <c r="J724" s="512" t="s">
        <v>575</v>
      </c>
    </row>
    <row r="725" spans="1:10">
      <c r="A725" s="512">
        <f t="shared" si="30"/>
        <v>20110629</v>
      </c>
      <c r="B725" s="513" t="s">
        <v>567</v>
      </c>
      <c r="C725" s="513" t="str">
        <f t="shared" si="31"/>
        <v>20110629LS</v>
      </c>
      <c r="D725" s="513" t="s">
        <v>300</v>
      </c>
      <c r="E725" s="513" t="str">
        <f t="shared" si="32"/>
        <v>20110629LGUM_420</v>
      </c>
      <c r="F725" s="514">
        <v>28.32</v>
      </c>
      <c r="G725" s="514">
        <v>0.15</v>
      </c>
      <c r="H725" s="514">
        <v>1.34</v>
      </c>
      <c r="I725" s="514">
        <v>26.830000000000002</v>
      </c>
      <c r="J725" s="512" t="s">
        <v>576</v>
      </c>
    </row>
    <row r="726" spans="1:10">
      <c r="A726" s="512">
        <f t="shared" si="30"/>
        <v>20110629</v>
      </c>
      <c r="B726" s="513" t="s">
        <v>567</v>
      </c>
      <c r="C726" s="513" t="str">
        <f t="shared" si="31"/>
        <v>20110629LS</v>
      </c>
      <c r="D726" s="513" t="s">
        <v>301</v>
      </c>
      <c r="E726" s="513" t="str">
        <f t="shared" si="32"/>
        <v>20110629LGUM_421</v>
      </c>
      <c r="F726" s="514">
        <v>31.54</v>
      </c>
      <c r="G726" s="528">
        <v>0.72</v>
      </c>
      <c r="H726" s="514">
        <v>2.17</v>
      </c>
      <c r="I726" s="528">
        <v>28.65</v>
      </c>
      <c r="J726" s="512" t="s">
        <v>577</v>
      </c>
    </row>
    <row r="727" spans="1:10">
      <c r="A727" s="512">
        <f t="shared" si="30"/>
        <v>20110629</v>
      </c>
      <c r="B727" s="513" t="s">
        <v>567</v>
      </c>
      <c r="C727" s="513" t="str">
        <f t="shared" si="31"/>
        <v>20110629LS</v>
      </c>
      <c r="D727" s="513" t="s">
        <v>302</v>
      </c>
      <c r="E727" s="513" t="str">
        <f t="shared" si="32"/>
        <v>20110629LGUM_422</v>
      </c>
      <c r="F727" s="514">
        <v>35.979999999999997</v>
      </c>
      <c r="G727" s="514">
        <v>0.19</v>
      </c>
      <c r="H727" s="514">
        <v>3.48</v>
      </c>
      <c r="I727" s="514">
        <v>32.31</v>
      </c>
      <c r="J727" s="512" t="s">
        <v>578</v>
      </c>
    </row>
    <row r="728" spans="1:10">
      <c r="A728" s="512">
        <f t="shared" si="30"/>
        <v>20110629</v>
      </c>
      <c r="B728" s="513" t="s">
        <v>567</v>
      </c>
      <c r="C728" s="513" t="str">
        <f t="shared" si="31"/>
        <v>20110629LS</v>
      </c>
      <c r="D728" s="513" t="s">
        <v>303</v>
      </c>
      <c r="E728" s="513" t="str">
        <f t="shared" si="32"/>
        <v>20110629LGUM_423</v>
      </c>
      <c r="F728" s="514">
        <v>24.9</v>
      </c>
      <c r="G728" s="514">
        <v>0.15</v>
      </c>
      <c r="H728" s="514">
        <v>1.34</v>
      </c>
      <c r="I728" s="514">
        <v>23.41</v>
      </c>
      <c r="J728" s="512" t="s">
        <v>579</v>
      </c>
    </row>
    <row r="729" spans="1:10">
      <c r="A729" s="512">
        <f t="shared" si="30"/>
        <v>20110629</v>
      </c>
      <c r="B729" s="513" t="s">
        <v>567</v>
      </c>
      <c r="C729" s="513" t="str">
        <f t="shared" si="31"/>
        <v>20110629LS</v>
      </c>
      <c r="D729" s="513" t="s">
        <v>304</v>
      </c>
      <c r="E729" s="513" t="str">
        <f t="shared" si="32"/>
        <v>20110629LGUM_424</v>
      </c>
      <c r="F729" s="514">
        <v>27.28</v>
      </c>
      <c r="G729" s="528">
        <v>0.19</v>
      </c>
      <c r="H729" s="528">
        <v>3.48</v>
      </c>
      <c r="I729" s="528">
        <v>23.61</v>
      </c>
      <c r="J729" s="512" t="s">
        <v>580</v>
      </c>
    </row>
    <row r="730" spans="1:10">
      <c r="A730" s="512">
        <f t="shared" si="30"/>
        <v>20110629</v>
      </c>
      <c r="B730" s="513" t="s">
        <v>567</v>
      </c>
      <c r="C730" s="513" t="str">
        <f t="shared" si="31"/>
        <v>20110629LS</v>
      </c>
      <c r="D730" s="513" t="s">
        <v>305</v>
      </c>
      <c r="E730" s="513" t="str">
        <f t="shared" si="32"/>
        <v>20110629LGUM_425</v>
      </c>
      <c r="F730" s="514">
        <v>31.77</v>
      </c>
      <c r="G730" s="514">
        <v>0.19</v>
      </c>
      <c r="H730" s="514">
        <v>3.48</v>
      </c>
      <c r="I730" s="514">
        <v>28.099999999999998</v>
      </c>
      <c r="J730" s="512" t="s">
        <v>581</v>
      </c>
    </row>
    <row r="731" spans="1:10">
      <c r="A731" s="512">
        <f t="shared" si="30"/>
        <v>20110629</v>
      </c>
      <c r="B731" s="513" t="s">
        <v>567</v>
      </c>
      <c r="C731" s="513" t="str">
        <f t="shared" si="31"/>
        <v>20110629LS</v>
      </c>
      <c r="D731" s="513" t="s">
        <v>306</v>
      </c>
      <c r="E731" s="513" t="str">
        <f t="shared" si="32"/>
        <v>20110629LGUM_426</v>
      </c>
      <c r="F731" s="514">
        <v>31.6</v>
      </c>
      <c r="G731" s="514">
        <v>0.2</v>
      </c>
      <c r="H731" s="514">
        <v>0.61</v>
      </c>
      <c r="I731" s="514">
        <v>30.790000000000003</v>
      </c>
      <c r="J731" s="527" t="s">
        <v>663</v>
      </c>
    </row>
    <row r="732" spans="1:10">
      <c r="A732" s="512">
        <f t="shared" si="30"/>
        <v>20110629</v>
      </c>
      <c r="B732" s="513" t="s">
        <v>567</v>
      </c>
      <c r="C732" s="513" t="str">
        <f t="shared" si="31"/>
        <v>20110629LS</v>
      </c>
      <c r="D732" s="513" t="s">
        <v>307</v>
      </c>
      <c r="E732" s="513" t="str">
        <f t="shared" si="32"/>
        <v>20110629LGUM_427</v>
      </c>
      <c r="F732" s="514">
        <v>33.51</v>
      </c>
      <c r="G732" s="514">
        <v>0.2</v>
      </c>
      <c r="H732" s="514">
        <v>0.61</v>
      </c>
      <c r="I732" s="514">
        <v>32.699999999999996</v>
      </c>
      <c r="J732" s="527" t="s">
        <v>664</v>
      </c>
    </row>
    <row r="733" spans="1:10">
      <c r="A733" s="512">
        <f t="shared" si="30"/>
        <v>20110629</v>
      </c>
      <c r="B733" s="513" t="s">
        <v>567</v>
      </c>
      <c r="C733" s="513" t="str">
        <f t="shared" si="31"/>
        <v>20110629LS</v>
      </c>
      <c r="D733" s="513" t="s">
        <v>308</v>
      </c>
      <c r="E733" s="513" t="str">
        <f t="shared" si="32"/>
        <v>20110629LGUM_428</v>
      </c>
      <c r="F733" s="514">
        <v>32.36</v>
      </c>
      <c r="G733" s="514">
        <v>0.18</v>
      </c>
      <c r="H733" s="514">
        <v>0.86</v>
      </c>
      <c r="I733" s="514">
        <v>31.32</v>
      </c>
      <c r="J733" s="512" t="s">
        <v>584</v>
      </c>
    </row>
    <row r="734" spans="1:10">
      <c r="A734" s="512">
        <f t="shared" si="30"/>
        <v>20110629</v>
      </c>
      <c r="B734" s="513" t="s">
        <v>567</v>
      </c>
      <c r="C734" s="513" t="str">
        <f t="shared" si="31"/>
        <v>20110629LS</v>
      </c>
      <c r="D734" s="513" t="s">
        <v>309</v>
      </c>
      <c r="E734" s="513" t="str">
        <f t="shared" si="32"/>
        <v>20110629LGUM_429</v>
      </c>
      <c r="F734" s="514">
        <v>34.270000000000003</v>
      </c>
      <c r="G734" s="514">
        <v>0.18</v>
      </c>
      <c r="H734" s="514">
        <v>0.86</v>
      </c>
      <c r="I734" s="514">
        <v>33.230000000000004</v>
      </c>
      <c r="J734" s="512" t="s">
        <v>585</v>
      </c>
    </row>
    <row r="735" spans="1:10">
      <c r="A735" s="512">
        <f t="shared" si="30"/>
        <v>20110629</v>
      </c>
      <c r="B735" s="513" t="s">
        <v>567</v>
      </c>
      <c r="C735" s="513" t="str">
        <f t="shared" si="31"/>
        <v>20110629LS</v>
      </c>
      <c r="D735" s="513" t="s">
        <v>310</v>
      </c>
      <c r="E735" s="513" t="str">
        <f t="shared" si="32"/>
        <v>20110629LGUM_430</v>
      </c>
      <c r="F735" s="514">
        <v>30.67</v>
      </c>
      <c r="G735" s="514">
        <v>0.2</v>
      </c>
      <c r="H735" s="514">
        <v>0.61</v>
      </c>
      <c r="I735" s="514">
        <v>29.860000000000003</v>
      </c>
      <c r="J735" s="527" t="s">
        <v>665</v>
      </c>
    </row>
    <row r="736" spans="1:10">
      <c r="A736" s="512">
        <f t="shared" si="30"/>
        <v>20110629</v>
      </c>
      <c r="B736" s="513" t="s">
        <v>567</v>
      </c>
      <c r="C736" s="513" t="str">
        <f t="shared" si="31"/>
        <v>20110629LS</v>
      </c>
      <c r="D736" s="513" t="s">
        <v>311</v>
      </c>
      <c r="E736" s="513" t="str">
        <f t="shared" si="32"/>
        <v>20110629LGUM_431</v>
      </c>
      <c r="F736" s="514">
        <v>31.32</v>
      </c>
      <c r="G736" s="514">
        <v>0.2</v>
      </c>
      <c r="H736" s="514">
        <v>0.61</v>
      </c>
      <c r="I736" s="514">
        <v>30.51</v>
      </c>
      <c r="J736" s="527" t="s">
        <v>666</v>
      </c>
    </row>
    <row r="737" spans="1:10">
      <c r="A737" s="512">
        <f t="shared" ref="A737:A772" si="33">A736</f>
        <v>20110629</v>
      </c>
      <c r="B737" s="513" t="s">
        <v>567</v>
      </c>
      <c r="C737" s="513" t="str">
        <f t="shared" si="31"/>
        <v>20110629LS</v>
      </c>
      <c r="D737" s="513" t="s">
        <v>339</v>
      </c>
      <c r="E737" s="513" t="str">
        <f t="shared" si="32"/>
        <v>20110629LGUM_432</v>
      </c>
      <c r="F737" s="514">
        <v>32.590000000000003</v>
      </c>
      <c r="G737" s="514">
        <v>0.18</v>
      </c>
      <c r="H737" s="514">
        <v>0.86</v>
      </c>
      <c r="I737" s="514">
        <v>31.550000000000004</v>
      </c>
      <c r="J737" s="512" t="s">
        <v>588</v>
      </c>
    </row>
    <row r="738" spans="1:10">
      <c r="A738" s="512">
        <f t="shared" si="33"/>
        <v>20110629</v>
      </c>
      <c r="B738" s="513" t="s">
        <v>567</v>
      </c>
      <c r="C738" s="513" t="str">
        <f t="shared" si="31"/>
        <v>20110629LS</v>
      </c>
      <c r="D738" s="513" t="s">
        <v>312</v>
      </c>
      <c r="E738" s="513" t="str">
        <f t="shared" si="32"/>
        <v>20110629LGUM_433</v>
      </c>
      <c r="F738" s="514">
        <v>33.229999999999997</v>
      </c>
      <c r="G738" s="514">
        <v>0.18</v>
      </c>
      <c r="H738" s="514">
        <v>0.86</v>
      </c>
      <c r="I738" s="514">
        <v>32.19</v>
      </c>
      <c r="J738" s="512" t="s">
        <v>589</v>
      </c>
    </row>
    <row r="739" spans="1:10">
      <c r="A739" s="512">
        <f t="shared" si="33"/>
        <v>20110629</v>
      </c>
      <c r="B739" s="513" t="s">
        <v>567</v>
      </c>
      <c r="C739" s="513" t="str">
        <f t="shared" si="31"/>
        <v>20110629LS</v>
      </c>
      <c r="D739" s="513" t="s">
        <v>313</v>
      </c>
      <c r="E739" s="513" t="str">
        <f t="shared" si="32"/>
        <v>20110629LGUM_434</v>
      </c>
      <c r="F739" s="514">
        <v>16.41</v>
      </c>
      <c r="G739" s="514">
        <v>0.17</v>
      </c>
      <c r="H739" s="514">
        <v>0.92</v>
      </c>
      <c r="I739" s="514">
        <v>15.319999999999999</v>
      </c>
      <c r="J739" s="512" t="s">
        <v>590</v>
      </c>
    </row>
    <row r="740" spans="1:10">
      <c r="A740" s="512">
        <f t="shared" si="33"/>
        <v>20110629</v>
      </c>
      <c r="B740" s="513" t="s">
        <v>567</v>
      </c>
      <c r="C740" s="513" t="str">
        <f t="shared" si="31"/>
        <v>20110629LS</v>
      </c>
      <c r="D740" s="513" t="s">
        <v>314</v>
      </c>
      <c r="E740" s="513" t="str">
        <f t="shared" si="32"/>
        <v>20110629LGUM_435</v>
      </c>
      <c r="F740" s="514">
        <v>18.03</v>
      </c>
      <c r="G740" s="514">
        <v>0.15</v>
      </c>
      <c r="H740" s="514">
        <v>1.55</v>
      </c>
      <c r="I740" s="514">
        <v>16.330000000000002</v>
      </c>
      <c r="J740" s="512" t="s">
        <v>591</v>
      </c>
    </row>
    <row r="741" spans="1:10">
      <c r="A741" s="512">
        <f t="shared" si="33"/>
        <v>20110629</v>
      </c>
      <c r="B741" s="513" t="s">
        <v>567</v>
      </c>
      <c r="C741" s="513" t="str">
        <f t="shared" si="31"/>
        <v>20110629LS</v>
      </c>
      <c r="D741" s="513" t="s">
        <v>592</v>
      </c>
      <c r="E741" s="513" t="str">
        <f t="shared" si="32"/>
        <v>20110629LGUM_436</v>
      </c>
      <c r="F741" s="514">
        <v>22</v>
      </c>
      <c r="G741" s="514">
        <v>0.17</v>
      </c>
      <c r="H741" s="514">
        <v>3.41</v>
      </c>
      <c r="I741" s="514">
        <v>18.419999999999998</v>
      </c>
      <c r="J741" s="512" t="s">
        <v>593</v>
      </c>
    </row>
    <row r="742" spans="1:10">
      <c r="A742" s="512">
        <f t="shared" si="33"/>
        <v>20110629</v>
      </c>
      <c r="B742" s="513" t="s">
        <v>567</v>
      </c>
      <c r="C742" s="513" t="str">
        <f t="shared" si="31"/>
        <v>20110629LS</v>
      </c>
      <c r="D742" s="513" t="s">
        <v>315</v>
      </c>
      <c r="E742" s="513" t="str">
        <f t="shared" si="32"/>
        <v>20110629LGUM_437</v>
      </c>
      <c r="F742" s="514">
        <v>23.47</v>
      </c>
      <c r="G742" s="514">
        <v>0.13</v>
      </c>
      <c r="H742" s="514">
        <v>2.2000000000000002</v>
      </c>
      <c r="I742" s="514">
        <v>21.14</v>
      </c>
      <c r="J742" s="512" t="s">
        <v>594</v>
      </c>
    </row>
    <row r="743" spans="1:10">
      <c r="A743" s="512">
        <f t="shared" si="33"/>
        <v>20110629</v>
      </c>
      <c r="B743" s="513" t="s">
        <v>567</v>
      </c>
      <c r="C743" s="513" t="str">
        <f t="shared" si="31"/>
        <v>20110629LS</v>
      </c>
      <c r="D743" s="513" t="s">
        <v>316</v>
      </c>
      <c r="E743" s="513" t="str">
        <f t="shared" si="32"/>
        <v>20110629LGUM_438</v>
      </c>
      <c r="F743" s="514">
        <v>26.93</v>
      </c>
      <c r="G743" s="514">
        <v>0.17</v>
      </c>
      <c r="H743" s="514">
        <v>3.41</v>
      </c>
      <c r="I743" s="514">
        <v>23.349999999999998</v>
      </c>
      <c r="J743" s="512" t="s">
        <v>595</v>
      </c>
    </row>
    <row r="744" spans="1:10">
      <c r="A744" s="512">
        <f t="shared" si="33"/>
        <v>20110629</v>
      </c>
      <c r="B744" s="513" t="s">
        <v>567</v>
      </c>
      <c r="C744" s="513" t="str">
        <f t="shared" si="31"/>
        <v>20110629LS</v>
      </c>
      <c r="D744" s="516" t="s">
        <v>687</v>
      </c>
      <c r="E744" s="513" t="str">
        <f t="shared" si="32"/>
        <v>20110629LGUM_439</v>
      </c>
      <c r="F744" s="514">
        <v>15.35</v>
      </c>
      <c r="G744" s="514">
        <v>0.15</v>
      </c>
      <c r="H744" s="514">
        <v>1.34</v>
      </c>
      <c r="I744" s="514">
        <v>13.86</v>
      </c>
      <c r="J744" s="527" t="s">
        <v>661</v>
      </c>
    </row>
    <row r="745" spans="1:10">
      <c r="A745" s="512">
        <f t="shared" si="33"/>
        <v>20110629</v>
      </c>
      <c r="B745" s="513" t="s">
        <v>567</v>
      </c>
      <c r="C745" s="513" t="str">
        <f t="shared" si="31"/>
        <v>20110629LS</v>
      </c>
      <c r="D745" s="516" t="s">
        <v>688</v>
      </c>
      <c r="E745" s="513" t="str">
        <f t="shared" si="32"/>
        <v>20110629LGUM_440</v>
      </c>
      <c r="F745" s="514">
        <v>17.46</v>
      </c>
      <c r="G745" s="528">
        <v>0.72</v>
      </c>
      <c r="H745" s="528">
        <v>2.17</v>
      </c>
      <c r="I745" s="528">
        <v>14.570000000000002</v>
      </c>
      <c r="J745" s="527" t="s">
        <v>662</v>
      </c>
    </row>
    <row r="746" spans="1:10">
      <c r="A746" s="512">
        <f t="shared" si="33"/>
        <v>20110629</v>
      </c>
      <c r="B746" s="513" t="s">
        <v>567</v>
      </c>
      <c r="C746" s="513" t="str">
        <f t="shared" si="31"/>
        <v>20110629LS</v>
      </c>
      <c r="D746" s="516" t="s">
        <v>341</v>
      </c>
      <c r="E746" s="513" t="str">
        <f t="shared" si="32"/>
        <v>20110629LGUM_441</v>
      </c>
      <c r="F746" s="514">
        <v>20.46</v>
      </c>
      <c r="G746" s="514">
        <v>0.19</v>
      </c>
      <c r="H746" s="514">
        <v>3.48</v>
      </c>
      <c r="I746" s="514">
        <v>16.79</v>
      </c>
      <c r="J746" s="527" t="s">
        <v>697</v>
      </c>
    </row>
    <row r="747" spans="1:10">
      <c r="A747" s="512">
        <f t="shared" si="33"/>
        <v>20110629</v>
      </c>
      <c r="B747" s="513" t="s">
        <v>567</v>
      </c>
      <c r="C747" s="513" t="str">
        <f t="shared" si="31"/>
        <v>20110629LS</v>
      </c>
      <c r="D747" s="513" t="s">
        <v>317</v>
      </c>
      <c r="E747" s="513" t="str">
        <f t="shared" si="32"/>
        <v>20110629LGUM_452</v>
      </c>
      <c r="F747" s="514">
        <v>11.59</v>
      </c>
      <c r="G747" s="514">
        <v>0.15</v>
      </c>
      <c r="H747" s="514">
        <v>1.34</v>
      </c>
      <c r="I747" s="514">
        <v>10.1</v>
      </c>
      <c r="J747" s="512" t="s">
        <v>596</v>
      </c>
    </row>
    <row r="748" spans="1:10">
      <c r="A748" s="512">
        <f t="shared" si="33"/>
        <v>20110629</v>
      </c>
      <c r="B748" s="513" t="s">
        <v>567</v>
      </c>
      <c r="C748" s="513" t="str">
        <f t="shared" si="31"/>
        <v>20110629LS</v>
      </c>
      <c r="D748" s="513" t="s">
        <v>318</v>
      </c>
      <c r="E748" s="513" t="str">
        <f t="shared" si="32"/>
        <v>20110629LGUM_453</v>
      </c>
      <c r="F748" s="514">
        <v>13.98</v>
      </c>
      <c r="G748" s="528">
        <v>0.19</v>
      </c>
      <c r="H748" s="528">
        <v>3.48</v>
      </c>
      <c r="I748" s="528">
        <v>10.31</v>
      </c>
      <c r="J748" s="512" t="s">
        <v>597</v>
      </c>
    </row>
    <row r="749" spans="1:10">
      <c r="A749" s="512">
        <f t="shared" si="33"/>
        <v>20110629</v>
      </c>
      <c r="B749" s="513" t="s">
        <v>567</v>
      </c>
      <c r="C749" s="513" t="str">
        <f t="shared" si="31"/>
        <v>20110629LS</v>
      </c>
      <c r="D749" s="513" t="s">
        <v>319</v>
      </c>
      <c r="E749" s="513" t="str">
        <f t="shared" si="32"/>
        <v>20110629LGUM_454</v>
      </c>
      <c r="F749" s="514">
        <v>18.47</v>
      </c>
      <c r="G749" s="514">
        <v>0.19</v>
      </c>
      <c r="H749" s="514">
        <v>3.48</v>
      </c>
      <c r="I749" s="514">
        <v>14.799999999999997</v>
      </c>
      <c r="J749" s="512" t="s">
        <v>598</v>
      </c>
    </row>
    <row r="750" spans="1:10">
      <c r="A750" s="512">
        <f t="shared" si="33"/>
        <v>20110629</v>
      </c>
      <c r="B750" s="513" t="s">
        <v>567</v>
      </c>
      <c r="C750" s="513" t="str">
        <f t="shared" si="31"/>
        <v>20110629LS</v>
      </c>
      <c r="D750" s="513" t="s">
        <v>320</v>
      </c>
      <c r="E750" s="513" t="str">
        <f t="shared" si="32"/>
        <v>20110629LGUM_455</v>
      </c>
      <c r="F750" s="514">
        <v>13.2</v>
      </c>
      <c r="G750" s="514">
        <v>0.15</v>
      </c>
      <c r="H750" s="514">
        <v>1.34</v>
      </c>
      <c r="I750" s="514">
        <v>11.709999999999999</v>
      </c>
      <c r="J750" s="512" t="s">
        <v>599</v>
      </c>
    </row>
    <row r="751" spans="1:10">
      <c r="A751" s="512">
        <f t="shared" si="33"/>
        <v>20110629</v>
      </c>
      <c r="B751" s="513" t="s">
        <v>567</v>
      </c>
      <c r="C751" s="513" t="str">
        <f t="shared" si="31"/>
        <v>20110629LS</v>
      </c>
      <c r="D751" s="513" t="s">
        <v>321</v>
      </c>
      <c r="E751" s="513" t="str">
        <f t="shared" si="32"/>
        <v>20110629LGUM_456</v>
      </c>
      <c r="F751" s="514">
        <v>19.440000000000001</v>
      </c>
      <c r="G751" s="514">
        <v>0.19</v>
      </c>
      <c r="H751" s="514">
        <v>3.48</v>
      </c>
      <c r="I751" s="514">
        <v>15.77</v>
      </c>
      <c r="J751" s="512" t="s">
        <v>600</v>
      </c>
    </row>
    <row r="752" spans="1:10">
      <c r="A752" s="512">
        <f t="shared" si="33"/>
        <v>20110629</v>
      </c>
      <c r="B752" s="513" t="s">
        <v>567</v>
      </c>
      <c r="C752" s="513" t="str">
        <f t="shared" si="31"/>
        <v>20110629LS</v>
      </c>
      <c r="D752" s="513" t="s">
        <v>322</v>
      </c>
      <c r="E752" s="513" t="str">
        <f t="shared" si="32"/>
        <v>20110629LGUM_457</v>
      </c>
      <c r="F752" s="514">
        <v>10.26</v>
      </c>
      <c r="G752" s="514">
        <v>0.18</v>
      </c>
      <c r="H752" s="514">
        <v>0.86</v>
      </c>
      <c r="I752" s="514">
        <v>9.2200000000000006</v>
      </c>
      <c r="J752" s="512" t="s">
        <v>601</v>
      </c>
    </row>
    <row r="753" spans="1:10">
      <c r="A753" s="512">
        <f t="shared" si="33"/>
        <v>20110629</v>
      </c>
      <c r="B753" s="513" t="s">
        <v>567</v>
      </c>
      <c r="C753" s="513" t="str">
        <f t="shared" si="31"/>
        <v>20110629LS</v>
      </c>
      <c r="D753" s="513" t="s">
        <v>323</v>
      </c>
      <c r="E753" s="513" t="str">
        <f t="shared" si="32"/>
        <v>20110629LGUM_458</v>
      </c>
      <c r="F753" s="514">
        <v>10.27</v>
      </c>
      <c r="G753" s="514">
        <v>0.17</v>
      </c>
      <c r="H753" s="514">
        <v>3.41</v>
      </c>
      <c r="I753" s="514">
        <v>6.6899999999999995</v>
      </c>
      <c r="J753" s="512" t="s">
        <v>602</v>
      </c>
    </row>
    <row r="754" spans="1:10">
      <c r="A754" s="512">
        <f t="shared" si="33"/>
        <v>20110629</v>
      </c>
      <c r="B754" s="513" t="s">
        <v>567</v>
      </c>
      <c r="C754" s="513" t="str">
        <f t="shared" si="31"/>
        <v>20110629LS</v>
      </c>
      <c r="D754" s="513" t="s">
        <v>324</v>
      </c>
      <c r="E754" s="513" t="str">
        <f t="shared" si="32"/>
        <v>20110629LGUM_459</v>
      </c>
      <c r="F754" s="514">
        <v>11.75</v>
      </c>
      <c r="G754" s="514">
        <v>0.72</v>
      </c>
      <c r="H754" s="514">
        <v>2.17</v>
      </c>
      <c r="I754" s="514">
        <v>8.86</v>
      </c>
      <c r="J754" s="512" t="s">
        <v>603</v>
      </c>
    </row>
    <row r="755" spans="1:10">
      <c r="A755" s="512">
        <f t="shared" si="33"/>
        <v>20110629</v>
      </c>
      <c r="B755" s="513" t="s">
        <v>567</v>
      </c>
      <c r="C755" s="513" t="str">
        <f t="shared" ref="C755:C818" si="34">A755&amp;B755</f>
        <v>20110629LS</v>
      </c>
      <c r="D755" s="513" t="s">
        <v>325</v>
      </c>
      <c r="E755" s="513" t="str">
        <f t="shared" ref="E755:E818" si="35">A755&amp;D755</f>
        <v>20110629LGUM_460</v>
      </c>
      <c r="F755" s="514">
        <v>15.2</v>
      </c>
      <c r="G755" s="514">
        <v>0.19</v>
      </c>
      <c r="H755" s="514">
        <v>3.48</v>
      </c>
      <c r="I755" s="514">
        <v>11.53</v>
      </c>
      <c r="J755" s="512" t="s">
        <v>604</v>
      </c>
    </row>
    <row r="756" spans="1:10">
      <c r="A756" s="512">
        <f t="shared" si="33"/>
        <v>20110629</v>
      </c>
      <c r="B756" s="513" t="s">
        <v>567</v>
      </c>
      <c r="C756" s="513" t="str">
        <f t="shared" si="34"/>
        <v>20110629LS</v>
      </c>
      <c r="D756" s="513" t="s">
        <v>326</v>
      </c>
      <c r="E756" s="513" t="str">
        <f t="shared" si="35"/>
        <v>20110629LGUM_461</v>
      </c>
      <c r="F756" s="514">
        <v>16.55</v>
      </c>
      <c r="G756" s="514">
        <v>0.19</v>
      </c>
      <c r="H756" s="514">
        <v>3.48</v>
      </c>
      <c r="I756" s="514">
        <v>12.879999999999999</v>
      </c>
      <c r="J756" s="512" t="s">
        <v>605</v>
      </c>
    </row>
    <row r="757" spans="1:10">
      <c r="A757" s="512">
        <f t="shared" si="33"/>
        <v>20110629</v>
      </c>
      <c r="B757" s="513" t="s">
        <v>567</v>
      </c>
      <c r="C757" s="513" t="str">
        <f t="shared" si="34"/>
        <v>20110629LS</v>
      </c>
      <c r="D757" s="513" t="s">
        <v>327</v>
      </c>
      <c r="E757" s="513" t="str">
        <f t="shared" si="35"/>
        <v>20110629LGUM_462</v>
      </c>
      <c r="F757" s="514">
        <v>10.01</v>
      </c>
      <c r="G757" s="514">
        <v>0.17</v>
      </c>
      <c r="H757" s="514">
        <v>3.41</v>
      </c>
      <c r="I757" s="514">
        <v>6.43</v>
      </c>
      <c r="J757" s="512" t="s">
        <v>606</v>
      </c>
    </row>
    <row r="758" spans="1:10">
      <c r="A758" s="512">
        <f t="shared" si="33"/>
        <v>20110629</v>
      </c>
      <c r="B758" s="513" t="s">
        <v>567</v>
      </c>
      <c r="C758" s="513" t="str">
        <f t="shared" si="34"/>
        <v>20110629LS</v>
      </c>
      <c r="D758" s="513" t="s">
        <v>328</v>
      </c>
      <c r="E758" s="513" t="str">
        <f t="shared" si="35"/>
        <v>20110629LGUM_470</v>
      </c>
      <c r="F758" s="514">
        <v>11.87</v>
      </c>
      <c r="G758" s="514">
        <v>0.16</v>
      </c>
      <c r="H758" s="514">
        <v>1.1100000000000001</v>
      </c>
      <c r="I758" s="514">
        <v>10.6</v>
      </c>
      <c r="J758" s="512" t="s">
        <v>607</v>
      </c>
    </row>
    <row r="759" spans="1:10">
      <c r="A759" s="512">
        <f t="shared" si="33"/>
        <v>20110629</v>
      </c>
      <c r="B759" s="513" t="s">
        <v>567</v>
      </c>
      <c r="C759" s="513" t="str">
        <f t="shared" si="34"/>
        <v>20110629LS</v>
      </c>
      <c r="D759" s="513" t="s">
        <v>329</v>
      </c>
      <c r="E759" s="513" t="str">
        <f t="shared" si="35"/>
        <v>20110629LGUM_471</v>
      </c>
      <c r="F759" s="514">
        <v>14.07</v>
      </c>
      <c r="G759" s="514">
        <v>0.16</v>
      </c>
      <c r="H759" s="514">
        <v>1.1100000000000001</v>
      </c>
      <c r="I759" s="514">
        <v>12.8</v>
      </c>
      <c r="J759" s="512" t="s">
        <v>608</v>
      </c>
    </row>
    <row r="760" spans="1:10">
      <c r="A760" s="512">
        <f t="shared" si="33"/>
        <v>20110629</v>
      </c>
      <c r="B760" s="513" t="s">
        <v>567</v>
      </c>
      <c r="C760" s="513" t="str">
        <f t="shared" si="34"/>
        <v>20110629LS</v>
      </c>
      <c r="D760" s="513" t="s">
        <v>609</v>
      </c>
      <c r="E760" s="513" t="str">
        <f t="shared" si="35"/>
        <v>20110629LGUM_472</v>
      </c>
      <c r="F760" s="514">
        <v>21.28</v>
      </c>
      <c r="G760" s="514">
        <v>0.16</v>
      </c>
      <c r="H760" s="514">
        <v>1.1100000000000001</v>
      </c>
      <c r="I760" s="514">
        <v>20.010000000000002</v>
      </c>
      <c r="J760" s="512" t="s">
        <v>610</v>
      </c>
    </row>
    <row r="761" spans="1:10">
      <c r="A761" s="512">
        <f t="shared" si="33"/>
        <v>20110629</v>
      </c>
      <c r="B761" s="513" t="s">
        <v>567</v>
      </c>
      <c r="C761" s="513" t="str">
        <f t="shared" si="34"/>
        <v>20110629LS</v>
      </c>
      <c r="D761" s="513" t="s">
        <v>330</v>
      </c>
      <c r="E761" s="513" t="str">
        <f t="shared" si="35"/>
        <v>20110629LGUM_473</v>
      </c>
      <c r="F761" s="514">
        <v>17.13</v>
      </c>
      <c r="G761" s="514">
        <v>0.16</v>
      </c>
      <c r="H761" s="514">
        <v>2.58</v>
      </c>
      <c r="I761" s="514">
        <v>14.389999999999999</v>
      </c>
      <c r="J761" s="512" t="s">
        <v>611</v>
      </c>
    </row>
    <row r="762" spans="1:10">
      <c r="A762" s="512">
        <f t="shared" si="33"/>
        <v>20110629</v>
      </c>
      <c r="B762" s="513" t="s">
        <v>567</v>
      </c>
      <c r="C762" s="513" t="str">
        <f t="shared" si="34"/>
        <v>20110629LS</v>
      </c>
      <c r="D762" s="513" t="s">
        <v>331</v>
      </c>
      <c r="E762" s="513" t="str">
        <f t="shared" si="35"/>
        <v>20110629LGUM_474</v>
      </c>
      <c r="F762" s="514">
        <v>19.34</v>
      </c>
      <c r="G762" s="514">
        <v>0.16</v>
      </c>
      <c r="H762" s="514">
        <v>2.58</v>
      </c>
      <c r="I762" s="514">
        <v>16.600000000000001</v>
      </c>
      <c r="J762" s="512" t="s">
        <v>612</v>
      </c>
    </row>
    <row r="763" spans="1:10">
      <c r="A763" s="512">
        <f t="shared" si="33"/>
        <v>20110629</v>
      </c>
      <c r="B763" s="513" t="s">
        <v>567</v>
      </c>
      <c r="C763" s="513" t="str">
        <f t="shared" si="34"/>
        <v>20110629LS</v>
      </c>
      <c r="D763" s="513" t="s">
        <v>332</v>
      </c>
      <c r="E763" s="513" t="str">
        <f t="shared" si="35"/>
        <v>20110629LGUM_475</v>
      </c>
      <c r="F763" s="514">
        <v>26.54</v>
      </c>
      <c r="G763" s="514">
        <v>0.16</v>
      </c>
      <c r="H763" s="514">
        <v>2.58</v>
      </c>
      <c r="I763" s="514">
        <v>23.799999999999997</v>
      </c>
      <c r="J763" s="512" t="s">
        <v>613</v>
      </c>
    </row>
    <row r="764" spans="1:10">
      <c r="A764" s="512">
        <f t="shared" si="33"/>
        <v>20110629</v>
      </c>
      <c r="B764" s="513" t="s">
        <v>567</v>
      </c>
      <c r="C764" s="513" t="str">
        <f t="shared" si="34"/>
        <v>20110629LS</v>
      </c>
      <c r="D764" s="513" t="s">
        <v>333</v>
      </c>
      <c r="E764" s="513" t="str">
        <f t="shared" si="35"/>
        <v>20110629LGUM_476</v>
      </c>
      <c r="F764" s="514">
        <v>35.64</v>
      </c>
      <c r="G764" s="514">
        <v>0.16</v>
      </c>
      <c r="H764" s="514">
        <v>7.97</v>
      </c>
      <c r="I764" s="514">
        <v>27.510000000000005</v>
      </c>
      <c r="J764" s="512" t="s">
        <v>614</v>
      </c>
    </row>
    <row r="765" spans="1:10">
      <c r="A765" s="512">
        <f t="shared" si="33"/>
        <v>20110629</v>
      </c>
      <c r="B765" s="513" t="s">
        <v>567</v>
      </c>
      <c r="C765" s="513" t="str">
        <f t="shared" si="34"/>
        <v>20110629LS</v>
      </c>
      <c r="D765" s="513" t="s">
        <v>334</v>
      </c>
      <c r="E765" s="513" t="str">
        <f t="shared" si="35"/>
        <v>20110629LGUM_477</v>
      </c>
      <c r="F765" s="514">
        <v>38.71</v>
      </c>
      <c r="G765" s="514">
        <v>0.16</v>
      </c>
      <c r="H765" s="514">
        <v>7.97</v>
      </c>
      <c r="I765" s="514">
        <v>30.580000000000005</v>
      </c>
      <c r="J765" s="512" t="s">
        <v>615</v>
      </c>
    </row>
    <row r="766" spans="1:10">
      <c r="A766" s="512">
        <f t="shared" si="33"/>
        <v>20110629</v>
      </c>
      <c r="B766" s="513" t="s">
        <v>567</v>
      </c>
      <c r="C766" s="513" t="str">
        <f t="shared" si="34"/>
        <v>20110629LS</v>
      </c>
      <c r="D766" s="513" t="s">
        <v>616</v>
      </c>
      <c r="E766" s="513" t="str">
        <f t="shared" si="35"/>
        <v>20110629LGUM_478</v>
      </c>
      <c r="F766" s="514">
        <v>45.04</v>
      </c>
      <c r="G766" s="514">
        <v>0.16</v>
      </c>
      <c r="H766" s="514">
        <v>7.97</v>
      </c>
      <c r="I766" s="514">
        <v>36.910000000000004</v>
      </c>
      <c r="J766" s="512" t="s">
        <v>617</v>
      </c>
    </row>
    <row r="767" spans="1:10">
      <c r="A767" s="512">
        <f t="shared" si="33"/>
        <v>20110629</v>
      </c>
      <c r="B767" s="513" t="s">
        <v>567</v>
      </c>
      <c r="C767" s="513" t="str">
        <f t="shared" si="34"/>
        <v>20110629LS</v>
      </c>
      <c r="D767" s="513" t="s">
        <v>618</v>
      </c>
      <c r="E767" s="513" t="str">
        <f t="shared" si="35"/>
        <v>20110629LGUM_479</v>
      </c>
      <c r="F767" s="514">
        <v>13.1</v>
      </c>
      <c r="G767" s="514">
        <v>0.16</v>
      </c>
      <c r="H767" s="514">
        <v>1.1100000000000001</v>
      </c>
      <c r="I767" s="514">
        <v>11.83</v>
      </c>
      <c r="J767" s="512" t="s">
        <v>619</v>
      </c>
    </row>
    <row r="768" spans="1:10">
      <c r="A768" s="512">
        <f t="shared" si="33"/>
        <v>20110629</v>
      </c>
      <c r="B768" s="513" t="s">
        <v>567</v>
      </c>
      <c r="C768" s="513" t="str">
        <f t="shared" si="34"/>
        <v>20110629LS</v>
      </c>
      <c r="D768" s="513" t="s">
        <v>620</v>
      </c>
      <c r="E768" s="513" t="str">
        <f t="shared" si="35"/>
        <v>20110629LGUM_480</v>
      </c>
      <c r="F768" s="514">
        <v>22.53</v>
      </c>
      <c r="G768" s="514">
        <v>0.16</v>
      </c>
      <c r="H768" s="514">
        <v>1.1100000000000001</v>
      </c>
      <c r="I768" s="514">
        <v>21.26</v>
      </c>
      <c r="J768" s="512" t="s">
        <v>621</v>
      </c>
    </row>
    <row r="769" spans="1:10">
      <c r="A769" s="512">
        <f t="shared" si="33"/>
        <v>20110629</v>
      </c>
      <c r="B769" s="513" t="s">
        <v>567</v>
      </c>
      <c r="C769" s="513" t="str">
        <f t="shared" si="34"/>
        <v>20110629LS</v>
      </c>
      <c r="D769" s="513" t="s">
        <v>360</v>
      </c>
      <c r="E769" s="513" t="str">
        <f t="shared" si="35"/>
        <v>20110629LGUM_481</v>
      </c>
      <c r="F769" s="514">
        <v>18.850000000000001</v>
      </c>
      <c r="G769" s="514">
        <v>0.16</v>
      </c>
      <c r="H769" s="514">
        <v>2.58</v>
      </c>
      <c r="I769" s="514">
        <v>16.11</v>
      </c>
      <c r="J769" s="512" t="s">
        <v>622</v>
      </c>
    </row>
    <row r="770" spans="1:10">
      <c r="A770" s="512">
        <f t="shared" si="33"/>
        <v>20110629</v>
      </c>
      <c r="B770" s="513" t="s">
        <v>567</v>
      </c>
      <c r="C770" s="513" t="str">
        <f t="shared" si="34"/>
        <v>20110629LS</v>
      </c>
      <c r="D770" s="513" t="s">
        <v>335</v>
      </c>
      <c r="E770" s="513" t="str">
        <f t="shared" si="35"/>
        <v>20110629LGUM_482</v>
      </c>
      <c r="F770" s="514">
        <v>28.27</v>
      </c>
      <c r="G770" s="514">
        <v>0.16</v>
      </c>
      <c r="H770" s="514">
        <v>2.58</v>
      </c>
      <c r="I770" s="514">
        <v>25.53</v>
      </c>
      <c r="J770" s="512" t="s">
        <v>623</v>
      </c>
    </row>
    <row r="771" spans="1:10">
      <c r="A771" s="512">
        <f t="shared" si="33"/>
        <v>20110629</v>
      </c>
      <c r="B771" s="513" t="s">
        <v>567</v>
      </c>
      <c r="C771" s="513" t="str">
        <f t="shared" si="34"/>
        <v>20110629LS</v>
      </c>
      <c r="D771" s="513" t="s">
        <v>336</v>
      </c>
      <c r="E771" s="513" t="str">
        <f t="shared" si="35"/>
        <v>20110629LGUM_483</v>
      </c>
      <c r="F771" s="514">
        <v>38.5</v>
      </c>
      <c r="G771" s="514">
        <v>0.16</v>
      </c>
      <c r="H771" s="514">
        <v>7.97</v>
      </c>
      <c r="I771" s="514">
        <v>30.370000000000005</v>
      </c>
      <c r="J771" s="512" t="s">
        <v>624</v>
      </c>
    </row>
    <row r="772" spans="1:10">
      <c r="A772" s="512">
        <f t="shared" si="33"/>
        <v>20110629</v>
      </c>
      <c r="B772" s="513" t="s">
        <v>567</v>
      </c>
      <c r="C772" s="513" t="str">
        <f t="shared" si="34"/>
        <v>20110629LS</v>
      </c>
      <c r="D772" s="513" t="s">
        <v>337</v>
      </c>
      <c r="E772" s="513" t="str">
        <f t="shared" si="35"/>
        <v>20110629LGUM_484</v>
      </c>
      <c r="F772" s="514">
        <v>47.91</v>
      </c>
      <c r="G772" s="514">
        <v>0.16</v>
      </c>
      <c r="H772" s="514">
        <v>7.97</v>
      </c>
      <c r="I772" s="514">
        <v>39.78</v>
      </c>
      <c r="J772" s="512" t="s">
        <v>625</v>
      </c>
    </row>
    <row r="773" spans="1:10">
      <c r="A773" s="529">
        <v>20120301</v>
      </c>
      <c r="B773" s="530" t="s">
        <v>459</v>
      </c>
      <c r="C773" s="530" t="str">
        <f t="shared" si="34"/>
        <v>20120301RLS</v>
      </c>
      <c r="D773" s="530" t="s">
        <v>137</v>
      </c>
      <c r="E773" s="530" t="str">
        <f t="shared" si="35"/>
        <v>20120301LGUM_001</v>
      </c>
      <c r="F773" s="531">
        <v>7.9200000000000008</v>
      </c>
      <c r="G773" s="531">
        <v>0.01</v>
      </c>
      <c r="H773" s="531">
        <v>0.92</v>
      </c>
      <c r="I773" s="531">
        <f t="shared" ref="I773:I836" si="36">F773-G773-H773</f>
        <v>6.9900000000000011</v>
      </c>
      <c r="J773" s="529" t="s">
        <v>460</v>
      </c>
    </row>
    <row r="774" spans="1:10">
      <c r="A774" s="529">
        <v>20120301</v>
      </c>
      <c r="B774" s="530" t="s">
        <v>459</v>
      </c>
      <c r="C774" s="530" t="str">
        <f t="shared" si="34"/>
        <v>20120301RLS</v>
      </c>
      <c r="D774" s="530" t="s">
        <v>169</v>
      </c>
      <c r="E774" s="530" t="str">
        <f t="shared" si="35"/>
        <v>20120301LGUM_101</v>
      </c>
      <c r="F774" s="531">
        <v>7.9200000000000008</v>
      </c>
      <c r="G774" s="531">
        <v>0.01</v>
      </c>
      <c r="H774" s="531">
        <v>0.92</v>
      </c>
      <c r="I774" s="531">
        <f t="shared" si="36"/>
        <v>6.9900000000000011</v>
      </c>
      <c r="J774" s="529" t="s">
        <v>460</v>
      </c>
    </row>
    <row r="775" spans="1:10">
      <c r="A775" s="529">
        <v>20120301</v>
      </c>
      <c r="B775" s="530" t="s">
        <v>459</v>
      </c>
      <c r="C775" s="530" t="str">
        <f t="shared" si="34"/>
        <v>20120301RLS</v>
      </c>
      <c r="D775" s="530" t="s">
        <v>342</v>
      </c>
      <c r="E775" s="530" t="str">
        <f t="shared" si="35"/>
        <v>20120301LGUM_201</v>
      </c>
      <c r="F775" s="531">
        <v>7.9200000000000008</v>
      </c>
      <c r="G775" s="531">
        <v>0.01</v>
      </c>
      <c r="H775" s="531">
        <v>0.92</v>
      </c>
      <c r="I775" s="531">
        <f t="shared" si="36"/>
        <v>6.9900000000000011</v>
      </c>
      <c r="J775" s="529" t="s">
        <v>460</v>
      </c>
    </row>
    <row r="776" spans="1:10">
      <c r="A776" s="529">
        <v>20120301</v>
      </c>
      <c r="B776" s="530" t="s">
        <v>459</v>
      </c>
      <c r="C776" s="530" t="str">
        <f t="shared" si="34"/>
        <v>20120301RLS</v>
      </c>
      <c r="D776" s="530" t="s">
        <v>138</v>
      </c>
      <c r="E776" s="530" t="str">
        <f t="shared" si="35"/>
        <v>20120301LGUM_002</v>
      </c>
      <c r="F776" s="531">
        <v>8.9700000000000006</v>
      </c>
      <c r="G776" s="531">
        <v>0.01</v>
      </c>
      <c r="H776" s="531">
        <v>1.55</v>
      </c>
      <c r="I776" s="531">
        <f t="shared" si="36"/>
        <v>7.410000000000001</v>
      </c>
      <c r="J776" s="529" t="s">
        <v>461</v>
      </c>
    </row>
    <row r="777" spans="1:10">
      <c r="A777" s="529">
        <v>20120301</v>
      </c>
      <c r="B777" s="530" t="s">
        <v>459</v>
      </c>
      <c r="C777" s="530" t="str">
        <f t="shared" si="34"/>
        <v>20120301RLS</v>
      </c>
      <c r="D777" s="530" t="s">
        <v>170</v>
      </c>
      <c r="E777" s="530" t="str">
        <f t="shared" si="35"/>
        <v>20120301LGUM_102</v>
      </c>
      <c r="F777" s="531">
        <v>8.9700000000000006</v>
      </c>
      <c r="G777" s="531">
        <v>0.01</v>
      </c>
      <c r="H777" s="531">
        <v>1.55</v>
      </c>
      <c r="I777" s="531">
        <f t="shared" si="36"/>
        <v>7.410000000000001</v>
      </c>
      <c r="J777" s="529" t="s">
        <v>461</v>
      </c>
    </row>
    <row r="778" spans="1:10">
      <c r="A778" s="529">
        <v>20120301</v>
      </c>
      <c r="B778" s="530" t="s">
        <v>459</v>
      </c>
      <c r="C778" s="530" t="str">
        <f t="shared" si="34"/>
        <v>20120301RLS</v>
      </c>
      <c r="D778" s="530" t="s">
        <v>212</v>
      </c>
      <c r="E778" s="530" t="str">
        <f t="shared" si="35"/>
        <v>20120301LGUM_202</v>
      </c>
      <c r="F778" s="531">
        <v>8.9700000000000006</v>
      </c>
      <c r="G778" s="531">
        <v>0.01</v>
      </c>
      <c r="H778" s="531">
        <v>1.55</v>
      </c>
      <c r="I778" s="531">
        <f t="shared" si="36"/>
        <v>7.410000000000001</v>
      </c>
      <c r="J778" s="529" t="s">
        <v>461</v>
      </c>
    </row>
    <row r="779" spans="1:10">
      <c r="A779" s="529">
        <v>20120301</v>
      </c>
      <c r="B779" s="530" t="s">
        <v>459</v>
      </c>
      <c r="C779" s="530" t="str">
        <f t="shared" si="34"/>
        <v>20120301RLS</v>
      </c>
      <c r="D779" s="530" t="s">
        <v>139</v>
      </c>
      <c r="E779" s="530" t="str">
        <f t="shared" si="35"/>
        <v>20120301LGUM_003</v>
      </c>
      <c r="F779" s="531">
        <v>10.329999999999998</v>
      </c>
      <c r="G779" s="531">
        <v>0.01</v>
      </c>
      <c r="H779" s="531">
        <v>2.2000000000000002</v>
      </c>
      <c r="I779" s="531">
        <f t="shared" si="36"/>
        <v>8.1199999999999974</v>
      </c>
      <c r="J779" s="529" t="s">
        <v>462</v>
      </c>
    </row>
    <row r="780" spans="1:10">
      <c r="A780" s="529">
        <v>20120301</v>
      </c>
      <c r="B780" s="530" t="s">
        <v>459</v>
      </c>
      <c r="C780" s="530" t="str">
        <f t="shared" si="34"/>
        <v>20120301RLS</v>
      </c>
      <c r="D780" s="530" t="s">
        <v>171</v>
      </c>
      <c r="E780" s="530" t="str">
        <f t="shared" si="35"/>
        <v>20120301LGUM_103</v>
      </c>
      <c r="F780" s="531">
        <v>10.329999999999998</v>
      </c>
      <c r="G780" s="531">
        <v>0.01</v>
      </c>
      <c r="H780" s="531">
        <v>2.2000000000000002</v>
      </c>
      <c r="I780" s="531">
        <f t="shared" si="36"/>
        <v>8.1199999999999974</v>
      </c>
      <c r="J780" s="529" t="s">
        <v>462</v>
      </c>
    </row>
    <row r="781" spans="1:10">
      <c r="A781" s="529">
        <v>20120301</v>
      </c>
      <c r="B781" s="530" t="s">
        <v>459</v>
      </c>
      <c r="C781" s="530" t="str">
        <f t="shared" si="34"/>
        <v>20120301RLS</v>
      </c>
      <c r="D781" s="530" t="s">
        <v>213</v>
      </c>
      <c r="E781" s="530" t="str">
        <f t="shared" si="35"/>
        <v>20120301LGUM_203</v>
      </c>
      <c r="F781" s="531">
        <v>10.329999999999998</v>
      </c>
      <c r="G781" s="531">
        <v>0.01</v>
      </c>
      <c r="H781" s="531">
        <v>2.2000000000000002</v>
      </c>
      <c r="I781" s="531">
        <f t="shared" si="36"/>
        <v>8.1199999999999974</v>
      </c>
      <c r="J781" s="529" t="s">
        <v>462</v>
      </c>
    </row>
    <row r="782" spans="1:10">
      <c r="A782" s="529">
        <v>20120301</v>
      </c>
      <c r="B782" s="530" t="s">
        <v>459</v>
      </c>
      <c r="C782" s="530" t="str">
        <f t="shared" si="34"/>
        <v>20120301RLS</v>
      </c>
      <c r="D782" s="530" t="s">
        <v>140</v>
      </c>
      <c r="E782" s="530" t="str">
        <f t="shared" si="35"/>
        <v>20120301LGUM_004</v>
      </c>
      <c r="F782" s="531">
        <v>12.78</v>
      </c>
      <c r="G782" s="531">
        <v>0.01</v>
      </c>
      <c r="H782" s="531">
        <v>3.41</v>
      </c>
      <c r="I782" s="531">
        <f t="shared" si="36"/>
        <v>9.36</v>
      </c>
      <c r="J782" s="529" t="s">
        <v>463</v>
      </c>
    </row>
    <row r="783" spans="1:10">
      <c r="A783" s="529">
        <v>20120301</v>
      </c>
      <c r="B783" s="530" t="s">
        <v>459</v>
      </c>
      <c r="C783" s="530" t="str">
        <f t="shared" si="34"/>
        <v>20120301RLS</v>
      </c>
      <c r="D783" s="530" t="s">
        <v>172</v>
      </c>
      <c r="E783" s="530" t="str">
        <f t="shared" si="35"/>
        <v>20120301LGUM_104</v>
      </c>
      <c r="F783" s="531">
        <v>12.78</v>
      </c>
      <c r="G783" s="531">
        <v>0.01</v>
      </c>
      <c r="H783" s="531">
        <v>3.41</v>
      </c>
      <c r="I783" s="531">
        <f t="shared" si="36"/>
        <v>9.36</v>
      </c>
      <c r="J783" s="529" t="s">
        <v>463</v>
      </c>
    </row>
    <row r="784" spans="1:10">
      <c r="A784" s="529">
        <v>20120301</v>
      </c>
      <c r="B784" s="530" t="s">
        <v>459</v>
      </c>
      <c r="C784" s="530" t="str">
        <f t="shared" si="34"/>
        <v>20120301RLS</v>
      </c>
      <c r="D784" s="530" t="s">
        <v>214</v>
      </c>
      <c r="E784" s="530" t="str">
        <f t="shared" si="35"/>
        <v>20120301LGUM_204</v>
      </c>
      <c r="F784" s="531">
        <v>12.78</v>
      </c>
      <c r="G784" s="531">
        <v>0.01</v>
      </c>
      <c r="H784" s="531">
        <v>3.41</v>
      </c>
      <c r="I784" s="531">
        <f t="shared" si="36"/>
        <v>9.36</v>
      </c>
      <c r="J784" s="529" t="s">
        <v>463</v>
      </c>
    </row>
    <row r="785" spans="1:10">
      <c r="A785" s="529">
        <v>20120301</v>
      </c>
      <c r="B785" s="530" t="s">
        <v>459</v>
      </c>
      <c r="C785" s="530" t="str">
        <f t="shared" si="34"/>
        <v>20120301RLS</v>
      </c>
      <c r="D785" s="530" t="s">
        <v>141</v>
      </c>
      <c r="E785" s="530" t="str">
        <f t="shared" si="35"/>
        <v>20120301LGUM_005</v>
      </c>
      <c r="F785" s="531">
        <v>10</v>
      </c>
      <c r="G785" s="531">
        <v>0.01</v>
      </c>
      <c r="H785" s="531">
        <v>1.07</v>
      </c>
      <c r="I785" s="531">
        <f t="shared" si="36"/>
        <v>8.92</v>
      </c>
      <c r="J785" s="529" t="s">
        <v>464</v>
      </c>
    </row>
    <row r="786" spans="1:10">
      <c r="A786" s="529">
        <v>20120301</v>
      </c>
      <c r="B786" s="530" t="s">
        <v>459</v>
      </c>
      <c r="C786" s="530" t="str">
        <f t="shared" si="34"/>
        <v>20120301RLS</v>
      </c>
      <c r="D786" s="530" t="s">
        <v>173</v>
      </c>
      <c r="E786" s="530" t="str">
        <f t="shared" si="35"/>
        <v>20120301LGUM_105</v>
      </c>
      <c r="F786" s="531">
        <v>10</v>
      </c>
      <c r="G786" s="531">
        <v>0.01</v>
      </c>
      <c r="H786" s="531">
        <v>1.07</v>
      </c>
      <c r="I786" s="531">
        <f t="shared" si="36"/>
        <v>8.92</v>
      </c>
      <c r="J786" s="529" t="s">
        <v>464</v>
      </c>
    </row>
    <row r="787" spans="1:10">
      <c r="A787" s="529">
        <v>20120301</v>
      </c>
      <c r="B787" s="530" t="s">
        <v>459</v>
      </c>
      <c r="C787" s="530" t="str">
        <f t="shared" si="34"/>
        <v>20120301RLS</v>
      </c>
      <c r="D787" s="530" t="s">
        <v>343</v>
      </c>
      <c r="E787" s="530" t="str">
        <f t="shared" si="35"/>
        <v>20120301LGUM_205</v>
      </c>
      <c r="F787" s="531">
        <v>10</v>
      </c>
      <c r="G787" s="531">
        <v>0.01</v>
      </c>
      <c r="H787" s="531">
        <v>1.07</v>
      </c>
      <c r="I787" s="531">
        <f t="shared" si="36"/>
        <v>8.92</v>
      </c>
      <c r="J787" s="529" t="s">
        <v>464</v>
      </c>
    </row>
    <row r="788" spans="1:10">
      <c r="A788" s="529">
        <v>20120301</v>
      </c>
      <c r="B788" s="530" t="s">
        <v>459</v>
      </c>
      <c r="C788" s="530" t="str">
        <f t="shared" si="34"/>
        <v>20120301RLS</v>
      </c>
      <c r="D788" s="530" t="s">
        <v>465</v>
      </c>
      <c r="E788" s="530" t="str">
        <f t="shared" si="35"/>
        <v>20120301LGUM_006</v>
      </c>
      <c r="F788" s="531">
        <v>13.16</v>
      </c>
      <c r="G788" s="531">
        <v>0.01</v>
      </c>
      <c r="H788" s="531">
        <v>0.92</v>
      </c>
      <c r="I788" s="531">
        <f t="shared" si="36"/>
        <v>12.23</v>
      </c>
      <c r="J788" s="529" t="s">
        <v>466</v>
      </c>
    </row>
    <row r="789" spans="1:10">
      <c r="A789" s="529">
        <v>20120301</v>
      </c>
      <c r="B789" s="530" t="s">
        <v>459</v>
      </c>
      <c r="C789" s="530" t="str">
        <f t="shared" si="34"/>
        <v>20120301RLS</v>
      </c>
      <c r="D789" s="530" t="s">
        <v>174</v>
      </c>
      <c r="E789" s="530" t="str">
        <f t="shared" si="35"/>
        <v>20120301LGUM_106</v>
      </c>
      <c r="F789" s="531">
        <v>13.16</v>
      </c>
      <c r="G789" s="531">
        <v>0.01</v>
      </c>
      <c r="H789" s="531">
        <v>0.92</v>
      </c>
      <c r="I789" s="531">
        <f t="shared" si="36"/>
        <v>12.23</v>
      </c>
      <c r="J789" s="529" t="s">
        <v>466</v>
      </c>
    </row>
    <row r="790" spans="1:10">
      <c r="A790" s="529">
        <v>20120301</v>
      </c>
      <c r="B790" s="530" t="s">
        <v>459</v>
      </c>
      <c r="C790" s="530" t="str">
        <f t="shared" si="34"/>
        <v>20120301RLS</v>
      </c>
      <c r="D790" s="530" t="s">
        <v>215</v>
      </c>
      <c r="E790" s="530" t="str">
        <f t="shared" si="35"/>
        <v>20120301LGUM_206</v>
      </c>
      <c r="F790" s="531">
        <v>13.16</v>
      </c>
      <c r="G790" s="531">
        <v>0.01</v>
      </c>
      <c r="H790" s="531">
        <v>0.92</v>
      </c>
      <c r="I790" s="531">
        <f t="shared" si="36"/>
        <v>12.23</v>
      </c>
      <c r="J790" s="529" t="s">
        <v>466</v>
      </c>
    </row>
    <row r="791" spans="1:10">
      <c r="A791" s="529">
        <v>20120301</v>
      </c>
      <c r="B791" s="530" t="s">
        <v>459</v>
      </c>
      <c r="C791" s="530" t="str">
        <f t="shared" si="34"/>
        <v>20120301RLS</v>
      </c>
      <c r="D791" s="530" t="s">
        <v>142</v>
      </c>
      <c r="E791" s="530" t="str">
        <f t="shared" si="35"/>
        <v>20120301LGUM_007</v>
      </c>
      <c r="F791" s="531">
        <v>12.78</v>
      </c>
      <c r="G791" s="531">
        <v>0.01</v>
      </c>
      <c r="H791" s="531">
        <v>3.41</v>
      </c>
      <c r="I791" s="531">
        <f t="shared" si="36"/>
        <v>9.36</v>
      </c>
      <c r="J791" s="529" t="s">
        <v>467</v>
      </c>
    </row>
    <row r="792" spans="1:10">
      <c r="A792" s="529">
        <v>20120301</v>
      </c>
      <c r="B792" s="530" t="s">
        <v>459</v>
      </c>
      <c r="C792" s="530" t="str">
        <f t="shared" si="34"/>
        <v>20120301RLS</v>
      </c>
      <c r="D792" s="530" t="s">
        <v>175</v>
      </c>
      <c r="E792" s="530" t="str">
        <f t="shared" si="35"/>
        <v>20120301LGUM_107</v>
      </c>
      <c r="F792" s="531">
        <v>12.78</v>
      </c>
      <c r="G792" s="531">
        <v>0.01</v>
      </c>
      <c r="H792" s="531">
        <v>3.41</v>
      </c>
      <c r="I792" s="531">
        <f t="shared" si="36"/>
        <v>9.36</v>
      </c>
      <c r="J792" s="529" t="s">
        <v>467</v>
      </c>
    </row>
    <row r="793" spans="1:10">
      <c r="A793" s="529">
        <v>20120301</v>
      </c>
      <c r="B793" s="530" t="s">
        <v>459</v>
      </c>
      <c r="C793" s="530" t="str">
        <f t="shared" si="34"/>
        <v>20120301RLS</v>
      </c>
      <c r="D793" s="530" t="s">
        <v>216</v>
      </c>
      <c r="E793" s="530" t="str">
        <f t="shared" si="35"/>
        <v>20120301LGUM_207</v>
      </c>
      <c r="F793" s="531">
        <v>12.78</v>
      </c>
      <c r="G793" s="531">
        <v>0.01</v>
      </c>
      <c r="H793" s="531">
        <v>3.41</v>
      </c>
      <c r="I793" s="531">
        <f t="shared" si="36"/>
        <v>9.36</v>
      </c>
      <c r="J793" s="529" t="s">
        <v>467</v>
      </c>
    </row>
    <row r="794" spans="1:10">
      <c r="A794" s="529">
        <v>20120301</v>
      </c>
      <c r="B794" s="530" t="s">
        <v>459</v>
      </c>
      <c r="C794" s="530" t="str">
        <f t="shared" si="34"/>
        <v>20120301RLS</v>
      </c>
      <c r="D794" s="530" t="s">
        <v>143</v>
      </c>
      <c r="E794" s="530" t="str">
        <f t="shared" si="35"/>
        <v>20120301LGUM_008</v>
      </c>
      <c r="F794" s="531">
        <v>14.06</v>
      </c>
      <c r="G794" s="531">
        <v>0.01</v>
      </c>
      <c r="H794" s="531">
        <v>1.55</v>
      </c>
      <c r="I794" s="531">
        <f t="shared" si="36"/>
        <v>12.5</v>
      </c>
      <c r="J794" s="529" t="s">
        <v>468</v>
      </c>
    </row>
    <row r="795" spans="1:10">
      <c r="A795" s="529">
        <v>20120301</v>
      </c>
      <c r="B795" s="530" t="s">
        <v>459</v>
      </c>
      <c r="C795" s="530" t="str">
        <f t="shared" si="34"/>
        <v>20120301RLS</v>
      </c>
      <c r="D795" s="530" t="s">
        <v>176</v>
      </c>
      <c r="E795" s="530" t="str">
        <f t="shared" si="35"/>
        <v>20120301LGUM_108</v>
      </c>
      <c r="F795" s="531">
        <v>14.06</v>
      </c>
      <c r="G795" s="531">
        <v>0.01</v>
      </c>
      <c r="H795" s="531">
        <v>1.55</v>
      </c>
      <c r="I795" s="531">
        <f t="shared" si="36"/>
        <v>12.5</v>
      </c>
      <c r="J795" s="529" t="s">
        <v>468</v>
      </c>
    </row>
    <row r="796" spans="1:10">
      <c r="A796" s="529">
        <v>20120301</v>
      </c>
      <c r="B796" s="530" t="s">
        <v>459</v>
      </c>
      <c r="C796" s="530" t="str">
        <f t="shared" si="34"/>
        <v>20120301RLS</v>
      </c>
      <c r="D796" s="530" t="s">
        <v>217</v>
      </c>
      <c r="E796" s="530" t="str">
        <f t="shared" si="35"/>
        <v>20120301LGUM_208</v>
      </c>
      <c r="F796" s="531">
        <v>14.06</v>
      </c>
      <c r="G796" s="531">
        <v>0.01</v>
      </c>
      <c r="H796" s="531">
        <v>1.55</v>
      </c>
      <c r="I796" s="531">
        <f t="shared" si="36"/>
        <v>12.5</v>
      </c>
      <c r="J796" s="529" t="s">
        <v>468</v>
      </c>
    </row>
    <row r="797" spans="1:10">
      <c r="A797" s="529">
        <v>20120301</v>
      </c>
      <c r="B797" s="530" t="s">
        <v>459</v>
      </c>
      <c r="C797" s="530" t="str">
        <f t="shared" si="34"/>
        <v>20120301RLS</v>
      </c>
      <c r="D797" s="530" t="s">
        <v>469</v>
      </c>
      <c r="E797" s="530" t="str">
        <f t="shared" si="35"/>
        <v>20120301LGUM_009</v>
      </c>
      <c r="F797" s="531">
        <v>24.04</v>
      </c>
      <c r="G797" s="531">
        <v>0.02</v>
      </c>
      <c r="H797" s="531">
        <v>8.16</v>
      </c>
      <c r="I797" s="531">
        <f t="shared" si="36"/>
        <v>15.86</v>
      </c>
      <c r="J797" s="529" t="s">
        <v>470</v>
      </c>
    </row>
    <row r="798" spans="1:10">
      <c r="A798" s="529">
        <v>20120301</v>
      </c>
      <c r="B798" s="530" t="s">
        <v>459</v>
      </c>
      <c r="C798" s="530" t="str">
        <f t="shared" si="34"/>
        <v>20120301RLS</v>
      </c>
      <c r="D798" s="530" t="s">
        <v>177</v>
      </c>
      <c r="E798" s="530" t="str">
        <f t="shared" si="35"/>
        <v>20120301LGUM_109</v>
      </c>
      <c r="F798" s="531">
        <v>24.04</v>
      </c>
      <c r="G798" s="531">
        <v>0.02</v>
      </c>
      <c r="H798" s="531">
        <v>8.16</v>
      </c>
      <c r="I798" s="531">
        <f t="shared" si="36"/>
        <v>15.86</v>
      </c>
      <c r="J798" s="529" t="s">
        <v>470</v>
      </c>
    </row>
    <row r="799" spans="1:10">
      <c r="A799" s="529">
        <v>20120301</v>
      </c>
      <c r="B799" s="530" t="s">
        <v>459</v>
      </c>
      <c r="C799" s="530" t="str">
        <f t="shared" si="34"/>
        <v>20120301RLS</v>
      </c>
      <c r="D799" s="530" t="s">
        <v>344</v>
      </c>
      <c r="E799" s="530" t="str">
        <f t="shared" si="35"/>
        <v>20120301LGUM_209</v>
      </c>
      <c r="F799" s="531">
        <v>24.04</v>
      </c>
      <c r="G799" s="531">
        <v>0.02</v>
      </c>
      <c r="H799" s="531">
        <v>8.16</v>
      </c>
      <c r="I799" s="531">
        <f t="shared" si="36"/>
        <v>15.86</v>
      </c>
      <c r="J799" s="529" t="s">
        <v>470</v>
      </c>
    </row>
    <row r="800" spans="1:10">
      <c r="A800" s="529">
        <v>20120301</v>
      </c>
      <c r="B800" s="530" t="s">
        <v>459</v>
      </c>
      <c r="C800" s="530" t="str">
        <f t="shared" si="34"/>
        <v>20120301RLS</v>
      </c>
      <c r="D800" s="530" t="s">
        <v>144</v>
      </c>
      <c r="E800" s="530" t="str">
        <f t="shared" si="35"/>
        <v>20120301LGUM_010</v>
      </c>
      <c r="F800" s="531">
        <v>24.04</v>
      </c>
      <c r="G800" s="531">
        <v>0.02</v>
      </c>
      <c r="H800" s="531">
        <v>8.16</v>
      </c>
      <c r="I800" s="531">
        <f t="shared" si="36"/>
        <v>15.86</v>
      </c>
      <c r="J800" s="529" t="s">
        <v>471</v>
      </c>
    </row>
    <row r="801" spans="1:10">
      <c r="A801" s="529">
        <v>20120301</v>
      </c>
      <c r="B801" s="530" t="s">
        <v>459</v>
      </c>
      <c r="C801" s="530" t="str">
        <f t="shared" si="34"/>
        <v>20120301RLS</v>
      </c>
      <c r="D801" s="530" t="s">
        <v>178</v>
      </c>
      <c r="E801" s="530" t="str">
        <f t="shared" si="35"/>
        <v>20120301LGUM_110</v>
      </c>
      <c r="F801" s="531">
        <v>24.04</v>
      </c>
      <c r="G801" s="531">
        <v>0.02</v>
      </c>
      <c r="H801" s="531">
        <v>8.16</v>
      </c>
      <c r="I801" s="531">
        <f t="shared" si="36"/>
        <v>15.86</v>
      </c>
      <c r="J801" s="529" t="s">
        <v>471</v>
      </c>
    </row>
    <row r="802" spans="1:10">
      <c r="A802" s="529">
        <v>20120301</v>
      </c>
      <c r="B802" s="530" t="s">
        <v>459</v>
      </c>
      <c r="C802" s="530" t="str">
        <f t="shared" si="34"/>
        <v>20120301RLS</v>
      </c>
      <c r="D802" s="530" t="s">
        <v>218</v>
      </c>
      <c r="E802" s="530" t="str">
        <f t="shared" si="35"/>
        <v>20120301LGUM_210</v>
      </c>
      <c r="F802" s="531">
        <v>24.04</v>
      </c>
      <c r="G802" s="531">
        <v>0.02</v>
      </c>
      <c r="H802" s="531">
        <v>8.16</v>
      </c>
      <c r="I802" s="531">
        <f t="shared" si="36"/>
        <v>15.86</v>
      </c>
      <c r="J802" s="529" t="s">
        <v>471</v>
      </c>
    </row>
    <row r="803" spans="1:10">
      <c r="A803" s="529">
        <v>20120301</v>
      </c>
      <c r="B803" s="530" t="s">
        <v>459</v>
      </c>
      <c r="C803" s="530" t="str">
        <f t="shared" si="34"/>
        <v>20120301RLS</v>
      </c>
      <c r="D803" s="530" t="s">
        <v>145</v>
      </c>
      <c r="E803" s="530" t="str">
        <f t="shared" si="35"/>
        <v>20120301LGUM_011</v>
      </c>
      <c r="F803" s="531">
        <v>14.97</v>
      </c>
      <c r="G803" s="531">
        <v>0.02</v>
      </c>
      <c r="H803" s="531">
        <v>2.2999999999999998</v>
      </c>
      <c r="I803" s="531">
        <f t="shared" si="36"/>
        <v>12.650000000000002</v>
      </c>
      <c r="J803" s="529" t="s">
        <v>472</v>
      </c>
    </row>
    <row r="804" spans="1:10">
      <c r="A804" s="529">
        <v>20120301</v>
      </c>
      <c r="B804" s="530" t="s">
        <v>459</v>
      </c>
      <c r="C804" s="530" t="str">
        <f t="shared" si="34"/>
        <v>20120301RLS</v>
      </c>
      <c r="D804" s="530" t="s">
        <v>179</v>
      </c>
      <c r="E804" s="530" t="str">
        <f t="shared" si="35"/>
        <v>20120301LGUM_111</v>
      </c>
      <c r="F804" s="531">
        <v>14.97</v>
      </c>
      <c r="G804" s="531">
        <v>0.02</v>
      </c>
      <c r="H804" s="531">
        <v>2.2999999999999998</v>
      </c>
      <c r="I804" s="531">
        <f t="shared" si="36"/>
        <v>12.650000000000002</v>
      </c>
      <c r="J804" s="529" t="s">
        <v>472</v>
      </c>
    </row>
    <row r="805" spans="1:10">
      <c r="A805" s="529">
        <v>20120301</v>
      </c>
      <c r="B805" s="530" t="s">
        <v>459</v>
      </c>
      <c r="C805" s="530" t="str">
        <f t="shared" si="34"/>
        <v>20120301RLS</v>
      </c>
      <c r="D805" s="530" t="s">
        <v>219</v>
      </c>
      <c r="E805" s="530" t="str">
        <f t="shared" si="35"/>
        <v>20120301LGUM_211</v>
      </c>
      <c r="F805" s="531">
        <v>14.97</v>
      </c>
      <c r="G805" s="531">
        <v>0.02</v>
      </c>
      <c r="H805" s="531">
        <v>2.2999999999999998</v>
      </c>
      <c r="I805" s="531">
        <f t="shared" si="36"/>
        <v>12.650000000000002</v>
      </c>
      <c r="J805" s="529" t="s">
        <v>472</v>
      </c>
    </row>
    <row r="806" spans="1:10">
      <c r="A806" s="529">
        <v>20120301</v>
      </c>
      <c r="B806" s="530" t="s">
        <v>459</v>
      </c>
      <c r="C806" s="530" t="str">
        <f t="shared" si="34"/>
        <v>20120301RLS</v>
      </c>
      <c r="D806" s="530" t="s">
        <v>146</v>
      </c>
      <c r="E806" s="530" t="str">
        <f t="shared" si="35"/>
        <v>20120301LGUM_012</v>
      </c>
      <c r="F806" s="531">
        <v>16.34</v>
      </c>
      <c r="G806" s="531">
        <v>0.02</v>
      </c>
      <c r="H806" s="531">
        <v>3.65</v>
      </c>
      <c r="I806" s="531">
        <f t="shared" si="36"/>
        <v>12.67</v>
      </c>
      <c r="J806" s="529" t="s">
        <v>473</v>
      </c>
    </row>
    <row r="807" spans="1:10">
      <c r="A807" s="529">
        <v>20120301</v>
      </c>
      <c r="B807" s="530" t="s">
        <v>459</v>
      </c>
      <c r="C807" s="530" t="str">
        <f t="shared" si="34"/>
        <v>20120301RLS</v>
      </c>
      <c r="D807" s="530" t="s">
        <v>180</v>
      </c>
      <c r="E807" s="530" t="str">
        <f t="shared" si="35"/>
        <v>20120301LGUM_112</v>
      </c>
      <c r="F807" s="531">
        <v>16.34</v>
      </c>
      <c r="G807" s="531">
        <v>0.02</v>
      </c>
      <c r="H807" s="531">
        <v>3.65</v>
      </c>
      <c r="I807" s="531">
        <f t="shared" si="36"/>
        <v>12.67</v>
      </c>
      <c r="J807" s="529" t="s">
        <v>473</v>
      </c>
    </row>
    <row r="808" spans="1:10">
      <c r="A808" s="529">
        <v>20120301</v>
      </c>
      <c r="B808" s="530" t="s">
        <v>459</v>
      </c>
      <c r="C808" s="530" t="str">
        <f t="shared" si="34"/>
        <v>20120301RLS</v>
      </c>
      <c r="D808" s="530" t="s">
        <v>220</v>
      </c>
      <c r="E808" s="530" t="str">
        <f t="shared" si="35"/>
        <v>20120301LGUM_212</v>
      </c>
      <c r="F808" s="531">
        <v>16.34</v>
      </c>
      <c r="G808" s="531">
        <v>0.02</v>
      </c>
      <c r="H808" s="531">
        <v>3.65</v>
      </c>
      <c r="I808" s="531">
        <f t="shared" si="36"/>
        <v>12.67</v>
      </c>
      <c r="J808" s="529" t="s">
        <v>473</v>
      </c>
    </row>
    <row r="809" spans="1:10">
      <c r="A809" s="529">
        <v>20120301</v>
      </c>
      <c r="B809" s="530" t="s">
        <v>459</v>
      </c>
      <c r="C809" s="530" t="str">
        <f t="shared" si="34"/>
        <v>20120301RLS</v>
      </c>
      <c r="D809" s="530" t="s">
        <v>147</v>
      </c>
      <c r="E809" s="530" t="str">
        <f t="shared" si="35"/>
        <v>20120301LGUM_013</v>
      </c>
      <c r="F809" s="531">
        <v>16.34</v>
      </c>
      <c r="G809" s="531">
        <v>0.02</v>
      </c>
      <c r="H809" s="531">
        <v>3.65</v>
      </c>
      <c r="I809" s="531">
        <f t="shared" si="36"/>
        <v>12.67</v>
      </c>
      <c r="J809" s="529" t="s">
        <v>474</v>
      </c>
    </row>
    <row r="810" spans="1:10">
      <c r="A810" s="529">
        <v>20120301</v>
      </c>
      <c r="B810" s="530" t="s">
        <v>459</v>
      </c>
      <c r="C810" s="530" t="str">
        <f t="shared" si="34"/>
        <v>20120301RLS</v>
      </c>
      <c r="D810" s="530" t="s">
        <v>181</v>
      </c>
      <c r="E810" s="530" t="str">
        <f t="shared" si="35"/>
        <v>20120301LGUM_113</v>
      </c>
      <c r="F810" s="531">
        <v>16.34</v>
      </c>
      <c r="G810" s="531">
        <v>0.02</v>
      </c>
      <c r="H810" s="531">
        <v>3.65</v>
      </c>
      <c r="I810" s="531">
        <f t="shared" si="36"/>
        <v>12.67</v>
      </c>
      <c r="J810" s="529" t="s">
        <v>474</v>
      </c>
    </row>
    <row r="811" spans="1:10">
      <c r="A811" s="529">
        <v>20120301</v>
      </c>
      <c r="B811" s="530" t="s">
        <v>459</v>
      </c>
      <c r="C811" s="530" t="str">
        <f t="shared" si="34"/>
        <v>20120301RLS</v>
      </c>
      <c r="D811" s="530" t="s">
        <v>345</v>
      </c>
      <c r="E811" s="530" t="str">
        <f t="shared" si="35"/>
        <v>20120301LGUM_213</v>
      </c>
      <c r="F811" s="531">
        <v>16.34</v>
      </c>
      <c r="G811" s="531">
        <v>0.02</v>
      </c>
      <c r="H811" s="531">
        <v>3.65</v>
      </c>
      <c r="I811" s="531">
        <f t="shared" si="36"/>
        <v>12.67</v>
      </c>
      <c r="J811" s="529" t="s">
        <v>474</v>
      </c>
    </row>
    <row r="812" spans="1:10">
      <c r="A812" s="529">
        <v>20120301</v>
      </c>
      <c r="B812" s="530" t="s">
        <v>459</v>
      </c>
      <c r="C812" s="530" t="str">
        <f t="shared" si="34"/>
        <v>20120301RLS</v>
      </c>
      <c r="D812" s="530" t="s">
        <v>475</v>
      </c>
      <c r="E812" s="530" t="str">
        <f t="shared" si="35"/>
        <v>20120301LGUM_016</v>
      </c>
      <c r="F812" s="531">
        <v>27.14</v>
      </c>
      <c r="G812" s="531">
        <v>0.02</v>
      </c>
      <c r="H812" s="531">
        <v>2.2999999999999998</v>
      </c>
      <c r="I812" s="531">
        <f t="shared" si="36"/>
        <v>24.82</v>
      </c>
      <c r="J812" s="529" t="s">
        <v>476</v>
      </c>
    </row>
    <row r="813" spans="1:10">
      <c r="A813" s="529">
        <v>20120301</v>
      </c>
      <c r="B813" s="530" t="s">
        <v>459</v>
      </c>
      <c r="C813" s="530" t="str">
        <f t="shared" si="34"/>
        <v>20120301RLS</v>
      </c>
      <c r="D813" s="530" t="s">
        <v>182</v>
      </c>
      <c r="E813" s="530" t="str">
        <f t="shared" si="35"/>
        <v>20120301LGUM_116</v>
      </c>
      <c r="F813" s="531">
        <v>27.14</v>
      </c>
      <c r="G813" s="531">
        <v>0.02</v>
      </c>
      <c r="H813" s="531">
        <v>2.2999999999999998</v>
      </c>
      <c r="I813" s="531">
        <f t="shared" si="36"/>
        <v>24.82</v>
      </c>
      <c r="J813" s="529" t="s">
        <v>476</v>
      </c>
    </row>
    <row r="814" spans="1:10">
      <c r="A814" s="529">
        <v>20120301</v>
      </c>
      <c r="B814" s="530" t="s">
        <v>459</v>
      </c>
      <c r="C814" s="530" t="str">
        <f t="shared" si="34"/>
        <v>20120301RLS</v>
      </c>
      <c r="D814" s="530" t="s">
        <v>346</v>
      </c>
      <c r="E814" s="530" t="str">
        <f t="shared" si="35"/>
        <v>20120301LGUM_216</v>
      </c>
      <c r="F814" s="531">
        <v>27.14</v>
      </c>
      <c r="G814" s="531">
        <v>0.02</v>
      </c>
      <c r="H814" s="531">
        <v>2.2999999999999998</v>
      </c>
      <c r="I814" s="531">
        <f t="shared" si="36"/>
        <v>24.82</v>
      </c>
      <c r="J814" s="529" t="s">
        <v>476</v>
      </c>
    </row>
    <row r="815" spans="1:10">
      <c r="A815" s="529">
        <v>20120301</v>
      </c>
      <c r="B815" s="530" t="s">
        <v>459</v>
      </c>
      <c r="C815" s="530" t="str">
        <f t="shared" si="34"/>
        <v>20120301RLS</v>
      </c>
      <c r="D815" s="530" t="s">
        <v>477</v>
      </c>
      <c r="E815" s="530" t="str">
        <f t="shared" si="35"/>
        <v>20120301LGUM_017</v>
      </c>
      <c r="F815" s="531">
        <v>30.310000000000006</v>
      </c>
      <c r="G815" s="531">
        <v>0.02</v>
      </c>
      <c r="H815" s="531">
        <v>3.65</v>
      </c>
      <c r="I815" s="531">
        <f t="shared" si="36"/>
        <v>26.640000000000008</v>
      </c>
      <c r="J815" s="529" t="s">
        <v>478</v>
      </c>
    </row>
    <row r="816" spans="1:10">
      <c r="A816" s="529">
        <v>20120301</v>
      </c>
      <c r="B816" s="530" t="s">
        <v>459</v>
      </c>
      <c r="C816" s="530" t="str">
        <f t="shared" si="34"/>
        <v>20120301RLS</v>
      </c>
      <c r="D816" s="530" t="s">
        <v>183</v>
      </c>
      <c r="E816" s="530" t="str">
        <f t="shared" si="35"/>
        <v>20120301LGUM_117</v>
      </c>
      <c r="F816" s="531">
        <v>30.310000000000006</v>
      </c>
      <c r="G816" s="531">
        <v>0.02</v>
      </c>
      <c r="H816" s="531">
        <v>3.65</v>
      </c>
      <c r="I816" s="531">
        <f t="shared" si="36"/>
        <v>26.640000000000008</v>
      </c>
      <c r="J816" s="529" t="s">
        <v>478</v>
      </c>
    </row>
    <row r="817" spans="1:10">
      <c r="A817" s="529">
        <v>20120301</v>
      </c>
      <c r="B817" s="530" t="s">
        <v>459</v>
      </c>
      <c r="C817" s="530" t="str">
        <f t="shared" si="34"/>
        <v>20120301RLS</v>
      </c>
      <c r="D817" s="530" t="s">
        <v>347</v>
      </c>
      <c r="E817" s="530" t="str">
        <f t="shared" si="35"/>
        <v>20120301LGUM_217</v>
      </c>
      <c r="F817" s="531">
        <v>30.310000000000006</v>
      </c>
      <c r="G817" s="531">
        <v>0.02</v>
      </c>
      <c r="H817" s="531">
        <v>3.65</v>
      </c>
      <c r="I817" s="531">
        <f t="shared" si="36"/>
        <v>26.640000000000008</v>
      </c>
      <c r="J817" s="529" t="s">
        <v>478</v>
      </c>
    </row>
    <row r="818" spans="1:10">
      <c r="A818" s="529">
        <v>20120301</v>
      </c>
      <c r="B818" s="530" t="s">
        <v>459</v>
      </c>
      <c r="C818" s="530" t="str">
        <f t="shared" si="34"/>
        <v>20120301RLS</v>
      </c>
      <c r="D818" s="530" t="s">
        <v>148</v>
      </c>
      <c r="E818" s="530" t="str">
        <f t="shared" si="35"/>
        <v>20120301LGUM_022</v>
      </c>
      <c r="F818" s="531">
        <v>12.629999999999997</v>
      </c>
      <c r="G818" s="531">
        <v>0.01</v>
      </c>
      <c r="H818" s="531">
        <v>1.55</v>
      </c>
      <c r="I818" s="531">
        <f t="shared" si="36"/>
        <v>11.069999999999997</v>
      </c>
      <c r="J818" s="529" t="s">
        <v>479</v>
      </c>
    </row>
    <row r="819" spans="1:10">
      <c r="A819" s="529">
        <v>20120301</v>
      </c>
      <c r="B819" s="530" t="s">
        <v>459</v>
      </c>
      <c r="C819" s="530" t="str">
        <f t="shared" ref="C819:C882" si="37">A819&amp;B819</f>
        <v>20120301RLS</v>
      </c>
      <c r="D819" s="530" t="s">
        <v>184</v>
      </c>
      <c r="E819" s="530" t="str">
        <f t="shared" ref="E819:E882" si="38">A819&amp;D819</f>
        <v>20120301LGUM_122</v>
      </c>
      <c r="F819" s="531">
        <v>12.629999999999997</v>
      </c>
      <c r="G819" s="531">
        <v>0.01</v>
      </c>
      <c r="H819" s="531">
        <v>1.55</v>
      </c>
      <c r="I819" s="531">
        <f t="shared" si="36"/>
        <v>11.069999999999997</v>
      </c>
      <c r="J819" s="529" t="s">
        <v>479</v>
      </c>
    </row>
    <row r="820" spans="1:10">
      <c r="A820" s="529">
        <v>20120301</v>
      </c>
      <c r="B820" s="530" t="s">
        <v>459</v>
      </c>
      <c r="C820" s="530" t="str">
        <f t="shared" si="37"/>
        <v>20120301RLS</v>
      </c>
      <c r="D820" s="530" t="s">
        <v>221</v>
      </c>
      <c r="E820" s="530" t="str">
        <f t="shared" si="38"/>
        <v>20120301LGUM_222</v>
      </c>
      <c r="F820" s="531">
        <v>12.629999999999997</v>
      </c>
      <c r="G820" s="531">
        <v>0.01</v>
      </c>
      <c r="H820" s="531">
        <v>1.55</v>
      </c>
      <c r="I820" s="531">
        <f t="shared" si="36"/>
        <v>11.069999999999997</v>
      </c>
      <c r="J820" s="529" t="s">
        <v>479</v>
      </c>
    </row>
    <row r="821" spans="1:10">
      <c r="A821" s="529">
        <v>20120301</v>
      </c>
      <c r="B821" s="530" t="s">
        <v>459</v>
      </c>
      <c r="C821" s="530" t="str">
        <f t="shared" si="37"/>
        <v>20120301RLS</v>
      </c>
      <c r="D821" s="530" t="s">
        <v>149</v>
      </c>
      <c r="E821" s="530" t="str">
        <f t="shared" si="38"/>
        <v>20120301LGUM_023</v>
      </c>
      <c r="F821" s="531">
        <v>12.629999999999997</v>
      </c>
      <c r="G821" s="531">
        <v>0.01</v>
      </c>
      <c r="H821" s="531">
        <v>1.55</v>
      </c>
      <c r="I821" s="531">
        <f t="shared" si="36"/>
        <v>11.069999999999997</v>
      </c>
      <c r="J821" s="529" t="s">
        <v>480</v>
      </c>
    </row>
    <row r="822" spans="1:10">
      <c r="A822" s="529">
        <v>20120301</v>
      </c>
      <c r="B822" s="530" t="s">
        <v>459</v>
      </c>
      <c r="C822" s="530" t="str">
        <f t="shared" si="37"/>
        <v>20120301RLS</v>
      </c>
      <c r="D822" s="530" t="s">
        <v>185</v>
      </c>
      <c r="E822" s="530" t="str">
        <f t="shared" si="38"/>
        <v>20120301LGUM_123</v>
      </c>
      <c r="F822" s="531">
        <v>12.629999999999997</v>
      </c>
      <c r="G822" s="531">
        <v>0.01</v>
      </c>
      <c r="H822" s="531">
        <v>1.55</v>
      </c>
      <c r="I822" s="531">
        <f t="shared" si="36"/>
        <v>11.069999999999997</v>
      </c>
      <c r="J822" s="529" t="s">
        <v>480</v>
      </c>
    </row>
    <row r="823" spans="1:10">
      <c r="A823" s="529">
        <v>20120301</v>
      </c>
      <c r="B823" s="530" t="s">
        <v>459</v>
      </c>
      <c r="C823" s="530" t="str">
        <f t="shared" si="37"/>
        <v>20120301RLS</v>
      </c>
      <c r="D823" s="530" t="s">
        <v>348</v>
      </c>
      <c r="E823" s="530" t="str">
        <f t="shared" si="38"/>
        <v>20120301LGUM_223</v>
      </c>
      <c r="F823" s="531">
        <v>12.629999999999997</v>
      </c>
      <c r="G823" s="531">
        <v>0.01</v>
      </c>
      <c r="H823" s="531">
        <v>1.55</v>
      </c>
      <c r="I823" s="531">
        <f t="shared" si="36"/>
        <v>11.069999999999997</v>
      </c>
      <c r="J823" s="529" t="s">
        <v>480</v>
      </c>
    </row>
    <row r="824" spans="1:10">
      <c r="A824" s="529">
        <v>20120301</v>
      </c>
      <c r="B824" s="530" t="s">
        <v>459</v>
      </c>
      <c r="C824" s="530" t="str">
        <f t="shared" si="37"/>
        <v>20120301RLS</v>
      </c>
      <c r="D824" s="530" t="s">
        <v>150</v>
      </c>
      <c r="E824" s="530" t="str">
        <f t="shared" si="38"/>
        <v>20120301LGUM_024</v>
      </c>
      <c r="F824" s="531">
        <v>17.489999999999998</v>
      </c>
      <c r="G824" s="531">
        <v>0.01</v>
      </c>
      <c r="H824" s="531">
        <v>1.07</v>
      </c>
      <c r="I824" s="531">
        <f t="shared" si="36"/>
        <v>16.409999999999997</v>
      </c>
      <c r="J824" s="529" t="s">
        <v>481</v>
      </c>
    </row>
    <row r="825" spans="1:10">
      <c r="A825" s="529">
        <v>20120301</v>
      </c>
      <c r="B825" s="530" t="s">
        <v>459</v>
      </c>
      <c r="C825" s="530" t="str">
        <f t="shared" si="37"/>
        <v>20120301RLS</v>
      </c>
      <c r="D825" s="530" t="s">
        <v>186</v>
      </c>
      <c r="E825" s="530" t="str">
        <f t="shared" si="38"/>
        <v>20120301LGUM_124</v>
      </c>
      <c r="F825" s="531">
        <v>17.489999999999998</v>
      </c>
      <c r="G825" s="531">
        <v>0.01</v>
      </c>
      <c r="H825" s="531">
        <v>1.07</v>
      </c>
      <c r="I825" s="531">
        <f t="shared" si="36"/>
        <v>16.409999999999997</v>
      </c>
      <c r="J825" s="529" t="s">
        <v>481</v>
      </c>
    </row>
    <row r="826" spans="1:10">
      <c r="A826" s="529">
        <v>20120301</v>
      </c>
      <c r="B826" s="530" t="s">
        <v>459</v>
      </c>
      <c r="C826" s="530" t="str">
        <f t="shared" si="37"/>
        <v>20120301RLS</v>
      </c>
      <c r="D826" s="530" t="s">
        <v>222</v>
      </c>
      <c r="E826" s="530" t="str">
        <f t="shared" si="38"/>
        <v>20120301LGUM_224</v>
      </c>
      <c r="F826" s="531">
        <v>17.489999999999998</v>
      </c>
      <c r="G826" s="531">
        <v>0.01</v>
      </c>
      <c r="H826" s="531">
        <v>1.07</v>
      </c>
      <c r="I826" s="531">
        <f t="shared" si="36"/>
        <v>16.409999999999997</v>
      </c>
      <c r="J826" s="529" t="s">
        <v>481</v>
      </c>
    </row>
    <row r="827" spans="1:10">
      <c r="A827" s="529">
        <v>20120301</v>
      </c>
      <c r="B827" s="530" t="s">
        <v>459</v>
      </c>
      <c r="C827" s="530" t="str">
        <f t="shared" si="37"/>
        <v>20120301RLS</v>
      </c>
      <c r="D827" s="530" t="s">
        <v>482</v>
      </c>
      <c r="E827" s="530" t="str">
        <f t="shared" si="38"/>
        <v>20120301LGUM_025</v>
      </c>
      <c r="F827" s="531">
        <v>23.520000000000003</v>
      </c>
      <c r="G827" s="531">
        <v>0.01</v>
      </c>
      <c r="H827" s="531">
        <v>1.55</v>
      </c>
      <c r="I827" s="531">
        <f t="shared" si="36"/>
        <v>21.96</v>
      </c>
      <c r="J827" s="529" t="s">
        <v>479</v>
      </c>
    </row>
    <row r="828" spans="1:10">
      <c r="A828" s="529">
        <v>20120301</v>
      </c>
      <c r="B828" s="530" t="s">
        <v>459</v>
      </c>
      <c r="C828" s="530" t="str">
        <f t="shared" si="37"/>
        <v>20120301RLS</v>
      </c>
      <c r="D828" s="530" t="s">
        <v>483</v>
      </c>
      <c r="E828" s="530" t="str">
        <f t="shared" si="38"/>
        <v>20120301LGUM_125</v>
      </c>
      <c r="F828" s="531">
        <v>23.520000000000003</v>
      </c>
      <c r="G828" s="531">
        <v>0.01</v>
      </c>
      <c r="H828" s="531">
        <v>1.55</v>
      </c>
      <c r="I828" s="531">
        <f t="shared" si="36"/>
        <v>21.96</v>
      </c>
      <c r="J828" s="529" t="s">
        <v>479</v>
      </c>
    </row>
    <row r="829" spans="1:10">
      <c r="A829" s="529">
        <v>20120301</v>
      </c>
      <c r="B829" s="530" t="s">
        <v>459</v>
      </c>
      <c r="C829" s="530" t="str">
        <f t="shared" si="37"/>
        <v>20120301RLS</v>
      </c>
      <c r="D829" s="530" t="s">
        <v>484</v>
      </c>
      <c r="E829" s="530" t="str">
        <f t="shared" si="38"/>
        <v>20120301LGUM_225</v>
      </c>
      <c r="F829" s="531">
        <v>23.520000000000003</v>
      </c>
      <c r="G829" s="531">
        <v>0.01</v>
      </c>
      <c r="H829" s="531">
        <v>1.55</v>
      </c>
      <c r="I829" s="531">
        <f t="shared" si="36"/>
        <v>21.96</v>
      </c>
      <c r="J829" s="529" t="s">
        <v>479</v>
      </c>
    </row>
    <row r="830" spans="1:10">
      <c r="A830" s="529">
        <v>20120301</v>
      </c>
      <c r="B830" s="530" t="s">
        <v>459</v>
      </c>
      <c r="C830" s="530" t="str">
        <f t="shared" si="37"/>
        <v>20120301RLS</v>
      </c>
      <c r="D830" s="530" t="s">
        <v>485</v>
      </c>
      <c r="E830" s="530" t="str">
        <f t="shared" si="38"/>
        <v>20120301LGUM_026</v>
      </c>
      <c r="F830" s="531">
        <v>13.299999999999999</v>
      </c>
      <c r="G830" s="531">
        <v>0.01</v>
      </c>
      <c r="H830" s="531">
        <v>0.74</v>
      </c>
      <c r="I830" s="531">
        <f t="shared" si="36"/>
        <v>12.549999999999999</v>
      </c>
      <c r="J830" s="529" t="s">
        <v>486</v>
      </c>
    </row>
    <row r="831" spans="1:10">
      <c r="A831" s="529">
        <v>20120301</v>
      </c>
      <c r="B831" s="530" t="s">
        <v>459</v>
      </c>
      <c r="C831" s="530" t="str">
        <f t="shared" si="37"/>
        <v>20120301RLS</v>
      </c>
      <c r="D831" s="530" t="s">
        <v>487</v>
      </c>
      <c r="E831" s="530" t="str">
        <f t="shared" si="38"/>
        <v>20120301LGUM_126</v>
      </c>
      <c r="F831" s="531">
        <v>13.299999999999999</v>
      </c>
      <c r="G831" s="531">
        <v>0.01</v>
      </c>
      <c r="H831" s="531">
        <v>0.74</v>
      </c>
      <c r="I831" s="531">
        <f t="shared" si="36"/>
        <v>12.549999999999999</v>
      </c>
      <c r="J831" s="529" t="s">
        <v>486</v>
      </c>
    </row>
    <row r="832" spans="1:10">
      <c r="A832" s="529">
        <v>20120301</v>
      </c>
      <c r="B832" s="530" t="s">
        <v>459</v>
      </c>
      <c r="C832" s="530" t="str">
        <f t="shared" si="37"/>
        <v>20120301RLS</v>
      </c>
      <c r="D832" s="530" t="s">
        <v>488</v>
      </c>
      <c r="E832" s="530" t="str">
        <f t="shared" si="38"/>
        <v>20120301LGUM_226</v>
      </c>
      <c r="F832" s="531">
        <v>13.299999999999999</v>
      </c>
      <c r="G832" s="531">
        <v>0.01</v>
      </c>
      <c r="H832" s="531">
        <v>0.74</v>
      </c>
      <c r="I832" s="531">
        <f t="shared" si="36"/>
        <v>12.549999999999999</v>
      </c>
      <c r="J832" s="529" t="s">
        <v>486</v>
      </c>
    </row>
    <row r="833" spans="1:10">
      <c r="A833" s="529">
        <v>20120301</v>
      </c>
      <c r="B833" s="530" t="s">
        <v>459</v>
      </c>
      <c r="C833" s="530" t="str">
        <f t="shared" si="37"/>
        <v>20120301RLS</v>
      </c>
      <c r="D833" s="530" t="s">
        <v>489</v>
      </c>
      <c r="E833" s="530" t="str">
        <f t="shared" si="38"/>
        <v>20120301LGUM_251</v>
      </c>
      <c r="F833" s="532">
        <v>1.0000000000000001E-9</v>
      </c>
      <c r="G833" s="531"/>
      <c r="H833" s="531">
        <v>0</v>
      </c>
      <c r="I833" s="531">
        <f t="shared" si="36"/>
        <v>1.0000000000000001E-9</v>
      </c>
      <c r="J833" s="529" t="s">
        <v>490</v>
      </c>
    </row>
    <row r="834" spans="1:10">
      <c r="A834" s="529">
        <v>20120301</v>
      </c>
      <c r="B834" s="530" t="s">
        <v>459</v>
      </c>
      <c r="C834" s="530" t="str">
        <f t="shared" si="37"/>
        <v>20120301RLS</v>
      </c>
      <c r="D834" s="530" t="s">
        <v>151</v>
      </c>
      <c r="E834" s="530" t="str">
        <f t="shared" si="38"/>
        <v>20120301LGUM_052</v>
      </c>
      <c r="F834" s="531">
        <v>10.367000000000001</v>
      </c>
      <c r="G834" s="531">
        <v>0.01</v>
      </c>
      <c r="H834" s="531">
        <v>1.55</v>
      </c>
      <c r="I834" s="531">
        <f t="shared" si="36"/>
        <v>8.8070000000000004</v>
      </c>
      <c r="J834" s="529" t="s">
        <v>491</v>
      </c>
    </row>
    <row r="835" spans="1:10">
      <c r="A835" s="529">
        <v>20120301</v>
      </c>
      <c r="B835" s="530" t="s">
        <v>459</v>
      </c>
      <c r="C835" s="530" t="str">
        <f t="shared" si="37"/>
        <v>20120301RLS</v>
      </c>
      <c r="D835" s="530" t="s">
        <v>187</v>
      </c>
      <c r="E835" s="530" t="str">
        <f t="shared" si="38"/>
        <v>20120301LGUM_152</v>
      </c>
      <c r="F835" s="531">
        <v>10.367000000000001</v>
      </c>
      <c r="G835" s="531">
        <v>0.01</v>
      </c>
      <c r="H835" s="531">
        <v>1.55</v>
      </c>
      <c r="I835" s="531">
        <f t="shared" si="36"/>
        <v>8.8070000000000004</v>
      </c>
      <c r="J835" s="529" t="s">
        <v>491</v>
      </c>
    </row>
    <row r="836" spans="1:10">
      <c r="A836" s="529">
        <v>20120301</v>
      </c>
      <c r="B836" s="530" t="s">
        <v>459</v>
      </c>
      <c r="C836" s="530" t="str">
        <f t="shared" si="37"/>
        <v>20120301RLS</v>
      </c>
      <c r="D836" s="530" t="s">
        <v>223</v>
      </c>
      <c r="E836" s="530" t="str">
        <f t="shared" si="38"/>
        <v>20120301LGUM_252</v>
      </c>
      <c r="F836" s="531">
        <v>10.367000000000001</v>
      </c>
      <c r="G836" s="531">
        <v>0.01</v>
      </c>
      <c r="H836" s="531">
        <v>1.55</v>
      </c>
      <c r="I836" s="531">
        <f t="shared" si="36"/>
        <v>8.8070000000000004</v>
      </c>
      <c r="J836" s="529" t="s">
        <v>491</v>
      </c>
    </row>
    <row r="837" spans="1:10">
      <c r="A837" s="529">
        <v>20120301</v>
      </c>
      <c r="B837" s="530" t="s">
        <v>459</v>
      </c>
      <c r="C837" s="530" t="str">
        <f t="shared" si="37"/>
        <v>20120301RLS</v>
      </c>
      <c r="D837" s="530" t="s">
        <v>152</v>
      </c>
      <c r="E837" s="530" t="str">
        <f t="shared" si="38"/>
        <v>20120301LGUM_053</v>
      </c>
      <c r="F837" s="531">
        <v>11.8</v>
      </c>
      <c r="G837" s="531">
        <v>0.01</v>
      </c>
      <c r="H837" s="531">
        <v>2.2000000000000002</v>
      </c>
      <c r="I837" s="531">
        <f t="shared" ref="I837:I900" si="39">F837-G837-H837</f>
        <v>9.59</v>
      </c>
      <c r="J837" s="529" t="s">
        <v>492</v>
      </c>
    </row>
    <row r="838" spans="1:10">
      <c r="A838" s="529">
        <v>20120301</v>
      </c>
      <c r="B838" s="530" t="s">
        <v>459</v>
      </c>
      <c r="C838" s="530" t="str">
        <f t="shared" si="37"/>
        <v>20120301RLS</v>
      </c>
      <c r="D838" s="530" t="s">
        <v>188</v>
      </c>
      <c r="E838" s="530" t="str">
        <f t="shared" si="38"/>
        <v>20120301LGUM_153</v>
      </c>
      <c r="F838" s="531">
        <v>11.8</v>
      </c>
      <c r="G838" s="531">
        <v>0.01</v>
      </c>
      <c r="H838" s="531">
        <v>2.2000000000000002</v>
      </c>
      <c r="I838" s="531">
        <f t="shared" si="39"/>
        <v>9.59</v>
      </c>
      <c r="J838" s="529" t="s">
        <v>492</v>
      </c>
    </row>
    <row r="839" spans="1:10">
      <c r="A839" s="529">
        <v>20120301</v>
      </c>
      <c r="B839" s="530" t="s">
        <v>459</v>
      </c>
      <c r="C839" s="530" t="str">
        <f t="shared" si="37"/>
        <v>20120301RLS</v>
      </c>
      <c r="D839" s="530" t="s">
        <v>224</v>
      </c>
      <c r="E839" s="530" t="str">
        <f t="shared" si="38"/>
        <v>20120301LGUM_253</v>
      </c>
      <c r="F839" s="531">
        <v>11.8</v>
      </c>
      <c r="G839" s="531">
        <v>0.01</v>
      </c>
      <c r="H839" s="531">
        <v>2.2000000000000002</v>
      </c>
      <c r="I839" s="531">
        <f t="shared" si="39"/>
        <v>9.59</v>
      </c>
      <c r="J839" s="529" t="s">
        <v>492</v>
      </c>
    </row>
    <row r="840" spans="1:10">
      <c r="A840" s="529">
        <v>20120301</v>
      </c>
      <c r="B840" s="530" t="s">
        <v>459</v>
      </c>
      <c r="C840" s="530" t="str">
        <f t="shared" si="37"/>
        <v>20120301RLS</v>
      </c>
      <c r="D840" s="530" t="s">
        <v>153</v>
      </c>
      <c r="E840" s="530" t="str">
        <f t="shared" si="38"/>
        <v>20120301LGUM_054</v>
      </c>
      <c r="F840" s="531">
        <v>14.39</v>
      </c>
      <c r="G840" s="531">
        <v>0.01</v>
      </c>
      <c r="H840" s="531">
        <v>3.41</v>
      </c>
      <c r="I840" s="531">
        <f t="shared" si="39"/>
        <v>10.97</v>
      </c>
      <c r="J840" s="529" t="s">
        <v>493</v>
      </c>
    </row>
    <row r="841" spans="1:10">
      <c r="A841" s="529">
        <v>20120301</v>
      </c>
      <c r="B841" s="530" t="s">
        <v>459</v>
      </c>
      <c r="C841" s="530" t="str">
        <f t="shared" si="37"/>
        <v>20120301RLS</v>
      </c>
      <c r="D841" s="530" t="s">
        <v>189</v>
      </c>
      <c r="E841" s="530" t="str">
        <f t="shared" si="38"/>
        <v>20120301LGUM_154</v>
      </c>
      <c r="F841" s="531">
        <v>14.39</v>
      </c>
      <c r="G841" s="531">
        <v>0.01</v>
      </c>
      <c r="H841" s="531">
        <v>3.41</v>
      </c>
      <c r="I841" s="531">
        <f t="shared" si="39"/>
        <v>10.97</v>
      </c>
      <c r="J841" s="529" t="s">
        <v>493</v>
      </c>
    </row>
    <row r="842" spans="1:10">
      <c r="A842" s="529">
        <v>20120301</v>
      </c>
      <c r="B842" s="530" t="s">
        <v>459</v>
      </c>
      <c r="C842" s="530" t="str">
        <f t="shared" si="37"/>
        <v>20120301RLS</v>
      </c>
      <c r="D842" s="530" t="s">
        <v>349</v>
      </c>
      <c r="E842" s="530" t="str">
        <f t="shared" si="38"/>
        <v>20120301LGUM_254</v>
      </c>
      <c r="F842" s="531">
        <v>14.39</v>
      </c>
      <c r="G842" s="531">
        <v>0.01</v>
      </c>
      <c r="H842" s="531">
        <v>3.41</v>
      </c>
      <c r="I842" s="531">
        <f t="shared" si="39"/>
        <v>10.97</v>
      </c>
      <c r="J842" s="529" t="s">
        <v>493</v>
      </c>
    </row>
    <row r="843" spans="1:10">
      <c r="A843" s="529">
        <v>20120301</v>
      </c>
      <c r="B843" s="530" t="s">
        <v>459</v>
      </c>
      <c r="C843" s="530" t="str">
        <f t="shared" si="37"/>
        <v>20120301RLS</v>
      </c>
      <c r="D843" s="530" t="s">
        <v>154</v>
      </c>
      <c r="E843" s="530" t="str">
        <f t="shared" si="38"/>
        <v>20120301LGUM_055</v>
      </c>
      <c r="F843" s="531">
        <v>10</v>
      </c>
      <c r="G843" s="531">
        <v>0.01</v>
      </c>
      <c r="H843" s="531">
        <v>1.07</v>
      </c>
      <c r="I843" s="531">
        <f t="shared" si="39"/>
        <v>8.92</v>
      </c>
      <c r="J843" s="529" t="s">
        <v>494</v>
      </c>
    </row>
    <row r="844" spans="1:10">
      <c r="A844" s="529">
        <v>20120301</v>
      </c>
      <c r="B844" s="530" t="s">
        <v>459</v>
      </c>
      <c r="C844" s="530" t="str">
        <f t="shared" si="37"/>
        <v>20120301RLS</v>
      </c>
      <c r="D844" s="530" t="s">
        <v>190</v>
      </c>
      <c r="E844" s="530" t="str">
        <f t="shared" si="38"/>
        <v>20120301LGUM_155</v>
      </c>
      <c r="F844" s="531">
        <v>10</v>
      </c>
      <c r="G844" s="531">
        <v>0.01</v>
      </c>
      <c r="H844" s="531">
        <v>1.07</v>
      </c>
      <c r="I844" s="531">
        <f t="shared" si="39"/>
        <v>8.92</v>
      </c>
      <c r="J844" s="529" t="s">
        <v>494</v>
      </c>
    </row>
    <row r="845" spans="1:10">
      <c r="A845" s="529">
        <v>20120301</v>
      </c>
      <c r="B845" s="530" t="s">
        <v>459</v>
      </c>
      <c r="C845" s="530" t="str">
        <f t="shared" si="37"/>
        <v>20120301RLS</v>
      </c>
      <c r="D845" s="530" t="s">
        <v>225</v>
      </c>
      <c r="E845" s="530" t="str">
        <f t="shared" si="38"/>
        <v>20120301LGUM_255</v>
      </c>
      <c r="F845" s="531">
        <v>10</v>
      </c>
      <c r="G845" s="531">
        <v>0.01</v>
      </c>
      <c r="H845" s="531">
        <v>1.07</v>
      </c>
      <c r="I845" s="531">
        <f t="shared" si="39"/>
        <v>8.92</v>
      </c>
      <c r="J845" s="529" t="s">
        <v>494</v>
      </c>
    </row>
    <row r="846" spans="1:10">
      <c r="A846" s="529">
        <v>20120301</v>
      </c>
      <c r="B846" s="530" t="s">
        <v>459</v>
      </c>
      <c r="C846" s="530" t="str">
        <f t="shared" si="37"/>
        <v>20120301RLS</v>
      </c>
      <c r="D846" s="530" t="s">
        <v>495</v>
      </c>
      <c r="E846" s="530" t="str">
        <f t="shared" si="38"/>
        <v>20120301LGUM_056</v>
      </c>
      <c r="F846" s="531">
        <v>13.15</v>
      </c>
      <c r="G846" s="531">
        <v>0.01</v>
      </c>
      <c r="H846" s="531">
        <v>0.92</v>
      </c>
      <c r="I846" s="531">
        <f t="shared" si="39"/>
        <v>12.22</v>
      </c>
      <c r="J846" s="529" t="s">
        <v>496</v>
      </c>
    </row>
    <row r="847" spans="1:10">
      <c r="A847" s="529">
        <v>20120301</v>
      </c>
      <c r="B847" s="530" t="s">
        <v>459</v>
      </c>
      <c r="C847" s="530" t="str">
        <f t="shared" si="37"/>
        <v>20120301RLS</v>
      </c>
      <c r="D847" s="530" t="s">
        <v>497</v>
      </c>
      <c r="E847" s="530" t="str">
        <f t="shared" si="38"/>
        <v>20120301LGUM_156</v>
      </c>
      <c r="F847" s="531">
        <v>13.15</v>
      </c>
      <c r="G847" s="531">
        <v>0.01</v>
      </c>
      <c r="H847" s="531">
        <v>0.92</v>
      </c>
      <c r="I847" s="531">
        <f t="shared" si="39"/>
        <v>12.22</v>
      </c>
      <c r="J847" s="529" t="s">
        <v>496</v>
      </c>
    </row>
    <row r="848" spans="1:10">
      <c r="A848" s="529">
        <v>20120301</v>
      </c>
      <c r="B848" s="530" t="s">
        <v>459</v>
      </c>
      <c r="C848" s="530" t="str">
        <f t="shared" si="37"/>
        <v>20120301RLS</v>
      </c>
      <c r="D848" s="530" t="s">
        <v>498</v>
      </c>
      <c r="E848" s="530" t="str">
        <f t="shared" si="38"/>
        <v>20120301LGUM_256</v>
      </c>
      <c r="F848" s="531">
        <v>13.15</v>
      </c>
      <c r="G848" s="531">
        <v>0.01</v>
      </c>
      <c r="H848" s="531">
        <v>0.92</v>
      </c>
      <c r="I848" s="531">
        <f t="shared" si="39"/>
        <v>12.22</v>
      </c>
      <c r="J848" s="529" t="s">
        <v>496</v>
      </c>
    </row>
    <row r="849" spans="1:10">
      <c r="A849" s="529">
        <v>20120301</v>
      </c>
      <c r="B849" s="530" t="s">
        <v>459</v>
      </c>
      <c r="C849" s="530" t="str">
        <f t="shared" si="37"/>
        <v>20120301RLS</v>
      </c>
      <c r="D849" s="530" t="s">
        <v>155</v>
      </c>
      <c r="E849" s="530" t="str">
        <f t="shared" si="38"/>
        <v>20120301LGUM_057</v>
      </c>
      <c r="F849" s="531">
        <v>14.39</v>
      </c>
      <c r="G849" s="531">
        <v>0.01</v>
      </c>
      <c r="H849" s="531">
        <v>3.41</v>
      </c>
      <c r="I849" s="531">
        <f t="shared" si="39"/>
        <v>10.97</v>
      </c>
      <c r="J849" s="529" t="s">
        <v>499</v>
      </c>
    </row>
    <row r="850" spans="1:10">
      <c r="A850" s="529">
        <v>20120301</v>
      </c>
      <c r="B850" s="530" t="s">
        <v>459</v>
      </c>
      <c r="C850" s="530" t="str">
        <f t="shared" si="37"/>
        <v>20120301RLS</v>
      </c>
      <c r="D850" s="530" t="s">
        <v>191</v>
      </c>
      <c r="E850" s="530" t="str">
        <f t="shared" si="38"/>
        <v>20120301LGUM_157</v>
      </c>
      <c r="F850" s="531">
        <v>14.39</v>
      </c>
      <c r="G850" s="531">
        <v>0.01</v>
      </c>
      <c r="H850" s="531">
        <v>3.41</v>
      </c>
      <c r="I850" s="531">
        <f t="shared" si="39"/>
        <v>10.97</v>
      </c>
      <c r="J850" s="529" t="s">
        <v>499</v>
      </c>
    </row>
    <row r="851" spans="1:10">
      <c r="A851" s="529">
        <v>20120301</v>
      </c>
      <c r="B851" s="530" t="s">
        <v>459</v>
      </c>
      <c r="C851" s="530" t="str">
        <f t="shared" si="37"/>
        <v>20120301RLS</v>
      </c>
      <c r="D851" s="530" t="s">
        <v>350</v>
      </c>
      <c r="E851" s="530" t="str">
        <f t="shared" si="38"/>
        <v>20120301LGUM_257</v>
      </c>
      <c r="F851" s="531">
        <v>14.39</v>
      </c>
      <c r="G851" s="531">
        <v>0.01</v>
      </c>
      <c r="H851" s="531">
        <v>3.41</v>
      </c>
      <c r="I851" s="531">
        <f t="shared" si="39"/>
        <v>10.97</v>
      </c>
      <c r="J851" s="529" t="s">
        <v>499</v>
      </c>
    </row>
    <row r="852" spans="1:10">
      <c r="A852" s="529">
        <v>20120301</v>
      </c>
      <c r="B852" s="530" t="s">
        <v>459</v>
      </c>
      <c r="C852" s="530" t="str">
        <f t="shared" si="37"/>
        <v>20120301RLS</v>
      </c>
      <c r="D852" s="530" t="s">
        <v>156</v>
      </c>
      <c r="E852" s="530" t="str">
        <f t="shared" si="38"/>
        <v>20120301LGUM_058</v>
      </c>
      <c r="F852" s="531">
        <v>15.03</v>
      </c>
      <c r="G852" s="531">
        <v>0.01</v>
      </c>
      <c r="H852" s="531">
        <v>1.55</v>
      </c>
      <c r="I852" s="531">
        <f t="shared" si="39"/>
        <v>13.469999999999999</v>
      </c>
      <c r="J852" s="529" t="s">
        <v>500</v>
      </c>
    </row>
    <row r="853" spans="1:10">
      <c r="A853" s="529">
        <v>20120301</v>
      </c>
      <c r="B853" s="530" t="s">
        <v>459</v>
      </c>
      <c r="C853" s="530" t="str">
        <f t="shared" si="37"/>
        <v>20120301RLS</v>
      </c>
      <c r="D853" s="530" t="s">
        <v>192</v>
      </c>
      <c r="E853" s="530" t="str">
        <f t="shared" si="38"/>
        <v>20120301LGUM_158</v>
      </c>
      <c r="F853" s="531">
        <v>15.03</v>
      </c>
      <c r="G853" s="531">
        <v>0.01</v>
      </c>
      <c r="H853" s="531">
        <v>1.55</v>
      </c>
      <c r="I853" s="531">
        <f t="shared" si="39"/>
        <v>13.469999999999999</v>
      </c>
      <c r="J853" s="529" t="s">
        <v>500</v>
      </c>
    </row>
    <row r="854" spans="1:10">
      <c r="A854" s="529">
        <v>20120301</v>
      </c>
      <c r="B854" s="530" t="s">
        <v>459</v>
      </c>
      <c r="C854" s="530" t="str">
        <f t="shared" si="37"/>
        <v>20120301RLS</v>
      </c>
      <c r="D854" s="530" t="s">
        <v>226</v>
      </c>
      <c r="E854" s="530" t="str">
        <f t="shared" si="38"/>
        <v>20120301LGUM_258</v>
      </c>
      <c r="F854" s="531">
        <v>15.03</v>
      </c>
      <c r="G854" s="531">
        <v>0.01</v>
      </c>
      <c r="H854" s="531">
        <v>1.55</v>
      </c>
      <c r="I854" s="531">
        <f t="shared" si="39"/>
        <v>13.469999999999999</v>
      </c>
      <c r="J854" s="529" t="s">
        <v>500</v>
      </c>
    </row>
    <row r="855" spans="1:10">
      <c r="A855" s="529">
        <v>20120301</v>
      </c>
      <c r="B855" s="530" t="s">
        <v>459</v>
      </c>
      <c r="C855" s="530" t="str">
        <f t="shared" si="37"/>
        <v>20120301RLS</v>
      </c>
      <c r="D855" s="530" t="s">
        <v>361</v>
      </c>
      <c r="E855" s="530" t="str">
        <f t="shared" si="38"/>
        <v>20120301LGUM_059</v>
      </c>
      <c r="F855" s="531">
        <v>26.68</v>
      </c>
      <c r="G855" s="531">
        <v>0.02</v>
      </c>
      <c r="H855" s="531">
        <v>8.16</v>
      </c>
      <c r="I855" s="531">
        <f t="shared" si="39"/>
        <v>18.5</v>
      </c>
      <c r="J855" s="529" t="s">
        <v>501</v>
      </c>
    </row>
    <row r="856" spans="1:10">
      <c r="A856" s="529">
        <v>20120301</v>
      </c>
      <c r="B856" s="530" t="s">
        <v>459</v>
      </c>
      <c r="C856" s="530" t="str">
        <f t="shared" si="37"/>
        <v>20120301RLS</v>
      </c>
      <c r="D856" s="530" t="s">
        <v>193</v>
      </c>
      <c r="E856" s="530" t="str">
        <f t="shared" si="38"/>
        <v>20120301LGUM_159</v>
      </c>
      <c r="F856" s="531">
        <v>26.68</v>
      </c>
      <c r="G856" s="531">
        <v>0.02</v>
      </c>
      <c r="H856" s="531">
        <v>8.16</v>
      </c>
      <c r="I856" s="531">
        <f t="shared" si="39"/>
        <v>18.5</v>
      </c>
      <c r="J856" s="529" t="s">
        <v>501</v>
      </c>
    </row>
    <row r="857" spans="1:10">
      <c r="A857" s="529">
        <v>20120301</v>
      </c>
      <c r="B857" s="530" t="s">
        <v>459</v>
      </c>
      <c r="C857" s="530" t="str">
        <f t="shared" si="37"/>
        <v>20120301RLS</v>
      </c>
      <c r="D857" s="530" t="s">
        <v>227</v>
      </c>
      <c r="E857" s="530" t="str">
        <f t="shared" si="38"/>
        <v>20120301LGUM_259</v>
      </c>
      <c r="F857" s="531">
        <v>26.68</v>
      </c>
      <c r="G857" s="531">
        <v>0.02</v>
      </c>
      <c r="H857" s="531">
        <v>8.16</v>
      </c>
      <c r="I857" s="531">
        <f t="shared" si="39"/>
        <v>18.5</v>
      </c>
      <c r="J857" s="529" t="s">
        <v>501</v>
      </c>
    </row>
    <row r="858" spans="1:10">
      <c r="A858" s="529">
        <v>20120301</v>
      </c>
      <c r="B858" s="530" t="s">
        <v>459</v>
      </c>
      <c r="C858" s="530" t="str">
        <f t="shared" si="37"/>
        <v>20120301RLS</v>
      </c>
      <c r="D858" s="530" t="s">
        <v>502</v>
      </c>
      <c r="E858" s="530" t="str">
        <f t="shared" si="38"/>
        <v>20120301LGUM_060</v>
      </c>
      <c r="F858" s="531">
        <v>26.809999999999995</v>
      </c>
      <c r="G858" s="531">
        <v>0.02</v>
      </c>
      <c r="H858" s="531">
        <v>8.16</v>
      </c>
      <c r="I858" s="531">
        <f t="shared" si="39"/>
        <v>18.629999999999995</v>
      </c>
      <c r="J858" s="529" t="s">
        <v>503</v>
      </c>
    </row>
    <row r="859" spans="1:10">
      <c r="A859" s="529">
        <v>20120301</v>
      </c>
      <c r="B859" s="530" t="s">
        <v>459</v>
      </c>
      <c r="C859" s="530" t="str">
        <f t="shared" si="37"/>
        <v>20120301RLS</v>
      </c>
      <c r="D859" s="530" t="s">
        <v>194</v>
      </c>
      <c r="E859" s="530" t="str">
        <f t="shared" si="38"/>
        <v>20120301LGUM_160</v>
      </c>
      <c r="F859" s="531">
        <v>26.809999999999995</v>
      </c>
      <c r="G859" s="531">
        <v>0.02</v>
      </c>
      <c r="H859" s="531">
        <v>8.16</v>
      </c>
      <c r="I859" s="531">
        <f t="shared" si="39"/>
        <v>18.629999999999995</v>
      </c>
      <c r="J859" s="529" t="s">
        <v>503</v>
      </c>
    </row>
    <row r="860" spans="1:10">
      <c r="A860" s="529">
        <v>20120301</v>
      </c>
      <c r="B860" s="530" t="s">
        <v>459</v>
      </c>
      <c r="C860" s="530" t="str">
        <f t="shared" si="37"/>
        <v>20120301RLS</v>
      </c>
      <c r="D860" s="530" t="s">
        <v>351</v>
      </c>
      <c r="E860" s="530" t="str">
        <f t="shared" si="38"/>
        <v>20120301LGUM_260</v>
      </c>
      <c r="F860" s="531">
        <v>26.809999999999995</v>
      </c>
      <c r="G860" s="531">
        <v>0.02</v>
      </c>
      <c r="H860" s="531">
        <v>8.16</v>
      </c>
      <c r="I860" s="531">
        <f t="shared" si="39"/>
        <v>18.629999999999995</v>
      </c>
      <c r="J860" s="529" t="s">
        <v>503</v>
      </c>
    </row>
    <row r="861" spans="1:10">
      <c r="A861" s="529">
        <v>20120301</v>
      </c>
      <c r="B861" s="530" t="s">
        <v>459</v>
      </c>
      <c r="C861" s="530" t="str">
        <f t="shared" si="37"/>
        <v>20120301RLS</v>
      </c>
      <c r="D861" s="530" t="s">
        <v>157</v>
      </c>
      <c r="E861" s="530" t="str">
        <f t="shared" si="38"/>
        <v>20120301LGUM_061</v>
      </c>
      <c r="F861" s="531">
        <v>14.97</v>
      </c>
      <c r="G861" s="531">
        <v>0.02</v>
      </c>
      <c r="H861" s="531">
        <v>2.2999999999999998</v>
      </c>
      <c r="I861" s="531">
        <f t="shared" si="39"/>
        <v>12.650000000000002</v>
      </c>
      <c r="J861" s="529" t="s">
        <v>504</v>
      </c>
    </row>
    <row r="862" spans="1:10">
      <c r="A862" s="529">
        <v>20120301</v>
      </c>
      <c r="B862" s="530" t="s">
        <v>459</v>
      </c>
      <c r="C862" s="530" t="str">
        <f t="shared" si="37"/>
        <v>20120301RLS</v>
      </c>
      <c r="D862" s="530" t="s">
        <v>195</v>
      </c>
      <c r="E862" s="530" t="str">
        <f t="shared" si="38"/>
        <v>20120301LGUM_161</v>
      </c>
      <c r="F862" s="531">
        <v>14.97</v>
      </c>
      <c r="G862" s="531">
        <v>0.02</v>
      </c>
      <c r="H862" s="531">
        <v>2.2999999999999998</v>
      </c>
      <c r="I862" s="531">
        <f t="shared" si="39"/>
        <v>12.650000000000002</v>
      </c>
      <c r="J862" s="529" t="s">
        <v>504</v>
      </c>
    </row>
    <row r="863" spans="1:10">
      <c r="A863" s="529">
        <v>20120301</v>
      </c>
      <c r="B863" s="530" t="s">
        <v>459</v>
      </c>
      <c r="C863" s="530" t="str">
        <f t="shared" si="37"/>
        <v>20120301RLS</v>
      </c>
      <c r="D863" s="530" t="s">
        <v>228</v>
      </c>
      <c r="E863" s="530" t="str">
        <f t="shared" si="38"/>
        <v>20120301LGUM_261</v>
      </c>
      <c r="F863" s="531">
        <v>14.97</v>
      </c>
      <c r="G863" s="531">
        <v>0.02</v>
      </c>
      <c r="H863" s="531">
        <v>2.2999999999999998</v>
      </c>
      <c r="I863" s="531">
        <f t="shared" si="39"/>
        <v>12.650000000000002</v>
      </c>
      <c r="J863" s="529" t="s">
        <v>504</v>
      </c>
    </row>
    <row r="864" spans="1:10">
      <c r="A864" s="529">
        <v>20120301</v>
      </c>
      <c r="B864" s="530" t="s">
        <v>459</v>
      </c>
      <c r="C864" s="530" t="str">
        <f t="shared" si="37"/>
        <v>20120301RLS</v>
      </c>
      <c r="D864" s="530" t="s">
        <v>158</v>
      </c>
      <c r="E864" s="530" t="str">
        <f t="shared" si="38"/>
        <v>20120301LGUM_062</v>
      </c>
      <c r="F864" s="531">
        <v>16.34</v>
      </c>
      <c r="G864" s="531">
        <v>0.02</v>
      </c>
      <c r="H864" s="531">
        <v>3.65</v>
      </c>
      <c r="I864" s="531">
        <f t="shared" si="39"/>
        <v>12.67</v>
      </c>
      <c r="J864" s="529" t="s">
        <v>505</v>
      </c>
    </row>
    <row r="865" spans="1:10">
      <c r="A865" s="529">
        <v>20120301</v>
      </c>
      <c r="B865" s="530" t="s">
        <v>459</v>
      </c>
      <c r="C865" s="530" t="str">
        <f t="shared" si="37"/>
        <v>20120301RLS</v>
      </c>
      <c r="D865" s="530" t="s">
        <v>196</v>
      </c>
      <c r="E865" s="530" t="str">
        <f t="shared" si="38"/>
        <v>20120301LGUM_162</v>
      </c>
      <c r="F865" s="531">
        <v>16.34</v>
      </c>
      <c r="G865" s="531">
        <v>0.02</v>
      </c>
      <c r="H865" s="531">
        <v>3.65</v>
      </c>
      <c r="I865" s="531">
        <f t="shared" si="39"/>
        <v>12.67</v>
      </c>
      <c r="J865" s="529" t="s">
        <v>505</v>
      </c>
    </row>
    <row r="866" spans="1:10">
      <c r="A866" s="529">
        <v>20120301</v>
      </c>
      <c r="B866" s="530" t="s">
        <v>459</v>
      </c>
      <c r="C866" s="530" t="str">
        <f t="shared" si="37"/>
        <v>20120301RLS</v>
      </c>
      <c r="D866" s="530" t="s">
        <v>229</v>
      </c>
      <c r="E866" s="530" t="str">
        <f t="shared" si="38"/>
        <v>20120301LGUM_262</v>
      </c>
      <c r="F866" s="531">
        <v>16.34</v>
      </c>
      <c r="G866" s="531">
        <v>0.02</v>
      </c>
      <c r="H866" s="531">
        <v>3.65</v>
      </c>
      <c r="I866" s="531">
        <f t="shared" si="39"/>
        <v>12.67</v>
      </c>
      <c r="J866" s="529" t="s">
        <v>505</v>
      </c>
    </row>
    <row r="867" spans="1:10">
      <c r="A867" s="529">
        <v>20120301</v>
      </c>
      <c r="B867" s="530" t="s">
        <v>459</v>
      </c>
      <c r="C867" s="530" t="str">
        <f t="shared" si="37"/>
        <v>20120301RLS</v>
      </c>
      <c r="D867" s="530" t="s">
        <v>159</v>
      </c>
      <c r="E867" s="530" t="str">
        <f t="shared" si="38"/>
        <v>20120301LGUM_063</v>
      </c>
      <c r="F867" s="531">
        <v>16.34</v>
      </c>
      <c r="G867" s="531">
        <v>0.02</v>
      </c>
      <c r="H867" s="531">
        <v>3.65</v>
      </c>
      <c r="I867" s="531">
        <f t="shared" si="39"/>
        <v>12.67</v>
      </c>
      <c r="J867" s="529" t="s">
        <v>506</v>
      </c>
    </row>
    <row r="868" spans="1:10">
      <c r="A868" s="529">
        <v>20120301</v>
      </c>
      <c r="B868" s="530" t="s">
        <v>459</v>
      </c>
      <c r="C868" s="530" t="str">
        <f t="shared" si="37"/>
        <v>20120301RLS</v>
      </c>
      <c r="D868" s="530" t="s">
        <v>197</v>
      </c>
      <c r="E868" s="530" t="str">
        <f t="shared" si="38"/>
        <v>20120301LGUM_163</v>
      </c>
      <c r="F868" s="531">
        <v>16.34</v>
      </c>
      <c r="G868" s="531">
        <v>0.02</v>
      </c>
      <c r="H868" s="531">
        <v>3.65</v>
      </c>
      <c r="I868" s="531">
        <f t="shared" si="39"/>
        <v>12.67</v>
      </c>
      <c r="J868" s="529" t="s">
        <v>506</v>
      </c>
    </row>
    <row r="869" spans="1:10">
      <c r="A869" s="529">
        <v>20120301</v>
      </c>
      <c r="B869" s="530" t="s">
        <v>459</v>
      </c>
      <c r="C869" s="530" t="str">
        <f t="shared" si="37"/>
        <v>20120301RLS</v>
      </c>
      <c r="D869" s="530" t="s">
        <v>230</v>
      </c>
      <c r="E869" s="530" t="str">
        <f t="shared" si="38"/>
        <v>20120301LGUM_263</v>
      </c>
      <c r="F869" s="531">
        <v>16.34</v>
      </c>
      <c r="G869" s="531">
        <v>0.02</v>
      </c>
      <c r="H869" s="531">
        <v>3.65</v>
      </c>
      <c r="I869" s="531">
        <f t="shared" si="39"/>
        <v>12.67</v>
      </c>
      <c r="J869" s="529" t="s">
        <v>506</v>
      </c>
    </row>
    <row r="870" spans="1:10">
      <c r="A870" s="529">
        <v>20120301</v>
      </c>
      <c r="B870" s="530" t="s">
        <v>459</v>
      </c>
      <c r="C870" s="530" t="str">
        <f t="shared" si="37"/>
        <v>20120301RLS</v>
      </c>
      <c r="D870" s="530" t="s">
        <v>160</v>
      </c>
      <c r="E870" s="530" t="str">
        <f t="shared" si="38"/>
        <v>20120301LGUM_066</v>
      </c>
      <c r="F870" s="531">
        <v>27.14</v>
      </c>
      <c r="G870" s="531">
        <v>0.02</v>
      </c>
      <c r="H870" s="531">
        <v>2.2999999999999998</v>
      </c>
      <c r="I870" s="531">
        <f t="shared" si="39"/>
        <v>24.82</v>
      </c>
      <c r="J870" s="529" t="s">
        <v>507</v>
      </c>
    </row>
    <row r="871" spans="1:10">
      <c r="A871" s="529">
        <v>20120301</v>
      </c>
      <c r="B871" s="530" t="s">
        <v>459</v>
      </c>
      <c r="C871" s="530" t="str">
        <f t="shared" si="37"/>
        <v>20120301RLS</v>
      </c>
      <c r="D871" s="530" t="s">
        <v>198</v>
      </c>
      <c r="E871" s="530" t="str">
        <f t="shared" si="38"/>
        <v>20120301LGUM_166</v>
      </c>
      <c r="F871" s="531">
        <v>27.14</v>
      </c>
      <c r="G871" s="531">
        <v>0.02</v>
      </c>
      <c r="H871" s="531">
        <v>2.2999999999999998</v>
      </c>
      <c r="I871" s="531">
        <f t="shared" si="39"/>
        <v>24.82</v>
      </c>
      <c r="J871" s="529" t="s">
        <v>507</v>
      </c>
    </row>
    <row r="872" spans="1:10">
      <c r="A872" s="529">
        <v>20120301</v>
      </c>
      <c r="B872" s="530" t="s">
        <v>459</v>
      </c>
      <c r="C872" s="530" t="str">
        <f t="shared" si="37"/>
        <v>20120301RLS</v>
      </c>
      <c r="D872" s="530" t="s">
        <v>231</v>
      </c>
      <c r="E872" s="530" t="str">
        <f t="shared" si="38"/>
        <v>20120301LGUM_266</v>
      </c>
      <c r="F872" s="531">
        <v>27.14</v>
      </c>
      <c r="G872" s="531">
        <v>0.02</v>
      </c>
      <c r="H872" s="531">
        <v>2.2999999999999998</v>
      </c>
      <c r="I872" s="531">
        <f t="shared" si="39"/>
        <v>24.82</v>
      </c>
      <c r="J872" s="529" t="s">
        <v>507</v>
      </c>
    </row>
    <row r="873" spans="1:10">
      <c r="A873" s="529">
        <v>20120301</v>
      </c>
      <c r="B873" s="530" t="s">
        <v>459</v>
      </c>
      <c r="C873" s="530" t="str">
        <f t="shared" si="37"/>
        <v>20120301RLS</v>
      </c>
      <c r="D873" s="530" t="s">
        <v>161</v>
      </c>
      <c r="E873" s="530" t="str">
        <f t="shared" si="38"/>
        <v>20120301LGUM_067</v>
      </c>
      <c r="F873" s="531">
        <v>30.310000000000006</v>
      </c>
      <c r="G873" s="531">
        <v>0.02</v>
      </c>
      <c r="H873" s="531">
        <v>3.65</v>
      </c>
      <c r="I873" s="531">
        <f t="shared" si="39"/>
        <v>26.640000000000008</v>
      </c>
      <c r="J873" s="529" t="s">
        <v>508</v>
      </c>
    </row>
    <row r="874" spans="1:10">
      <c r="A874" s="529">
        <v>20120301</v>
      </c>
      <c r="B874" s="530" t="s">
        <v>459</v>
      </c>
      <c r="C874" s="530" t="str">
        <f t="shared" si="37"/>
        <v>20120301RLS</v>
      </c>
      <c r="D874" s="530" t="s">
        <v>199</v>
      </c>
      <c r="E874" s="530" t="str">
        <f t="shared" si="38"/>
        <v>20120301LGUM_167</v>
      </c>
      <c r="F874" s="531">
        <v>30.310000000000006</v>
      </c>
      <c r="G874" s="531">
        <v>0.02</v>
      </c>
      <c r="H874" s="531">
        <v>3.65</v>
      </c>
      <c r="I874" s="531">
        <f t="shared" si="39"/>
        <v>26.640000000000008</v>
      </c>
      <c r="J874" s="529" t="s">
        <v>508</v>
      </c>
    </row>
    <row r="875" spans="1:10">
      <c r="A875" s="529">
        <v>20120301</v>
      </c>
      <c r="B875" s="530" t="s">
        <v>459</v>
      </c>
      <c r="C875" s="530" t="str">
        <f t="shared" si="37"/>
        <v>20120301RLS</v>
      </c>
      <c r="D875" s="530" t="s">
        <v>232</v>
      </c>
      <c r="E875" s="530" t="str">
        <f t="shared" si="38"/>
        <v>20120301LGUM_267</v>
      </c>
      <c r="F875" s="531">
        <v>30.310000000000006</v>
      </c>
      <c r="G875" s="531">
        <v>0.02</v>
      </c>
      <c r="H875" s="531">
        <v>3.65</v>
      </c>
      <c r="I875" s="531">
        <f t="shared" si="39"/>
        <v>26.640000000000008</v>
      </c>
      <c r="J875" s="529" t="s">
        <v>508</v>
      </c>
    </row>
    <row r="876" spans="1:10">
      <c r="A876" s="529">
        <v>20120301</v>
      </c>
      <c r="B876" s="530" t="s">
        <v>459</v>
      </c>
      <c r="C876" s="530" t="str">
        <f t="shared" si="37"/>
        <v>20120301RLS</v>
      </c>
      <c r="D876" s="530" t="s">
        <v>162</v>
      </c>
      <c r="E876" s="530" t="str">
        <f t="shared" si="38"/>
        <v>20120301LGUM_072</v>
      </c>
      <c r="F876" s="531">
        <v>12.629999999999997</v>
      </c>
      <c r="G876" s="531">
        <v>0.01</v>
      </c>
      <c r="H876" s="531">
        <v>1.55</v>
      </c>
      <c r="I876" s="531">
        <f t="shared" si="39"/>
        <v>11.069999999999997</v>
      </c>
      <c r="J876" s="529" t="s">
        <v>509</v>
      </c>
    </row>
    <row r="877" spans="1:10">
      <c r="A877" s="529">
        <v>20120301</v>
      </c>
      <c r="B877" s="530" t="s">
        <v>459</v>
      </c>
      <c r="C877" s="530" t="str">
        <f t="shared" si="37"/>
        <v>20120301RLS</v>
      </c>
      <c r="D877" s="530" t="s">
        <v>200</v>
      </c>
      <c r="E877" s="530" t="str">
        <f t="shared" si="38"/>
        <v>20120301LGUM_172</v>
      </c>
      <c r="F877" s="531">
        <v>12.629999999999997</v>
      </c>
      <c r="G877" s="531">
        <v>0.01</v>
      </c>
      <c r="H877" s="531">
        <v>1.55</v>
      </c>
      <c r="I877" s="531">
        <f t="shared" si="39"/>
        <v>11.069999999999997</v>
      </c>
      <c r="J877" s="529" t="s">
        <v>509</v>
      </c>
    </row>
    <row r="878" spans="1:10">
      <c r="A878" s="529">
        <v>20120301</v>
      </c>
      <c r="B878" s="530" t="s">
        <v>459</v>
      </c>
      <c r="C878" s="530" t="str">
        <f t="shared" si="37"/>
        <v>20120301RLS</v>
      </c>
      <c r="D878" s="530" t="s">
        <v>233</v>
      </c>
      <c r="E878" s="530" t="str">
        <f t="shared" si="38"/>
        <v>20120301LGUM_272</v>
      </c>
      <c r="F878" s="531">
        <v>12.629999999999997</v>
      </c>
      <c r="G878" s="531">
        <v>0.01</v>
      </c>
      <c r="H878" s="531">
        <v>1.55</v>
      </c>
      <c r="I878" s="531">
        <f t="shared" si="39"/>
        <v>11.069999999999997</v>
      </c>
      <c r="J878" s="529" t="s">
        <v>509</v>
      </c>
    </row>
    <row r="879" spans="1:10">
      <c r="A879" s="529">
        <v>20120301</v>
      </c>
      <c r="B879" s="530" t="s">
        <v>459</v>
      </c>
      <c r="C879" s="530" t="str">
        <f t="shared" si="37"/>
        <v>20120301RLS</v>
      </c>
      <c r="D879" s="530" t="s">
        <v>163</v>
      </c>
      <c r="E879" s="530" t="str">
        <f t="shared" si="38"/>
        <v>20120301LGUM_073</v>
      </c>
      <c r="F879" s="531">
        <v>12.629999999999997</v>
      </c>
      <c r="G879" s="531">
        <v>0.01</v>
      </c>
      <c r="H879" s="531">
        <v>1.55</v>
      </c>
      <c r="I879" s="531">
        <f t="shared" si="39"/>
        <v>11.069999999999997</v>
      </c>
      <c r="J879" s="529" t="s">
        <v>510</v>
      </c>
    </row>
    <row r="880" spans="1:10">
      <c r="A880" s="529">
        <v>20120301</v>
      </c>
      <c r="B880" s="530" t="s">
        <v>459</v>
      </c>
      <c r="C880" s="530" t="str">
        <f t="shared" si="37"/>
        <v>20120301RLS</v>
      </c>
      <c r="D880" s="530" t="s">
        <v>201</v>
      </c>
      <c r="E880" s="530" t="str">
        <f t="shared" si="38"/>
        <v>20120301LGUM_173</v>
      </c>
      <c r="F880" s="531">
        <v>12.629999999999997</v>
      </c>
      <c r="G880" s="531">
        <v>0.01</v>
      </c>
      <c r="H880" s="531">
        <v>1.55</v>
      </c>
      <c r="I880" s="531">
        <f t="shared" si="39"/>
        <v>11.069999999999997</v>
      </c>
      <c r="J880" s="529" t="s">
        <v>510</v>
      </c>
    </row>
    <row r="881" spans="1:10">
      <c r="A881" s="529">
        <v>20120301</v>
      </c>
      <c r="B881" s="530" t="s">
        <v>459</v>
      </c>
      <c r="C881" s="530" t="str">
        <f t="shared" si="37"/>
        <v>20120301RLS</v>
      </c>
      <c r="D881" s="530" t="s">
        <v>352</v>
      </c>
      <c r="E881" s="530" t="str">
        <f t="shared" si="38"/>
        <v>20120301LGUM_273</v>
      </c>
      <c r="F881" s="531">
        <v>12.629999999999997</v>
      </c>
      <c r="G881" s="531">
        <v>0.01</v>
      </c>
      <c r="H881" s="531">
        <v>1.55</v>
      </c>
      <c r="I881" s="531">
        <f t="shared" si="39"/>
        <v>11.069999999999997</v>
      </c>
      <c r="J881" s="529" t="s">
        <v>510</v>
      </c>
    </row>
    <row r="882" spans="1:10">
      <c r="A882" s="529">
        <v>20120301</v>
      </c>
      <c r="B882" s="530" t="s">
        <v>459</v>
      </c>
      <c r="C882" s="530" t="str">
        <f t="shared" si="37"/>
        <v>20120301RLS</v>
      </c>
      <c r="D882" s="530" t="s">
        <v>164</v>
      </c>
      <c r="E882" s="530" t="str">
        <f t="shared" si="38"/>
        <v>20120301LGUM_074</v>
      </c>
      <c r="F882" s="531">
        <v>17.68</v>
      </c>
      <c r="G882" s="531">
        <v>0.01</v>
      </c>
      <c r="H882" s="531">
        <v>1.07</v>
      </c>
      <c r="I882" s="531">
        <f t="shared" si="39"/>
        <v>16.599999999999998</v>
      </c>
      <c r="J882" s="529" t="s">
        <v>511</v>
      </c>
    </row>
    <row r="883" spans="1:10">
      <c r="A883" s="529">
        <v>20120301</v>
      </c>
      <c r="B883" s="530" t="s">
        <v>459</v>
      </c>
      <c r="C883" s="530" t="str">
        <f t="shared" ref="C883:C946" si="40">A883&amp;B883</f>
        <v>20120301RLS</v>
      </c>
      <c r="D883" s="530" t="s">
        <v>202</v>
      </c>
      <c r="E883" s="530" t="str">
        <f t="shared" ref="E883:E946" si="41">A883&amp;D883</f>
        <v>20120301LGUM_174</v>
      </c>
      <c r="F883" s="531">
        <v>17.68</v>
      </c>
      <c r="G883" s="531">
        <v>0.01</v>
      </c>
      <c r="H883" s="531">
        <v>1.07</v>
      </c>
      <c r="I883" s="531">
        <f t="shared" si="39"/>
        <v>16.599999999999998</v>
      </c>
      <c r="J883" s="529" t="s">
        <v>511</v>
      </c>
    </row>
    <row r="884" spans="1:10">
      <c r="A884" s="529">
        <v>20120301</v>
      </c>
      <c r="B884" s="530" t="s">
        <v>459</v>
      </c>
      <c r="C884" s="530" t="str">
        <f t="shared" si="40"/>
        <v>20120301RLS</v>
      </c>
      <c r="D884" s="530" t="s">
        <v>234</v>
      </c>
      <c r="E884" s="530" t="str">
        <f t="shared" si="41"/>
        <v>20120301LGUM_274</v>
      </c>
      <c r="F884" s="531">
        <v>17.68</v>
      </c>
      <c r="G884" s="531">
        <v>0.01</v>
      </c>
      <c r="H884" s="531">
        <v>1.07</v>
      </c>
      <c r="I884" s="531">
        <f t="shared" si="39"/>
        <v>16.599999999999998</v>
      </c>
      <c r="J884" s="529" t="s">
        <v>511</v>
      </c>
    </row>
    <row r="885" spans="1:10">
      <c r="A885" s="529">
        <v>20120301</v>
      </c>
      <c r="B885" s="530" t="s">
        <v>459</v>
      </c>
      <c r="C885" s="530" t="str">
        <f t="shared" si="40"/>
        <v>20120301RLS</v>
      </c>
      <c r="D885" s="530" t="s">
        <v>165</v>
      </c>
      <c r="E885" s="530" t="str">
        <f t="shared" si="41"/>
        <v>20120301LGUM_075</v>
      </c>
      <c r="F885" s="531">
        <v>23.520000000000003</v>
      </c>
      <c r="G885" s="531">
        <v>0.01</v>
      </c>
      <c r="H885" s="531">
        <v>1.48</v>
      </c>
      <c r="I885" s="531">
        <f t="shared" si="39"/>
        <v>22.03</v>
      </c>
      <c r="J885" s="529" t="s">
        <v>509</v>
      </c>
    </row>
    <row r="886" spans="1:10">
      <c r="A886" s="529">
        <v>20120301</v>
      </c>
      <c r="B886" s="530" t="s">
        <v>459</v>
      </c>
      <c r="C886" s="530" t="str">
        <f t="shared" si="40"/>
        <v>20120301RLS</v>
      </c>
      <c r="D886" s="530" t="s">
        <v>203</v>
      </c>
      <c r="E886" s="530" t="str">
        <f t="shared" si="41"/>
        <v>20120301LGUM_175</v>
      </c>
      <c r="F886" s="531">
        <v>23.520000000000003</v>
      </c>
      <c r="G886" s="531">
        <v>0.01</v>
      </c>
      <c r="H886" s="531">
        <v>1.48</v>
      </c>
      <c r="I886" s="531">
        <f t="shared" si="39"/>
        <v>22.03</v>
      </c>
      <c r="J886" s="529" t="s">
        <v>509</v>
      </c>
    </row>
    <row r="887" spans="1:10">
      <c r="A887" s="529">
        <v>20120301</v>
      </c>
      <c r="B887" s="530" t="s">
        <v>459</v>
      </c>
      <c r="C887" s="530" t="str">
        <f t="shared" si="40"/>
        <v>20120301RLS</v>
      </c>
      <c r="D887" s="530" t="s">
        <v>353</v>
      </c>
      <c r="E887" s="530" t="str">
        <f t="shared" si="41"/>
        <v>20120301LGUM_275</v>
      </c>
      <c r="F887" s="531">
        <v>23.520000000000003</v>
      </c>
      <c r="G887" s="531">
        <v>0.01</v>
      </c>
      <c r="H887" s="531">
        <v>1.48</v>
      </c>
      <c r="I887" s="531">
        <f t="shared" si="39"/>
        <v>22.03</v>
      </c>
      <c r="J887" s="529" t="s">
        <v>509</v>
      </c>
    </row>
    <row r="888" spans="1:10">
      <c r="A888" s="529">
        <v>20120301</v>
      </c>
      <c r="B888" s="530" t="s">
        <v>459</v>
      </c>
      <c r="C888" s="530" t="str">
        <f t="shared" si="40"/>
        <v>20120301RLS</v>
      </c>
      <c r="D888" s="530" t="s">
        <v>166</v>
      </c>
      <c r="E888" s="530" t="str">
        <f t="shared" si="41"/>
        <v>20120301LGUM_076</v>
      </c>
      <c r="F888" s="531">
        <v>13.3</v>
      </c>
      <c r="G888" s="531">
        <v>0.01</v>
      </c>
      <c r="H888" s="531">
        <v>0.74</v>
      </c>
      <c r="I888" s="531">
        <f t="shared" si="39"/>
        <v>12.55</v>
      </c>
      <c r="J888" s="529" t="s">
        <v>512</v>
      </c>
    </row>
    <row r="889" spans="1:10">
      <c r="A889" s="529">
        <v>20120301</v>
      </c>
      <c r="B889" s="530" t="s">
        <v>459</v>
      </c>
      <c r="C889" s="530" t="str">
        <f t="shared" si="40"/>
        <v>20120301RLS</v>
      </c>
      <c r="D889" s="530" t="s">
        <v>204</v>
      </c>
      <c r="E889" s="530" t="str">
        <f t="shared" si="41"/>
        <v>20120301LGUM_176</v>
      </c>
      <c r="F889" s="531">
        <v>13.3</v>
      </c>
      <c r="G889" s="531">
        <v>0.01</v>
      </c>
      <c r="H889" s="531">
        <v>0.74</v>
      </c>
      <c r="I889" s="531">
        <f t="shared" si="39"/>
        <v>12.55</v>
      </c>
      <c r="J889" s="529" t="s">
        <v>512</v>
      </c>
    </row>
    <row r="890" spans="1:10">
      <c r="A890" s="529">
        <v>20120301</v>
      </c>
      <c r="B890" s="530" t="s">
        <v>459</v>
      </c>
      <c r="C890" s="530" t="str">
        <f t="shared" si="40"/>
        <v>20120301RLS</v>
      </c>
      <c r="D890" s="530" t="s">
        <v>235</v>
      </c>
      <c r="E890" s="530" t="str">
        <f t="shared" si="41"/>
        <v>20120301LGUM_276</v>
      </c>
      <c r="F890" s="531">
        <v>13.3</v>
      </c>
      <c r="G890" s="531">
        <v>0.01</v>
      </c>
      <c r="H890" s="531">
        <v>0.74</v>
      </c>
      <c r="I890" s="531">
        <f t="shared" si="39"/>
        <v>12.55</v>
      </c>
      <c r="J890" s="529" t="s">
        <v>512</v>
      </c>
    </row>
    <row r="891" spans="1:10">
      <c r="A891" s="529">
        <v>20120301</v>
      </c>
      <c r="B891" s="530" t="s">
        <v>459</v>
      </c>
      <c r="C891" s="530" t="str">
        <f t="shared" si="40"/>
        <v>20120301RLS</v>
      </c>
      <c r="D891" s="530" t="s">
        <v>167</v>
      </c>
      <c r="E891" s="530" t="str">
        <f t="shared" si="41"/>
        <v>20120301LGUM_077</v>
      </c>
      <c r="F891" s="531">
        <v>21.08</v>
      </c>
      <c r="G891" s="531">
        <v>0.01</v>
      </c>
      <c r="H891" s="531">
        <v>1.48</v>
      </c>
      <c r="I891" s="531">
        <f t="shared" si="39"/>
        <v>19.589999999999996</v>
      </c>
      <c r="J891" s="529" t="s">
        <v>513</v>
      </c>
    </row>
    <row r="892" spans="1:10">
      <c r="A892" s="529">
        <v>20120301</v>
      </c>
      <c r="B892" s="530" t="s">
        <v>459</v>
      </c>
      <c r="C892" s="530" t="str">
        <f t="shared" si="40"/>
        <v>20120301RLS</v>
      </c>
      <c r="D892" s="530" t="s">
        <v>205</v>
      </c>
      <c r="E892" s="530" t="str">
        <f t="shared" si="41"/>
        <v>20120301LGUM_177</v>
      </c>
      <c r="F892" s="531">
        <v>21.08</v>
      </c>
      <c r="G892" s="531">
        <v>0.01</v>
      </c>
      <c r="H892" s="531">
        <v>1.48</v>
      </c>
      <c r="I892" s="531">
        <f t="shared" si="39"/>
        <v>19.589999999999996</v>
      </c>
      <c r="J892" s="529" t="s">
        <v>513</v>
      </c>
    </row>
    <row r="893" spans="1:10">
      <c r="A893" s="529">
        <v>20120301</v>
      </c>
      <c r="B893" s="530" t="s">
        <v>459</v>
      </c>
      <c r="C893" s="530" t="str">
        <f t="shared" si="40"/>
        <v>20120301RLS</v>
      </c>
      <c r="D893" s="530" t="s">
        <v>236</v>
      </c>
      <c r="E893" s="530" t="str">
        <f t="shared" si="41"/>
        <v>20120301LGUM_277</v>
      </c>
      <c r="F893" s="531">
        <v>21.08</v>
      </c>
      <c r="G893" s="531">
        <v>0.01</v>
      </c>
      <c r="H893" s="531">
        <v>1.48</v>
      </c>
      <c r="I893" s="531">
        <f t="shared" si="39"/>
        <v>19.589999999999996</v>
      </c>
      <c r="J893" s="529" t="s">
        <v>513</v>
      </c>
    </row>
    <row r="894" spans="1:10">
      <c r="A894" s="529">
        <v>20120301</v>
      </c>
      <c r="B894" s="530" t="s">
        <v>459</v>
      </c>
      <c r="C894" s="530" t="str">
        <f t="shared" si="40"/>
        <v>20120301RLS</v>
      </c>
      <c r="D894" s="530" t="s">
        <v>514</v>
      </c>
      <c r="E894" s="530" t="str">
        <f t="shared" si="41"/>
        <v>20120301LGUM_078</v>
      </c>
      <c r="F894" s="531">
        <v>68.13</v>
      </c>
      <c r="G894" s="531">
        <v>0.05</v>
      </c>
      <c r="H894" s="531">
        <v>8.14</v>
      </c>
      <c r="I894" s="531">
        <f t="shared" si="39"/>
        <v>59.94</v>
      </c>
      <c r="J894" s="529" t="s">
        <v>515</v>
      </c>
    </row>
    <row r="895" spans="1:10">
      <c r="A895" s="529">
        <v>20120301</v>
      </c>
      <c r="B895" s="530" t="s">
        <v>459</v>
      </c>
      <c r="C895" s="530" t="str">
        <f t="shared" si="40"/>
        <v>20120301RLS</v>
      </c>
      <c r="D895" s="530" t="s">
        <v>206</v>
      </c>
      <c r="E895" s="530" t="str">
        <f t="shared" si="41"/>
        <v>20120301LGUM_178</v>
      </c>
      <c r="F895" s="531">
        <v>68.13</v>
      </c>
      <c r="G895" s="531">
        <v>0.05</v>
      </c>
      <c r="H895" s="531">
        <v>8.14</v>
      </c>
      <c r="I895" s="531">
        <f t="shared" si="39"/>
        <v>59.94</v>
      </c>
      <c r="J895" s="529" t="s">
        <v>515</v>
      </c>
    </row>
    <row r="896" spans="1:10">
      <c r="A896" s="529">
        <v>20120301</v>
      </c>
      <c r="B896" s="530" t="s">
        <v>459</v>
      </c>
      <c r="C896" s="530" t="str">
        <f t="shared" si="40"/>
        <v>20120301RLS</v>
      </c>
      <c r="D896" s="530" t="s">
        <v>354</v>
      </c>
      <c r="E896" s="530" t="str">
        <f t="shared" si="41"/>
        <v>20120301LGUM_278</v>
      </c>
      <c r="F896" s="531">
        <v>68.13</v>
      </c>
      <c r="G896" s="531">
        <v>0.05</v>
      </c>
      <c r="H896" s="531">
        <v>8.14</v>
      </c>
      <c r="I896" s="531">
        <f t="shared" si="39"/>
        <v>59.94</v>
      </c>
      <c r="J896" s="529" t="s">
        <v>515</v>
      </c>
    </row>
    <row r="897" spans="1:10">
      <c r="A897" s="529">
        <v>20120301</v>
      </c>
      <c r="B897" s="530" t="s">
        <v>459</v>
      </c>
      <c r="C897" s="530" t="str">
        <f t="shared" si="40"/>
        <v>20120301RLS</v>
      </c>
      <c r="D897" s="530" t="s">
        <v>516</v>
      </c>
      <c r="E897" s="530" t="str">
        <f t="shared" si="41"/>
        <v>20120301LGUM_079</v>
      </c>
      <c r="F897" s="531">
        <v>38.35</v>
      </c>
      <c r="G897" s="531">
        <v>0.05</v>
      </c>
      <c r="H897" s="531">
        <v>8.14</v>
      </c>
      <c r="I897" s="531">
        <f t="shared" si="39"/>
        <v>30.160000000000004</v>
      </c>
      <c r="J897" s="529" t="s">
        <v>517</v>
      </c>
    </row>
    <row r="898" spans="1:10">
      <c r="A898" s="529">
        <v>20120301</v>
      </c>
      <c r="B898" s="530" t="s">
        <v>459</v>
      </c>
      <c r="C898" s="530" t="str">
        <f t="shared" si="40"/>
        <v>20120301RLS</v>
      </c>
      <c r="D898" s="530" t="s">
        <v>207</v>
      </c>
      <c r="E898" s="530" t="str">
        <f t="shared" si="41"/>
        <v>20120301LGUM_179</v>
      </c>
      <c r="F898" s="531">
        <v>38.35</v>
      </c>
      <c r="G898" s="531">
        <v>0.05</v>
      </c>
      <c r="H898" s="531">
        <v>8.14</v>
      </c>
      <c r="I898" s="531">
        <f t="shared" si="39"/>
        <v>30.160000000000004</v>
      </c>
      <c r="J898" s="529" t="s">
        <v>517</v>
      </c>
    </row>
    <row r="899" spans="1:10">
      <c r="A899" s="529">
        <v>20120301</v>
      </c>
      <c r="B899" s="530" t="s">
        <v>459</v>
      </c>
      <c r="C899" s="530" t="str">
        <f t="shared" si="40"/>
        <v>20120301RLS</v>
      </c>
      <c r="D899" s="530" t="s">
        <v>355</v>
      </c>
      <c r="E899" s="530" t="str">
        <f t="shared" si="41"/>
        <v>20120301LGUM_279</v>
      </c>
      <c r="F899" s="531">
        <v>38.35</v>
      </c>
      <c r="G899" s="531">
        <v>0.05</v>
      </c>
      <c r="H899" s="531">
        <v>8.14</v>
      </c>
      <c r="I899" s="531">
        <f t="shared" si="39"/>
        <v>30.160000000000004</v>
      </c>
      <c r="J899" s="529" t="s">
        <v>517</v>
      </c>
    </row>
    <row r="900" spans="1:10">
      <c r="A900" s="529">
        <v>20120301</v>
      </c>
      <c r="B900" s="530" t="s">
        <v>459</v>
      </c>
      <c r="C900" s="530" t="str">
        <f t="shared" si="40"/>
        <v>20120301RLS</v>
      </c>
      <c r="D900" s="530" t="s">
        <v>518</v>
      </c>
      <c r="E900" s="530" t="str">
        <f t="shared" si="41"/>
        <v>20120301LGUM_080</v>
      </c>
      <c r="F900" s="531">
        <v>18.45</v>
      </c>
      <c r="G900" s="531">
        <v>0.01</v>
      </c>
      <c r="H900" s="531">
        <v>0.74</v>
      </c>
      <c r="I900" s="531">
        <f t="shared" si="39"/>
        <v>17.7</v>
      </c>
      <c r="J900" s="529" t="s">
        <v>519</v>
      </c>
    </row>
    <row r="901" spans="1:10">
      <c r="A901" s="529">
        <v>20120301</v>
      </c>
      <c r="B901" s="530" t="s">
        <v>459</v>
      </c>
      <c r="C901" s="530" t="str">
        <f t="shared" si="40"/>
        <v>20120301RLS</v>
      </c>
      <c r="D901" s="530" t="s">
        <v>208</v>
      </c>
      <c r="E901" s="530" t="str">
        <f t="shared" si="41"/>
        <v>20120301LGUM_180</v>
      </c>
      <c r="F901" s="531">
        <v>18.45</v>
      </c>
      <c r="G901" s="531">
        <v>0.01</v>
      </c>
      <c r="H901" s="531">
        <v>0.74</v>
      </c>
      <c r="I901" s="531">
        <f t="shared" ref="I901:I964" si="42">F901-G901-H901</f>
        <v>17.7</v>
      </c>
      <c r="J901" s="529" t="s">
        <v>519</v>
      </c>
    </row>
    <row r="902" spans="1:10">
      <c r="A902" s="529">
        <v>20120301</v>
      </c>
      <c r="B902" s="530" t="s">
        <v>459</v>
      </c>
      <c r="C902" s="530" t="str">
        <f t="shared" si="40"/>
        <v>20120301RLS</v>
      </c>
      <c r="D902" s="530" t="s">
        <v>359</v>
      </c>
      <c r="E902" s="530" t="str">
        <f t="shared" si="41"/>
        <v>20120301LGUM_280</v>
      </c>
      <c r="F902" s="531">
        <v>18.45</v>
      </c>
      <c r="G902" s="531">
        <v>0.01</v>
      </c>
      <c r="H902" s="531">
        <v>0.74</v>
      </c>
      <c r="I902" s="531">
        <f t="shared" si="42"/>
        <v>17.7</v>
      </c>
      <c r="J902" s="529" t="s">
        <v>519</v>
      </c>
    </row>
    <row r="903" spans="1:10">
      <c r="A903" s="529">
        <v>20120301</v>
      </c>
      <c r="B903" s="530" t="s">
        <v>459</v>
      </c>
      <c r="C903" s="530" t="str">
        <f t="shared" si="40"/>
        <v>20120301RLS</v>
      </c>
      <c r="D903" s="530" t="s">
        <v>338</v>
      </c>
      <c r="E903" s="530" t="str">
        <f t="shared" si="41"/>
        <v>20120301LGUM_081</v>
      </c>
      <c r="F903" s="531">
        <v>19.48</v>
      </c>
      <c r="G903" s="531">
        <v>0.01</v>
      </c>
      <c r="H903" s="531">
        <v>1.07</v>
      </c>
      <c r="I903" s="531">
        <f t="shared" si="42"/>
        <v>18.399999999999999</v>
      </c>
      <c r="J903" s="529" t="s">
        <v>520</v>
      </c>
    </row>
    <row r="904" spans="1:10">
      <c r="A904" s="529">
        <v>20120301</v>
      </c>
      <c r="B904" s="530" t="s">
        <v>459</v>
      </c>
      <c r="C904" s="530" t="str">
        <f t="shared" si="40"/>
        <v>20120301RLS</v>
      </c>
      <c r="D904" s="530" t="s">
        <v>209</v>
      </c>
      <c r="E904" s="530" t="str">
        <f t="shared" si="41"/>
        <v>20120301LGUM_181</v>
      </c>
      <c r="F904" s="531">
        <v>19.48</v>
      </c>
      <c r="G904" s="531">
        <v>0.01</v>
      </c>
      <c r="H904" s="531">
        <v>1.07</v>
      </c>
      <c r="I904" s="531">
        <f t="shared" si="42"/>
        <v>18.399999999999999</v>
      </c>
      <c r="J904" s="529" t="s">
        <v>520</v>
      </c>
    </row>
    <row r="905" spans="1:10">
      <c r="A905" s="529">
        <v>20120301</v>
      </c>
      <c r="B905" s="530" t="s">
        <v>459</v>
      </c>
      <c r="C905" s="530" t="str">
        <f t="shared" si="40"/>
        <v>20120301RLS</v>
      </c>
      <c r="D905" s="530" t="s">
        <v>356</v>
      </c>
      <c r="E905" s="530" t="str">
        <f t="shared" si="41"/>
        <v>20120301LGUM_281</v>
      </c>
      <c r="F905" s="531">
        <v>19.48</v>
      </c>
      <c r="G905" s="531">
        <v>0.01</v>
      </c>
      <c r="H905" s="531">
        <v>1.07</v>
      </c>
      <c r="I905" s="531">
        <f t="shared" si="42"/>
        <v>18.399999999999999</v>
      </c>
      <c r="J905" s="529" t="s">
        <v>520</v>
      </c>
    </row>
    <row r="906" spans="1:10">
      <c r="A906" s="529">
        <v>20120301</v>
      </c>
      <c r="B906" s="530" t="s">
        <v>459</v>
      </c>
      <c r="C906" s="530" t="str">
        <f t="shared" si="40"/>
        <v>20120301RLS</v>
      </c>
      <c r="D906" s="530" t="s">
        <v>168</v>
      </c>
      <c r="E906" s="530" t="str">
        <f t="shared" si="41"/>
        <v>20120301LGUM_082</v>
      </c>
      <c r="F906" s="531">
        <v>18.63</v>
      </c>
      <c r="G906" s="531">
        <v>0.01</v>
      </c>
      <c r="H906" s="531">
        <v>0.74</v>
      </c>
      <c r="I906" s="531">
        <f t="shared" si="42"/>
        <v>17.88</v>
      </c>
      <c r="J906" s="529" t="s">
        <v>521</v>
      </c>
    </row>
    <row r="907" spans="1:10">
      <c r="A907" s="529">
        <v>20120301</v>
      </c>
      <c r="B907" s="530" t="s">
        <v>459</v>
      </c>
      <c r="C907" s="530" t="str">
        <f t="shared" si="40"/>
        <v>20120301RLS</v>
      </c>
      <c r="D907" s="530" t="s">
        <v>210</v>
      </c>
      <c r="E907" s="530" t="str">
        <f t="shared" si="41"/>
        <v>20120301LGUM_182</v>
      </c>
      <c r="F907" s="531">
        <v>18.63</v>
      </c>
      <c r="G907" s="531">
        <v>0.01</v>
      </c>
      <c r="H907" s="531">
        <v>0.74</v>
      </c>
      <c r="I907" s="531">
        <f t="shared" si="42"/>
        <v>17.88</v>
      </c>
      <c r="J907" s="529" t="s">
        <v>521</v>
      </c>
    </row>
    <row r="908" spans="1:10">
      <c r="A908" s="529">
        <v>20120301</v>
      </c>
      <c r="B908" s="530" t="s">
        <v>459</v>
      </c>
      <c r="C908" s="530" t="str">
        <f t="shared" si="40"/>
        <v>20120301RLS</v>
      </c>
      <c r="D908" s="530" t="s">
        <v>357</v>
      </c>
      <c r="E908" s="530" t="str">
        <f t="shared" si="41"/>
        <v>20120301LGUM_282</v>
      </c>
      <c r="F908" s="531">
        <v>18.63</v>
      </c>
      <c r="G908" s="531">
        <v>0.01</v>
      </c>
      <c r="H908" s="531">
        <v>0.74</v>
      </c>
      <c r="I908" s="531">
        <f t="shared" si="42"/>
        <v>17.88</v>
      </c>
      <c r="J908" s="529" t="s">
        <v>521</v>
      </c>
    </row>
    <row r="909" spans="1:10">
      <c r="A909" s="529">
        <v>20120301</v>
      </c>
      <c r="B909" s="530" t="s">
        <v>459</v>
      </c>
      <c r="C909" s="530" t="str">
        <f t="shared" si="40"/>
        <v>20120301RLS</v>
      </c>
      <c r="D909" s="530" t="s">
        <v>522</v>
      </c>
      <c r="E909" s="530" t="str">
        <f t="shared" si="41"/>
        <v>20120301LGUM_083</v>
      </c>
      <c r="F909" s="531">
        <v>19.68</v>
      </c>
      <c r="G909" s="531">
        <v>0.01</v>
      </c>
      <c r="H909" s="531">
        <v>1.07</v>
      </c>
      <c r="I909" s="531">
        <f t="shared" si="42"/>
        <v>18.599999999999998</v>
      </c>
      <c r="J909" s="529" t="s">
        <v>523</v>
      </c>
    </row>
    <row r="910" spans="1:10">
      <c r="A910" s="529">
        <v>20120301</v>
      </c>
      <c r="B910" s="530" t="s">
        <v>459</v>
      </c>
      <c r="C910" s="530" t="str">
        <f t="shared" si="40"/>
        <v>20120301RLS</v>
      </c>
      <c r="D910" s="530" t="s">
        <v>211</v>
      </c>
      <c r="E910" s="530" t="str">
        <f t="shared" si="41"/>
        <v>20120301LGUM_183</v>
      </c>
      <c r="F910" s="531">
        <v>19.68</v>
      </c>
      <c r="G910" s="531">
        <v>0.01</v>
      </c>
      <c r="H910" s="531">
        <v>1.07</v>
      </c>
      <c r="I910" s="531">
        <f t="shared" si="42"/>
        <v>18.599999999999998</v>
      </c>
      <c r="J910" s="529" t="s">
        <v>523</v>
      </c>
    </row>
    <row r="911" spans="1:10">
      <c r="A911" s="529">
        <v>20120301</v>
      </c>
      <c r="B911" s="530" t="s">
        <v>459</v>
      </c>
      <c r="C911" s="530" t="str">
        <f t="shared" si="40"/>
        <v>20120301RLS</v>
      </c>
      <c r="D911" s="530" t="s">
        <v>358</v>
      </c>
      <c r="E911" s="530" t="str">
        <f t="shared" si="41"/>
        <v>20120301LGUM_283</v>
      </c>
      <c r="F911" s="531">
        <v>19.68</v>
      </c>
      <c r="G911" s="531">
        <v>0.01</v>
      </c>
      <c r="H911" s="531">
        <v>1.07</v>
      </c>
      <c r="I911" s="531">
        <f t="shared" si="42"/>
        <v>18.599999999999998</v>
      </c>
      <c r="J911" s="529" t="s">
        <v>523</v>
      </c>
    </row>
    <row r="912" spans="1:10">
      <c r="A912" s="529">
        <v>20120301</v>
      </c>
      <c r="B912" s="530" t="s">
        <v>459</v>
      </c>
      <c r="C912" s="530" t="str">
        <f t="shared" si="40"/>
        <v>20120301RLS</v>
      </c>
      <c r="D912" s="530" t="s">
        <v>237</v>
      </c>
      <c r="E912" s="530" t="str">
        <f t="shared" si="41"/>
        <v>20120301LGUM_301</v>
      </c>
      <c r="F912" s="531">
        <v>7.2000000000000011</v>
      </c>
      <c r="G912" s="531">
        <v>0.01</v>
      </c>
      <c r="H912" s="531">
        <v>0.92</v>
      </c>
      <c r="I912" s="531">
        <f t="shared" si="42"/>
        <v>6.2700000000000014</v>
      </c>
      <c r="J912" s="529" t="s">
        <v>460</v>
      </c>
    </row>
    <row r="913" spans="1:10">
      <c r="A913" s="529">
        <v>20120301</v>
      </c>
      <c r="B913" s="530" t="s">
        <v>459</v>
      </c>
      <c r="C913" s="530" t="str">
        <f t="shared" si="40"/>
        <v>20120301RLS</v>
      </c>
      <c r="D913" s="530" t="s">
        <v>238</v>
      </c>
      <c r="E913" s="530" t="str">
        <f t="shared" si="41"/>
        <v>20120301LGUM_302</v>
      </c>
      <c r="F913" s="531">
        <v>8.4</v>
      </c>
      <c r="G913" s="531">
        <v>0.01</v>
      </c>
      <c r="H913" s="531">
        <v>1.55</v>
      </c>
      <c r="I913" s="531">
        <f t="shared" si="42"/>
        <v>6.8400000000000007</v>
      </c>
      <c r="J913" s="529" t="s">
        <v>461</v>
      </c>
    </row>
    <row r="914" spans="1:10">
      <c r="A914" s="529">
        <v>20120301</v>
      </c>
      <c r="B914" s="530" t="s">
        <v>459</v>
      </c>
      <c r="C914" s="530" t="str">
        <f t="shared" si="40"/>
        <v>20120301RLS</v>
      </c>
      <c r="D914" s="530" t="s">
        <v>239</v>
      </c>
      <c r="E914" s="530" t="str">
        <f t="shared" si="41"/>
        <v>20120301LGUM_303</v>
      </c>
      <c r="F914" s="531">
        <v>9.7199999999999989</v>
      </c>
      <c r="G914" s="531">
        <v>0.01</v>
      </c>
      <c r="H914" s="531">
        <v>2.2000000000000002</v>
      </c>
      <c r="I914" s="531">
        <f t="shared" si="42"/>
        <v>7.5099999999999989</v>
      </c>
      <c r="J914" s="529" t="s">
        <v>462</v>
      </c>
    </row>
    <row r="915" spans="1:10">
      <c r="A915" s="529">
        <v>20120301</v>
      </c>
      <c r="B915" s="530" t="s">
        <v>459</v>
      </c>
      <c r="C915" s="530" t="str">
        <f t="shared" si="40"/>
        <v>20120301RLS</v>
      </c>
      <c r="D915" s="530" t="s">
        <v>240</v>
      </c>
      <c r="E915" s="530" t="str">
        <f t="shared" si="41"/>
        <v>20120301LGUM_304</v>
      </c>
      <c r="F915" s="531">
        <v>11.88</v>
      </c>
      <c r="G915" s="531">
        <v>0.01</v>
      </c>
      <c r="H915" s="531">
        <v>3.41</v>
      </c>
      <c r="I915" s="531">
        <f t="shared" si="42"/>
        <v>8.4600000000000009</v>
      </c>
      <c r="J915" s="529" t="s">
        <v>463</v>
      </c>
    </row>
    <row r="916" spans="1:10">
      <c r="A916" s="529">
        <v>20120301</v>
      </c>
      <c r="B916" s="530" t="s">
        <v>459</v>
      </c>
      <c r="C916" s="530" t="str">
        <f t="shared" si="40"/>
        <v>20120301RLS</v>
      </c>
      <c r="D916" s="530" t="s">
        <v>241</v>
      </c>
      <c r="E916" s="530" t="str">
        <f t="shared" si="41"/>
        <v>20120301LGUM_305</v>
      </c>
      <c r="F916" s="531">
        <v>9.6999999999999993</v>
      </c>
      <c r="G916" s="531">
        <v>0.01</v>
      </c>
      <c r="H916" s="531">
        <v>1.07</v>
      </c>
      <c r="I916" s="531">
        <f t="shared" si="42"/>
        <v>8.6199999999999992</v>
      </c>
      <c r="J916" s="529" t="s">
        <v>464</v>
      </c>
    </row>
    <row r="917" spans="1:10">
      <c r="A917" s="529">
        <v>20120301</v>
      </c>
      <c r="B917" s="530" t="s">
        <v>459</v>
      </c>
      <c r="C917" s="530" t="str">
        <f t="shared" si="40"/>
        <v>20120301RLS</v>
      </c>
      <c r="D917" s="530" t="s">
        <v>242</v>
      </c>
      <c r="E917" s="530" t="str">
        <f t="shared" si="41"/>
        <v>20120301LGUM_306</v>
      </c>
      <c r="F917" s="531">
        <v>11.2</v>
      </c>
      <c r="G917" s="531">
        <v>0.01</v>
      </c>
      <c r="H917" s="531">
        <v>0.92</v>
      </c>
      <c r="I917" s="531">
        <f t="shared" si="42"/>
        <v>10.27</v>
      </c>
      <c r="J917" s="529" t="s">
        <v>524</v>
      </c>
    </row>
    <row r="918" spans="1:10">
      <c r="A918" s="529">
        <v>20120301</v>
      </c>
      <c r="B918" s="530" t="s">
        <v>459</v>
      </c>
      <c r="C918" s="530" t="str">
        <f t="shared" si="40"/>
        <v>20120301RLS</v>
      </c>
      <c r="D918" s="530" t="s">
        <v>243</v>
      </c>
      <c r="E918" s="530" t="str">
        <f t="shared" si="41"/>
        <v>20120301LGUM_307</v>
      </c>
      <c r="F918" s="531">
        <v>16.39</v>
      </c>
      <c r="G918" s="531">
        <v>0.01</v>
      </c>
      <c r="H918" s="531">
        <v>3.41</v>
      </c>
      <c r="I918" s="531">
        <f t="shared" si="42"/>
        <v>12.969999999999999</v>
      </c>
      <c r="J918" s="529" t="s">
        <v>525</v>
      </c>
    </row>
    <row r="919" spans="1:10">
      <c r="A919" s="529">
        <v>20120301</v>
      </c>
      <c r="B919" s="530" t="s">
        <v>459</v>
      </c>
      <c r="C919" s="530" t="str">
        <f t="shared" si="40"/>
        <v>20120301RLS</v>
      </c>
      <c r="D919" s="530" t="s">
        <v>244</v>
      </c>
      <c r="E919" s="530" t="str">
        <f t="shared" si="41"/>
        <v>20120301LGUM_308</v>
      </c>
      <c r="F919" s="531">
        <v>12.3</v>
      </c>
      <c r="G919" s="531">
        <v>0.01</v>
      </c>
      <c r="H919" s="531">
        <v>1.55</v>
      </c>
      <c r="I919" s="531">
        <f t="shared" si="42"/>
        <v>10.74</v>
      </c>
      <c r="J919" s="529" t="s">
        <v>642</v>
      </c>
    </row>
    <row r="920" spans="1:10">
      <c r="A920" s="529">
        <v>20120301</v>
      </c>
      <c r="B920" s="530" t="s">
        <v>459</v>
      </c>
      <c r="C920" s="530" t="str">
        <f t="shared" si="40"/>
        <v>20120301RLS</v>
      </c>
      <c r="D920" s="530" t="s">
        <v>245</v>
      </c>
      <c r="E920" s="530" t="str">
        <f t="shared" si="41"/>
        <v>20120301LGUM_309</v>
      </c>
      <c r="F920" s="531">
        <v>22.72</v>
      </c>
      <c r="G920" s="531">
        <v>0.02</v>
      </c>
      <c r="H920" s="531">
        <v>8.16</v>
      </c>
      <c r="I920" s="531">
        <f t="shared" si="42"/>
        <v>14.54</v>
      </c>
      <c r="J920" s="529" t="s">
        <v>470</v>
      </c>
    </row>
    <row r="921" spans="1:10">
      <c r="A921" s="529">
        <v>20120301</v>
      </c>
      <c r="B921" s="530" t="s">
        <v>459</v>
      </c>
      <c r="C921" s="530" t="str">
        <f t="shared" si="40"/>
        <v>20120301RLS</v>
      </c>
      <c r="D921" s="530" t="s">
        <v>246</v>
      </c>
      <c r="E921" s="530" t="str">
        <f t="shared" si="41"/>
        <v>20120301LGUM_310</v>
      </c>
      <c r="F921" s="531">
        <v>22.72</v>
      </c>
      <c r="G921" s="531">
        <v>0.02</v>
      </c>
      <c r="H921" s="531">
        <v>8.16</v>
      </c>
      <c r="I921" s="531">
        <f t="shared" si="42"/>
        <v>14.54</v>
      </c>
      <c r="J921" s="529" t="s">
        <v>471</v>
      </c>
    </row>
    <row r="922" spans="1:10">
      <c r="A922" s="529">
        <v>20120301</v>
      </c>
      <c r="B922" s="530" t="s">
        <v>459</v>
      </c>
      <c r="C922" s="530" t="str">
        <f t="shared" si="40"/>
        <v>20120301RLS</v>
      </c>
      <c r="D922" s="530" t="s">
        <v>247</v>
      </c>
      <c r="E922" s="530" t="str">
        <f t="shared" si="41"/>
        <v>20120301LGUM_311</v>
      </c>
      <c r="F922" s="531">
        <v>13.86</v>
      </c>
      <c r="G922" s="531">
        <v>0.02</v>
      </c>
      <c r="H922" s="531">
        <v>2.2999999999999998</v>
      </c>
      <c r="I922" s="531">
        <f t="shared" si="42"/>
        <v>11.54</v>
      </c>
      <c r="J922" s="529" t="s">
        <v>472</v>
      </c>
    </row>
    <row r="923" spans="1:10">
      <c r="A923" s="529">
        <v>20120301</v>
      </c>
      <c r="B923" s="530" t="s">
        <v>459</v>
      </c>
      <c r="C923" s="530" t="str">
        <f t="shared" si="40"/>
        <v>20120301RLS</v>
      </c>
      <c r="D923" s="530" t="s">
        <v>248</v>
      </c>
      <c r="E923" s="530" t="str">
        <f t="shared" si="41"/>
        <v>20120301LGUM_312</v>
      </c>
      <c r="F923" s="531">
        <v>14.969999999999999</v>
      </c>
      <c r="G923" s="531">
        <v>0.02</v>
      </c>
      <c r="H923" s="531">
        <v>3.65</v>
      </c>
      <c r="I923" s="531">
        <f t="shared" si="42"/>
        <v>11.299999999999999</v>
      </c>
      <c r="J923" s="529" t="s">
        <v>473</v>
      </c>
    </row>
    <row r="924" spans="1:10">
      <c r="A924" s="529">
        <v>20120301</v>
      </c>
      <c r="B924" s="530" t="s">
        <v>459</v>
      </c>
      <c r="C924" s="530" t="str">
        <f t="shared" si="40"/>
        <v>20120301RLS</v>
      </c>
      <c r="D924" s="530" t="s">
        <v>249</v>
      </c>
      <c r="E924" s="530" t="str">
        <f t="shared" si="41"/>
        <v>20120301LGUM_313</v>
      </c>
      <c r="F924" s="531">
        <v>14.969999999999999</v>
      </c>
      <c r="G924" s="531">
        <v>0.02</v>
      </c>
      <c r="H924" s="531">
        <v>3.65</v>
      </c>
      <c r="I924" s="531">
        <f t="shared" si="42"/>
        <v>11.299999999999999</v>
      </c>
      <c r="J924" s="529" t="s">
        <v>474</v>
      </c>
    </row>
    <row r="925" spans="1:10">
      <c r="A925" s="529">
        <v>20120301</v>
      </c>
      <c r="B925" s="530" t="s">
        <v>459</v>
      </c>
      <c r="C925" s="530" t="str">
        <f t="shared" si="40"/>
        <v>20120301RLS</v>
      </c>
      <c r="D925" s="530" t="s">
        <v>250</v>
      </c>
      <c r="E925" s="530" t="str">
        <f t="shared" si="41"/>
        <v>20120301LGUM_314</v>
      </c>
      <c r="F925" s="531">
        <v>17.690000000000001</v>
      </c>
      <c r="G925" s="531">
        <v>0.01</v>
      </c>
      <c r="H925" s="531">
        <v>2.2000000000000002</v>
      </c>
      <c r="I925" s="531">
        <f t="shared" si="42"/>
        <v>15.48</v>
      </c>
      <c r="J925" s="529" t="s">
        <v>643</v>
      </c>
    </row>
    <row r="926" spans="1:10">
      <c r="A926" s="529">
        <v>20120301</v>
      </c>
      <c r="B926" s="530" t="s">
        <v>459</v>
      </c>
      <c r="C926" s="530" t="str">
        <f t="shared" si="40"/>
        <v>20120301RLS</v>
      </c>
      <c r="D926" s="530" t="s">
        <v>251</v>
      </c>
      <c r="E926" s="530" t="str">
        <f t="shared" si="41"/>
        <v>20120301LGUM_315</v>
      </c>
      <c r="F926" s="531">
        <v>21.09</v>
      </c>
      <c r="G926" s="531">
        <v>0.01</v>
      </c>
      <c r="H926" s="531">
        <v>3.41</v>
      </c>
      <c r="I926" s="531">
        <f t="shared" si="42"/>
        <v>17.669999999999998</v>
      </c>
      <c r="J926" s="529" t="s">
        <v>644</v>
      </c>
    </row>
    <row r="927" spans="1:10">
      <c r="A927" s="529">
        <v>20120301</v>
      </c>
      <c r="B927" s="530" t="s">
        <v>459</v>
      </c>
      <c r="C927" s="530" t="str">
        <f t="shared" si="40"/>
        <v>20120301RLS</v>
      </c>
      <c r="D927" s="530" t="s">
        <v>252</v>
      </c>
      <c r="E927" s="530" t="str">
        <f t="shared" si="41"/>
        <v>20120301LGUM_316</v>
      </c>
      <c r="F927" s="531">
        <v>25.2</v>
      </c>
      <c r="G927" s="531">
        <v>0.02</v>
      </c>
      <c r="H927" s="531">
        <v>2.2999999999999998</v>
      </c>
      <c r="I927" s="531">
        <f t="shared" si="42"/>
        <v>22.88</v>
      </c>
      <c r="J927" s="529" t="s">
        <v>476</v>
      </c>
    </row>
    <row r="928" spans="1:10">
      <c r="A928" s="529">
        <v>20120301</v>
      </c>
      <c r="B928" s="530" t="s">
        <v>459</v>
      </c>
      <c r="C928" s="530" t="str">
        <f t="shared" si="40"/>
        <v>20120301RLS</v>
      </c>
      <c r="D928" s="530" t="s">
        <v>253</v>
      </c>
      <c r="E928" s="530" t="str">
        <f t="shared" si="41"/>
        <v>20120301LGUM_317</v>
      </c>
      <c r="F928" s="531">
        <v>27.490000000000006</v>
      </c>
      <c r="G928" s="531">
        <v>0.02</v>
      </c>
      <c r="H928" s="531">
        <v>3.65</v>
      </c>
      <c r="I928" s="531">
        <f t="shared" si="42"/>
        <v>23.820000000000007</v>
      </c>
      <c r="J928" s="529" t="s">
        <v>478</v>
      </c>
    </row>
    <row r="929" spans="1:10">
      <c r="A929" s="529">
        <v>20120301</v>
      </c>
      <c r="B929" s="530" t="s">
        <v>459</v>
      </c>
      <c r="C929" s="530" t="str">
        <f t="shared" si="40"/>
        <v>20120301RLS</v>
      </c>
      <c r="D929" s="530" t="s">
        <v>254</v>
      </c>
      <c r="E929" s="530" t="str">
        <f t="shared" si="41"/>
        <v>20120301LGUM_318</v>
      </c>
      <c r="F929" s="531">
        <v>16.329999999999998</v>
      </c>
      <c r="G929" s="531">
        <v>0.01</v>
      </c>
      <c r="H929" s="531">
        <v>1.55</v>
      </c>
      <c r="I929" s="531">
        <f t="shared" si="42"/>
        <v>14.769999999999996</v>
      </c>
      <c r="J929" s="529" t="s">
        <v>645</v>
      </c>
    </row>
    <row r="930" spans="1:10">
      <c r="A930" s="529">
        <v>20120301</v>
      </c>
      <c r="B930" s="530" t="s">
        <v>459</v>
      </c>
      <c r="C930" s="530" t="str">
        <f t="shared" si="40"/>
        <v>20120301RLS</v>
      </c>
      <c r="D930" s="530" t="s">
        <v>532</v>
      </c>
      <c r="E930" s="530" t="str">
        <f t="shared" si="41"/>
        <v>20120301LGUM_319</v>
      </c>
      <c r="F930" s="531">
        <v>21.19</v>
      </c>
      <c r="G930" s="531">
        <v>0.01</v>
      </c>
      <c r="H930" s="531">
        <v>3.41</v>
      </c>
      <c r="I930" s="531">
        <f t="shared" si="42"/>
        <v>17.77</v>
      </c>
      <c r="J930" s="529" t="s">
        <v>646</v>
      </c>
    </row>
    <row r="931" spans="1:10">
      <c r="A931" s="529">
        <v>20120301</v>
      </c>
      <c r="B931" s="530" t="s">
        <v>459</v>
      </c>
      <c r="C931" s="530" t="str">
        <f t="shared" si="40"/>
        <v>20120301RLS</v>
      </c>
      <c r="D931" s="530" t="s">
        <v>534</v>
      </c>
      <c r="E931" s="530" t="str">
        <f t="shared" si="41"/>
        <v>20120301LGUM_320</v>
      </c>
      <c r="F931" s="531">
        <v>25.2</v>
      </c>
      <c r="G931" s="531">
        <v>0.02</v>
      </c>
      <c r="H931" s="531">
        <v>2.2999999999999998</v>
      </c>
      <c r="I931" s="531">
        <f t="shared" si="42"/>
        <v>22.88</v>
      </c>
      <c r="J931" s="529" t="s">
        <v>647</v>
      </c>
    </row>
    <row r="932" spans="1:10">
      <c r="A932" s="529">
        <v>20120301</v>
      </c>
      <c r="B932" s="530" t="s">
        <v>459</v>
      </c>
      <c r="C932" s="530" t="str">
        <f t="shared" si="40"/>
        <v>20120301RLS</v>
      </c>
      <c r="D932" s="530" t="s">
        <v>255</v>
      </c>
      <c r="E932" s="530" t="str">
        <f t="shared" si="41"/>
        <v>20120301LGUM_321</v>
      </c>
      <c r="F932" s="531">
        <v>27.490000000000006</v>
      </c>
      <c r="G932" s="531">
        <v>0.02</v>
      </c>
      <c r="H932" s="531">
        <v>3.65</v>
      </c>
      <c r="I932" s="531">
        <f t="shared" si="42"/>
        <v>23.820000000000007</v>
      </c>
      <c r="J932" s="529" t="s">
        <v>648</v>
      </c>
    </row>
    <row r="933" spans="1:10">
      <c r="A933" s="529">
        <v>20120301</v>
      </c>
      <c r="B933" s="530" t="s">
        <v>459</v>
      </c>
      <c r="C933" s="530" t="str">
        <f t="shared" si="40"/>
        <v>20120301RLS</v>
      </c>
      <c r="D933" s="530" t="s">
        <v>256</v>
      </c>
      <c r="E933" s="530" t="str">
        <f t="shared" si="41"/>
        <v>20120301LGUM_322</v>
      </c>
      <c r="F933" s="531">
        <v>11.519999999999998</v>
      </c>
      <c r="G933" s="531">
        <v>0.01</v>
      </c>
      <c r="H933" s="531">
        <v>1.55</v>
      </c>
      <c r="I933" s="531">
        <f t="shared" si="42"/>
        <v>9.9599999999999973</v>
      </c>
      <c r="J933" s="529" t="s">
        <v>479</v>
      </c>
    </row>
    <row r="934" spans="1:10">
      <c r="A934" s="529">
        <v>20120301</v>
      </c>
      <c r="B934" s="530" t="s">
        <v>459</v>
      </c>
      <c r="C934" s="530" t="str">
        <f t="shared" si="40"/>
        <v>20120301RLS</v>
      </c>
      <c r="D934" s="530" t="s">
        <v>257</v>
      </c>
      <c r="E934" s="530" t="str">
        <f t="shared" si="41"/>
        <v>20120301LGUM_323</v>
      </c>
      <c r="F934" s="531">
        <v>13.849999999999998</v>
      </c>
      <c r="G934" s="531">
        <v>0.01</v>
      </c>
      <c r="H934" s="531">
        <v>1.55</v>
      </c>
      <c r="I934" s="531">
        <f t="shared" si="42"/>
        <v>12.289999999999997</v>
      </c>
      <c r="J934" s="529" t="s">
        <v>480</v>
      </c>
    </row>
    <row r="935" spans="1:10">
      <c r="A935" s="529">
        <v>20120301</v>
      </c>
      <c r="B935" s="530" t="s">
        <v>459</v>
      </c>
      <c r="C935" s="530" t="str">
        <f t="shared" si="40"/>
        <v>20120301RLS</v>
      </c>
      <c r="D935" s="530" t="s">
        <v>258</v>
      </c>
      <c r="E935" s="530" t="str">
        <f t="shared" si="41"/>
        <v>20120301LGUM_324</v>
      </c>
      <c r="F935" s="531">
        <v>13.99</v>
      </c>
      <c r="G935" s="531">
        <v>0.01</v>
      </c>
      <c r="H935" s="531">
        <v>1.07</v>
      </c>
      <c r="I935" s="531">
        <f t="shared" si="42"/>
        <v>12.91</v>
      </c>
      <c r="J935" s="529" t="s">
        <v>537</v>
      </c>
    </row>
    <row r="936" spans="1:10">
      <c r="A936" s="529">
        <v>20120301</v>
      </c>
      <c r="B936" s="530" t="s">
        <v>459</v>
      </c>
      <c r="C936" s="530" t="str">
        <f t="shared" si="40"/>
        <v>20120301RLS</v>
      </c>
      <c r="D936" s="530" t="s">
        <v>259</v>
      </c>
      <c r="E936" s="530" t="str">
        <f t="shared" si="41"/>
        <v>20120301LGUM_325</v>
      </c>
      <c r="F936" s="531">
        <v>23.5</v>
      </c>
      <c r="G936" s="531">
        <v>0.01</v>
      </c>
      <c r="H936" s="531">
        <v>1.55</v>
      </c>
      <c r="I936" s="531">
        <f t="shared" si="42"/>
        <v>21.939999999999998</v>
      </c>
      <c r="J936" s="529" t="s">
        <v>690</v>
      </c>
    </row>
    <row r="937" spans="1:10">
      <c r="A937" s="529">
        <v>20120301</v>
      </c>
      <c r="B937" s="530" t="s">
        <v>459</v>
      </c>
      <c r="C937" s="530" t="str">
        <f t="shared" si="40"/>
        <v>20120301RLS</v>
      </c>
      <c r="D937" s="530" t="s">
        <v>538</v>
      </c>
      <c r="E937" s="530" t="str">
        <f t="shared" si="41"/>
        <v>20120301LGUM_345</v>
      </c>
      <c r="F937" s="531">
        <v>16.39</v>
      </c>
      <c r="G937" s="531">
        <v>0.01</v>
      </c>
      <c r="H937" s="531">
        <v>3.41</v>
      </c>
      <c r="I937" s="531">
        <f t="shared" si="42"/>
        <v>12.969999999999999</v>
      </c>
      <c r="J937" s="529" t="s">
        <v>649</v>
      </c>
    </row>
    <row r="938" spans="1:10">
      <c r="A938" s="529">
        <v>20120301</v>
      </c>
      <c r="B938" s="530" t="s">
        <v>459</v>
      </c>
      <c r="C938" s="530" t="str">
        <f t="shared" si="40"/>
        <v>20120301RLS</v>
      </c>
      <c r="D938" s="530" t="s">
        <v>540</v>
      </c>
      <c r="E938" s="530" t="str">
        <f t="shared" si="41"/>
        <v>20120301LGUM_346</v>
      </c>
      <c r="F938" s="531">
        <v>22.27</v>
      </c>
      <c r="G938" s="531">
        <v>0.02</v>
      </c>
      <c r="H938" s="531">
        <v>2.23</v>
      </c>
      <c r="I938" s="531">
        <f t="shared" si="42"/>
        <v>20.02</v>
      </c>
      <c r="J938" s="529" t="s">
        <v>650</v>
      </c>
    </row>
    <row r="939" spans="1:10">
      <c r="A939" s="529">
        <v>20120301</v>
      </c>
      <c r="B939" s="530" t="s">
        <v>459</v>
      </c>
      <c r="C939" s="530" t="str">
        <f t="shared" si="40"/>
        <v>20120301RLS</v>
      </c>
      <c r="D939" s="530" t="s">
        <v>542</v>
      </c>
      <c r="E939" s="530" t="str">
        <f t="shared" si="41"/>
        <v>20120301LGUM_347</v>
      </c>
      <c r="F939" s="531">
        <v>21.19</v>
      </c>
      <c r="G939" s="531">
        <v>0.01</v>
      </c>
      <c r="H939" s="531">
        <v>3.41</v>
      </c>
      <c r="I939" s="531">
        <f t="shared" si="42"/>
        <v>17.77</v>
      </c>
      <c r="J939" s="529" t="s">
        <v>543</v>
      </c>
    </row>
    <row r="940" spans="1:10">
      <c r="A940" s="529">
        <v>20120301</v>
      </c>
      <c r="B940" s="530" t="s">
        <v>459</v>
      </c>
      <c r="C940" s="530" t="str">
        <f t="shared" si="40"/>
        <v>20120301RLS</v>
      </c>
      <c r="D940" s="530" t="s">
        <v>260</v>
      </c>
      <c r="E940" s="530" t="str">
        <f t="shared" si="41"/>
        <v>20120301LGUM_348</v>
      </c>
      <c r="F940" s="531">
        <v>11.76</v>
      </c>
      <c r="G940" s="531">
        <v>0.01</v>
      </c>
      <c r="H940" s="531">
        <v>2.2200000000000002</v>
      </c>
      <c r="I940" s="531">
        <f t="shared" si="42"/>
        <v>9.5299999999999994</v>
      </c>
      <c r="J940" s="529" t="s">
        <v>544</v>
      </c>
    </row>
    <row r="941" spans="1:10">
      <c r="A941" s="529">
        <v>20120301</v>
      </c>
      <c r="B941" s="530" t="s">
        <v>459</v>
      </c>
      <c r="C941" s="530" t="str">
        <f t="shared" si="40"/>
        <v>20120301RLS</v>
      </c>
      <c r="D941" s="530" t="s">
        <v>262</v>
      </c>
      <c r="E941" s="530" t="str">
        <f t="shared" si="41"/>
        <v>20120301LGUM_349</v>
      </c>
      <c r="F941" s="531">
        <v>8.42</v>
      </c>
      <c r="G941" s="531">
        <v>0.01</v>
      </c>
      <c r="H941" s="531">
        <v>0.74</v>
      </c>
      <c r="I941" s="531">
        <f t="shared" si="42"/>
        <v>7.67</v>
      </c>
      <c r="J941" s="529" t="s">
        <v>545</v>
      </c>
    </row>
    <row r="942" spans="1:10">
      <c r="A942" s="529">
        <v>20120301</v>
      </c>
      <c r="B942" s="530" t="s">
        <v>459</v>
      </c>
      <c r="C942" s="530" t="str">
        <f t="shared" si="40"/>
        <v>20120301RLS</v>
      </c>
      <c r="D942" s="530" t="s">
        <v>264</v>
      </c>
      <c r="E942" s="530" t="str">
        <f t="shared" si="41"/>
        <v>20120301LGUM_352</v>
      </c>
      <c r="F942" s="531">
        <v>10.19</v>
      </c>
      <c r="G942" s="531">
        <v>0.01</v>
      </c>
      <c r="H942" s="531">
        <v>1.55</v>
      </c>
      <c r="I942" s="531">
        <f t="shared" si="42"/>
        <v>8.629999999999999</v>
      </c>
      <c r="J942" s="529" t="s">
        <v>491</v>
      </c>
    </row>
    <row r="943" spans="1:10">
      <c r="A943" s="529">
        <v>20120301</v>
      </c>
      <c r="B943" s="530" t="s">
        <v>459</v>
      </c>
      <c r="C943" s="530" t="str">
        <f t="shared" si="40"/>
        <v>20120301RLS</v>
      </c>
      <c r="D943" s="530" t="s">
        <v>265</v>
      </c>
      <c r="E943" s="530" t="str">
        <f t="shared" si="41"/>
        <v>20120301LGUM_353</v>
      </c>
      <c r="F943" s="531">
        <v>11.61</v>
      </c>
      <c r="G943" s="531">
        <v>0.01</v>
      </c>
      <c r="H943" s="531">
        <v>2.2000000000000002</v>
      </c>
      <c r="I943" s="531">
        <f t="shared" si="42"/>
        <v>9.3999999999999986</v>
      </c>
      <c r="J943" s="529" t="s">
        <v>492</v>
      </c>
    </row>
    <row r="944" spans="1:10">
      <c r="A944" s="529">
        <v>20120301</v>
      </c>
      <c r="B944" s="530" t="s">
        <v>459</v>
      </c>
      <c r="C944" s="530" t="str">
        <f t="shared" si="40"/>
        <v>20120301RLS</v>
      </c>
      <c r="D944" s="530" t="s">
        <v>266</v>
      </c>
      <c r="E944" s="530" t="str">
        <f t="shared" si="41"/>
        <v>20120301LGUM_354</v>
      </c>
      <c r="F944" s="531">
        <v>14.19</v>
      </c>
      <c r="G944" s="531">
        <v>0.01</v>
      </c>
      <c r="H944" s="531">
        <v>3.41</v>
      </c>
      <c r="I944" s="531">
        <f t="shared" si="42"/>
        <v>10.77</v>
      </c>
      <c r="J944" s="529" t="s">
        <v>493</v>
      </c>
    </row>
    <row r="945" spans="1:10">
      <c r="A945" s="529">
        <v>20120301</v>
      </c>
      <c r="B945" s="530" t="s">
        <v>459</v>
      </c>
      <c r="C945" s="530" t="str">
        <f t="shared" si="40"/>
        <v>20120301RLS</v>
      </c>
      <c r="D945" s="530" t="s">
        <v>267</v>
      </c>
      <c r="E945" s="530" t="str">
        <f t="shared" si="41"/>
        <v>20120301LGUM_355</v>
      </c>
      <c r="F945" s="531">
        <v>9.6999999999999993</v>
      </c>
      <c r="G945" s="531">
        <v>0.01</v>
      </c>
      <c r="H945" s="531">
        <v>1.07</v>
      </c>
      <c r="I945" s="531">
        <f t="shared" si="42"/>
        <v>8.6199999999999992</v>
      </c>
      <c r="J945" s="529" t="s">
        <v>494</v>
      </c>
    </row>
    <row r="946" spans="1:10">
      <c r="A946" s="529">
        <v>20120301</v>
      </c>
      <c r="B946" s="530" t="s">
        <v>459</v>
      </c>
      <c r="C946" s="530" t="str">
        <f t="shared" si="40"/>
        <v>20120301RLS</v>
      </c>
      <c r="D946" s="530" t="s">
        <v>546</v>
      </c>
      <c r="E946" s="530" t="str">
        <f t="shared" si="41"/>
        <v>20120301LGUM_356</v>
      </c>
      <c r="F946" s="531">
        <v>13.89</v>
      </c>
      <c r="G946" s="531">
        <v>0.01</v>
      </c>
      <c r="H946" s="531">
        <v>0.92</v>
      </c>
      <c r="I946" s="531">
        <f t="shared" si="42"/>
        <v>12.96</v>
      </c>
      <c r="J946" s="529" t="s">
        <v>547</v>
      </c>
    </row>
    <row r="947" spans="1:10">
      <c r="A947" s="529">
        <v>20120301</v>
      </c>
      <c r="B947" s="530" t="s">
        <v>459</v>
      </c>
      <c r="C947" s="530" t="str">
        <f t="shared" ref="C947:C1010" si="43">A947&amp;B947</f>
        <v>20120301RLS</v>
      </c>
      <c r="D947" s="530" t="s">
        <v>268</v>
      </c>
      <c r="E947" s="530" t="str">
        <f t="shared" ref="E947:E1010" si="44">A947&amp;D947</f>
        <v>20120301LGUM_357</v>
      </c>
      <c r="F947" s="531">
        <v>14.19</v>
      </c>
      <c r="G947" s="531">
        <v>0.01</v>
      </c>
      <c r="H947" s="531">
        <v>3.41</v>
      </c>
      <c r="I947" s="531">
        <f t="shared" si="42"/>
        <v>10.77</v>
      </c>
      <c r="J947" s="529" t="s">
        <v>499</v>
      </c>
    </row>
    <row r="948" spans="1:10">
      <c r="A948" s="529">
        <v>20120301</v>
      </c>
      <c r="B948" s="530" t="s">
        <v>459</v>
      </c>
      <c r="C948" s="530" t="str">
        <f t="shared" si="43"/>
        <v>20120301RLS</v>
      </c>
      <c r="D948" s="530" t="s">
        <v>269</v>
      </c>
      <c r="E948" s="530" t="str">
        <f t="shared" si="44"/>
        <v>20120301LGUM_358</v>
      </c>
      <c r="F948" s="531">
        <v>14.83</v>
      </c>
      <c r="G948" s="531">
        <v>0.01</v>
      </c>
      <c r="H948" s="531">
        <v>1.55</v>
      </c>
      <c r="I948" s="531">
        <f t="shared" si="42"/>
        <v>13.27</v>
      </c>
      <c r="J948" s="529" t="s">
        <v>500</v>
      </c>
    </row>
    <row r="949" spans="1:10">
      <c r="A949" s="529">
        <v>20120301</v>
      </c>
      <c r="B949" s="530" t="s">
        <v>459</v>
      </c>
      <c r="C949" s="530" t="str">
        <f t="shared" si="43"/>
        <v>20120301RLS</v>
      </c>
      <c r="D949" s="530" t="s">
        <v>270</v>
      </c>
      <c r="E949" s="530" t="str">
        <f t="shared" si="44"/>
        <v>20120301LGUM_360</v>
      </c>
      <c r="F949" s="531">
        <v>26.43</v>
      </c>
      <c r="G949" s="531">
        <v>0.02</v>
      </c>
      <c r="H949" s="531">
        <v>8.16</v>
      </c>
      <c r="I949" s="531">
        <f t="shared" si="42"/>
        <v>18.25</v>
      </c>
      <c r="J949" s="529" t="s">
        <v>503</v>
      </c>
    </row>
    <row r="950" spans="1:10">
      <c r="A950" s="529">
        <v>20120301</v>
      </c>
      <c r="B950" s="530" t="s">
        <v>459</v>
      </c>
      <c r="C950" s="530" t="str">
        <f t="shared" si="43"/>
        <v>20120301RLS</v>
      </c>
      <c r="D950" s="530" t="s">
        <v>271</v>
      </c>
      <c r="E950" s="530" t="str">
        <f t="shared" si="44"/>
        <v>20120301LGUM_361</v>
      </c>
      <c r="F950" s="531">
        <v>13.86</v>
      </c>
      <c r="G950" s="531">
        <v>0.02</v>
      </c>
      <c r="H950" s="531">
        <v>2.2999999999999998</v>
      </c>
      <c r="I950" s="531">
        <f t="shared" si="42"/>
        <v>11.54</v>
      </c>
      <c r="J950" s="529" t="s">
        <v>504</v>
      </c>
    </row>
    <row r="951" spans="1:10">
      <c r="A951" s="529">
        <v>20120301</v>
      </c>
      <c r="B951" s="530" t="s">
        <v>459</v>
      </c>
      <c r="C951" s="530" t="str">
        <f t="shared" si="43"/>
        <v>20120301RLS</v>
      </c>
      <c r="D951" s="530" t="s">
        <v>272</v>
      </c>
      <c r="E951" s="530" t="str">
        <f t="shared" si="44"/>
        <v>20120301LGUM_362</v>
      </c>
      <c r="F951" s="531">
        <v>14.969999999999999</v>
      </c>
      <c r="G951" s="531">
        <v>0.02</v>
      </c>
      <c r="H951" s="531">
        <v>3.65</v>
      </c>
      <c r="I951" s="531">
        <f t="shared" si="42"/>
        <v>11.299999999999999</v>
      </c>
      <c r="J951" s="529" t="s">
        <v>505</v>
      </c>
    </row>
    <row r="952" spans="1:10">
      <c r="A952" s="529">
        <v>20120301</v>
      </c>
      <c r="B952" s="530" t="s">
        <v>459</v>
      </c>
      <c r="C952" s="530" t="str">
        <f t="shared" si="43"/>
        <v>20120301RLS</v>
      </c>
      <c r="D952" s="530" t="s">
        <v>273</v>
      </c>
      <c r="E952" s="530" t="str">
        <f t="shared" si="44"/>
        <v>20120301LGUM_363</v>
      </c>
      <c r="F952" s="531">
        <v>14.969999999999999</v>
      </c>
      <c r="G952" s="531">
        <v>0.02</v>
      </c>
      <c r="H952" s="531">
        <v>3.65</v>
      </c>
      <c r="I952" s="531">
        <f t="shared" si="42"/>
        <v>11.299999999999999</v>
      </c>
      <c r="J952" s="529" t="s">
        <v>506</v>
      </c>
    </row>
    <row r="953" spans="1:10">
      <c r="A953" s="529">
        <v>20120301</v>
      </c>
      <c r="B953" s="530" t="s">
        <v>459</v>
      </c>
      <c r="C953" s="530" t="str">
        <f t="shared" si="43"/>
        <v>20120301RLS</v>
      </c>
      <c r="D953" s="530" t="s">
        <v>274</v>
      </c>
      <c r="E953" s="530" t="str">
        <f t="shared" si="44"/>
        <v>20120301LGUM_364</v>
      </c>
      <c r="F953" s="531">
        <v>24.2</v>
      </c>
      <c r="G953" s="531">
        <v>0.01</v>
      </c>
      <c r="H953" s="531">
        <v>2.2000000000000002</v>
      </c>
      <c r="I953" s="531">
        <f t="shared" si="42"/>
        <v>21.99</v>
      </c>
      <c r="J953" s="529" t="s">
        <v>651</v>
      </c>
    </row>
    <row r="954" spans="1:10">
      <c r="A954" s="529">
        <v>20120301</v>
      </c>
      <c r="B954" s="530" t="s">
        <v>459</v>
      </c>
      <c r="C954" s="530" t="str">
        <f t="shared" si="43"/>
        <v>20120301RLS</v>
      </c>
      <c r="D954" s="530" t="s">
        <v>275</v>
      </c>
      <c r="E954" s="530" t="str">
        <f t="shared" si="44"/>
        <v>20120301LGUM_365</v>
      </c>
      <c r="F954" s="531">
        <v>27.33</v>
      </c>
      <c r="G954" s="531">
        <v>0.01</v>
      </c>
      <c r="H954" s="531">
        <v>3.41</v>
      </c>
      <c r="I954" s="531">
        <f t="shared" si="42"/>
        <v>23.909999999999997</v>
      </c>
      <c r="J954" s="529" t="s">
        <v>652</v>
      </c>
    </row>
    <row r="955" spans="1:10">
      <c r="A955" s="529">
        <v>20120301</v>
      </c>
      <c r="B955" s="530" t="s">
        <v>459</v>
      </c>
      <c r="C955" s="530" t="str">
        <f t="shared" si="43"/>
        <v>20120301RLS</v>
      </c>
      <c r="D955" s="530" t="s">
        <v>276</v>
      </c>
      <c r="E955" s="530" t="str">
        <f t="shared" si="44"/>
        <v>20120301LGUM_366</v>
      </c>
      <c r="F955" s="531">
        <v>25.2</v>
      </c>
      <c r="G955" s="531">
        <v>0.02</v>
      </c>
      <c r="H955" s="531">
        <v>2.2999999999999998</v>
      </c>
      <c r="I955" s="531">
        <f t="shared" si="42"/>
        <v>22.88</v>
      </c>
      <c r="J955" s="529" t="s">
        <v>507</v>
      </c>
    </row>
    <row r="956" spans="1:10">
      <c r="A956" s="529">
        <v>20120301</v>
      </c>
      <c r="B956" s="530" t="s">
        <v>459</v>
      </c>
      <c r="C956" s="530" t="str">
        <f t="shared" si="43"/>
        <v>20120301RLS</v>
      </c>
      <c r="D956" s="530" t="s">
        <v>277</v>
      </c>
      <c r="E956" s="530" t="str">
        <f t="shared" si="44"/>
        <v>20120301LGUM_367</v>
      </c>
      <c r="F956" s="531">
        <v>27.490000000000006</v>
      </c>
      <c r="G956" s="531">
        <v>0.02</v>
      </c>
      <c r="H956" s="531">
        <v>3.65</v>
      </c>
      <c r="I956" s="531">
        <f t="shared" si="42"/>
        <v>23.820000000000007</v>
      </c>
      <c r="J956" s="529" t="s">
        <v>653</v>
      </c>
    </row>
    <row r="957" spans="1:10">
      <c r="A957" s="529">
        <v>20120301</v>
      </c>
      <c r="B957" s="530" t="s">
        <v>459</v>
      </c>
      <c r="C957" s="530" t="str">
        <f t="shared" si="43"/>
        <v>20120301RLS</v>
      </c>
      <c r="D957" s="530" t="s">
        <v>553</v>
      </c>
      <c r="E957" s="530" t="str">
        <f t="shared" si="44"/>
        <v>20120301LGUM_368</v>
      </c>
      <c r="F957" s="531">
        <v>23.27</v>
      </c>
      <c r="G957" s="531">
        <v>0.01</v>
      </c>
      <c r="H957" s="531">
        <v>1.55</v>
      </c>
      <c r="I957" s="531">
        <f t="shared" si="42"/>
        <v>21.709999999999997</v>
      </c>
      <c r="J957" s="529" t="s">
        <v>645</v>
      </c>
    </row>
    <row r="958" spans="1:10">
      <c r="A958" s="529">
        <v>20120301</v>
      </c>
      <c r="B958" s="530" t="s">
        <v>459</v>
      </c>
      <c r="C958" s="530" t="str">
        <f t="shared" si="43"/>
        <v>20120301RLS</v>
      </c>
      <c r="D958" s="530" t="s">
        <v>554</v>
      </c>
      <c r="E958" s="530" t="str">
        <f t="shared" si="44"/>
        <v>20120301LGUM_369</v>
      </c>
      <c r="F958" s="531">
        <v>27.33</v>
      </c>
      <c r="G958" s="531">
        <v>0.01</v>
      </c>
      <c r="H958" s="531">
        <v>3.41</v>
      </c>
      <c r="I958" s="531">
        <f t="shared" si="42"/>
        <v>23.909999999999997</v>
      </c>
      <c r="J958" s="529" t="s">
        <v>654</v>
      </c>
    </row>
    <row r="959" spans="1:10">
      <c r="A959" s="529">
        <v>20120301</v>
      </c>
      <c r="B959" s="530" t="s">
        <v>459</v>
      </c>
      <c r="C959" s="530" t="str">
        <f t="shared" si="43"/>
        <v>20120301RLS</v>
      </c>
      <c r="D959" s="530" t="s">
        <v>278</v>
      </c>
      <c r="E959" s="530" t="str">
        <f t="shared" si="44"/>
        <v>20120301LGUM_370</v>
      </c>
      <c r="F959" s="531">
        <v>25.2</v>
      </c>
      <c r="G959" s="531">
        <v>0.02</v>
      </c>
      <c r="H959" s="531">
        <v>2.2999999999999998</v>
      </c>
      <c r="I959" s="531">
        <f t="shared" si="42"/>
        <v>22.88</v>
      </c>
      <c r="J959" s="529" t="s">
        <v>655</v>
      </c>
    </row>
    <row r="960" spans="1:10">
      <c r="A960" s="529">
        <v>20120301</v>
      </c>
      <c r="B960" s="530" t="s">
        <v>459</v>
      </c>
      <c r="C960" s="530" t="str">
        <f t="shared" si="43"/>
        <v>20120301RLS</v>
      </c>
      <c r="D960" s="530" t="s">
        <v>279</v>
      </c>
      <c r="E960" s="530" t="str">
        <f t="shared" si="44"/>
        <v>20120301LGUM_371</v>
      </c>
      <c r="F960" s="531">
        <v>27.490000000000006</v>
      </c>
      <c r="G960" s="531">
        <v>0.02</v>
      </c>
      <c r="H960" s="531">
        <v>3.65</v>
      </c>
      <c r="I960" s="531">
        <f t="shared" si="42"/>
        <v>23.820000000000007</v>
      </c>
      <c r="J960" s="529" t="s">
        <v>656</v>
      </c>
    </row>
    <row r="961" spans="1:10">
      <c r="A961" s="529">
        <v>20120301</v>
      </c>
      <c r="B961" s="530" t="s">
        <v>459</v>
      </c>
      <c r="C961" s="530" t="str">
        <f t="shared" si="43"/>
        <v>20120301RLS</v>
      </c>
      <c r="D961" s="530" t="s">
        <v>280</v>
      </c>
      <c r="E961" s="530" t="str">
        <f t="shared" si="44"/>
        <v>20120301LGUM_372</v>
      </c>
      <c r="F961" s="531">
        <v>11.519999999999998</v>
      </c>
      <c r="G961" s="531">
        <v>0.01</v>
      </c>
      <c r="H961" s="531">
        <v>1.55</v>
      </c>
      <c r="I961" s="531">
        <f t="shared" si="42"/>
        <v>9.9599999999999973</v>
      </c>
      <c r="J961" s="529" t="s">
        <v>509</v>
      </c>
    </row>
    <row r="962" spans="1:10">
      <c r="A962" s="529">
        <v>20120301</v>
      </c>
      <c r="B962" s="530" t="s">
        <v>459</v>
      </c>
      <c r="C962" s="530" t="str">
        <f t="shared" si="43"/>
        <v>20120301RLS</v>
      </c>
      <c r="D962" s="530" t="s">
        <v>281</v>
      </c>
      <c r="E962" s="530" t="str">
        <f t="shared" si="44"/>
        <v>20120301LGUM_373</v>
      </c>
      <c r="F962" s="531">
        <v>11.519999999999998</v>
      </c>
      <c r="G962" s="531">
        <v>0.01</v>
      </c>
      <c r="H962" s="531">
        <v>1.55</v>
      </c>
      <c r="I962" s="531">
        <f t="shared" si="42"/>
        <v>9.9599999999999973</v>
      </c>
      <c r="J962" s="529" t="s">
        <v>510</v>
      </c>
    </row>
    <row r="963" spans="1:10">
      <c r="A963" s="529">
        <v>20120301</v>
      </c>
      <c r="B963" s="530" t="s">
        <v>459</v>
      </c>
      <c r="C963" s="530" t="str">
        <f t="shared" si="43"/>
        <v>20120301RLS</v>
      </c>
      <c r="D963" s="530" t="s">
        <v>282</v>
      </c>
      <c r="E963" s="530" t="str">
        <f t="shared" si="44"/>
        <v>20120301LGUM_374</v>
      </c>
      <c r="F963" s="531">
        <v>13.99</v>
      </c>
      <c r="G963" s="531">
        <v>0.01</v>
      </c>
      <c r="H963" s="531">
        <v>1.07</v>
      </c>
      <c r="I963" s="531">
        <f t="shared" si="42"/>
        <v>12.91</v>
      </c>
      <c r="J963" s="529" t="s">
        <v>558</v>
      </c>
    </row>
    <row r="964" spans="1:10">
      <c r="A964" s="529">
        <v>20120301</v>
      </c>
      <c r="B964" s="530" t="s">
        <v>459</v>
      </c>
      <c r="C964" s="530" t="str">
        <f t="shared" si="43"/>
        <v>20120301RLS</v>
      </c>
      <c r="D964" s="530" t="s">
        <v>283</v>
      </c>
      <c r="E964" s="530" t="str">
        <f t="shared" si="44"/>
        <v>20120301LGUM_375</v>
      </c>
      <c r="F964" s="531">
        <v>23.5</v>
      </c>
      <c r="G964" s="531">
        <v>0.01</v>
      </c>
      <c r="H964" s="531">
        <v>1.48</v>
      </c>
      <c r="I964" s="531">
        <f t="shared" si="42"/>
        <v>22.009999999999998</v>
      </c>
      <c r="J964" s="529" t="s">
        <v>657</v>
      </c>
    </row>
    <row r="965" spans="1:10">
      <c r="A965" s="529">
        <v>20120301</v>
      </c>
      <c r="B965" s="530" t="s">
        <v>459</v>
      </c>
      <c r="C965" s="530" t="str">
        <f t="shared" si="43"/>
        <v>20120301RLS</v>
      </c>
      <c r="D965" s="530" t="s">
        <v>284</v>
      </c>
      <c r="E965" s="530" t="str">
        <f t="shared" si="44"/>
        <v>20120301LGUM_376</v>
      </c>
      <c r="F965" s="531">
        <v>13.39</v>
      </c>
      <c r="G965" s="531">
        <v>0.01</v>
      </c>
      <c r="H965" s="531">
        <v>0.74</v>
      </c>
      <c r="I965" s="531">
        <f t="shared" ref="I965:I1028" si="45">F965-G965-H965</f>
        <v>12.64</v>
      </c>
      <c r="J965" s="529" t="s">
        <v>512</v>
      </c>
    </row>
    <row r="966" spans="1:10">
      <c r="A966" s="529">
        <v>20120301</v>
      </c>
      <c r="B966" s="530" t="s">
        <v>459</v>
      </c>
      <c r="C966" s="530" t="str">
        <f t="shared" si="43"/>
        <v>20120301RLS</v>
      </c>
      <c r="D966" s="530" t="s">
        <v>285</v>
      </c>
      <c r="E966" s="530" t="str">
        <f t="shared" si="44"/>
        <v>20120301LGUM_377</v>
      </c>
      <c r="F966" s="531">
        <v>20.25</v>
      </c>
      <c r="G966" s="531">
        <v>0.01</v>
      </c>
      <c r="H966" s="531">
        <v>1.48</v>
      </c>
      <c r="I966" s="531">
        <f t="shared" si="45"/>
        <v>18.759999999999998</v>
      </c>
      <c r="J966" s="529" t="s">
        <v>658</v>
      </c>
    </row>
    <row r="967" spans="1:10">
      <c r="A967" s="529">
        <v>20120301</v>
      </c>
      <c r="B967" s="530" t="s">
        <v>459</v>
      </c>
      <c r="C967" s="530" t="str">
        <f t="shared" si="43"/>
        <v>20120301RLS</v>
      </c>
      <c r="D967" s="530" t="s">
        <v>286</v>
      </c>
      <c r="E967" s="530" t="str">
        <f t="shared" si="44"/>
        <v>20120301LGUM_378</v>
      </c>
      <c r="F967" s="531">
        <v>63.7</v>
      </c>
      <c r="G967" s="531">
        <v>0.05</v>
      </c>
      <c r="H967" s="531">
        <v>8.14</v>
      </c>
      <c r="I967" s="531">
        <f t="shared" si="45"/>
        <v>55.510000000000005</v>
      </c>
      <c r="J967" s="529" t="s">
        <v>515</v>
      </c>
    </row>
    <row r="968" spans="1:10">
      <c r="A968" s="529">
        <v>20120301</v>
      </c>
      <c r="B968" s="530" t="s">
        <v>459</v>
      </c>
      <c r="C968" s="530" t="str">
        <f t="shared" si="43"/>
        <v>20120301RLS</v>
      </c>
      <c r="D968" s="530" t="s">
        <v>287</v>
      </c>
      <c r="E968" s="530" t="str">
        <f t="shared" si="44"/>
        <v>20120301LGUM_379</v>
      </c>
      <c r="F968" s="531">
        <v>33.92</v>
      </c>
      <c r="G968" s="531">
        <v>0.05</v>
      </c>
      <c r="H968" s="531">
        <v>8.14</v>
      </c>
      <c r="I968" s="531">
        <f t="shared" si="45"/>
        <v>25.730000000000004</v>
      </c>
      <c r="J968" s="529" t="s">
        <v>517</v>
      </c>
    </row>
    <row r="969" spans="1:10">
      <c r="A969" s="529">
        <v>20120301</v>
      </c>
      <c r="B969" s="530" t="s">
        <v>459</v>
      </c>
      <c r="C969" s="530" t="str">
        <f t="shared" si="43"/>
        <v>20120301RLS</v>
      </c>
      <c r="D969" s="530" t="s">
        <v>288</v>
      </c>
      <c r="E969" s="530" t="str">
        <f t="shared" si="44"/>
        <v>20120301LGUM_380</v>
      </c>
      <c r="F969" s="531">
        <v>18</v>
      </c>
      <c r="G969" s="531">
        <v>0.01</v>
      </c>
      <c r="H969" s="531">
        <v>0.74</v>
      </c>
      <c r="I969" s="531">
        <f t="shared" si="45"/>
        <v>17.25</v>
      </c>
      <c r="J969" s="529" t="s">
        <v>519</v>
      </c>
    </row>
    <row r="970" spans="1:10">
      <c r="A970" s="529">
        <v>20120301</v>
      </c>
      <c r="B970" s="530" t="s">
        <v>459</v>
      </c>
      <c r="C970" s="530" t="str">
        <f t="shared" si="43"/>
        <v>20120301RLS</v>
      </c>
      <c r="D970" s="530" t="s">
        <v>289</v>
      </c>
      <c r="E970" s="530" t="str">
        <f t="shared" si="44"/>
        <v>20120301LGUM_381</v>
      </c>
      <c r="F970" s="531">
        <v>18.91</v>
      </c>
      <c r="G970" s="531">
        <v>0.01</v>
      </c>
      <c r="H970" s="531">
        <v>1.07</v>
      </c>
      <c r="I970" s="531">
        <f t="shared" si="45"/>
        <v>17.829999999999998</v>
      </c>
      <c r="J970" s="529" t="s">
        <v>564</v>
      </c>
    </row>
    <row r="971" spans="1:10">
      <c r="A971" s="529">
        <v>20120301</v>
      </c>
      <c r="B971" s="530" t="s">
        <v>459</v>
      </c>
      <c r="C971" s="530" t="str">
        <f t="shared" si="43"/>
        <v>20120301RLS</v>
      </c>
      <c r="D971" s="530" t="s">
        <v>290</v>
      </c>
      <c r="E971" s="530" t="str">
        <f t="shared" si="44"/>
        <v>20120301LGUM_382</v>
      </c>
      <c r="F971" s="531">
        <v>18.21</v>
      </c>
      <c r="G971" s="531">
        <v>0.01</v>
      </c>
      <c r="H971" s="531">
        <v>0.74</v>
      </c>
      <c r="I971" s="531">
        <f t="shared" si="45"/>
        <v>17.46</v>
      </c>
      <c r="J971" s="529" t="s">
        <v>521</v>
      </c>
    </row>
    <row r="972" spans="1:10">
      <c r="A972" s="529">
        <v>20120301</v>
      </c>
      <c r="B972" s="530" t="s">
        <v>459</v>
      </c>
      <c r="C972" s="530" t="str">
        <f t="shared" si="43"/>
        <v>20120301RLS</v>
      </c>
      <c r="D972" s="530" t="s">
        <v>291</v>
      </c>
      <c r="E972" s="530" t="str">
        <f t="shared" si="44"/>
        <v>20120301LGUM_383</v>
      </c>
      <c r="F972" s="531">
        <v>19.510000000000002</v>
      </c>
      <c r="G972" s="531">
        <v>0.01</v>
      </c>
      <c r="H972" s="531">
        <v>1.07</v>
      </c>
      <c r="I972" s="531">
        <f t="shared" si="45"/>
        <v>18.43</v>
      </c>
      <c r="J972" s="529" t="s">
        <v>566</v>
      </c>
    </row>
    <row r="973" spans="1:10">
      <c r="A973" s="529">
        <v>20120301</v>
      </c>
      <c r="B973" s="530" t="s">
        <v>459</v>
      </c>
      <c r="C973" s="530" t="str">
        <f t="shared" si="43"/>
        <v>20120301RLS</v>
      </c>
      <c r="D973" s="205" t="s">
        <v>820</v>
      </c>
      <c r="E973" s="530" t="str">
        <f t="shared" si="44"/>
        <v>20120301LGUM_384</v>
      </c>
      <c r="F973" s="531">
        <v>21.19</v>
      </c>
      <c r="G973" s="531">
        <v>0.01</v>
      </c>
      <c r="H973" s="531">
        <v>1.07</v>
      </c>
      <c r="I973" s="531">
        <f t="shared" si="45"/>
        <v>20.11</v>
      </c>
      <c r="J973" s="533" t="s">
        <v>821</v>
      </c>
    </row>
    <row r="974" spans="1:10">
      <c r="A974" s="529">
        <v>20120301</v>
      </c>
      <c r="B974" s="530" t="s">
        <v>459</v>
      </c>
      <c r="C974" s="530" t="str">
        <f t="shared" si="43"/>
        <v>20120301RLS</v>
      </c>
      <c r="D974" s="205" t="s">
        <v>822</v>
      </c>
      <c r="E974" s="530" t="str">
        <f t="shared" si="44"/>
        <v>20120301LGUM_385</v>
      </c>
      <c r="F974" s="531">
        <v>21.19</v>
      </c>
      <c r="G974" s="531">
        <v>0.01</v>
      </c>
      <c r="H974" s="531">
        <v>1.07</v>
      </c>
      <c r="I974" s="531">
        <f t="shared" si="45"/>
        <v>20.11</v>
      </c>
      <c r="J974" s="533" t="s">
        <v>821</v>
      </c>
    </row>
    <row r="975" spans="1:10">
      <c r="A975" s="529">
        <v>20120301</v>
      </c>
      <c r="B975" s="530" t="s">
        <v>684</v>
      </c>
      <c r="C975" s="530" t="str">
        <f t="shared" si="43"/>
        <v>20120301DSK</v>
      </c>
      <c r="D975" s="205" t="s">
        <v>340</v>
      </c>
      <c r="E975" s="530" t="str">
        <f t="shared" si="44"/>
        <v>20120301LGUM_400</v>
      </c>
      <c r="F975" s="531">
        <v>22.639999999999997</v>
      </c>
      <c r="G975" s="531">
        <v>0.02</v>
      </c>
      <c r="H975" s="531">
        <v>0.92</v>
      </c>
      <c r="I975" s="531">
        <f t="shared" si="45"/>
        <v>21.699999999999996</v>
      </c>
      <c r="J975" s="533" t="s">
        <v>685</v>
      </c>
    </row>
    <row r="976" spans="1:10">
      <c r="A976" s="529">
        <v>20120301</v>
      </c>
      <c r="B976" s="530" t="s">
        <v>684</v>
      </c>
      <c r="C976" s="530" t="str">
        <f t="shared" si="43"/>
        <v>20120301DSK</v>
      </c>
      <c r="D976" s="205" t="s">
        <v>692</v>
      </c>
      <c r="E976" s="530" t="str">
        <f t="shared" si="44"/>
        <v>20120301LGUM_401</v>
      </c>
      <c r="F976" s="531">
        <v>23.62</v>
      </c>
      <c r="G976" s="531">
        <v>0.03</v>
      </c>
      <c r="H976" s="531">
        <v>0.86</v>
      </c>
      <c r="I976" s="531">
        <f t="shared" si="45"/>
        <v>22.73</v>
      </c>
      <c r="J976" s="533" t="s">
        <v>693</v>
      </c>
    </row>
    <row r="977" spans="1:10">
      <c r="A977" s="529">
        <v>20120301</v>
      </c>
      <c r="B977" s="530" t="s">
        <v>567</v>
      </c>
      <c r="C977" s="530" t="str">
        <f t="shared" si="43"/>
        <v>20120301LS</v>
      </c>
      <c r="D977" s="530" t="s">
        <v>292</v>
      </c>
      <c r="E977" s="530" t="str">
        <f t="shared" si="44"/>
        <v>20120301LGUM_412</v>
      </c>
      <c r="F977" s="531">
        <v>18.760000000000002</v>
      </c>
      <c r="G977" s="531">
        <v>0.03</v>
      </c>
      <c r="H977" s="531">
        <v>0.61</v>
      </c>
      <c r="I977" s="531">
        <f t="shared" si="45"/>
        <v>18.12</v>
      </c>
      <c r="J977" s="533" t="s">
        <v>659</v>
      </c>
    </row>
    <row r="978" spans="1:10">
      <c r="A978" s="529">
        <v>20120301</v>
      </c>
      <c r="B978" s="530" t="s">
        <v>567</v>
      </c>
      <c r="C978" s="530" t="str">
        <f t="shared" si="43"/>
        <v>20120301LS</v>
      </c>
      <c r="D978" s="530" t="s">
        <v>293</v>
      </c>
      <c r="E978" s="530" t="str">
        <f t="shared" si="44"/>
        <v>20120301LGUM_413</v>
      </c>
      <c r="F978" s="531">
        <v>19.36</v>
      </c>
      <c r="G978" s="531">
        <v>0.03</v>
      </c>
      <c r="H978" s="531">
        <v>0.86</v>
      </c>
      <c r="I978" s="531">
        <f t="shared" si="45"/>
        <v>18.47</v>
      </c>
      <c r="J978" s="529" t="s">
        <v>569</v>
      </c>
    </row>
    <row r="979" spans="1:10">
      <c r="A979" s="529">
        <v>20120301</v>
      </c>
      <c r="B979" s="530" t="s">
        <v>567</v>
      </c>
      <c r="C979" s="530" t="str">
        <f t="shared" si="43"/>
        <v>20120301LS</v>
      </c>
      <c r="D979" s="530" t="s">
        <v>294</v>
      </c>
      <c r="E979" s="530" t="str">
        <f t="shared" si="44"/>
        <v>20120301LGUM_414</v>
      </c>
      <c r="F979" s="531">
        <v>20.36</v>
      </c>
      <c r="G979" s="531">
        <v>0.01</v>
      </c>
      <c r="H979" s="531">
        <v>1.34</v>
      </c>
      <c r="I979" s="531">
        <f t="shared" si="45"/>
        <v>19.009999999999998</v>
      </c>
      <c r="J979" s="529" t="s">
        <v>570</v>
      </c>
    </row>
    <row r="980" spans="1:10">
      <c r="A980" s="529">
        <v>20120301</v>
      </c>
      <c r="B980" s="530" t="s">
        <v>567</v>
      </c>
      <c r="C980" s="530" t="str">
        <f t="shared" si="43"/>
        <v>20120301LS</v>
      </c>
      <c r="D980" s="530" t="s">
        <v>295</v>
      </c>
      <c r="E980" s="530" t="str">
        <f t="shared" si="44"/>
        <v>20120301LGUM_415</v>
      </c>
      <c r="F980" s="531">
        <v>19.13</v>
      </c>
      <c r="G980" s="531">
        <v>0.03</v>
      </c>
      <c r="H980" s="531">
        <v>0.61</v>
      </c>
      <c r="I980" s="531">
        <f t="shared" si="45"/>
        <v>18.489999999999998</v>
      </c>
      <c r="J980" s="533" t="s">
        <v>660</v>
      </c>
    </row>
    <row r="981" spans="1:10">
      <c r="A981" s="529">
        <v>20120301</v>
      </c>
      <c r="B981" s="530" t="s">
        <v>567</v>
      </c>
      <c r="C981" s="530" t="str">
        <f t="shared" si="43"/>
        <v>20120301LS</v>
      </c>
      <c r="D981" s="530" t="s">
        <v>296</v>
      </c>
      <c r="E981" s="530" t="str">
        <f t="shared" si="44"/>
        <v>20120301LGUM_416</v>
      </c>
      <c r="F981" s="531">
        <v>21.36</v>
      </c>
      <c r="G981" s="531">
        <v>0.03</v>
      </c>
      <c r="H981" s="531">
        <v>0.86</v>
      </c>
      <c r="I981" s="531">
        <f t="shared" si="45"/>
        <v>20.47</v>
      </c>
      <c r="J981" s="529" t="s">
        <v>572</v>
      </c>
    </row>
    <row r="982" spans="1:10">
      <c r="A982" s="529">
        <v>20120301</v>
      </c>
      <c r="B982" s="530" t="s">
        <v>567</v>
      </c>
      <c r="C982" s="530" t="str">
        <f t="shared" si="43"/>
        <v>20120301LS</v>
      </c>
      <c r="D982" s="530" t="s">
        <v>297</v>
      </c>
      <c r="E982" s="530" t="str">
        <f t="shared" si="44"/>
        <v>20120301LGUM_417</v>
      </c>
      <c r="F982" s="531">
        <v>22.44</v>
      </c>
      <c r="G982" s="531">
        <v>0.03</v>
      </c>
      <c r="H982" s="531">
        <v>0.83</v>
      </c>
      <c r="I982" s="531">
        <f t="shared" si="45"/>
        <v>21.580000000000002</v>
      </c>
      <c r="J982" s="529" t="s">
        <v>573</v>
      </c>
    </row>
    <row r="983" spans="1:10">
      <c r="A983" s="529">
        <v>20120301</v>
      </c>
      <c r="B983" s="530" t="s">
        <v>567</v>
      </c>
      <c r="C983" s="530" t="str">
        <f t="shared" si="43"/>
        <v>20120301LS</v>
      </c>
      <c r="D983" s="530" t="s">
        <v>298</v>
      </c>
      <c r="E983" s="530" t="str">
        <f t="shared" si="44"/>
        <v>20120301LGUM_418</v>
      </c>
      <c r="F983" s="531">
        <v>22.27</v>
      </c>
      <c r="G983" s="531">
        <v>0.01</v>
      </c>
      <c r="H983" s="531">
        <v>1.34</v>
      </c>
      <c r="I983" s="531">
        <f t="shared" si="45"/>
        <v>20.919999999999998</v>
      </c>
      <c r="J983" s="529" t="s">
        <v>574</v>
      </c>
    </row>
    <row r="984" spans="1:10">
      <c r="A984" s="529">
        <v>20120301</v>
      </c>
      <c r="B984" s="530" t="s">
        <v>567</v>
      </c>
      <c r="C984" s="530" t="str">
        <f t="shared" si="43"/>
        <v>20120301LS</v>
      </c>
      <c r="D984" s="530" t="s">
        <v>299</v>
      </c>
      <c r="E984" s="530" t="str">
        <f t="shared" si="44"/>
        <v>20120301LGUM_419</v>
      </c>
      <c r="F984" s="531">
        <v>23.28</v>
      </c>
      <c r="G984" s="531">
        <v>0.01</v>
      </c>
      <c r="H984" s="531">
        <v>1.34</v>
      </c>
      <c r="I984" s="531">
        <f t="shared" si="45"/>
        <v>21.93</v>
      </c>
      <c r="J984" s="529" t="s">
        <v>575</v>
      </c>
    </row>
    <row r="985" spans="1:10">
      <c r="A985" s="529">
        <v>20120301</v>
      </c>
      <c r="B985" s="530" t="s">
        <v>567</v>
      </c>
      <c r="C985" s="530" t="str">
        <f t="shared" si="43"/>
        <v>20120301LS</v>
      </c>
      <c r="D985" s="530" t="s">
        <v>300</v>
      </c>
      <c r="E985" s="530" t="str">
        <f t="shared" si="44"/>
        <v>20120301LGUM_420</v>
      </c>
      <c r="F985" s="531">
        <v>28.35</v>
      </c>
      <c r="G985" s="531">
        <v>0.01</v>
      </c>
      <c r="H985" s="531">
        <v>1.34</v>
      </c>
      <c r="I985" s="531">
        <f t="shared" si="45"/>
        <v>27</v>
      </c>
      <c r="J985" s="529" t="s">
        <v>576</v>
      </c>
    </row>
    <row r="986" spans="1:10">
      <c r="A986" s="529">
        <v>20120301</v>
      </c>
      <c r="B986" s="530" t="s">
        <v>567</v>
      </c>
      <c r="C986" s="530" t="str">
        <f t="shared" si="43"/>
        <v>20120301LS</v>
      </c>
      <c r="D986" s="530" t="s">
        <v>301</v>
      </c>
      <c r="E986" s="530" t="str">
        <f t="shared" si="44"/>
        <v>20120301LGUM_421</v>
      </c>
      <c r="F986" s="531">
        <v>31</v>
      </c>
      <c r="G986" s="531">
        <v>0.01</v>
      </c>
      <c r="H986" s="531">
        <v>2.17</v>
      </c>
      <c r="I986" s="531">
        <f t="shared" si="45"/>
        <v>28.82</v>
      </c>
      <c r="J986" s="529" t="s">
        <v>577</v>
      </c>
    </row>
    <row r="987" spans="1:10">
      <c r="A987" s="529">
        <v>20120301</v>
      </c>
      <c r="B987" s="530" t="s">
        <v>567</v>
      </c>
      <c r="C987" s="530" t="str">
        <f t="shared" si="43"/>
        <v>20120301LS</v>
      </c>
      <c r="D987" s="530" t="s">
        <v>302</v>
      </c>
      <c r="E987" s="530" t="str">
        <f t="shared" si="44"/>
        <v>20120301LGUM_422</v>
      </c>
      <c r="F987" s="531">
        <v>36.04</v>
      </c>
      <c r="G987" s="531">
        <v>0.02</v>
      </c>
      <c r="H987" s="531">
        <v>3.48</v>
      </c>
      <c r="I987" s="531">
        <f t="shared" si="45"/>
        <v>32.54</v>
      </c>
      <c r="J987" s="529" t="s">
        <v>578</v>
      </c>
    </row>
    <row r="988" spans="1:10">
      <c r="A988" s="529">
        <v>20120301</v>
      </c>
      <c r="B988" s="530" t="s">
        <v>567</v>
      </c>
      <c r="C988" s="530" t="str">
        <f t="shared" si="43"/>
        <v>20120301LS</v>
      </c>
      <c r="D988" s="530" t="s">
        <v>303</v>
      </c>
      <c r="E988" s="530" t="str">
        <f t="shared" si="44"/>
        <v>20120301LGUM_423</v>
      </c>
      <c r="F988" s="531">
        <v>24.93</v>
      </c>
      <c r="G988" s="531">
        <v>0.01</v>
      </c>
      <c r="H988" s="531">
        <v>1.34</v>
      </c>
      <c r="I988" s="531">
        <f t="shared" si="45"/>
        <v>23.58</v>
      </c>
      <c r="J988" s="529" t="s">
        <v>579</v>
      </c>
    </row>
    <row r="989" spans="1:10">
      <c r="A989" s="529">
        <v>20120301</v>
      </c>
      <c r="B989" s="530" t="s">
        <v>567</v>
      </c>
      <c r="C989" s="530" t="str">
        <f t="shared" si="43"/>
        <v>20120301LS</v>
      </c>
      <c r="D989" s="530" t="s">
        <v>304</v>
      </c>
      <c r="E989" s="530" t="str">
        <f t="shared" si="44"/>
        <v>20120301LGUM_424</v>
      </c>
      <c r="F989" s="531">
        <v>26.740000000000002</v>
      </c>
      <c r="G989" s="531">
        <v>0.01</v>
      </c>
      <c r="H989" s="531">
        <v>3.48</v>
      </c>
      <c r="I989" s="531">
        <f t="shared" si="45"/>
        <v>23.25</v>
      </c>
      <c r="J989" s="529" t="s">
        <v>580</v>
      </c>
    </row>
    <row r="990" spans="1:10">
      <c r="A990" s="529">
        <v>20120301</v>
      </c>
      <c r="B990" s="530" t="s">
        <v>567</v>
      </c>
      <c r="C990" s="530" t="str">
        <f t="shared" si="43"/>
        <v>20120301LS</v>
      </c>
      <c r="D990" s="530" t="s">
        <v>305</v>
      </c>
      <c r="E990" s="530" t="str">
        <f t="shared" si="44"/>
        <v>20120301LGUM_425</v>
      </c>
      <c r="F990" s="531">
        <v>31.83</v>
      </c>
      <c r="G990" s="531">
        <v>0.02</v>
      </c>
      <c r="H990" s="531">
        <v>3.48</v>
      </c>
      <c r="I990" s="531">
        <f t="shared" si="45"/>
        <v>28.33</v>
      </c>
      <c r="J990" s="529" t="s">
        <v>581</v>
      </c>
    </row>
    <row r="991" spans="1:10">
      <c r="A991" s="529">
        <v>20120301</v>
      </c>
      <c r="B991" s="530" t="s">
        <v>567</v>
      </c>
      <c r="C991" s="530" t="str">
        <f t="shared" si="43"/>
        <v>20120301LS</v>
      </c>
      <c r="D991" s="530" t="s">
        <v>306</v>
      </c>
      <c r="E991" s="530" t="str">
        <f t="shared" si="44"/>
        <v>20120301LGUM_426</v>
      </c>
      <c r="F991" s="531">
        <v>31.73</v>
      </c>
      <c r="G991" s="531">
        <v>0.03</v>
      </c>
      <c r="H991" s="531">
        <v>0.61</v>
      </c>
      <c r="I991" s="531">
        <f t="shared" si="45"/>
        <v>31.09</v>
      </c>
      <c r="J991" s="533" t="s">
        <v>663</v>
      </c>
    </row>
    <row r="992" spans="1:10">
      <c r="A992" s="529">
        <v>20120301</v>
      </c>
      <c r="B992" s="530" t="s">
        <v>567</v>
      </c>
      <c r="C992" s="530" t="str">
        <f t="shared" si="43"/>
        <v>20120301LS</v>
      </c>
      <c r="D992" s="530" t="s">
        <v>307</v>
      </c>
      <c r="E992" s="530" t="str">
        <f t="shared" si="44"/>
        <v>20120301LGUM_427</v>
      </c>
      <c r="F992" s="531">
        <v>33.64</v>
      </c>
      <c r="G992" s="531">
        <v>0.03</v>
      </c>
      <c r="H992" s="531">
        <v>0.61</v>
      </c>
      <c r="I992" s="531">
        <f t="shared" si="45"/>
        <v>33</v>
      </c>
      <c r="J992" s="533" t="s">
        <v>664</v>
      </c>
    </row>
    <row r="993" spans="1:10">
      <c r="A993" s="529">
        <v>20120301</v>
      </c>
      <c r="B993" s="530" t="s">
        <v>567</v>
      </c>
      <c r="C993" s="530" t="str">
        <f t="shared" si="43"/>
        <v>20120301LS</v>
      </c>
      <c r="D993" s="530" t="s">
        <v>308</v>
      </c>
      <c r="E993" s="530" t="str">
        <f t="shared" si="44"/>
        <v>20120301LGUM_428</v>
      </c>
      <c r="F993" s="531">
        <v>32.5</v>
      </c>
      <c r="G993" s="531">
        <v>0.03</v>
      </c>
      <c r="H993" s="531">
        <v>0.86</v>
      </c>
      <c r="I993" s="531">
        <f t="shared" si="45"/>
        <v>31.61</v>
      </c>
      <c r="J993" s="529" t="s">
        <v>584</v>
      </c>
    </row>
    <row r="994" spans="1:10">
      <c r="A994" s="529">
        <v>20120301</v>
      </c>
      <c r="B994" s="530" t="s">
        <v>567</v>
      </c>
      <c r="C994" s="530" t="str">
        <f t="shared" si="43"/>
        <v>20120301LS</v>
      </c>
      <c r="D994" s="530" t="s">
        <v>309</v>
      </c>
      <c r="E994" s="530" t="str">
        <f t="shared" si="44"/>
        <v>20120301LGUM_429</v>
      </c>
      <c r="F994" s="531">
        <v>34.409999999999997</v>
      </c>
      <c r="G994" s="531">
        <v>0.03</v>
      </c>
      <c r="H994" s="531">
        <v>0.86</v>
      </c>
      <c r="I994" s="531">
        <f t="shared" si="45"/>
        <v>33.519999999999996</v>
      </c>
      <c r="J994" s="529" t="s">
        <v>585</v>
      </c>
    </row>
    <row r="995" spans="1:10">
      <c r="A995" s="529">
        <v>20120301</v>
      </c>
      <c r="B995" s="530" t="s">
        <v>567</v>
      </c>
      <c r="C995" s="530" t="str">
        <f t="shared" si="43"/>
        <v>20120301LS</v>
      </c>
      <c r="D995" s="530" t="s">
        <v>310</v>
      </c>
      <c r="E995" s="530" t="str">
        <f t="shared" si="44"/>
        <v>20120301LGUM_430</v>
      </c>
      <c r="F995" s="531">
        <v>30.8</v>
      </c>
      <c r="G995" s="531">
        <v>0.03</v>
      </c>
      <c r="H995" s="531">
        <v>0.61</v>
      </c>
      <c r="I995" s="531">
        <f t="shared" si="45"/>
        <v>30.16</v>
      </c>
      <c r="J995" s="533" t="s">
        <v>665</v>
      </c>
    </row>
    <row r="996" spans="1:10">
      <c r="A996" s="529">
        <v>20120301</v>
      </c>
      <c r="B996" s="530" t="s">
        <v>567</v>
      </c>
      <c r="C996" s="530" t="str">
        <f t="shared" si="43"/>
        <v>20120301LS</v>
      </c>
      <c r="D996" s="530" t="s">
        <v>311</v>
      </c>
      <c r="E996" s="530" t="str">
        <f t="shared" si="44"/>
        <v>20120301LGUM_431</v>
      </c>
      <c r="F996" s="531">
        <v>31.45</v>
      </c>
      <c r="G996" s="531">
        <v>0.03</v>
      </c>
      <c r="H996" s="531">
        <v>0.61</v>
      </c>
      <c r="I996" s="531">
        <f t="shared" si="45"/>
        <v>30.81</v>
      </c>
      <c r="J996" s="533" t="s">
        <v>666</v>
      </c>
    </row>
    <row r="997" spans="1:10">
      <c r="A997" s="529">
        <v>20120301</v>
      </c>
      <c r="B997" s="530" t="s">
        <v>567</v>
      </c>
      <c r="C997" s="530" t="str">
        <f t="shared" si="43"/>
        <v>20120301LS</v>
      </c>
      <c r="D997" s="530" t="s">
        <v>339</v>
      </c>
      <c r="E997" s="530" t="str">
        <f t="shared" si="44"/>
        <v>20120301LGUM_432</v>
      </c>
      <c r="F997" s="531">
        <v>32.729999999999997</v>
      </c>
      <c r="G997" s="531">
        <v>0.03</v>
      </c>
      <c r="H997" s="531">
        <v>0.86</v>
      </c>
      <c r="I997" s="531">
        <f t="shared" si="45"/>
        <v>31.839999999999996</v>
      </c>
      <c r="J997" s="529" t="s">
        <v>588</v>
      </c>
    </row>
    <row r="998" spans="1:10">
      <c r="A998" s="529">
        <v>20120301</v>
      </c>
      <c r="B998" s="530" t="s">
        <v>567</v>
      </c>
      <c r="C998" s="530" t="str">
        <f t="shared" si="43"/>
        <v>20120301LS</v>
      </c>
      <c r="D998" s="530" t="s">
        <v>312</v>
      </c>
      <c r="E998" s="530" t="str">
        <f t="shared" si="44"/>
        <v>20120301LGUM_433</v>
      </c>
      <c r="F998" s="531">
        <v>33.369999999999997</v>
      </c>
      <c r="G998" s="531">
        <v>0.03</v>
      </c>
      <c r="H998" s="531">
        <v>0.86</v>
      </c>
      <c r="I998" s="531">
        <f t="shared" si="45"/>
        <v>32.479999999999997</v>
      </c>
      <c r="J998" s="529" t="s">
        <v>589</v>
      </c>
    </row>
    <row r="999" spans="1:10">
      <c r="A999" s="529">
        <v>20120301</v>
      </c>
      <c r="B999" s="530" t="s">
        <v>567</v>
      </c>
      <c r="C999" s="530" t="str">
        <f t="shared" si="43"/>
        <v>20120301LS</v>
      </c>
      <c r="D999" s="530" t="s">
        <v>313</v>
      </c>
      <c r="E999" s="530" t="str">
        <f t="shared" si="44"/>
        <v>20120301LGUM_434</v>
      </c>
      <c r="F999" s="531">
        <v>16.349999999999998</v>
      </c>
      <c r="G999" s="531">
        <v>0.01</v>
      </c>
      <c r="H999" s="531">
        <v>0.92</v>
      </c>
      <c r="I999" s="531">
        <f t="shared" si="45"/>
        <v>15.419999999999996</v>
      </c>
      <c r="J999" s="529" t="s">
        <v>590</v>
      </c>
    </row>
    <row r="1000" spans="1:10">
      <c r="A1000" s="529">
        <v>20120301</v>
      </c>
      <c r="B1000" s="530" t="s">
        <v>567</v>
      </c>
      <c r="C1000" s="530" t="str">
        <f t="shared" si="43"/>
        <v>20120301LS</v>
      </c>
      <c r="D1000" s="530" t="s">
        <v>314</v>
      </c>
      <c r="E1000" s="530" t="str">
        <f t="shared" si="44"/>
        <v>20120301LGUM_435</v>
      </c>
      <c r="F1000" s="531">
        <v>18.020000000000003</v>
      </c>
      <c r="G1000" s="531">
        <v>0.01</v>
      </c>
      <c r="H1000" s="531">
        <v>1.55</v>
      </c>
      <c r="I1000" s="531">
        <f t="shared" si="45"/>
        <v>16.46</v>
      </c>
      <c r="J1000" s="529" t="s">
        <v>591</v>
      </c>
    </row>
    <row r="1001" spans="1:10">
      <c r="A1001" s="529">
        <v>20120301</v>
      </c>
      <c r="B1001" s="530" t="s">
        <v>567</v>
      </c>
      <c r="C1001" s="530" t="str">
        <f t="shared" si="43"/>
        <v>20120301LS</v>
      </c>
      <c r="D1001" s="530" t="s">
        <v>592</v>
      </c>
      <c r="E1001" s="530" t="str">
        <f t="shared" si="44"/>
        <v>20120301LGUM_436</v>
      </c>
      <c r="F1001" s="531">
        <v>21.990000000000002</v>
      </c>
      <c r="G1001" s="531">
        <v>0.01</v>
      </c>
      <c r="H1001" s="531">
        <v>3.41</v>
      </c>
      <c r="I1001" s="531">
        <f t="shared" si="45"/>
        <v>18.57</v>
      </c>
      <c r="J1001" s="529" t="s">
        <v>593</v>
      </c>
    </row>
    <row r="1002" spans="1:10">
      <c r="A1002" s="529">
        <v>20120301</v>
      </c>
      <c r="B1002" s="530" t="s">
        <v>567</v>
      </c>
      <c r="C1002" s="530" t="str">
        <f t="shared" si="43"/>
        <v>20120301LS</v>
      </c>
      <c r="D1002" s="530" t="s">
        <v>315</v>
      </c>
      <c r="E1002" s="530" t="str">
        <f t="shared" si="44"/>
        <v>20120301LGUM_437</v>
      </c>
      <c r="F1002" s="531">
        <v>23.46</v>
      </c>
      <c r="G1002" s="531">
        <v>0.01</v>
      </c>
      <c r="H1002" s="531">
        <v>2.2000000000000002</v>
      </c>
      <c r="I1002" s="531">
        <f t="shared" si="45"/>
        <v>21.25</v>
      </c>
      <c r="J1002" s="529" t="s">
        <v>594</v>
      </c>
    </row>
    <row r="1003" spans="1:10">
      <c r="A1003" s="529">
        <v>20120301</v>
      </c>
      <c r="B1003" s="530" t="s">
        <v>567</v>
      </c>
      <c r="C1003" s="530" t="str">
        <f t="shared" si="43"/>
        <v>20120301LS</v>
      </c>
      <c r="D1003" s="530" t="s">
        <v>316</v>
      </c>
      <c r="E1003" s="530" t="str">
        <f t="shared" si="44"/>
        <v>20120301LGUM_438</v>
      </c>
      <c r="F1003" s="531">
        <v>26.909999999999997</v>
      </c>
      <c r="G1003" s="531">
        <v>0.01</v>
      </c>
      <c r="H1003" s="531">
        <v>3.41</v>
      </c>
      <c r="I1003" s="531">
        <f t="shared" si="45"/>
        <v>23.489999999999995</v>
      </c>
      <c r="J1003" s="529" t="s">
        <v>595</v>
      </c>
    </row>
    <row r="1004" spans="1:10">
      <c r="A1004" s="529">
        <v>20120301</v>
      </c>
      <c r="B1004" s="530" t="s">
        <v>567</v>
      </c>
      <c r="C1004" s="530" t="str">
        <f t="shared" si="43"/>
        <v>20120301LS</v>
      </c>
      <c r="D1004" s="205" t="s">
        <v>687</v>
      </c>
      <c r="E1004" s="530" t="str">
        <f t="shared" si="44"/>
        <v>20120301LGUM_439</v>
      </c>
      <c r="F1004" s="531">
        <v>15.38</v>
      </c>
      <c r="G1004" s="531">
        <v>0.01</v>
      </c>
      <c r="H1004" s="531">
        <v>1.34</v>
      </c>
      <c r="I1004" s="531">
        <f t="shared" si="45"/>
        <v>14.030000000000001</v>
      </c>
      <c r="J1004" s="533" t="s">
        <v>661</v>
      </c>
    </row>
    <row r="1005" spans="1:10">
      <c r="A1005" s="529">
        <v>20120301</v>
      </c>
      <c r="B1005" s="530" t="s">
        <v>567</v>
      </c>
      <c r="C1005" s="530" t="str">
        <f t="shared" si="43"/>
        <v>20120301LS</v>
      </c>
      <c r="D1005" s="205" t="s">
        <v>688</v>
      </c>
      <c r="E1005" s="530" t="str">
        <f t="shared" si="44"/>
        <v>20120301LGUM_440</v>
      </c>
      <c r="F1005" s="531">
        <v>16.920000000000002</v>
      </c>
      <c r="G1005" s="531">
        <v>0.01</v>
      </c>
      <c r="H1005" s="531">
        <v>2.17</v>
      </c>
      <c r="I1005" s="531">
        <f t="shared" si="45"/>
        <v>14.74</v>
      </c>
      <c r="J1005" s="533" t="s">
        <v>662</v>
      </c>
    </row>
    <row r="1006" spans="1:10">
      <c r="A1006" s="529">
        <v>20120301</v>
      </c>
      <c r="B1006" s="530" t="s">
        <v>567</v>
      </c>
      <c r="C1006" s="530" t="str">
        <f t="shared" si="43"/>
        <v>20120301LS</v>
      </c>
      <c r="D1006" s="205" t="s">
        <v>341</v>
      </c>
      <c r="E1006" s="530" t="str">
        <f t="shared" si="44"/>
        <v>20120301LGUM_441</v>
      </c>
      <c r="F1006" s="531">
        <v>20.52</v>
      </c>
      <c r="G1006" s="531">
        <v>0.02</v>
      </c>
      <c r="H1006" s="531">
        <v>3.48</v>
      </c>
      <c r="I1006" s="531">
        <f t="shared" si="45"/>
        <v>17.02</v>
      </c>
      <c r="J1006" s="533" t="s">
        <v>697</v>
      </c>
    </row>
    <row r="1007" spans="1:10">
      <c r="A1007" s="529">
        <v>20120301</v>
      </c>
      <c r="B1007" s="530" t="s">
        <v>567</v>
      </c>
      <c r="C1007" s="530" t="str">
        <f t="shared" si="43"/>
        <v>20120301LS</v>
      </c>
      <c r="D1007" s="530" t="s">
        <v>317</v>
      </c>
      <c r="E1007" s="530" t="str">
        <f t="shared" si="44"/>
        <v>20120301LGUM_452</v>
      </c>
      <c r="F1007" s="531">
        <v>11.62</v>
      </c>
      <c r="G1007" s="531">
        <v>0.01</v>
      </c>
      <c r="H1007" s="531">
        <v>1.34</v>
      </c>
      <c r="I1007" s="531">
        <f t="shared" si="45"/>
        <v>10.27</v>
      </c>
      <c r="J1007" s="529" t="s">
        <v>596</v>
      </c>
    </row>
    <row r="1008" spans="1:10">
      <c r="A1008" s="529">
        <v>20120301</v>
      </c>
      <c r="B1008" s="530" t="s">
        <v>567</v>
      </c>
      <c r="C1008" s="530" t="str">
        <f t="shared" si="43"/>
        <v>20120301LS</v>
      </c>
      <c r="D1008" s="530" t="s">
        <v>318</v>
      </c>
      <c r="E1008" s="530" t="str">
        <f t="shared" si="44"/>
        <v>20120301LGUM_453</v>
      </c>
      <c r="F1008" s="531">
        <v>13.44</v>
      </c>
      <c r="G1008" s="531">
        <v>0.01</v>
      </c>
      <c r="H1008" s="531">
        <v>3.48</v>
      </c>
      <c r="I1008" s="531">
        <f t="shared" si="45"/>
        <v>9.9499999999999993</v>
      </c>
      <c r="J1008" s="529" t="s">
        <v>597</v>
      </c>
    </row>
    <row r="1009" spans="1:10">
      <c r="A1009" s="529">
        <v>20120301</v>
      </c>
      <c r="B1009" s="530" t="s">
        <v>567</v>
      </c>
      <c r="C1009" s="530" t="str">
        <f t="shared" si="43"/>
        <v>20120301LS</v>
      </c>
      <c r="D1009" s="530" t="s">
        <v>319</v>
      </c>
      <c r="E1009" s="530" t="str">
        <f t="shared" si="44"/>
        <v>20120301LGUM_454</v>
      </c>
      <c r="F1009" s="531">
        <v>18.53</v>
      </c>
      <c r="G1009" s="531">
        <v>0.02</v>
      </c>
      <c r="H1009" s="531">
        <v>3.48</v>
      </c>
      <c r="I1009" s="531">
        <f t="shared" si="45"/>
        <v>15.030000000000001</v>
      </c>
      <c r="J1009" s="529" t="s">
        <v>598</v>
      </c>
    </row>
    <row r="1010" spans="1:10">
      <c r="A1010" s="529">
        <v>20120301</v>
      </c>
      <c r="B1010" s="530" t="s">
        <v>567</v>
      </c>
      <c r="C1010" s="530" t="str">
        <f t="shared" si="43"/>
        <v>20120301LS</v>
      </c>
      <c r="D1010" s="530" t="s">
        <v>320</v>
      </c>
      <c r="E1010" s="530" t="str">
        <f t="shared" si="44"/>
        <v>20120301LGUM_455</v>
      </c>
      <c r="F1010" s="531">
        <v>13.23</v>
      </c>
      <c r="G1010" s="531">
        <v>0.01</v>
      </c>
      <c r="H1010" s="531">
        <v>1.34</v>
      </c>
      <c r="I1010" s="531">
        <f t="shared" si="45"/>
        <v>11.88</v>
      </c>
      <c r="J1010" s="529" t="s">
        <v>599</v>
      </c>
    </row>
    <row r="1011" spans="1:10">
      <c r="A1011" s="529">
        <v>20120301</v>
      </c>
      <c r="B1011" s="530" t="s">
        <v>567</v>
      </c>
      <c r="C1011" s="530" t="str">
        <f t="shared" ref="C1011:C1032" si="46">A1011&amp;B1011</f>
        <v>20120301LS</v>
      </c>
      <c r="D1011" s="530" t="s">
        <v>321</v>
      </c>
      <c r="E1011" s="530" t="str">
        <f t="shared" ref="E1011:E1032" si="47">A1011&amp;D1011</f>
        <v>20120301LGUM_456</v>
      </c>
      <c r="F1011" s="531">
        <v>19.5</v>
      </c>
      <c r="G1011" s="531">
        <v>0.02</v>
      </c>
      <c r="H1011" s="531">
        <v>3.48</v>
      </c>
      <c r="I1011" s="531">
        <f t="shared" si="45"/>
        <v>16</v>
      </c>
      <c r="J1011" s="529" t="s">
        <v>600</v>
      </c>
    </row>
    <row r="1012" spans="1:10">
      <c r="A1012" s="529">
        <v>20120301</v>
      </c>
      <c r="B1012" s="530" t="s">
        <v>567</v>
      </c>
      <c r="C1012" s="530" t="str">
        <f t="shared" si="46"/>
        <v>20120301LS</v>
      </c>
      <c r="D1012" s="530" t="s">
        <v>322</v>
      </c>
      <c r="E1012" s="530" t="str">
        <f t="shared" si="47"/>
        <v>20120301LGUM_457</v>
      </c>
      <c r="F1012" s="531">
        <v>10.4</v>
      </c>
      <c r="G1012" s="531">
        <v>0.03</v>
      </c>
      <c r="H1012" s="531">
        <v>0.86</v>
      </c>
      <c r="I1012" s="531">
        <f t="shared" si="45"/>
        <v>9.5100000000000016</v>
      </c>
      <c r="J1012" s="529" t="s">
        <v>601</v>
      </c>
    </row>
    <row r="1013" spans="1:10">
      <c r="A1013" s="529">
        <v>20120301</v>
      </c>
      <c r="B1013" s="530" t="s">
        <v>567</v>
      </c>
      <c r="C1013" s="530" t="str">
        <f t="shared" si="46"/>
        <v>20120301LS</v>
      </c>
      <c r="D1013" s="530" t="s">
        <v>323</v>
      </c>
      <c r="E1013" s="530" t="str">
        <f t="shared" si="47"/>
        <v>20120301LGUM_458</v>
      </c>
      <c r="F1013" s="531">
        <v>10.26</v>
      </c>
      <c r="G1013" s="531">
        <v>0.01</v>
      </c>
      <c r="H1013" s="531">
        <v>3.41</v>
      </c>
      <c r="I1013" s="531">
        <f t="shared" si="45"/>
        <v>6.84</v>
      </c>
      <c r="J1013" s="529" t="s">
        <v>602</v>
      </c>
    </row>
    <row r="1014" spans="1:10">
      <c r="A1014" s="529">
        <v>20120301</v>
      </c>
      <c r="B1014" s="530" t="s">
        <v>567</v>
      </c>
      <c r="C1014" s="530" t="str">
        <f t="shared" si="46"/>
        <v>20120301LS</v>
      </c>
      <c r="D1014" s="530" t="s">
        <v>324</v>
      </c>
      <c r="E1014" s="530" t="str">
        <f t="shared" si="47"/>
        <v>20120301LGUM_459</v>
      </c>
      <c r="F1014" s="531">
        <v>11.74</v>
      </c>
      <c r="G1014" s="531">
        <v>0.01</v>
      </c>
      <c r="H1014" s="531">
        <v>2.17</v>
      </c>
      <c r="I1014" s="531">
        <f t="shared" si="45"/>
        <v>9.56</v>
      </c>
      <c r="J1014" s="529" t="s">
        <v>603</v>
      </c>
    </row>
    <row r="1015" spans="1:10">
      <c r="A1015" s="529">
        <v>20120301</v>
      </c>
      <c r="B1015" s="530" t="s">
        <v>567</v>
      </c>
      <c r="C1015" s="530" t="str">
        <f t="shared" si="46"/>
        <v>20120301LS</v>
      </c>
      <c r="D1015" s="530" t="s">
        <v>325</v>
      </c>
      <c r="E1015" s="530" t="str">
        <f t="shared" si="47"/>
        <v>20120301LGUM_460</v>
      </c>
      <c r="F1015" s="531">
        <v>15.18</v>
      </c>
      <c r="G1015" s="531">
        <v>0.01</v>
      </c>
      <c r="H1015" s="531">
        <v>3.48</v>
      </c>
      <c r="I1015" s="531">
        <f t="shared" si="45"/>
        <v>11.69</v>
      </c>
      <c r="J1015" s="529" t="s">
        <v>604</v>
      </c>
    </row>
    <row r="1016" spans="1:10">
      <c r="A1016" s="529">
        <v>20120301</v>
      </c>
      <c r="B1016" s="530" t="s">
        <v>567</v>
      </c>
      <c r="C1016" s="530" t="str">
        <f t="shared" si="46"/>
        <v>20120301LS</v>
      </c>
      <c r="D1016" s="530" t="s">
        <v>326</v>
      </c>
      <c r="E1016" s="530" t="str">
        <f t="shared" si="47"/>
        <v>20120301LGUM_461</v>
      </c>
      <c r="F1016" s="531">
        <v>16.53</v>
      </c>
      <c r="G1016" s="531">
        <v>0.01</v>
      </c>
      <c r="H1016" s="531">
        <v>3.48</v>
      </c>
      <c r="I1016" s="531">
        <f t="shared" si="45"/>
        <v>13.04</v>
      </c>
      <c r="J1016" s="529" t="s">
        <v>605</v>
      </c>
    </row>
    <row r="1017" spans="1:10">
      <c r="A1017" s="529">
        <v>20120301</v>
      </c>
      <c r="B1017" s="530" t="s">
        <v>567</v>
      </c>
      <c r="C1017" s="530" t="str">
        <f t="shared" si="46"/>
        <v>20120301LS</v>
      </c>
      <c r="D1017" s="530" t="s">
        <v>327</v>
      </c>
      <c r="E1017" s="530" t="str">
        <f t="shared" si="47"/>
        <v>20120301LGUM_462</v>
      </c>
      <c r="F1017" s="531">
        <v>10</v>
      </c>
      <c r="G1017" s="531">
        <v>0.01</v>
      </c>
      <c r="H1017" s="531">
        <v>3.41</v>
      </c>
      <c r="I1017" s="531">
        <f t="shared" si="45"/>
        <v>6.58</v>
      </c>
      <c r="J1017" s="529" t="s">
        <v>606</v>
      </c>
    </row>
    <row r="1018" spans="1:10">
      <c r="A1018" s="529">
        <v>20120301</v>
      </c>
      <c r="B1018" s="530" t="s">
        <v>567</v>
      </c>
      <c r="C1018" s="530" t="str">
        <f t="shared" si="46"/>
        <v>20120301LS</v>
      </c>
      <c r="D1018" s="530" t="s">
        <v>328</v>
      </c>
      <c r="E1018" s="530" t="str">
        <f t="shared" si="47"/>
        <v>20120301LGUM_470</v>
      </c>
      <c r="F1018" s="531">
        <v>11.85</v>
      </c>
      <c r="G1018" s="531">
        <v>0.01</v>
      </c>
      <c r="H1018" s="531">
        <v>1.1100000000000001</v>
      </c>
      <c r="I1018" s="531">
        <f t="shared" si="45"/>
        <v>10.73</v>
      </c>
      <c r="J1018" s="529" t="s">
        <v>607</v>
      </c>
    </row>
    <row r="1019" spans="1:10">
      <c r="A1019" s="529">
        <v>20120301</v>
      </c>
      <c r="B1019" s="530" t="s">
        <v>567</v>
      </c>
      <c r="C1019" s="530" t="str">
        <f t="shared" si="46"/>
        <v>20120301LS</v>
      </c>
      <c r="D1019" s="530" t="s">
        <v>329</v>
      </c>
      <c r="E1019" s="530" t="str">
        <f t="shared" si="47"/>
        <v>20120301LGUM_471</v>
      </c>
      <c r="F1019" s="531">
        <v>14.05</v>
      </c>
      <c r="G1019" s="531">
        <v>0.01</v>
      </c>
      <c r="H1019" s="531">
        <v>1.1100000000000001</v>
      </c>
      <c r="I1019" s="531">
        <f t="shared" si="45"/>
        <v>12.930000000000001</v>
      </c>
      <c r="J1019" s="529" t="s">
        <v>608</v>
      </c>
    </row>
    <row r="1020" spans="1:10">
      <c r="A1020" s="529">
        <v>20120301</v>
      </c>
      <c r="B1020" s="530" t="s">
        <v>567</v>
      </c>
      <c r="C1020" s="530" t="str">
        <f t="shared" si="46"/>
        <v>20120301LS</v>
      </c>
      <c r="D1020" s="530" t="s">
        <v>609</v>
      </c>
      <c r="E1020" s="530" t="str">
        <f t="shared" si="47"/>
        <v>20120301LGUM_472</v>
      </c>
      <c r="F1020" s="531">
        <v>21.26</v>
      </c>
      <c r="G1020" s="531">
        <v>0.01</v>
      </c>
      <c r="H1020" s="531">
        <v>1.1100000000000001</v>
      </c>
      <c r="I1020" s="531">
        <f t="shared" si="45"/>
        <v>20.14</v>
      </c>
      <c r="J1020" s="529" t="s">
        <v>610</v>
      </c>
    </row>
    <row r="1021" spans="1:10">
      <c r="A1021" s="529">
        <v>20120301</v>
      </c>
      <c r="B1021" s="530" t="s">
        <v>567</v>
      </c>
      <c r="C1021" s="530" t="str">
        <f t="shared" si="46"/>
        <v>20120301LS</v>
      </c>
      <c r="D1021" s="530" t="s">
        <v>330</v>
      </c>
      <c r="E1021" s="530" t="str">
        <f t="shared" si="47"/>
        <v>20120301LGUM_473</v>
      </c>
      <c r="F1021" s="531">
        <v>17.189999999999998</v>
      </c>
      <c r="G1021" s="531">
        <v>0.02</v>
      </c>
      <c r="H1021" s="531">
        <v>2.58</v>
      </c>
      <c r="I1021" s="531">
        <f t="shared" si="45"/>
        <v>14.589999999999998</v>
      </c>
      <c r="J1021" s="529" t="s">
        <v>611</v>
      </c>
    </row>
    <row r="1022" spans="1:10">
      <c r="A1022" s="529">
        <v>20120301</v>
      </c>
      <c r="B1022" s="530" t="s">
        <v>567</v>
      </c>
      <c r="C1022" s="530" t="str">
        <f t="shared" si="46"/>
        <v>20120301LS</v>
      </c>
      <c r="D1022" s="530" t="s">
        <v>331</v>
      </c>
      <c r="E1022" s="530" t="str">
        <f t="shared" si="47"/>
        <v>20120301LGUM_474</v>
      </c>
      <c r="F1022" s="531">
        <v>19.399999999999999</v>
      </c>
      <c r="G1022" s="531">
        <v>0.02</v>
      </c>
      <c r="H1022" s="531">
        <v>2.58</v>
      </c>
      <c r="I1022" s="531">
        <f t="shared" si="45"/>
        <v>16.799999999999997</v>
      </c>
      <c r="J1022" s="529" t="s">
        <v>612</v>
      </c>
    </row>
    <row r="1023" spans="1:10">
      <c r="A1023" s="529">
        <v>20120301</v>
      </c>
      <c r="B1023" s="530" t="s">
        <v>567</v>
      </c>
      <c r="C1023" s="530" t="str">
        <f t="shared" si="46"/>
        <v>20120301LS</v>
      </c>
      <c r="D1023" s="530" t="s">
        <v>332</v>
      </c>
      <c r="E1023" s="530" t="str">
        <f t="shared" si="47"/>
        <v>20120301LGUM_475</v>
      </c>
      <c r="F1023" s="531">
        <v>26.6</v>
      </c>
      <c r="G1023" s="531">
        <v>0.02</v>
      </c>
      <c r="H1023" s="531">
        <v>2.58</v>
      </c>
      <c r="I1023" s="531">
        <f t="shared" si="45"/>
        <v>24</v>
      </c>
      <c r="J1023" s="529" t="s">
        <v>613</v>
      </c>
    </row>
    <row r="1024" spans="1:10">
      <c r="A1024" s="529">
        <v>20120301</v>
      </c>
      <c r="B1024" s="530" t="s">
        <v>567</v>
      </c>
      <c r="C1024" s="530" t="str">
        <f t="shared" si="46"/>
        <v>20120301LS</v>
      </c>
      <c r="D1024" s="530" t="s">
        <v>333</v>
      </c>
      <c r="E1024" s="530" t="str">
        <f t="shared" si="47"/>
        <v>20120301LGUM_476</v>
      </c>
      <c r="F1024" s="531">
        <v>35.92</v>
      </c>
      <c r="G1024" s="531">
        <v>0.04</v>
      </c>
      <c r="H1024" s="531">
        <v>7.97</v>
      </c>
      <c r="I1024" s="531">
        <f t="shared" si="45"/>
        <v>27.910000000000004</v>
      </c>
      <c r="J1024" s="529" t="s">
        <v>614</v>
      </c>
    </row>
    <row r="1025" spans="1:10">
      <c r="A1025" s="529">
        <v>20120301</v>
      </c>
      <c r="B1025" s="530" t="s">
        <v>567</v>
      </c>
      <c r="C1025" s="530" t="str">
        <f t="shared" si="46"/>
        <v>20120301LS</v>
      </c>
      <c r="D1025" s="530" t="s">
        <v>334</v>
      </c>
      <c r="E1025" s="530" t="str">
        <f t="shared" si="47"/>
        <v>20120301LGUM_477</v>
      </c>
      <c r="F1025" s="531">
        <v>38.990000000000009</v>
      </c>
      <c r="G1025" s="531">
        <v>0.04</v>
      </c>
      <c r="H1025" s="531">
        <v>7.97</v>
      </c>
      <c r="I1025" s="531">
        <f t="shared" si="45"/>
        <v>30.980000000000011</v>
      </c>
      <c r="J1025" s="529" t="s">
        <v>615</v>
      </c>
    </row>
    <row r="1026" spans="1:10">
      <c r="A1026" s="529">
        <v>20120301</v>
      </c>
      <c r="B1026" s="530" t="s">
        <v>567</v>
      </c>
      <c r="C1026" s="530" t="str">
        <f t="shared" si="46"/>
        <v>20120301LS</v>
      </c>
      <c r="D1026" s="530" t="s">
        <v>616</v>
      </c>
      <c r="E1026" s="530" t="str">
        <f t="shared" si="47"/>
        <v>20120301LGUM_478</v>
      </c>
      <c r="F1026" s="531">
        <v>45.320000000000007</v>
      </c>
      <c r="G1026" s="531">
        <v>0.04</v>
      </c>
      <c r="H1026" s="531">
        <v>7.97</v>
      </c>
      <c r="I1026" s="531">
        <f t="shared" si="45"/>
        <v>37.310000000000009</v>
      </c>
      <c r="J1026" s="529" t="s">
        <v>617</v>
      </c>
    </row>
    <row r="1027" spans="1:10">
      <c r="A1027" s="529">
        <v>20120301</v>
      </c>
      <c r="B1027" s="530" t="s">
        <v>567</v>
      </c>
      <c r="C1027" s="530" t="str">
        <f t="shared" si="46"/>
        <v>20120301LS</v>
      </c>
      <c r="D1027" s="530" t="s">
        <v>618</v>
      </c>
      <c r="E1027" s="530" t="str">
        <f t="shared" si="47"/>
        <v>20120301LGUM_479</v>
      </c>
      <c r="F1027" s="531">
        <v>13.08</v>
      </c>
      <c r="G1027" s="531">
        <v>0.01</v>
      </c>
      <c r="H1027" s="531">
        <v>1.1100000000000001</v>
      </c>
      <c r="I1027" s="531">
        <f t="shared" si="45"/>
        <v>11.96</v>
      </c>
      <c r="J1027" s="529" t="s">
        <v>619</v>
      </c>
    </row>
    <row r="1028" spans="1:10">
      <c r="A1028" s="529">
        <v>20120301</v>
      </c>
      <c r="B1028" s="530" t="s">
        <v>567</v>
      </c>
      <c r="C1028" s="530" t="str">
        <f t="shared" si="46"/>
        <v>20120301LS</v>
      </c>
      <c r="D1028" s="530" t="s">
        <v>620</v>
      </c>
      <c r="E1028" s="530" t="str">
        <f t="shared" si="47"/>
        <v>20120301LGUM_480</v>
      </c>
      <c r="F1028" s="531">
        <v>22.51</v>
      </c>
      <c r="G1028" s="531">
        <v>0.01</v>
      </c>
      <c r="H1028" s="531">
        <v>1.1100000000000001</v>
      </c>
      <c r="I1028" s="531">
        <f t="shared" si="45"/>
        <v>21.39</v>
      </c>
      <c r="J1028" s="529" t="s">
        <v>621</v>
      </c>
    </row>
    <row r="1029" spans="1:10">
      <c r="A1029" s="529">
        <v>20120301</v>
      </c>
      <c r="B1029" s="530" t="s">
        <v>567</v>
      </c>
      <c r="C1029" s="530" t="str">
        <f t="shared" si="46"/>
        <v>20120301LS</v>
      </c>
      <c r="D1029" s="530" t="s">
        <v>360</v>
      </c>
      <c r="E1029" s="530" t="str">
        <f t="shared" si="47"/>
        <v>20120301LGUM_481</v>
      </c>
      <c r="F1029" s="531">
        <v>18.91</v>
      </c>
      <c r="G1029" s="531">
        <v>0.02</v>
      </c>
      <c r="H1029" s="531">
        <v>2.58</v>
      </c>
      <c r="I1029" s="531">
        <f t="shared" ref="I1029:I1033" si="48">F1029-G1029-H1029</f>
        <v>16.310000000000002</v>
      </c>
      <c r="J1029" s="529" t="s">
        <v>622</v>
      </c>
    </row>
    <row r="1030" spans="1:10">
      <c r="A1030" s="529">
        <v>20120301</v>
      </c>
      <c r="B1030" s="530" t="s">
        <v>567</v>
      </c>
      <c r="C1030" s="530" t="str">
        <f t="shared" si="46"/>
        <v>20120301LS</v>
      </c>
      <c r="D1030" s="530" t="s">
        <v>335</v>
      </c>
      <c r="E1030" s="530" t="str">
        <f t="shared" si="47"/>
        <v>20120301LGUM_482</v>
      </c>
      <c r="F1030" s="531">
        <v>28.33</v>
      </c>
      <c r="G1030" s="531">
        <v>0.02</v>
      </c>
      <c r="H1030" s="531">
        <v>2.58</v>
      </c>
      <c r="I1030" s="531">
        <f t="shared" si="48"/>
        <v>25.729999999999997</v>
      </c>
      <c r="J1030" s="529" t="s">
        <v>623</v>
      </c>
    </row>
    <row r="1031" spans="1:10">
      <c r="A1031" s="529">
        <v>20120301</v>
      </c>
      <c r="B1031" s="530" t="s">
        <v>567</v>
      </c>
      <c r="C1031" s="530" t="str">
        <f t="shared" si="46"/>
        <v>20120301LS</v>
      </c>
      <c r="D1031" s="530" t="s">
        <v>336</v>
      </c>
      <c r="E1031" s="530" t="str">
        <f t="shared" si="47"/>
        <v>20120301LGUM_483</v>
      </c>
      <c r="F1031" s="531">
        <v>38.78</v>
      </c>
      <c r="G1031" s="531">
        <v>0.04</v>
      </c>
      <c r="H1031" s="531">
        <v>7.97</v>
      </c>
      <c r="I1031" s="531">
        <f t="shared" si="48"/>
        <v>30.770000000000003</v>
      </c>
      <c r="J1031" s="529" t="s">
        <v>624</v>
      </c>
    </row>
    <row r="1032" spans="1:10">
      <c r="A1032" s="529">
        <v>20120301</v>
      </c>
      <c r="B1032" s="530" t="s">
        <v>567</v>
      </c>
      <c r="C1032" s="530" t="str">
        <f t="shared" si="46"/>
        <v>20120301LS</v>
      </c>
      <c r="D1032" s="530" t="s">
        <v>337</v>
      </c>
      <c r="E1032" s="530" t="str">
        <f t="shared" si="47"/>
        <v>20120301LGUM_484</v>
      </c>
      <c r="F1032" s="531">
        <v>48.19</v>
      </c>
      <c r="G1032" s="531">
        <v>0.04</v>
      </c>
      <c r="H1032" s="531">
        <v>7.97</v>
      </c>
      <c r="I1032" s="531">
        <f t="shared" si="48"/>
        <v>40.18</v>
      </c>
      <c r="J1032" s="529" t="s">
        <v>625</v>
      </c>
    </row>
    <row r="1033" spans="1:10">
      <c r="A1033" s="534">
        <v>20130101</v>
      </c>
      <c r="B1033" s="535" t="s">
        <v>459</v>
      </c>
      <c r="C1033" s="535" t="str">
        <f t="shared" ref="C1033:C1064" si="49">A1033&amp;B1033</f>
        <v>20130101RLS</v>
      </c>
      <c r="D1033" s="535" t="s">
        <v>138</v>
      </c>
      <c r="E1033" s="535" t="str">
        <f t="shared" ref="E1033:E1064" si="50">A1033&amp;D1033</f>
        <v>20130101LGUM_002</v>
      </c>
      <c r="F1033" s="536">
        <v>9.06</v>
      </c>
      <c r="G1033" s="536">
        <f>VLOOKUP(D1033,$D$773:$I$1032,4,FALSE)</f>
        <v>0.01</v>
      </c>
      <c r="H1033" s="536">
        <f>VLOOKUP($D1033,$D$773:$I$1032,5,FALSE)</f>
        <v>1.55</v>
      </c>
      <c r="I1033" s="536">
        <f t="shared" si="48"/>
        <v>7.5000000000000009</v>
      </c>
      <c r="J1033" s="537" t="s">
        <v>461</v>
      </c>
    </row>
    <row r="1034" spans="1:10">
      <c r="A1034" s="534">
        <v>20130101</v>
      </c>
      <c r="B1034" s="535" t="s">
        <v>459</v>
      </c>
      <c r="C1034" s="535" t="str">
        <f t="shared" si="49"/>
        <v>20130101RLS</v>
      </c>
      <c r="D1034" s="535" t="s">
        <v>187</v>
      </c>
      <c r="E1034" s="535" t="str">
        <f t="shared" si="50"/>
        <v>20130101LGUM_152</v>
      </c>
      <c r="F1034" s="536">
        <v>9.06</v>
      </c>
      <c r="G1034" s="536">
        <f t="shared" ref="G1034:G1097" si="51">VLOOKUP(D1034,$D$773:$I$1032,4,FALSE)</f>
        <v>0.01</v>
      </c>
      <c r="H1034" s="536">
        <f t="shared" ref="H1034:H1097" si="52">VLOOKUP($D1034,$D$773:$I$1032,5,FALSE)</f>
        <v>1.55</v>
      </c>
      <c r="I1034" s="536">
        <f t="shared" ref="I1034:I1097" si="53">F1034-G1034-H1034</f>
        <v>7.5000000000000009</v>
      </c>
      <c r="J1034" s="537" t="s">
        <v>491</v>
      </c>
    </row>
    <row r="1035" spans="1:10">
      <c r="A1035" s="534">
        <v>20130101</v>
      </c>
      <c r="B1035" s="535" t="s">
        <v>459</v>
      </c>
      <c r="C1035" s="535" t="str">
        <f t="shared" si="49"/>
        <v>20130101RLS</v>
      </c>
      <c r="D1035" s="535" t="s">
        <v>197</v>
      </c>
      <c r="E1035" s="535" t="str">
        <f t="shared" si="50"/>
        <v>20130101LGUM_163</v>
      </c>
      <c r="F1035" s="536">
        <v>17.14</v>
      </c>
      <c r="G1035" s="536">
        <f t="shared" si="51"/>
        <v>0.02</v>
      </c>
      <c r="H1035" s="536">
        <f t="shared" si="52"/>
        <v>3.65</v>
      </c>
      <c r="I1035" s="536">
        <f t="shared" si="53"/>
        <v>13.47</v>
      </c>
      <c r="J1035" s="537" t="s">
        <v>506</v>
      </c>
    </row>
    <row r="1036" spans="1:10">
      <c r="A1036" s="534">
        <v>20130101</v>
      </c>
      <c r="B1036" s="535" t="s">
        <v>459</v>
      </c>
      <c r="C1036" s="535" t="str">
        <f t="shared" si="49"/>
        <v>20130101RLS</v>
      </c>
      <c r="D1036" s="538" t="s">
        <v>342</v>
      </c>
      <c r="E1036" s="535" t="str">
        <f t="shared" si="50"/>
        <v>20130101LGUM_201</v>
      </c>
      <c r="F1036" s="536">
        <v>7.82</v>
      </c>
      <c r="G1036" s="536">
        <f t="shared" si="51"/>
        <v>0.01</v>
      </c>
      <c r="H1036" s="536">
        <f t="shared" si="52"/>
        <v>0.92</v>
      </c>
      <c r="I1036" s="536">
        <f t="shared" si="53"/>
        <v>6.8900000000000006</v>
      </c>
      <c r="J1036" s="534" t="s">
        <v>460</v>
      </c>
    </row>
    <row r="1037" spans="1:10">
      <c r="A1037" s="534">
        <v>20130101</v>
      </c>
      <c r="B1037" s="535" t="s">
        <v>459</v>
      </c>
      <c r="C1037" s="535" t="str">
        <f t="shared" si="49"/>
        <v>20130101RLS</v>
      </c>
      <c r="D1037" s="535" t="s">
        <v>212</v>
      </c>
      <c r="E1037" s="535" t="str">
        <f t="shared" si="50"/>
        <v>20130101LGUM_202</v>
      </c>
      <c r="F1037" s="536">
        <v>9.06</v>
      </c>
      <c r="G1037" s="536">
        <f t="shared" si="51"/>
        <v>0.01</v>
      </c>
      <c r="H1037" s="536">
        <f t="shared" si="52"/>
        <v>1.55</v>
      </c>
      <c r="I1037" s="536">
        <f t="shared" si="53"/>
        <v>7.5000000000000009</v>
      </c>
      <c r="J1037" s="537" t="s">
        <v>461</v>
      </c>
    </row>
    <row r="1038" spans="1:10">
      <c r="A1038" s="534">
        <v>20130101</v>
      </c>
      <c r="B1038" s="535" t="s">
        <v>459</v>
      </c>
      <c r="C1038" s="535" t="str">
        <f t="shared" si="49"/>
        <v>20130101RLS</v>
      </c>
      <c r="D1038" s="535" t="s">
        <v>213</v>
      </c>
      <c r="E1038" s="535" t="str">
        <f t="shared" si="50"/>
        <v>20130101LGUM_203</v>
      </c>
      <c r="F1038" s="536">
        <v>10.28</v>
      </c>
      <c r="G1038" s="536">
        <f t="shared" si="51"/>
        <v>0.01</v>
      </c>
      <c r="H1038" s="536">
        <f t="shared" si="52"/>
        <v>2.2000000000000002</v>
      </c>
      <c r="I1038" s="536">
        <f t="shared" si="53"/>
        <v>8.07</v>
      </c>
      <c r="J1038" s="537" t="s">
        <v>462</v>
      </c>
    </row>
    <row r="1039" spans="1:10">
      <c r="A1039" s="534">
        <v>20130101</v>
      </c>
      <c r="B1039" s="535" t="s">
        <v>459</v>
      </c>
      <c r="C1039" s="535" t="str">
        <f t="shared" si="49"/>
        <v>20130101RLS</v>
      </c>
      <c r="D1039" s="535" t="s">
        <v>214</v>
      </c>
      <c r="E1039" s="535" t="str">
        <f t="shared" si="50"/>
        <v>20130101LGUM_204</v>
      </c>
      <c r="F1039" s="536">
        <v>12.51</v>
      </c>
      <c r="G1039" s="536">
        <f t="shared" si="51"/>
        <v>0.01</v>
      </c>
      <c r="H1039" s="536">
        <f t="shared" si="52"/>
        <v>3.41</v>
      </c>
      <c r="I1039" s="536">
        <f t="shared" si="53"/>
        <v>9.09</v>
      </c>
      <c r="J1039" s="537" t="s">
        <v>463</v>
      </c>
    </row>
    <row r="1040" spans="1:10">
      <c r="A1040" s="534">
        <v>20130101</v>
      </c>
      <c r="B1040" s="535" t="s">
        <v>459</v>
      </c>
      <c r="C1040" s="535" t="str">
        <f t="shared" si="49"/>
        <v>20130101RLS</v>
      </c>
      <c r="D1040" s="535" t="s">
        <v>343</v>
      </c>
      <c r="E1040" s="535" t="str">
        <f t="shared" si="50"/>
        <v>20130101LGUM_205</v>
      </c>
      <c r="F1040" s="536">
        <v>10.42</v>
      </c>
      <c r="G1040" s="536">
        <f t="shared" si="51"/>
        <v>0.01</v>
      </c>
      <c r="H1040" s="536">
        <f t="shared" si="52"/>
        <v>1.07</v>
      </c>
      <c r="I1040" s="536">
        <f t="shared" si="53"/>
        <v>9.34</v>
      </c>
      <c r="J1040" s="537" t="s">
        <v>464</v>
      </c>
    </row>
    <row r="1041" spans="1:10">
      <c r="A1041" s="534">
        <v>20130101</v>
      </c>
      <c r="B1041" s="535" t="s">
        <v>459</v>
      </c>
      <c r="C1041" s="535" t="str">
        <f t="shared" si="49"/>
        <v>20130101RLS</v>
      </c>
      <c r="D1041" s="535" t="s">
        <v>215</v>
      </c>
      <c r="E1041" s="535" t="str">
        <f t="shared" si="50"/>
        <v>20130101LGUM_206</v>
      </c>
      <c r="F1041" s="536">
        <v>12.13</v>
      </c>
      <c r="G1041" s="536">
        <f t="shared" si="51"/>
        <v>0.01</v>
      </c>
      <c r="H1041" s="536">
        <f t="shared" si="52"/>
        <v>0.92</v>
      </c>
      <c r="I1041" s="536">
        <f t="shared" si="53"/>
        <v>11.200000000000001</v>
      </c>
      <c r="J1041" s="537" t="s">
        <v>466</v>
      </c>
    </row>
    <row r="1042" spans="1:10">
      <c r="A1042" s="534">
        <v>20130101</v>
      </c>
      <c r="B1042" s="535" t="s">
        <v>459</v>
      </c>
      <c r="C1042" s="535" t="str">
        <f t="shared" si="49"/>
        <v>20130101RLS</v>
      </c>
      <c r="D1042" s="535" t="s">
        <v>216</v>
      </c>
      <c r="E1042" s="535" t="str">
        <f t="shared" si="50"/>
        <v>20130101LGUM_207</v>
      </c>
      <c r="F1042" s="536">
        <v>14.54</v>
      </c>
      <c r="G1042" s="536">
        <f t="shared" si="51"/>
        <v>0.01</v>
      </c>
      <c r="H1042" s="536">
        <f t="shared" si="52"/>
        <v>3.41</v>
      </c>
      <c r="I1042" s="536">
        <f t="shared" si="53"/>
        <v>11.12</v>
      </c>
      <c r="J1042" s="537" t="s">
        <v>467</v>
      </c>
    </row>
    <row r="1043" spans="1:10">
      <c r="A1043" s="534">
        <v>20130101</v>
      </c>
      <c r="B1043" s="535" t="s">
        <v>459</v>
      </c>
      <c r="C1043" s="535" t="str">
        <f t="shared" si="49"/>
        <v>20130101RLS</v>
      </c>
      <c r="D1043" s="535" t="s">
        <v>217</v>
      </c>
      <c r="E1043" s="535" t="str">
        <f t="shared" si="50"/>
        <v>20130101LGUM_208</v>
      </c>
      <c r="F1043" s="536">
        <v>13.73</v>
      </c>
      <c r="G1043" s="536">
        <f t="shared" si="51"/>
        <v>0.01</v>
      </c>
      <c r="H1043" s="536">
        <f t="shared" si="52"/>
        <v>1.55</v>
      </c>
      <c r="I1043" s="536">
        <f t="shared" si="53"/>
        <v>12.17</v>
      </c>
      <c r="J1043" s="537" t="s">
        <v>468</v>
      </c>
    </row>
    <row r="1044" spans="1:10">
      <c r="A1044" s="534">
        <v>20130101</v>
      </c>
      <c r="B1044" s="535" t="s">
        <v>459</v>
      </c>
      <c r="C1044" s="535" t="str">
        <f t="shared" si="49"/>
        <v>20130101RLS</v>
      </c>
      <c r="D1044" s="535" t="s">
        <v>344</v>
      </c>
      <c r="E1044" s="535" t="str">
        <f t="shared" si="50"/>
        <v>20130101LGUM_209</v>
      </c>
      <c r="F1044" s="536">
        <v>25.29</v>
      </c>
      <c r="G1044" s="536">
        <f t="shared" si="51"/>
        <v>0.02</v>
      </c>
      <c r="H1044" s="536">
        <f t="shared" si="52"/>
        <v>8.16</v>
      </c>
      <c r="I1044" s="536">
        <f t="shared" si="53"/>
        <v>17.11</v>
      </c>
      <c r="J1044" s="537" t="s">
        <v>470</v>
      </c>
    </row>
    <row r="1045" spans="1:10">
      <c r="A1045" s="534">
        <v>20130101</v>
      </c>
      <c r="B1045" s="535" t="s">
        <v>459</v>
      </c>
      <c r="C1045" s="535" t="str">
        <f t="shared" si="49"/>
        <v>20130101RLS</v>
      </c>
      <c r="D1045" s="535" t="s">
        <v>218</v>
      </c>
      <c r="E1045" s="535" t="str">
        <f t="shared" si="50"/>
        <v>20130101LGUM_210</v>
      </c>
      <c r="F1045" s="536">
        <v>26.49</v>
      </c>
      <c r="G1045" s="536">
        <f t="shared" si="51"/>
        <v>0.02</v>
      </c>
      <c r="H1045" s="536">
        <f t="shared" si="52"/>
        <v>8.16</v>
      </c>
      <c r="I1045" s="536">
        <f t="shared" si="53"/>
        <v>18.309999999999999</v>
      </c>
      <c r="J1045" s="537" t="s">
        <v>471</v>
      </c>
    </row>
    <row r="1046" spans="1:10">
      <c r="A1046" s="534">
        <v>20130101</v>
      </c>
      <c r="B1046" s="535" t="s">
        <v>459</v>
      </c>
      <c r="C1046" s="535" t="str">
        <f t="shared" si="49"/>
        <v>20130101RLS</v>
      </c>
      <c r="D1046" s="535" t="s">
        <v>219</v>
      </c>
      <c r="E1046" s="535" t="str">
        <f t="shared" si="50"/>
        <v>20130101LGUM_211</v>
      </c>
      <c r="F1046" s="536">
        <v>14.33</v>
      </c>
      <c r="G1046" s="536">
        <f t="shared" si="51"/>
        <v>0.02</v>
      </c>
      <c r="H1046" s="536">
        <f t="shared" si="52"/>
        <v>2.2999999999999998</v>
      </c>
      <c r="I1046" s="536">
        <f t="shared" si="53"/>
        <v>12.010000000000002</v>
      </c>
      <c r="J1046" s="537" t="s">
        <v>472</v>
      </c>
    </row>
    <row r="1047" spans="1:10">
      <c r="A1047" s="534">
        <v>20130101</v>
      </c>
      <c r="B1047" s="535" t="s">
        <v>459</v>
      </c>
      <c r="C1047" s="535" t="str">
        <f t="shared" si="49"/>
        <v>20130101RLS</v>
      </c>
      <c r="D1047" s="535" t="s">
        <v>220</v>
      </c>
      <c r="E1047" s="535" t="str">
        <f t="shared" si="50"/>
        <v>20130101LGUM_212</v>
      </c>
      <c r="F1047" s="536">
        <v>16.309999999999999</v>
      </c>
      <c r="G1047" s="536">
        <f t="shared" si="51"/>
        <v>0.02</v>
      </c>
      <c r="H1047" s="536">
        <f t="shared" si="52"/>
        <v>3.65</v>
      </c>
      <c r="I1047" s="536">
        <f t="shared" si="53"/>
        <v>12.639999999999999</v>
      </c>
      <c r="J1047" s="537" t="s">
        <v>473</v>
      </c>
    </row>
    <row r="1048" spans="1:10">
      <c r="A1048" s="534">
        <v>20130101</v>
      </c>
      <c r="B1048" s="535" t="s">
        <v>459</v>
      </c>
      <c r="C1048" s="535" t="str">
        <f t="shared" si="49"/>
        <v>20130101RLS</v>
      </c>
      <c r="D1048" s="535" t="s">
        <v>345</v>
      </c>
      <c r="E1048" s="535" t="str">
        <f t="shared" si="50"/>
        <v>20130101LGUM_213</v>
      </c>
      <c r="F1048" s="536">
        <v>17.14</v>
      </c>
      <c r="G1048" s="536">
        <f t="shared" si="51"/>
        <v>0.02</v>
      </c>
      <c r="H1048" s="536">
        <f t="shared" si="52"/>
        <v>3.65</v>
      </c>
      <c r="I1048" s="536">
        <f t="shared" si="53"/>
        <v>13.47</v>
      </c>
      <c r="J1048" s="537" t="s">
        <v>474</v>
      </c>
    </row>
    <row r="1049" spans="1:10">
      <c r="A1049" s="534">
        <v>20130101</v>
      </c>
      <c r="B1049" s="535" t="s">
        <v>459</v>
      </c>
      <c r="C1049" s="535" t="str">
        <f t="shared" si="49"/>
        <v>20130101RLS</v>
      </c>
      <c r="D1049" s="535" t="s">
        <v>346</v>
      </c>
      <c r="E1049" s="535" t="str">
        <f t="shared" si="50"/>
        <v>20130101LGUM_216</v>
      </c>
      <c r="F1049" s="536">
        <v>26.59</v>
      </c>
      <c r="G1049" s="536">
        <f t="shared" si="51"/>
        <v>0.02</v>
      </c>
      <c r="H1049" s="536">
        <f t="shared" si="52"/>
        <v>2.2999999999999998</v>
      </c>
      <c r="I1049" s="536">
        <f t="shared" si="53"/>
        <v>24.27</v>
      </c>
      <c r="J1049" s="537" t="s">
        <v>476</v>
      </c>
    </row>
    <row r="1050" spans="1:10">
      <c r="A1050" s="534">
        <v>20130101</v>
      </c>
      <c r="B1050" s="535" t="s">
        <v>459</v>
      </c>
      <c r="C1050" s="535" t="str">
        <f t="shared" si="49"/>
        <v>20130101RLS</v>
      </c>
      <c r="D1050" s="535" t="s">
        <v>347</v>
      </c>
      <c r="E1050" s="535" t="str">
        <f t="shared" si="50"/>
        <v>20130101LGUM_217</v>
      </c>
      <c r="F1050" s="536">
        <v>30.33</v>
      </c>
      <c r="G1050" s="536">
        <f t="shared" si="51"/>
        <v>0.02</v>
      </c>
      <c r="H1050" s="536">
        <f t="shared" si="52"/>
        <v>3.65</v>
      </c>
      <c r="I1050" s="536">
        <f t="shared" si="53"/>
        <v>26.66</v>
      </c>
      <c r="J1050" s="537" t="s">
        <v>478</v>
      </c>
    </row>
    <row r="1051" spans="1:10">
      <c r="A1051" s="534">
        <v>20130101</v>
      </c>
      <c r="B1051" s="535" t="s">
        <v>459</v>
      </c>
      <c r="C1051" s="535" t="str">
        <f t="shared" si="49"/>
        <v>20130101RLS</v>
      </c>
      <c r="D1051" s="535" t="s">
        <v>221</v>
      </c>
      <c r="E1051" s="535" t="str">
        <f t="shared" si="50"/>
        <v>20130101LGUM_222</v>
      </c>
      <c r="F1051" s="536">
        <v>12.28</v>
      </c>
      <c r="G1051" s="536">
        <f t="shared" si="51"/>
        <v>0.01</v>
      </c>
      <c r="H1051" s="536">
        <f t="shared" si="52"/>
        <v>1.55</v>
      </c>
      <c r="I1051" s="536">
        <f t="shared" si="53"/>
        <v>10.719999999999999</v>
      </c>
      <c r="J1051" s="537" t="s">
        <v>479</v>
      </c>
    </row>
    <row r="1052" spans="1:10">
      <c r="A1052" s="534">
        <v>20130101</v>
      </c>
      <c r="B1052" s="535" t="s">
        <v>459</v>
      </c>
      <c r="C1052" s="535" t="str">
        <f t="shared" si="49"/>
        <v>20130101RLS</v>
      </c>
      <c r="D1052" s="535" t="s">
        <v>348</v>
      </c>
      <c r="E1052" s="535" t="str">
        <f t="shared" si="50"/>
        <v>20130101LGUM_223</v>
      </c>
      <c r="F1052" s="536">
        <v>13.23</v>
      </c>
      <c r="G1052" s="536">
        <f t="shared" si="51"/>
        <v>0.01</v>
      </c>
      <c r="H1052" s="536">
        <f t="shared" si="52"/>
        <v>1.55</v>
      </c>
      <c r="I1052" s="536">
        <f t="shared" si="53"/>
        <v>11.67</v>
      </c>
      <c r="J1052" s="537" t="s">
        <v>480</v>
      </c>
    </row>
    <row r="1053" spans="1:10">
      <c r="A1053" s="534">
        <v>20130101</v>
      </c>
      <c r="B1053" s="535" t="s">
        <v>459</v>
      </c>
      <c r="C1053" s="535" t="str">
        <f t="shared" si="49"/>
        <v>20130101RLS</v>
      </c>
      <c r="D1053" s="535" t="s">
        <v>222</v>
      </c>
      <c r="E1053" s="535" t="str">
        <f t="shared" si="50"/>
        <v>20130101LGUM_224</v>
      </c>
      <c r="F1053" s="536">
        <v>16.73</v>
      </c>
      <c r="G1053" s="536">
        <f t="shared" si="51"/>
        <v>0.01</v>
      </c>
      <c r="H1053" s="536">
        <f t="shared" si="52"/>
        <v>1.07</v>
      </c>
      <c r="I1053" s="536">
        <f t="shared" si="53"/>
        <v>15.649999999999999</v>
      </c>
      <c r="J1053" s="537" t="s">
        <v>481</v>
      </c>
    </row>
    <row r="1054" spans="1:10">
      <c r="A1054" s="534">
        <v>20130101</v>
      </c>
      <c r="B1054" s="535" t="s">
        <v>459</v>
      </c>
      <c r="C1054" s="535" t="str">
        <f t="shared" si="49"/>
        <v>20130101RLS</v>
      </c>
      <c r="D1054" s="535" t="s">
        <v>484</v>
      </c>
      <c r="E1054" s="535" t="str">
        <f t="shared" si="50"/>
        <v>20130101LGUM_225</v>
      </c>
      <c r="F1054" s="536">
        <v>24.35</v>
      </c>
      <c r="G1054" s="536">
        <f t="shared" si="51"/>
        <v>0.01</v>
      </c>
      <c r="H1054" s="536">
        <f t="shared" si="52"/>
        <v>1.55</v>
      </c>
      <c r="I1054" s="536">
        <f t="shared" si="53"/>
        <v>22.79</v>
      </c>
      <c r="J1054" s="537" t="s">
        <v>479</v>
      </c>
    </row>
    <row r="1055" spans="1:10">
      <c r="A1055" s="534">
        <v>20130101</v>
      </c>
      <c r="B1055" s="535" t="s">
        <v>459</v>
      </c>
      <c r="C1055" s="535" t="str">
        <f t="shared" si="49"/>
        <v>20130101RLS</v>
      </c>
      <c r="D1055" s="535" t="s">
        <v>488</v>
      </c>
      <c r="E1055" s="535" t="str">
        <f t="shared" si="50"/>
        <v>20130101LGUM_226</v>
      </c>
      <c r="F1055" s="536">
        <v>13.78</v>
      </c>
      <c r="G1055" s="536">
        <f t="shared" si="51"/>
        <v>0.01</v>
      </c>
      <c r="H1055" s="536">
        <f t="shared" si="52"/>
        <v>0.74</v>
      </c>
      <c r="I1055" s="536">
        <f t="shared" si="53"/>
        <v>13.03</v>
      </c>
      <c r="J1055" s="537" t="s">
        <v>486</v>
      </c>
    </row>
    <row r="1056" spans="1:10">
      <c r="A1056" s="534">
        <v>20130101</v>
      </c>
      <c r="B1056" s="535" t="s">
        <v>459</v>
      </c>
      <c r="C1056" s="535" t="str">
        <f t="shared" si="49"/>
        <v>20130101RLS</v>
      </c>
      <c r="D1056" s="535" t="s">
        <v>489</v>
      </c>
      <c r="E1056" s="535" t="str">
        <f t="shared" si="50"/>
        <v>20130101LGUM_251</v>
      </c>
      <c r="F1056" s="536"/>
      <c r="G1056" s="536">
        <f t="shared" si="51"/>
        <v>0</v>
      </c>
      <c r="H1056" s="536">
        <f t="shared" si="52"/>
        <v>0</v>
      </c>
      <c r="I1056" s="536">
        <f t="shared" si="53"/>
        <v>0</v>
      </c>
      <c r="J1056" s="537" t="s">
        <v>490</v>
      </c>
    </row>
    <row r="1057" spans="1:10">
      <c r="A1057" s="534">
        <v>20130101</v>
      </c>
      <c r="B1057" s="535" t="s">
        <v>459</v>
      </c>
      <c r="C1057" s="535" t="str">
        <f t="shared" si="49"/>
        <v>20130101RLS</v>
      </c>
      <c r="D1057" s="535" t="s">
        <v>223</v>
      </c>
      <c r="E1057" s="535" t="str">
        <f t="shared" si="50"/>
        <v>20130101LGUM_252</v>
      </c>
      <c r="F1057" s="536">
        <v>9.06</v>
      </c>
      <c r="G1057" s="536">
        <f t="shared" si="51"/>
        <v>0.01</v>
      </c>
      <c r="H1057" s="536">
        <f t="shared" si="52"/>
        <v>1.55</v>
      </c>
      <c r="I1057" s="536">
        <f t="shared" si="53"/>
        <v>7.5000000000000009</v>
      </c>
      <c r="J1057" s="537" t="s">
        <v>491</v>
      </c>
    </row>
    <row r="1058" spans="1:10">
      <c r="A1058" s="534">
        <v>20130101</v>
      </c>
      <c r="B1058" s="535" t="s">
        <v>459</v>
      </c>
      <c r="C1058" s="535" t="str">
        <f t="shared" si="49"/>
        <v>20130101RLS</v>
      </c>
      <c r="D1058" s="535" t="s">
        <v>224</v>
      </c>
      <c r="E1058" s="535" t="str">
        <f t="shared" si="50"/>
        <v>20130101LGUM_253</v>
      </c>
      <c r="F1058" s="536">
        <v>10.28</v>
      </c>
      <c r="G1058" s="536">
        <f t="shared" si="51"/>
        <v>0.01</v>
      </c>
      <c r="H1058" s="536">
        <f t="shared" si="52"/>
        <v>2.2000000000000002</v>
      </c>
      <c r="I1058" s="536">
        <f t="shared" si="53"/>
        <v>8.07</v>
      </c>
      <c r="J1058" s="537" t="s">
        <v>492</v>
      </c>
    </row>
    <row r="1059" spans="1:10">
      <c r="A1059" s="534">
        <v>20130101</v>
      </c>
      <c r="B1059" s="535" t="s">
        <v>459</v>
      </c>
      <c r="C1059" s="535" t="str">
        <f t="shared" si="49"/>
        <v>20130101RLS</v>
      </c>
      <c r="D1059" s="535" t="s">
        <v>349</v>
      </c>
      <c r="E1059" s="535" t="str">
        <f t="shared" si="50"/>
        <v>20130101LGUM_254</v>
      </c>
      <c r="F1059" s="536">
        <v>12.51</v>
      </c>
      <c r="G1059" s="536">
        <f t="shared" si="51"/>
        <v>0.01</v>
      </c>
      <c r="H1059" s="536">
        <f t="shared" si="52"/>
        <v>3.41</v>
      </c>
      <c r="I1059" s="536">
        <f t="shared" si="53"/>
        <v>9.09</v>
      </c>
      <c r="J1059" s="537" t="s">
        <v>493</v>
      </c>
    </row>
    <row r="1060" spans="1:10">
      <c r="A1060" s="534">
        <v>20130101</v>
      </c>
      <c r="B1060" s="535" t="s">
        <v>459</v>
      </c>
      <c r="C1060" s="535" t="str">
        <f t="shared" si="49"/>
        <v>20130101RLS</v>
      </c>
      <c r="D1060" s="535" t="s">
        <v>225</v>
      </c>
      <c r="E1060" s="535" t="str">
        <f t="shared" si="50"/>
        <v>20130101LGUM_255</v>
      </c>
      <c r="F1060" s="536">
        <v>10.42</v>
      </c>
      <c r="G1060" s="536">
        <f t="shared" si="51"/>
        <v>0.01</v>
      </c>
      <c r="H1060" s="536">
        <f t="shared" si="52"/>
        <v>1.07</v>
      </c>
      <c r="I1060" s="536">
        <f t="shared" si="53"/>
        <v>9.34</v>
      </c>
      <c r="J1060" s="537" t="s">
        <v>494</v>
      </c>
    </row>
    <row r="1061" spans="1:10">
      <c r="A1061" s="534">
        <v>20130101</v>
      </c>
      <c r="B1061" s="535" t="s">
        <v>459</v>
      </c>
      <c r="C1061" s="535" t="str">
        <f t="shared" si="49"/>
        <v>20130101RLS</v>
      </c>
      <c r="D1061" s="535" t="s">
        <v>498</v>
      </c>
      <c r="E1061" s="535" t="str">
        <f t="shared" si="50"/>
        <v>20130101LGUM_256</v>
      </c>
      <c r="F1061" s="536"/>
      <c r="G1061" s="536">
        <f t="shared" si="51"/>
        <v>0.01</v>
      </c>
      <c r="H1061" s="536">
        <f t="shared" si="52"/>
        <v>0.92</v>
      </c>
      <c r="I1061" s="536">
        <f t="shared" si="53"/>
        <v>-0.93</v>
      </c>
      <c r="J1061" s="537" t="s">
        <v>496</v>
      </c>
    </row>
    <row r="1062" spans="1:10">
      <c r="A1062" s="534">
        <v>20130101</v>
      </c>
      <c r="B1062" s="535" t="s">
        <v>459</v>
      </c>
      <c r="C1062" s="535" t="str">
        <f t="shared" si="49"/>
        <v>20130101RLS</v>
      </c>
      <c r="D1062" s="535" t="s">
        <v>350</v>
      </c>
      <c r="E1062" s="535" t="str">
        <f t="shared" si="50"/>
        <v>20130101LGUM_257</v>
      </c>
      <c r="F1062" s="536">
        <v>14.54</v>
      </c>
      <c r="G1062" s="536">
        <f t="shared" si="51"/>
        <v>0.01</v>
      </c>
      <c r="H1062" s="536">
        <f t="shared" si="52"/>
        <v>3.41</v>
      </c>
      <c r="I1062" s="536">
        <f t="shared" si="53"/>
        <v>11.12</v>
      </c>
      <c r="J1062" s="537" t="s">
        <v>499</v>
      </c>
    </row>
    <row r="1063" spans="1:10">
      <c r="A1063" s="534">
        <v>20130101</v>
      </c>
      <c r="B1063" s="535" t="s">
        <v>459</v>
      </c>
      <c r="C1063" s="535" t="str">
        <f t="shared" si="49"/>
        <v>20130101RLS</v>
      </c>
      <c r="D1063" s="535" t="s">
        <v>226</v>
      </c>
      <c r="E1063" s="535" t="str">
        <f t="shared" si="50"/>
        <v>20130101LGUM_258</v>
      </c>
      <c r="F1063" s="536">
        <v>13.73</v>
      </c>
      <c r="G1063" s="536">
        <f t="shared" si="51"/>
        <v>0.01</v>
      </c>
      <c r="H1063" s="536">
        <f t="shared" si="52"/>
        <v>1.55</v>
      </c>
      <c r="I1063" s="536">
        <f t="shared" si="53"/>
        <v>12.17</v>
      </c>
      <c r="J1063" s="537" t="s">
        <v>500</v>
      </c>
    </row>
    <row r="1064" spans="1:10">
      <c r="A1064" s="534">
        <v>20130101</v>
      </c>
      <c r="B1064" s="535" t="s">
        <v>459</v>
      </c>
      <c r="C1064" s="535" t="str">
        <f t="shared" si="49"/>
        <v>20130101RLS</v>
      </c>
      <c r="D1064" s="535" t="s">
        <v>227</v>
      </c>
      <c r="E1064" s="535" t="str">
        <f t="shared" si="50"/>
        <v>20130101LGUM_259</v>
      </c>
      <c r="F1064" s="536">
        <v>25.29</v>
      </c>
      <c r="G1064" s="536">
        <f t="shared" si="51"/>
        <v>0.02</v>
      </c>
      <c r="H1064" s="536">
        <f t="shared" si="52"/>
        <v>8.16</v>
      </c>
      <c r="I1064" s="536">
        <f t="shared" si="53"/>
        <v>17.11</v>
      </c>
      <c r="J1064" s="537" t="s">
        <v>501</v>
      </c>
    </row>
    <row r="1065" spans="1:10">
      <c r="A1065" s="534">
        <v>20130101</v>
      </c>
      <c r="B1065" s="535" t="s">
        <v>459</v>
      </c>
      <c r="C1065" s="535" t="str">
        <f t="shared" ref="C1065:C1096" si="54">A1065&amp;B1065</f>
        <v>20130101RLS</v>
      </c>
      <c r="D1065" s="535" t="s">
        <v>351</v>
      </c>
      <c r="E1065" s="535" t="str">
        <f t="shared" ref="E1065:E1096" si="55">A1065&amp;D1065</f>
        <v>20130101LGUM_260</v>
      </c>
      <c r="F1065" s="536">
        <v>26.49</v>
      </c>
      <c r="G1065" s="536">
        <f t="shared" si="51"/>
        <v>0.02</v>
      </c>
      <c r="H1065" s="536">
        <f t="shared" si="52"/>
        <v>8.16</v>
      </c>
      <c r="I1065" s="536">
        <f t="shared" si="53"/>
        <v>18.309999999999999</v>
      </c>
      <c r="J1065" s="537" t="s">
        <v>503</v>
      </c>
    </row>
    <row r="1066" spans="1:10">
      <c r="A1066" s="534">
        <v>20130101</v>
      </c>
      <c r="B1066" s="535" t="s">
        <v>459</v>
      </c>
      <c r="C1066" s="535" t="str">
        <f t="shared" si="54"/>
        <v>20130101RLS</v>
      </c>
      <c r="D1066" s="535" t="s">
        <v>228</v>
      </c>
      <c r="E1066" s="535" t="str">
        <f t="shared" si="55"/>
        <v>20130101LGUM_261</v>
      </c>
      <c r="F1066" s="536">
        <v>14.33</v>
      </c>
      <c r="G1066" s="536">
        <f t="shared" si="51"/>
        <v>0.02</v>
      </c>
      <c r="H1066" s="536">
        <f t="shared" si="52"/>
        <v>2.2999999999999998</v>
      </c>
      <c r="I1066" s="536">
        <f t="shared" si="53"/>
        <v>12.010000000000002</v>
      </c>
      <c r="J1066" s="537" t="s">
        <v>504</v>
      </c>
    </row>
    <row r="1067" spans="1:10">
      <c r="A1067" s="534">
        <v>20130101</v>
      </c>
      <c r="B1067" s="535" t="s">
        <v>459</v>
      </c>
      <c r="C1067" s="535" t="str">
        <f t="shared" si="54"/>
        <v>20130101RLS</v>
      </c>
      <c r="D1067" s="535" t="s">
        <v>229</v>
      </c>
      <c r="E1067" s="535" t="str">
        <f t="shared" si="55"/>
        <v>20130101LGUM_262</v>
      </c>
      <c r="F1067" s="536">
        <v>16.309999999999999</v>
      </c>
      <c r="G1067" s="536">
        <f t="shared" si="51"/>
        <v>0.02</v>
      </c>
      <c r="H1067" s="536">
        <f t="shared" si="52"/>
        <v>3.65</v>
      </c>
      <c r="I1067" s="536">
        <f t="shared" si="53"/>
        <v>12.639999999999999</v>
      </c>
      <c r="J1067" s="537" t="s">
        <v>505</v>
      </c>
    </row>
    <row r="1068" spans="1:10">
      <c r="A1068" s="534">
        <v>20130101</v>
      </c>
      <c r="B1068" s="535" t="s">
        <v>459</v>
      </c>
      <c r="C1068" s="535" t="str">
        <f t="shared" si="54"/>
        <v>20130101RLS</v>
      </c>
      <c r="D1068" s="535" t="s">
        <v>230</v>
      </c>
      <c r="E1068" s="535" t="str">
        <f t="shared" si="55"/>
        <v>20130101LGUM_263</v>
      </c>
      <c r="F1068" s="536">
        <v>17.14</v>
      </c>
      <c r="G1068" s="536">
        <f t="shared" si="51"/>
        <v>0.02</v>
      </c>
      <c r="H1068" s="536">
        <f t="shared" si="52"/>
        <v>3.65</v>
      </c>
      <c r="I1068" s="536">
        <f t="shared" si="53"/>
        <v>13.47</v>
      </c>
      <c r="J1068" s="537" t="s">
        <v>506</v>
      </c>
    </row>
    <row r="1069" spans="1:10">
      <c r="A1069" s="534">
        <v>20130101</v>
      </c>
      <c r="B1069" s="535" t="s">
        <v>459</v>
      </c>
      <c r="C1069" s="535" t="str">
        <f t="shared" si="54"/>
        <v>20130101RLS</v>
      </c>
      <c r="D1069" s="535" t="s">
        <v>231</v>
      </c>
      <c r="E1069" s="535" t="str">
        <f t="shared" si="55"/>
        <v>20130101LGUM_266</v>
      </c>
      <c r="F1069" s="536">
        <v>26.59</v>
      </c>
      <c r="G1069" s="536">
        <f t="shared" si="51"/>
        <v>0.02</v>
      </c>
      <c r="H1069" s="536">
        <f t="shared" si="52"/>
        <v>2.2999999999999998</v>
      </c>
      <c r="I1069" s="536">
        <f t="shared" si="53"/>
        <v>24.27</v>
      </c>
      <c r="J1069" s="537" t="s">
        <v>507</v>
      </c>
    </row>
    <row r="1070" spans="1:10">
      <c r="A1070" s="534">
        <v>20130101</v>
      </c>
      <c r="B1070" s="535" t="s">
        <v>459</v>
      </c>
      <c r="C1070" s="535" t="str">
        <f t="shared" si="54"/>
        <v>20130101RLS</v>
      </c>
      <c r="D1070" s="535" t="s">
        <v>232</v>
      </c>
      <c r="E1070" s="535" t="str">
        <f t="shared" si="55"/>
        <v>20130101LGUM_267</v>
      </c>
      <c r="F1070" s="536">
        <v>30.33</v>
      </c>
      <c r="G1070" s="536">
        <f t="shared" si="51"/>
        <v>0.02</v>
      </c>
      <c r="H1070" s="536">
        <f t="shared" si="52"/>
        <v>3.65</v>
      </c>
      <c r="I1070" s="536">
        <f t="shared" si="53"/>
        <v>26.66</v>
      </c>
      <c r="J1070" s="537" t="s">
        <v>508</v>
      </c>
    </row>
    <row r="1071" spans="1:10">
      <c r="A1071" s="534">
        <v>20130101</v>
      </c>
      <c r="B1071" s="535" t="s">
        <v>459</v>
      </c>
      <c r="C1071" s="535" t="str">
        <f t="shared" si="54"/>
        <v>20130101RLS</v>
      </c>
      <c r="D1071" s="535" t="s">
        <v>233</v>
      </c>
      <c r="E1071" s="535" t="str">
        <f t="shared" si="55"/>
        <v>20130101LGUM_272</v>
      </c>
      <c r="F1071" s="536">
        <v>12.28</v>
      </c>
      <c r="G1071" s="536">
        <f t="shared" si="51"/>
        <v>0.01</v>
      </c>
      <c r="H1071" s="536">
        <f t="shared" si="52"/>
        <v>1.55</v>
      </c>
      <c r="I1071" s="536">
        <f t="shared" si="53"/>
        <v>10.719999999999999</v>
      </c>
      <c r="J1071" s="537" t="s">
        <v>509</v>
      </c>
    </row>
    <row r="1072" spans="1:10">
      <c r="A1072" s="534">
        <v>20130101</v>
      </c>
      <c r="B1072" s="535" t="s">
        <v>459</v>
      </c>
      <c r="C1072" s="535" t="str">
        <f t="shared" si="54"/>
        <v>20130101RLS</v>
      </c>
      <c r="D1072" s="535" t="s">
        <v>352</v>
      </c>
      <c r="E1072" s="535" t="str">
        <f t="shared" si="55"/>
        <v>20130101LGUM_273</v>
      </c>
      <c r="F1072" s="536">
        <v>13.23</v>
      </c>
      <c r="G1072" s="536">
        <f t="shared" si="51"/>
        <v>0.01</v>
      </c>
      <c r="H1072" s="536">
        <f t="shared" si="52"/>
        <v>1.55</v>
      </c>
      <c r="I1072" s="536">
        <f t="shared" si="53"/>
        <v>11.67</v>
      </c>
      <c r="J1072" s="537" t="s">
        <v>510</v>
      </c>
    </row>
    <row r="1073" spans="1:10">
      <c r="A1073" s="534">
        <v>20130101</v>
      </c>
      <c r="B1073" s="535" t="s">
        <v>459</v>
      </c>
      <c r="C1073" s="535" t="str">
        <f t="shared" si="54"/>
        <v>20130101RLS</v>
      </c>
      <c r="D1073" s="535" t="s">
        <v>234</v>
      </c>
      <c r="E1073" s="535" t="str">
        <f t="shared" si="55"/>
        <v>20130101LGUM_274</v>
      </c>
      <c r="F1073" s="536">
        <v>16.73</v>
      </c>
      <c r="G1073" s="536">
        <f t="shared" si="51"/>
        <v>0.01</v>
      </c>
      <c r="H1073" s="536">
        <f t="shared" si="52"/>
        <v>1.07</v>
      </c>
      <c r="I1073" s="536">
        <f t="shared" si="53"/>
        <v>15.649999999999999</v>
      </c>
      <c r="J1073" s="537" t="s">
        <v>511</v>
      </c>
    </row>
    <row r="1074" spans="1:10">
      <c r="A1074" s="534">
        <v>20130101</v>
      </c>
      <c r="B1074" s="535" t="s">
        <v>459</v>
      </c>
      <c r="C1074" s="535" t="str">
        <f t="shared" si="54"/>
        <v>20130101RLS</v>
      </c>
      <c r="D1074" s="535" t="s">
        <v>353</v>
      </c>
      <c r="E1074" s="535" t="str">
        <f t="shared" si="55"/>
        <v>20130101LGUM_275</v>
      </c>
      <c r="F1074" s="536">
        <v>24.35</v>
      </c>
      <c r="G1074" s="536">
        <f t="shared" si="51"/>
        <v>0.01</v>
      </c>
      <c r="H1074" s="536">
        <f t="shared" si="52"/>
        <v>1.48</v>
      </c>
      <c r="I1074" s="536">
        <f t="shared" si="53"/>
        <v>22.86</v>
      </c>
      <c r="J1074" s="537" t="s">
        <v>509</v>
      </c>
    </row>
    <row r="1075" spans="1:10">
      <c r="A1075" s="534">
        <v>20130101</v>
      </c>
      <c r="B1075" s="535" t="s">
        <v>459</v>
      </c>
      <c r="C1075" s="535" t="str">
        <f t="shared" si="54"/>
        <v>20130101RLS</v>
      </c>
      <c r="D1075" s="535" t="s">
        <v>235</v>
      </c>
      <c r="E1075" s="535" t="str">
        <f t="shared" si="55"/>
        <v>20130101LGUM_276</v>
      </c>
      <c r="F1075" s="536">
        <v>13.78</v>
      </c>
      <c r="G1075" s="536">
        <f t="shared" si="51"/>
        <v>0.01</v>
      </c>
      <c r="H1075" s="536">
        <f t="shared" si="52"/>
        <v>0.74</v>
      </c>
      <c r="I1075" s="536">
        <f t="shared" si="53"/>
        <v>13.03</v>
      </c>
      <c r="J1075" s="537" t="s">
        <v>512</v>
      </c>
    </row>
    <row r="1076" spans="1:10">
      <c r="A1076" s="534">
        <v>20130101</v>
      </c>
      <c r="B1076" s="535" t="s">
        <v>459</v>
      </c>
      <c r="C1076" s="535" t="str">
        <f t="shared" si="54"/>
        <v>20130101RLS</v>
      </c>
      <c r="D1076" s="535" t="s">
        <v>236</v>
      </c>
      <c r="E1076" s="535" t="str">
        <f t="shared" si="55"/>
        <v>20130101LGUM_277</v>
      </c>
      <c r="F1076" s="536">
        <v>21.61</v>
      </c>
      <c r="G1076" s="536">
        <f t="shared" si="51"/>
        <v>0.01</v>
      </c>
      <c r="H1076" s="536">
        <f t="shared" si="52"/>
        <v>1.48</v>
      </c>
      <c r="I1076" s="536">
        <f t="shared" si="53"/>
        <v>20.119999999999997</v>
      </c>
      <c r="J1076" s="537" t="s">
        <v>513</v>
      </c>
    </row>
    <row r="1077" spans="1:10">
      <c r="A1077" s="534">
        <v>20130101</v>
      </c>
      <c r="B1077" s="535" t="s">
        <v>459</v>
      </c>
      <c r="C1077" s="535" t="str">
        <f t="shared" si="54"/>
        <v>20130101RLS</v>
      </c>
      <c r="D1077" s="535" t="s">
        <v>354</v>
      </c>
      <c r="E1077" s="535" t="str">
        <f t="shared" si="55"/>
        <v>20130101LGUM_278</v>
      </c>
      <c r="F1077" s="536">
        <v>70</v>
      </c>
      <c r="G1077" s="536">
        <f t="shared" si="51"/>
        <v>0.05</v>
      </c>
      <c r="H1077" s="536">
        <f t="shared" si="52"/>
        <v>8.14</v>
      </c>
      <c r="I1077" s="536">
        <f t="shared" si="53"/>
        <v>61.81</v>
      </c>
      <c r="J1077" s="537" t="s">
        <v>515</v>
      </c>
    </row>
    <row r="1078" spans="1:10">
      <c r="A1078" s="534">
        <v>20130101</v>
      </c>
      <c r="B1078" s="535" t="s">
        <v>459</v>
      </c>
      <c r="C1078" s="535" t="str">
        <f t="shared" si="54"/>
        <v>20130101RLS</v>
      </c>
      <c r="D1078" s="535" t="s">
        <v>355</v>
      </c>
      <c r="E1078" s="535" t="str">
        <f t="shared" si="55"/>
        <v>20130101LGUM_279</v>
      </c>
      <c r="F1078" s="536">
        <v>38.880000000000003</v>
      </c>
      <c r="G1078" s="536">
        <f t="shared" si="51"/>
        <v>0.05</v>
      </c>
      <c r="H1078" s="536">
        <f t="shared" si="52"/>
        <v>8.14</v>
      </c>
      <c r="I1078" s="536">
        <f t="shared" si="53"/>
        <v>30.690000000000005</v>
      </c>
      <c r="J1078" s="537" t="s">
        <v>517</v>
      </c>
    </row>
    <row r="1079" spans="1:10">
      <c r="A1079" s="534">
        <v>20130101</v>
      </c>
      <c r="B1079" s="535" t="s">
        <v>459</v>
      </c>
      <c r="C1079" s="535" t="str">
        <f t="shared" si="54"/>
        <v>20130101RLS</v>
      </c>
      <c r="D1079" s="535" t="s">
        <v>359</v>
      </c>
      <c r="E1079" s="535" t="str">
        <f t="shared" si="55"/>
        <v>20130101LGUM_280</v>
      </c>
      <c r="F1079" s="536">
        <v>18.989999999999998</v>
      </c>
      <c r="G1079" s="536">
        <f t="shared" si="51"/>
        <v>0.01</v>
      </c>
      <c r="H1079" s="536">
        <f t="shared" si="52"/>
        <v>0.74</v>
      </c>
      <c r="I1079" s="536">
        <f t="shared" si="53"/>
        <v>18.239999999999998</v>
      </c>
      <c r="J1079" s="537" t="s">
        <v>519</v>
      </c>
    </row>
    <row r="1080" spans="1:10">
      <c r="A1080" s="534">
        <v>20130101</v>
      </c>
      <c r="B1080" s="535" t="s">
        <v>459</v>
      </c>
      <c r="C1080" s="535" t="str">
        <f t="shared" si="54"/>
        <v>20130101RLS</v>
      </c>
      <c r="D1080" s="535" t="s">
        <v>356</v>
      </c>
      <c r="E1080" s="535" t="str">
        <f t="shared" si="55"/>
        <v>20130101LGUM_281</v>
      </c>
      <c r="F1080" s="536">
        <v>19.89</v>
      </c>
      <c r="G1080" s="536">
        <f t="shared" si="51"/>
        <v>0.01</v>
      </c>
      <c r="H1080" s="536">
        <f t="shared" si="52"/>
        <v>1.07</v>
      </c>
      <c r="I1080" s="536">
        <f t="shared" si="53"/>
        <v>18.809999999999999</v>
      </c>
      <c r="J1080" s="537" t="s">
        <v>520</v>
      </c>
    </row>
    <row r="1081" spans="1:10">
      <c r="A1081" s="534">
        <v>20130101</v>
      </c>
      <c r="B1081" s="535" t="s">
        <v>459</v>
      </c>
      <c r="C1081" s="535" t="str">
        <f t="shared" si="54"/>
        <v>20130101RLS</v>
      </c>
      <c r="D1081" s="535" t="s">
        <v>357</v>
      </c>
      <c r="E1081" s="535" t="str">
        <f t="shared" si="55"/>
        <v>20130101LGUM_282</v>
      </c>
      <c r="F1081" s="536">
        <v>19.14</v>
      </c>
      <c r="G1081" s="536">
        <f t="shared" si="51"/>
        <v>0.01</v>
      </c>
      <c r="H1081" s="536">
        <f t="shared" si="52"/>
        <v>0.74</v>
      </c>
      <c r="I1081" s="536">
        <f t="shared" si="53"/>
        <v>18.39</v>
      </c>
      <c r="J1081" s="537" t="s">
        <v>521</v>
      </c>
    </row>
    <row r="1082" spans="1:10">
      <c r="A1082" s="534">
        <v>20130101</v>
      </c>
      <c r="B1082" s="535" t="s">
        <v>459</v>
      </c>
      <c r="C1082" s="535" t="str">
        <f t="shared" si="54"/>
        <v>20130101RLS</v>
      </c>
      <c r="D1082" s="535" t="s">
        <v>358</v>
      </c>
      <c r="E1082" s="535" t="str">
        <f t="shared" si="55"/>
        <v>20130101LGUM_283</v>
      </c>
      <c r="F1082" s="536">
        <v>20.36</v>
      </c>
      <c r="G1082" s="536">
        <f t="shared" si="51"/>
        <v>0.01</v>
      </c>
      <c r="H1082" s="536">
        <f t="shared" si="52"/>
        <v>1.07</v>
      </c>
      <c r="I1082" s="536">
        <f t="shared" si="53"/>
        <v>19.279999999999998</v>
      </c>
      <c r="J1082" s="537" t="s">
        <v>523</v>
      </c>
    </row>
    <row r="1083" spans="1:10">
      <c r="A1083" s="534">
        <v>20130101</v>
      </c>
      <c r="B1083" s="535" t="s">
        <v>459</v>
      </c>
      <c r="C1083" s="535" t="str">
        <f t="shared" si="54"/>
        <v>20130101RLS</v>
      </c>
      <c r="D1083" s="535" t="s">
        <v>237</v>
      </c>
      <c r="E1083" s="535" t="str">
        <f t="shared" si="55"/>
        <v>20130101LGUM_301</v>
      </c>
      <c r="F1083" s="536">
        <v>7.82</v>
      </c>
      <c r="G1083" s="536">
        <f t="shared" si="51"/>
        <v>0.01</v>
      </c>
      <c r="H1083" s="536">
        <f t="shared" si="52"/>
        <v>0.92</v>
      </c>
      <c r="I1083" s="536">
        <f t="shared" si="53"/>
        <v>6.8900000000000006</v>
      </c>
      <c r="J1083" s="537" t="s">
        <v>460</v>
      </c>
    </row>
    <row r="1084" spans="1:10">
      <c r="A1084" s="534">
        <v>20130101</v>
      </c>
      <c r="B1084" s="535" t="s">
        <v>459</v>
      </c>
      <c r="C1084" s="535" t="str">
        <f t="shared" si="54"/>
        <v>20130101RLS</v>
      </c>
      <c r="D1084" s="535" t="s">
        <v>238</v>
      </c>
      <c r="E1084" s="535" t="str">
        <f t="shared" si="55"/>
        <v>20130101LGUM_302</v>
      </c>
      <c r="F1084" s="536">
        <v>9.06</v>
      </c>
      <c r="G1084" s="536">
        <f t="shared" si="51"/>
        <v>0.01</v>
      </c>
      <c r="H1084" s="536">
        <f t="shared" si="52"/>
        <v>1.55</v>
      </c>
      <c r="I1084" s="536">
        <f t="shared" si="53"/>
        <v>7.5000000000000009</v>
      </c>
      <c r="J1084" s="537" t="s">
        <v>461</v>
      </c>
    </row>
    <row r="1085" spans="1:10">
      <c r="A1085" s="534">
        <v>20130101</v>
      </c>
      <c r="B1085" s="535" t="s">
        <v>459</v>
      </c>
      <c r="C1085" s="535" t="str">
        <f t="shared" si="54"/>
        <v>20130101RLS</v>
      </c>
      <c r="D1085" s="535" t="s">
        <v>239</v>
      </c>
      <c r="E1085" s="535" t="str">
        <f t="shared" si="55"/>
        <v>20130101LGUM_303</v>
      </c>
      <c r="F1085" s="536">
        <v>10.28</v>
      </c>
      <c r="G1085" s="536">
        <f t="shared" si="51"/>
        <v>0.01</v>
      </c>
      <c r="H1085" s="536">
        <f t="shared" si="52"/>
        <v>2.2000000000000002</v>
      </c>
      <c r="I1085" s="536">
        <f t="shared" si="53"/>
        <v>8.07</v>
      </c>
      <c r="J1085" s="537" t="s">
        <v>462</v>
      </c>
    </row>
    <row r="1086" spans="1:10">
      <c r="A1086" s="534">
        <v>20130101</v>
      </c>
      <c r="B1086" s="535" t="s">
        <v>459</v>
      </c>
      <c r="C1086" s="535" t="str">
        <f t="shared" si="54"/>
        <v>20130101RLS</v>
      </c>
      <c r="D1086" s="535" t="s">
        <v>240</v>
      </c>
      <c r="E1086" s="535" t="str">
        <f t="shared" si="55"/>
        <v>20130101LGUM_304</v>
      </c>
      <c r="F1086" s="536">
        <v>12.51</v>
      </c>
      <c r="G1086" s="536">
        <f t="shared" si="51"/>
        <v>0.01</v>
      </c>
      <c r="H1086" s="536">
        <f t="shared" si="52"/>
        <v>3.41</v>
      </c>
      <c r="I1086" s="536">
        <f t="shared" si="53"/>
        <v>9.09</v>
      </c>
      <c r="J1086" s="537" t="s">
        <v>463</v>
      </c>
    </row>
    <row r="1087" spans="1:10">
      <c r="A1087" s="534">
        <v>20130101</v>
      </c>
      <c r="B1087" s="535" t="s">
        <v>459</v>
      </c>
      <c r="C1087" s="535" t="str">
        <f t="shared" si="54"/>
        <v>20130101RLS</v>
      </c>
      <c r="D1087" s="535" t="s">
        <v>241</v>
      </c>
      <c r="E1087" s="535" t="str">
        <f t="shared" si="55"/>
        <v>20130101LGUM_305</v>
      </c>
      <c r="F1087" s="536">
        <v>10.42</v>
      </c>
      <c r="G1087" s="536">
        <f t="shared" si="51"/>
        <v>0.01</v>
      </c>
      <c r="H1087" s="536">
        <f t="shared" si="52"/>
        <v>1.07</v>
      </c>
      <c r="I1087" s="536">
        <f t="shared" si="53"/>
        <v>9.34</v>
      </c>
      <c r="J1087" s="537" t="s">
        <v>464</v>
      </c>
    </row>
    <row r="1088" spans="1:10">
      <c r="A1088" s="534">
        <v>20130101</v>
      </c>
      <c r="B1088" s="535" t="s">
        <v>459</v>
      </c>
      <c r="C1088" s="535" t="str">
        <f t="shared" si="54"/>
        <v>20130101RLS</v>
      </c>
      <c r="D1088" s="535" t="s">
        <v>242</v>
      </c>
      <c r="E1088" s="535" t="str">
        <f t="shared" si="55"/>
        <v>20130101LGUM_306</v>
      </c>
      <c r="F1088" s="536">
        <v>12.13</v>
      </c>
      <c r="G1088" s="536">
        <f t="shared" si="51"/>
        <v>0.01</v>
      </c>
      <c r="H1088" s="536">
        <f t="shared" si="52"/>
        <v>0.92</v>
      </c>
      <c r="I1088" s="536">
        <f t="shared" si="53"/>
        <v>11.200000000000001</v>
      </c>
      <c r="J1088" s="537" t="s">
        <v>524</v>
      </c>
    </row>
    <row r="1089" spans="1:10">
      <c r="A1089" s="534">
        <v>20130101</v>
      </c>
      <c r="B1089" s="535" t="s">
        <v>459</v>
      </c>
      <c r="C1089" s="535" t="str">
        <f t="shared" si="54"/>
        <v>20130101RLS</v>
      </c>
      <c r="D1089" s="535" t="s">
        <v>243</v>
      </c>
      <c r="E1089" s="535" t="str">
        <f t="shared" si="55"/>
        <v>20130101LGUM_307</v>
      </c>
      <c r="F1089" s="536">
        <v>14.54</v>
      </c>
      <c r="G1089" s="536">
        <f t="shared" si="51"/>
        <v>0.01</v>
      </c>
      <c r="H1089" s="536">
        <f t="shared" si="52"/>
        <v>3.41</v>
      </c>
      <c r="I1089" s="536">
        <f t="shared" si="53"/>
        <v>11.12</v>
      </c>
      <c r="J1089" s="537" t="s">
        <v>525</v>
      </c>
    </row>
    <row r="1090" spans="1:10">
      <c r="A1090" s="534">
        <v>20130101</v>
      </c>
      <c r="B1090" s="535" t="s">
        <v>459</v>
      </c>
      <c r="C1090" s="535" t="str">
        <f t="shared" si="54"/>
        <v>20130101RLS</v>
      </c>
      <c r="D1090" s="535" t="s">
        <v>244</v>
      </c>
      <c r="E1090" s="535" t="str">
        <f t="shared" si="55"/>
        <v>20130101LGUM_308</v>
      </c>
      <c r="F1090" s="536">
        <v>13.73</v>
      </c>
      <c r="G1090" s="536">
        <f t="shared" si="51"/>
        <v>0.01</v>
      </c>
      <c r="H1090" s="536">
        <f t="shared" si="52"/>
        <v>1.55</v>
      </c>
      <c r="I1090" s="536">
        <f t="shared" si="53"/>
        <v>12.17</v>
      </c>
      <c r="J1090" s="537" t="s">
        <v>642</v>
      </c>
    </row>
    <row r="1091" spans="1:10">
      <c r="A1091" s="534">
        <v>20130101</v>
      </c>
      <c r="B1091" s="535" t="s">
        <v>459</v>
      </c>
      <c r="C1091" s="535" t="str">
        <f t="shared" si="54"/>
        <v>20130101RLS</v>
      </c>
      <c r="D1091" s="535" t="s">
        <v>245</v>
      </c>
      <c r="E1091" s="535" t="str">
        <f t="shared" si="55"/>
        <v>20130101LGUM_309</v>
      </c>
      <c r="F1091" s="536">
        <v>25.29</v>
      </c>
      <c r="G1091" s="536">
        <f t="shared" si="51"/>
        <v>0.02</v>
      </c>
      <c r="H1091" s="536">
        <f t="shared" si="52"/>
        <v>8.16</v>
      </c>
      <c r="I1091" s="536">
        <f t="shared" si="53"/>
        <v>17.11</v>
      </c>
      <c r="J1091" s="537" t="s">
        <v>470</v>
      </c>
    </row>
    <row r="1092" spans="1:10">
      <c r="A1092" s="534">
        <v>20130101</v>
      </c>
      <c r="B1092" s="535" t="s">
        <v>459</v>
      </c>
      <c r="C1092" s="535" t="str">
        <f t="shared" si="54"/>
        <v>20130101RLS</v>
      </c>
      <c r="D1092" s="535" t="s">
        <v>246</v>
      </c>
      <c r="E1092" s="535" t="str">
        <f t="shared" si="55"/>
        <v>20130101LGUM_310</v>
      </c>
      <c r="F1092" s="536">
        <v>26.49</v>
      </c>
      <c r="G1092" s="536">
        <f t="shared" si="51"/>
        <v>0.02</v>
      </c>
      <c r="H1092" s="536">
        <f t="shared" si="52"/>
        <v>8.16</v>
      </c>
      <c r="I1092" s="536">
        <f t="shared" si="53"/>
        <v>18.309999999999999</v>
      </c>
      <c r="J1092" s="537" t="s">
        <v>471</v>
      </c>
    </row>
    <row r="1093" spans="1:10">
      <c r="A1093" s="534">
        <v>20130101</v>
      </c>
      <c r="B1093" s="535" t="s">
        <v>459</v>
      </c>
      <c r="C1093" s="535" t="str">
        <f t="shared" si="54"/>
        <v>20130101RLS</v>
      </c>
      <c r="D1093" s="535" t="s">
        <v>247</v>
      </c>
      <c r="E1093" s="535" t="str">
        <f t="shared" si="55"/>
        <v>20130101LGUM_311</v>
      </c>
      <c r="F1093" s="536">
        <v>14.33</v>
      </c>
      <c r="G1093" s="536">
        <f t="shared" si="51"/>
        <v>0.02</v>
      </c>
      <c r="H1093" s="536">
        <f t="shared" si="52"/>
        <v>2.2999999999999998</v>
      </c>
      <c r="I1093" s="536">
        <f t="shared" si="53"/>
        <v>12.010000000000002</v>
      </c>
      <c r="J1093" s="537" t="s">
        <v>472</v>
      </c>
    </row>
    <row r="1094" spans="1:10">
      <c r="A1094" s="534">
        <v>20130101</v>
      </c>
      <c r="B1094" s="535" t="s">
        <v>459</v>
      </c>
      <c r="C1094" s="535" t="str">
        <f t="shared" si="54"/>
        <v>20130101RLS</v>
      </c>
      <c r="D1094" s="535" t="s">
        <v>248</v>
      </c>
      <c r="E1094" s="535" t="str">
        <f t="shared" si="55"/>
        <v>20130101LGUM_312</v>
      </c>
      <c r="F1094" s="536">
        <v>16.309999999999999</v>
      </c>
      <c r="G1094" s="536">
        <f t="shared" si="51"/>
        <v>0.02</v>
      </c>
      <c r="H1094" s="536">
        <f t="shared" si="52"/>
        <v>3.65</v>
      </c>
      <c r="I1094" s="536">
        <f t="shared" si="53"/>
        <v>12.639999999999999</v>
      </c>
      <c r="J1094" s="537" t="s">
        <v>473</v>
      </c>
    </row>
    <row r="1095" spans="1:10">
      <c r="A1095" s="534">
        <v>20130101</v>
      </c>
      <c r="B1095" s="535" t="s">
        <v>459</v>
      </c>
      <c r="C1095" s="535" t="str">
        <f t="shared" si="54"/>
        <v>20130101RLS</v>
      </c>
      <c r="D1095" s="535" t="s">
        <v>249</v>
      </c>
      <c r="E1095" s="535" t="str">
        <f t="shared" si="55"/>
        <v>20130101LGUM_313</v>
      </c>
      <c r="F1095" s="536">
        <v>17.14</v>
      </c>
      <c r="G1095" s="536">
        <f t="shared" si="51"/>
        <v>0.02</v>
      </c>
      <c r="H1095" s="536">
        <f t="shared" si="52"/>
        <v>3.65</v>
      </c>
      <c r="I1095" s="536">
        <f t="shared" si="53"/>
        <v>13.47</v>
      </c>
      <c r="J1095" s="537" t="s">
        <v>474</v>
      </c>
    </row>
    <row r="1096" spans="1:10">
      <c r="A1096" s="534">
        <v>20130101</v>
      </c>
      <c r="B1096" s="535" t="s">
        <v>459</v>
      </c>
      <c r="C1096" s="535" t="str">
        <f t="shared" si="54"/>
        <v>20130101RLS</v>
      </c>
      <c r="D1096" s="535" t="s">
        <v>250</v>
      </c>
      <c r="E1096" s="535" t="str">
        <f t="shared" si="55"/>
        <v>20130101LGUM_314</v>
      </c>
      <c r="F1096" s="536">
        <v>18.52</v>
      </c>
      <c r="G1096" s="536">
        <f t="shared" si="51"/>
        <v>0.01</v>
      </c>
      <c r="H1096" s="536">
        <f t="shared" si="52"/>
        <v>2.2000000000000002</v>
      </c>
      <c r="I1096" s="536">
        <f t="shared" si="53"/>
        <v>16.309999999999999</v>
      </c>
      <c r="J1096" s="537" t="s">
        <v>643</v>
      </c>
    </row>
    <row r="1097" spans="1:10">
      <c r="A1097" s="534">
        <v>20130101</v>
      </c>
      <c r="B1097" s="535" t="s">
        <v>459</v>
      </c>
      <c r="C1097" s="535" t="str">
        <f t="shared" ref="C1097:C1128" si="56">A1097&amp;B1097</f>
        <v>20130101RLS</v>
      </c>
      <c r="D1097" s="535" t="s">
        <v>251</v>
      </c>
      <c r="E1097" s="535" t="str">
        <f t="shared" ref="E1097:E1128" si="57">A1097&amp;D1097</f>
        <v>20130101LGUM_315</v>
      </c>
      <c r="F1097" s="536">
        <v>21.95</v>
      </c>
      <c r="G1097" s="536">
        <f t="shared" si="51"/>
        <v>0.01</v>
      </c>
      <c r="H1097" s="536">
        <f t="shared" si="52"/>
        <v>3.41</v>
      </c>
      <c r="I1097" s="536">
        <f t="shared" si="53"/>
        <v>18.529999999999998</v>
      </c>
      <c r="J1097" s="537" t="s">
        <v>644</v>
      </c>
    </row>
    <row r="1098" spans="1:10">
      <c r="A1098" s="534">
        <v>20130101</v>
      </c>
      <c r="B1098" s="535" t="s">
        <v>459</v>
      </c>
      <c r="C1098" s="535" t="str">
        <f t="shared" si="56"/>
        <v>20130101RLS</v>
      </c>
      <c r="D1098" s="535" t="s">
        <v>252</v>
      </c>
      <c r="E1098" s="535" t="str">
        <f t="shared" si="57"/>
        <v>20130101LGUM_316</v>
      </c>
      <c r="F1098" s="536">
        <v>26.59</v>
      </c>
      <c r="G1098" s="536">
        <f t="shared" ref="G1098:G1161" si="58">VLOOKUP(D1098,$D$773:$I$1032,4,FALSE)</f>
        <v>0.02</v>
      </c>
      <c r="H1098" s="536">
        <f t="shared" ref="H1098:H1161" si="59">VLOOKUP($D1098,$D$773:$I$1032,5,FALSE)</f>
        <v>2.2999999999999998</v>
      </c>
      <c r="I1098" s="536">
        <f t="shared" ref="I1098:I1161" si="60">F1098-G1098-H1098</f>
        <v>24.27</v>
      </c>
      <c r="J1098" s="537" t="s">
        <v>476</v>
      </c>
    </row>
    <row r="1099" spans="1:10">
      <c r="A1099" s="534">
        <v>20130101</v>
      </c>
      <c r="B1099" s="535" t="s">
        <v>459</v>
      </c>
      <c r="C1099" s="535" t="str">
        <f t="shared" si="56"/>
        <v>20130101RLS</v>
      </c>
      <c r="D1099" s="535" t="s">
        <v>253</v>
      </c>
      <c r="E1099" s="535" t="str">
        <f t="shared" si="57"/>
        <v>20130101LGUM_317</v>
      </c>
      <c r="F1099" s="536">
        <v>30.33</v>
      </c>
      <c r="G1099" s="536">
        <f t="shared" si="58"/>
        <v>0.02</v>
      </c>
      <c r="H1099" s="536">
        <f t="shared" si="59"/>
        <v>3.65</v>
      </c>
      <c r="I1099" s="536">
        <f t="shared" si="60"/>
        <v>26.66</v>
      </c>
      <c r="J1099" s="537" t="s">
        <v>478</v>
      </c>
    </row>
    <row r="1100" spans="1:10">
      <c r="A1100" s="534">
        <v>20130101</v>
      </c>
      <c r="B1100" s="535" t="s">
        <v>459</v>
      </c>
      <c r="C1100" s="535" t="str">
        <f t="shared" si="56"/>
        <v>20130101RLS</v>
      </c>
      <c r="D1100" s="535" t="s">
        <v>254</v>
      </c>
      <c r="E1100" s="535" t="str">
        <f t="shared" si="57"/>
        <v>20130101LGUM_318</v>
      </c>
      <c r="F1100" s="536">
        <v>16.91</v>
      </c>
      <c r="G1100" s="536">
        <f t="shared" si="58"/>
        <v>0.01</v>
      </c>
      <c r="H1100" s="536">
        <f t="shared" si="59"/>
        <v>1.55</v>
      </c>
      <c r="I1100" s="536">
        <f t="shared" si="60"/>
        <v>15.349999999999998</v>
      </c>
      <c r="J1100" s="537" t="s">
        <v>645</v>
      </c>
    </row>
    <row r="1101" spans="1:10">
      <c r="A1101" s="534">
        <v>20130101</v>
      </c>
      <c r="B1101" s="535" t="s">
        <v>459</v>
      </c>
      <c r="C1101" s="535" t="str">
        <f t="shared" si="56"/>
        <v>20130101RLS</v>
      </c>
      <c r="D1101" s="535" t="s">
        <v>532</v>
      </c>
      <c r="E1101" s="535" t="str">
        <f t="shared" si="57"/>
        <v>20130101LGUM_319</v>
      </c>
      <c r="F1101" s="536"/>
      <c r="G1101" s="536">
        <f t="shared" si="58"/>
        <v>0.01</v>
      </c>
      <c r="H1101" s="536">
        <f t="shared" si="59"/>
        <v>3.41</v>
      </c>
      <c r="I1101" s="536">
        <f t="shared" si="60"/>
        <v>-3.42</v>
      </c>
      <c r="J1101" s="537" t="s">
        <v>646</v>
      </c>
    </row>
    <row r="1102" spans="1:10">
      <c r="A1102" s="534">
        <v>20130101</v>
      </c>
      <c r="B1102" s="535" t="s">
        <v>459</v>
      </c>
      <c r="C1102" s="535" t="str">
        <f t="shared" si="56"/>
        <v>20130101RLS</v>
      </c>
      <c r="D1102" s="535" t="s">
        <v>534</v>
      </c>
      <c r="E1102" s="535" t="str">
        <f t="shared" si="57"/>
        <v>20130101LGUM_320</v>
      </c>
      <c r="F1102" s="536">
        <v>26.59</v>
      </c>
      <c r="G1102" s="536">
        <f t="shared" si="58"/>
        <v>0.02</v>
      </c>
      <c r="H1102" s="536">
        <f t="shared" si="59"/>
        <v>2.2999999999999998</v>
      </c>
      <c r="I1102" s="536">
        <f t="shared" si="60"/>
        <v>24.27</v>
      </c>
      <c r="J1102" s="537" t="s">
        <v>647</v>
      </c>
    </row>
    <row r="1103" spans="1:10">
      <c r="A1103" s="534">
        <v>20130101</v>
      </c>
      <c r="B1103" s="535" t="s">
        <v>459</v>
      </c>
      <c r="C1103" s="535" t="str">
        <f t="shared" si="56"/>
        <v>20130101RLS</v>
      </c>
      <c r="D1103" s="535" t="s">
        <v>255</v>
      </c>
      <c r="E1103" s="535" t="str">
        <f t="shared" si="57"/>
        <v>20130101LGUM_321</v>
      </c>
      <c r="F1103" s="536">
        <v>30.33</v>
      </c>
      <c r="G1103" s="536">
        <f t="shared" si="58"/>
        <v>0.02</v>
      </c>
      <c r="H1103" s="536">
        <f t="shared" si="59"/>
        <v>3.65</v>
      </c>
      <c r="I1103" s="536">
        <f t="shared" si="60"/>
        <v>26.66</v>
      </c>
      <c r="J1103" s="537" t="s">
        <v>648</v>
      </c>
    </row>
    <row r="1104" spans="1:10">
      <c r="A1104" s="534">
        <v>20130101</v>
      </c>
      <c r="B1104" s="535" t="s">
        <v>459</v>
      </c>
      <c r="C1104" s="535" t="str">
        <f t="shared" si="56"/>
        <v>20130101RLS</v>
      </c>
      <c r="D1104" s="535" t="s">
        <v>256</v>
      </c>
      <c r="E1104" s="535" t="str">
        <f t="shared" si="57"/>
        <v>20130101LGUM_322</v>
      </c>
      <c r="F1104" s="536">
        <v>12.28</v>
      </c>
      <c r="G1104" s="536">
        <f t="shared" si="58"/>
        <v>0.01</v>
      </c>
      <c r="H1104" s="536">
        <f t="shared" si="59"/>
        <v>1.55</v>
      </c>
      <c r="I1104" s="536">
        <f t="shared" si="60"/>
        <v>10.719999999999999</v>
      </c>
      <c r="J1104" s="537" t="s">
        <v>479</v>
      </c>
    </row>
    <row r="1105" spans="1:10">
      <c r="A1105" s="534">
        <v>20130101</v>
      </c>
      <c r="B1105" s="535" t="s">
        <v>459</v>
      </c>
      <c r="C1105" s="535" t="str">
        <f t="shared" si="56"/>
        <v>20130101RLS</v>
      </c>
      <c r="D1105" s="535" t="s">
        <v>257</v>
      </c>
      <c r="E1105" s="535" t="str">
        <f t="shared" si="57"/>
        <v>20130101LGUM_323</v>
      </c>
      <c r="F1105" s="536">
        <v>13.23</v>
      </c>
      <c r="G1105" s="536">
        <f t="shared" si="58"/>
        <v>0.01</v>
      </c>
      <c r="H1105" s="536">
        <f t="shared" si="59"/>
        <v>1.55</v>
      </c>
      <c r="I1105" s="536">
        <f t="shared" si="60"/>
        <v>11.67</v>
      </c>
      <c r="J1105" s="537" t="s">
        <v>480</v>
      </c>
    </row>
    <row r="1106" spans="1:10">
      <c r="A1106" s="534">
        <v>20130101</v>
      </c>
      <c r="B1106" s="535" t="s">
        <v>459</v>
      </c>
      <c r="C1106" s="535" t="str">
        <f t="shared" si="56"/>
        <v>20130101RLS</v>
      </c>
      <c r="D1106" s="535" t="s">
        <v>258</v>
      </c>
      <c r="E1106" s="535" t="str">
        <f t="shared" si="57"/>
        <v>20130101LGUM_324</v>
      </c>
      <c r="F1106" s="536">
        <v>16.73</v>
      </c>
      <c r="G1106" s="536">
        <f t="shared" si="58"/>
        <v>0.01</v>
      </c>
      <c r="H1106" s="536">
        <f t="shared" si="59"/>
        <v>1.07</v>
      </c>
      <c r="I1106" s="536">
        <f t="shared" si="60"/>
        <v>15.649999999999999</v>
      </c>
      <c r="J1106" s="537" t="s">
        <v>537</v>
      </c>
    </row>
    <row r="1107" spans="1:10">
      <c r="A1107" s="534">
        <v>20130101</v>
      </c>
      <c r="B1107" s="535" t="s">
        <v>459</v>
      </c>
      <c r="C1107" s="535" t="str">
        <f t="shared" si="56"/>
        <v>20130101RLS</v>
      </c>
      <c r="D1107" s="535" t="s">
        <v>259</v>
      </c>
      <c r="E1107" s="535" t="str">
        <f t="shared" si="57"/>
        <v>20130101LGUM_325</v>
      </c>
      <c r="F1107" s="536">
        <v>24.35</v>
      </c>
      <c r="G1107" s="536">
        <f t="shared" si="58"/>
        <v>0.01</v>
      </c>
      <c r="H1107" s="536">
        <f t="shared" si="59"/>
        <v>1.55</v>
      </c>
      <c r="I1107" s="536">
        <f t="shared" si="60"/>
        <v>22.79</v>
      </c>
      <c r="J1107" s="537" t="s">
        <v>690</v>
      </c>
    </row>
    <row r="1108" spans="1:10">
      <c r="A1108" s="534">
        <v>20130101</v>
      </c>
      <c r="B1108" s="535" t="s">
        <v>459</v>
      </c>
      <c r="C1108" s="535" t="str">
        <f t="shared" si="56"/>
        <v>20130101RLS</v>
      </c>
      <c r="D1108" s="535" t="s">
        <v>538</v>
      </c>
      <c r="E1108" s="535" t="str">
        <f t="shared" si="57"/>
        <v>20130101LGUM_345</v>
      </c>
      <c r="F1108" s="536"/>
      <c r="G1108" s="536">
        <f t="shared" si="58"/>
        <v>0.01</v>
      </c>
      <c r="H1108" s="536">
        <f t="shared" si="59"/>
        <v>3.41</v>
      </c>
      <c r="I1108" s="536">
        <f t="shared" si="60"/>
        <v>-3.42</v>
      </c>
      <c r="J1108" s="537" t="s">
        <v>649</v>
      </c>
    </row>
    <row r="1109" spans="1:10">
      <c r="A1109" s="534">
        <v>20130101</v>
      </c>
      <c r="B1109" s="535" t="s">
        <v>459</v>
      </c>
      <c r="C1109" s="535" t="str">
        <f t="shared" si="56"/>
        <v>20130101RLS</v>
      </c>
      <c r="D1109" s="535" t="s">
        <v>540</v>
      </c>
      <c r="E1109" s="535" t="str">
        <f t="shared" si="57"/>
        <v>20130101LGUM_346</v>
      </c>
      <c r="F1109" s="536">
        <v>26.59</v>
      </c>
      <c r="G1109" s="536">
        <f t="shared" si="58"/>
        <v>0.02</v>
      </c>
      <c r="H1109" s="536">
        <f t="shared" si="59"/>
        <v>2.23</v>
      </c>
      <c r="I1109" s="536">
        <f t="shared" si="60"/>
        <v>24.34</v>
      </c>
      <c r="J1109" s="537" t="s">
        <v>650</v>
      </c>
    </row>
    <row r="1110" spans="1:10">
      <c r="A1110" s="534">
        <v>20130101</v>
      </c>
      <c r="B1110" s="535" t="s">
        <v>459</v>
      </c>
      <c r="C1110" s="535" t="str">
        <f t="shared" si="56"/>
        <v>20130101RLS</v>
      </c>
      <c r="D1110" s="535" t="s">
        <v>542</v>
      </c>
      <c r="E1110" s="535" t="str">
        <f t="shared" si="57"/>
        <v>20130101LGUM_347</v>
      </c>
      <c r="F1110" s="536">
        <v>21.94</v>
      </c>
      <c r="G1110" s="536">
        <f t="shared" si="58"/>
        <v>0.01</v>
      </c>
      <c r="H1110" s="536">
        <f t="shared" si="59"/>
        <v>3.41</v>
      </c>
      <c r="I1110" s="536">
        <f t="shared" si="60"/>
        <v>18.52</v>
      </c>
      <c r="J1110" s="537" t="s">
        <v>543</v>
      </c>
    </row>
    <row r="1111" spans="1:10">
      <c r="A1111" s="534">
        <v>20130101</v>
      </c>
      <c r="B1111" s="535" t="s">
        <v>459</v>
      </c>
      <c r="C1111" s="535" t="str">
        <f t="shared" si="56"/>
        <v>20130101RLS</v>
      </c>
      <c r="D1111" s="535" t="s">
        <v>260</v>
      </c>
      <c r="E1111" s="535" t="str">
        <f t="shared" si="57"/>
        <v>20130101LGUM_348</v>
      </c>
      <c r="F1111" s="536">
        <v>12.18</v>
      </c>
      <c r="G1111" s="536">
        <f t="shared" si="58"/>
        <v>0.01</v>
      </c>
      <c r="H1111" s="536">
        <f t="shared" si="59"/>
        <v>2.2200000000000002</v>
      </c>
      <c r="I1111" s="536">
        <f t="shared" si="60"/>
        <v>9.9499999999999993</v>
      </c>
      <c r="J1111" s="537" t="s">
        <v>544</v>
      </c>
    </row>
    <row r="1112" spans="1:10">
      <c r="A1112" s="534">
        <v>20130101</v>
      </c>
      <c r="B1112" s="535" t="s">
        <v>459</v>
      </c>
      <c r="C1112" s="535" t="str">
        <f t="shared" si="56"/>
        <v>20130101RLS</v>
      </c>
      <c r="D1112" s="535" t="s">
        <v>262</v>
      </c>
      <c r="E1112" s="535" t="str">
        <f t="shared" si="57"/>
        <v>20130101LGUM_349</v>
      </c>
      <c r="F1112" s="536">
        <v>8.7200000000000006</v>
      </c>
      <c r="G1112" s="536">
        <f t="shared" si="58"/>
        <v>0.01</v>
      </c>
      <c r="H1112" s="536">
        <f t="shared" si="59"/>
        <v>0.74</v>
      </c>
      <c r="I1112" s="536">
        <f t="shared" si="60"/>
        <v>7.9700000000000006</v>
      </c>
      <c r="J1112" s="537" t="s">
        <v>545</v>
      </c>
    </row>
    <row r="1113" spans="1:10">
      <c r="A1113" s="534">
        <v>20130101</v>
      </c>
      <c r="B1113" s="535" t="s">
        <v>459</v>
      </c>
      <c r="C1113" s="535" t="str">
        <f t="shared" si="56"/>
        <v>20130101RLS</v>
      </c>
      <c r="D1113" s="535" t="s">
        <v>264</v>
      </c>
      <c r="E1113" s="535" t="str">
        <f t="shared" si="57"/>
        <v>20130101LGUM_352</v>
      </c>
      <c r="F1113" s="536">
        <v>9.06</v>
      </c>
      <c r="G1113" s="536">
        <f t="shared" si="58"/>
        <v>0.01</v>
      </c>
      <c r="H1113" s="536">
        <f t="shared" si="59"/>
        <v>1.55</v>
      </c>
      <c r="I1113" s="536">
        <f t="shared" si="60"/>
        <v>7.5000000000000009</v>
      </c>
      <c r="J1113" s="537" t="s">
        <v>491</v>
      </c>
    </row>
    <row r="1114" spans="1:10">
      <c r="A1114" s="534">
        <v>20130101</v>
      </c>
      <c r="B1114" s="535" t="s">
        <v>459</v>
      </c>
      <c r="C1114" s="535" t="str">
        <f t="shared" si="56"/>
        <v>20130101RLS</v>
      </c>
      <c r="D1114" s="535" t="s">
        <v>265</v>
      </c>
      <c r="E1114" s="535" t="str">
        <f t="shared" si="57"/>
        <v>20130101LGUM_353</v>
      </c>
      <c r="F1114" s="536">
        <v>10.28</v>
      </c>
      <c r="G1114" s="536">
        <f t="shared" si="58"/>
        <v>0.01</v>
      </c>
      <c r="H1114" s="536">
        <f t="shared" si="59"/>
        <v>2.2000000000000002</v>
      </c>
      <c r="I1114" s="536">
        <f t="shared" si="60"/>
        <v>8.07</v>
      </c>
      <c r="J1114" s="537" t="s">
        <v>492</v>
      </c>
    </row>
    <row r="1115" spans="1:10">
      <c r="A1115" s="534">
        <v>20130101</v>
      </c>
      <c r="B1115" s="535" t="s">
        <v>459</v>
      </c>
      <c r="C1115" s="535" t="str">
        <f t="shared" si="56"/>
        <v>20130101RLS</v>
      </c>
      <c r="D1115" s="535" t="s">
        <v>266</v>
      </c>
      <c r="E1115" s="535" t="str">
        <f t="shared" si="57"/>
        <v>20130101LGUM_354</v>
      </c>
      <c r="F1115" s="536">
        <v>12.51</v>
      </c>
      <c r="G1115" s="536">
        <f t="shared" si="58"/>
        <v>0.01</v>
      </c>
      <c r="H1115" s="536">
        <f t="shared" si="59"/>
        <v>3.41</v>
      </c>
      <c r="I1115" s="536">
        <f t="shared" si="60"/>
        <v>9.09</v>
      </c>
      <c r="J1115" s="537" t="s">
        <v>493</v>
      </c>
    </row>
    <row r="1116" spans="1:10">
      <c r="A1116" s="534">
        <v>20130101</v>
      </c>
      <c r="B1116" s="535" t="s">
        <v>459</v>
      </c>
      <c r="C1116" s="535" t="str">
        <f t="shared" si="56"/>
        <v>20130101RLS</v>
      </c>
      <c r="D1116" s="535" t="s">
        <v>267</v>
      </c>
      <c r="E1116" s="535" t="str">
        <f t="shared" si="57"/>
        <v>20130101LGUM_355</v>
      </c>
      <c r="F1116" s="536">
        <v>10.42</v>
      </c>
      <c r="G1116" s="536">
        <f t="shared" si="58"/>
        <v>0.01</v>
      </c>
      <c r="H1116" s="536">
        <f t="shared" si="59"/>
        <v>1.07</v>
      </c>
      <c r="I1116" s="536">
        <f t="shared" si="60"/>
        <v>9.34</v>
      </c>
      <c r="J1116" s="537" t="s">
        <v>494</v>
      </c>
    </row>
    <row r="1117" spans="1:10">
      <c r="A1117" s="534">
        <v>20130101</v>
      </c>
      <c r="B1117" s="535" t="s">
        <v>459</v>
      </c>
      <c r="C1117" s="535" t="str">
        <f t="shared" si="56"/>
        <v>20130101RLS</v>
      </c>
      <c r="D1117" s="535" t="s">
        <v>546</v>
      </c>
      <c r="E1117" s="535" t="str">
        <f t="shared" si="57"/>
        <v>20130101LGUM_356</v>
      </c>
      <c r="F1117" s="536"/>
      <c r="G1117" s="536">
        <f t="shared" si="58"/>
        <v>0.01</v>
      </c>
      <c r="H1117" s="536">
        <f t="shared" si="59"/>
        <v>0.92</v>
      </c>
      <c r="I1117" s="536">
        <f t="shared" si="60"/>
        <v>-0.93</v>
      </c>
      <c r="J1117" s="537" t="s">
        <v>547</v>
      </c>
    </row>
    <row r="1118" spans="1:10">
      <c r="A1118" s="534">
        <v>20130101</v>
      </c>
      <c r="B1118" s="535" t="s">
        <v>459</v>
      </c>
      <c r="C1118" s="535" t="str">
        <f t="shared" si="56"/>
        <v>20130101RLS</v>
      </c>
      <c r="D1118" s="535" t="s">
        <v>268</v>
      </c>
      <c r="E1118" s="535" t="str">
        <f t="shared" si="57"/>
        <v>20130101LGUM_357</v>
      </c>
      <c r="F1118" s="536">
        <v>14.54</v>
      </c>
      <c r="G1118" s="536">
        <f t="shared" si="58"/>
        <v>0.01</v>
      </c>
      <c r="H1118" s="536">
        <f t="shared" si="59"/>
        <v>3.41</v>
      </c>
      <c r="I1118" s="536">
        <f t="shared" si="60"/>
        <v>11.12</v>
      </c>
      <c r="J1118" s="537" t="s">
        <v>499</v>
      </c>
    </row>
    <row r="1119" spans="1:10">
      <c r="A1119" s="534">
        <v>20130101</v>
      </c>
      <c r="B1119" s="535" t="s">
        <v>459</v>
      </c>
      <c r="C1119" s="535" t="str">
        <f t="shared" si="56"/>
        <v>20130101RLS</v>
      </c>
      <c r="D1119" s="535" t="s">
        <v>269</v>
      </c>
      <c r="E1119" s="535" t="str">
        <f t="shared" si="57"/>
        <v>20130101LGUM_358</v>
      </c>
      <c r="F1119" s="536">
        <v>13.73</v>
      </c>
      <c r="G1119" s="536">
        <f t="shared" si="58"/>
        <v>0.01</v>
      </c>
      <c r="H1119" s="536">
        <f t="shared" si="59"/>
        <v>1.55</v>
      </c>
      <c r="I1119" s="536">
        <f t="shared" si="60"/>
        <v>12.17</v>
      </c>
      <c r="J1119" s="537" t="s">
        <v>500</v>
      </c>
    </row>
    <row r="1120" spans="1:10">
      <c r="A1120" s="534">
        <v>20130101</v>
      </c>
      <c r="B1120" s="535" t="s">
        <v>459</v>
      </c>
      <c r="C1120" s="535" t="str">
        <f t="shared" si="56"/>
        <v>20130101RLS</v>
      </c>
      <c r="D1120" s="535" t="s">
        <v>270</v>
      </c>
      <c r="E1120" s="535" t="str">
        <f t="shared" si="57"/>
        <v>20130101LGUM_360</v>
      </c>
      <c r="F1120" s="536">
        <v>26.49</v>
      </c>
      <c r="G1120" s="536">
        <f t="shared" si="58"/>
        <v>0.02</v>
      </c>
      <c r="H1120" s="536">
        <f t="shared" si="59"/>
        <v>8.16</v>
      </c>
      <c r="I1120" s="536">
        <f t="shared" si="60"/>
        <v>18.309999999999999</v>
      </c>
      <c r="J1120" s="537" t="s">
        <v>503</v>
      </c>
    </row>
    <row r="1121" spans="1:10">
      <c r="A1121" s="534">
        <v>20130101</v>
      </c>
      <c r="B1121" s="535" t="s">
        <v>459</v>
      </c>
      <c r="C1121" s="535" t="str">
        <f t="shared" si="56"/>
        <v>20130101RLS</v>
      </c>
      <c r="D1121" s="535" t="s">
        <v>271</v>
      </c>
      <c r="E1121" s="535" t="str">
        <f t="shared" si="57"/>
        <v>20130101LGUM_361</v>
      </c>
      <c r="F1121" s="536">
        <v>14.33</v>
      </c>
      <c r="G1121" s="536">
        <f t="shared" si="58"/>
        <v>0.02</v>
      </c>
      <c r="H1121" s="536">
        <f t="shared" si="59"/>
        <v>2.2999999999999998</v>
      </c>
      <c r="I1121" s="536">
        <f t="shared" si="60"/>
        <v>12.010000000000002</v>
      </c>
      <c r="J1121" s="537" t="s">
        <v>504</v>
      </c>
    </row>
    <row r="1122" spans="1:10">
      <c r="A1122" s="534">
        <v>20130101</v>
      </c>
      <c r="B1122" s="535" t="s">
        <v>459</v>
      </c>
      <c r="C1122" s="535" t="str">
        <f t="shared" si="56"/>
        <v>20130101RLS</v>
      </c>
      <c r="D1122" s="535" t="s">
        <v>272</v>
      </c>
      <c r="E1122" s="535" t="str">
        <f t="shared" si="57"/>
        <v>20130101LGUM_362</v>
      </c>
      <c r="F1122" s="536">
        <v>16.309999999999999</v>
      </c>
      <c r="G1122" s="536">
        <f t="shared" si="58"/>
        <v>0.02</v>
      </c>
      <c r="H1122" s="536">
        <f t="shared" si="59"/>
        <v>3.65</v>
      </c>
      <c r="I1122" s="536">
        <f t="shared" si="60"/>
        <v>12.639999999999999</v>
      </c>
      <c r="J1122" s="537" t="s">
        <v>505</v>
      </c>
    </row>
    <row r="1123" spans="1:10">
      <c r="A1123" s="534">
        <v>20130101</v>
      </c>
      <c r="B1123" s="535" t="s">
        <v>459</v>
      </c>
      <c r="C1123" s="535" t="str">
        <f t="shared" si="56"/>
        <v>20130101RLS</v>
      </c>
      <c r="D1123" s="535" t="s">
        <v>273</v>
      </c>
      <c r="E1123" s="535" t="str">
        <f t="shared" si="57"/>
        <v>20130101LGUM_363</v>
      </c>
      <c r="F1123" s="536">
        <v>17.14</v>
      </c>
      <c r="G1123" s="536">
        <f t="shared" si="58"/>
        <v>0.02</v>
      </c>
      <c r="H1123" s="536">
        <f t="shared" si="59"/>
        <v>3.65</v>
      </c>
      <c r="I1123" s="536">
        <f t="shared" si="60"/>
        <v>13.47</v>
      </c>
      <c r="J1123" s="537" t="s">
        <v>506</v>
      </c>
    </row>
    <row r="1124" spans="1:10">
      <c r="A1124" s="534">
        <v>20130101</v>
      </c>
      <c r="B1124" s="535" t="s">
        <v>459</v>
      </c>
      <c r="C1124" s="535" t="str">
        <f t="shared" si="56"/>
        <v>20130101RLS</v>
      </c>
      <c r="D1124" s="535" t="s">
        <v>274</v>
      </c>
      <c r="E1124" s="535" t="str">
        <f t="shared" si="57"/>
        <v>20130101LGUM_364</v>
      </c>
      <c r="F1124" s="536">
        <v>18.52</v>
      </c>
      <c r="G1124" s="536">
        <f t="shared" si="58"/>
        <v>0.01</v>
      </c>
      <c r="H1124" s="536">
        <f t="shared" si="59"/>
        <v>2.2000000000000002</v>
      </c>
      <c r="I1124" s="536">
        <f t="shared" si="60"/>
        <v>16.309999999999999</v>
      </c>
      <c r="J1124" s="537" t="s">
        <v>651</v>
      </c>
    </row>
    <row r="1125" spans="1:10">
      <c r="A1125" s="534">
        <v>20130101</v>
      </c>
      <c r="B1125" s="535" t="s">
        <v>459</v>
      </c>
      <c r="C1125" s="535" t="str">
        <f t="shared" si="56"/>
        <v>20130101RLS</v>
      </c>
      <c r="D1125" s="535" t="s">
        <v>275</v>
      </c>
      <c r="E1125" s="535" t="str">
        <f t="shared" si="57"/>
        <v>20130101LGUM_365</v>
      </c>
      <c r="F1125" s="536">
        <v>21.95</v>
      </c>
      <c r="G1125" s="536">
        <f t="shared" si="58"/>
        <v>0.01</v>
      </c>
      <c r="H1125" s="536">
        <f t="shared" si="59"/>
        <v>3.41</v>
      </c>
      <c r="I1125" s="536">
        <f t="shared" si="60"/>
        <v>18.529999999999998</v>
      </c>
      <c r="J1125" s="537" t="s">
        <v>652</v>
      </c>
    </row>
    <row r="1126" spans="1:10">
      <c r="A1126" s="534">
        <v>20130101</v>
      </c>
      <c r="B1126" s="535" t="s">
        <v>459</v>
      </c>
      <c r="C1126" s="535" t="str">
        <f t="shared" si="56"/>
        <v>20130101RLS</v>
      </c>
      <c r="D1126" s="535" t="s">
        <v>276</v>
      </c>
      <c r="E1126" s="535" t="str">
        <f t="shared" si="57"/>
        <v>20130101LGUM_366</v>
      </c>
      <c r="F1126" s="536">
        <v>26.59</v>
      </c>
      <c r="G1126" s="536">
        <f t="shared" si="58"/>
        <v>0.02</v>
      </c>
      <c r="H1126" s="536">
        <f t="shared" si="59"/>
        <v>2.2999999999999998</v>
      </c>
      <c r="I1126" s="536">
        <f t="shared" si="60"/>
        <v>24.27</v>
      </c>
      <c r="J1126" s="537" t="s">
        <v>507</v>
      </c>
    </row>
    <row r="1127" spans="1:10">
      <c r="A1127" s="534">
        <v>20130101</v>
      </c>
      <c r="B1127" s="535" t="s">
        <v>459</v>
      </c>
      <c r="C1127" s="535" t="str">
        <f t="shared" si="56"/>
        <v>20130101RLS</v>
      </c>
      <c r="D1127" s="535" t="s">
        <v>277</v>
      </c>
      <c r="E1127" s="535" t="str">
        <f t="shared" si="57"/>
        <v>20130101LGUM_367</v>
      </c>
      <c r="F1127" s="536">
        <v>30.33</v>
      </c>
      <c r="G1127" s="536">
        <f t="shared" si="58"/>
        <v>0.02</v>
      </c>
      <c r="H1127" s="536">
        <f t="shared" si="59"/>
        <v>3.65</v>
      </c>
      <c r="I1127" s="536">
        <f t="shared" si="60"/>
        <v>26.66</v>
      </c>
      <c r="J1127" s="537" t="s">
        <v>653</v>
      </c>
    </row>
    <row r="1128" spans="1:10">
      <c r="A1128" s="534">
        <v>20130101</v>
      </c>
      <c r="B1128" s="535" t="s">
        <v>459</v>
      </c>
      <c r="C1128" s="535" t="str">
        <f t="shared" si="56"/>
        <v>20130101RLS</v>
      </c>
      <c r="D1128" s="535" t="s">
        <v>553</v>
      </c>
      <c r="E1128" s="535" t="str">
        <f t="shared" si="57"/>
        <v>20130101LGUM_368</v>
      </c>
      <c r="F1128" s="536"/>
      <c r="G1128" s="536">
        <f t="shared" si="58"/>
        <v>0.01</v>
      </c>
      <c r="H1128" s="536">
        <f t="shared" si="59"/>
        <v>1.55</v>
      </c>
      <c r="I1128" s="536">
        <f t="shared" si="60"/>
        <v>-1.56</v>
      </c>
      <c r="J1128" s="537" t="s">
        <v>645</v>
      </c>
    </row>
    <row r="1129" spans="1:10">
      <c r="A1129" s="534">
        <v>20130101</v>
      </c>
      <c r="B1129" s="535" t="s">
        <v>459</v>
      </c>
      <c r="C1129" s="535" t="str">
        <f t="shared" ref="C1129:C1160" si="61">A1129&amp;B1129</f>
        <v>20130101RLS</v>
      </c>
      <c r="D1129" s="535" t="s">
        <v>554</v>
      </c>
      <c r="E1129" s="535" t="str">
        <f t="shared" ref="E1129:E1160" si="62">A1129&amp;D1129</f>
        <v>20130101LGUM_369</v>
      </c>
      <c r="F1129" s="536"/>
      <c r="G1129" s="536">
        <f t="shared" si="58"/>
        <v>0.01</v>
      </c>
      <c r="H1129" s="536">
        <f t="shared" si="59"/>
        <v>3.41</v>
      </c>
      <c r="I1129" s="536">
        <f t="shared" si="60"/>
        <v>-3.42</v>
      </c>
      <c r="J1129" s="537" t="s">
        <v>654</v>
      </c>
    </row>
    <row r="1130" spans="1:10">
      <c r="A1130" s="534">
        <v>20130101</v>
      </c>
      <c r="B1130" s="535" t="s">
        <v>459</v>
      </c>
      <c r="C1130" s="535" t="str">
        <f t="shared" si="61"/>
        <v>20130101RLS</v>
      </c>
      <c r="D1130" s="535" t="s">
        <v>278</v>
      </c>
      <c r="E1130" s="535" t="str">
        <f t="shared" si="62"/>
        <v>20130101LGUM_370</v>
      </c>
      <c r="F1130" s="536">
        <v>26.59</v>
      </c>
      <c r="G1130" s="536">
        <f t="shared" si="58"/>
        <v>0.02</v>
      </c>
      <c r="H1130" s="536">
        <f t="shared" si="59"/>
        <v>2.2999999999999998</v>
      </c>
      <c r="I1130" s="536">
        <f t="shared" si="60"/>
        <v>24.27</v>
      </c>
      <c r="J1130" s="537" t="s">
        <v>655</v>
      </c>
    </row>
    <row r="1131" spans="1:10">
      <c r="A1131" s="534">
        <v>20130101</v>
      </c>
      <c r="B1131" s="535" t="s">
        <v>459</v>
      </c>
      <c r="C1131" s="535" t="str">
        <f t="shared" si="61"/>
        <v>20130101RLS</v>
      </c>
      <c r="D1131" s="535" t="s">
        <v>279</v>
      </c>
      <c r="E1131" s="535" t="str">
        <f t="shared" si="62"/>
        <v>20130101LGUM_371</v>
      </c>
      <c r="F1131" s="536">
        <v>30.33</v>
      </c>
      <c r="G1131" s="536">
        <f t="shared" si="58"/>
        <v>0.02</v>
      </c>
      <c r="H1131" s="536">
        <f t="shared" si="59"/>
        <v>3.65</v>
      </c>
      <c r="I1131" s="536">
        <f t="shared" si="60"/>
        <v>26.66</v>
      </c>
      <c r="J1131" s="537" t="s">
        <v>656</v>
      </c>
    </row>
    <row r="1132" spans="1:10">
      <c r="A1132" s="534">
        <v>20130101</v>
      </c>
      <c r="B1132" s="535" t="s">
        <v>459</v>
      </c>
      <c r="C1132" s="535" t="str">
        <f t="shared" si="61"/>
        <v>20130101RLS</v>
      </c>
      <c r="D1132" s="535" t="s">
        <v>280</v>
      </c>
      <c r="E1132" s="535" t="str">
        <f t="shared" si="62"/>
        <v>20130101LGUM_372</v>
      </c>
      <c r="F1132" s="536">
        <v>12.28</v>
      </c>
      <c r="G1132" s="536">
        <f t="shared" si="58"/>
        <v>0.01</v>
      </c>
      <c r="H1132" s="536">
        <f t="shared" si="59"/>
        <v>1.55</v>
      </c>
      <c r="I1132" s="536">
        <f t="shared" si="60"/>
        <v>10.719999999999999</v>
      </c>
      <c r="J1132" s="537" t="s">
        <v>509</v>
      </c>
    </row>
    <row r="1133" spans="1:10">
      <c r="A1133" s="534">
        <v>20130101</v>
      </c>
      <c r="B1133" s="535" t="s">
        <v>459</v>
      </c>
      <c r="C1133" s="535" t="str">
        <f t="shared" si="61"/>
        <v>20130101RLS</v>
      </c>
      <c r="D1133" s="535" t="s">
        <v>281</v>
      </c>
      <c r="E1133" s="535" t="str">
        <f t="shared" si="62"/>
        <v>20130101LGUM_373</v>
      </c>
      <c r="F1133" s="536">
        <v>13.23</v>
      </c>
      <c r="G1133" s="536">
        <f t="shared" si="58"/>
        <v>0.01</v>
      </c>
      <c r="H1133" s="536">
        <f t="shared" si="59"/>
        <v>1.55</v>
      </c>
      <c r="I1133" s="536">
        <f t="shared" si="60"/>
        <v>11.67</v>
      </c>
      <c r="J1133" s="537" t="s">
        <v>510</v>
      </c>
    </row>
    <row r="1134" spans="1:10">
      <c r="A1134" s="534">
        <v>20130101</v>
      </c>
      <c r="B1134" s="535" t="s">
        <v>459</v>
      </c>
      <c r="C1134" s="535" t="str">
        <f t="shared" si="61"/>
        <v>20130101RLS</v>
      </c>
      <c r="D1134" s="535" t="s">
        <v>282</v>
      </c>
      <c r="E1134" s="535" t="str">
        <f t="shared" si="62"/>
        <v>20130101LGUM_374</v>
      </c>
      <c r="F1134" s="536">
        <v>16.73</v>
      </c>
      <c r="G1134" s="536">
        <f t="shared" si="58"/>
        <v>0.01</v>
      </c>
      <c r="H1134" s="536">
        <f t="shared" si="59"/>
        <v>1.07</v>
      </c>
      <c r="I1134" s="536">
        <f t="shared" si="60"/>
        <v>15.649999999999999</v>
      </c>
      <c r="J1134" s="537" t="s">
        <v>558</v>
      </c>
    </row>
    <row r="1135" spans="1:10">
      <c r="A1135" s="534">
        <v>20130101</v>
      </c>
      <c r="B1135" s="535" t="s">
        <v>459</v>
      </c>
      <c r="C1135" s="535" t="str">
        <f t="shared" si="61"/>
        <v>20130101RLS</v>
      </c>
      <c r="D1135" s="535" t="s">
        <v>283</v>
      </c>
      <c r="E1135" s="535" t="str">
        <f t="shared" si="62"/>
        <v>20130101LGUM_375</v>
      </c>
      <c r="F1135" s="536">
        <v>24.35</v>
      </c>
      <c r="G1135" s="536">
        <f t="shared" si="58"/>
        <v>0.01</v>
      </c>
      <c r="H1135" s="536">
        <f t="shared" si="59"/>
        <v>1.48</v>
      </c>
      <c r="I1135" s="536">
        <f t="shared" si="60"/>
        <v>22.86</v>
      </c>
      <c r="J1135" s="537" t="s">
        <v>657</v>
      </c>
    </row>
    <row r="1136" spans="1:10">
      <c r="A1136" s="534">
        <v>20130101</v>
      </c>
      <c r="B1136" s="535" t="s">
        <v>459</v>
      </c>
      <c r="C1136" s="535" t="str">
        <f t="shared" si="61"/>
        <v>20130101RLS</v>
      </c>
      <c r="D1136" s="535" t="s">
        <v>284</v>
      </c>
      <c r="E1136" s="535" t="str">
        <f t="shared" si="62"/>
        <v>20130101LGUM_376</v>
      </c>
      <c r="F1136" s="536">
        <v>13.78</v>
      </c>
      <c r="G1136" s="536">
        <f t="shared" si="58"/>
        <v>0.01</v>
      </c>
      <c r="H1136" s="536">
        <f t="shared" si="59"/>
        <v>0.74</v>
      </c>
      <c r="I1136" s="536">
        <f t="shared" si="60"/>
        <v>13.03</v>
      </c>
      <c r="J1136" s="537" t="s">
        <v>512</v>
      </c>
    </row>
    <row r="1137" spans="1:10">
      <c r="A1137" s="534">
        <v>20130101</v>
      </c>
      <c r="B1137" s="535" t="s">
        <v>459</v>
      </c>
      <c r="C1137" s="535" t="str">
        <f t="shared" si="61"/>
        <v>20130101RLS</v>
      </c>
      <c r="D1137" s="535" t="s">
        <v>285</v>
      </c>
      <c r="E1137" s="535" t="str">
        <f t="shared" si="62"/>
        <v>20130101LGUM_377</v>
      </c>
      <c r="F1137" s="536">
        <v>21.61</v>
      </c>
      <c r="G1137" s="536">
        <f t="shared" si="58"/>
        <v>0.01</v>
      </c>
      <c r="H1137" s="536">
        <f t="shared" si="59"/>
        <v>1.48</v>
      </c>
      <c r="I1137" s="536">
        <f t="shared" si="60"/>
        <v>20.119999999999997</v>
      </c>
      <c r="J1137" s="537" t="s">
        <v>658</v>
      </c>
    </row>
    <row r="1138" spans="1:10">
      <c r="A1138" s="534">
        <v>20130101</v>
      </c>
      <c r="B1138" s="535" t="s">
        <v>459</v>
      </c>
      <c r="C1138" s="535" t="str">
        <f t="shared" si="61"/>
        <v>20130101RLS</v>
      </c>
      <c r="D1138" s="535" t="s">
        <v>286</v>
      </c>
      <c r="E1138" s="535" t="str">
        <f t="shared" si="62"/>
        <v>20130101LGUM_378</v>
      </c>
      <c r="F1138" s="536">
        <v>70</v>
      </c>
      <c r="G1138" s="536">
        <f t="shared" si="58"/>
        <v>0.05</v>
      </c>
      <c r="H1138" s="536">
        <f t="shared" si="59"/>
        <v>8.14</v>
      </c>
      <c r="I1138" s="536">
        <f t="shared" si="60"/>
        <v>61.81</v>
      </c>
      <c r="J1138" s="537" t="s">
        <v>515</v>
      </c>
    </row>
    <row r="1139" spans="1:10">
      <c r="A1139" s="534">
        <v>20130101</v>
      </c>
      <c r="B1139" s="535" t="s">
        <v>459</v>
      </c>
      <c r="C1139" s="535" t="str">
        <f t="shared" si="61"/>
        <v>20130101RLS</v>
      </c>
      <c r="D1139" s="535" t="s">
        <v>287</v>
      </c>
      <c r="E1139" s="535" t="str">
        <f t="shared" si="62"/>
        <v>20130101LGUM_379</v>
      </c>
      <c r="F1139" s="536">
        <v>38.880000000000003</v>
      </c>
      <c r="G1139" s="536">
        <f t="shared" si="58"/>
        <v>0.05</v>
      </c>
      <c r="H1139" s="536">
        <f t="shared" si="59"/>
        <v>8.14</v>
      </c>
      <c r="I1139" s="536">
        <f t="shared" si="60"/>
        <v>30.690000000000005</v>
      </c>
      <c r="J1139" s="537" t="s">
        <v>517</v>
      </c>
    </row>
    <row r="1140" spans="1:10">
      <c r="A1140" s="534">
        <v>20130101</v>
      </c>
      <c r="B1140" s="535" t="s">
        <v>459</v>
      </c>
      <c r="C1140" s="535" t="str">
        <f t="shared" si="61"/>
        <v>20130101RLS</v>
      </c>
      <c r="D1140" s="535" t="s">
        <v>288</v>
      </c>
      <c r="E1140" s="535" t="str">
        <f t="shared" si="62"/>
        <v>20130101LGUM_380</v>
      </c>
      <c r="F1140" s="536">
        <v>18.989999999999998</v>
      </c>
      <c r="G1140" s="536">
        <f t="shared" si="58"/>
        <v>0.01</v>
      </c>
      <c r="H1140" s="536">
        <f t="shared" si="59"/>
        <v>0.74</v>
      </c>
      <c r="I1140" s="536">
        <f t="shared" si="60"/>
        <v>18.239999999999998</v>
      </c>
      <c r="J1140" s="537" t="s">
        <v>519</v>
      </c>
    </row>
    <row r="1141" spans="1:10">
      <c r="A1141" s="534">
        <v>20130101</v>
      </c>
      <c r="B1141" s="535" t="s">
        <v>459</v>
      </c>
      <c r="C1141" s="535" t="str">
        <f t="shared" si="61"/>
        <v>20130101RLS</v>
      </c>
      <c r="D1141" s="535" t="s">
        <v>289</v>
      </c>
      <c r="E1141" s="535" t="str">
        <f t="shared" si="62"/>
        <v>20130101LGUM_381</v>
      </c>
      <c r="F1141" s="536">
        <v>19.89</v>
      </c>
      <c r="G1141" s="536">
        <f t="shared" si="58"/>
        <v>0.01</v>
      </c>
      <c r="H1141" s="536">
        <f t="shared" si="59"/>
        <v>1.07</v>
      </c>
      <c r="I1141" s="536">
        <f t="shared" si="60"/>
        <v>18.809999999999999</v>
      </c>
      <c r="J1141" s="537" t="s">
        <v>564</v>
      </c>
    </row>
    <row r="1142" spans="1:10">
      <c r="A1142" s="534">
        <v>20130101</v>
      </c>
      <c r="B1142" s="535" t="s">
        <v>459</v>
      </c>
      <c r="C1142" s="535" t="str">
        <f t="shared" si="61"/>
        <v>20130101RLS</v>
      </c>
      <c r="D1142" s="535" t="s">
        <v>290</v>
      </c>
      <c r="E1142" s="535" t="str">
        <f t="shared" si="62"/>
        <v>20130101LGUM_382</v>
      </c>
      <c r="F1142" s="536">
        <v>19.14</v>
      </c>
      <c r="G1142" s="536">
        <f t="shared" si="58"/>
        <v>0.01</v>
      </c>
      <c r="H1142" s="536">
        <f t="shared" si="59"/>
        <v>0.74</v>
      </c>
      <c r="I1142" s="536">
        <f t="shared" si="60"/>
        <v>18.39</v>
      </c>
      <c r="J1142" s="537" t="s">
        <v>521</v>
      </c>
    </row>
    <row r="1143" spans="1:10">
      <c r="A1143" s="534">
        <v>20130101</v>
      </c>
      <c r="B1143" s="535" t="s">
        <v>459</v>
      </c>
      <c r="C1143" s="535" t="str">
        <f t="shared" si="61"/>
        <v>20130101RLS</v>
      </c>
      <c r="D1143" s="535" t="s">
        <v>291</v>
      </c>
      <c r="E1143" s="535" t="str">
        <f t="shared" si="62"/>
        <v>20130101LGUM_383</v>
      </c>
      <c r="F1143" s="536">
        <v>20.36</v>
      </c>
      <c r="G1143" s="536">
        <f t="shared" si="58"/>
        <v>0.01</v>
      </c>
      <c r="H1143" s="536">
        <f t="shared" si="59"/>
        <v>1.07</v>
      </c>
      <c r="I1143" s="536">
        <f t="shared" si="60"/>
        <v>19.279999999999998</v>
      </c>
      <c r="J1143" s="537" t="s">
        <v>566</v>
      </c>
    </row>
    <row r="1144" spans="1:10">
      <c r="A1144" s="534">
        <v>20130101</v>
      </c>
      <c r="B1144" s="535" t="s">
        <v>459</v>
      </c>
      <c r="C1144" s="535" t="str">
        <f t="shared" si="61"/>
        <v>20130101RLS</v>
      </c>
      <c r="D1144" s="538" t="s">
        <v>820</v>
      </c>
      <c r="E1144" s="535" t="str">
        <f t="shared" si="62"/>
        <v>20130101LGUM_384</v>
      </c>
      <c r="F1144" s="536"/>
      <c r="G1144" s="536">
        <f t="shared" si="58"/>
        <v>0.01</v>
      </c>
      <c r="H1144" s="536">
        <f t="shared" si="59"/>
        <v>1.07</v>
      </c>
      <c r="I1144" s="536">
        <f t="shared" si="60"/>
        <v>-1.08</v>
      </c>
      <c r="J1144" s="534" t="s">
        <v>821</v>
      </c>
    </row>
    <row r="1145" spans="1:10">
      <c r="A1145" s="534">
        <v>20130101</v>
      </c>
      <c r="B1145" s="535" t="s">
        <v>459</v>
      </c>
      <c r="C1145" s="535" t="str">
        <f t="shared" si="61"/>
        <v>20130101RLS</v>
      </c>
      <c r="D1145" s="538" t="s">
        <v>822</v>
      </c>
      <c r="E1145" s="535" t="str">
        <f t="shared" si="62"/>
        <v>20130101LGUM_385</v>
      </c>
      <c r="F1145" s="536"/>
      <c r="G1145" s="536">
        <f t="shared" si="58"/>
        <v>0.01</v>
      </c>
      <c r="H1145" s="536">
        <f t="shared" si="59"/>
        <v>1.07</v>
      </c>
      <c r="I1145" s="536">
        <f t="shared" si="60"/>
        <v>-1.08</v>
      </c>
      <c r="J1145" s="534" t="s">
        <v>821</v>
      </c>
    </row>
    <row r="1146" spans="1:10">
      <c r="A1146" s="534">
        <v>20130101</v>
      </c>
      <c r="B1146" s="535" t="s">
        <v>684</v>
      </c>
      <c r="C1146" s="535" t="str">
        <f t="shared" si="61"/>
        <v>20130101DSK</v>
      </c>
      <c r="D1146" s="538" t="s">
        <v>340</v>
      </c>
      <c r="E1146" s="535" t="str">
        <f t="shared" si="62"/>
        <v>20130101LGUM_400</v>
      </c>
      <c r="F1146" s="536">
        <v>23.44</v>
      </c>
      <c r="G1146" s="536">
        <f t="shared" si="58"/>
        <v>0.02</v>
      </c>
      <c r="H1146" s="536">
        <f t="shared" si="59"/>
        <v>0.92</v>
      </c>
      <c r="I1146" s="536">
        <f t="shared" si="60"/>
        <v>22.5</v>
      </c>
      <c r="J1146" s="534" t="s">
        <v>685</v>
      </c>
    </row>
    <row r="1147" spans="1:10">
      <c r="A1147" s="534">
        <v>20130101</v>
      </c>
      <c r="B1147" s="535" t="s">
        <v>684</v>
      </c>
      <c r="C1147" s="535" t="str">
        <f t="shared" si="61"/>
        <v>20130101DSK</v>
      </c>
      <c r="D1147" s="538" t="s">
        <v>692</v>
      </c>
      <c r="E1147" s="535" t="str">
        <f t="shared" si="62"/>
        <v>20130101LGUM_401</v>
      </c>
      <c r="F1147" s="536">
        <v>24.46</v>
      </c>
      <c r="G1147" s="536">
        <f t="shared" si="58"/>
        <v>0.03</v>
      </c>
      <c r="H1147" s="536">
        <f t="shared" si="59"/>
        <v>0.86</v>
      </c>
      <c r="I1147" s="536">
        <f t="shared" si="60"/>
        <v>23.57</v>
      </c>
      <c r="J1147" s="534" t="s">
        <v>693</v>
      </c>
    </row>
    <row r="1148" spans="1:10">
      <c r="A1148" s="534">
        <v>20130101</v>
      </c>
      <c r="B1148" s="535" t="s">
        <v>567</v>
      </c>
      <c r="C1148" s="535" t="str">
        <f t="shared" si="61"/>
        <v>20130101LS</v>
      </c>
      <c r="D1148" s="535" t="s">
        <v>292</v>
      </c>
      <c r="E1148" s="535" t="str">
        <f t="shared" si="62"/>
        <v>20130101LGUM_412</v>
      </c>
      <c r="F1148" s="536">
        <v>19.420000000000002</v>
      </c>
      <c r="G1148" s="536">
        <f t="shared" si="58"/>
        <v>0.03</v>
      </c>
      <c r="H1148" s="536">
        <f t="shared" si="59"/>
        <v>0.61</v>
      </c>
      <c r="I1148" s="536">
        <f t="shared" si="60"/>
        <v>18.78</v>
      </c>
      <c r="J1148" s="534" t="s">
        <v>659</v>
      </c>
    </row>
    <row r="1149" spans="1:10">
      <c r="A1149" s="534">
        <v>20130101</v>
      </c>
      <c r="B1149" s="535" t="s">
        <v>567</v>
      </c>
      <c r="C1149" s="535" t="str">
        <f t="shared" si="61"/>
        <v>20130101LS</v>
      </c>
      <c r="D1149" s="535" t="s">
        <v>293</v>
      </c>
      <c r="E1149" s="535" t="str">
        <f t="shared" si="62"/>
        <v>20130101LGUM_413</v>
      </c>
      <c r="F1149" s="536">
        <v>20.05</v>
      </c>
      <c r="G1149" s="536">
        <f t="shared" si="58"/>
        <v>0.03</v>
      </c>
      <c r="H1149" s="536">
        <f t="shared" si="59"/>
        <v>0.86</v>
      </c>
      <c r="I1149" s="536">
        <f t="shared" si="60"/>
        <v>19.16</v>
      </c>
      <c r="J1149" s="537" t="s">
        <v>569</v>
      </c>
    </row>
    <row r="1150" spans="1:10">
      <c r="A1150" s="534">
        <v>20130101</v>
      </c>
      <c r="B1150" s="535" t="s">
        <v>567</v>
      </c>
      <c r="C1150" s="535" t="str">
        <f t="shared" si="61"/>
        <v>20130101LS</v>
      </c>
      <c r="D1150" s="535" t="s">
        <v>294</v>
      </c>
      <c r="E1150" s="535" t="str">
        <f t="shared" si="62"/>
        <v>20130101LGUM_414</v>
      </c>
      <c r="F1150" s="536">
        <v>21.61</v>
      </c>
      <c r="G1150" s="536">
        <f t="shared" si="58"/>
        <v>0.01</v>
      </c>
      <c r="H1150" s="536">
        <f t="shared" si="59"/>
        <v>1.34</v>
      </c>
      <c r="I1150" s="536">
        <f t="shared" si="60"/>
        <v>20.259999999999998</v>
      </c>
      <c r="J1150" s="537" t="s">
        <v>570</v>
      </c>
    </row>
    <row r="1151" spans="1:10">
      <c r="A1151" s="534">
        <v>20130101</v>
      </c>
      <c r="B1151" s="535" t="s">
        <v>567</v>
      </c>
      <c r="C1151" s="535" t="str">
        <f t="shared" si="61"/>
        <v>20130101LS</v>
      </c>
      <c r="D1151" s="535" t="s">
        <v>295</v>
      </c>
      <c r="E1151" s="535" t="str">
        <f t="shared" si="62"/>
        <v>20130101LGUM_415</v>
      </c>
      <c r="F1151" s="536">
        <v>19.809999999999999</v>
      </c>
      <c r="G1151" s="536">
        <f t="shared" si="58"/>
        <v>0.03</v>
      </c>
      <c r="H1151" s="536">
        <f t="shared" si="59"/>
        <v>0.61</v>
      </c>
      <c r="I1151" s="536">
        <f t="shared" si="60"/>
        <v>19.169999999999998</v>
      </c>
      <c r="J1151" s="534" t="s">
        <v>660</v>
      </c>
    </row>
    <row r="1152" spans="1:10">
      <c r="A1152" s="534">
        <v>20130101</v>
      </c>
      <c r="B1152" s="535" t="s">
        <v>567</v>
      </c>
      <c r="C1152" s="535" t="str">
        <f t="shared" si="61"/>
        <v>20130101LS</v>
      </c>
      <c r="D1152" s="535" t="s">
        <v>296</v>
      </c>
      <c r="E1152" s="535" t="str">
        <f t="shared" si="62"/>
        <v>20130101LGUM_416</v>
      </c>
      <c r="F1152" s="536">
        <v>22.12</v>
      </c>
      <c r="G1152" s="536">
        <f t="shared" si="58"/>
        <v>0.03</v>
      </c>
      <c r="H1152" s="536">
        <f t="shared" si="59"/>
        <v>0.86</v>
      </c>
      <c r="I1152" s="536">
        <f t="shared" si="60"/>
        <v>21.23</v>
      </c>
      <c r="J1152" s="537" t="s">
        <v>572</v>
      </c>
    </row>
    <row r="1153" spans="1:10">
      <c r="A1153" s="534">
        <v>20130101</v>
      </c>
      <c r="B1153" s="535" t="s">
        <v>567</v>
      </c>
      <c r="C1153" s="535" t="str">
        <f t="shared" si="61"/>
        <v>20130101LS</v>
      </c>
      <c r="D1153" s="535" t="s">
        <v>297</v>
      </c>
      <c r="E1153" s="535" t="str">
        <f t="shared" si="62"/>
        <v>20130101LGUM_417</v>
      </c>
      <c r="F1153" s="536">
        <v>23.24</v>
      </c>
      <c r="G1153" s="536">
        <f t="shared" si="58"/>
        <v>0.03</v>
      </c>
      <c r="H1153" s="536">
        <f t="shared" si="59"/>
        <v>0.83</v>
      </c>
      <c r="I1153" s="536">
        <f t="shared" si="60"/>
        <v>22.38</v>
      </c>
      <c r="J1153" s="537" t="s">
        <v>573</v>
      </c>
    </row>
    <row r="1154" spans="1:10">
      <c r="A1154" s="534">
        <v>20130101</v>
      </c>
      <c r="B1154" s="535" t="s">
        <v>567</v>
      </c>
      <c r="C1154" s="535" t="str">
        <f t="shared" si="61"/>
        <v>20130101LS</v>
      </c>
      <c r="D1154" s="535" t="s">
        <v>298</v>
      </c>
      <c r="E1154" s="535" t="str">
        <f t="shared" si="62"/>
        <v>20130101LGUM_418</v>
      </c>
      <c r="F1154" s="536">
        <v>21.61</v>
      </c>
      <c r="G1154" s="536">
        <f t="shared" si="58"/>
        <v>0.01</v>
      </c>
      <c r="H1154" s="536">
        <f t="shared" si="59"/>
        <v>1.34</v>
      </c>
      <c r="I1154" s="536">
        <f t="shared" si="60"/>
        <v>20.259999999999998</v>
      </c>
      <c r="J1154" s="537" t="s">
        <v>574</v>
      </c>
    </row>
    <row r="1155" spans="1:10">
      <c r="A1155" s="534">
        <v>20130101</v>
      </c>
      <c r="B1155" s="535" t="s">
        <v>567</v>
      </c>
      <c r="C1155" s="535" t="str">
        <f t="shared" si="61"/>
        <v>20130101LS</v>
      </c>
      <c r="D1155" s="535" t="s">
        <v>299</v>
      </c>
      <c r="E1155" s="535" t="str">
        <f t="shared" si="62"/>
        <v>20130101LGUM_419</v>
      </c>
      <c r="F1155" s="536">
        <v>24.1</v>
      </c>
      <c r="G1155" s="536">
        <f t="shared" si="58"/>
        <v>0.01</v>
      </c>
      <c r="H1155" s="536">
        <f t="shared" si="59"/>
        <v>1.34</v>
      </c>
      <c r="I1155" s="536">
        <f t="shared" si="60"/>
        <v>22.75</v>
      </c>
      <c r="J1155" s="537" t="s">
        <v>575</v>
      </c>
    </row>
    <row r="1156" spans="1:10">
      <c r="A1156" s="534">
        <v>20130101</v>
      </c>
      <c r="B1156" s="535" t="s">
        <v>567</v>
      </c>
      <c r="C1156" s="535" t="str">
        <f t="shared" si="61"/>
        <v>20130101LS</v>
      </c>
      <c r="D1156" s="535" t="s">
        <v>300</v>
      </c>
      <c r="E1156" s="535" t="str">
        <f t="shared" si="62"/>
        <v>20130101LGUM_420</v>
      </c>
      <c r="F1156" s="536">
        <v>29.35</v>
      </c>
      <c r="G1156" s="536">
        <f t="shared" si="58"/>
        <v>0.01</v>
      </c>
      <c r="H1156" s="536">
        <f t="shared" si="59"/>
        <v>1.34</v>
      </c>
      <c r="I1156" s="536">
        <f t="shared" si="60"/>
        <v>28</v>
      </c>
      <c r="J1156" s="537" t="s">
        <v>576</v>
      </c>
    </row>
    <row r="1157" spans="1:10">
      <c r="A1157" s="534">
        <v>20130101</v>
      </c>
      <c r="B1157" s="535" t="s">
        <v>567</v>
      </c>
      <c r="C1157" s="535" t="str">
        <f t="shared" si="61"/>
        <v>20130101LS</v>
      </c>
      <c r="D1157" s="535" t="s">
        <v>301</v>
      </c>
      <c r="E1157" s="535" t="str">
        <f t="shared" si="62"/>
        <v>20130101LGUM_421</v>
      </c>
      <c r="F1157" s="536">
        <v>32.1</v>
      </c>
      <c r="G1157" s="536">
        <f t="shared" si="58"/>
        <v>0.01</v>
      </c>
      <c r="H1157" s="536">
        <f t="shared" si="59"/>
        <v>2.17</v>
      </c>
      <c r="I1157" s="536">
        <f t="shared" si="60"/>
        <v>29.92</v>
      </c>
      <c r="J1157" s="537" t="s">
        <v>577</v>
      </c>
    </row>
    <row r="1158" spans="1:10">
      <c r="A1158" s="534">
        <v>20130101</v>
      </c>
      <c r="B1158" s="535" t="s">
        <v>567</v>
      </c>
      <c r="C1158" s="535" t="str">
        <f t="shared" si="61"/>
        <v>20130101LS</v>
      </c>
      <c r="D1158" s="535" t="s">
        <v>302</v>
      </c>
      <c r="E1158" s="535" t="str">
        <f t="shared" si="62"/>
        <v>20130101LGUM_422</v>
      </c>
      <c r="F1158" s="536">
        <v>37.32</v>
      </c>
      <c r="G1158" s="536">
        <f t="shared" si="58"/>
        <v>0.02</v>
      </c>
      <c r="H1158" s="536">
        <f t="shared" si="59"/>
        <v>3.48</v>
      </c>
      <c r="I1158" s="536">
        <f t="shared" si="60"/>
        <v>33.82</v>
      </c>
      <c r="J1158" s="537" t="s">
        <v>578</v>
      </c>
    </row>
    <row r="1159" spans="1:10">
      <c r="A1159" s="534">
        <v>20130101</v>
      </c>
      <c r="B1159" s="535" t="s">
        <v>567</v>
      </c>
      <c r="C1159" s="535" t="str">
        <f t="shared" si="61"/>
        <v>20130101LS</v>
      </c>
      <c r="D1159" s="535" t="s">
        <v>303</v>
      </c>
      <c r="E1159" s="535" t="str">
        <f t="shared" si="62"/>
        <v>20130101LGUM_423</v>
      </c>
      <c r="F1159" s="536">
        <v>25.81</v>
      </c>
      <c r="G1159" s="536">
        <f t="shared" si="58"/>
        <v>0.01</v>
      </c>
      <c r="H1159" s="536">
        <f t="shared" si="59"/>
        <v>1.34</v>
      </c>
      <c r="I1159" s="536">
        <f t="shared" si="60"/>
        <v>24.459999999999997</v>
      </c>
      <c r="J1159" s="537" t="s">
        <v>579</v>
      </c>
    </row>
    <row r="1160" spans="1:10">
      <c r="A1160" s="534">
        <v>20130101</v>
      </c>
      <c r="B1160" s="535" t="s">
        <v>567</v>
      </c>
      <c r="C1160" s="535" t="str">
        <f t="shared" si="61"/>
        <v>20130101LS</v>
      </c>
      <c r="D1160" s="535" t="s">
        <v>304</v>
      </c>
      <c r="E1160" s="535" t="str">
        <f t="shared" si="62"/>
        <v>20130101LGUM_424</v>
      </c>
      <c r="F1160" s="536">
        <v>27.69</v>
      </c>
      <c r="G1160" s="536">
        <f t="shared" si="58"/>
        <v>0.01</v>
      </c>
      <c r="H1160" s="536">
        <f t="shared" si="59"/>
        <v>3.48</v>
      </c>
      <c r="I1160" s="536">
        <f t="shared" si="60"/>
        <v>24.2</v>
      </c>
      <c r="J1160" s="537" t="s">
        <v>580</v>
      </c>
    </row>
    <row r="1161" spans="1:10">
      <c r="A1161" s="534">
        <v>20130101</v>
      </c>
      <c r="B1161" s="535" t="s">
        <v>567</v>
      </c>
      <c r="C1161" s="535" t="str">
        <f t="shared" ref="C1161:C1192" si="63">A1161&amp;B1161</f>
        <v>20130101LS</v>
      </c>
      <c r="D1161" s="535" t="s">
        <v>305</v>
      </c>
      <c r="E1161" s="535" t="str">
        <f t="shared" ref="E1161:E1192" si="64">A1161&amp;D1161</f>
        <v>20130101LGUM_425</v>
      </c>
      <c r="F1161" s="536">
        <v>32.96</v>
      </c>
      <c r="G1161" s="536">
        <f t="shared" si="58"/>
        <v>0.02</v>
      </c>
      <c r="H1161" s="536">
        <f t="shared" si="59"/>
        <v>3.48</v>
      </c>
      <c r="I1161" s="536">
        <f t="shared" si="60"/>
        <v>29.459999999999997</v>
      </c>
      <c r="J1161" s="537" t="s">
        <v>581</v>
      </c>
    </row>
    <row r="1162" spans="1:10">
      <c r="A1162" s="534">
        <v>20130101</v>
      </c>
      <c r="B1162" s="535" t="s">
        <v>567</v>
      </c>
      <c r="C1162" s="535" t="str">
        <f t="shared" si="63"/>
        <v>20130101LS</v>
      </c>
      <c r="D1162" s="535" t="s">
        <v>306</v>
      </c>
      <c r="E1162" s="535" t="str">
        <f t="shared" si="64"/>
        <v>20130101LGUM_426</v>
      </c>
      <c r="F1162" s="536">
        <v>32.85</v>
      </c>
      <c r="G1162" s="536">
        <f t="shared" ref="G1162:G1203" si="65">VLOOKUP(D1162,$D$773:$I$1032,4,FALSE)</f>
        <v>0.03</v>
      </c>
      <c r="H1162" s="536">
        <f t="shared" ref="H1162:H1203" si="66">VLOOKUP($D1162,$D$773:$I$1032,5,FALSE)</f>
        <v>0.61</v>
      </c>
      <c r="I1162" s="536">
        <f t="shared" ref="I1162:I1203" si="67">F1162-G1162-H1162</f>
        <v>32.21</v>
      </c>
      <c r="J1162" s="534" t="s">
        <v>663</v>
      </c>
    </row>
    <row r="1163" spans="1:10">
      <c r="A1163" s="534">
        <v>20130101</v>
      </c>
      <c r="B1163" s="535" t="s">
        <v>567</v>
      </c>
      <c r="C1163" s="535" t="str">
        <f t="shared" si="63"/>
        <v>20130101LS</v>
      </c>
      <c r="D1163" s="535" t="s">
        <v>307</v>
      </c>
      <c r="E1163" s="535" t="str">
        <f t="shared" si="64"/>
        <v>20130101LGUM_427</v>
      </c>
      <c r="F1163" s="536">
        <v>34.83</v>
      </c>
      <c r="G1163" s="536">
        <f t="shared" si="65"/>
        <v>0.03</v>
      </c>
      <c r="H1163" s="536">
        <f t="shared" si="66"/>
        <v>0.61</v>
      </c>
      <c r="I1163" s="536">
        <f t="shared" si="67"/>
        <v>34.19</v>
      </c>
      <c r="J1163" s="534" t="s">
        <v>664</v>
      </c>
    </row>
    <row r="1164" spans="1:10">
      <c r="A1164" s="534">
        <v>20130101</v>
      </c>
      <c r="B1164" s="535" t="s">
        <v>567</v>
      </c>
      <c r="C1164" s="535" t="str">
        <f t="shared" si="63"/>
        <v>20130101LS</v>
      </c>
      <c r="D1164" s="535" t="s">
        <v>308</v>
      </c>
      <c r="E1164" s="535" t="str">
        <f t="shared" si="64"/>
        <v>20130101LGUM_428</v>
      </c>
      <c r="F1164" s="536">
        <v>33.65</v>
      </c>
      <c r="G1164" s="536">
        <f t="shared" si="65"/>
        <v>0.03</v>
      </c>
      <c r="H1164" s="536">
        <f t="shared" si="66"/>
        <v>0.86</v>
      </c>
      <c r="I1164" s="536">
        <f t="shared" si="67"/>
        <v>32.76</v>
      </c>
      <c r="J1164" s="537" t="s">
        <v>584</v>
      </c>
    </row>
    <row r="1165" spans="1:10">
      <c r="A1165" s="534">
        <v>20130101</v>
      </c>
      <c r="B1165" s="535" t="s">
        <v>567</v>
      </c>
      <c r="C1165" s="535" t="str">
        <f t="shared" si="63"/>
        <v>20130101LS</v>
      </c>
      <c r="D1165" s="535" t="s">
        <v>309</v>
      </c>
      <c r="E1165" s="535" t="str">
        <f t="shared" si="64"/>
        <v>20130101LGUM_429</v>
      </c>
      <c r="F1165" s="536">
        <v>35.630000000000003</v>
      </c>
      <c r="G1165" s="536">
        <f t="shared" si="65"/>
        <v>0.03</v>
      </c>
      <c r="H1165" s="536">
        <f t="shared" si="66"/>
        <v>0.86</v>
      </c>
      <c r="I1165" s="536">
        <f t="shared" si="67"/>
        <v>34.74</v>
      </c>
      <c r="J1165" s="537" t="s">
        <v>585</v>
      </c>
    </row>
    <row r="1166" spans="1:10">
      <c r="A1166" s="534">
        <v>20130101</v>
      </c>
      <c r="B1166" s="535" t="s">
        <v>567</v>
      </c>
      <c r="C1166" s="535" t="str">
        <f t="shared" si="63"/>
        <v>20130101LS</v>
      </c>
      <c r="D1166" s="535" t="s">
        <v>310</v>
      </c>
      <c r="E1166" s="535" t="str">
        <f t="shared" si="64"/>
        <v>20130101LGUM_430</v>
      </c>
      <c r="F1166" s="536">
        <v>31.89</v>
      </c>
      <c r="G1166" s="536">
        <f t="shared" si="65"/>
        <v>0.03</v>
      </c>
      <c r="H1166" s="536">
        <f t="shared" si="66"/>
        <v>0.61</v>
      </c>
      <c r="I1166" s="536">
        <f t="shared" si="67"/>
        <v>31.25</v>
      </c>
      <c r="J1166" s="534" t="s">
        <v>665</v>
      </c>
    </row>
    <row r="1167" spans="1:10">
      <c r="A1167" s="534">
        <v>20130101</v>
      </c>
      <c r="B1167" s="535" t="s">
        <v>567</v>
      </c>
      <c r="C1167" s="535" t="str">
        <f t="shared" si="63"/>
        <v>20130101LS</v>
      </c>
      <c r="D1167" s="535" t="s">
        <v>311</v>
      </c>
      <c r="E1167" s="535" t="str">
        <f t="shared" si="64"/>
        <v>20130101LGUM_431</v>
      </c>
      <c r="F1167" s="536">
        <v>32.56</v>
      </c>
      <c r="G1167" s="536">
        <f t="shared" si="65"/>
        <v>0.03</v>
      </c>
      <c r="H1167" s="536">
        <f t="shared" si="66"/>
        <v>0.61</v>
      </c>
      <c r="I1167" s="536">
        <f t="shared" si="67"/>
        <v>31.92</v>
      </c>
      <c r="J1167" s="534" t="s">
        <v>666</v>
      </c>
    </row>
    <row r="1168" spans="1:10">
      <c r="A1168" s="534">
        <v>20130101</v>
      </c>
      <c r="B1168" s="535" t="s">
        <v>567</v>
      </c>
      <c r="C1168" s="535" t="str">
        <f t="shared" si="63"/>
        <v>20130101LS</v>
      </c>
      <c r="D1168" s="535" t="s">
        <v>339</v>
      </c>
      <c r="E1168" s="535" t="str">
        <f t="shared" si="64"/>
        <v>20130101LGUM_432</v>
      </c>
      <c r="F1168" s="536">
        <v>33.89</v>
      </c>
      <c r="G1168" s="536">
        <f t="shared" si="65"/>
        <v>0.03</v>
      </c>
      <c r="H1168" s="536">
        <f t="shared" si="66"/>
        <v>0.86</v>
      </c>
      <c r="I1168" s="536">
        <f t="shared" si="67"/>
        <v>33</v>
      </c>
      <c r="J1168" s="537" t="s">
        <v>588</v>
      </c>
    </row>
    <row r="1169" spans="1:10">
      <c r="A1169" s="534">
        <v>20130101</v>
      </c>
      <c r="B1169" s="535" t="s">
        <v>567</v>
      </c>
      <c r="C1169" s="535" t="str">
        <f t="shared" si="63"/>
        <v>20130101LS</v>
      </c>
      <c r="D1169" s="535" t="s">
        <v>312</v>
      </c>
      <c r="E1169" s="535" t="str">
        <f t="shared" si="64"/>
        <v>20130101LGUM_433</v>
      </c>
      <c r="F1169" s="536">
        <v>34.549999999999997</v>
      </c>
      <c r="G1169" s="536">
        <f t="shared" si="65"/>
        <v>0.03</v>
      </c>
      <c r="H1169" s="536">
        <f t="shared" si="66"/>
        <v>0.86</v>
      </c>
      <c r="I1169" s="536">
        <f t="shared" si="67"/>
        <v>33.659999999999997</v>
      </c>
      <c r="J1169" s="537" t="s">
        <v>589</v>
      </c>
    </row>
    <row r="1170" spans="1:10">
      <c r="A1170" s="534">
        <v>20130101</v>
      </c>
      <c r="B1170" s="535" t="s">
        <v>567</v>
      </c>
      <c r="C1170" s="535" t="str">
        <f t="shared" si="63"/>
        <v>20130101LS</v>
      </c>
      <c r="D1170" s="535" t="s">
        <v>313</v>
      </c>
      <c r="E1170" s="535" t="str">
        <f t="shared" si="64"/>
        <v>20130101LGUM_434</v>
      </c>
      <c r="F1170" s="536">
        <v>12.13</v>
      </c>
      <c r="G1170" s="536">
        <f t="shared" si="65"/>
        <v>0.01</v>
      </c>
      <c r="H1170" s="536">
        <f t="shared" si="66"/>
        <v>0.92</v>
      </c>
      <c r="I1170" s="536">
        <f t="shared" si="67"/>
        <v>11.200000000000001</v>
      </c>
      <c r="J1170" s="537" t="s">
        <v>590</v>
      </c>
    </row>
    <row r="1171" spans="1:10">
      <c r="A1171" s="534">
        <v>20130101</v>
      </c>
      <c r="B1171" s="535" t="s">
        <v>567</v>
      </c>
      <c r="C1171" s="535" t="str">
        <f t="shared" si="63"/>
        <v>20130101LS</v>
      </c>
      <c r="D1171" s="535" t="s">
        <v>314</v>
      </c>
      <c r="E1171" s="535" t="str">
        <f t="shared" si="64"/>
        <v>20130101LGUM_435</v>
      </c>
      <c r="F1171" s="536">
        <v>13.73</v>
      </c>
      <c r="G1171" s="536">
        <f t="shared" si="65"/>
        <v>0.01</v>
      </c>
      <c r="H1171" s="536">
        <f t="shared" si="66"/>
        <v>1.55</v>
      </c>
      <c r="I1171" s="536">
        <f t="shared" si="67"/>
        <v>12.17</v>
      </c>
      <c r="J1171" s="537" t="s">
        <v>591</v>
      </c>
    </row>
    <row r="1172" spans="1:10">
      <c r="A1172" s="534">
        <v>20130101</v>
      </c>
      <c r="B1172" s="535" t="s">
        <v>567</v>
      </c>
      <c r="C1172" s="535" t="str">
        <f t="shared" si="63"/>
        <v>20130101LS</v>
      </c>
      <c r="D1172" s="535" t="s">
        <v>592</v>
      </c>
      <c r="E1172" s="535" t="str">
        <f t="shared" si="64"/>
        <v>20130101LGUM_436</v>
      </c>
      <c r="F1172" s="536"/>
      <c r="G1172" s="536">
        <f t="shared" si="65"/>
        <v>0.01</v>
      </c>
      <c r="H1172" s="536">
        <f t="shared" si="66"/>
        <v>3.41</v>
      </c>
      <c r="I1172" s="536">
        <f t="shared" si="67"/>
        <v>-3.42</v>
      </c>
      <c r="J1172" s="537" t="s">
        <v>593</v>
      </c>
    </row>
    <row r="1173" spans="1:10">
      <c r="A1173" s="534">
        <v>20130101</v>
      </c>
      <c r="B1173" s="535" t="s">
        <v>567</v>
      </c>
      <c r="C1173" s="535" t="str">
        <f t="shared" si="63"/>
        <v>20130101LS</v>
      </c>
      <c r="D1173" s="535" t="s">
        <v>315</v>
      </c>
      <c r="E1173" s="535" t="str">
        <f t="shared" si="64"/>
        <v>20130101LGUM_437</v>
      </c>
      <c r="F1173" s="536"/>
      <c r="G1173" s="536">
        <f t="shared" si="65"/>
        <v>0.01</v>
      </c>
      <c r="H1173" s="536">
        <f t="shared" si="66"/>
        <v>2.2000000000000002</v>
      </c>
      <c r="I1173" s="536">
        <f t="shared" si="67"/>
        <v>-2.21</v>
      </c>
      <c r="J1173" s="537" t="s">
        <v>594</v>
      </c>
    </row>
    <row r="1174" spans="1:10">
      <c r="A1174" s="534">
        <v>20130101</v>
      </c>
      <c r="B1174" s="535" t="s">
        <v>567</v>
      </c>
      <c r="C1174" s="535" t="str">
        <f t="shared" si="63"/>
        <v>20130101LS</v>
      </c>
      <c r="D1174" s="535" t="s">
        <v>316</v>
      </c>
      <c r="E1174" s="535" t="str">
        <f t="shared" si="64"/>
        <v>20130101LGUM_438</v>
      </c>
      <c r="F1174" s="536">
        <v>21.95</v>
      </c>
      <c r="G1174" s="536">
        <f t="shared" si="65"/>
        <v>0.01</v>
      </c>
      <c r="H1174" s="536">
        <f t="shared" si="66"/>
        <v>3.41</v>
      </c>
      <c r="I1174" s="536">
        <f t="shared" si="67"/>
        <v>18.529999999999998</v>
      </c>
      <c r="J1174" s="537" t="s">
        <v>595</v>
      </c>
    </row>
    <row r="1175" spans="1:10">
      <c r="A1175" s="534">
        <v>20130101</v>
      </c>
      <c r="B1175" s="535" t="s">
        <v>567</v>
      </c>
      <c r="C1175" s="535" t="str">
        <f t="shared" si="63"/>
        <v>20130101LS</v>
      </c>
      <c r="D1175" s="538" t="s">
        <v>687</v>
      </c>
      <c r="E1175" s="535" t="str">
        <f t="shared" si="64"/>
        <v>20130101LGUM_439</v>
      </c>
      <c r="F1175" s="536">
        <v>15.92</v>
      </c>
      <c r="G1175" s="536">
        <f t="shared" si="65"/>
        <v>0.01</v>
      </c>
      <c r="H1175" s="536">
        <f t="shared" si="66"/>
        <v>1.34</v>
      </c>
      <c r="I1175" s="536">
        <f t="shared" si="67"/>
        <v>14.57</v>
      </c>
      <c r="J1175" s="534" t="s">
        <v>661</v>
      </c>
    </row>
    <row r="1176" spans="1:10">
      <c r="A1176" s="534">
        <v>20130101</v>
      </c>
      <c r="B1176" s="535" t="s">
        <v>567</v>
      </c>
      <c r="C1176" s="535" t="str">
        <f t="shared" si="63"/>
        <v>20130101LS</v>
      </c>
      <c r="D1176" s="538" t="s">
        <v>688</v>
      </c>
      <c r="E1176" s="535" t="str">
        <f t="shared" si="64"/>
        <v>20130101LGUM_440</v>
      </c>
      <c r="F1176" s="536">
        <v>17.52</v>
      </c>
      <c r="G1176" s="536">
        <f t="shared" si="65"/>
        <v>0.01</v>
      </c>
      <c r="H1176" s="536">
        <f t="shared" si="66"/>
        <v>2.17</v>
      </c>
      <c r="I1176" s="536">
        <f t="shared" si="67"/>
        <v>15.339999999999998</v>
      </c>
      <c r="J1176" s="534" t="s">
        <v>662</v>
      </c>
    </row>
    <row r="1177" spans="1:10">
      <c r="A1177" s="534">
        <v>20130101</v>
      </c>
      <c r="B1177" s="535" t="s">
        <v>567</v>
      </c>
      <c r="C1177" s="535" t="str">
        <f t="shared" si="63"/>
        <v>20130101LS</v>
      </c>
      <c r="D1177" s="538" t="s">
        <v>341</v>
      </c>
      <c r="E1177" s="535" t="str">
        <f t="shared" si="64"/>
        <v>20130101LGUM_441</v>
      </c>
      <c r="F1177" s="536">
        <v>21.25</v>
      </c>
      <c r="G1177" s="536">
        <f t="shared" si="65"/>
        <v>0.02</v>
      </c>
      <c r="H1177" s="536">
        <f t="shared" si="66"/>
        <v>3.48</v>
      </c>
      <c r="I1177" s="536">
        <f t="shared" si="67"/>
        <v>17.75</v>
      </c>
      <c r="J1177" s="534" t="s">
        <v>697</v>
      </c>
    </row>
    <row r="1178" spans="1:10">
      <c r="A1178" s="534">
        <v>20130101</v>
      </c>
      <c r="B1178" s="535" t="s">
        <v>567</v>
      </c>
      <c r="C1178" s="535" t="str">
        <f t="shared" si="63"/>
        <v>20130101LS</v>
      </c>
      <c r="D1178" s="535" t="s">
        <v>317</v>
      </c>
      <c r="E1178" s="535" t="str">
        <f t="shared" si="64"/>
        <v>20130101LGUM_452</v>
      </c>
      <c r="F1178" s="536">
        <v>12.28</v>
      </c>
      <c r="G1178" s="536">
        <f t="shared" si="65"/>
        <v>0.01</v>
      </c>
      <c r="H1178" s="536">
        <f t="shared" si="66"/>
        <v>1.34</v>
      </c>
      <c r="I1178" s="536">
        <f t="shared" si="67"/>
        <v>10.93</v>
      </c>
      <c r="J1178" s="537" t="s">
        <v>596</v>
      </c>
    </row>
    <row r="1179" spans="1:10">
      <c r="A1179" s="534">
        <v>20130101</v>
      </c>
      <c r="B1179" s="535" t="s">
        <v>567</v>
      </c>
      <c r="C1179" s="535" t="str">
        <f t="shared" si="63"/>
        <v>20130101LS</v>
      </c>
      <c r="D1179" s="535" t="s">
        <v>318</v>
      </c>
      <c r="E1179" s="535" t="str">
        <f t="shared" si="64"/>
        <v>20130101LGUM_453</v>
      </c>
      <c r="F1179" s="536">
        <v>14.33</v>
      </c>
      <c r="G1179" s="536">
        <f t="shared" si="65"/>
        <v>0.01</v>
      </c>
      <c r="H1179" s="536">
        <f t="shared" si="66"/>
        <v>3.48</v>
      </c>
      <c r="I1179" s="536">
        <f t="shared" si="67"/>
        <v>10.84</v>
      </c>
      <c r="J1179" s="537" t="s">
        <v>597</v>
      </c>
    </row>
    <row r="1180" spans="1:10">
      <c r="A1180" s="534">
        <v>20130101</v>
      </c>
      <c r="B1180" s="535" t="s">
        <v>567</v>
      </c>
      <c r="C1180" s="535" t="str">
        <f t="shared" si="63"/>
        <v>20130101LS</v>
      </c>
      <c r="D1180" s="535" t="s">
        <v>319</v>
      </c>
      <c r="E1180" s="535" t="str">
        <f t="shared" si="64"/>
        <v>20130101LGUM_454</v>
      </c>
      <c r="F1180" s="536">
        <v>16.309999999999999</v>
      </c>
      <c r="G1180" s="536">
        <f t="shared" si="65"/>
        <v>0.02</v>
      </c>
      <c r="H1180" s="536">
        <f t="shared" si="66"/>
        <v>3.48</v>
      </c>
      <c r="I1180" s="536">
        <f t="shared" si="67"/>
        <v>12.809999999999999</v>
      </c>
      <c r="J1180" s="537" t="s">
        <v>598</v>
      </c>
    </row>
    <row r="1181" spans="1:10">
      <c r="A1181" s="534">
        <v>20130101</v>
      </c>
      <c r="B1181" s="535" t="s">
        <v>567</v>
      </c>
      <c r="C1181" s="535" t="str">
        <f t="shared" si="63"/>
        <v>20130101LS</v>
      </c>
      <c r="D1181" s="535" t="s">
        <v>320</v>
      </c>
      <c r="E1181" s="535" t="str">
        <f t="shared" si="64"/>
        <v>20130101LGUM_455</v>
      </c>
      <c r="F1181" s="536">
        <v>13.23</v>
      </c>
      <c r="G1181" s="536">
        <f t="shared" si="65"/>
        <v>0.01</v>
      </c>
      <c r="H1181" s="536">
        <f t="shared" si="66"/>
        <v>1.34</v>
      </c>
      <c r="I1181" s="536">
        <f t="shared" si="67"/>
        <v>11.88</v>
      </c>
      <c r="J1181" s="537" t="s">
        <v>599</v>
      </c>
    </row>
    <row r="1182" spans="1:10">
      <c r="A1182" s="534">
        <v>20130101</v>
      </c>
      <c r="B1182" s="535" t="s">
        <v>567</v>
      </c>
      <c r="C1182" s="535" t="str">
        <f t="shared" si="63"/>
        <v>20130101LS</v>
      </c>
      <c r="D1182" s="535" t="s">
        <v>321</v>
      </c>
      <c r="E1182" s="535" t="str">
        <f t="shared" si="64"/>
        <v>20130101LGUM_456</v>
      </c>
      <c r="F1182" s="536">
        <v>17.14</v>
      </c>
      <c r="G1182" s="536">
        <f t="shared" si="65"/>
        <v>0.02</v>
      </c>
      <c r="H1182" s="536">
        <f t="shared" si="66"/>
        <v>3.48</v>
      </c>
      <c r="I1182" s="536">
        <f t="shared" si="67"/>
        <v>13.64</v>
      </c>
      <c r="J1182" s="537" t="s">
        <v>600</v>
      </c>
    </row>
    <row r="1183" spans="1:10">
      <c r="A1183" s="534">
        <v>20130101</v>
      </c>
      <c r="B1183" s="535" t="s">
        <v>567</v>
      </c>
      <c r="C1183" s="535" t="str">
        <f t="shared" si="63"/>
        <v>20130101LS</v>
      </c>
      <c r="D1183" s="535" t="s">
        <v>322</v>
      </c>
      <c r="E1183" s="535" t="str">
        <f t="shared" si="64"/>
        <v>20130101LGUM_457</v>
      </c>
      <c r="F1183" s="536">
        <v>10.42</v>
      </c>
      <c r="G1183" s="536">
        <f t="shared" si="65"/>
        <v>0.03</v>
      </c>
      <c r="H1183" s="536">
        <f t="shared" si="66"/>
        <v>0.86</v>
      </c>
      <c r="I1183" s="536">
        <f t="shared" si="67"/>
        <v>9.5300000000000011</v>
      </c>
      <c r="J1183" s="537" t="s">
        <v>601</v>
      </c>
    </row>
    <row r="1184" spans="1:10">
      <c r="A1184" s="534">
        <v>20130101</v>
      </c>
      <c r="B1184" s="535" t="s">
        <v>567</v>
      </c>
      <c r="C1184" s="535" t="str">
        <f t="shared" si="63"/>
        <v>20130101LS</v>
      </c>
      <c r="D1184" s="535" t="s">
        <v>323</v>
      </c>
      <c r="E1184" s="535" t="str">
        <f t="shared" si="64"/>
        <v>20130101LGUM_458</v>
      </c>
      <c r="F1184" s="536">
        <v>10.62</v>
      </c>
      <c r="G1184" s="536">
        <f t="shared" si="65"/>
        <v>0.01</v>
      </c>
      <c r="H1184" s="536">
        <f t="shared" si="66"/>
        <v>3.41</v>
      </c>
      <c r="I1184" s="536">
        <f t="shared" si="67"/>
        <v>7.1999999999999993</v>
      </c>
      <c r="J1184" s="537" t="s">
        <v>602</v>
      </c>
    </row>
    <row r="1185" spans="1:10">
      <c r="A1185" s="534">
        <v>20130101</v>
      </c>
      <c r="B1185" s="535" t="s">
        <v>567</v>
      </c>
      <c r="C1185" s="535" t="str">
        <f t="shared" si="63"/>
        <v>20130101LS</v>
      </c>
      <c r="D1185" s="535" t="s">
        <v>324</v>
      </c>
      <c r="E1185" s="535" t="str">
        <f t="shared" si="64"/>
        <v>20130101LGUM_459</v>
      </c>
      <c r="F1185" s="536">
        <v>10.28</v>
      </c>
      <c r="G1185" s="536">
        <f t="shared" si="65"/>
        <v>0.01</v>
      </c>
      <c r="H1185" s="536">
        <f t="shared" si="66"/>
        <v>2.17</v>
      </c>
      <c r="I1185" s="536">
        <f t="shared" si="67"/>
        <v>8.1</v>
      </c>
      <c r="J1185" s="537" t="s">
        <v>603</v>
      </c>
    </row>
    <row r="1186" spans="1:10">
      <c r="A1186" s="534">
        <v>20130101</v>
      </c>
      <c r="B1186" s="535" t="s">
        <v>567</v>
      </c>
      <c r="C1186" s="535" t="str">
        <f t="shared" si="63"/>
        <v>20130101LS</v>
      </c>
      <c r="D1186" s="535" t="s">
        <v>325</v>
      </c>
      <c r="E1186" s="535" t="str">
        <f t="shared" si="64"/>
        <v>20130101LGUM_460</v>
      </c>
      <c r="F1186" s="536">
        <v>12.51</v>
      </c>
      <c r="G1186" s="536">
        <f t="shared" si="65"/>
        <v>0.01</v>
      </c>
      <c r="H1186" s="536">
        <f t="shared" si="66"/>
        <v>3.48</v>
      </c>
      <c r="I1186" s="536">
        <f t="shared" si="67"/>
        <v>9.02</v>
      </c>
      <c r="J1186" s="537" t="s">
        <v>604</v>
      </c>
    </row>
    <row r="1187" spans="1:10">
      <c r="A1187" s="534">
        <v>20130101</v>
      </c>
      <c r="B1187" s="535" t="s">
        <v>567</v>
      </c>
      <c r="C1187" s="535" t="str">
        <f t="shared" si="63"/>
        <v>20130101LS</v>
      </c>
      <c r="D1187" s="535" t="s">
        <v>326</v>
      </c>
      <c r="E1187" s="535" t="str">
        <f t="shared" si="64"/>
        <v>20130101LGUM_461</v>
      </c>
      <c r="F1187" s="536">
        <v>14.54</v>
      </c>
      <c r="G1187" s="536">
        <f t="shared" si="65"/>
        <v>0.01</v>
      </c>
      <c r="H1187" s="536">
        <f t="shared" si="66"/>
        <v>3.48</v>
      </c>
      <c r="I1187" s="536">
        <f t="shared" si="67"/>
        <v>11.049999999999999</v>
      </c>
      <c r="J1187" s="537" t="s">
        <v>605</v>
      </c>
    </row>
    <row r="1188" spans="1:10">
      <c r="A1188" s="534">
        <v>20130101</v>
      </c>
      <c r="B1188" s="535" t="s">
        <v>567</v>
      </c>
      <c r="C1188" s="535" t="str">
        <f t="shared" si="63"/>
        <v>20130101LS</v>
      </c>
      <c r="D1188" s="535" t="s">
        <v>327</v>
      </c>
      <c r="E1188" s="535" t="str">
        <f t="shared" si="64"/>
        <v>20130101LGUM_462</v>
      </c>
      <c r="F1188" s="536">
        <v>9.06</v>
      </c>
      <c r="G1188" s="536">
        <f t="shared" si="65"/>
        <v>0.01</v>
      </c>
      <c r="H1188" s="536">
        <f t="shared" si="66"/>
        <v>3.41</v>
      </c>
      <c r="I1188" s="536">
        <f t="shared" si="67"/>
        <v>5.6400000000000006</v>
      </c>
      <c r="J1188" s="537" t="s">
        <v>606</v>
      </c>
    </row>
    <row r="1189" spans="1:10">
      <c r="A1189" s="534">
        <v>20130101</v>
      </c>
      <c r="B1189" s="535" t="s">
        <v>567</v>
      </c>
      <c r="C1189" s="535" t="str">
        <f t="shared" si="63"/>
        <v>20130101LS</v>
      </c>
      <c r="D1189" s="535" t="s">
        <v>328</v>
      </c>
      <c r="E1189" s="535" t="str">
        <f t="shared" si="64"/>
        <v>20130101LGUM_470</v>
      </c>
      <c r="F1189" s="536">
        <v>12.27</v>
      </c>
      <c r="G1189" s="536">
        <f t="shared" si="65"/>
        <v>0.01</v>
      </c>
      <c r="H1189" s="536">
        <f t="shared" si="66"/>
        <v>1.1100000000000001</v>
      </c>
      <c r="I1189" s="536">
        <f t="shared" si="67"/>
        <v>11.15</v>
      </c>
      <c r="J1189" s="537" t="s">
        <v>607</v>
      </c>
    </row>
    <row r="1190" spans="1:10">
      <c r="A1190" s="534">
        <v>20130101</v>
      </c>
      <c r="B1190" s="535" t="s">
        <v>567</v>
      </c>
      <c r="C1190" s="535" t="str">
        <f t="shared" si="63"/>
        <v>20130101LS</v>
      </c>
      <c r="D1190" s="535" t="s">
        <v>329</v>
      </c>
      <c r="E1190" s="535" t="str">
        <f t="shared" si="64"/>
        <v>20130101LGUM_471</v>
      </c>
      <c r="F1190" s="536">
        <v>14.55</v>
      </c>
      <c r="G1190" s="536">
        <f t="shared" si="65"/>
        <v>0.01</v>
      </c>
      <c r="H1190" s="536">
        <f t="shared" si="66"/>
        <v>1.1100000000000001</v>
      </c>
      <c r="I1190" s="536">
        <f t="shared" si="67"/>
        <v>13.430000000000001</v>
      </c>
      <c r="J1190" s="537" t="s">
        <v>608</v>
      </c>
    </row>
    <row r="1191" spans="1:10">
      <c r="A1191" s="534">
        <v>20130101</v>
      </c>
      <c r="B1191" s="535" t="s">
        <v>567</v>
      </c>
      <c r="C1191" s="535" t="str">
        <f t="shared" si="63"/>
        <v>20130101LS</v>
      </c>
      <c r="D1191" s="535" t="s">
        <v>609</v>
      </c>
      <c r="E1191" s="535" t="str">
        <f t="shared" si="64"/>
        <v>20130101LGUM_472</v>
      </c>
      <c r="F1191" s="536"/>
      <c r="G1191" s="536">
        <f t="shared" si="65"/>
        <v>0.01</v>
      </c>
      <c r="H1191" s="536">
        <f t="shared" si="66"/>
        <v>1.1100000000000001</v>
      </c>
      <c r="I1191" s="536">
        <f t="shared" si="67"/>
        <v>-1.1200000000000001</v>
      </c>
      <c r="J1191" s="537" t="s">
        <v>610</v>
      </c>
    </row>
    <row r="1192" spans="1:10">
      <c r="A1192" s="534">
        <v>20130101</v>
      </c>
      <c r="B1192" s="535" t="s">
        <v>567</v>
      </c>
      <c r="C1192" s="535" t="str">
        <f t="shared" si="63"/>
        <v>20130101LS</v>
      </c>
      <c r="D1192" s="535" t="s">
        <v>330</v>
      </c>
      <c r="E1192" s="535" t="str">
        <f t="shared" si="64"/>
        <v>20130101LGUM_473</v>
      </c>
      <c r="F1192" s="536">
        <v>17.8</v>
      </c>
      <c r="G1192" s="536">
        <f t="shared" si="65"/>
        <v>0.02</v>
      </c>
      <c r="H1192" s="536">
        <f t="shared" si="66"/>
        <v>2.58</v>
      </c>
      <c r="I1192" s="536">
        <f t="shared" si="67"/>
        <v>15.200000000000001</v>
      </c>
      <c r="J1192" s="537" t="s">
        <v>611</v>
      </c>
    </row>
    <row r="1193" spans="1:10">
      <c r="A1193" s="534">
        <v>20130101</v>
      </c>
      <c r="B1193" s="535" t="s">
        <v>567</v>
      </c>
      <c r="C1193" s="535" t="str">
        <f t="shared" ref="C1193:C1395" si="68">A1193&amp;B1193</f>
        <v>20130101LS</v>
      </c>
      <c r="D1193" s="535" t="s">
        <v>331</v>
      </c>
      <c r="E1193" s="535" t="str">
        <f t="shared" ref="E1193:E1395" si="69">A1193&amp;D1193</f>
        <v>20130101LGUM_474</v>
      </c>
      <c r="F1193" s="536">
        <v>20.09</v>
      </c>
      <c r="G1193" s="536">
        <f t="shared" si="65"/>
        <v>0.02</v>
      </c>
      <c r="H1193" s="536">
        <f t="shared" si="66"/>
        <v>2.58</v>
      </c>
      <c r="I1193" s="536">
        <f t="shared" si="67"/>
        <v>17.490000000000002</v>
      </c>
      <c r="J1193" s="537" t="s">
        <v>612</v>
      </c>
    </row>
    <row r="1194" spans="1:10">
      <c r="A1194" s="534">
        <v>20130101</v>
      </c>
      <c r="B1194" s="535" t="s">
        <v>567</v>
      </c>
      <c r="C1194" s="535" t="str">
        <f t="shared" si="68"/>
        <v>20130101LS</v>
      </c>
      <c r="D1194" s="535" t="s">
        <v>332</v>
      </c>
      <c r="E1194" s="535" t="str">
        <f t="shared" si="69"/>
        <v>20130101LGUM_475</v>
      </c>
      <c r="F1194" s="536">
        <v>27.54</v>
      </c>
      <c r="G1194" s="536">
        <f t="shared" si="65"/>
        <v>0.02</v>
      </c>
      <c r="H1194" s="536">
        <f t="shared" si="66"/>
        <v>2.58</v>
      </c>
      <c r="I1194" s="536">
        <f t="shared" si="67"/>
        <v>24.939999999999998</v>
      </c>
      <c r="J1194" s="537" t="s">
        <v>613</v>
      </c>
    </row>
    <row r="1195" spans="1:10">
      <c r="A1195" s="534">
        <v>20130101</v>
      </c>
      <c r="B1195" s="535" t="s">
        <v>567</v>
      </c>
      <c r="C1195" s="535" t="str">
        <f t="shared" si="68"/>
        <v>20130101LS</v>
      </c>
      <c r="D1195" s="535" t="s">
        <v>333</v>
      </c>
      <c r="E1195" s="535" t="str">
        <f t="shared" si="69"/>
        <v>20130101LGUM_476</v>
      </c>
      <c r="F1195" s="536">
        <v>37.19</v>
      </c>
      <c r="G1195" s="536">
        <f t="shared" si="65"/>
        <v>0.04</v>
      </c>
      <c r="H1195" s="536">
        <f t="shared" si="66"/>
        <v>7.97</v>
      </c>
      <c r="I1195" s="536">
        <f t="shared" si="67"/>
        <v>29.18</v>
      </c>
      <c r="J1195" s="537" t="s">
        <v>614</v>
      </c>
    </row>
    <row r="1196" spans="1:10">
      <c r="A1196" s="534">
        <v>20130101</v>
      </c>
      <c r="B1196" s="535" t="s">
        <v>567</v>
      </c>
      <c r="C1196" s="535" t="str">
        <f t="shared" si="68"/>
        <v>20130101LS</v>
      </c>
      <c r="D1196" s="535" t="s">
        <v>334</v>
      </c>
      <c r="E1196" s="535" t="str">
        <f t="shared" si="69"/>
        <v>20130101LGUM_477</v>
      </c>
      <c r="F1196" s="536">
        <v>40.369999999999997</v>
      </c>
      <c r="G1196" s="536">
        <f t="shared" si="65"/>
        <v>0.04</v>
      </c>
      <c r="H1196" s="536">
        <f t="shared" si="66"/>
        <v>7.97</v>
      </c>
      <c r="I1196" s="536">
        <f t="shared" si="67"/>
        <v>32.36</v>
      </c>
      <c r="J1196" s="537" t="s">
        <v>615</v>
      </c>
    </row>
    <row r="1197" spans="1:10">
      <c r="A1197" s="534">
        <v>20130101</v>
      </c>
      <c r="B1197" s="535" t="s">
        <v>567</v>
      </c>
      <c r="C1197" s="535" t="str">
        <f t="shared" si="68"/>
        <v>20130101LS</v>
      </c>
      <c r="D1197" s="535" t="s">
        <v>616</v>
      </c>
      <c r="E1197" s="535" t="str">
        <f t="shared" si="69"/>
        <v>20130101LGUM_478</v>
      </c>
      <c r="F1197" s="536">
        <v>45.32</v>
      </c>
      <c r="G1197" s="536">
        <f t="shared" si="65"/>
        <v>0.04</v>
      </c>
      <c r="H1197" s="536">
        <f t="shared" si="66"/>
        <v>7.97</v>
      </c>
      <c r="I1197" s="536">
        <f t="shared" si="67"/>
        <v>37.31</v>
      </c>
      <c r="J1197" s="537" t="s">
        <v>617</v>
      </c>
    </row>
    <row r="1198" spans="1:10">
      <c r="A1198" s="534">
        <v>20130101</v>
      </c>
      <c r="B1198" s="535" t="s">
        <v>567</v>
      </c>
      <c r="C1198" s="535" t="str">
        <f t="shared" si="68"/>
        <v>20130101LS</v>
      </c>
      <c r="D1198" s="535" t="s">
        <v>618</v>
      </c>
      <c r="E1198" s="535" t="str">
        <f t="shared" si="69"/>
        <v>20130101LGUM_479</v>
      </c>
      <c r="F1198" s="536">
        <v>13.54</v>
      </c>
      <c r="G1198" s="536">
        <f t="shared" si="65"/>
        <v>0.01</v>
      </c>
      <c r="H1198" s="536">
        <f t="shared" si="66"/>
        <v>1.1100000000000001</v>
      </c>
      <c r="I1198" s="536">
        <f t="shared" si="67"/>
        <v>12.42</v>
      </c>
      <c r="J1198" s="537" t="s">
        <v>619</v>
      </c>
    </row>
    <row r="1199" spans="1:10">
      <c r="A1199" s="534">
        <v>20130101</v>
      </c>
      <c r="B1199" s="535" t="s">
        <v>567</v>
      </c>
      <c r="C1199" s="535" t="str">
        <f t="shared" si="68"/>
        <v>20130101LS</v>
      </c>
      <c r="D1199" s="535" t="s">
        <v>620</v>
      </c>
      <c r="E1199" s="535" t="str">
        <f t="shared" si="69"/>
        <v>20130101LGUM_480</v>
      </c>
      <c r="F1199" s="536">
        <v>23.31</v>
      </c>
      <c r="G1199" s="536">
        <f t="shared" si="65"/>
        <v>0.01</v>
      </c>
      <c r="H1199" s="536">
        <f t="shared" si="66"/>
        <v>1.1100000000000001</v>
      </c>
      <c r="I1199" s="536">
        <f t="shared" si="67"/>
        <v>22.189999999999998</v>
      </c>
      <c r="J1199" s="537" t="s">
        <v>621</v>
      </c>
    </row>
    <row r="1200" spans="1:10">
      <c r="A1200" s="534">
        <v>20130101</v>
      </c>
      <c r="B1200" s="535" t="s">
        <v>567</v>
      </c>
      <c r="C1200" s="535" t="str">
        <f t="shared" si="68"/>
        <v>20130101LS</v>
      </c>
      <c r="D1200" s="535" t="s">
        <v>360</v>
      </c>
      <c r="E1200" s="535" t="str">
        <f t="shared" si="69"/>
        <v>20130101LGUM_481</v>
      </c>
      <c r="F1200" s="536">
        <v>19.579999999999998</v>
      </c>
      <c r="G1200" s="536">
        <f t="shared" si="65"/>
        <v>0.02</v>
      </c>
      <c r="H1200" s="536">
        <f t="shared" si="66"/>
        <v>2.58</v>
      </c>
      <c r="I1200" s="536">
        <f t="shared" si="67"/>
        <v>16.979999999999997</v>
      </c>
      <c r="J1200" s="537" t="s">
        <v>622</v>
      </c>
    </row>
    <row r="1201" spans="1:10">
      <c r="A1201" s="534">
        <v>20130101</v>
      </c>
      <c r="B1201" s="535" t="s">
        <v>567</v>
      </c>
      <c r="C1201" s="535" t="str">
        <f t="shared" si="68"/>
        <v>20130101LS</v>
      </c>
      <c r="D1201" s="535" t="s">
        <v>335</v>
      </c>
      <c r="E1201" s="535" t="str">
        <f t="shared" si="69"/>
        <v>20130101LGUM_482</v>
      </c>
      <c r="F1201" s="536">
        <v>29.33</v>
      </c>
      <c r="G1201" s="536">
        <f t="shared" si="65"/>
        <v>0.02</v>
      </c>
      <c r="H1201" s="536">
        <f t="shared" si="66"/>
        <v>2.58</v>
      </c>
      <c r="I1201" s="536">
        <f t="shared" si="67"/>
        <v>26.729999999999997</v>
      </c>
      <c r="J1201" s="537" t="s">
        <v>623</v>
      </c>
    </row>
    <row r="1202" spans="1:10">
      <c r="A1202" s="534">
        <v>20130101</v>
      </c>
      <c r="B1202" s="535" t="s">
        <v>567</v>
      </c>
      <c r="C1202" s="535" t="str">
        <f t="shared" si="68"/>
        <v>20130101LS</v>
      </c>
      <c r="D1202" s="535" t="s">
        <v>336</v>
      </c>
      <c r="E1202" s="535" t="str">
        <f t="shared" si="69"/>
        <v>20130101LGUM_483</v>
      </c>
      <c r="F1202" s="536">
        <v>40.15</v>
      </c>
      <c r="G1202" s="536">
        <f t="shared" si="65"/>
        <v>0.04</v>
      </c>
      <c r="H1202" s="536">
        <f t="shared" si="66"/>
        <v>7.97</v>
      </c>
      <c r="I1202" s="536">
        <f t="shared" si="67"/>
        <v>32.14</v>
      </c>
      <c r="J1202" s="537" t="s">
        <v>624</v>
      </c>
    </row>
    <row r="1203" spans="1:10">
      <c r="A1203" s="534">
        <v>20130101</v>
      </c>
      <c r="B1203" s="535" t="s">
        <v>567</v>
      </c>
      <c r="C1203" s="535" t="str">
        <f t="shared" si="68"/>
        <v>20130101LS</v>
      </c>
      <c r="D1203" s="535" t="s">
        <v>337</v>
      </c>
      <c r="E1203" s="535" t="str">
        <f t="shared" si="69"/>
        <v>20130101LGUM_484</v>
      </c>
      <c r="F1203" s="536">
        <v>49.9</v>
      </c>
      <c r="G1203" s="536">
        <f t="shared" si="65"/>
        <v>0.04</v>
      </c>
      <c r="H1203" s="536">
        <f t="shared" si="66"/>
        <v>7.97</v>
      </c>
      <c r="I1203" s="536">
        <f t="shared" si="67"/>
        <v>41.89</v>
      </c>
      <c r="J1203" s="537" t="s">
        <v>625</v>
      </c>
    </row>
    <row r="1204" spans="1:10">
      <c r="A1204" s="539">
        <v>20130701</v>
      </c>
      <c r="B1204" s="540" t="s">
        <v>459</v>
      </c>
      <c r="C1204" s="540" t="str">
        <f t="shared" ref="C1204:C1348" si="70">A1204&amp;B1204</f>
        <v>20130701RLS</v>
      </c>
      <c r="D1204" s="540" t="s">
        <v>138</v>
      </c>
      <c r="E1204" s="540" t="str">
        <f t="shared" ref="E1204:E1348" si="71">A1204&amp;D1204</f>
        <v>20130701LGUM_002</v>
      </c>
      <c r="F1204" s="541"/>
      <c r="G1204" s="541"/>
      <c r="H1204" s="541"/>
      <c r="I1204" s="541"/>
      <c r="J1204" s="542"/>
    </row>
    <row r="1205" spans="1:10">
      <c r="A1205" s="539">
        <v>20130701</v>
      </c>
      <c r="B1205" s="540" t="s">
        <v>459</v>
      </c>
      <c r="C1205" s="540" t="str">
        <f t="shared" si="70"/>
        <v>20130701RLS</v>
      </c>
      <c r="D1205" s="540" t="s">
        <v>187</v>
      </c>
      <c r="E1205" s="540" t="str">
        <f t="shared" si="71"/>
        <v>20130701LGUM_152</v>
      </c>
      <c r="F1205" s="541"/>
      <c r="G1205" s="541"/>
      <c r="H1205" s="541"/>
      <c r="I1205" s="541"/>
      <c r="J1205" s="542"/>
    </row>
    <row r="1206" spans="1:10">
      <c r="A1206" s="539">
        <v>20130701</v>
      </c>
      <c r="B1206" s="540" t="s">
        <v>459</v>
      </c>
      <c r="C1206" s="540" t="str">
        <f t="shared" si="70"/>
        <v>20130701RLS</v>
      </c>
      <c r="D1206" s="540" t="s">
        <v>197</v>
      </c>
      <c r="E1206" s="540" t="str">
        <f t="shared" si="71"/>
        <v>20130701LGUM_163</v>
      </c>
      <c r="F1206" s="541"/>
      <c r="G1206" s="541"/>
      <c r="H1206" s="541"/>
      <c r="I1206" s="541"/>
      <c r="J1206" s="542"/>
    </row>
    <row r="1207" spans="1:10">
      <c r="A1207" s="539">
        <v>20130701</v>
      </c>
      <c r="B1207" s="540" t="s">
        <v>459</v>
      </c>
      <c r="C1207" s="540" t="str">
        <f t="shared" si="70"/>
        <v>20130701RLS</v>
      </c>
      <c r="D1207" s="543" t="s">
        <v>342</v>
      </c>
      <c r="E1207" s="540" t="str">
        <f t="shared" si="71"/>
        <v>20130701LGUM_201</v>
      </c>
      <c r="F1207" s="541">
        <v>7.99</v>
      </c>
      <c r="G1207" s="541">
        <f>VLOOKUP(D1207,$D$1033:$I$1203,4,FALSE)</f>
        <v>0.01</v>
      </c>
      <c r="H1207" s="541">
        <f>F1207-G1207-I1207</f>
        <v>1.0899999999999999</v>
      </c>
      <c r="I1207" s="541">
        <v>6.8900000000000006</v>
      </c>
      <c r="J1207" s="539" t="s">
        <v>1166</v>
      </c>
    </row>
    <row r="1208" spans="1:10">
      <c r="A1208" s="539">
        <v>20130701</v>
      </c>
      <c r="B1208" s="540" t="s">
        <v>459</v>
      </c>
      <c r="C1208" s="540" t="str">
        <f t="shared" si="70"/>
        <v>20130701RLS</v>
      </c>
      <c r="D1208" s="540" t="s">
        <v>212</v>
      </c>
      <c r="E1208" s="540" t="str">
        <f t="shared" si="71"/>
        <v>20130701LGUM_202</v>
      </c>
      <c r="F1208" s="541"/>
      <c r="G1208" s="541"/>
      <c r="H1208" s="541"/>
      <c r="I1208" s="541"/>
      <c r="J1208" s="542"/>
    </row>
    <row r="1209" spans="1:10">
      <c r="A1209" s="539">
        <v>20130701</v>
      </c>
      <c r="B1209" s="540" t="s">
        <v>459</v>
      </c>
      <c r="C1209" s="540" t="str">
        <f t="shared" si="70"/>
        <v>20130701RLS</v>
      </c>
      <c r="D1209" s="540" t="s">
        <v>213</v>
      </c>
      <c r="E1209" s="540" t="str">
        <f t="shared" si="71"/>
        <v>20130701LGUM_203</v>
      </c>
      <c r="F1209" s="541">
        <v>10.79</v>
      </c>
      <c r="G1209" s="541">
        <f t="shared" ref="G1209:G1210" si="72">VLOOKUP(D1209,$D$1033:$I$1203,4,FALSE)</f>
        <v>0.01</v>
      </c>
      <c r="H1209" s="541">
        <f>F1209-G1209-I1209</f>
        <v>2.7099999999999991</v>
      </c>
      <c r="I1209" s="541">
        <v>8.07</v>
      </c>
      <c r="J1209" s="539" t="s">
        <v>1161</v>
      </c>
    </row>
    <row r="1210" spans="1:10">
      <c r="A1210" s="539">
        <v>20130701</v>
      </c>
      <c r="B1210" s="540" t="s">
        <v>459</v>
      </c>
      <c r="C1210" s="540" t="str">
        <f t="shared" si="70"/>
        <v>20130701RLS</v>
      </c>
      <c r="D1210" s="540" t="s">
        <v>214</v>
      </c>
      <c r="E1210" s="540" t="str">
        <f t="shared" si="71"/>
        <v>20130701LGUM_204</v>
      </c>
      <c r="F1210" s="541">
        <v>13.3</v>
      </c>
      <c r="G1210" s="541">
        <f t="shared" si="72"/>
        <v>0.01</v>
      </c>
      <c r="H1210" s="541">
        <f>F1210-G1210-I1210</f>
        <v>4.2000000000000011</v>
      </c>
      <c r="I1210" s="541">
        <v>9.09</v>
      </c>
      <c r="J1210" s="539" t="s">
        <v>1162</v>
      </c>
    </row>
    <row r="1211" spans="1:10">
      <c r="A1211" s="539">
        <v>20130701</v>
      </c>
      <c r="B1211" s="540" t="s">
        <v>459</v>
      </c>
      <c r="C1211" s="540" t="str">
        <f t="shared" si="70"/>
        <v>20130701RLS</v>
      </c>
      <c r="D1211" s="540" t="s">
        <v>343</v>
      </c>
      <c r="E1211" s="540" t="str">
        <f t="shared" si="71"/>
        <v>20130701LGUM_205</v>
      </c>
      <c r="F1211" s="541"/>
      <c r="G1211" s="541"/>
      <c r="H1211" s="541"/>
      <c r="I1211" s="541"/>
      <c r="J1211" s="542"/>
    </row>
    <row r="1212" spans="1:10">
      <c r="A1212" s="539">
        <v>20130701</v>
      </c>
      <c r="B1212" s="540" t="s">
        <v>459</v>
      </c>
      <c r="C1212" s="540" t="str">
        <f t="shared" si="70"/>
        <v>20130701RLS</v>
      </c>
      <c r="D1212" s="540" t="s">
        <v>215</v>
      </c>
      <c r="E1212" s="540" t="str">
        <f t="shared" si="71"/>
        <v>20130701LGUM_206</v>
      </c>
      <c r="F1212" s="541">
        <v>12.3</v>
      </c>
      <c r="G1212" s="541">
        <f t="shared" ref="G1212:G1216" si="73">VLOOKUP(D1212,$D$1033:$I$1203,4,FALSE)</f>
        <v>0.01</v>
      </c>
      <c r="H1212" s="541">
        <f>F1212-G1212-I1212</f>
        <v>1.0899999999999999</v>
      </c>
      <c r="I1212" s="541">
        <v>11.200000000000001</v>
      </c>
      <c r="J1212" s="542" t="s">
        <v>1193</v>
      </c>
    </row>
    <row r="1213" spans="1:10">
      <c r="A1213" s="539">
        <v>20130701</v>
      </c>
      <c r="B1213" s="540" t="s">
        <v>459</v>
      </c>
      <c r="C1213" s="540" t="str">
        <f t="shared" si="70"/>
        <v>20130701RLS</v>
      </c>
      <c r="D1213" s="540" t="s">
        <v>216</v>
      </c>
      <c r="E1213" s="540" t="str">
        <f t="shared" si="71"/>
        <v>20130701LGUM_207</v>
      </c>
      <c r="F1213" s="541">
        <v>15.33</v>
      </c>
      <c r="G1213" s="541">
        <f t="shared" si="73"/>
        <v>0.01</v>
      </c>
      <c r="H1213" s="541">
        <f>F1213-G1213-I1213</f>
        <v>4.2000000000000011</v>
      </c>
      <c r="I1213" s="541">
        <v>11.12</v>
      </c>
      <c r="J1213" s="542" t="s">
        <v>1164</v>
      </c>
    </row>
    <row r="1214" spans="1:10">
      <c r="A1214" s="539">
        <v>20130701</v>
      </c>
      <c r="B1214" s="540" t="s">
        <v>459</v>
      </c>
      <c r="C1214" s="540" t="str">
        <f t="shared" si="70"/>
        <v>20130701RLS</v>
      </c>
      <c r="D1214" s="540" t="s">
        <v>217</v>
      </c>
      <c r="E1214" s="540" t="str">
        <f t="shared" si="71"/>
        <v>20130701LGUM_208</v>
      </c>
      <c r="F1214" s="541">
        <v>14.09</v>
      </c>
      <c r="G1214" s="541">
        <f t="shared" si="73"/>
        <v>0.01</v>
      </c>
      <c r="H1214" s="541">
        <f>F1214-G1214-I1214</f>
        <v>1.9100000000000001</v>
      </c>
      <c r="I1214" s="541">
        <v>12.17</v>
      </c>
      <c r="J1214" s="539" t="s">
        <v>1194</v>
      </c>
    </row>
    <row r="1215" spans="1:10">
      <c r="A1215" s="539">
        <v>20130701</v>
      </c>
      <c r="B1215" s="540" t="s">
        <v>459</v>
      </c>
      <c r="C1215" s="540" t="str">
        <f t="shared" si="70"/>
        <v>20130701RLS</v>
      </c>
      <c r="D1215" s="540" t="s">
        <v>344</v>
      </c>
      <c r="E1215" s="540" t="str">
        <f t="shared" si="71"/>
        <v>20130701LGUM_209</v>
      </c>
      <c r="F1215" s="541">
        <v>27.3</v>
      </c>
      <c r="G1215" s="541">
        <f t="shared" si="73"/>
        <v>0.02</v>
      </c>
      <c r="H1215" s="541">
        <f>F1215-G1215-I1215</f>
        <v>10.170000000000002</v>
      </c>
      <c r="I1215" s="541">
        <v>17.11</v>
      </c>
      <c r="J1215" s="539" t="s">
        <v>1163</v>
      </c>
    </row>
    <row r="1216" spans="1:10">
      <c r="A1216" s="539">
        <v>20130701</v>
      </c>
      <c r="B1216" s="540" t="s">
        <v>459</v>
      </c>
      <c r="C1216" s="540" t="str">
        <f t="shared" si="70"/>
        <v>20130701RLS</v>
      </c>
      <c r="D1216" s="540" t="s">
        <v>218</v>
      </c>
      <c r="E1216" s="540" t="str">
        <f t="shared" si="71"/>
        <v>20130701LGUM_210</v>
      </c>
      <c r="F1216" s="541">
        <v>28.5</v>
      </c>
      <c r="G1216" s="541">
        <f t="shared" si="73"/>
        <v>0.02</v>
      </c>
      <c r="H1216" s="541">
        <f>F1216-G1216-I1216</f>
        <v>10.170000000000002</v>
      </c>
      <c r="I1216" s="541">
        <v>18.309999999999999</v>
      </c>
      <c r="J1216" s="539" t="s">
        <v>1165</v>
      </c>
    </row>
    <row r="1217" spans="1:10">
      <c r="A1217" s="539">
        <v>20130701</v>
      </c>
      <c r="B1217" s="540" t="s">
        <v>459</v>
      </c>
      <c r="C1217" s="540" t="str">
        <f t="shared" si="70"/>
        <v>20130701RLS</v>
      </c>
      <c r="D1217" s="540" t="s">
        <v>219</v>
      </c>
      <c r="E1217" s="540" t="str">
        <f t="shared" si="71"/>
        <v>20130701LGUM_211</v>
      </c>
      <c r="F1217" s="541"/>
      <c r="G1217" s="541"/>
      <c r="H1217" s="541"/>
      <c r="I1217" s="541"/>
      <c r="J1217" s="542"/>
    </row>
    <row r="1218" spans="1:10">
      <c r="A1218" s="539">
        <v>20130701</v>
      </c>
      <c r="B1218" s="540" t="s">
        <v>459</v>
      </c>
      <c r="C1218" s="540" t="str">
        <f t="shared" si="70"/>
        <v>20130701RLS</v>
      </c>
      <c r="D1218" s="540" t="s">
        <v>220</v>
      </c>
      <c r="E1218" s="540" t="str">
        <f t="shared" si="71"/>
        <v>20130701LGUM_212</v>
      </c>
      <c r="F1218" s="541"/>
      <c r="G1218" s="541"/>
      <c r="H1218" s="541"/>
      <c r="I1218" s="541"/>
      <c r="J1218" s="542"/>
    </row>
    <row r="1219" spans="1:10">
      <c r="A1219" s="539">
        <v>20130701</v>
      </c>
      <c r="B1219" s="540" t="s">
        <v>459</v>
      </c>
      <c r="C1219" s="540" t="str">
        <f t="shared" si="70"/>
        <v>20130701RLS</v>
      </c>
      <c r="D1219" s="540" t="s">
        <v>345</v>
      </c>
      <c r="E1219" s="540" t="str">
        <f t="shared" si="71"/>
        <v>20130701LGUM_213</v>
      </c>
      <c r="F1219" s="541"/>
      <c r="G1219" s="541"/>
      <c r="H1219" s="541"/>
      <c r="I1219" s="541"/>
      <c r="J1219" s="542"/>
    </row>
    <row r="1220" spans="1:10">
      <c r="A1220" s="539">
        <v>20130701</v>
      </c>
      <c r="B1220" s="540" t="s">
        <v>459</v>
      </c>
      <c r="C1220" s="540" t="str">
        <f t="shared" si="70"/>
        <v>20130701RLS</v>
      </c>
      <c r="D1220" s="540" t="s">
        <v>346</v>
      </c>
      <c r="E1220" s="540" t="str">
        <f t="shared" si="71"/>
        <v>20130701LGUM_216</v>
      </c>
      <c r="F1220" s="541"/>
      <c r="G1220" s="541"/>
      <c r="H1220" s="541"/>
      <c r="I1220" s="541"/>
      <c r="J1220" s="542"/>
    </row>
    <row r="1221" spans="1:10">
      <c r="A1221" s="539">
        <v>20130701</v>
      </c>
      <c r="B1221" s="540" t="s">
        <v>459</v>
      </c>
      <c r="C1221" s="540" t="str">
        <f t="shared" si="70"/>
        <v>20130701RLS</v>
      </c>
      <c r="D1221" s="540" t="s">
        <v>347</v>
      </c>
      <c r="E1221" s="540" t="str">
        <f t="shared" si="71"/>
        <v>20130701LGUM_217</v>
      </c>
      <c r="F1221" s="541"/>
      <c r="G1221" s="541"/>
      <c r="H1221" s="541"/>
      <c r="I1221" s="541"/>
      <c r="J1221" s="542"/>
    </row>
    <row r="1222" spans="1:10">
      <c r="A1222" s="539">
        <v>20130701</v>
      </c>
      <c r="B1222" s="540" t="s">
        <v>459</v>
      </c>
      <c r="C1222" s="540" t="str">
        <f t="shared" si="70"/>
        <v>20130701RLS</v>
      </c>
      <c r="D1222" s="540" t="s">
        <v>221</v>
      </c>
      <c r="E1222" s="540" t="str">
        <f t="shared" si="71"/>
        <v>20130701LGUM_222</v>
      </c>
      <c r="F1222" s="541"/>
      <c r="G1222" s="541"/>
      <c r="H1222" s="541"/>
      <c r="I1222" s="541"/>
      <c r="J1222" s="542"/>
    </row>
    <row r="1223" spans="1:10">
      <c r="A1223" s="539">
        <v>20130701</v>
      </c>
      <c r="B1223" s="540" t="s">
        <v>459</v>
      </c>
      <c r="C1223" s="540" t="str">
        <f t="shared" si="70"/>
        <v>20130701RLS</v>
      </c>
      <c r="D1223" s="540" t="s">
        <v>348</v>
      </c>
      <c r="E1223" s="540" t="str">
        <f t="shared" si="71"/>
        <v>20130701LGUM_223</v>
      </c>
      <c r="F1223" s="541"/>
      <c r="G1223" s="541"/>
      <c r="H1223" s="541"/>
      <c r="I1223" s="541"/>
      <c r="J1223" s="542"/>
    </row>
    <row r="1224" spans="1:10">
      <c r="A1224" s="539">
        <v>20130701</v>
      </c>
      <c r="B1224" s="540" t="s">
        <v>459</v>
      </c>
      <c r="C1224" s="540" t="str">
        <f t="shared" si="70"/>
        <v>20130701RLS</v>
      </c>
      <c r="D1224" s="540" t="s">
        <v>222</v>
      </c>
      <c r="E1224" s="540" t="str">
        <f t="shared" si="71"/>
        <v>20130701LGUM_224</v>
      </c>
      <c r="F1224" s="541"/>
      <c r="G1224" s="541"/>
      <c r="H1224" s="541"/>
      <c r="I1224" s="541"/>
      <c r="J1224" s="542"/>
    </row>
    <row r="1225" spans="1:10">
      <c r="A1225" s="539">
        <v>20130701</v>
      </c>
      <c r="B1225" s="540" t="s">
        <v>459</v>
      </c>
      <c r="C1225" s="540" t="str">
        <f t="shared" si="70"/>
        <v>20130701RLS</v>
      </c>
      <c r="D1225" s="540" t="s">
        <v>484</v>
      </c>
      <c r="E1225" s="540" t="str">
        <f t="shared" si="71"/>
        <v>20130701LGUM_225</v>
      </c>
      <c r="F1225" s="541"/>
      <c r="G1225" s="541"/>
      <c r="H1225" s="541"/>
      <c r="I1225" s="541"/>
      <c r="J1225" s="542"/>
    </row>
    <row r="1226" spans="1:10">
      <c r="A1226" s="539">
        <v>20130701</v>
      </c>
      <c r="B1226" s="540" t="s">
        <v>459</v>
      </c>
      <c r="C1226" s="540" t="str">
        <f t="shared" si="70"/>
        <v>20130701RLS</v>
      </c>
      <c r="D1226" s="540" t="s">
        <v>488</v>
      </c>
      <c r="E1226" s="540" t="str">
        <f t="shared" si="71"/>
        <v>20130701LGUM_226</v>
      </c>
      <c r="F1226" s="541"/>
      <c r="G1226" s="541"/>
      <c r="H1226" s="541"/>
      <c r="I1226" s="541"/>
      <c r="J1226" s="542"/>
    </row>
    <row r="1227" spans="1:10">
      <c r="A1227" s="539">
        <v>20130701</v>
      </c>
      <c r="B1227" s="540" t="s">
        <v>459</v>
      </c>
      <c r="C1227" s="540" t="str">
        <f t="shared" si="70"/>
        <v>20130701RLS</v>
      </c>
      <c r="D1227" s="540" t="s">
        <v>489</v>
      </c>
      <c r="E1227" s="540" t="str">
        <f t="shared" si="71"/>
        <v>20130701LGUM_251</v>
      </c>
      <c r="F1227" s="541"/>
      <c r="G1227" s="541"/>
      <c r="H1227" s="541"/>
      <c r="I1227" s="541"/>
      <c r="J1227" s="542"/>
    </row>
    <row r="1228" spans="1:10">
      <c r="A1228" s="539">
        <v>20130701</v>
      </c>
      <c r="B1228" s="540" t="s">
        <v>459</v>
      </c>
      <c r="C1228" s="540" t="str">
        <f t="shared" si="70"/>
        <v>20130701RLS</v>
      </c>
      <c r="D1228" s="540" t="s">
        <v>223</v>
      </c>
      <c r="E1228" s="540" t="str">
        <f t="shared" si="71"/>
        <v>20130701LGUM_252</v>
      </c>
      <c r="F1228" s="541">
        <v>9.42</v>
      </c>
      <c r="G1228" s="541">
        <f>VLOOKUP(D1228,$D$1033:$I$1203,4,FALSE)</f>
        <v>0.01</v>
      </c>
      <c r="H1228" s="541">
        <f>F1228-G1228-I1228</f>
        <v>1.9099999999999993</v>
      </c>
      <c r="I1228" s="541">
        <v>7.5000000000000009</v>
      </c>
      <c r="J1228" s="542" t="s">
        <v>1159</v>
      </c>
    </row>
    <row r="1229" spans="1:10">
      <c r="A1229" s="539">
        <v>20130701</v>
      </c>
      <c r="B1229" s="540" t="s">
        <v>459</v>
      </c>
      <c r="C1229" s="540" t="str">
        <f t="shared" si="70"/>
        <v>20130701RLS</v>
      </c>
      <c r="D1229" s="540" t="s">
        <v>224</v>
      </c>
      <c r="E1229" s="540" t="str">
        <f t="shared" si="71"/>
        <v>20130701LGUM_253</v>
      </c>
      <c r="F1229" s="541"/>
      <c r="G1229" s="541"/>
      <c r="H1229" s="541"/>
      <c r="I1229" s="541"/>
      <c r="J1229" s="542"/>
    </row>
    <row r="1230" spans="1:10">
      <c r="A1230" s="539">
        <v>20130701</v>
      </c>
      <c r="B1230" s="540" t="s">
        <v>459</v>
      </c>
      <c r="C1230" s="540" t="str">
        <f t="shared" si="70"/>
        <v>20130701RLS</v>
      </c>
      <c r="D1230" s="540" t="s">
        <v>349</v>
      </c>
      <c r="E1230" s="540" t="str">
        <f t="shared" si="71"/>
        <v>20130701LGUM_254</v>
      </c>
      <c r="F1230" s="541"/>
      <c r="G1230" s="541"/>
      <c r="H1230" s="541"/>
      <c r="I1230" s="541"/>
      <c r="J1230" s="542"/>
    </row>
    <row r="1231" spans="1:10">
      <c r="A1231" s="539">
        <v>20130701</v>
      </c>
      <c r="B1231" s="540" t="s">
        <v>459</v>
      </c>
      <c r="C1231" s="540" t="str">
        <f t="shared" si="70"/>
        <v>20130701RLS</v>
      </c>
      <c r="D1231" s="540" t="s">
        <v>225</v>
      </c>
      <c r="E1231" s="540" t="str">
        <f t="shared" si="71"/>
        <v>20130701LGUM_255</v>
      </c>
      <c r="F1231" s="541"/>
      <c r="G1231" s="541"/>
      <c r="H1231" s="541"/>
      <c r="I1231" s="541"/>
      <c r="J1231" s="542"/>
    </row>
    <row r="1232" spans="1:10">
      <c r="A1232" s="539">
        <v>20130701</v>
      </c>
      <c r="B1232" s="540" t="s">
        <v>459</v>
      </c>
      <c r="C1232" s="540" t="str">
        <f t="shared" si="70"/>
        <v>20130701RLS</v>
      </c>
      <c r="D1232" s="540" t="s">
        <v>498</v>
      </c>
      <c r="E1232" s="540" t="str">
        <f t="shared" si="71"/>
        <v>20130701LGUM_256</v>
      </c>
      <c r="F1232" s="541"/>
      <c r="G1232" s="541"/>
      <c r="H1232" s="541"/>
      <c r="I1232" s="541"/>
      <c r="J1232" s="542"/>
    </row>
    <row r="1233" spans="1:10">
      <c r="A1233" s="539">
        <v>20130701</v>
      </c>
      <c r="B1233" s="540" t="s">
        <v>459</v>
      </c>
      <c r="C1233" s="540" t="str">
        <f t="shared" si="70"/>
        <v>20130701RLS</v>
      </c>
      <c r="D1233" s="540" t="s">
        <v>350</v>
      </c>
      <c r="E1233" s="540" t="str">
        <f t="shared" si="71"/>
        <v>20130701LGUM_257</v>
      </c>
      <c r="F1233" s="541"/>
      <c r="G1233" s="541"/>
      <c r="H1233" s="541"/>
      <c r="I1233" s="541"/>
      <c r="J1233" s="542"/>
    </row>
    <row r="1234" spans="1:10">
      <c r="A1234" s="539">
        <v>20130701</v>
      </c>
      <c r="B1234" s="540" t="s">
        <v>459</v>
      </c>
      <c r="C1234" s="540" t="str">
        <f t="shared" si="70"/>
        <v>20130701RLS</v>
      </c>
      <c r="D1234" s="540" t="s">
        <v>226</v>
      </c>
      <c r="E1234" s="540" t="str">
        <f t="shared" si="71"/>
        <v>20130701LGUM_258</v>
      </c>
      <c r="F1234" s="541"/>
      <c r="G1234" s="541"/>
      <c r="H1234" s="541"/>
      <c r="I1234" s="541"/>
      <c r="J1234" s="542"/>
    </row>
    <row r="1235" spans="1:10">
      <c r="A1235" s="539">
        <v>20130701</v>
      </c>
      <c r="B1235" s="540" t="s">
        <v>459</v>
      </c>
      <c r="C1235" s="540" t="str">
        <f t="shared" si="70"/>
        <v>20130701RLS</v>
      </c>
      <c r="D1235" s="540" t="s">
        <v>227</v>
      </c>
      <c r="E1235" s="540" t="str">
        <f t="shared" si="71"/>
        <v>20130701LGUM_259</v>
      </c>
      <c r="F1235" s="541"/>
      <c r="G1235" s="541"/>
      <c r="H1235" s="541"/>
      <c r="I1235" s="541"/>
      <c r="J1235" s="542"/>
    </row>
    <row r="1236" spans="1:10">
      <c r="A1236" s="539">
        <v>20130701</v>
      </c>
      <c r="B1236" s="540" t="s">
        <v>459</v>
      </c>
      <c r="C1236" s="540" t="str">
        <f t="shared" si="70"/>
        <v>20130701RLS</v>
      </c>
      <c r="D1236" s="540" t="s">
        <v>351</v>
      </c>
      <c r="E1236" s="540" t="str">
        <f t="shared" si="71"/>
        <v>20130701LGUM_260</v>
      </c>
      <c r="F1236" s="541"/>
      <c r="G1236" s="541"/>
      <c r="H1236" s="541"/>
      <c r="I1236" s="541"/>
      <c r="J1236" s="542"/>
    </row>
    <row r="1237" spans="1:10">
      <c r="A1237" s="539">
        <v>20130701</v>
      </c>
      <c r="B1237" s="540" t="s">
        <v>459</v>
      </c>
      <c r="C1237" s="540" t="str">
        <f t="shared" si="70"/>
        <v>20130701RLS</v>
      </c>
      <c r="D1237" s="540" t="s">
        <v>228</v>
      </c>
      <c r="E1237" s="540" t="str">
        <f t="shared" si="71"/>
        <v>20130701LGUM_261</v>
      </c>
      <c r="F1237" s="541"/>
      <c r="G1237" s="541"/>
      <c r="H1237" s="541"/>
      <c r="I1237" s="541"/>
      <c r="J1237" s="542"/>
    </row>
    <row r="1238" spans="1:10">
      <c r="A1238" s="539">
        <v>20130701</v>
      </c>
      <c r="B1238" s="540" t="s">
        <v>459</v>
      </c>
      <c r="C1238" s="540" t="str">
        <f t="shared" si="70"/>
        <v>20130701RLS</v>
      </c>
      <c r="D1238" s="540" t="s">
        <v>229</v>
      </c>
      <c r="E1238" s="540" t="str">
        <f t="shared" si="71"/>
        <v>20130701LGUM_262</v>
      </c>
      <c r="F1238" s="541"/>
      <c r="G1238" s="541"/>
      <c r="H1238" s="541"/>
      <c r="I1238" s="541"/>
      <c r="J1238" s="542"/>
    </row>
    <row r="1239" spans="1:10">
      <c r="A1239" s="539">
        <v>20130701</v>
      </c>
      <c r="B1239" s="540" t="s">
        <v>459</v>
      </c>
      <c r="C1239" s="540" t="str">
        <f t="shared" si="70"/>
        <v>20130701RLS</v>
      </c>
      <c r="D1239" s="540" t="s">
        <v>230</v>
      </c>
      <c r="E1239" s="540" t="str">
        <f t="shared" si="71"/>
        <v>20130701LGUM_263</v>
      </c>
      <c r="F1239" s="541"/>
      <c r="G1239" s="541"/>
      <c r="H1239" s="541"/>
      <c r="I1239" s="541"/>
      <c r="J1239" s="542"/>
    </row>
    <row r="1240" spans="1:10">
      <c r="A1240" s="539">
        <v>20130701</v>
      </c>
      <c r="B1240" s="540" t="s">
        <v>459</v>
      </c>
      <c r="C1240" s="540" t="str">
        <f t="shared" si="70"/>
        <v>20130701RLS</v>
      </c>
      <c r="D1240" s="540" t="s">
        <v>231</v>
      </c>
      <c r="E1240" s="540" t="str">
        <f t="shared" si="71"/>
        <v>20130701LGUM_266</v>
      </c>
      <c r="F1240" s="541">
        <v>27.09</v>
      </c>
      <c r="G1240" s="541">
        <f t="shared" ref="G1240:G1241" si="74">VLOOKUP(D1240,$D$1033:$I$1203,4,FALSE)</f>
        <v>0.02</v>
      </c>
      <c r="H1240" s="541">
        <f>F1240-G1240-I1240</f>
        <v>2.8000000000000007</v>
      </c>
      <c r="I1240" s="541">
        <v>24.27</v>
      </c>
      <c r="J1240" s="539" t="s">
        <v>1171</v>
      </c>
    </row>
    <row r="1241" spans="1:10">
      <c r="A1241" s="539">
        <v>20130701</v>
      </c>
      <c r="B1241" s="540" t="s">
        <v>459</v>
      </c>
      <c r="C1241" s="540" t="str">
        <f t="shared" si="70"/>
        <v>20130701RLS</v>
      </c>
      <c r="D1241" s="540" t="s">
        <v>232</v>
      </c>
      <c r="E1241" s="540" t="str">
        <f t="shared" si="71"/>
        <v>20130701LGUM_267</v>
      </c>
      <c r="F1241" s="541">
        <v>31.13</v>
      </c>
      <c r="G1241" s="541">
        <f t="shared" si="74"/>
        <v>0.02</v>
      </c>
      <c r="H1241" s="541">
        <f>F1241-G1241-I1241</f>
        <v>4.4499999999999993</v>
      </c>
      <c r="I1241" s="541">
        <v>26.66</v>
      </c>
      <c r="J1241" s="539" t="s">
        <v>1172</v>
      </c>
    </row>
    <row r="1242" spans="1:10">
      <c r="A1242" s="539">
        <v>20130701</v>
      </c>
      <c r="B1242" s="540" t="s">
        <v>459</v>
      </c>
      <c r="C1242" s="540" t="str">
        <f t="shared" si="70"/>
        <v>20130701RLS</v>
      </c>
      <c r="D1242" s="540" t="s">
        <v>233</v>
      </c>
      <c r="E1242" s="540" t="str">
        <f t="shared" si="71"/>
        <v>20130701LGUM_272</v>
      </c>
      <c r="F1242" s="541"/>
      <c r="G1242" s="541"/>
      <c r="H1242" s="541"/>
      <c r="I1242" s="541"/>
      <c r="J1242" s="542"/>
    </row>
    <row r="1243" spans="1:10">
      <c r="A1243" s="539">
        <v>20130701</v>
      </c>
      <c r="B1243" s="540" t="s">
        <v>459</v>
      </c>
      <c r="C1243" s="540" t="str">
        <f t="shared" si="70"/>
        <v>20130701RLS</v>
      </c>
      <c r="D1243" s="540" t="s">
        <v>352</v>
      </c>
      <c r="E1243" s="540" t="str">
        <f t="shared" si="71"/>
        <v>20130701LGUM_273</v>
      </c>
      <c r="F1243" s="541"/>
      <c r="G1243" s="541"/>
      <c r="H1243" s="541"/>
      <c r="I1243" s="541"/>
      <c r="J1243" s="542"/>
    </row>
    <row r="1244" spans="1:10">
      <c r="A1244" s="539">
        <v>20130701</v>
      </c>
      <c r="B1244" s="540" t="s">
        <v>459</v>
      </c>
      <c r="C1244" s="540" t="str">
        <f t="shared" si="70"/>
        <v>20130701RLS</v>
      </c>
      <c r="D1244" s="540" t="s">
        <v>234</v>
      </c>
      <c r="E1244" s="540" t="str">
        <f t="shared" si="71"/>
        <v>20130701LGUM_274</v>
      </c>
      <c r="F1244" s="541">
        <v>16.93</v>
      </c>
      <c r="G1244" s="541">
        <f t="shared" ref="G1244:G1253" si="75">VLOOKUP(D1244,$D$1033:$I$1203,4,FALSE)</f>
        <v>0.01</v>
      </c>
      <c r="H1244" s="541">
        <f t="shared" ref="H1244:H1253" si="76">F1244-G1244-I1244</f>
        <v>1.2699999999999996</v>
      </c>
      <c r="I1244" s="541">
        <v>15.649999999999999</v>
      </c>
      <c r="J1244" s="539" t="s">
        <v>1175</v>
      </c>
    </row>
    <row r="1245" spans="1:10">
      <c r="A1245" s="539">
        <v>20130701</v>
      </c>
      <c r="B1245" s="540" t="s">
        <v>459</v>
      </c>
      <c r="C1245" s="540" t="str">
        <f t="shared" si="70"/>
        <v>20130701RLS</v>
      </c>
      <c r="D1245" s="540" t="s">
        <v>353</v>
      </c>
      <c r="E1245" s="540" t="str">
        <f t="shared" si="71"/>
        <v>20130701LGUM_275</v>
      </c>
      <c r="F1245" s="541">
        <v>24.66</v>
      </c>
      <c r="G1245" s="541">
        <f t="shared" si="75"/>
        <v>0.01</v>
      </c>
      <c r="H1245" s="541">
        <f t="shared" si="76"/>
        <v>1.7899999999999991</v>
      </c>
      <c r="I1245" s="541">
        <v>22.86</v>
      </c>
      <c r="J1245" s="539" t="s">
        <v>1173</v>
      </c>
    </row>
    <row r="1246" spans="1:10">
      <c r="A1246" s="539">
        <v>20130701</v>
      </c>
      <c r="B1246" s="540" t="s">
        <v>459</v>
      </c>
      <c r="C1246" s="540" t="str">
        <f t="shared" si="70"/>
        <v>20130701RLS</v>
      </c>
      <c r="D1246" s="540" t="s">
        <v>235</v>
      </c>
      <c r="E1246" s="540" t="str">
        <f t="shared" si="71"/>
        <v>20130701LGUM_276</v>
      </c>
      <c r="F1246" s="541">
        <v>13.92</v>
      </c>
      <c r="G1246" s="541">
        <f t="shared" si="75"/>
        <v>0.01</v>
      </c>
      <c r="H1246" s="541">
        <f t="shared" si="76"/>
        <v>0.88000000000000078</v>
      </c>
      <c r="I1246" s="541">
        <v>13.03</v>
      </c>
      <c r="J1246" s="542" t="s">
        <v>1174</v>
      </c>
    </row>
    <row r="1247" spans="1:10">
      <c r="A1247" s="539">
        <v>20130701</v>
      </c>
      <c r="B1247" s="540" t="s">
        <v>459</v>
      </c>
      <c r="C1247" s="540" t="str">
        <f t="shared" si="70"/>
        <v>20130701RLS</v>
      </c>
      <c r="D1247" s="540" t="s">
        <v>236</v>
      </c>
      <c r="E1247" s="540" t="str">
        <f t="shared" si="71"/>
        <v>20130701LGUM_277</v>
      </c>
      <c r="F1247" s="541">
        <v>21.92</v>
      </c>
      <c r="G1247" s="541">
        <f t="shared" si="75"/>
        <v>0.01</v>
      </c>
      <c r="H1247" s="541">
        <f t="shared" si="76"/>
        <v>1.7900000000000027</v>
      </c>
      <c r="I1247" s="541">
        <v>20.119999999999997</v>
      </c>
      <c r="J1247" s="539" t="s">
        <v>1176</v>
      </c>
    </row>
    <row r="1248" spans="1:10">
      <c r="A1248" s="539">
        <v>20130701</v>
      </c>
      <c r="B1248" s="540" t="s">
        <v>459</v>
      </c>
      <c r="C1248" s="540" t="str">
        <f t="shared" si="70"/>
        <v>20130701RLS</v>
      </c>
      <c r="D1248" s="540" t="s">
        <v>354</v>
      </c>
      <c r="E1248" s="540" t="str">
        <f t="shared" si="71"/>
        <v>20130701LGUM_278</v>
      </c>
      <c r="F1248" s="541">
        <v>71.7</v>
      </c>
      <c r="G1248" s="541">
        <f t="shared" si="75"/>
        <v>0.05</v>
      </c>
      <c r="H1248" s="541">
        <f t="shared" si="76"/>
        <v>9.8400000000000034</v>
      </c>
      <c r="I1248" s="541">
        <v>61.81</v>
      </c>
      <c r="J1248" s="539" t="s">
        <v>1178</v>
      </c>
    </row>
    <row r="1249" spans="1:10">
      <c r="A1249" s="539">
        <v>20130701</v>
      </c>
      <c r="B1249" s="540" t="s">
        <v>459</v>
      </c>
      <c r="C1249" s="540" t="str">
        <f t="shared" si="70"/>
        <v>20130701RLS</v>
      </c>
      <c r="D1249" s="540" t="s">
        <v>355</v>
      </c>
      <c r="E1249" s="540" t="str">
        <f t="shared" si="71"/>
        <v>20130701LGUM_279</v>
      </c>
      <c r="F1249" s="541">
        <v>40.58</v>
      </c>
      <c r="G1249" s="541">
        <f t="shared" si="75"/>
        <v>0.05</v>
      </c>
      <c r="H1249" s="541">
        <f t="shared" si="76"/>
        <v>9.8399999999999963</v>
      </c>
      <c r="I1249" s="541">
        <v>30.690000000000005</v>
      </c>
      <c r="J1249" s="542" t="s">
        <v>1177</v>
      </c>
    </row>
    <row r="1250" spans="1:10">
      <c r="A1250" s="539">
        <v>20130701</v>
      </c>
      <c r="B1250" s="540" t="s">
        <v>459</v>
      </c>
      <c r="C1250" s="540" t="str">
        <f t="shared" si="70"/>
        <v>20130701RLS</v>
      </c>
      <c r="D1250" s="540" t="s">
        <v>359</v>
      </c>
      <c r="E1250" s="540" t="str">
        <f t="shared" si="71"/>
        <v>20130701LGUM_280</v>
      </c>
      <c r="F1250" s="541">
        <v>19.13</v>
      </c>
      <c r="G1250" s="541">
        <f t="shared" si="75"/>
        <v>0.01</v>
      </c>
      <c r="H1250" s="541">
        <f t="shared" si="76"/>
        <v>0.87999999999999901</v>
      </c>
      <c r="I1250" s="541">
        <v>18.239999999999998</v>
      </c>
      <c r="J1250" s="539" t="s">
        <v>1181</v>
      </c>
    </row>
    <row r="1251" spans="1:10">
      <c r="A1251" s="539">
        <v>20130701</v>
      </c>
      <c r="B1251" s="540" t="s">
        <v>459</v>
      </c>
      <c r="C1251" s="540" t="str">
        <f t="shared" si="70"/>
        <v>20130701RLS</v>
      </c>
      <c r="D1251" s="540" t="s">
        <v>356</v>
      </c>
      <c r="E1251" s="540" t="str">
        <f t="shared" si="71"/>
        <v>20130701LGUM_281</v>
      </c>
      <c r="F1251" s="541">
        <v>20.09</v>
      </c>
      <c r="G1251" s="541">
        <f t="shared" si="75"/>
        <v>0.01</v>
      </c>
      <c r="H1251" s="541">
        <f t="shared" si="76"/>
        <v>1.2699999999999996</v>
      </c>
      <c r="I1251" s="541">
        <v>18.809999999999999</v>
      </c>
      <c r="J1251" s="539" t="s">
        <v>1182</v>
      </c>
    </row>
    <row r="1252" spans="1:10">
      <c r="A1252" s="539">
        <v>20130701</v>
      </c>
      <c r="B1252" s="540" t="s">
        <v>459</v>
      </c>
      <c r="C1252" s="540" t="str">
        <f t="shared" si="70"/>
        <v>20130701RLS</v>
      </c>
      <c r="D1252" s="540" t="s">
        <v>357</v>
      </c>
      <c r="E1252" s="540" t="str">
        <f t="shared" si="71"/>
        <v>20130701LGUM_282</v>
      </c>
      <c r="F1252" s="541">
        <v>19.28</v>
      </c>
      <c r="G1252" s="541">
        <f t="shared" si="75"/>
        <v>0.01</v>
      </c>
      <c r="H1252" s="541">
        <f t="shared" si="76"/>
        <v>0.87999999999999901</v>
      </c>
      <c r="I1252" s="541">
        <v>18.39</v>
      </c>
      <c r="J1252" s="539" t="s">
        <v>1183</v>
      </c>
    </row>
    <row r="1253" spans="1:10">
      <c r="A1253" s="539">
        <v>20130701</v>
      </c>
      <c r="B1253" s="540" t="s">
        <v>459</v>
      </c>
      <c r="C1253" s="540" t="str">
        <f t="shared" si="70"/>
        <v>20130701RLS</v>
      </c>
      <c r="D1253" s="540" t="s">
        <v>358</v>
      </c>
      <c r="E1253" s="540" t="str">
        <f t="shared" si="71"/>
        <v>20130701LGUM_283</v>
      </c>
      <c r="F1253" s="541">
        <v>20.56</v>
      </c>
      <c r="G1253" s="541">
        <f t="shared" si="75"/>
        <v>0.01</v>
      </c>
      <c r="H1253" s="541">
        <f t="shared" si="76"/>
        <v>1.2699999999999996</v>
      </c>
      <c r="I1253" s="541">
        <v>19.279999999999998</v>
      </c>
      <c r="J1253" s="539" t="s">
        <v>1184</v>
      </c>
    </row>
    <row r="1254" spans="1:10">
      <c r="A1254" s="539">
        <v>20130701</v>
      </c>
      <c r="B1254" s="540" t="s">
        <v>459</v>
      </c>
      <c r="C1254" s="540" t="str">
        <f t="shared" si="70"/>
        <v>20130701RLS</v>
      </c>
      <c r="D1254" s="540" t="s">
        <v>237</v>
      </c>
      <c r="E1254" s="540" t="str">
        <f t="shared" si="71"/>
        <v>20130701LGUM_301</v>
      </c>
      <c r="F1254" s="541"/>
      <c r="G1254" s="541"/>
      <c r="H1254" s="541"/>
      <c r="I1254" s="541"/>
      <c r="J1254" s="542"/>
    </row>
    <row r="1255" spans="1:10">
      <c r="A1255" s="539">
        <v>20130701</v>
      </c>
      <c r="B1255" s="540" t="s">
        <v>459</v>
      </c>
      <c r="C1255" s="540" t="str">
        <f t="shared" si="70"/>
        <v>20130701RLS</v>
      </c>
      <c r="D1255" s="540" t="s">
        <v>238</v>
      </c>
      <c r="E1255" s="540" t="str">
        <f t="shared" si="71"/>
        <v>20130701LGUM_302</v>
      </c>
      <c r="F1255" s="541"/>
      <c r="G1255" s="541"/>
      <c r="H1255" s="541"/>
      <c r="I1255" s="541"/>
      <c r="J1255" s="542"/>
    </row>
    <row r="1256" spans="1:10">
      <c r="A1256" s="539">
        <v>20130701</v>
      </c>
      <c r="B1256" s="540" t="s">
        <v>459</v>
      </c>
      <c r="C1256" s="540" t="str">
        <f t="shared" si="70"/>
        <v>20130701RLS</v>
      </c>
      <c r="D1256" s="540" t="s">
        <v>239</v>
      </c>
      <c r="E1256" s="540" t="str">
        <f t="shared" si="71"/>
        <v>20130701LGUM_303</v>
      </c>
      <c r="F1256" s="541"/>
      <c r="G1256" s="541"/>
      <c r="H1256" s="541"/>
      <c r="I1256" s="541"/>
      <c r="J1256" s="542"/>
    </row>
    <row r="1257" spans="1:10">
      <c r="A1257" s="539">
        <v>20130701</v>
      </c>
      <c r="B1257" s="540" t="s">
        <v>459</v>
      </c>
      <c r="C1257" s="540" t="str">
        <f t="shared" si="70"/>
        <v>20130701RLS</v>
      </c>
      <c r="D1257" s="540" t="s">
        <v>240</v>
      </c>
      <c r="E1257" s="540" t="str">
        <f t="shared" si="71"/>
        <v>20130701LGUM_304</v>
      </c>
      <c r="F1257" s="541"/>
      <c r="G1257" s="541"/>
      <c r="H1257" s="541"/>
      <c r="I1257" s="541"/>
      <c r="J1257" s="542"/>
    </row>
    <row r="1258" spans="1:10">
      <c r="A1258" s="539">
        <v>20130701</v>
      </c>
      <c r="B1258" s="540" t="s">
        <v>459</v>
      </c>
      <c r="C1258" s="540" t="str">
        <f t="shared" si="70"/>
        <v>20130701RLS</v>
      </c>
      <c r="D1258" s="540" t="s">
        <v>241</v>
      </c>
      <c r="E1258" s="540" t="str">
        <f t="shared" si="71"/>
        <v>20130701LGUM_305</v>
      </c>
      <c r="F1258" s="541"/>
      <c r="G1258" s="541"/>
      <c r="H1258" s="541"/>
      <c r="I1258" s="541"/>
      <c r="J1258" s="542"/>
    </row>
    <row r="1259" spans="1:10">
      <c r="A1259" s="539">
        <v>20130701</v>
      </c>
      <c r="B1259" s="540" t="s">
        <v>459</v>
      </c>
      <c r="C1259" s="540" t="str">
        <f t="shared" si="70"/>
        <v>20130701RLS</v>
      </c>
      <c r="D1259" s="540" t="s">
        <v>242</v>
      </c>
      <c r="E1259" s="540" t="str">
        <f t="shared" si="71"/>
        <v>20130701LGUM_306</v>
      </c>
      <c r="F1259" s="541"/>
      <c r="G1259" s="541"/>
      <c r="H1259" s="541"/>
      <c r="I1259" s="541"/>
      <c r="J1259" s="542"/>
    </row>
    <row r="1260" spans="1:10">
      <c r="A1260" s="539">
        <v>20130701</v>
      </c>
      <c r="B1260" s="540" t="s">
        <v>459</v>
      </c>
      <c r="C1260" s="540" t="str">
        <f t="shared" si="70"/>
        <v>20130701RLS</v>
      </c>
      <c r="D1260" s="540" t="s">
        <v>243</v>
      </c>
      <c r="E1260" s="540" t="str">
        <f t="shared" si="71"/>
        <v>20130701LGUM_307</v>
      </c>
      <c r="F1260" s="541"/>
      <c r="G1260" s="541"/>
      <c r="H1260" s="541"/>
      <c r="I1260" s="541"/>
      <c r="J1260" s="542"/>
    </row>
    <row r="1261" spans="1:10">
      <c r="A1261" s="539">
        <v>20130701</v>
      </c>
      <c r="B1261" s="540" t="s">
        <v>459</v>
      </c>
      <c r="C1261" s="540" t="str">
        <f t="shared" si="70"/>
        <v>20130701RLS</v>
      </c>
      <c r="D1261" s="540" t="s">
        <v>244</v>
      </c>
      <c r="E1261" s="540" t="str">
        <f t="shared" si="71"/>
        <v>20130701LGUM_308</v>
      </c>
      <c r="F1261" s="541"/>
      <c r="G1261" s="541"/>
      <c r="H1261" s="541"/>
      <c r="I1261" s="541"/>
      <c r="J1261" s="542"/>
    </row>
    <row r="1262" spans="1:10">
      <c r="A1262" s="539">
        <v>20130701</v>
      </c>
      <c r="B1262" s="540" t="s">
        <v>459</v>
      </c>
      <c r="C1262" s="540" t="str">
        <f t="shared" si="70"/>
        <v>20130701RLS</v>
      </c>
      <c r="D1262" s="540" t="s">
        <v>245</v>
      </c>
      <c r="E1262" s="540" t="str">
        <f t="shared" si="71"/>
        <v>20130701LGUM_309</v>
      </c>
      <c r="F1262" s="541"/>
      <c r="G1262" s="541"/>
      <c r="H1262" s="541"/>
      <c r="I1262" s="541"/>
      <c r="J1262" s="542"/>
    </row>
    <row r="1263" spans="1:10">
      <c r="A1263" s="539">
        <v>20130701</v>
      </c>
      <c r="B1263" s="540" t="s">
        <v>459</v>
      </c>
      <c r="C1263" s="540" t="str">
        <f t="shared" si="70"/>
        <v>20130701RLS</v>
      </c>
      <c r="D1263" s="540" t="s">
        <v>246</v>
      </c>
      <c r="E1263" s="540" t="str">
        <f t="shared" si="71"/>
        <v>20130701LGUM_310</v>
      </c>
      <c r="F1263" s="541"/>
      <c r="G1263" s="541"/>
      <c r="H1263" s="541"/>
      <c r="I1263" s="541"/>
      <c r="J1263" s="542"/>
    </row>
    <row r="1264" spans="1:10">
      <c r="A1264" s="539">
        <v>20130701</v>
      </c>
      <c r="B1264" s="540" t="s">
        <v>459</v>
      </c>
      <c r="C1264" s="540" t="str">
        <f t="shared" si="70"/>
        <v>20130701RLS</v>
      </c>
      <c r="D1264" s="540" t="s">
        <v>247</v>
      </c>
      <c r="E1264" s="540" t="str">
        <f t="shared" si="71"/>
        <v>20130701LGUM_311</v>
      </c>
      <c r="F1264" s="541"/>
      <c r="G1264" s="541"/>
      <c r="H1264" s="541"/>
      <c r="I1264" s="541"/>
      <c r="J1264" s="542"/>
    </row>
    <row r="1265" spans="1:10">
      <c r="A1265" s="539">
        <v>20130701</v>
      </c>
      <c r="B1265" s="540" t="s">
        <v>459</v>
      </c>
      <c r="C1265" s="540" t="str">
        <f t="shared" si="70"/>
        <v>20130701RLS</v>
      </c>
      <c r="D1265" s="540" t="s">
        <v>248</v>
      </c>
      <c r="E1265" s="540" t="str">
        <f t="shared" si="71"/>
        <v>20130701LGUM_312</v>
      </c>
      <c r="F1265" s="541"/>
      <c r="G1265" s="541"/>
      <c r="H1265" s="541"/>
      <c r="I1265" s="541"/>
      <c r="J1265" s="542"/>
    </row>
    <row r="1266" spans="1:10">
      <c r="A1266" s="539">
        <v>20130701</v>
      </c>
      <c r="B1266" s="540" t="s">
        <v>459</v>
      </c>
      <c r="C1266" s="540" t="str">
        <f t="shared" si="70"/>
        <v>20130701RLS</v>
      </c>
      <c r="D1266" s="540" t="s">
        <v>249</v>
      </c>
      <c r="E1266" s="540" t="str">
        <f t="shared" si="71"/>
        <v>20130701LGUM_313</v>
      </c>
      <c r="F1266" s="541"/>
      <c r="G1266" s="541"/>
      <c r="H1266" s="541"/>
      <c r="I1266" s="541"/>
      <c r="J1266" s="542"/>
    </row>
    <row r="1267" spans="1:10">
      <c r="A1267" s="539">
        <v>20130701</v>
      </c>
      <c r="B1267" s="540" t="s">
        <v>459</v>
      </c>
      <c r="C1267" s="540" t="str">
        <f t="shared" si="70"/>
        <v>20130701RLS</v>
      </c>
      <c r="D1267" s="540" t="s">
        <v>250</v>
      </c>
      <c r="E1267" s="540" t="str">
        <f t="shared" si="71"/>
        <v>20130701LGUM_314</v>
      </c>
      <c r="F1267" s="541">
        <v>19.03</v>
      </c>
      <c r="G1267" s="541">
        <f t="shared" ref="G1267:G1268" si="77">VLOOKUP(D1267,$D$1033:$I$1203,4,FALSE)</f>
        <v>0.01</v>
      </c>
      <c r="H1267" s="541">
        <f>F1267-G1267-I1267</f>
        <v>2.7100000000000009</v>
      </c>
      <c r="I1267" s="541">
        <v>16.309999999999999</v>
      </c>
      <c r="J1267" s="539" t="s">
        <v>1190</v>
      </c>
    </row>
    <row r="1268" spans="1:10">
      <c r="A1268" s="539">
        <v>20130701</v>
      </c>
      <c r="B1268" s="540" t="s">
        <v>459</v>
      </c>
      <c r="C1268" s="540" t="str">
        <f t="shared" si="70"/>
        <v>20130701RLS</v>
      </c>
      <c r="D1268" s="540" t="s">
        <v>251</v>
      </c>
      <c r="E1268" s="540" t="str">
        <f t="shared" si="71"/>
        <v>20130701LGUM_315</v>
      </c>
      <c r="F1268" s="541">
        <v>22.74</v>
      </c>
      <c r="G1268" s="541">
        <f t="shared" si="77"/>
        <v>0.01</v>
      </c>
      <c r="H1268" s="541">
        <f>F1268-G1268-I1268</f>
        <v>4.1999999999999993</v>
      </c>
      <c r="I1268" s="541">
        <v>18.529999999999998</v>
      </c>
      <c r="J1268" s="539" t="s">
        <v>1191</v>
      </c>
    </row>
    <row r="1269" spans="1:10">
      <c r="A1269" s="539">
        <v>20130701</v>
      </c>
      <c r="B1269" s="540" t="s">
        <v>459</v>
      </c>
      <c r="C1269" s="540" t="str">
        <f t="shared" si="70"/>
        <v>20130701RLS</v>
      </c>
      <c r="D1269" s="540" t="s">
        <v>252</v>
      </c>
      <c r="E1269" s="540" t="str">
        <f t="shared" si="71"/>
        <v>20130701LGUM_316</v>
      </c>
      <c r="F1269" s="541"/>
      <c r="G1269" s="541"/>
      <c r="H1269" s="541"/>
      <c r="I1269" s="541"/>
      <c r="J1269" s="542"/>
    </row>
    <row r="1270" spans="1:10">
      <c r="A1270" s="539">
        <v>20130701</v>
      </c>
      <c r="B1270" s="540" t="s">
        <v>459</v>
      </c>
      <c r="C1270" s="540" t="str">
        <f t="shared" si="70"/>
        <v>20130701RLS</v>
      </c>
      <c r="D1270" s="540" t="s">
        <v>253</v>
      </c>
      <c r="E1270" s="540" t="str">
        <f t="shared" si="71"/>
        <v>20130701LGUM_317</v>
      </c>
      <c r="F1270" s="541"/>
      <c r="G1270" s="541"/>
      <c r="H1270" s="541"/>
      <c r="I1270" s="541"/>
      <c r="J1270" s="542"/>
    </row>
    <row r="1271" spans="1:10">
      <c r="A1271" s="539">
        <v>20130701</v>
      </c>
      <c r="B1271" s="540" t="s">
        <v>459</v>
      </c>
      <c r="C1271" s="540" t="str">
        <f t="shared" si="70"/>
        <v>20130701RLS</v>
      </c>
      <c r="D1271" s="540" t="s">
        <v>254</v>
      </c>
      <c r="E1271" s="540" t="str">
        <f t="shared" si="71"/>
        <v>20130701LGUM_318</v>
      </c>
      <c r="F1271" s="541">
        <v>17.27</v>
      </c>
      <c r="G1271" s="541">
        <f>VLOOKUP(D1271,$D$1033:$I$1203,4,FALSE)</f>
        <v>0.01</v>
      </c>
      <c r="H1271" s="541">
        <f>F1271-G1271-I1271</f>
        <v>1.9100000000000001</v>
      </c>
      <c r="I1271" s="541">
        <v>15.349999999999998</v>
      </c>
      <c r="J1271" s="542" t="s">
        <v>1189</v>
      </c>
    </row>
    <row r="1272" spans="1:10">
      <c r="A1272" s="539">
        <v>20130701</v>
      </c>
      <c r="B1272" s="540" t="s">
        <v>459</v>
      </c>
      <c r="C1272" s="540" t="str">
        <f t="shared" si="70"/>
        <v>20130701RLS</v>
      </c>
      <c r="D1272" s="540" t="s">
        <v>532</v>
      </c>
      <c r="E1272" s="540" t="str">
        <f t="shared" si="71"/>
        <v>20130701LGUM_319</v>
      </c>
      <c r="F1272" s="541"/>
      <c r="G1272" s="541"/>
      <c r="H1272" s="541"/>
      <c r="I1272" s="541"/>
      <c r="J1272" s="542"/>
    </row>
    <row r="1273" spans="1:10">
      <c r="A1273" s="539">
        <v>20130701</v>
      </c>
      <c r="B1273" s="540" t="s">
        <v>459</v>
      </c>
      <c r="C1273" s="540" t="str">
        <f t="shared" si="70"/>
        <v>20130701RLS</v>
      </c>
      <c r="D1273" s="540" t="s">
        <v>534</v>
      </c>
      <c r="E1273" s="540" t="str">
        <f t="shared" si="71"/>
        <v>20130701LGUM_320</v>
      </c>
      <c r="F1273" s="541"/>
      <c r="G1273" s="541"/>
      <c r="H1273" s="541"/>
      <c r="I1273" s="541"/>
      <c r="J1273" s="542"/>
    </row>
    <row r="1274" spans="1:10">
      <c r="A1274" s="539">
        <v>20130701</v>
      </c>
      <c r="B1274" s="540" t="s">
        <v>459</v>
      </c>
      <c r="C1274" s="540" t="str">
        <f t="shared" si="70"/>
        <v>20130701RLS</v>
      </c>
      <c r="D1274" s="540" t="s">
        <v>255</v>
      </c>
      <c r="E1274" s="540" t="str">
        <f t="shared" si="71"/>
        <v>20130701LGUM_321</v>
      </c>
      <c r="F1274" s="541"/>
      <c r="G1274" s="541"/>
      <c r="H1274" s="541"/>
      <c r="I1274" s="541"/>
      <c r="J1274" s="542"/>
    </row>
    <row r="1275" spans="1:10">
      <c r="A1275" s="539">
        <v>20130701</v>
      </c>
      <c r="B1275" s="540" t="s">
        <v>459</v>
      </c>
      <c r="C1275" s="540" t="str">
        <f t="shared" si="70"/>
        <v>20130701RLS</v>
      </c>
      <c r="D1275" s="540" t="s">
        <v>256</v>
      </c>
      <c r="E1275" s="540" t="str">
        <f t="shared" si="71"/>
        <v>20130701LGUM_322</v>
      </c>
      <c r="F1275" s="541"/>
      <c r="G1275" s="541"/>
      <c r="H1275" s="541"/>
      <c r="I1275" s="541"/>
      <c r="J1275" s="542"/>
    </row>
    <row r="1276" spans="1:10">
      <c r="A1276" s="539">
        <v>20130701</v>
      </c>
      <c r="B1276" s="540" t="s">
        <v>459</v>
      </c>
      <c r="C1276" s="540" t="str">
        <f t="shared" si="70"/>
        <v>20130701RLS</v>
      </c>
      <c r="D1276" s="540" t="s">
        <v>257</v>
      </c>
      <c r="E1276" s="540" t="str">
        <f t="shared" si="71"/>
        <v>20130701LGUM_323</v>
      </c>
      <c r="F1276" s="541"/>
      <c r="G1276" s="541"/>
      <c r="H1276" s="541"/>
      <c r="I1276" s="541"/>
      <c r="J1276" s="542"/>
    </row>
    <row r="1277" spans="1:10">
      <c r="A1277" s="539">
        <v>20130701</v>
      </c>
      <c r="B1277" s="540" t="s">
        <v>459</v>
      </c>
      <c r="C1277" s="540" t="str">
        <f t="shared" si="70"/>
        <v>20130701RLS</v>
      </c>
      <c r="D1277" s="540" t="s">
        <v>258</v>
      </c>
      <c r="E1277" s="540" t="str">
        <f t="shared" si="71"/>
        <v>20130701LGUM_324</v>
      </c>
      <c r="F1277" s="541"/>
      <c r="G1277" s="541"/>
      <c r="H1277" s="541"/>
      <c r="I1277" s="541"/>
      <c r="J1277" s="542"/>
    </row>
    <row r="1278" spans="1:10">
      <c r="A1278" s="539">
        <v>20130701</v>
      </c>
      <c r="B1278" s="540" t="s">
        <v>459</v>
      </c>
      <c r="C1278" s="540" t="str">
        <f t="shared" si="70"/>
        <v>20130701RLS</v>
      </c>
      <c r="D1278" s="540" t="s">
        <v>259</v>
      </c>
      <c r="E1278" s="540" t="str">
        <f t="shared" si="71"/>
        <v>20130701LGUM_325</v>
      </c>
      <c r="F1278" s="541"/>
      <c r="G1278" s="541"/>
      <c r="H1278" s="541"/>
      <c r="I1278" s="541"/>
      <c r="J1278" s="542"/>
    </row>
    <row r="1279" spans="1:10">
      <c r="A1279" s="539">
        <v>20130701</v>
      </c>
      <c r="B1279" s="540" t="s">
        <v>459</v>
      </c>
      <c r="C1279" s="540" t="str">
        <f t="shared" si="70"/>
        <v>20130701RLS</v>
      </c>
      <c r="D1279" s="540" t="s">
        <v>538</v>
      </c>
      <c r="E1279" s="540" t="str">
        <f t="shared" si="71"/>
        <v>20130701LGUM_345</v>
      </c>
      <c r="F1279" s="541"/>
      <c r="G1279" s="541"/>
      <c r="H1279" s="541"/>
      <c r="I1279" s="541"/>
      <c r="J1279" s="542"/>
    </row>
    <row r="1280" spans="1:10">
      <c r="A1280" s="539">
        <v>20130701</v>
      </c>
      <c r="B1280" s="540" t="s">
        <v>459</v>
      </c>
      <c r="C1280" s="540" t="str">
        <f t="shared" si="70"/>
        <v>20130701RLS</v>
      </c>
      <c r="D1280" s="540" t="s">
        <v>540</v>
      </c>
      <c r="E1280" s="540" t="str">
        <f t="shared" si="71"/>
        <v>20130701LGUM_346</v>
      </c>
      <c r="F1280" s="541"/>
      <c r="G1280" s="541"/>
      <c r="H1280" s="541"/>
      <c r="I1280" s="541"/>
      <c r="J1280" s="542"/>
    </row>
    <row r="1281" spans="1:10">
      <c r="A1281" s="539">
        <v>20130701</v>
      </c>
      <c r="B1281" s="540" t="s">
        <v>459</v>
      </c>
      <c r="C1281" s="540" t="str">
        <f t="shared" si="70"/>
        <v>20130701RLS</v>
      </c>
      <c r="D1281" s="540" t="s">
        <v>542</v>
      </c>
      <c r="E1281" s="540" t="str">
        <f t="shared" si="71"/>
        <v>20130701LGUM_347</v>
      </c>
      <c r="F1281" s="541">
        <v>22.73</v>
      </c>
      <c r="G1281" s="541">
        <f t="shared" ref="G1281:G1283" si="78">VLOOKUP(D1281,$D$1033:$I$1203,4,FALSE)</f>
        <v>0.01</v>
      </c>
      <c r="H1281" s="541">
        <f>F1281-G1281-I1281</f>
        <v>26.14</v>
      </c>
      <c r="I1281" s="541">
        <v>-3.42</v>
      </c>
      <c r="J1281" s="539" t="s">
        <v>1192</v>
      </c>
    </row>
    <row r="1282" spans="1:10">
      <c r="A1282" s="539">
        <v>20130701</v>
      </c>
      <c r="B1282" s="540" t="s">
        <v>459</v>
      </c>
      <c r="C1282" s="540" t="str">
        <f t="shared" si="70"/>
        <v>20130701RLS</v>
      </c>
      <c r="D1282" s="540" t="s">
        <v>260</v>
      </c>
      <c r="E1282" s="540" t="str">
        <f t="shared" si="71"/>
        <v>20130701LGUM_348</v>
      </c>
      <c r="F1282" s="541">
        <v>12.94</v>
      </c>
      <c r="G1282" s="541">
        <f t="shared" si="78"/>
        <v>0.01</v>
      </c>
      <c r="H1282" s="541">
        <f>F1282-G1282-I1282</f>
        <v>2.9800000000000004</v>
      </c>
      <c r="I1282" s="541">
        <v>9.9499999999999993</v>
      </c>
      <c r="J1282" s="539" t="s">
        <v>1196</v>
      </c>
    </row>
    <row r="1283" spans="1:10">
      <c r="A1283" s="539">
        <v>20130701</v>
      </c>
      <c r="B1283" s="540" t="s">
        <v>459</v>
      </c>
      <c r="C1283" s="540" t="str">
        <f t="shared" si="70"/>
        <v>20130701RLS</v>
      </c>
      <c r="D1283" s="540" t="s">
        <v>262</v>
      </c>
      <c r="E1283" s="540" t="str">
        <f t="shared" si="71"/>
        <v>20130701LGUM_349</v>
      </c>
      <c r="F1283" s="541">
        <v>8.89</v>
      </c>
      <c r="G1283" s="541">
        <f t="shared" si="78"/>
        <v>0.01</v>
      </c>
      <c r="H1283" s="541">
        <f>F1283-G1283-I1283</f>
        <v>0.91000000000000014</v>
      </c>
      <c r="I1283" s="541">
        <v>7.9700000000000006</v>
      </c>
      <c r="J1283" s="542" t="s">
        <v>1195</v>
      </c>
    </row>
    <row r="1284" spans="1:10">
      <c r="A1284" s="539">
        <v>20130701</v>
      </c>
      <c r="B1284" s="540" t="s">
        <v>459</v>
      </c>
      <c r="C1284" s="540" t="str">
        <f t="shared" si="70"/>
        <v>20130701RLS</v>
      </c>
      <c r="D1284" s="540" t="s">
        <v>264</v>
      </c>
      <c r="E1284" s="540" t="str">
        <f t="shared" si="71"/>
        <v>20130701LGUM_352</v>
      </c>
      <c r="F1284" s="541"/>
      <c r="G1284" s="541"/>
      <c r="H1284" s="541"/>
      <c r="I1284" s="541"/>
      <c r="J1284" s="542"/>
    </row>
    <row r="1285" spans="1:10">
      <c r="A1285" s="539">
        <v>20130701</v>
      </c>
      <c r="B1285" s="540" t="s">
        <v>459</v>
      </c>
      <c r="C1285" s="540" t="str">
        <f t="shared" si="70"/>
        <v>20130701RLS</v>
      </c>
      <c r="D1285" s="540" t="s">
        <v>265</v>
      </c>
      <c r="E1285" s="540" t="str">
        <f t="shared" si="71"/>
        <v>20130701LGUM_353</v>
      </c>
      <c r="F1285" s="541"/>
      <c r="G1285" s="541"/>
      <c r="H1285" s="541"/>
      <c r="I1285" s="541"/>
      <c r="J1285" s="542"/>
    </row>
    <row r="1286" spans="1:10">
      <c r="A1286" s="539">
        <v>20130701</v>
      </c>
      <c r="B1286" s="540" t="s">
        <v>459</v>
      </c>
      <c r="C1286" s="540" t="str">
        <f t="shared" si="70"/>
        <v>20130701RLS</v>
      </c>
      <c r="D1286" s="540" t="s">
        <v>266</v>
      </c>
      <c r="E1286" s="540" t="str">
        <f t="shared" si="71"/>
        <v>20130701LGUM_354</v>
      </c>
      <c r="F1286" s="541"/>
      <c r="G1286" s="541"/>
      <c r="H1286" s="541"/>
      <c r="I1286" s="541"/>
      <c r="J1286" s="542"/>
    </row>
    <row r="1287" spans="1:10">
      <c r="A1287" s="539">
        <v>20130701</v>
      </c>
      <c r="B1287" s="540" t="s">
        <v>459</v>
      </c>
      <c r="C1287" s="540" t="str">
        <f t="shared" si="70"/>
        <v>20130701RLS</v>
      </c>
      <c r="D1287" s="540" t="s">
        <v>267</v>
      </c>
      <c r="E1287" s="540" t="str">
        <f t="shared" si="71"/>
        <v>20130701LGUM_355</v>
      </c>
      <c r="F1287" s="541"/>
      <c r="G1287" s="541"/>
      <c r="H1287" s="541"/>
      <c r="I1287" s="541"/>
      <c r="J1287" s="542"/>
    </row>
    <row r="1288" spans="1:10">
      <c r="A1288" s="539">
        <v>20130701</v>
      </c>
      <c r="B1288" s="540" t="s">
        <v>459</v>
      </c>
      <c r="C1288" s="540" t="str">
        <f t="shared" si="70"/>
        <v>20130701RLS</v>
      </c>
      <c r="D1288" s="540" t="s">
        <v>546</v>
      </c>
      <c r="E1288" s="540" t="str">
        <f t="shared" si="71"/>
        <v>20130701LGUM_356</v>
      </c>
      <c r="F1288" s="541"/>
      <c r="G1288" s="541"/>
      <c r="H1288" s="541"/>
      <c r="I1288" s="541"/>
      <c r="J1288" s="542"/>
    </row>
    <row r="1289" spans="1:10">
      <c r="A1289" s="539">
        <v>20130701</v>
      </c>
      <c r="B1289" s="540" t="s">
        <v>459</v>
      </c>
      <c r="C1289" s="540" t="str">
        <f t="shared" si="70"/>
        <v>20130701RLS</v>
      </c>
      <c r="D1289" s="540" t="s">
        <v>268</v>
      </c>
      <c r="E1289" s="540" t="str">
        <f t="shared" si="71"/>
        <v>20130701LGUM_357</v>
      </c>
      <c r="F1289" s="541"/>
      <c r="G1289" s="541"/>
      <c r="H1289" s="541"/>
      <c r="I1289" s="541"/>
      <c r="J1289" s="542"/>
    </row>
    <row r="1290" spans="1:10">
      <c r="A1290" s="539">
        <v>20130701</v>
      </c>
      <c r="B1290" s="540" t="s">
        <v>459</v>
      </c>
      <c r="C1290" s="540" t="str">
        <f t="shared" si="70"/>
        <v>20130701RLS</v>
      </c>
      <c r="D1290" s="540" t="s">
        <v>269</v>
      </c>
      <c r="E1290" s="540" t="str">
        <f t="shared" si="71"/>
        <v>20130701LGUM_358</v>
      </c>
      <c r="F1290" s="541"/>
      <c r="G1290" s="541"/>
      <c r="H1290" s="541"/>
      <c r="I1290" s="541"/>
      <c r="J1290" s="542"/>
    </row>
    <row r="1291" spans="1:10">
      <c r="A1291" s="539">
        <v>20130701</v>
      </c>
      <c r="B1291" s="540" t="s">
        <v>459</v>
      </c>
      <c r="C1291" s="540" t="str">
        <f t="shared" si="70"/>
        <v>20130701RLS</v>
      </c>
      <c r="D1291" s="540" t="s">
        <v>270</v>
      </c>
      <c r="E1291" s="540" t="str">
        <f t="shared" si="71"/>
        <v>20130701LGUM_360</v>
      </c>
      <c r="F1291" s="541"/>
      <c r="G1291" s="541"/>
      <c r="H1291" s="541"/>
      <c r="I1291" s="541"/>
      <c r="J1291" s="542"/>
    </row>
    <row r="1292" spans="1:10">
      <c r="A1292" s="539">
        <v>20130701</v>
      </c>
      <c r="B1292" s="540" t="s">
        <v>459</v>
      </c>
      <c r="C1292" s="540" t="str">
        <f t="shared" si="70"/>
        <v>20130701RLS</v>
      </c>
      <c r="D1292" s="540" t="s">
        <v>271</v>
      </c>
      <c r="E1292" s="540" t="str">
        <f t="shared" si="71"/>
        <v>20130701LGUM_361</v>
      </c>
      <c r="F1292" s="541"/>
      <c r="G1292" s="541"/>
      <c r="H1292" s="541"/>
      <c r="I1292" s="541"/>
      <c r="J1292" s="542"/>
    </row>
    <row r="1293" spans="1:10">
      <c r="A1293" s="539">
        <v>20130701</v>
      </c>
      <c r="B1293" s="540" t="s">
        <v>459</v>
      </c>
      <c r="C1293" s="540" t="str">
        <f t="shared" si="70"/>
        <v>20130701RLS</v>
      </c>
      <c r="D1293" s="540" t="s">
        <v>272</v>
      </c>
      <c r="E1293" s="540" t="str">
        <f t="shared" si="71"/>
        <v>20130701LGUM_362</v>
      </c>
      <c r="F1293" s="541"/>
      <c r="G1293" s="541"/>
      <c r="H1293" s="541"/>
      <c r="I1293" s="541"/>
      <c r="J1293" s="542"/>
    </row>
    <row r="1294" spans="1:10">
      <c r="A1294" s="539">
        <v>20130701</v>
      </c>
      <c r="B1294" s="540" t="s">
        <v>459</v>
      </c>
      <c r="C1294" s="540" t="str">
        <f t="shared" si="70"/>
        <v>20130701RLS</v>
      </c>
      <c r="D1294" s="540" t="s">
        <v>273</v>
      </c>
      <c r="E1294" s="540" t="str">
        <f t="shared" si="71"/>
        <v>20130701LGUM_363</v>
      </c>
      <c r="F1294" s="541"/>
      <c r="G1294" s="541"/>
      <c r="H1294" s="541"/>
      <c r="I1294" s="541"/>
      <c r="J1294" s="542"/>
    </row>
    <row r="1295" spans="1:10">
      <c r="A1295" s="539">
        <v>20130701</v>
      </c>
      <c r="B1295" s="540" t="s">
        <v>459</v>
      </c>
      <c r="C1295" s="540" t="str">
        <f t="shared" si="70"/>
        <v>20130701RLS</v>
      </c>
      <c r="D1295" s="540" t="s">
        <v>274</v>
      </c>
      <c r="E1295" s="540" t="str">
        <f t="shared" si="71"/>
        <v>20130701LGUM_364</v>
      </c>
      <c r="F1295" s="541"/>
      <c r="G1295" s="541"/>
      <c r="H1295" s="541"/>
      <c r="I1295" s="541"/>
      <c r="J1295" s="542"/>
    </row>
    <row r="1296" spans="1:10">
      <c r="A1296" s="539">
        <v>20130701</v>
      </c>
      <c r="B1296" s="540" t="s">
        <v>459</v>
      </c>
      <c r="C1296" s="540" t="str">
        <f t="shared" si="70"/>
        <v>20130701RLS</v>
      </c>
      <c r="D1296" s="540" t="s">
        <v>275</v>
      </c>
      <c r="E1296" s="540" t="str">
        <f t="shared" si="71"/>
        <v>20130701LGUM_365</v>
      </c>
      <c r="F1296" s="541"/>
      <c r="G1296" s="541"/>
      <c r="H1296" s="541"/>
      <c r="I1296" s="541"/>
      <c r="J1296" s="542"/>
    </row>
    <row r="1297" spans="1:10">
      <c r="A1297" s="539">
        <v>20130701</v>
      </c>
      <c r="B1297" s="540" t="s">
        <v>459</v>
      </c>
      <c r="C1297" s="540" t="str">
        <f t="shared" si="70"/>
        <v>20130701RLS</v>
      </c>
      <c r="D1297" s="540" t="s">
        <v>276</v>
      </c>
      <c r="E1297" s="540" t="str">
        <f t="shared" si="71"/>
        <v>20130701LGUM_366</v>
      </c>
      <c r="F1297" s="541"/>
      <c r="G1297" s="541"/>
      <c r="H1297" s="541"/>
      <c r="I1297" s="541"/>
      <c r="J1297" s="542"/>
    </row>
    <row r="1298" spans="1:10">
      <c r="A1298" s="539">
        <v>20130701</v>
      </c>
      <c r="B1298" s="540" t="s">
        <v>459</v>
      </c>
      <c r="C1298" s="540" t="str">
        <f t="shared" si="70"/>
        <v>20130701RLS</v>
      </c>
      <c r="D1298" s="540" t="s">
        <v>277</v>
      </c>
      <c r="E1298" s="540" t="str">
        <f t="shared" si="71"/>
        <v>20130701LGUM_367</v>
      </c>
      <c r="F1298" s="541"/>
      <c r="G1298" s="541"/>
      <c r="H1298" s="541"/>
      <c r="I1298" s="541"/>
      <c r="J1298" s="542"/>
    </row>
    <row r="1299" spans="1:10">
      <c r="A1299" s="539">
        <v>20130701</v>
      </c>
      <c r="B1299" s="540" t="s">
        <v>459</v>
      </c>
      <c r="C1299" s="540" t="str">
        <f t="shared" si="70"/>
        <v>20130701RLS</v>
      </c>
      <c r="D1299" s="540" t="s">
        <v>553</v>
      </c>
      <c r="E1299" s="540" t="str">
        <f t="shared" si="71"/>
        <v>20130701LGUM_368</v>
      </c>
      <c r="F1299" s="541"/>
      <c r="G1299" s="541"/>
      <c r="H1299" s="541"/>
      <c r="I1299" s="541"/>
      <c r="J1299" s="542"/>
    </row>
    <row r="1300" spans="1:10">
      <c r="A1300" s="539">
        <v>20130701</v>
      </c>
      <c r="B1300" s="540" t="s">
        <v>459</v>
      </c>
      <c r="C1300" s="540" t="str">
        <f t="shared" si="70"/>
        <v>20130701RLS</v>
      </c>
      <c r="D1300" s="540" t="s">
        <v>554</v>
      </c>
      <c r="E1300" s="540" t="str">
        <f t="shared" si="71"/>
        <v>20130701LGUM_369</v>
      </c>
      <c r="F1300" s="541"/>
      <c r="G1300" s="541"/>
      <c r="H1300" s="541"/>
      <c r="I1300" s="541"/>
      <c r="J1300" s="542"/>
    </row>
    <row r="1301" spans="1:10">
      <c r="A1301" s="539">
        <v>20130701</v>
      </c>
      <c r="B1301" s="540" t="s">
        <v>459</v>
      </c>
      <c r="C1301" s="540" t="str">
        <f t="shared" si="70"/>
        <v>20130701RLS</v>
      </c>
      <c r="D1301" s="540" t="s">
        <v>278</v>
      </c>
      <c r="E1301" s="540" t="str">
        <f t="shared" si="71"/>
        <v>20130701LGUM_370</v>
      </c>
      <c r="F1301" s="541"/>
      <c r="G1301" s="541"/>
      <c r="H1301" s="541"/>
      <c r="I1301" s="541"/>
      <c r="J1301" s="542"/>
    </row>
    <row r="1302" spans="1:10">
      <c r="A1302" s="539">
        <v>20130701</v>
      </c>
      <c r="B1302" s="540" t="s">
        <v>459</v>
      </c>
      <c r="C1302" s="540" t="str">
        <f t="shared" si="70"/>
        <v>20130701RLS</v>
      </c>
      <c r="D1302" s="540" t="s">
        <v>279</v>
      </c>
      <c r="E1302" s="540" t="str">
        <f t="shared" si="71"/>
        <v>20130701LGUM_371</v>
      </c>
      <c r="F1302" s="541"/>
      <c r="G1302" s="541"/>
      <c r="H1302" s="541"/>
      <c r="I1302" s="541"/>
      <c r="J1302" s="542"/>
    </row>
    <row r="1303" spans="1:10">
      <c r="A1303" s="539">
        <v>20130701</v>
      </c>
      <c r="B1303" s="540" t="s">
        <v>459</v>
      </c>
      <c r="C1303" s="540" t="str">
        <f t="shared" si="70"/>
        <v>20130701RLS</v>
      </c>
      <c r="D1303" s="540" t="s">
        <v>280</v>
      </c>
      <c r="E1303" s="540" t="str">
        <f t="shared" si="71"/>
        <v>20130701LGUM_372</v>
      </c>
      <c r="F1303" s="541"/>
      <c r="G1303" s="541"/>
      <c r="H1303" s="541"/>
      <c r="I1303" s="541"/>
      <c r="J1303" s="542"/>
    </row>
    <row r="1304" spans="1:10">
      <c r="A1304" s="539">
        <v>20130701</v>
      </c>
      <c r="B1304" s="540" t="s">
        <v>459</v>
      </c>
      <c r="C1304" s="540" t="str">
        <f t="shared" si="70"/>
        <v>20130701RLS</v>
      </c>
      <c r="D1304" s="540" t="s">
        <v>281</v>
      </c>
      <c r="E1304" s="540" t="str">
        <f t="shared" si="71"/>
        <v>20130701LGUM_373</v>
      </c>
      <c r="F1304" s="541"/>
      <c r="G1304" s="541"/>
      <c r="H1304" s="541"/>
      <c r="I1304" s="541"/>
      <c r="J1304" s="542"/>
    </row>
    <row r="1305" spans="1:10">
      <c r="A1305" s="539">
        <v>20130701</v>
      </c>
      <c r="B1305" s="540" t="s">
        <v>459</v>
      </c>
      <c r="C1305" s="540" t="str">
        <f t="shared" si="70"/>
        <v>20130701RLS</v>
      </c>
      <c r="D1305" s="540" t="s">
        <v>282</v>
      </c>
      <c r="E1305" s="540" t="str">
        <f t="shared" si="71"/>
        <v>20130701LGUM_374</v>
      </c>
      <c r="F1305" s="541"/>
      <c r="G1305" s="541"/>
      <c r="H1305" s="541"/>
      <c r="I1305" s="541"/>
      <c r="J1305" s="542"/>
    </row>
    <row r="1306" spans="1:10">
      <c r="A1306" s="539">
        <v>20130701</v>
      </c>
      <c r="B1306" s="540" t="s">
        <v>459</v>
      </c>
      <c r="C1306" s="540" t="str">
        <f t="shared" si="70"/>
        <v>20130701RLS</v>
      </c>
      <c r="D1306" s="540" t="s">
        <v>283</v>
      </c>
      <c r="E1306" s="540" t="str">
        <f t="shared" si="71"/>
        <v>20130701LGUM_375</v>
      </c>
      <c r="F1306" s="541"/>
      <c r="G1306" s="541"/>
      <c r="H1306" s="541"/>
      <c r="I1306" s="541"/>
      <c r="J1306" s="542"/>
    </row>
    <row r="1307" spans="1:10">
      <c r="A1307" s="539">
        <v>20130701</v>
      </c>
      <c r="B1307" s="540" t="s">
        <v>459</v>
      </c>
      <c r="C1307" s="540" t="str">
        <f t="shared" si="70"/>
        <v>20130701RLS</v>
      </c>
      <c r="D1307" s="540" t="s">
        <v>284</v>
      </c>
      <c r="E1307" s="540" t="str">
        <f t="shared" si="71"/>
        <v>20130701LGUM_376</v>
      </c>
      <c r="F1307" s="541"/>
      <c r="G1307" s="541"/>
      <c r="H1307" s="541"/>
      <c r="I1307" s="541"/>
      <c r="J1307" s="542"/>
    </row>
    <row r="1308" spans="1:10">
      <c r="A1308" s="539">
        <v>20130701</v>
      </c>
      <c r="B1308" s="540" t="s">
        <v>459</v>
      </c>
      <c r="C1308" s="540" t="str">
        <f t="shared" si="70"/>
        <v>20130701RLS</v>
      </c>
      <c r="D1308" s="540" t="s">
        <v>285</v>
      </c>
      <c r="E1308" s="540" t="str">
        <f t="shared" si="71"/>
        <v>20130701LGUM_377</v>
      </c>
      <c r="F1308" s="541"/>
      <c r="G1308" s="541"/>
      <c r="H1308" s="541"/>
      <c r="I1308" s="541"/>
      <c r="J1308" s="542"/>
    </row>
    <row r="1309" spans="1:10">
      <c r="A1309" s="539">
        <v>20130701</v>
      </c>
      <c r="B1309" s="540" t="s">
        <v>459</v>
      </c>
      <c r="C1309" s="540" t="str">
        <f t="shared" si="70"/>
        <v>20130701RLS</v>
      </c>
      <c r="D1309" s="540" t="s">
        <v>286</v>
      </c>
      <c r="E1309" s="540" t="str">
        <f t="shared" si="71"/>
        <v>20130701LGUM_378</v>
      </c>
      <c r="F1309" s="541"/>
      <c r="G1309" s="541"/>
      <c r="H1309" s="541"/>
      <c r="I1309" s="541"/>
      <c r="J1309" s="542"/>
    </row>
    <row r="1310" spans="1:10">
      <c r="A1310" s="539">
        <v>20130701</v>
      </c>
      <c r="B1310" s="540" t="s">
        <v>459</v>
      </c>
      <c r="C1310" s="540" t="str">
        <f t="shared" si="70"/>
        <v>20130701RLS</v>
      </c>
      <c r="D1310" s="540" t="s">
        <v>287</v>
      </c>
      <c r="E1310" s="540" t="str">
        <f t="shared" si="71"/>
        <v>20130701LGUM_379</v>
      </c>
      <c r="F1310" s="541"/>
      <c r="G1310" s="541"/>
      <c r="H1310" s="541"/>
      <c r="I1310" s="541"/>
      <c r="J1310" s="542"/>
    </row>
    <row r="1311" spans="1:10">
      <c r="A1311" s="539">
        <v>20130701</v>
      </c>
      <c r="B1311" s="540" t="s">
        <v>459</v>
      </c>
      <c r="C1311" s="540" t="str">
        <f t="shared" si="70"/>
        <v>20130701RLS</v>
      </c>
      <c r="D1311" s="540" t="s">
        <v>288</v>
      </c>
      <c r="E1311" s="540" t="str">
        <f t="shared" si="71"/>
        <v>20130701LGUM_380</v>
      </c>
      <c r="F1311" s="541"/>
      <c r="G1311" s="541"/>
      <c r="H1311" s="541"/>
      <c r="I1311" s="541"/>
      <c r="J1311" s="542"/>
    </row>
    <row r="1312" spans="1:10">
      <c r="A1312" s="539">
        <v>20130701</v>
      </c>
      <c r="B1312" s="540" t="s">
        <v>459</v>
      </c>
      <c r="C1312" s="540" t="str">
        <f t="shared" si="70"/>
        <v>20130701RLS</v>
      </c>
      <c r="D1312" s="540" t="s">
        <v>289</v>
      </c>
      <c r="E1312" s="540" t="str">
        <f t="shared" si="71"/>
        <v>20130701LGUM_381</v>
      </c>
      <c r="F1312" s="541"/>
      <c r="G1312" s="541"/>
      <c r="H1312" s="541"/>
      <c r="I1312" s="541"/>
      <c r="J1312" s="542"/>
    </row>
    <row r="1313" spans="1:10">
      <c r="A1313" s="539">
        <v>20130701</v>
      </c>
      <c r="B1313" s="540" t="s">
        <v>459</v>
      </c>
      <c r="C1313" s="540" t="str">
        <f t="shared" si="70"/>
        <v>20130701RLS</v>
      </c>
      <c r="D1313" s="540" t="s">
        <v>290</v>
      </c>
      <c r="E1313" s="540" t="str">
        <f t="shared" si="71"/>
        <v>20130701LGUM_382</v>
      </c>
      <c r="F1313" s="541"/>
      <c r="G1313" s="541"/>
      <c r="H1313" s="541"/>
      <c r="I1313" s="541"/>
      <c r="J1313" s="542"/>
    </row>
    <row r="1314" spans="1:10">
      <c r="A1314" s="539">
        <v>20130701</v>
      </c>
      <c r="B1314" s="540" t="s">
        <v>459</v>
      </c>
      <c r="C1314" s="540" t="str">
        <f t="shared" si="70"/>
        <v>20130701RLS</v>
      </c>
      <c r="D1314" s="540" t="s">
        <v>291</v>
      </c>
      <c r="E1314" s="540" t="str">
        <f t="shared" si="71"/>
        <v>20130701LGUM_383</v>
      </c>
      <c r="F1314" s="541"/>
      <c r="G1314" s="541"/>
      <c r="H1314" s="541"/>
      <c r="I1314" s="541"/>
      <c r="J1314" s="542"/>
    </row>
    <row r="1315" spans="1:10">
      <c r="A1315" s="539">
        <v>20130701</v>
      </c>
      <c r="B1315" s="540" t="s">
        <v>459</v>
      </c>
      <c r="C1315" s="540" t="str">
        <f t="shared" si="70"/>
        <v>20130701RLS</v>
      </c>
      <c r="D1315" s="543" t="s">
        <v>820</v>
      </c>
      <c r="E1315" s="540" t="str">
        <f t="shared" si="71"/>
        <v>20130701LGUM_384</v>
      </c>
      <c r="F1315" s="541"/>
      <c r="G1315" s="541"/>
      <c r="H1315" s="541"/>
      <c r="I1315" s="541"/>
      <c r="J1315" s="539"/>
    </row>
    <row r="1316" spans="1:10">
      <c r="A1316" s="539">
        <v>20130701</v>
      </c>
      <c r="B1316" s="540" t="s">
        <v>459</v>
      </c>
      <c r="C1316" s="540" t="str">
        <f t="shared" si="70"/>
        <v>20130701RLS</v>
      </c>
      <c r="D1316" s="543" t="s">
        <v>822</v>
      </c>
      <c r="E1316" s="540" t="str">
        <f t="shared" si="71"/>
        <v>20130701LGUM_385</v>
      </c>
      <c r="F1316" s="541"/>
      <c r="G1316" s="541"/>
      <c r="H1316" s="541"/>
      <c r="I1316" s="541"/>
      <c r="J1316" s="539"/>
    </row>
    <row r="1317" spans="1:10">
      <c r="A1317" s="539">
        <v>20130701</v>
      </c>
      <c r="B1317" s="540" t="s">
        <v>684</v>
      </c>
      <c r="C1317" s="540" t="str">
        <f t="shared" si="70"/>
        <v>20130701DSK</v>
      </c>
      <c r="D1317" s="543" t="s">
        <v>340</v>
      </c>
      <c r="E1317" s="540" t="str">
        <f t="shared" si="71"/>
        <v>20130701LGUM_400</v>
      </c>
      <c r="F1317" s="541">
        <v>23.54</v>
      </c>
      <c r="G1317" s="541">
        <f t="shared" ref="G1317:G1320" si="79">VLOOKUP(D1317,$D$1033:$I$1203,4,FALSE)</f>
        <v>0.02</v>
      </c>
      <c r="H1317" s="541">
        <f>F1317-G1317-I1317</f>
        <v>1.0199999999999996</v>
      </c>
      <c r="I1317" s="541">
        <v>22.5</v>
      </c>
      <c r="J1317" s="539" t="s">
        <v>1151</v>
      </c>
    </row>
    <row r="1318" spans="1:10">
      <c r="A1318" s="539">
        <v>20130701</v>
      </c>
      <c r="B1318" s="540" t="s">
        <v>684</v>
      </c>
      <c r="C1318" s="540" t="str">
        <f t="shared" si="70"/>
        <v>20130701DSK</v>
      </c>
      <c r="D1318" s="543" t="s">
        <v>692</v>
      </c>
      <c r="E1318" s="540" t="str">
        <f t="shared" si="71"/>
        <v>20130701LGUM_401</v>
      </c>
      <c r="F1318" s="541">
        <v>24.66</v>
      </c>
      <c r="G1318" s="541">
        <f t="shared" si="79"/>
        <v>0.03</v>
      </c>
      <c r="H1318" s="541">
        <f>F1318-G1318-I1318</f>
        <v>1.0599999999999987</v>
      </c>
      <c r="I1318" s="541">
        <v>23.57</v>
      </c>
      <c r="J1318" s="539" t="s">
        <v>1152</v>
      </c>
    </row>
    <row r="1319" spans="1:10">
      <c r="A1319" s="539">
        <v>20130701</v>
      </c>
      <c r="B1319" s="540" t="s">
        <v>567</v>
      </c>
      <c r="C1319" s="540" t="str">
        <f t="shared" si="70"/>
        <v>20130701LS</v>
      </c>
      <c r="D1319" s="540" t="s">
        <v>292</v>
      </c>
      <c r="E1319" s="540" t="str">
        <f t="shared" si="71"/>
        <v>20130701LGUM_412</v>
      </c>
      <c r="F1319" s="541">
        <v>19.559999999999999</v>
      </c>
      <c r="G1319" s="541">
        <f t="shared" si="79"/>
        <v>0.03</v>
      </c>
      <c r="H1319" s="541">
        <f>F1319-G1319-I1319</f>
        <v>0.74999999999999645</v>
      </c>
      <c r="I1319" s="541">
        <v>18.78</v>
      </c>
      <c r="J1319" s="539" t="s">
        <v>1134</v>
      </c>
    </row>
    <row r="1320" spans="1:10">
      <c r="A1320" s="539">
        <v>20130701</v>
      </c>
      <c r="B1320" s="540" t="s">
        <v>567</v>
      </c>
      <c r="C1320" s="540" t="str">
        <f t="shared" si="70"/>
        <v>20130701LS</v>
      </c>
      <c r="D1320" s="540" t="s">
        <v>293</v>
      </c>
      <c r="E1320" s="540" t="str">
        <f t="shared" si="71"/>
        <v>20130701LGUM_413</v>
      </c>
      <c r="F1320" s="541">
        <v>20.25</v>
      </c>
      <c r="G1320" s="541">
        <f t="shared" si="79"/>
        <v>0.03</v>
      </c>
      <c r="H1320" s="541">
        <f>F1320-G1320-I1320</f>
        <v>1.0599999999999987</v>
      </c>
      <c r="I1320" s="541">
        <v>19.16</v>
      </c>
      <c r="J1320" s="539" t="s">
        <v>1135</v>
      </c>
    </row>
    <row r="1321" spans="1:10">
      <c r="A1321" s="539">
        <v>20130701</v>
      </c>
      <c r="B1321" s="540" t="s">
        <v>567</v>
      </c>
      <c r="C1321" s="540" t="str">
        <f t="shared" si="70"/>
        <v>20130701LS</v>
      </c>
      <c r="D1321" s="540" t="s">
        <v>294</v>
      </c>
      <c r="E1321" s="540" t="str">
        <f t="shared" si="71"/>
        <v>20130701LGUM_414</v>
      </c>
      <c r="F1321" s="541"/>
      <c r="G1321" s="541"/>
      <c r="H1321" s="541"/>
      <c r="I1321" s="541"/>
      <c r="J1321" s="542"/>
    </row>
    <row r="1322" spans="1:10">
      <c r="A1322" s="539">
        <v>20130701</v>
      </c>
      <c r="B1322" s="540" t="s">
        <v>567</v>
      </c>
      <c r="C1322" s="540" t="str">
        <f t="shared" si="70"/>
        <v>20130701LS</v>
      </c>
      <c r="D1322" s="540" t="s">
        <v>295</v>
      </c>
      <c r="E1322" s="540" t="str">
        <f t="shared" si="71"/>
        <v>20130701LGUM_415</v>
      </c>
      <c r="F1322" s="541">
        <v>19.95</v>
      </c>
      <c r="G1322" s="541">
        <f t="shared" ref="G1322:G1324" si="80">VLOOKUP(D1322,$D$1033:$I$1203,4,FALSE)</f>
        <v>0.03</v>
      </c>
      <c r="H1322" s="541">
        <f>F1322-G1322-I1322</f>
        <v>0.75</v>
      </c>
      <c r="I1322" s="541">
        <v>19.169999999999998</v>
      </c>
      <c r="J1322" s="539" t="s">
        <v>1136</v>
      </c>
    </row>
    <row r="1323" spans="1:10">
      <c r="A1323" s="539">
        <v>20130701</v>
      </c>
      <c r="B1323" s="540" t="s">
        <v>567</v>
      </c>
      <c r="C1323" s="540" t="str">
        <f t="shared" si="70"/>
        <v>20130701LS</v>
      </c>
      <c r="D1323" s="540" t="s">
        <v>296</v>
      </c>
      <c r="E1323" s="540" t="str">
        <f t="shared" si="71"/>
        <v>20130701LGUM_416</v>
      </c>
      <c r="F1323" s="541">
        <v>22.32</v>
      </c>
      <c r="G1323" s="541">
        <f t="shared" si="80"/>
        <v>0.03</v>
      </c>
      <c r="H1323" s="541">
        <f>F1323-G1323-I1323</f>
        <v>1.0599999999999987</v>
      </c>
      <c r="I1323" s="541">
        <v>21.23</v>
      </c>
      <c r="J1323" s="539" t="s">
        <v>1137</v>
      </c>
    </row>
    <row r="1324" spans="1:10">
      <c r="A1324" s="539">
        <v>20130701</v>
      </c>
      <c r="B1324" s="540" t="s">
        <v>459</v>
      </c>
      <c r="C1324" s="540" t="str">
        <f t="shared" si="70"/>
        <v>20130701RLS</v>
      </c>
      <c r="D1324" s="540" t="s">
        <v>297</v>
      </c>
      <c r="E1324" s="540" t="str">
        <f t="shared" si="71"/>
        <v>20130701LGUM_417</v>
      </c>
      <c r="F1324" s="541">
        <v>23.44</v>
      </c>
      <c r="G1324" s="541">
        <f t="shared" si="80"/>
        <v>0.03</v>
      </c>
      <c r="H1324" s="541">
        <f>F1324-G1324-I1324</f>
        <v>1.0300000000000011</v>
      </c>
      <c r="I1324" s="541">
        <v>22.38</v>
      </c>
      <c r="J1324" s="542" t="s">
        <v>1179</v>
      </c>
    </row>
    <row r="1325" spans="1:10">
      <c r="A1325" s="539">
        <v>20130701</v>
      </c>
      <c r="B1325" s="540" t="s">
        <v>567</v>
      </c>
      <c r="C1325" s="540" t="str">
        <f t="shared" si="70"/>
        <v>20130701LS</v>
      </c>
      <c r="D1325" s="540" t="s">
        <v>298</v>
      </c>
      <c r="E1325" s="540" t="str">
        <f t="shared" si="71"/>
        <v>20130701LGUM_418</v>
      </c>
      <c r="F1325" s="541"/>
      <c r="G1325" s="541"/>
      <c r="H1325" s="541"/>
      <c r="I1325" s="541"/>
      <c r="J1325" s="542"/>
    </row>
    <row r="1326" spans="1:10">
      <c r="A1326" s="539">
        <v>20130701</v>
      </c>
      <c r="B1326" s="540" t="s">
        <v>459</v>
      </c>
      <c r="C1326" s="540" t="str">
        <f t="shared" si="70"/>
        <v>20130701RLS</v>
      </c>
      <c r="D1326" s="540" t="s">
        <v>299</v>
      </c>
      <c r="E1326" s="540" t="str">
        <f t="shared" si="71"/>
        <v>20130701LGUM_419</v>
      </c>
      <c r="F1326" s="541">
        <v>24.41</v>
      </c>
      <c r="G1326" s="541">
        <f t="shared" ref="G1326:G1340" si="81">VLOOKUP(D1326,$D$1033:$I$1203,4,FALSE)</f>
        <v>0.01</v>
      </c>
      <c r="H1326" s="541">
        <f t="shared" ref="H1326:H1340" si="82">F1326-G1326-I1326</f>
        <v>1.6499999999999986</v>
      </c>
      <c r="I1326" s="541">
        <v>22.75</v>
      </c>
      <c r="J1326" s="539" t="s">
        <v>1180</v>
      </c>
    </row>
    <row r="1327" spans="1:10">
      <c r="A1327" s="539">
        <v>20130701</v>
      </c>
      <c r="B1327" s="540" t="s">
        <v>567</v>
      </c>
      <c r="C1327" s="540" t="str">
        <f t="shared" si="70"/>
        <v>20130701LS</v>
      </c>
      <c r="D1327" s="540" t="s">
        <v>300</v>
      </c>
      <c r="E1327" s="540" t="str">
        <f t="shared" si="71"/>
        <v>20130701LGUM_420</v>
      </c>
      <c r="F1327" s="541">
        <v>29.66</v>
      </c>
      <c r="G1327" s="541">
        <f t="shared" si="81"/>
        <v>0.01</v>
      </c>
      <c r="H1327" s="541">
        <f t="shared" si="82"/>
        <v>1.6499999999999986</v>
      </c>
      <c r="I1327" s="541">
        <v>28</v>
      </c>
      <c r="J1327" s="542" t="s">
        <v>1148</v>
      </c>
    </row>
    <row r="1328" spans="1:10">
      <c r="A1328" s="539">
        <v>20130701</v>
      </c>
      <c r="B1328" s="540" t="s">
        <v>567</v>
      </c>
      <c r="C1328" s="540" t="str">
        <f t="shared" si="70"/>
        <v>20130701LS</v>
      </c>
      <c r="D1328" s="540" t="s">
        <v>301</v>
      </c>
      <c r="E1328" s="540" t="str">
        <f t="shared" si="71"/>
        <v>20130701LGUM_421</v>
      </c>
      <c r="F1328" s="541">
        <v>32.6</v>
      </c>
      <c r="G1328" s="541">
        <f t="shared" si="81"/>
        <v>0.01</v>
      </c>
      <c r="H1328" s="541">
        <f t="shared" si="82"/>
        <v>2.6700000000000017</v>
      </c>
      <c r="I1328" s="541">
        <v>29.92</v>
      </c>
      <c r="J1328" s="539" t="s">
        <v>1149</v>
      </c>
    </row>
    <row r="1329" spans="1:10">
      <c r="A1329" s="539">
        <v>20130701</v>
      </c>
      <c r="B1329" s="540" t="s">
        <v>567</v>
      </c>
      <c r="C1329" s="540" t="str">
        <f t="shared" si="70"/>
        <v>20130701LS</v>
      </c>
      <c r="D1329" s="540" t="s">
        <v>302</v>
      </c>
      <c r="E1329" s="540" t="str">
        <f t="shared" si="71"/>
        <v>20130701LGUM_422</v>
      </c>
      <c r="F1329" s="541">
        <v>38.119999999999997</v>
      </c>
      <c r="G1329" s="541">
        <f t="shared" si="81"/>
        <v>0.02</v>
      </c>
      <c r="H1329" s="541">
        <f t="shared" si="82"/>
        <v>4.279999999999994</v>
      </c>
      <c r="I1329" s="541">
        <v>33.82</v>
      </c>
      <c r="J1329" s="539" t="s">
        <v>1150</v>
      </c>
    </row>
    <row r="1330" spans="1:10">
      <c r="A1330" s="539">
        <v>20130701</v>
      </c>
      <c r="B1330" s="540" t="s">
        <v>567</v>
      </c>
      <c r="C1330" s="540" t="str">
        <f t="shared" si="70"/>
        <v>20130701LS</v>
      </c>
      <c r="D1330" s="540" t="s">
        <v>303</v>
      </c>
      <c r="E1330" s="540" t="str">
        <f t="shared" si="71"/>
        <v>20130701LGUM_423</v>
      </c>
      <c r="F1330" s="541">
        <v>26.12</v>
      </c>
      <c r="G1330" s="541">
        <f t="shared" si="81"/>
        <v>0.01</v>
      </c>
      <c r="H1330" s="541">
        <f t="shared" si="82"/>
        <v>1.6500000000000021</v>
      </c>
      <c r="I1330" s="541">
        <v>24.459999999999997</v>
      </c>
      <c r="J1330" s="542" t="s">
        <v>1142</v>
      </c>
    </row>
    <row r="1331" spans="1:10">
      <c r="A1331" s="539">
        <v>20130701</v>
      </c>
      <c r="B1331" s="540" t="s">
        <v>567</v>
      </c>
      <c r="C1331" s="540" t="str">
        <f t="shared" si="70"/>
        <v>20130701LS</v>
      </c>
      <c r="D1331" s="540" t="s">
        <v>304</v>
      </c>
      <c r="E1331" s="540" t="str">
        <f t="shared" si="71"/>
        <v>20130701LGUM_424</v>
      </c>
      <c r="F1331" s="541">
        <v>28.19</v>
      </c>
      <c r="G1331" s="541">
        <f t="shared" si="81"/>
        <v>0.01</v>
      </c>
      <c r="H1331" s="541">
        <f t="shared" si="82"/>
        <v>3.9800000000000004</v>
      </c>
      <c r="I1331" s="541">
        <v>24.2</v>
      </c>
      <c r="J1331" s="539" t="s">
        <v>1143</v>
      </c>
    </row>
    <row r="1332" spans="1:10">
      <c r="A1332" s="539">
        <v>20130701</v>
      </c>
      <c r="B1332" s="540" t="s">
        <v>567</v>
      </c>
      <c r="C1332" s="540" t="str">
        <f t="shared" si="70"/>
        <v>20130701LS</v>
      </c>
      <c r="D1332" s="540" t="s">
        <v>305</v>
      </c>
      <c r="E1332" s="540" t="str">
        <f t="shared" si="71"/>
        <v>20130701LGUM_425</v>
      </c>
      <c r="F1332" s="541">
        <v>33.76</v>
      </c>
      <c r="G1332" s="541">
        <f t="shared" si="81"/>
        <v>0.02</v>
      </c>
      <c r="H1332" s="541">
        <f t="shared" si="82"/>
        <v>4.2799999999999976</v>
      </c>
      <c r="I1332" s="541">
        <v>29.459999999999997</v>
      </c>
      <c r="J1332" s="539" t="s">
        <v>1144</v>
      </c>
    </row>
    <row r="1333" spans="1:10">
      <c r="A1333" s="539">
        <v>20130701</v>
      </c>
      <c r="B1333" s="540" t="s">
        <v>459</v>
      </c>
      <c r="C1333" s="540" t="str">
        <f t="shared" si="70"/>
        <v>20130701RLS</v>
      </c>
      <c r="D1333" s="540" t="s">
        <v>306</v>
      </c>
      <c r="E1333" s="540" t="str">
        <f t="shared" si="71"/>
        <v>20130701LGUM_426</v>
      </c>
      <c r="F1333" s="541">
        <v>32.99</v>
      </c>
      <c r="G1333" s="541">
        <f t="shared" si="81"/>
        <v>0.03</v>
      </c>
      <c r="H1333" s="541">
        <f t="shared" si="82"/>
        <v>0.75</v>
      </c>
      <c r="I1333" s="541">
        <v>32.21</v>
      </c>
      <c r="J1333" s="539" t="s">
        <v>1185</v>
      </c>
    </row>
    <row r="1334" spans="1:10">
      <c r="A1334" s="539">
        <v>20130701</v>
      </c>
      <c r="B1334" s="540" t="s">
        <v>567</v>
      </c>
      <c r="C1334" s="540" t="str">
        <f t="shared" si="70"/>
        <v>20130701LS</v>
      </c>
      <c r="D1334" s="540" t="s">
        <v>307</v>
      </c>
      <c r="E1334" s="540" t="str">
        <f t="shared" si="71"/>
        <v>20130701LGUM_427</v>
      </c>
      <c r="F1334" s="541">
        <v>34.97</v>
      </c>
      <c r="G1334" s="541">
        <f t="shared" si="81"/>
        <v>0.03</v>
      </c>
      <c r="H1334" s="541">
        <f t="shared" si="82"/>
        <v>0.75</v>
      </c>
      <c r="I1334" s="541">
        <v>34.19</v>
      </c>
      <c r="J1334" s="539" t="s">
        <v>1138</v>
      </c>
    </row>
    <row r="1335" spans="1:10">
      <c r="A1335" s="539">
        <v>20130701</v>
      </c>
      <c r="B1335" s="540" t="s">
        <v>459</v>
      </c>
      <c r="C1335" s="540" t="str">
        <f t="shared" si="70"/>
        <v>20130701RLS</v>
      </c>
      <c r="D1335" s="540" t="s">
        <v>308</v>
      </c>
      <c r="E1335" s="540" t="str">
        <f t="shared" si="71"/>
        <v>20130701LGUM_428</v>
      </c>
      <c r="F1335" s="541">
        <v>33.85</v>
      </c>
      <c r="G1335" s="541">
        <f t="shared" si="81"/>
        <v>0.03</v>
      </c>
      <c r="H1335" s="541">
        <f t="shared" si="82"/>
        <v>1.0600000000000023</v>
      </c>
      <c r="I1335" s="541">
        <v>32.76</v>
      </c>
      <c r="J1335" s="539" t="s">
        <v>1186</v>
      </c>
    </row>
    <row r="1336" spans="1:10">
      <c r="A1336" s="539">
        <v>20130701</v>
      </c>
      <c r="B1336" s="540" t="s">
        <v>567</v>
      </c>
      <c r="C1336" s="540" t="str">
        <f t="shared" si="70"/>
        <v>20130701LS</v>
      </c>
      <c r="D1336" s="540" t="s">
        <v>309</v>
      </c>
      <c r="E1336" s="540" t="str">
        <f t="shared" si="71"/>
        <v>20130701LGUM_429</v>
      </c>
      <c r="F1336" s="541">
        <v>35.83</v>
      </c>
      <c r="G1336" s="541">
        <f t="shared" si="81"/>
        <v>0.03</v>
      </c>
      <c r="H1336" s="541">
        <f t="shared" si="82"/>
        <v>1.0599999999999952</v>
      </c>
      <c r="I1336" s="541">
        <v>34.74</v>
      </c>
      <c r="J1336" s="539" t="s">
        <v>1139</v>
      </c>
    </row>
    <row r="1337" spans="1:10">
      <c r="A1337" s="539">
        <v>20130701</v>
      </c>
      <c r="B1337" s="540" t="s">
        <v>459</v>
      </c>
      <c r="C1337" s="540" t="str">
        <f t="shared" si="70"/>
        <v>20130701RLS</v>
      </c>
      <c r="D1337" s="540" t="s">
        <v>310</v>
      </c>
      <c r="E1337" s="540" t="str">
        <f t="shared" si="71"/>
        <v>20130701LGUM_430</v>
      </c>
      <c r="F1337" s="541">
        <v>32.03</v>
      </c>
      <c r="G1337" s="541">
        <f t="shared" si="81"/>
        <v>0.03</v>
      </c>
      <c r="H1337" s="541">
        <f t="shared" si="82"/>
        <v>0.75</v>
      </c>
      <c r="I1337" s="541">
        <v>31.25</v>
      </c>
      <c r="J1337" s="539" t="s">
        <v>1187</v>
      </c>
    </row>
    <row r="1338" spans="1:10">
      <c r="A1338" s="539">
        <v>20130701</v>
      </c>
      <c r="B1338" s="540" t="s">
        <v>567</v>
      </c>
      <c r="C1338" s="540" t="str">
        <f t="shared" si="70"/>
        <v>20130701LS</v>
      </c>
      <c r="D1338" s="540" t="s">
        <v>311</v>
      </c>
      <c r="E1338" s="540" t="str">
        <f t="shared" si="71"/>
        <v>20130701LGUM_431</v>
      </c>
      <c r="F1338" s="541">
        <v>32.700000000000003</v>
      </c>
      <c r="G1338" s="541">
        <f t="shared" si="81"/>
        <v>0.03</v>
      </c>
      <c r="H1338" s="541">
        <f t="shared" si="82"/>
        <v>0.75</v>
      </c>
      <c r="I1338" s="541">
        <v>31.92</v>
      </c>
      <c r="J1338" s="539" t="s">
        <v>1140</v>
      </c>
    </row>
    <row r="1339" spans="1:10">
      <c r="A1339" s="539">
        <v>20130701</v>
      </c>
      <c r="B1339" s="540" t="s">
        <v>459</v>
      </c>
      <c r="C1339" s="540" t="str">
        <f t="shared" si="70"/>
        <v>20130701RLS</v>
      </c>
      <c r="D1339" s="540" t="s">
        <v>339</v>
      </c>
      <c r="E1339" s="540" t="str">
        <f t="shared" si="71"/>
        <v>20130701LGUM_432</v>
      </c>
      <c r="F1339" s="541">
        <v>34.090000000000003</v>
      </c>
      <c r="G1339" s="541">
        <f t="shared" si="81"/>
        <v>0.03</v>
      </c>
      <c r="H1339" s="541">
        <f t="shared" si="82"/>
        <v>1.0600000000000023</v>
      </c>
      <c r="I1339" s="541">
        <v>33</v>
      </c>
      <c r="J1339" s="539" t="s">
        <v>1188</v>
      </c>
    </row>
    <row r="1340" spans="1:10">
      <c r="A1340" s="539">
        <v>20130701</v>
      </c>
      <c r="B1340" s="540" t="s">
        <v>567</v>
      </c>
      <c r="C1340" s="540" t="str">
        <f t="shared" si="70"/>
        <v>20130701LS</v>
      </c>
      <c r="D1340" s="540" t="s">
        <v>312</v>
      </c>
      <c r="E1340" s="540" t="str">
        <f t="shared" si="71"/>
        <v>20130701LGUM_433</v>
      </c>
      <c r="F1340" s="541">
        <v>34.75</v>
      </c>
      <c r="G1340" s="541">
        <f t="shared" si="81"/>
        <v>0.03</v>
      </c>
      <c r="H1340" s="541">
        <f t="shared" si="82"/>
        <v>1.0600000000000023</v>
      </c>
      <c r="I1340" s="541">
        <v>33.659999999999997</v>
      </c>
      <c r="J1340" s="539" t="s">
        <v>1141</v>
      </c>
    </row>
    <row r="1341" spans="1:10">
      <c r="A1341" s="539">
        <v>20130701</v>
      </c>
      <c r="B1341" s="540" t="s">
        <v>567</v>
      </c>
      <c r="C1341" s="540" t="str">
        <f t="shared" si="70"/>
        <v>20130701LS</v>
      </c>
      <c r="D1341" s="540" t="s">
        <v>313</v>
      </c>
      <c r="E1341" s="540" t="str">
        <f t="shared" si="71"/>
        <v>20130701LGUM_434</v>
      </c>
      <c r="F1341" s="541"/>
      <c r="G1341" s="541"/>
      <c r="H1341" s="541"/>
      <c r="I1341" s="541"/>
      <c r="J1341" s="542"/>
    </row>
    <row r="1342" spans="1:10">
      <c r="A1342" s="539">
        <v>20130701</v>
      </c>
      <c r="B1342" s="540" t="s">
        <v>567</v>
      </c>
      <c r="C1342" s="540" t="str">
        <f t="shared" si="70"/>
        <v>20130701LS</v>
      </c>
      <c r="D1342" s="540" t="s">
        <v>314</v>
      </c>
      <c r="E1342" s="540" t="str">
        <f t="shared" si="71"/>
        <v>20130701LGUM_435</v>
      </c>
      <c r="F1342" s="541"/>
      <c r="G1342" s="541"/>
      <c r="H1342" s="541"/>
      <c r="I1342" s="541"/>
      <c r="J1342" s="542"/>
    </row>
    <row r="1343" spans="1:10">
      <c r="A1343" s="539">
        <v>20130701</v>
      </c>
      <c r="B1343" s="540" t="s">
        <v>567</v>
      </c>
      <c r="C1343" s="540" t="str">
        <f t="shared" si="70"/>
        <v>20130701LS</v>
      </c>
      <c r="D1343" s="540" t="s">
        <v>592</v>
      </c>
      <c r="E1343" s="540" t="str">
        <f t="shared" si="71"/>
        <v>20130701LGUM_436</v>
      </c>
      <c r="F1343" s="541"/>
      <c r="G1343" s="541"/>
      <c r="H1343" s="541"/>
      <c r="I1343" s="541"/>
      <c r="J1343" s="542"/>
    </row>
    <row r="1344" spans="1:10">
      <c r="A1344" s="539">
        <v>20130701</v>
      </c>
      <c r="B1344" s="540" t="s">
        <v>567</v>
      </c>
      <c r="C1344" s="540" t="str">
        <f t="shared" si="70"/>
        <v>20130701LS</v>
      </c>
      <c r="D1344" s="540" t="s">
        <v>315</v>
      </c>
      <c r="E1344" s="540" t="str">
        <f t="shared" si="71"/>
        <v>20130701LGUM_437</v>
      </c>
      <c r="F1344" s="541"/>
      <c r="G1344" s="541"/>
      <c r="H1344" s="541"/>
      <c r="I1344" s="541"/>
      <c r="J1344" s="542"/>
    </row>
    <row r="1345" spans="1:10">
      <c r="A1345" s="539">
        <v>20130701</v>
      </c>
      <c r="B1345" s="540" t="s">
        <v>567</v>
      </c>
      <c r="C1345" s="540" t="str">
        <f t="shared" si="70"/>
        <v>20130701LS</v>
      </c>
      <c r="D1345" s="540" t="s">
        <v>316</v>
      </c>
      <c r="E1345" s="540" t="str">
        <f t="shared" si="71"/>
        <v>20130701LGUM_438</v>
      </c>
      <c r="F1345" s="541"/>
      <c r="G1345" s="541"/>
      <c r="H1345" s="541"/>
      <c r="I1345" s="541"/>
      <c r="J1345" s="542"/>
    </row>
    <row r="1346" spans="1:10">
      <c r="A1346" s="539">
        <v>20130701</v>
      </c>
      <c r="B1346" s="540" t="s">
        <v>567</v>
      </c>
      <c r="C1346" s="540" t="str">
        <f t="shared" si="70"/>
        <v>20130701LS</v>
      </c>
      <c r="D1346" s="543" t="s">
        <v>687</v>
      </c>
      <c r="E1346" s="540" t="str">
        <f t="shared" si="71"/>
        <v>20130701LGUM_439</v>
      </c>
      <c r="F1346" s="541">
        <v>16.23</v>
      </c>
      <c r="G1346" s="541">
        <f t="shared" ref="G1346:G1355" si="83">VLOOKUP(D1346,$D$1033:$I$1203,4,FALSE)</f>
        <v>0.01</v>
      </c>
      <c r="H1346" s="541">
        <f t="shared" ref="H1346:H1355" si="84">F1346-G1346-I1346</f>
        <v>1.6499999999999986</v>
      </c>
      <c r="I1346" s="541">
        <v>14.57</v>
      </c>
      <c r="J1346" s="539" t="s">
        <v>1145</v>
      </c>
    </row>
    <row r="1347" spans="1:10">
      <c r="A1347" s="539">
        <v>20130701</v>
      </c>
      <c r="B1347" s="540" t="s">
        <v>567</v>
      </c>
      <c r="C1347" s="540" t="str">
        <f t="shared" si="70"/>
        <v>20130701LS</v>
      </c>
      <c r="D1347" s="543" t="s">
        <v>688</v>
      </c>
      <c r="E1347" s="540" t="str">
        <f t="shared" si="71"/>
        <v>20130701LGUM_440</v>
      </c>
      <c r="F1347" s="541">
        <v>18.02</v>
      </c>
      <c r="G1347" s="541">
        <f t="shared" si="83"/>
        <v>0.01</v>
      </c>
      <c r="H1347" s="541">
        <f t="shared" si="84"/>
        <v>2.67</v>
      </c>
      <c r="I1347" s="541">
        <v>15.339999999999998</v>
      </c>
      <c r="J1347" s="539" t="s">
        <v>1146</v>
      </c>
    </row>
    <row r="1348" spans="1:10">
      <c r="A1348" s="539">
        <v>20130701</v>
      </c>
      <c r="B1348" s="540" t="s">
        <v>567</v>
      </c>
      <c r="C1348" s="540" t="str">
        <f t="shared" si="70"/>
        <v>20130701LS</v>
      </c>
      <c r="D1348" s="543" t="s">
        <v>341</v>
      </c>
      <c r="E1348" s="540" t="str">
        <f t="shared" si="71"/>
        <v>20130701LGUM_441</v>
      </c>
      <c r="F1348" s="541">
        <v>22.05</v>
      </c>
      <c r="G1348" s="541">
        <f t="shared" si="83"/>
        <v>0.02</v>
      </c>
      <c r="H1348" s="541">
        <f t="shared" si="84"/>
        <v>4.2800000000000011</v>
      </c>
      <c r="I1348" s="541">
        <v>17.75</v>
      </c>
      <c r="J1348" s="539" t="s">
        <v>1147</v>
      </c>
    </row>
    <row r="1349" spans="1:10">
      <c r="A1349" s="539">
        <v>20130701</v>
      </c>
      <c r="B1349" s="540" t="s">
        <v>567</v>
      </c>
      <c r="C1349" s="540" t="str">
        <f>A1349&amp;B1349</f>
        <v>20130701LS</v>
      </c>
      <c r="D1349" s="543" t="s">
        <v>317</v>
      </c>
      <c r="E1349" s="540" t="str">
        <f>A1349&amp;D1349</f>
        <v>20130701LGUM_452</v>
      </c>
      <c r="F1349" s="541">
        <v>12.59</v>
      </c>
      <c r="G1349" s="541">
        <f t="shared" si="83"/>
        <v>0.01</v>
      </c>
      <c r="H1349" s="541">
        <f t="shared" si="84"/>
        <v>1.6500000000000004</v>
      </c>
      <c r="I1349" s="541">
        <v>10.93</v>
      </c>
      <c r="J1349" s="542" t="s">
        <v>1125</v>
      </c>
    </row>
    <row r="1350" spans="1:10">
      <c r="A1350" s="539">
        <v>20130701</v>
      </c>
      <c r="B1350" s="540" t="s">
        <v>567</v>
      </c>
      <c r="C1350" s="540" t="str">
        <f t="shared" ref="C1350:C1374" si="85">A1350&amp;B1350</f>
        <v>20130701LS</v>
      </c>
      <c r="D1350" s="540" t="s">
        <v>318</v>
      </c>
      <c r="E1350" s="540" t="str">
        <f t="shared" ref="E1350:E1374" si="86">A1350&amp;D1350</f>
        <v>20130701LGUM_453</v>
      </c>
      <c r="F1350" s="541">
        <v>14.83</v>
      </c>
      <c r="G1350" s="541">
        <f t="shared" si="83"/>
        <v>0.01</v>
      </c>
      <c r="H1350" s="541">
        <f t="shared" si="84"/>
        <v>3.9800000000000004</v>
      </c>
      <c r="I1350" s="541">
        <v>10.84</v>
      </c>
      <c r="J1350" s="539" t="s">
        <v>1126</v>
      </c>
    </row>
    <row r="1351" spans="1:10">
      <c r="A1351" s="539">
        <v>20130701</v>
      </c>
      <c r="B1351" s="540" t="s">
        <v>567</v>
      </c>
      <c r="C1351" s="540" t="str">
        <f t="shared" si="85"/>
        <v>20130701LS</v>
      </c>
      <c r="D1351" s="540" t="s">
        <v>319</v>
      </c>
      <c r="E1351" s="540" t="str">
        <f t="shared" si="86"/>
        <v>20130701LGUM_454</v>
      </c>
      <c r="F1351" s="541">
        <v>17.11</v>
      </c>
      <c r="G1351" s="541">
        <f t="shared" si="83"/>
        <v>0.02</v>
      </c>
      <c r="H1351" s="541">
        <f t="shared" si="84"/>
        <v>4.2800000000000011</v>
      </c>
      <c r="I1351" s="541">
        <v>12.809999999999999</v>
      </c>
      <c r="J1351" s="539" t="s">
        <v>1127</v>
      </c>
    </row>
    <row r="1352" spans="1:10">
      <c r="A1352" s="539">
        <v>20130701</v>
      </c>
      <c r="B1352" s="540" t="s">
        <v>567</v>
      </c>
      <c r="C1352" s="540" t="str">
        <f t="shared" si="85"/>
        <v>20130701LS</v>
      </c>
      <c r="D1352" s="540" t="s">
        <v>320</v>
      </c>
      <c r="E1352" s="540" t="str">
        <f t="shared" si="86"/>
        <v>20130701LGUM_455</v>
      </c>
      <c r="F1352" s="541">
        <v>13.54</v>
      </c>
      <c r="G1352" s="541">
        <f t="shared" si="83"/>
        <v>0.01</v>
      </c>
      <c r="H1352" s="541">
        <f t="shared" si="84"/>
        <v>1.6499999999999986</v>
      </c>
      <c r="I1352" s="541">
        <v>11.88</v>
      </c>
      <c r="J1352" s="539" t="s">
        <v>1128</v>
      </c>
    </row>
    <row r="1353" spans="1:10">
      <c r="A1353" s="539">
        <v>20130701</v>
      </c>
      <c r="B1353" s="540" t="s">
        <v>567</v>
      </c>
      <c r="C1353" s="540" t="str">
        <f t="shared" si="85"/>
        <v>20130701LS</v>
      </c>
      <c r="D1353" s="540" t="s">
        <v>321</v>
      </c>
      <c r="E1353" s="540" t="str">
        <f t="shared" si="86"/>
        <v>20130701LGUM_456</v>
      </c>
      <c r="F1353" s="541">
        <v>17.940000000000001</v>
      </c>
      <c r="G1353" s="541">
        <f t="shared" si="83"/>
        <v>0.02</v>
      </c>
      <c r="H1353" s="541">
        <f t="shared" si="84"/>
        <v>4.2800000000000011</v>
      </c>
      <c r="I1353" s="541">
        <v>13.64</v>
      </c>
      <c r="J1353" s="539" t="s">
        <v>1129</v>
      </c>
    </row>
    <row r="1354" spans="1:10">
      <c r="A1354" s="539">
        <v>20130701</v>
      </c>
      <c r="B1354" s="540" t="s">
        <v>567</v>
      </c>
      <c r="C1354" s="540" t="str">
        <f t="shared" si="85"/>
        <v>20130701LS</v>
      </c>
      <c r="D1354" s="540" t="s">
        <v>322</v>
      </c>
      <c r="E1354" s="540" t="str">
        <f t="shared" si="86"/>
        <v>20130701LGUM_457</v>
      </c>
      <c r="F1354" s="541">
        <v>10.62</v>
      </c>
      <c r="G1354" s="541">
        <f t="shared" si="83"/>
        <v>0.03</v>
      </c>
      <c r="H1354" s="541">
        <f t="shared" si="84"/>
        <v>1.0599999999999987</v>
      </c>
      <c r="I1354" s="541">
        <v>9.5300000000000011</v>
      </c>
      <c r="J1354" s="542" t="s">
        <v>1131</v>
      </c>
    </row>
    <row r="1355" spans="1:10">
      <c r="A1355" s="539">
        <v>20130701</v>
      </c>
      <c r="B1355" s="540" t="s">
        <v>459</v>
      </c>
      <c r="C1355" s="540" t="str">
        <f t="shared" si="85"/>
        <v>20130701RLS</v>
      </c>
      <c r="D1355" s="540" t="s">
        <v>323</v>
      </c>
      <c r="E1355" s="540" t="str">
        <f t="shared" si="86"/>
        <v>20130701LGUM_458</v>
      </c>
      <c r="F1355" s="541">
        <v>10.98</v>
      </c>
      <c r="G1355" s="541">
        <f t="shared" si="83"/>
        <v>0.01</v>
      </c>
      <c r="H1355" s="541">
        <f t="shared" si="84"/>
        <v>3.7700000000000014</v>
      </c>
      <c r="I1355" s="541">
        <v>7.1999999999999993</v>
      </c>
      <c r="J1355" s="542" t="s">
        <v>1160</v>
      </c>
    </row>
    <row r="1356" spans="1:10">
      <c r="A1356" s="539">
        <v>20130701</v>
      </c>
      <c r="B1356" s="540" t="s">
        <v>567</v>
      </c>
      <c r="C1356" s="540" t="str">
        <f t="shared" si="85"/>
        <v>20130701LS</v>
      </c>
      <c r="D1356" s="540" t="s">
        <v>324</v>
      </c>
      <c r="E1356" s="540" t="str">
        <f t="shared" si="86"/>
        <v>20130701LGUM_459</v>
      </c>
      <c r="F1356" s="541"/>
      <c r="G1356" s="541"/>
      <c r="H1356" s="541"/>
      <c r="I1356" s="541"/>
      <c r="J1356" s="542"/>
    </row>
    <row r="1357" spans="1:10">
      <c r="A1357" s="539">
        <v>20130701</v>
      </c>
      <c r="B1357" s="540" t="s">
        <v>567</v>
      </c>
      <c r="C1357" s="540" t="str">
        <f t="shared" si="85"/>
        <v>20130701LS</v>
      </c>
      <c r="D1357" s="540" t="s">
        <v>325</v>
      </c>
      <c r="E1357" s="540" t="str">
        <f t="shared" si="86"/>
        <v>20130701LGUM_460</v>
      </c>
      <c r="F1357" s="541"/>
      <c r="G1357" s="541"/>
      <c r="H1357" s="541"/>
      <c r="I1357" s="541"/>
      <c r="J1357" s="542"/>
    </row>
    <row r="1358" spans="1:10">
      <c r="A1358" s="539">
        <v>20130701</v>
      </c>
      <c r="B1358" s="540" t="s">
        <v>567</v>
      </c>
      <c r="C1358" s="540" t="str">
        <f t="shared" si="85"/>
        <v>20130701LS</v>
      </c>
      <c r="D1358" s="540" t="s">
        <v>326</v>
      </c>
      <c r="E1358" s="540" t="str">
        <f t="shared" si="86"/>
        <v>20130701LGUM_461</v>
      </c>
      <c r="F1358" s="541"/>
      <c r="G1358" s="541"/>
      <c r="H1358" s="541"/>
      <c r="I1358" s="541"/>
      <c r="J1358" s="542"/>
    </row>
    <row r="1359" spans="1:10">
      <c r="A1359" s="539">
        <v>20130701</v>
      </c>
      <c r="B1359" s="540" t="s">
        <v>567</v>
      </c>
      <c r="C1359" s="540" t="str">
        <f t="shared" si="85"/>
        <v>20130701LS</v>
      </c>
      <c r="D1359" s="540" t="s">
        <v>327</v>
      </c>
      <c r="E1359" s="540" t="str">
        <f t="shared" si="86"/>
        <v>20130701LGUM_462</v>
      </c>
      <c r="F1359" s="541"/>
      <c r="G1359" s="541"/>
      <c r="H1359" s="541"/>
      <c r="I1359" s="541"/>
      <c r="J1359" s="542"/>
    </row>
    <row r="1360" spans="1:10">
      <c r="A1360" s="539">
        <v>20130701</v>
      </c>
      <c r="B1360" s="540" t="s">
        <v>567</v>
      </c>
      <c r="C1360" s="540" t="str">
        <f t="shared" si="85"/>
        <v>20130701LS</v>
      </c>
      <c r="D1360" s="540" t="s">
        <v>328</v>
      </c>
      <c r="E1360" s="540" t="str">
        <f t="shared" si="86"/>
        <v>20130701LGUM_470</v>
      </c>
      <c r="F1360" s="541">
        <v>12.53</v>
      </c>
      <c r="G1360" s="541">
        <f t="shared" ref="G1360:G1361" si="87">VLOOKUP(D1360,$D$1033:$I$1203,4,FALSE)</f>
        <v>0.01</v>
      </c>
      <c r="H1360" s="541">
        <f>F1360-G1360-I1360</f>
        <v>1.3699999999999992</v>
      </c>
      <c r="I1360" s="541">
        <v>11.15</v>
      </c>
      <c r="J1360" s="542" t="s">
        <v>1130</v>
      </c>
    </row>
    <row r="1361" spans="1:16">
      <c r="A1361" s="539">
        <v>20130701</v>
      </c>
      <c r="B1361" s="540" t="s">
        <v>459</v>
      </c>
      <c r="C1361" s="540" t="str">
        <f t="shared" si="85"/>
        <v>20130701RLS</v>
      </c>
      <c r="D1361" s="540" t="s">
        <v>329</v>
      </c>
      <c r="E1361" s="540" t="str">
        <f t="shared" si="86"/>
        <v>20130701LGUM_471</v>
      </c>
      <c r="F1361" s="541">
        <v>14.81</v>
      </c>
      <c r="G1361" s="541">
        <f t="shared" si="87"/>
        <v>0.01</v>
      </c>
      <c r="H1361" s="541">
        <f>F1361-G1361-I1361</f>
        <v>1.3699999999999992</v>
      </c>
      <c r="I1361" s="541">
        <v>13.430000000000001</v>
      </c>
      <c r="J1361" s="539" t="s">
        <v>1169</v>
      </c>
    </row>
    <row r="1362" spans="1:16">
      <c r="A1362" s="539">
        <v>20130701</v>
      </c>
      <c r="B1362" s="540" t="s">
        <v>567</v>
      </c>
      <c r="C1362" s="540" t="str">
        <f t="shared" si="85"/>
        <v>20130701LS</v>
      </c>
      <c r="D1362" s="540" t="s">
        <v>609</v>
      </c>
      <c r="E1362" s="540" t="str">
        <f t="shared" si="86"/>
        <v>20130701LGUM_472</v>
      </c>
      <c r="F1362" s="541"/>
      <c r="G1362" s="541"/>
      <c r="H1362" s="541"/>
      <c r="I1362" s="541"/>
      <c r="J1362" s="542"/>
    </row>
    <row r="1363" spans="1:16">
      <c r="A1363" s="539">
        <v>20130701</v>
      </c>
      <c r="B1363" s="540" t="s">
        <v>567</v>
      </c>
      <c r="C1363" s="540" t="str">
        <f t="shared" si="85"/>
        <v>20130701LS</v>
      </c>
      <c r="D1363" s="540" t="s">
        <v>330</v>
      </c>
      <c r="E1363" s="540" t="str">
        <f t="shared" si="86"/>
        <v>20130701LGUM_473</v>
      </c>
      <c r="F1363" s="541">
        <v>18.399999999999999</v>
      </c>
      <c r="G1363" s="541">
        <f t="shared" ref="G1363:G1367" si="88">VLOOKUP(D1363,$D$1033:$I$1203,4,FALSE)</f>
        <v>0.02</v>
      </c>
      <c r="H1363" s="541">
        <f>F1363-G1363-I1363</f>
        <v>3.1799999999999979</v>
      </c>
      <c r="I1363" s="541">
        <v>15.200000000000001</v>
      </c>
      <c r="J1363" s="539" t="s">
        <v>1132</v>
      </c>
    </row>
    <row r="1364" spans="1:16">
      <c r="A1364" s="539">
        <v>20130701</v>
      </c>
      <c r="B1364" s="540" t="s">
        <v>459</v>
      </c>
      <c r="C1364" s="540" t="str">
        <f t="shared" si="85"/>
        <v>20130701RLS</v>
      </c>
      <c r="D1364" s="540" t="s">
        <v>331</v>
      </c>
      <c r="E1364" s="540" t="str">
        <f t="shared" si="86"/>
        <v>20130701LGUM_474</v>
      </c>
      <c r="F1364" s="541">
        <v>20.69</v>
      </c>
      <c r="G1364" s="541">
        <f t="shared" si="88"/>
        <v>0.02</v>
      </c>
      <c r="H1364" s="541">
        <f>F1364-G1364-I1364</f>
        <v>3.1799999999999997</v>
      </c>
      <c r="I1364" s="541">
        <v>17.490000000000002</v>
      </c>
      <c r="J1364" s="539" t="s">
        <v>1168</v>
      </c>
    </row>
    <row r="1365" spans="1:16">
      <c r="A1365" s="539">
        <v>20130701</v>
      </c>
      <c r="B1365" s="540" t="s">
        <v>459</v>
      </c>
      <c r="C1365" s="540" t="str">
        <f t="shared" si="85"/>
        <v>20130701RLS</v>
      </c>
      <c r="D1365" s="540" t="s">
        <v>332</v>
      </c>
      <c r="E1365" s="540" t="str">
        <f t="shared" si="86"/>
        <v>20130701LGUM_475</v>
      </c>
      <c r="F1365" s="541">
        <v>28.14</v>
      </c>
      <c r="G1365" s="541">
        <f t="shared" si="88"/>
        <v>0.02</v>
      </c>
      <c r="H1365" s="541">
        <f>F1365-G1365-I1365</f>
        <v>3.1800000000000033</v>
      </c>
      <c r="I1365" s="541">
        <v>24.939999999999998</v>
      </c>
      <c r="J1365" s="539" t="s">
        <v>1167</v>
      </c>
    </row>
    <row r="1366" spans="1:16">
      <c r="A1366" s="539">
        <v>20130701</v>
      </c>
      <c r="B1366" s="540" t="s">
        <v>567</v>
      </c>
      <c r="C1366" s="540" t="str">
        <f t="shared" si="85"/>
        <v>20130701LS</v>
      </c>
      <c r="D1366" s="540" t="s">
        <v>333</v>
      </c>
      <c r="E1366" s="540" t="str">
        <f t="shared" si="86"/>
        <v>20130701LGUM_476</v>
      </c>
      <c r="F1366" s="541">
        <v>39.03</v>
      </c>
      <c r="G1366" s="541">
        <f t="shared" si="88"/>
        <v>0.04</v>
      </c>
      <c r="H1366" s="541">
        <f>F1366-G1366-I1366</f>
        <v>9.8100000000000023</v>
      </c>
      <c r="I1366" s="541">
        <v>29.18</v>
      </c>
      <c r="J1366" s="539" t="s">
        <v>1133</v>
      </c>
    </row>
    <row r="1367" spans="1:16">
      <c r="A1367" s="539">
        <v>20130701</v>
      </c>
      <c r="B1367" s="540" t="s">
        <v>459</v>
      </c>
      <c r="C1367" s="540" t="str">
        <f t="shared" si="85"/>
        <v>20130701RLS</v>
      </c>
      <c r="D1367" s="540" t="s">
        <v>334</v>
      </c>
      <c r="E1367" s="540" t="str">
        <f t="shared" si="86"/>
        <v>20130701LGUM_477</v>
      </c>
      <c r="F1367" s="541">
        <v>42.21</v>
      </c>
      <c r="G1367" s="541">
        <f t="shared" si="88"/>
        <v>0.04</v>
      </c>
      <c r="H1367" s="541">
        <f>F1367-G1367-I1367</f>
        <v>9.8100000000000023</v>
      </c>
      <c r="I1367" s="541">
        <v>32.36</v>
      </c>
      <c r="J1367" s="539" t="s">
        <v>1170</v>
      </c>
    </row>
    <row r="1368" spans="1:16">
      <c r="A1368" s="539">
        <v>20130701</v>
      </c>
      <c r="B1368" s="540" t="s">
        <v>567</v>
      </c>
      <c r="C1368" s="540" t="str">
        <f t="shared" si="85"/>
        <v>20130701LS</v>
      </c>
      <c r="D1368" s="540" t="s">
        <v>616</v>
      </c>
      <c r="E1368" s="540" t="str">
        <f t="shared" si="86"/>
        <v>20130701LGUM_478</v>
      </c>
      <c r="F1368" s="541"/>
      <c r="G1368" s="541"/>
      <c r="H1368" s="541"/>
      <c r="I1368" s="541"/>
      <c r="J1368" s="542"/>
    </row>
    <row r="1369" spans="1:16">
      <c r="A1369" s="539">
        <v>20130701</v>
      </c>
      <c r="B1369" s="540" t="s">
        <v>567</v>
      </c>
      <c r="C1369" s="540" t="str">
        <f t="shared" si="85"/>
        <v>20130701LS</v>
      </c>
      <c r="D1369" s="540" t="s">
        <v>618</v>
      </c>
      <c r="E1369" s="540" t="str">
        <f t="shared" si="86"/>
        <v>20130701LGUM_479</v>
      </c>
      <c r="F1369" s="541">
        <v>13.8</v>
      </c>
      <c r="G1369" s="541">
        <f t="shared" ref="G1369:G1374" si="89">VLOOKUP(D1369,$D$1033:$I$1203,4,FALSE)</f>
        <v>0.01</v>
      </c>
      <c r="H1369" s="541">
        <f t="shared" ref="H1369:H1374" si="90">F1369-G1369-I1369</f>
        <v>1.370000000000001</v>
      </c>
      <c r="I1369" s="541">
        <v>12.42</v>
      </c>
      <c r="J1369" s="542" t="s">
        <v>1153</v>
      </c>
    </row>
    <row r="1370" spans="1:16">
      <c r="A1370" s="539">
        <v>20130701</v>
      </c>
      <c r="B1370" s="540" t="s">
        <v>567</v>
      </c>
      <c r="C1370" s="540" t="str">
        <f t="shared" si="85"/>
        <v>20130701LS</v>
      </c>
      <c r="D1370" s="540" t="s">
        <v>620</v>
      </c>
      <c r="E1370" s="540" t="str">
        <f t="shared" si="86"/>
        <v>20130701LGUM_480</v>
      </c>
      <c r="F1370" s="541">
        <v>23.57</v>
      </c>
      <c r="G1370" s="541">
        <f t="shared" si="89"/>
        <v>0.01</v>
      </c>
      <c r="H1370" s="541">
        <f t="shared" si="90"/>
        <v>1.370000000000001</v>
      </c>
      <c r="I1370" s="541">
        <v>22.189999999999998</v>
      </c>
      <c r="J1370" s="539" t="s">
        <v>1154</v>
      </c>
    </row>
    <row r="1371" spans="1:16">
      <c r="A1371" s="539">
        <v>20130701</v>
      </c>
      <c r="B1371" s="540" t="s">
        <v>567</v>
      </c>
      <c r="C1371" s="540" t="str">
        <f t="shared" si="85"/>
        <v>20130701LS</v>
      </c>
      <c r="D1371" s="540" t="s">
        <v>360</v>
      </c>
      <c r="E1371" s="540" t="str">
        <f t="shared" si="86"/>
        <v>20130701LGUM_481</v>
      </c>
      <c r="F1371" s="541">
        <v>20.18</v>
      </c>
      <c r="G1371" s="541">
        <f t="shared" si="89"/>
        <v>0.02</v>
      </c>
      <c r="H1371" s="541">
        <f t="shared" si="90"/>
        <v>3.1800000000000033</v>
      </c>
      <c r="I1371" s="541">
        <v>16.979999999999997</v>
      </c>
      <c r="J1371" s="539" t="s">
        <v>1158</v>
      </c>
    </row>
    <row r="1372" spans="1:16">
      <c r="A1372" s="539">
        <v>20130701</v>
      </c>
      <c r="B1372" s="540" t="s">
        <v>567</v>
      </c>
      <c r="C1372" s="540" t="str">
        <f t="shared" si="85"/>
        <v>20130701LS</v>
      </c>
      <c r="D1372" s="540" t="s">
        <v>335</v>
      </c>
      <c r="E1372" s="540" t="str">
        <f t="shared" si="86"/>
        <v>20130701LGUM_482</v>
      </c>
      <c r="F1372" s="541">
        <v>29.93</v>
      </c>
      <c r="G1372" s="541">
        <f t="shared" si="89"/>
        <v>0.02</v>
      </c>
      <c r="H1372" s="541">
        <f t="shared" si="90"/>
        <v>3.1800000000000033</v>
      </c>
      <c r="I1372" s="541">
        <v>26.729999999999997</v>
      </c>
      <c r="J1372" s="539" t="s">
        <v>1157</v>
      </c>
    </row>
    <row r="1373" spans="1:16">
      <c r="A1373" s="539">
        <v>20130701</v>
      </c>
      <c r="B1373" s="540" t="s">
        <v>567</v>
      </c>
      <c r="C1373" s="540" t="str">
        <f t="shared" si="85"/>
        <v>20130701LS</v>
      </c>
      <c r="D1373" s="540" t="s">
        <v>336</v>
      </c>
      <c r="E1373" s="540" t="str">
        <f t="shared" si="86"/>
        <v>20130701LGUM_483</v>
      </c>
      <c r="F1373" s="541">
        <v>41.99</v>
      </c>
      <c r="G1373" s="541">
        <f t="shared" si="89"/>
        <v>0.04</v>
      </c>
      <c r="H1373" s="541">
        <f t="shared" si="90"/>
        <v>9.8100000000000023</v>
      </c>
      <c r="I1373" s="541">
        <v>32.14</v>
      </c>
      <c r="J1373" s="539" t="s">
        <v>1155</v>
      </c>
    </row>
    <row r="1374" spans="1:16">
      <c r="A1374" s="539">
        <v>20130701</v>
      </c>
      <c r="B1374" s="540" t="s">
        <v>567</v>
      </c>
      <c r="C1374" s="540" t="str">
        <f t="shared" si="85"/>
        <v>20130701LS</v>
      </c>
      <c r="D1374" s="540" t="s">
        <v>337</v>
      </c>
      <c r="E1374" s="540" t="str">
        <f t="shared" si="86"/>
        <v>20130701LGUM_484</v>
      </c>
      <c r="F1374" s="541">
        <v>51.74</v>
      </c>
      <c r="G1374" s="541">
        <f t="shared" si="89"/>
        <v>0.04</v>
      </c>
      <c r="H1374" s="541">
        <f t="shared" si="90"/>
        <v>9.8100000000000023</v>
      </c>
      <c r="I1374" s="541">
        <v>41.89</v>
      </c>
      <c r="J1374" s="539" t="s">
        <v>1156</v>
      </c>
    </row>
    <row r="1375" spans="1:16">
      <c r="A1375" s="544">
        <v>20140101</v>
      </c>
      <c r="B1375" s="545" t="s">
        <v>459</v>
      </c>
      <c r="C1375" s="545" t="str">
        <f t="shared" si="68"/>
        <v>20140101RLS</v>
      </c>
      <c r="D1375" s="546" t="s">
        <v>342</v>
      </c>
      <c r="E1375" s="545" t="str">
        <f t="shared" si="69"/>
        <v>20140101LGUM_201</v>
      </c>
      <c r="F1375" s="547">
        <f>SUM(G1375:I1375)</f>
        <v>8.14</v>
      </c>
      <c r="G1375" s="547">
        <v>0.16</v>
      </c>
      <c r="H1375" s="547">
        <v>1.0899999999999999</v>
      </c>
      <c r="I1375" s="547">
        <v>6.8900000000000006</v>
      </c>
      <c r="J1375" s="544" t="s">
        <v>1166</v>
      </c>
      <c r="K1375" s="523"/>
      <c r="L1375" s="523"/>
      <c r="M1375" s="523"/>
      <c r="N1375" s="523"/>
      <c r="O1375" s="523"/>
      <c r="P1375" s="523"/>
    </row>
    <row r="1376" spans="1:16">
      <c r="A1376" s="544">
        <v>20140101</v>
      </c>
      <c r="B1376" s="545" t="s">
        <v>459</v>
      </c>
      <c r="C1376" s="545" t="str">
        <f t="shared" si="68"/>
        <v>20140101RLS</v>
      </c>
      <c r="D1376" s="545" t="s">
        <v>213</v>
      </c>
      <c r="E1376" s="545" t="str">
        <f t="shared" si="69"/>
        <v>20140101LGUM_203</v>
      </c>
      <c r="F1376" s="547">
        <f t="shared" ref="F1376:F1439" si="91">SUM(G1376:I1376)</f>
        <v>10.959999999999999</v>
      </c>
      <c r="G1376" s="547">
        <v>0.18</v>
      </c>
      <c r="H1376" s="547">
        <v>2.7099999999999991</v>
      </c>
      <c r="I1376" s="547">
        <v>8.07</v>
      </c>
      <c r="J1376" s="544" t="s">
        <v>1161</v>
      </c>
      <c r="K1376" s="523"/>
      <c r="L1376" s="523"/>
      <c r="M1376" s="523"/>
      <c r="N1376" s="523"/>
      <c r="O1376" s="523"/>
      <c r="P1376" s="523"/>
    </row>
    <row r="1377" spans="1:16">
      <c r="A1377" s="544">
        <v>20140101</v>
      </c>
      <c r="B1377" s="545" t="s">
        <v>459</v>
      </c>
      <c r="C1377" s="545" t="str">
        <f t="shared" si="68"/>
        <v>20140101RLS</v>
      </c>
      <c r="D1377" s="545" t="s">
        <v>214</v>
      </c>
      <c r="E1377" s="545" t="str">
        <f t="shared" si="69"/>
        <v>20140101LGUM_204</v>
      </c>
      <c r="F1377" s="547">
        <f t="shared" si="91"/>
        <v>13.510000000000002</v>
      </c>
      <c r="G1377" s="547">
        <v>0.22</v>
      </c>
      <c r="H1377" s="547">
        <v>4.2000000000000011</v>
      </c>
      <c r="I1377" s="547">
        <v>9.09</v>
      </c>
      <c r="J1377" s="544" t="s">
        <v>1162</v>
      </c>
      <c r="K1377" s="523"/>
      <c r="L1377" s="523"/>
      <c r="M1377" s="523"/>
      <c r="N1377" s="523"/>
      <c r="O1377" s="523"/>
      <c r="P1377" s="523"/>
    </row>
    <row r="1378" spans="1:16">
      <c r="A1378" s="544">
        <v>20140101</v>
      </c>
      <c r="B1378" s="545" t="s">
        <v>459</v>
      </c>
      <c r="C1378" s="545" t="str">
        <f t="shared" si="68"/>
        <v>20140101RLS</v>
      </c>
      <c r="D1378" s="545" t="s">
        <v>215</v>
      </c>
      <c r="E1378" s="545" t="str">
        <f t="shared" si="69"/>
        <v>20140101LGUM_206</v>
      </c>
      <c r="F1378" s="547">
        <f t="shared" si="91"/>
        <v>12.450000000000001</v>
      </c>
      <c r="G1378" s="547">
        <v>0.16</v>
      </c>
      <c r="H1378" s="547">
        <v>1.0899999999999999</v>
      </c>
      <c r="I1378" s="547">
        <v>11.200000000000001</v>
      </c>
      <c r="J1378" s="548" t="s">
        <v>1193</v>
      </c>
      <c r="K1378" s="523"/>
      <c r="L1378" s="523"/>
      <c r="M1378" s="523"/>
      <c r="N1378" s="523"/>
      <c r="O1378" s="523"/>
      <c r="P1378" s="523"/>
    </row>
    <row r="1379" spans="1:16">
      <c r="A1379" s="544">
        <v>20140101</v>
      </c>
      <c r="B1379" s="545" t="s">
        <v>459</v>
      </c>
      <c r="C1379" s="545" t="str">
        <f t="shared" si="68"/>
        <v>20140101RLS</v>
      </c>
      <c r="D1379" s="545" t="s">
        <v>216</v>
      </c>
      <c r="E1379" s="545" t="str">
        <f t="shared" si="69"/>
        <v>20140101LGUM_207</v>
      </c>
      <c r="F1379" s="547">
        <f t="shared" si="91"/>
        <v>15.54</v>
      </c>
      <c r="G1379" s="547">
        <v>0.22</v>
      </c>
      <c r="H1379" s="547">
        <v>4.2000000000000011</v>
      </c>
      <c r="I1379" s="547">
        <v>11.12</v>
      </c>
      <c r="J1379" s="548" t="s">
        <v>1164</v>
      </c>
      <c r="K1379" s="523"/>
      <c r="L1379" s="523"/>
      <c r="M1379" s="523"/>
      <c r="N1379" s="523"/>
      <c r="O1379" s="523"/>
      <c r="P1379" s="523"/>
    </row>
    <row r="1380" spans="1:16">
      <c r="A1380" s="544">
        <v>20140101</v>
      </c>
      <c r="B1380" s="545" t="s">
        <v>459</v>
      </c>
      <c r="C1380" s="545" t="str">
        <f t="shared" si="68"/>
        <v>20140101RLS</v>
      </c>
      <c r="D1380" s="545" t="s">
        <v>217</v>
      </c>
      <c r="E1380" s="545" t="str">
        <f t="shared" si="69"/>
        <v>20140101LGUM_208</v>
      </c>
      <c r="F1380" s="547">
        <f t="shared" si="91"/>
        <v>14.24</v>
      </c>
      <c r="G1380" s="547">
        <v>0.16</v>
      </c>
      <c r="H1380" s="547">
        <v>1.9100000000000001</v>
      </c>
      <c r="I1380" s="547">
        <v>12.17</v>
      </c>
      <c r="J1380" s="544" t="s">
        <v>1194</v>
      </c>
      <c r="K1380" s="523"/>
      <c r="L1380" s="523"/>
      <c r="M1380" s="523"/>
      <c r="N1380" s="523"/>
      <c r="O1380" s="523"/>
      <c r="P1380" s="523"/>
    </row>
    <row r="1381" spans="1:16">
      <c r="A1381" s="544">
        <v>20140101</v>
      </c>
      <c r="B1381" s="545" t="s">
        <v>459</v>
      </c>
      <c r="C1381" s="545" t="str">
        <f t="shared" si="68"/>
        <v>20140101RLS</v>
      </c>
      <c r="D1381" s="545" t="s">
        <v>344</v>
      </c>
      <c r="E1381" s="545" t="str">
        <f t="shared" si="69"/>
        <v>20140101LGUM_209</v>
      </c>
      <c r="F1381" s="547">
        <f t="shared" si="91"/>
        <v>27.69</v>
      </c>
      <c r="G1381" s="547">
        <v>0.41</v>
      </c>
      <c r="H1381" s="547">
        <v>10.170000000000002</v>
      </c>
      <c r="I1381" s="547">
        <v>17.11</v>
      </c>
      <c r="J1381" s="544" t="s">
        <v>1163</v>
      </c>
      <c r="K1381" s="523"/>
      <c r="L1381" s="523"/>
      <c r="M1381" s="523"/>
      <c r="N1381" s="523"/>
      <c r="O1381" s="523"/>
      <c r="P1381" s="523"/>
    </row>
    <row r="1382" spans="1:16">
      <c r="A1382" s="544">
        <v>20140101</v>
      </c>
      <c r="B1382" s="545" t="s">
        <v>459</v>
      </c>
      <c r="C1382" s="545" t="str">
        <f t="shared" si="68"/>
        <v>20140101RLS</v>
      </c>
      <c r="D1382" s="545" t="s">
        <v>218</v>
      </c>
      <c r="E1382" s="545" t="str">
        <f t="shared" si="69"/>
        <v>20140101LGUM_210</v>
      </c>
      <c r="F1382" s="547">
        <f t="shared" si="91"/>
        <v>28.89</v>
      </c>
      <c r="G1382" s="547">
        <v>0.41</v>
      </c>
      <c r="H1382" s="547">
        <v>10.170000000000002</v>
      </c>
      <c r="I1382" s="547">
        <v>18.309999999999999</v>
      </c>
      <c r="J1382" s="544" t="s">
        <v>1165</v>
      </c>
      <c r="K1382" s="523"/>
      <c r="L1382" s="523"/>
      <c r="M1382" s="523"/>
      <c r="N1382" s="523"/>
      <c r="O1382" s="523"/>
      <c r="P1382" s="523"/>
    </row>
    <row r="1383" spans="1:16">
      <c r="A1383" s="544">
        <v>20140101</v>
      </c>
      <c r="B1383" s="545" t="s">
        <v>459</v>
      </c>
      <c r="C1383" s="545" t="str">
        <f t="shared" si="68"/>
        <v>20140101RLS</v>
      </c>
      <c r="D1383" s="545" t="s">
        <v>223</v>
      </c>
      <c r="E1383" s="545" t="str">
        <f t="shared" si="69"/>
        <v>20140101LGUM_252</v>
      </c>
      <c r="F1383" s="547">
        <f t="shared" si="91"/>
        <v>9.57</v>
      </c>
      <c r="G1383" s="547">
        <v>0.16</v>
      </c>
      <c r="H1383" s="547">
        <v>1.9099999999999993</v>
      </c>
      <c r="I1383" s="547">
        <v>7.5000000000000009</v>
      </c>
      <c r="J1383" s="548" t="s">
        <v>1159</v>
      </c>
      <c r="K1383" s="523"/>
      <c r="L1383" s="523"/>
      <c r="M1383" s="523"/>
      <c r="N1383" s="523"/>
      <c r="O1383" s="523"/>
      <c r="P1383" s="523"/>
    </row>
    <row r="1384" spans="1:16">
      <c r="A1384" s="544">
        <v>20140101</v>
      </c>
      <c r="B1384" s="545" t="s">
        <v>459</v>
      </c>
      <c r="C1384" s="545" t="str">
        <f t="shared" si="68"/>
        <v>20140101RLS</v>
      </c>
      <c r="D1384" s="545" t="s">
        <v>231</v>
      </c>
      <c r="E1384" s="545" t="str">
        <f t="shared" si="69"/>
        <v>20140101LGUM_266</v>
      </c>
      <c r="F1384" s="547">
        <f t="shared" si="91"/>
        <v>27.34</v>
      </c>
      <c r="G1384" s="547">
        <v>0.27</v>
      </c>
      <c r="H1384" s="547">
        <v>2.8000000000000007</v>
      </c>
      <c r="I1384" s="547">
        <v>24.27</v>
      </c>
      <c r="J1384" s="544" t="s">
        <v>1171</v>
      </c>
      <c r="K1384" s="523"/>
      <c r="L1384" s="523"/>
      <c r="M1384" s="523"/>
      <c r="N1384" s="523"/>
      <c r="O1384" s="523"/>
      <c r="P1384" s="523"/>
    </row>
    <row r="1385" spans="1:16">
      <c r="A1385" s="544">
        <v>20140101</v>
      </c>
      <c r="B1385" s="545" t="s">
        <v>459</v>
      </c>
      <c r="C1385" s="545" t="str">
        <f t="shared" si="68"/>
        <v>20140101RLS</v>
      </c>
      <c r="D1385" s="545" t="s">
        <v>232</v>
      </c>
      <c r="E1385" s="545" t="str">
        <f t="shared" si="69"/>
        <v>20140101LGUM_267</v>
      </c>
      <c r="F1385" s="547">
        <f t="shared" si="91"/>
        <v>31.4</v>
      </c>
      <c r="G1385" s="547">
        <v>0.28999999999999998</v>
      </c>
      <c r="H1385" s="547">
        <v>4.4499999999999993</v>
      </c>
      <c r="I1385" s="547">
        <v>26.66</v>
      </c>
      <c r="J1385" s="544" t="s">
        <v>1172</v>
      </c>
      <c r="K1385" s="523"/>
      <c r="L1385" s="523"/>
      <c r="M1385" s="523"/>
      <c r="N1385" s="523"/>
      <c r="O1385" s="523"/>
      <c r="P1385" s="523"/>
    </row>
    <row r="1386" spans="1:16">
      <c r="A1386" s="544">
        <v>20140101</v>
      </c>
      <c r="B1386" s="545" t="s">
        <v>459</v>
      </c>
      <c r="C1386" s="545" t="str">
        <f t="shared" si="68"/>
        <v>20140101RLS</v>
      </c>
      <c r="D1386" s="545" t="s">
        <v>234</v>
      </c>
      <c r="E1386" s="545" t="str">
        <f t="shared" si="69"/>
        <v>20140101LGUM_274</v>
      </c>
      <c r="F1386" s="547">
        <f t="shared" si="91"/>
        <v>17.189999999999998</v>
      </c>
      <c r="G1386" s="547">
        <v>0.27</v>
      </c>
      <c r="H1386" s="547">
        <v>1.2699999999999996</v>
      </c>
      <c r="I1386" s="547">
        <v>15.649999999999999</v>
      </c>
      <c r="J1386" s="544" t="s">
        <v>1175</v>
      </c>
      <c r="K1386" s="523"/>
      <c r="L1386" s="523"/>
      <c r="M1386" s="523"/>
      <c r="N1386" s="523"/>
      <c r="O1386" s="523"/>
      <c r="P1386" s="523"/>
    </row>
    <row r="1387" spans="1:16">
      <c r="A1387" s="544">
        <v>20140101</v>
      </c>
      <c r="B1387" s="545" t="s">
        <v>459</v>
      </c>
      <c r="C1387" s="545" t="str">
        <f t="shared" si="68"/>
        <v>20140101RLS</v>
      </c>
      <c r="D1387" s="545" t="s">
        <v>353</v>
      </c>
      <c r="E1387" s="545" t="str">
        <f t="shared" si="69"/>
        <v>20140101LGUM_275</v>
      </c>
      <c r="F1387" s="547">
        <f t="shared" si="91"/>
        <v>24.89</v>
      </c>
      <c r="G1387" s="547">
        <v>0.24</v>
      </c>
      <c r="H1387" s="547">
        <v>1.7899999999999991</v>
      </c>
      <c r="I1387" s="547">
        <v>22.86</v>
      </c>
      <c r="J1387" s="544" t="s">
        <v>1173</v>
      </c>
      <c r="K1387" s="523"/>
      <c r="L1387" s="523"/>
      <c r="M1387" s="523"/>
      <c r="N1387" s="523"/>
      <c r="O1387" s="523"/>
      <c r="P1387" s="523"/>
    </row>
    <row r="1388" spans="1:16">
      <c r="A1388" s="544">
        <v>20140101</v>
      </c>
      <c r="B1388" s="545" t="s">
        <v>459</v>
      </c>
      <c r="C1388" s="545" t="str">
        <f t="shared" si="68"/>
        <v>20140101RLS</v>
      </c>
      <c r="D1388" s="545" t="s">
        <v>235</v>
      </c>
      <c r="E1388" s="545" t="str">
        <f t="shared" si="69"/>
        <v>20140101LGUM_276</v>
      </c>
      <c r="F1388" s="547">
        <f t="shared" si="91"/>
        <v>14.17</v>
      </c>
      <c r="G1388" s="547">
        <v>0.26</v>
      </c>
      <c r="H1388" s="547">
        <v>0.88000000000000078</v>
      </c>
      <c r="I1388" s="547">
        <v>13.03</v>
      </c>
      <c r="J1388" s="548" t="s">
        <v>1174</v>
      </c>
      <c r="K1388" s="523"/>
      <c r="L1388" s="523"/>
      <c r="M1388" s="523"/>
      <c r="N1388" s="523"/>
      <c r="O1388" s="523"/>
      <c r="P1388" s="523"/>
    </row>
    <row r="1389" spans="1:16">
      <c r="A1389" s="544">
        <v>20140101</v>
      </c>
      <c r="B1389" s="545" t="s">
        <v>459</v>
      </c>
      <c r="C1389" s="545" t="str">
        <f t="shared" si="68"/>
        <v>20140101RLS</v>
      </c>
      <c r="D1389" s="545" t="s">
        <v>236</v>
      </c>
      <c r="E1389" s="545" t="str">
        <f t="shared" si="69"/>
        <v>20140101LGUM_277</v>
      </c>
      <c r="F1389" s="547">
        <f t="shared" si="91"/>
        <v>22.15</v>
      </c>
      <c r="G1389" s="547">
        <v>0.24</v>
      </c>
      <c r="H1389" s="547">
        <v>1.7900000000000027</v>
      </c>
      <c r="I1389" s="547">
        <v>20.119999999999997</v>
      </c>
      <c r="J1389" s="544" t="s">
        <v>1176</v>
      </c>
      <c r="K1389" s="523"/>
      <c r="L1389" s="523"/>
      <c r="M1389" s="523"/>
      <c r="N1389" s="523"/>
      <c r="O1389" s="523"/>
      <c r="P1389" s="523"/>
    </row>
    <row r="1390" spans="1:16">
      <c r="A1390" s="544">
        <v>20140101</v>
      </c>
      <c r="B1390" s="545" t="s">
        <v>459</v>
      </c>
      <c r="C1390" s="545" t="str">
        <f t="shared" si="68"/>
        <v>20140101RLS</v>
      </c>
      <c r="D1390" s="545" t="s">
        <v>354</v>
      </c>
      <c r="E1390" s="545" t="str">
        <f t="shared" si="69"/>
        <v>20140101LGUM_278</v>
      </c>
      <c r="F1390" s="547">
        <f t="shared" si="91"/>
        <v>72.550000000000011</v>
      </c>
      <c r="G1390" s="547">
        <v>0.9</v>
      </c>
      <c r="H1390" s="547">
        <v>9.8400000000000034</v>
      </c>
      <c r="I1390" s="547">
        <v>61.81</v>
      </c>
      <c r="J1390" s="544" t="s">
        <v>1178</v>
      </c>
      <c r="K1390" s="523"/>
      <c r="L1390" s="523"/>
      <c r="M1390" s="523"/>
      <c r="N1390" s="523"/>
      <c r="O1390" s="523"/>
      <c r="P1390" s="523"/>
    </row>
    <row r="1391" spans="1:16">
      <c r="A1391" s="544">
        <v>20140101</v>
      </c>
      <c r="B1391" s="545" t="s">
        <v>459</v>
      </c>
      <c r="C1391" s="545" t="str">
        <f t="shared" si="68"/>
        <v>20140101RLS</v>
      </c>
      <c r="D1391" s="545" t="s">
        <v>355</v>
      </c>
      <c r="E1391" s="545" t="str">
        <f t="shared" si="69"/>
        <v>20140101LGUM_279</v>
      </c>
      <c r="F1391" s="547">
        <f t="shared" si="91"/>
        <v>41.43</v>
      </c>
      <c r="G1391" s="547">
        <v>0.9</v>
      </c>
      <c r="H1391" s="547">
        <v>9.8399999999999963</v>
      </c>
      <c r="I1391" s="547">
        <v>30.690000000000005</v>
      </c>
      <c r="J1391" s="548" t="s">
        <v>1177</v>
      </c>
      <c r="K1391" s="523"/>
      <c r="L1391" s="523"/>
      <c r="M1391" s="523"/>
      <c r="N1391" s="523"/>
      <c r="O1391" s="523"/>
      <c r="P1391" s="523"/>
    </row>
    <row r="1392" spans="1:16">
      <c r="A1392" s="544">
        <v>20140101</v>
      </c>
      <c r="B1392" s="545" t="s">
        <v>459</v>
      </c>
      <c r="C1392" s="545" t="str">
        <f t="shared" si="68"/>
        <v>20140101RLS</v>
      </c>
      <c r="D1392" s="545" t="s">
        <v>359</v>
      </c>
      <c r="E1392" s="545" t="str">
        <f t="shared" si="69"/>
        <v>20140101LGUM_280</v>
      </c>
      <c r="F1392" s="547">
        <f t="shared" si="91"/>
        <v>19.38</v>
      </c>
      <c r="G1392" s="547">
        <v>0.26</v>
      </c>
      <c r="H1392" s="547">
        <v>0.87999999999999901</v>
      </c>
      <c r="I1392" s="547">
        <v>18.239999999999998</v>
      </c>
      <c r="J1392" s="544" t="s">
        <v>1181</v>
      </c>
      <c r="K1392" s="523"/>
      <c r="L1392" s="523"/>
      <c r="M1392" s="523"/>
      <c r="N1392" s="523"/>
      <c r="O1392" s="523"/>
      <c r="P1392" s="523"/>
    </row>
    <row r="1393" spans="1:16">
      <c r="A1393" s="544">
        <v>20140101</v>
      </c>
      <c r="B1393" s="545" t="s">
        <v>459</v>
      </c>
      <c r="C1393" s="545" t="str">
        <f t="shared" si="68"/>
        <v>20140101RLS</v>
      </c>
      <c r="D1393" s="545" t="s">
        <v>356</v>
      </c>
      <c r="E1393" s="545" t="str">
        <f t="shared" si="69"/>
        <v>20140101LGUM_281</v>
      </c>
      <c r="F1393" s="547">
        <f t="shared" si="91"/>
        <v>20.349999999999998</v>
      </c>
      <c r="G1393" s="547">
        <v>0.27</v>
      </c>
      <c r="H1393" s="547">
        <v>1.2699999999999996</v>
      </c>
      <c r="I1393" s="547">
        <v>18.809999999999999</v>
      </c>
      <c r="J1393" s="544" t="s">
        <v>1182</v>
      </c>
      <c r="K1393" s="523"/>
      <c r="L1393" s="523"/>
      <c r="M1393" s="523"/>
      <c r="N1393" s="523"/>
      <c r="O1393" s="523"/>
      <c r="P1393" s="523"/>
    </row>
    <row r="1394" spans="1:16">
      <c r="A1394" s="544">
        <v>20140101</v>
      </c>
      <c r="B1394" s="545" t="s">
        <v>459</v>
      </c>
      <c r="C1394" s="545" t="str">
        <f t="shared" si="68"/>
        <v>20140101RLS</v>
      </c>
      <c r="D1394" s="545" t="s">
        <v>357</v>
      </c>
      <c r="E1394" s="545" t="str">
        <f t="shared" si="69"/>
        <v>20140101LGUM_282</v>
      </c>
      <c r="F1394" s="547">
        <f t="shared" si="91"/>
        <v>19.53</v>
      </c>
      <c r="G1394" s="547">
        <v>0.26</v>
      </c>
      <c r="H1394" s="547">
        <v>0.87999999999999901</v>
      </c>
      <c r="I1394" s="547">
        <v>18.39</v>
      </c>
      <c r="J1394" s="544" t="s">
        <v>1183</v>
      </c>
      <c r="K1394" s="523"/>
      <c r="L1394" s="523"/>
      <c r="M1394" s="523"/>
      <c r="N1394" s="523"/>
      <c r="O1394" s="523"/>
      <c r="P1394" s="523"/>
    </row>
    <row r="1395" spans="1:16">
      <c r="A1395" s="544">
        <v>20140101</v>
      </c>
      <c r="B1395" s="545" t="s">
        <v>459</v>
      </c>
      <c r="C1395" s="545" t="str">
        <f t="shared" si="68"/>
        <v>20140101RLS</v>
      </c>
      <c r="D1395" s="545" t="s">
        <v>358</v>
      </c>
      <c r="E1395" s="545" t="str">
        <f t="shared" si="69"/>
        <v>20140101LGUM_283</v>
      </c>
      <c r="F1395" s="547">
        <f t="shared" si="91"/>
        <v>20.819999999999997</v>
      </c>
      <c r="G1395" s="547">
        <v>0.27</v>
      </c>
      <c r="H1395" s="547">
        <v>1.2699999999999996</v>
      </c>
      <c r="I1395" s="547">
        <v>19.279999999999998</v>
      </c>
      <c r="J1395" s="544" t="s">
        <v>1184</v>
      </c>
      <c r="K1395" s="523"/>
      <c r="L1395" s="523"/>
      <c r="M1395" s="523"/>
      <c r="N1395" s="523"/>
      <c r="O1395" s="523"/>
      <c r="P1395" s="523"/>
    </row>
    <row r="1396" spans="1:16">
      <c r="A1396" s="544">
        <v>20140101</v>
      </c>
      <c r="B1396" s="545" t="s">
        <v>459</v>
      </c>
      <c r="C1396" s="545" t="str">
        <f t="shared" ref="C1396:C1405" si="92">A1396&amp;B1396</f>
        <v>20140101RLS</v>
      </c>
      <c r="D1396" s="545" t="s">
        <v>250</v>
      </c>
      <c r="E1396" s="545" t="str">
        <f t="shared" ref="E1396:E1405" si="93">A1396&amp;D1396</f>
        <v>20140101LGUM_314</v>
      </c>
      <c r="F1396" s="547">
        <f t="shared" si="91"/>
        <v>19.2</v>
      </c>
      <c r="G1396" s="547">
        <v>0.18</v>
      </c>
      <c r="H1396" s="547">
        <v>2.7100000000000009</v>
      </c>
      <c r="I1396" s="547">
        <v>16.309999999999999</v>
      </c>
      <c r="J1396" s="544" t="s">
        <v>1190</v>
      </c>
      <c r="K1396" s="523"/>
      <c r="L1396" s="523"/>
      <c r="M1396" s="523"/>
      <c r="N1396" s="523"/>
      <c r="O1396" s="523"/>
      <c r="P1396" s="523"/>
    </row>
    <row r="1397" spans="1:16">
      <c r="A1397" s="544">
        <v>20140101</v>
      </c>
      <c r="B1397" s="545" t="s">
        <v>459</v>
      </c>
      <c r="C1397" s="545" t="str">
        <f t="shared" si="92"/>
        <v>20140101RLS</v>
      </c>
      <c r="D1397" s="545" t="s">
        <v>251</v>
      </c>
      <c r="E1397" s="545" t="str">
        <f t="shared" si="93"/>
        <v>20140101LGUM_315</v>
      </c>
      <c r="F1397" s="547">
        <f t="shared" si="91"/>
        <v>22.949999999999996</v>
      </c>
      <c r="G1397" s="547">
        <v>0.22</v>
      </c>
      <c r="H1397" s="547">
        <v>4.1999999999999993</v>
      </c>
      <c r="I1397" s="547">
        <v>18.529999999999998</v>
      </c>
      <c r="J1397" s="544" t="s">
        <v>1191</v>
      </c>
      <c r="K1397" s="523"/>
      <c r="L1397" s="523"/>
      <c r="M1397" s="523"/>
      <c r="N1397" s="523"/>
      <c r="O1397" s="523"/>
      <c r="P1397" s="523"/>
    </row>
    <row r="1398" spans="1:16">
      <c r="A1398" s="544">
        <v>20140101</v>
      </c>
      <c r="B1398" s="545" t="s">
        <v>459</v>
      </c>
      <c r="C1398" s="545" t="str">
        <f t="shared" si="92"/>
        <v>20140101RLS</v>
      </c>
      <c r="D1398" s="545" t="s">
        <v>254</v>
      </c>
      <c r="E1398" s="545" t="str">
        <f t="shared" si="93"/>
        <v>20140101LGUM_318</v>
      </c>
      <c r="F1398" s="547">
        <f t="shared" si="91"/>
        <v>17.419999999999998</v>
      </c>
      <c r="G1398" s="547">
        <v>0.16</v>
      </c>
      <c r="H1398" s="547">
        <v>1.9100000000000001</v>
      </c>
      <c r="I1398" s="547">
        <v>15.349999999999998</v>
      </c>
      <c r="J1398" s="548" t="s">
        <v>1189</v>
      </c>
      <c r="K1398" s="523"/>
      <c r="L1398" s="523"/>
      <c r="M1398" s="523"/>
      <c r="N1398" s="523"/>
      <c r="O1398" s="523"/>
      <c r="P1398" s="523"/>
    </row>
    <row r="1399" spans="1:16">
      <c r="A1399" s="544">
        <v>20140101</v>
      </c>
      <c r="B1399" s="545" t="s">
        <v>459</v>
      </c>
      <c r="C1399" s="545" t="str">
        <f t="shared" si="92"/>
        <v>20140101RLS</v>
      </c>
      <c r="D1399" s="545" t="s">
        <v>542</v>
      </c>
      <c r="E1399" s="545" t="str">
        <f t="shared" si="93"/>
        <v>20140101LGUM_347</v>
      </c>
      <c r="F1399" s="547">
        <f t="shared" si="91"/>
        <v>22.939999999999998</v>
      </c>
      <c r="G1399" s="547">
        <v>0.22</v>
      </c>
      <c r="H1399" s="547">
        <v>26.14</v>
      </c>
      <c r="I1399" s="547">
        <v>-3.42</v>
      </c>
      <c r="J1399" s="544" t="s">
        <v>1192</v>
      </c>
      <c r="K1399" s="523"/>
      <c r="L1399" s="523"/>
      <c r="M1399" s="523"/>
      <c r="N1399" s="523"/>
      <c r="O1399" s="523"/>
      <c r="P1399" s="523"/>
    </row>
    <row r="1400" spans="1:16">
      <c r="A1400" s="544">
        <v>20140101</v>
      </c>
      <c r="B1400" s="545" t="s">
        <v>459</v>
      </c>
      <c r="C1400" s="545" t="str">
        <f t="shared" si="92"/>
        <v>20140101RLS</v>
      </c>
      <c r="D1400" s="545" t="s">
        <v>260</v>
      </c>
      <c r="E1400" s="545" t="str">
        <f t="shared" si="93"/>
        <v>20140101LGUM_348</v>
      </c>
      <c r="F1400" s="547">
        <f t="shared" si="91"/>
        <v>13.12</v>
      </c>
      <c r="G1400" s="547">
        <v>0.19</v>
      </c>
      <c r="H1400" s="547">
        <v>2.9800000000000004</v>
      </c>
      <c r="I1400" s="547">
        <v>9.9499999999999993</v>
      </c>
      <c r="J1400" s="544" t="s">
        <v>1196</v>
      </c>
      <c r="K1400" s="523"/>
      <c r="L1400" s="523"/>
      <c r="M1400" s="523"/>
      <c r="N1400" s="523"/>
      <c r="O1400" s="523"/>
      <c r="P1400" s="523"/>
    </row>
    <row r="1401" spans="1:16">
      <c r="A1401" s="544">
        <v>20140101</v>
      </c>
      <c r="B1401" s="545" t="s">
        <v>459</v>
      </c>
      <c r="C1401" s="545" t="str">
        <f t="shared" si="92"/>
        <v>20140101RLS</v>
      </c>
      <c r="D1401" s="545" t="s">
        <v>262</v>
      </c>
      <c r="E1401" s="545" t="str">
        <f t="shared" si="93"/>
        <v>20140101LGUM_349</v>
      </c>
      <c r="F1401" s="547">
        <f t="shared" si="91"/>
        <v>9.0200000000000014</v>
      </c>
      <c r="G1401" s="547">
        <v>0.14000000000000001</v>
      </c>
      <c r="H1401" s="547">
        <v>0.91000000000000014</v>
      </c>
      <c r="I1401" s="547">
        <v>7.9700000000000006</v>
      </c>
      <c r="J1401" s="548" t="s">
        <v>1195</v>
      </c>
      <c r="K1401" s="523"/>
      <c r="L1401" s="523"/>
      <c r="M1401" s="523"/>
      <c r="N1401" s="523"/>
      <c r="O1401" s="523"/>
      <c r="P1401" s="523"/>
    </row>
    <row r="1402" spans="1:16">
      <c r="A1402" s="544">
        <v>20140101</v>
      </c>
      <c r="B1402" s="545" t="s">
        <v>684</v>
      </c>
      <c r="C1402" s="545" t="str">
        <f t="shared" si="92"/>
        <v>20140101DSK</v>
      </c>
      <c r="D1402" s="546" t="s">
        <v>340</v>
      </c>
      <c r="E1402" s="545" t="str">
        <f t="shared" si="93"/>
        <v>20140101LGUM_400</v>
      </c>
      <c r="F1402" s="547">
        <f t="shared" si="91"/>
        <v>23.89</v>
      </c>
      <c r="G1402" s="547">
        <v>0.37</v>
      </c>
      <c r="H1402" s="547">
        <v>1.0199999999999996</v>
      </c>
      <c r="I1402" s="547">
        <v>22.5</v>
      </c>
      <c r="J1402" s="544" t="s">
        <v>1151</v>
      </c>
      <c r="K1402" s="523"/>
      <c r="L1402" s="523"/>
      <c r="M1402" s="523"/>
      <c r="N1402" s="523"/>
      <c r="O1402" s="523"/>
      <c r="P1402" s="523"/>
    </row>
    <row r="1403" spans="1:16">
      <c r="A1403" s="544">
        <v>20140101</v>
      </c>
      <c r="B1403" s="545" t="s">
        <v>684</v>
      </c>
      <c r="C1403" s="545" t="str">
        <f t="shared" si="92"/>
        <v>20140101DSK</v>
      </c>
      <c r="D1403" s="546" t="s">
        <v>692</v>
      </c>
      <c r="E1403" s="545" t="str">
        <f t="shared" si="93"/>
        <v>20140101LGUM_401</v>
      </c>
      <c r="F1403" s="547">
        <f t="shared" si="91"/>
        <v>24.9</v>
      </c>
      <c r="G1403" s="547">
        <v>0.27</v>
      </c>
      <c r="H1403" s="547">
        <v>1.0599999999999987</v>
      </c>
      <c r="I1403" s="547">
        <v>23.57</v>
      </c>
      <c r="J1403" s="544" t="s">
        <v>1152</v>
      </c>
      <c r="K1403" s="523"/>
      <c r="L1403" s="523"/>
      <c r="M1403" s="523"/>
      <c r="N1403" s="523"/>
      <c r="O1403" s="523"/>
      <c r="P1403" s="523"/>
    </row>
    <row r="1404" spans="1:16">
      <c r="A1404" s="544">
        <v>20140101</v>
      </c>
      <c r="B1404" s="545" t="s">
        <v>567</v>
      </c>
      <c r="C1404" s="545" t="str">
        <f t="shared" si="92"/>
        <v>20140101LS</v>
      </c>
      <c r="D1404" s="545" t="s">
        <v>292</v>
      </c>
      <c r="E1404" s="545" t="str">
        <f t="shared" si="93"/>
        <v>20140101LGUM_412</v>
      </c>
      <c r="F1404" s="547">
        <f t="shared" si="91"/>
        <v>19.79</v>
      </c>
      <c r="G1404" s="547">
        <v>0.26</v>
      </c>
      <c r="H1404" s="547">
        <v>0.74999999999999645</v>
      </c>
      <c r="I1404" s="547">
        <v>18.78</v>
      </c>
      <c r="J1404" s="544" t="s">
        <v>1134</v>
      </c>
      <c r="K1404" s="523"/>
      <c r="L1404" s="523"/>
      <c r="M1404" s="523"/>
      <c r="N1404" s="523"/>
      <c r="O1404" s="523"/>
      <c r="P1404" s="523"/>
    </row>
    <row r="1405" spans="1:16">
      <c r="A1405" s="544">
        <v>20140101</v>
      </c>
      <c r="B1405" s="545" t="s">
        <v>567</v>
      </c>
      <c r="C1405" s="545" t="str">
        <f t="shared" si="92"/>
        <v>20140101LS</v>
      </c>
      <c r="D1405" s="545" t="s">
        <v>293</v>
      </c>
      <c r="E1405" s="545" t="str">
        <f t="shared" si="93"/>
        <v>20140101LGUM_413</v>
      </c>
      <c r="F1405" s="547">
        <f t="shared" si="91"/>
        <v>20.49</v>
      </c>
      <c r="G1405" s="547">
        <v>0.27</v>
      </c>
      <c r="H1405" s="547">
        <v>1.0599999999999987</v>
      </c>
      <c r="I1405" s="547">
        <v>19.16</v>
      </c>
      <c r="J1405" s="544" t="s">
        <v>1135</v>
      </c>
      <c r="K1405" s="523"/>
      <c r="L1405" s="523"/>
      <c r="M1405" s="523"/>
      <c r="N1405" s="523"/>
      <c r="O1405" s="523"/>
      <c r="P1405" s="523"/>
    </row>
    <row r="1406" spans="1:16">
      <c r="A1406" s="544">
        <v>20140101</v>
      </c>
      <c r="B1406" s="545" t="s">
        <v>567</v>
      </c>
      <c r="C1406" s="545" t="str">
        <f t="shared" ref="C1406:C1446" si="94">A1406&amp;B1406</f>
        <v>20140101LS</v>
      </c>
      <c r="D1406" s="545" t="s">
        <v>295</v>
      </c>
      <c r="E1406" s="545" t="str">
        <f t="shared" ref="E1406:E1446" si="95">A1406&amp;D1406</f>
        <v>20140101LGUM_415</v>
      </c>
      <c r="F1406" s="547">
        <f t="shared" si="91"/>
        <v>20.18</v>
      </c>
      <c r="G1406" s="547">
        <v>0.26</v>
      </c>
      <c r="H1406" s="547">
        <v>0.75</v>
      </c>
      <c r="I1406" s="547">
        <v>19.169999999999998</v>
      </c>
      <c r="J1406" s="544" t="s">
        <v>1136</v>
      </c>
      <c r="K1406" s="523"/>
      <c r="L1406" s="523"/>
      <c r="M1406" s="523"/>
      <c r="N1406" s="523"/>
      <c r="O1406" s="523"/>
      <c r="P1406" s="523"/>
    </row>
    <row r="1407" spans="1:16">
      <c r="A1407" s="544">
        <v>20140101</v>
      </c>
      <c r="B1407" s="545" t="s">
        <v>567</v>
      </c>
      <c r="C1407" s="545" t="str">
        <f t="shared" si="94"/>
        <v>20140101LS</v>
      </c>
      <c r="D1407" s="545" t="s">
        <v>296</v>
      </c>
      <c r="E1407" s="545" t="str">
        <f t="shared" si="95"/>
        <v>20140101LGUM_416</v>
      </c>
      <c r="F1407" s="547">
        <f t="shared" si="91"/>
        <v>22.56</v>
      </c>
      <c r="G1407" s="547">
        <v>0.27</v>
      </c>
      <c r="H1407" s="547">
        <v>1.0599999999999987</v>
      </c>
      <c r="I1407" s="547">
        <v>21.23</v>
      </c>
      <c r="J1407" s="544" t="s">
        <v>1137</v>
      </c>
      <c r="K1407" s="523"/>
      <c r="L1407" s="523"/>
      <c r="M1407" s="523"/>
      <c r="N1407" s="523"/>
      <c r="O1407" s="523"/>
      <c r="P1407" s="523"/>
    </row>
    <row r="1408" spans="1:16">
      <c r="A1408" s="544">
        <v>20140101</v>
      </c>
      <c r="B1408" s="545" t="s">
        <v>459</v>
      </c>
      <c r="C1408" s="545" t="str">
        <f t="shared" si="94"/>
        <v>20140101RLS</v>
      </c>
      <c r="D1408" s="545" t="s">
        <v>297</v>
      </c>
      <c r="E1408" s="545" t="str">
        <f t="shared" si="95"/>
        <v>20140101LGUM_417</v>
      </c>
      <c r="F1408" s="547">
        <f t="shared" si="91"/>
        <v>23.68</v>
      </c>
      <c r="G1408" s="547">
        <v>0.27</v>
      </c>
      <c r="H1408" s="547">
        <v>1.0300000000000011</v>
      </c>
      <c r="I1408" s="547">
        <v>22.38</v>
      </c>
      <c r="J1408" s="548" t="s">
        <v>1179</v>
      </c>
      <c r="K1408" s="523"/>
      <c r="L1408" s="523"/>
      <c r="M1408" s="523"/>
      <c r="N1408" s="523"/>
      <c r="O1408" s="523"/>
      <c r="P1408" s="523"/>
    </row>
    <row r="1409" spans="1:16">
      <c r="A1409" s="544">
        <v>20140101</v>
      </c>
      <c r="B1409" s="545" t="s">
        <v>459</v>
      </c>
      <c r="C1409" s="545" t="str">
        <f t="shared" si="94"/>
        <v>20140101RLS</v>
      </c>
      <c r="D1409" s="545" t="s">
        <v>299</v>
      </c>
      <c r="E1409" s="545" t="str">
        <f t="shared" si="95"/>
        <v>20140101LGUM_419</v>
      </c>
      <c r="F1409" s="547">
        <f t="shared" si="91"/>
        <v>24.77</v>
      </c>
      <c r="G1409" s="547">
        <v>0.37</v>
      </c>
      <c r="H1409" s="547">
        <v>1.6499999999999986</v>
      </c>
      <c r="I1409" s="547">
        <v>22.75</v>
      </c>
      <c r="J1409" s="544" t="s">
        <v>1180</v>
      </c>
      <c r="K1409" s="523"/>
      <c r="L1409" s="523"/>
      <c r="M1409" s="523"/>
      <c r="N1409" s="523"/>
      <c r="O1409" s="523"/>
      <c r="P1409" s="523"/>
    </row>
    <row r="1410" spans="1:16">
      <c r="A1410" s="544">
        <v>20140101</v>
      </c>
      <c r="B1410" s="545" t="s">
        <v>567</v>
      </c>
      <c r="C1410" s="545" t="str">
        <f t="shared" si="94"/>
        <v>20140101LS</v>
      </c>
      <c r="D1410" s="545" t="s">
        <v>300</v>
      </c>
      <c r="E1410" s="545" t="str">
        <f t="shared" si="95"/>
        <v>20140101LGUM_420</v>
      </c>
      <c r="F1410" s="547">
        <f t="shared" si="91"/>
        <v>29.889999999999997</v>
      </c>
      <c r="G1410" s="547">
        <v>0.24</v>
      </c>
      <c r="H1410" s="547">
        <v>1.6499999999999986</v>
      </c>
      <c r="I1410" s="547">
        <v>28</v>
      </c>
      <c r="J1410" s="548" t="s">
        <v>1148</v>
      </c>
      <c r="K1410" s="523"/>
      <c r="L1410" s="523"/>
      <c r="M1410" s="523"/>
      <c r="N1410" s="523"/>
      <c r="O1410" s="523"/>
      <c r="P1410" s="523"/>
    </row>
    <row r="1411" spans="1:16">
      <c r="A1411" s="544">
        <v>20140101</v>
      </c>
      <c r="B1411" s="545" t="s">
        <v>567</v>
      </c>
      <c r="C1411" s="545" t="str">
        <f t="shared" si="94"/>
        <v>20140101LS</v>
      </c>
      <c r="D1411" s="545" t="s">
        <v>301</v>
      </c>
      <c r="E1411" s="545" t="str">
        <f t="shared" si="95"/>
        <v>20140101LGUM_421</v>
      </c>
      <c r="F1411" s="547">
        <f t="shared" si="91"/>
        <v>32.860000000000007</v>
      </c>
      <c r="G1411" s="547">
        <v>0.27</v>
      </c>
      <c r="H1411" s="547">
        <v>2.6700000000000017</v>
      </c>
      <c r="I1411" s="547">
        <v>29.92</v>
      </c>
      <c r="J1411" s="544" t="s">
        <v>1149</v>
      </c>
      <c r="K1411" s="523"/>
      <c r="L1411" s="523"/>
      <c r="M1411" s="523"/>
      <c r="N1411" s="523"/>
      <c r="O1411" s="523"/>
      <c r="P1411" s="523"/>
    </row>
    <row r="1412" spans="1:16">
      <c r="A1412" s="544">
        <v>20140101</v>
      </c>
      <c r="B1412" s="545" t="s">
        <v>567</v>
      </c>
      <c r="C1412" s="545" t="str">
        <f t="shared" si="94"/>
        <v>20140101LS</v>
      </c>
      <c r="D1412" s="545" t="s">
        <v>302</v>
      </c>
      <c r="E1412" s="545" t="str">
        <f t="shared" si="95"/>
        <v>20140101LGUM_422</v>
      </c>
      <c r="F1412" s="547">
        <f t="shared" si="91"/>
        <v>38.389999999999993</v>
      </c>
      <c r="G1412" s="547">
        <v>0.28999999999999998</v>
      </c>
      <c r="H1412" s="547">
        <v>4.279999999999994</v>
      </c>
      <c r="I1412" s="547">
        <v>33.82</v>
      </c>
      <c r="J1412" s="544" t="s">
        <v>1150</v>
      </c>
      <c r="K1412" s="523"/>
      <c r="L1412" s="523"/>
      <c r="M1412" s="523"/>
      <c r="N1412" s="523"/>
      <c r="O1412" s="523"/>
      <c r="P1412" s="523"/>
    </row>
    <row r="1413" spans="1:16">
      <c r="A1413" s="544">
        <v>20140101</v>
      </c>
      <c r="B1413" s="545" t="s">
        <v>567</v>
      </c>
      <c r="C1413" s="545" t="str">
        <f t="shared" si="94"/>
        <v>20140101LS</v>
      </c>
      <c r="D1413" s="545" t="s">
        <v>303</v>
      </c>
      <c r="E1413" s="545" t="str">
        <f t="shared" si="95"/>
        <v>20140101LGUM_423</v>
      </c>
      <c r="F1413" s="547">
        <f t="shared" si="91"/>
        <v>26.349999999999998</v>
      </c>
      <c r="G1413" s="547">
        <v>0.24</v>
      </c>
      <c r="H1413" s="547">
        <v>1.6500000000000021</v>
      </c>
      <c r="I1413" s="547">
        <v>24.459999999999997</v>
      </c>
      <c r="J1413" s="548" t="s">
        <v>1142</v>
      </c>
      <c r="K1413" s="523"/>
      <c r="L1413" s="523"/>
      <c r="M1413" s="523"/>
      <c r="N1413" s="523"/>
      <c r="O1413" s="523"/>
      <c r="P1413" s="523"/>
    </row>
    <row r="1414" spans="1:16">
      <c r="A1414" s="544">
        <v>20140101</v>
      </c>
      <c r="B1414" s="545" t="s">
        <v>567</v>
      </c>
      <c r="C1414" s="545" t="str">
        <f t="shared" si="94"/>
        <v>20140101LS</v>
      </c>
      <c r="D1414" s="545" t="s">
        <v>304</v>
      </c>
      <c r="E1414" s="545" t="str">
        <f t="shared" si="95"/>
        <v>20140101LGUM_424</v>
      </c>
      <c r="F1414" s="547">
        <f t="shared" si="91"/>
        <v>28.45</v>
      </c>
      <c r="G1414" s="547">
        <v>0.27</v>
      </c>
      <c r="H1414" s="547">
        <v>3.9800000000000004</v>
      </c>
      <c r="I1414" s="547">
        <v>24.2</v>
      </c>
      <c r="J1414" s="544" t="s">
        <v>1143</v>
      </c>
      <c r="K1414" s="523"/>
      <c r="L1414" s="523"/>
      <c r="M1414" s="523"/>
      <c r="N1414" s="523"/>
      <c r="O1414" s="523"/>
      <c r="P1414" s="523"/>
    </row>
    <row r="1415" spans="1:16">
      <c r="A1415" s="544">
        <v>20140101</v>
      </c>
      <c r="B1415" s="545" t="s">
        <v>567</v>
      </c>
      <c r="C1415" s="545" t="str">
        <f t="shared" si="94"/>
        <v>20140101LS</v>
      </c>
      <c r="D1415" s="545" t="s">
        <v>305</v>
      </c>
      <c r="E1415" s="545" t="str">
        <f t="shared" si="95"/>
        <v>20140101LGUM_425</v>
      </c>
      <c r="F1415" s="547">
        <f t="shared" si="91"/>
        <v>34.029999999999994</v>
      </c>
      <c r="G1415" s="547">
        <v>0.28999999999999998</v>
      </c>
      <c r="H1415" s="547">
        <v>4.2799999999999976</v>
      </c>
      <c r="I1415" s="547">
        <v>29.459999999999997</v>
      </c>
      <c r="J1415" s="544" t="s">
        <v>1144</v>
      </c>
      <c r="K1415" s="523"/>
      <c r="L1415" s="523"/>
      <c r="M1415" s="523"/>
      <c r="N1415" s="523"/>
      <c r="O1415" s="523"/>
      <c r="P1415" s="523"/>
    </row>
    <row r="1416" spans="1:16">
      <c r="A1416" s="544">
        <v>20140101</v>
      </c>
      <c r="B1416" s="545" t="s">
        <v>459</v>
      </c>
      <c r="C1416" s="545" t="str">
        <f t="shared" si="94"/>
        <v>20140101RLS</v>
      </c>
      <c r="D1416" s="545" t="s">
        <v>306</v>
      </c>
      <c r="E1416" s="545" t="str">
        <f t="shared" si="95"/>
        <v>20140101LGUM_426</v>
      </c>
      <c r="F1416" s="547">
        <f t="shared" si="91"/>
        <v>33.22</v>
      </c>
      <c r="G1416" s="547">
        <v>0.26</v>
      </c>
      <c r="H1416" s="547">
        <v>0.75</v>
      </c>
      <c r="I1416" s="547">
        <v>32.21</v>
      </c>
      <c r="J1416" s="544" t="s">
        <v>1185</v>
      </c>
      <c r="K1416" s="523"/>
      <c r="L1416" s="523"/>
      <c r="M1416" s="523"/>
      <c r="N1416" s="523"/>
      <c r="O1416" s="523"/>
      <c r="P1416" s="523"/>
    </row>
    <row r="1417" spans="1:16">
      <c r="A1417" s="544">
        <v>20140101</v>
      </c>
      <c r="B1417" s="545" t="s">
        <v>567</v>
      </c>
      <c r="C1417" s="545" t="str">
        <f t="shared" si="94"/>
        <v>20140101LS</v>
      </c>
      <c r="D1417" s="545" t="s">
        <v>307</v>
      </c>
      <c r="E1417" s="545" t="str">
        <f t="shared" si="95"/>
        <v>20140101LGUM_427</v>
      </c>
      <c r="F1417" s="547">
        <f t="shared" si="91"/>
        <v>35.199999999999996</v>
      </c>
      <c r="G1417" s="547">
        <v>0.26</v>
      </c>
      <c r="H1417" s="547">
        <v>0.75</v>
      </c>
      <c r="I1417" s="547">
        <v>34.19</v>
      </c>
      <c r="J1417" s="544" t="s">
        <v>1138</v>
      </c>
      <c r="K1417" s="523"/>
      <c r="L1417" s="523"/>
      <c r="M1417" s="523"/>
      <c r="N1417" s="523"/>
      <c r="O1417" s="523"/>
      <c r="P1417" s="523"/>
    </row>
    <row r="1418" spans="1:16">
      <c r="A1418" s="544">
        <v>20140101</v>
      </c>
      <c r="B1418" s="545" t="s">
        <v>459</v>
      </c>
      <c r="C1418" s="545" t="str">
        <f t="shared" si="94"/>
        <v>20140101RLS</v>
      </c>
      <c r="D1418" s="545" t="s">
        <v>308</v>
      </c>
      <c r="E1418" s="545" t="str">
        <f t="shared" si="95"/>
        <v>20140101LGUM_428</v>
      </c>
      <c r="F1418" s="547">
        <f t="shared" si="91"/>
        <v>34.090000000000003</v>
      </c>
      <c r="G1418" s="547">
        <v>0.27</v>
      </c>
      <c r="H1418" s="547">
        <v>1.0600000000000023</v>
      </c>
      <c r="I1418" s="547">
        <v>32.76</v>
      </c>
      <c r="J1418" s="544" t="s">
        <v>1186</v>
      </c>
      <c r="K1418" s="523"/>
      <c r="L1418" s="523"/>
      <c r="M1418" s="523"/>
      <c r="N1418" s="523"/>
      <c r="O1418" s="523"/>
      <c r="P1418" s="523"/>
    </row>
    <row r="1419" spans="1:16">
      <c r="A1419" s="544">
        <v>20140101</v>
      </c>
      <c r="B1419" s="545" t="s">
        <v>567</v>
      </c>
      <c r="C1419" s="545" t="str">
        <f t="shared" si="94"/>
        <v>20140101LS</v>
      </c>
      <c r="D1419" s="545" t="s">
        <v>309</v>
      </c>
      <c r="E1419" s="545" t="str">
        <f t="shared" si="95"/>
        <v>20140101LGUM_429</v>
      </c>
      <c r="F1419" s="547">
        <f t="shared" si="91"/>
        <v>36.07</v>
      </c>
      <c r="G1419" s="547">
        <v>0.27</v>
      </c>
      <c r="H1419" s="547">
        <v>1.0599999999999952</v>
      </c>
      <c r="I1419" s="547">
        <v>34.74</v>
      </c>
      <c r="J1419" s="544" t="s">
        <v>1139</v>
      </c>
      <c r="K1419" s="523"/>
      <c r="L1419" s="523"/>
      <c r="M1419" s="523"/>
      <c r="N1419" s="523"/>
      <c r="O1419" s="523"/>
      <c r="P1419" s="523"/>
    </row>
    <row r="1420" spans="1:16">
      <c r="A1420" s="544">
        <v>20140101</v>
      </c>
      <c r="B1420" s="545" t="s">
        <v>459</v>
      </c>
      <c r="C1420" s="545" t="str">
        <f t="shared" si="94"/>
        <v>20140101RLS</v>
      </c>
      <c r="D1420" s="545" t="s">
        <v>310</v>
      </c>
      <c r="E1420" s="545" t="str">
        <f t="shared" si="95"/>
        <v>20140101LGUM_430</v>
      </c>
      <c r="F1420" s="547">
        <f t="shared" si="91"/>
        <v>32.26</v>
      </c>
      <c r="G1420" s="547">
        <v>0.26</v>
      </c>
      <c r="H1420" s="547">
        <v>0.75</v>
      </c>
      <c r="I1420" s="547">
        <v>31.25</v>
      </c>
      <c r="J1420" s="544" t="s">
        <v>1187</v>
      </c>
      <c r="K1420" s="523"/>
      <c r="L1420" s="523"/>
      <c r="M1420" s="523"/>
      <c r="N1420" s="523"/>
      <c r="O1420" s="523"/>
      <c r="P1420" s="523"/>
    </row>
    <row r="1421" spans="1:16">
      <c r="A1421" s="544">
        <v>20140101</v>
      </c>
      <c r="B1421" s="545" t="s">
        <v>567</v>
      </c>
      <c r="C1421" s="545" t="str">
        <f t="shared" si="94"/>
        <v>20140101LS</v>
      </c>
      <c r="D1421" s="545" t="s">
        <v>311</v>
      </c>
      <c r="E1421" s="545" t="str">
        <f t="shared" si="95"/>
        <v>20140101LGUM_431</v>
      </c>
      <c r="F1421" s="547">
        <f t="shared" si="91"/>
        <v>32.93</v>
      </c>
      <c r="G1421" s="547">
        <v>0.26</v>
      </c>
      <c r="H1421" s="547">
        <v>0.75</v>
      </c>
      <c r="I1421" s="547">
        <v>31.92</v>
      </c>
      <c r="J1421" s="544" t="s">
        <v>1140</v>
      </c>
      <c r="K1421" s="523"/>
      <c r="L1421" s="523"/>
      <c r="M1421" s="523"/>
      <c r="N1421" s="523"/>
      <c r="O1421" s="523"/>
      <c r="P1421" s="523"/>
    </row>
    <row r="1422" spans="1:16">
      <c r="A1422" s="544">
        <v>20140101</v>
      </c>
      <c r="B1422" s="545" t="s">
        <v>459</v>
      </c>
      <c r="C1422" s="545" t="str">
        <f t="shared" si="94"/>
        <v>20140101RLS</v>
      </c>
      <c r="D1422" s="545" t="s">
        <v>339</v>
      </c>
      <c r="E1422" s="545" t="str">
        <f t="shared" si="95"/>
        <v>20140101LGUM_432</v>
      </c>
      <c r="F1422" s="547">
        <f t="shared" si="91"/>
        <v>34.330000000000005</v>
      </c>
      <c r="G1422" s="547">
        <v>0.27</v>
      </c>
      <c r="H1422" s="547">
        <v>1.0600000000000023</v>
      </c>
      <c r="I1422" s="547">
        <v>33</v>
      </c>
      <c r="J1422" s="544" t="s">
        <v>1188</v>
      </c>
      <c r="K1422" s="523"/>
      <c r="L1422" s="523"/>
      <c r="M1422" s="523"/>
      <c r="N1422" s="523"/>
      <c r="O1422" s="523"/>
      <c r="P1422" s="523"/>
    </row>
    <row r="1423" spans="1:16">
      <c r="A1423" s="544">
        <v>20140101</v>
      </c>
      <c r="B1423" s="545" t="s">
        <v>567</v>
      </c>
      <c r="C1423" s="545" t="str">
        <f t="shared" si="94"/>
        <v>20140101LS</v>
      </c>
      <c r="D1423" s="545" t="s">
        <v>312</v>
      </c>
      <c r="E1423" s="545" t="str">
        <f t="shared" si="95"/>
        <v>20140101LGUM_433</v>
      </c>
      <c r="F1423" s="547">
        <f t="shared" si="91"/>
        <v>34.99</v>
      </c>
      <c r="G1423" s="547">
        <v>0.27</v>
      </c>
      <c r="H1423" s="547">
        <v>1.0600000000000023</v>
      </c>
      <c r="I1423" s="547">
        <v>33.659999999999997</v>
      </c>
      <c r="J1423" s="544" t="s">
        <v>1141</v>
      </c>
      <c r="K1423" s="523"/>
      <c r="L1423" s="523"/>
      <c r="M1423" s="523"/>
      <c r="N1423" s="523"/>
      <c r="O1423" s="523"/>
      <c r="P1423" s="523"/>
    </row>
    <row r="1424" spans="1:16">
      <c r="A1424" s="544">
        <v>20140101</v>
      </c>
      <c r="B1424" s="545" t="s">
        <v>567</v>
      </c>
      <c r="C1424" s="545" t="str">
        <f t="shared" si="94"/>
        <v>20140101LS</v>
      </c>
      <c r="D1424" s="546" t="s">
        <v>687</v>
      </c>
      <c r="E1424" s="545" t="str">
        <f t="shared" si="95"/>
        <v>20140101LGUM_439</v>
      </c>
      <c r="F1424" s="547">
        <f t="shared" si="91"/>
        <v>16.459999999999997</v>
      </c>
      <c r="G1424" s="547">
        <v>0.24</v>
      </c>
      <c r="H1424" s="547">
        <v>1.6499999999999986</v>
      </c>
      <c r="I1424" s="547">
        <v>14.57</v>
      </c>
      <c r="J1424" s="544" t="s">
        <v>1145</v>
      </c>
      <c r="K1424" s="523"/>
      <c r="L1424" s="523"/>
      <c r="M1424" s="523"/>
      <c r="N1424" s="523"/>
      <c r="O1424" s="523"/>
      <c r="P1424" s="523"/>
    </row>
    <row r="1425" spans="1:16">
      <c r="A1425" s="544">
        <v>20140101</v>
      </c>
      <c r="B1425" s="545" t="s">
        <v>567</v>
      </c>
      <c r="C1425" s="545" t="str">
        <f t="shared" si="94"/>
        <v>20140101LS</v>
      </c>
      <c r="D1425" s="546" t="s">
        <v>688</v>
      </c>
      <c r="E1425" s="545" t="str">
        <f t="shared" si="95"/>
        <v>20140101LGUM_440</v>
      </c>
      <c r="F1425" s="547">
        <f t="shared" si="91"/>
        <v>18.279999999999998</v>
      </c>
      <c r="G1425" s="547">
        <v>0.27</v>
      </c>
      <c r="H1425" s="547">
        <v>2.67</v>
      </c>
      <c r="I1425" s="547">
        <v>15.339999999999998</v>
      </c>
      <c r="J1425" s="544" t="s">
        <v>1146</v>
      </c>
      <c r="K1425" s="523"/>
      <c r="L1425" s="523"/>
      <c r="M1425" s="523"/>
      <c r="N1425" s="523"/>
      <c r="O1425" s="523"/>
      <c r="P1425" s="523"/>
    </row>
    <row r="1426" spans="1:16">
      <c r="A1426" s="544">
        <v>20140101</v>
      </c>
      <c r="B1426" s="545" t="s">
        <v>567</v>
      </c>
      <c r="C1426" s="545" t="str">
        <f t="shared" si="94"/>
        <v>20140101LS</v>
      </c>
      <c r="D1426" s="546" t="s">
        <v>341</v>
      </c>
      <c r="E1426" s="545" t="str">
        <f t="shared" si="95"/>
        <v>20140101LGUM_441</v>
      </c>
      <c r="F1426" s="547">
        <f t="shared" si="91"/>
        <v>22.32</v>
      </c>
      <c r="G1426" s="547">
        <v>0.28999999999999998</v>
      </c>
      <c r="H1426" s="547">
        <v>4.2800000000000011</v>
      </c>
      <c r="I1426" s="547">
        <v>17.75</v>
      </c>
      <c r="J1426" s="544" t="s">
        <v>1147</v>
      </c>
      <c r="K1426" s="523"/>
      <c r="L1426" s="523"/>
      <c r="M1426" s="523"/>
      <c r="N1426" s="523"/>
      <c r="O1426" s="523"/>
      <c r="P1426" s="523"/>
    </row>
    <row r="1427" spans="1:16">
      <c r="A1427" s="544">
        <v>20140101</v>
      </c>
      <c r="B1427" s="545" t="s">
        <v>567</v>
      </c>
      <c r="C1427" s="545" t="str">
        <f>A1427&amp;B1427</f>
        <v>20140101LS</v>
      </c>
      <c r="D1427" s="546" t="s">
        <v>317</v>
      </c>
      <c r="E1427" s="545" t="str">
        <f>A1427&amp;D1427</f>
        <v>20140101LGUM_452</v>
      </c>
      <c r="F1427" s="547">
        <f t="shared" si="91"/>
        <v>12.82</v>
      </c>
      <c r="G1427" s="547">
        <v>0.24</v>
      </c>
      <c r="H1427" s="547">
        <v>1.6500000000000004</v>
      </c>
      <c r="I1427" s="547">
        <v>10.93</v>
      </c>
      <c r="J1427" s="548" t="s">
        <v>1125</v>
      </c>
      <c r="K1427" s="523"/>
      <c r="L1427" s="523"/>
      <c r="M1427" s="523"/>
      <c r="N1427" s="523"/>
      <c r="O1427" s="523"/>
      <c r="P1427" s="523"/>
    </row>
    <row r="1428" spans="1:16">
      <c r="A1428" s="544">
        <v>20140101</v>
      </c>
      <c r="B1428" s="545" t="s">
        <v>567</v>
      </c>
      <c r="C1428" s="545" t="str">
        <f t="shared" si="94"/>
        <v>20140101LS</v>
      </c>
      <c r="D1428" s="545" t="s">
        <v>318</v>
      </c>
      <c r="E1428" s="545" t="str">
        <f t="shared" si="95"/>
        <v>20140101LGUM_453</v>
      </c>
      <c r="F1428" s="547">
        <f t="shared" si="91"/>
        <v>15.08</v>
      </c>
      <c r="G1428" s="547">
        <v>0.27</v>
      </c>
      <c r="H1428" s="547">
        <v>3.9800000000000004</v>
      </c>
      <c r="I1428" s="547">
        <v>10.83</v>
      </c>
      <c r="J1428" s="544" t="s">
        <v>1126</v>
      </c>
      <c r="K1428" s="523"/>
      <c r="L1428" s="523"/>
      <c r="M1428" s="523"/>
      <c r="N1428" s="523"/>
      <c r="O1428" s="523"/>
      <c r="P1428" s="523"/>
    </row>
    <row r="1429" spans="1:16">
      <c r="A1429" s="544">
        <v>20140101</v>
      </c>
      <c r="B1429" s="545" t="s">
        <v>567</v>
      </c>
      <c r="C1429" s="545" t="str">
        <f t="shared" si="94"/>
        <v>20140101LS</v>
      </c>
      <c r="D1429" s="545" t="s">
        <v>319</v>
      </c>
      <c r="E1429" s="545" t="str">
        <f t="shared" si="95"/>
        <v>20140101LGUM_454</v>
      </c>
      <c r="F1429" s="547">
        <f t="shared" si="91"/>
        <v>17.38</v>
      </c>
      <c r="G1429" s="547">
        <v>0.28999999999999998</v>
      </c>
      <c r="H1429" s="547">
        <v>4.2800000000000011</v>
      </c>
      <c r="I1429" s="547">
        <v>12.809999999999999</v>
      </c>
      <c r="J1429" s="544" t="s">
        <v>1127</v>
      </c>
      <c r="K1429" s="523"/>
      <c r="L1429" s="523"/>
      <c r="M1429" s="523"/>
      <c r="N1429" s="523"/>
      <c r="O1429" s="523"/>
      <c r="P1429" s="523"/>
    </row>
    <row r="1430" spans="1:16">
      <c r="A1430" s="544">
        <v>20140101</v>
      </c>
      <c r="B1430" s="545" t="s">
        <v>567</v>
      </c>
      <c r="C1430" s="545" t="str">
        <f t="shared" si="94"/>
        <v>20140101LS</v>
      </c>
      <c r="D1430" s="545" t="s">
        <v>320</v>
      </c>
      <c r="E1430" s="545" t="str">
        <f t="shared" si="95"/>
        <v>20140101LGUM_455</v>
      </c>
      <c r="F1430" s="547">
        <f t="shared" si="91"/>
        <v>13.77</v>
      </c>
      <c r="G1430" s="547">
        <v>0.24</v>
      </c>
      <c r="H1430" s="547">
        <v>1.6499999999999986</v>
      </c>
      <c r="I1430" s="547">
        <v>11.88</v>
      </c>
      <c r="J1430" s="544" t="s">
        <v>1128</v>
      </c>
      <c r="K1430" s="523"/>
      <c r="L1430" s="523"/>
      <c r="M1430" s="523"/>
      <c r="N1430" s="523"/>
      <c r="O1430" s="523"/>
      <c r="P1430" s="523"/>
    </row>
    <row r="1431" spans="1:16">
      <c r="A1431" s="544">
        <v>20140101</v>
      </c>
      <c r="B1431" s="545" t="s">
        <v>567</v>
      </c>
      <c r="C1431" s="545" t="str">
        <f t="shared" si="94"/>
        <v>20140101LS</v>
      </c>
      <c r="D1431" s="545" t="s">
        <v>321</v>
      </c>
      <c r="E1431" s="545" t="str">
        <f t="shared" si="95"/>
        <v>20140101LGUM_456</v>
      </c>
      <c r="F1431" s="547">
        <f t="shared" si="91"/>
        <v>18.21</v>
      </c>
      <c r="G1431" s="547">
        <v>0.28999999999999998</v>
      </c>
      <c r="H1431" s="547">
        <v>4.2800000000000011</v>
      </c>
      <c r="I1431" s="547">
        <v>13.64</v>
      </c>
      <c r="J1431" s="544" t="s">
        <v>1129</v>
      </c>
      <c r="K1431" s="523"/>
      <c r="L1431" s="523"/>
      <c r="M1431" s="523"/>
      <c r="N1431" s="523"/>
      <c r="O1431" s="523"/>
      <c r="P1431" s="523"/>
    </row>
    <row r="1432" spans="1:16">
      <c r="A1432" s="544">
        <v>20140101</v>
      </c>
      <c r="B1432" s="545" t="s">
        <v>567</v>
      </c>
      <c r="C1432" s="545" t="str">
        <f t="shared" si="94"/>
        <v>20140101LS</v>
      </c>
      <c r="D1432" s="545" t="s">
        <v>322</v>
      </c>
      <c r="E1432" s="545" t="str">
        <f t="shared" si="95"/>
        <v>20140101LGUM_457</v>
      </c>
      <c r="F1432" s="547">
        <f t="shared" si="91"/>
        <v>10.86</v>
      </c>
      <c r="G1432" s="547">
        <v>0.27</v>
      </c>
      <c r="H1432" s="547">
        <v>1.0599999999999987</v>
      </c>
      <c r="I1432" s="547">
        <v>9.5300000000000011</v>
      </c>
      <c r="J1432" s="548" t="s">
        <v>1131</v>
      </c>
      <c r="K1432" s="523"/>
      <c r="L1432" s="523"/>
      <c r="M1432" s="523"/>
      <c r="N1432" s="523"/>
      <c r="O1432" s="523"/>
      <c r="P1432" s="523"/>
    </row>
    <row r="1433" spans="1:16">
      <c r="A1433" s="544">
        <v>20140101</v>
      </c>
      <c r="B1433" s="545" t="s">
        <v>459</v>
      </c>
      <c r="C1433" s="545" t="str">
        <f t="shared" si="94"/>
        <v>20140101RLS</v>
      </c>
      <c r="D1433" s="545" t="s">
        <v>323</v>
      </c>
      <c r="E1433" s="545" t="str">
        <f t="shared" si="95"/>
        <v>20140101LGUM_458</v>
      </c>
      <c r="F1433" s="547">
        <f t="shared" si="91"/>
        <v>11.13</v>
      </c>
      <c r="G1433" s="547">
        <v>0.16</v>
      </c>
      <c r="H1433" s="547">
        <v>3.7700000000000014</v>
      </c>
      <c r="I1433" s="547">
        <v>7.1999999999999993</v>
      </c>
      <c r="J1433" s="548" t="s">
        <v>1160</v>
      </c>
      <c r="K1433" s="523"/>
      <c r="L1433" s="523"/>
      <c r="M1433" s="523"/>
      <c r="N1433" s="523"/>
      <c r="O1433" s="523"/>
      <c r="P1433" s="523"/>
    </row>
    <row r="1434" spans="1:16">
      <c r="A1434" s="544">
        <v>20140101</v>
      </c>
      <c r="B1434" s="545" t="s">
        <v>567</v>
      </c>
      <c r="C1434" s="545" t="str">
        <f t="shared" si="94"/>
        <v>20140101LS</v>
      </c>
      <c r="D1434" s="545" t="s">
        <v>328</v>
      </c>
      <c r="E1434" s="545" t="str">
        <f t="shared" si="95"/>
        <v>20140101LGUM_470</v>
      </c>
      <c r="F1434" s="547">
        <f t="shared" si="91"/>
        <v>12.79</v>
      </c>
      <c r="G1434" s="547">
        <v>0.27</v>
      </c>
      <c r="H1434" s="547">
        <v>1.3699999999999992</v>
      </c>
      <c r="I1434" s="547">
        <v>11.15</v>
      </c>
      <c r="J1434" s="548" t="s">
        <v>1130</v>
      </c>
      <c r="K1434" s="523"/>
      <c r="L1434" s="523"/>
      <c r="M1434" s="523"/>
      <c r="N1434" s="523"/>
      <c r="O1434" s="523"/>
      <c r="P1434" s="523"/>
    </row>
    <row r="1435" spans="1:16">
      <c r="A1435" s="544">
        <v>20140101</v>
      </c>
      <c r="B1435" s="545" t="s">
        <v>459</v>
      </c>
      <c r="C1435" s="545" t="str">
        <f t="shared" si="94"/>
        <v>20140101RLS</v>
      </c>
      <c r="D1435" s="545" t="s">
        <v>329</v>
      </c>
      <c r="E1435" s="545" t="str">
        <f t="shared" si="95"/>
        <v>20140101LGUM_471</v>
      </c>
      <c r="F1435" s="547">
        <f t="shared" si="91"/>
        <v>15.07</v>
      </c>
      <c r="G1435" s="547">
        <v>0.27</v>
      </c>
      <c r="H1435" s="547">
        <v>1.3699999999999992</v>
      </c>
      <c r="I1435" s="547">
        <v>13.430000000000001</v>
      </c>
      <c r="J1435" s="544" t="s">
        <v>1169</v>
      </c>
      <c r="K1435" s="523"/>
      <c r="L1435" s="523"/>
      <c r="M1435" s="523"/>
      <c r="N1435" s="523"/>
      <c r="O1435" s="523"/>
      <c r="P1435" s="523"/>
    </row>
    <row r="1436" spans="1:16">
      <c r="A1436" s="544">
        <v>20140101</v>
      </c>
      <c r="B1436" s="545" t="s">
        <v>567</v>
      </c>
      <c r="C1436" s="545" t="str">
        <f t="shared" si="94"/>
        <v>20140101LS</v>
      </c>
      <c r="D1436" s="545" t="s">
        <v>330</v>
      </c>
      <c r="E1436" s="545" t="str">
        <f t="shared" si="95"/>
        <v>20140101LGUM_473</v>
      </c>
      <c r="F1436" s="547">
        <f t="shared" si="91"/>
        <v>18.68</v>
      </c>
      <c r="G1436" s="547">
        <v>0.3</v>
      </c>
      <c r="H1436" s="547">
        <v>3.1799999999999979</v>
      </c>
      <c r="I1436" s="547">
        <v>15.200000000000001</v>
      </c>
      <c r="J1436" s="544" t="s">
        <v>1132</v>
      </c>
      <c r="K1436" s="523"/>
      <c r="L1436" s="523"/>
      <c r="M1436" s="523"/>
      <c r="N1436" s="523"/>
      <c r="O1436" s="523"/>
      <c r="P1436" s="523"/>
    </row>
    <row r="1437" spans="1:16">
      <c r="A1437" s="544">
        <v>20140101</v>
      </c>
      <c r="B1437" s="545" t="s">
        <v>459</v>
      </c>
      <c r="C1437" s="545" t="str">
        <f t="shared" si="94"/>
        <v>20140101RLS</v>
      </c>
      <c r="D1437" s="545" t="s">
        <v>331</v>
      </c>
      <c r="E1437" s="545" t="str">
        <f t="shared" si="95"/>
        <v>20140101LGUM_474</v>
      </c>
      <c r="F1437" s="547">
        <f t="shared" si="91"/>
        <v>20.970000000000002</v>
      </c>
      <c r="G1437" s="547">
        <v>0.3</v>
      </c>
      <c r="H1437" s="547">
        <v>3.1799999999999997</v>
      </c>
      <c r="I1437" s="547">
        <v>17.490000000000002</v>
      </c>
      <c r="J1437" s="544" t="s">
        <v>1168</v>
      </c>
      <c r="K1437" s="523"/>
      <c r="L1437" s="523"/>
      <c r="M1437" s="523"/>
      <c r="N1437" s="523"/>
      <c r="O1437" s="523"/>
      <c r="P1437" s="523"/>
    </row>
    <row r="1438" spans="1:16">
      <c r="A1438" s="544">
        <v>20140101</v>
      </c>
      <c r="B1438" s="545" t="s">
        <v>459</v>
      </c>
      <c r="C1438" s="545" t="str">
        <f t="shared" si="94"/>
        <v>20140101RLS</v>
      </c>
      <c r="D1438" s="545" t="s">
        <v>332</v>
      </c>
      <c r="E1438" s="545" t="str">
        <f t="shared" si="95"/>
        <v>20140101LGUM_475</v>
      </c>
      <c r="F1438" s="547">
        <f t="shared" si="91"/>
        <v>28.42</v>
      </c>
      <c r="G1438" s="547">
        <v>0.3</v>
      </c>
      <c r="H1438" s="547">
        <v>3.1800000000000033</v>
      </c>
      <c r="I1438" s="547">
        <v>24.939999999999998</v>
      </c>
      <c r="J1438" s="544" t="s">
        <v>1167</v>
      </c>
      <c r="K1438" s="523"/>
      <c r="L1438" s="523"/>
      <c r="M1438" s="523"/>
      <c r="N1438" s="523"/>
      <c r="O1438" s="523"/>
      <c r="P1438" s="523"/>
    </row>
    <row r="1439" spans="1:16">
      <c r="A1439" s="544">
        <v>20140101</v>
      </c>
      <c r="B1439" s="545" t="s">
        <v>567</v>
      </c>
      <c r="C1439" s="545" t="str">
        <f t="shared" si="94"/>
        <v>20140101LS</v>
      </c>
      <c r="D1439" s="545" t="s">
        <v>333</v>
      </c>
      <c r="E1439" s="545" t="str">
        <f t="shared" si="95"/>
        <v>20140101LGUM_476</v>
      </c>
      <c r="F1439" s="547">
        <f t="shared" si="91"/>
        <v>39.6</v>
      </c>
      <c r="G1439" s="547">
        <v>0.61</v>
      </c>
      <c r="H1439" s="547">
        <v>9.8100000000000023</v>
      </c>
      <c r="I1439" s="547">
        <v>29.18</v>
      </c>
      <c r="J1439" s="544" t="s">
        <v>1133</v>
      </c>
      <c r="K1439" s="523"/>
      <c r="L1439" s="523"/>
      <c r="M1439" s="523"/>
      <c r="N1439" s="523"/>
      <c r="O1439" s="523"/>
      <c r="P1439" s="523"/>
    </row>
    <row r="1440" spans="1:16">
      <c r="A1440" s="544">
        <v>20140101</v>
      </c>
      <c r="B1440" s="545" t="s">
        <v>459</v>
      </c>
      <c r="C1440" s="545" t="str">
        <f t="shared" si="94"/>
        <v>20140101RLS</v>
      </c>
      <c r="D1440" s="545" t="s">
        <v>334</v>
      </c>
      <c r="E1440" s="545" t="str">
        <f t="shared" si="95"/>
        <v>20140101LGUM_477</v>
      </c>
      <c r="F1440" s="547">
        <f t="shared" ref="F1440:F1446" si="96">SUM(G1440:I1440)</f>
        <v>42.78</v>
      </c>
      <c r="G1440" s="547">
        <v>0.61</v>
      </c>
      <c r="H1440" s="547">
        <v>9.8100000000000023</v>
      </c>
      <c r="I1440" s="547">
        <v>32.36</v>
      </c>
      <c r="J1440" s="544" t="s">
        <v>1170</v>
      </c>
      <c r="K1440" s="523"/>
      <c r="L1440" s="523"/>
      <c r="M1440" s="523"/>
      <c r="N1440" s="523"/>
      <c r="O1440" s="523"/>
      <c r="P1440" s="523"/>
    </row>
    <row r="1441" spans="1:16">
      <c r="A1441" s="544">
        <v>20140101</v>
      </c>
      <c r="B1441" s="545" t="s">
        <v>567</v>
      </c>
      <c r="C1441" s="545" t="str">
        <f t="shared" si="94"/>
        <v>20140101LS</v>
      </c>
      <c r="D1441" s="545" t="s">
        <v>618</v>
      </c>
      <c r="E1441" s="545" t="str">
        <f t="shared" si="95"/>
        <v>20140101LGUM_479</v>
      </c>
      <c r="F1441" s="547">
        <f t="shared" si="96"/>
        <v>14.06</v>
      </c>
      <c r="G1441" s="547">
        <v>0.27</v>
      </c>
      <c r="H1441" s="547">
        <v>1.370000000000001</v>
      </c>
      <c r="I1441" s="547">
        <v>12.42</v>
      </c>
      <c r="J1441" s="548" t="s">
        <v>1153</v>
      </c>
      <c r="K1441" s="523"/>
      <c r="L1441" s="523"/>
      <c r="M1441" s="523"/>
      <c r="N1441" s="523"/>
      <c r="O1441" s="523"/>
      <c r="P1441" s="523"/>
    </row>
    <row r="1442" spans="1:16">
      <c r="A1442" s="544">
        <v>20140101</v>
      </c>
      <c r="B1442" s="545" t="s">
        <v>567</v>
      </c>
      <c r="C1442" s="545" t="str">
        <f t="shared" si="94"/>
        <v>20140101LS</v>
      </c>
      <c r="D1442" s="545" t="s">
        <v>620</v>
      </c>
      <c r="E1442" s="545" t="str">
        <f t="shared" si="95"/>
        <v>20140101LGUM_480</v>
      </c>
      <c r="F1442" s="547">
        <f t="shared" si="96"/>
        <v>23.83</v>
      </c>
      <c r="G1442" s="547">
        <v>0.27</v>
      </c>
      <c r="H1442" s="547">
        <v>1.370000000000001</v>
      </c>
      <c r="I1442" s="547">
        <v>22.189999999999998</v>
      </c>
      <c r="J1442" s="544" t="s">
        <v>1154</v>
      </c>
      <c r="K1442" s="523"/>
      <c r="L1442" s="523"/>
      <c r="M1442" s="523"/>
      <c r="N1442" s="523"/>
      <c r="O1442" s="523"/>
      <c r="P1442" s="523"/>
    </row>
    <row r="1443" spans="1:16">
      <c r="A1443" s="544">
        <v>20140101</v>
      </c>
      <c r="B1443" s="545" t="s">
        <v>567</v>
      </c>
      <c r="C1443" s="545" t="str">
        <f t="shared" si="94"/>
        <v>20140101LS</v>
      </c>
      <c r="D1443" s="545" t="s">
        <v>360</v>
      </c>
      <c r="E1443" s="545" t="str">
        <f t="shared" si="95"/>
        <v>20140101LGUM_481</v>
      </c>
      <c r="F1443" s="547">
        <f t="shared" si="96"/>
        <v>20.46</v>
      </c>
      <c r="G1443" s="547">
        <v>0.3</v>
      </c>
      <c r="H1443" s="547">
        <v>3.1800000000000033</v>
      </c>
      <c r="I1443" s="547">
        <v>16.979999999999997</v>
      </c>
      <c r="J1443" s="544" t="s">
        <v>1158</v>
      </c>
      <c r="K1443" s="523"/>
      <c r="L1443" s="523"/>
      <c r="M1443" s="523"/>
      <c r="N1443" s="523"/>
      <c r="O1443" s="523"/>
      <c r="P1443" s="523"/>
    </row>
    <row r="1444" spans="1:16">
      <c r="A1444" s="544">
        <v>20140101</v>
      </c>
      <c r="B1444" s="545" t="s">
        <v>567</v>
      </c>
      <c r="C1444" s="545" t="str">
        <f t="shared" si="94"/>
        <v>20140101LS</v>
      </c>
      <c r="D1444" s="545" t="s">
        <v>335</v>
      </c>
      <c r="E1444" s="545" t="str">
        <f t="shared" si="95"/>
        <v>20140101LGUM_482</v>
      </c>
      <c r="F1444" s="547">
        <f t="shared" si="96"/>
        <v>30.21</v>
      </c>
      <c r="G1444" s="547">
        <v>0.3</v>
      </c>
      <c r="H1444" s="547">
        <v>3.1800000000000033</v>
      </c>
      <c r="I1444" s="547">
        <v>26.729999999999997</v>
      </c>
      <c r="J1444" s="544" t="s">
        <v>1157</v>
      </c>
      <c r="K1444" s="523"/>
      <c r="L1444" s="523"/>
      <c r="M1444" s="523"/>
      <c r="N1444" s="523"/>
      <c r="O1444" s="523"/>
      <c r="P1444" s="523"/>
    </row>
    <row r="1445" spans="1:16">
      <c r="A1445" s="544">
        <v>20140101</v>
      </c>
      <c r="B1445" s="545" t="s">
        <v>567</v>
      </c>
      <c r="C1445" s="545" t="str">
        <f t="shared" si="94"/>
        <v>20140101LS</v>
      </c>
      <c r="D1445" s="545" t="s">
        <v>336</v>
      </c>
      <c r="E1445" s="545" t="str">
        <f t="shared" si="95"/>
        <v>20140101LGUM_483</v>
      </c>
      <c r="F1445" s="547">
        <f t="shared" si="96"/>
        <v>42.56</v>
      </c>
      <c r="G1445" s="547">
        <v>0.61</v>
      </c>
      <c r="H1445" s="547">
        <v>9.8100000000000023</v>
      </c>
      <c r="I1445" s="547">
        <v>32.14</v>
      </c>
      <c r="J1445" s="544" t="s">
        <v>1155</v>
      </c>
      <c r="K1445" s="523"/>
      <c r="L1445" s="523"/>
      <c r="M1445" s="523"/>
      <c r="N1445" s="523"/>
      <c r="O1445" s="523"/>
      <c r="P1445" s="523"/>
    </row>
    <row r="1446" spans="1:16">
      <c r="A1446" s="544">
        <v>20140101</v>
      </c>
      <c r="B1446" s="545" t="s">
        <v>567</v>
      </c>
      <c r="C1446" s="545" t="str">
        <f t="shared" si="94"/>
        <v>20140101LS</v>
      </c>
      <c r="D1446" s="545" t="s">
        <v>337</v>
      </c>
      <c r="E1446" s="545" t="str">
        <f t="shared" si="95"/>
        <v>20140101LGUM_484</v>
      </c>
      <c r="F1446" s="547">
        <f t="shared" si="96"/>
        <v>52.31</v>
      </c>
      <c r="G1446" s="547">
        <v>0.61</v>
      </c>
      <c r="H1446" s="547">
        <v>9.8100000000000023</v>
      </c>
      <c r="I1446" s="547">
        <v>41.89</v>
      </c>
      <c r="J1446" s="544" t="s">
        <v>1156</v>
      </c>
      <c r="K1446" s="523"/>
      <c r="L1446" s="523"/>
      <c r="M1446" s="523"/>
      <c r="N1446" s="523"/>
      <c r="O1446" s="523"/>
      <c r="P1446" s="523"/>
    </row>
  </sheetData>
  <autoFilter ref="A2:J1446"/>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L104"/>
  <sheetViews>
    <sheetView workbookViewId="0"/>
  </sheetViews>
  <sheetFormatPr defaultColWidth="9.33203125" defaultRowHeight="12"/>
  <cols>
    <col min="1" max="1" width="9.1640625" style="98" customWidth="1"/>
    <col min="2" max="3" width="9.33203125" style="9"/>
    <col min="4" max="4" width="15" style="9" bestFit="1" customWidth="1"/>
    <col min="5" max="5" width="23.33203125" style="9" bestFit="1" customWidth="1"/>
    <col min="6" max="6" width="15.1640625" style="98" bestFit="1" customWidth="1"/>
    <col min="7" max="8" width="14.33203125" style="98" customWidth="1"/>
    <col min="9" max="9" width="12" style="98" customWidth="1"/>
    <col min="10" max="10" width="9.33203125" style="95"/>
    <col min="11" max="15" width="9.1640625" style="98"/>
    <col min="16" max="16" width="11.1640625" style="98" customWidth="1"/>
    <col min="17" max="18" width="11.5" style="98" customWidth="1"/>
    <col min="19" max="23" width="9.1640625" style="98" customWidth="1"/>
    <col min="24" max="16384" width="9.33203125" style="9"/>
  </cols>
  <sheetData>
    <row r="1" spans="1:38">
      <c r="A1" s="9"/>
      <c r="F1" s="9"/>
      <c r="G1" s="9"/>
      <c r="H1" s="9"/>
      <c r="I1" s="9"/>
      <c r="J1" s="9"/>
      <c r="K1" s="9"/>
      <c r="L1" s="9"/>
      <c r="M1" s="9"/>
      <c r="N1" s="9"/>
      <c r="O1" s="9"/>
      <c r="P1" s="9"/>
      <c r="Q1" s="9"/>
      <c r="R1" s="9"/>
      <c r="S1" s="9"/>
      <c r="T1" s="9"/>
      <c r="U1" s="9"/>
      <c r="V1" s="9"/>
      <c r="W1" s="9"/>
    </row>
    <row r="2" spans="1:38" ht="84">
      <c r="A2" s="98" t="s">
        <v>8</v>
      </c>
      <c r="B2" s="504" t="s">
        <v>9</v>
      </c>
      <c r="C2" s="504"/>
      <c r="D2" s="504" t="s">
        <v>4</v>
      </c>
      <c r="E2" s="504" t="s">
        <v>10</v>
      </c>
      <c r="F2" s="505" t="s">
        <v>24</v>
      </c>
      <c r="G2" s="505" t="s">
        <v>431</v>
      </c>
      <c r="H2" s="506" t="s">
        <v>432</v>
      </c>
      <c r="I2" s="506" t="s">
        <v>433</v>
      </c>
      <c r="J2" s="506" t="s">
        <v>434</v>
      </c>
      <c r="K2" s="505" t="s">
        <v>11</v>
      </c>
      <c r="L2" s="505" t="s">
        <v>12</v>
      </c>
      <c r="M2" s="505" t="s">
        <v>435</v>
      </c>
      <c r="N2" s="505" t="s">
        <v>436</v>
      </c>
      <c r="O2" s="505" t="s">
        <v>437</v>
      </c>
      <c r="P2" s="505" t="s">
        <v>438</v>
      </c>
      <c r="Q2" s="506" t="s">
        <v>439</v>
      </c>
      <c r="R2" s="506" t="s">
        <v>440</v>
      </c>
      <c r="S2" s="506" t="s">
        <v>441</v>
      </c>
      <c r="T2" s="505" t="s">
        <v>442</v>
      </c>
      <c r="U2" s="505" t="s">
        <v>443</v>
      </c>
      <c r="V2" s="505" t="s">
        <v>444</v>
      </c>
      <c r="W2" s="505" t="s">
        <v>445</v>
      </c>
      <c r="X2" s="505" t="s">
        <v>446</v>
      </c>
      <c r="Y2" s="505" t="s">
        <v>447</v>
      </c>
      <c r="Z2" s="505" t="s">
        <v>448</v>
      </c>
      <c r="AA2" s="505" t="s">
        <v>449</v>
      </c>
      <c r="AB2" s="505" t="s">
        <v>450</v>
      </c>
      <c r="AC2" s="505" t="s">
        <v>451</v>
      </c>
      <c r="AD2" s="505" t="s">
        <v>452</v>
      </c>
      <c r="AE2" s="505" t="s">
        <v>453</v>
      </c>
      <c r="AF2" s="505" t="s">
        <v>454</v>
      </c>
      <c r="AG2" s="505" t="s">
        <v>455</v>
      </c>
      <c r="AH2" s="505" t="s">
        <v>456</v>
      </c>
      <c r="AI2" s="504"/>
      <c r="AJ2" s="504"/>
      <c r="AK2" s="504"/>
      <c r="AL2" s="504"/>
    </row>
    <row r="3" spans="1:38">
      <c r="A3" s="98">
        <v>1</v>
      </c>
      <c r="B3" s="9">
        <f>A3+1</f>
        <v>2</v>
      </c>
      <c r="D3" s="9">
        <f>B3+1</f>
        <v>3</v>
      </c>
      <c r="E3" s="9">
        <f t="shared" ref="E3:AH3" si="0">D3+1</f>
        <v>4</v>
      </c>
      <c r="F3" s="9">
        <f t="shared" si="0"/>
        <v>5</v>
      </c>
      <c r="G3" s="9">
        <f t="shared" si="0"/>
        <v>6</v>
      </c>
      <c r="H3" s="9">
        <f t="shared" si="0"/>
        <v>7</v>
      </c>
      <c r="I3" s="9">
        <f t="shared" si="0"/>
        <v>8</v>
      </c>
      <c r="J3" s="9">
        <f t="shared" si="0"/>
        <v>9</v>
      </c>
      <c r="K3" s="9">
        <f t="shared" si="0"/>
        <v>10</v>
      </c>
      <c r="L3" s="9">
        <f t="shared" si="0"/>
        <v>11</v>
      </c>
      <c r="M3" s="9">
        <f t="shared" si="0"/>
        <v>12</v>
      </c>
      <c r="N3" s="9">
        <f t="shared" si="0"/>
        <v>13</v>
      </c>
      <c r="O3" s="9">
        <f t="shared" si="0"/>
        <v>14</v>
      </c>
      <c r="P3" s="9">
        <f t="shared" si="0"/>
        <v>15</v>
      </c>
      <c r="Q3" s="9">
        <f t="shared" si="0"/>
        <v>16</v>
      </c>
      <c r="R3" s="9">
        <f t="shared" si="0"/>
        <v>17</v>
      </c>
      <c r="S3" s="9">
        <f t="shared" si="0"/>
        <v>18</v>
      </c>
      <c r="T3" s="9">
        <f t="shared" si="0"/>
        <v>19</v>
      </c>
      <c r="U3" s="9">
        <f t="shared" si="0"/>
        <v>20</v>
      </c>
      <c r="V3" s="9">
        <f t="shared" si="0"/>
        <v>21</v>
      </c>
      <c r="W3" s="9">
        <f t="shared" si="0"/>
        <v>22</v>
      </c>
      <c r="X3" s="9">
        <f t="shared" si="0"/>
        <v>23</v>
      </c>
      <c r="Y3" s="9">
        <f t="shared" si="0"/>
        <v>24</v>
      </c>
      <c r="Z3" s="9">
        <f t="shared" si="0"/>
        <v>25</v>
      </c>
      <c r="AA3" s="9">
        <f t="shared" si="0"/>
        <v>26</v>
      </c>
      <c r="AB3" s="9">
        <f t="shared" si="0"/>
        <v>27</v>
      </c>
      <c r="AC3" s="9">
        <f t="shared" si="0"/>
        <v>28</v>
      </c>
      <c r="AD3" s="9">
        <f t="shared" si="0"/>
        <v>29</v>
      </c>
      <c r="AE3" s="9">
        <f t="shared" si="0"/>
        <v>30</v>
      </c>
      <c r="AF3" s="9">
        <f t="shared" si="0"/>
        <v>31</v>
      </c>
      <c r="AG3" s="9">
        <f t="shared" si="0"/>
        <v>32</v>
      </c>
      <c r="AH3" s="9">
        <f t="shared" si="0"/>
        <v>33</v>
      </c>
    </row>
    <row r="4" spans="1:38">
      <c r="A4" s="507">
        <v>20100128</v>
      </c>
      <c r="B4" s="508" t="s">
        <v>459</v>
      </c>
      <c r="C4" s="508" t="str">
        <f>A4&amp;B4</f>
        <v>20100128RLS</v>
      </c>
      <c r="D4" s="508" t="s">
        <v>626</v>
      </c>
      <c r="E4" s="508" t="str">
        <f>A4&amp;D4</f>
        <v>20100128LE_900Pole</v>
      </c>
      <c r="F4" s="509">
        <v>1.78</v>
      </c>
      <c r="G4" s="509">
        <v>0</v>
      </c>
      <c r="H4" s="510">
        <v>0</v>
      </c>
      <c r="I4" s="510">
        <v>0</v>
      </c>
      <c r="J4" s="510">
        <v>0</v>
      </c>
      <c r="K4" s="509">
        <v>0</v>
      </c>
      <c r="L4" s="509">
        <v>0</v>
      </c>
      <c r="M4" s="509">
        <v>1.78</v>
      </c>
      <c r="N4" s="510">
        <f t="shared" ref="N4:P6" si="1">IF(H4=0,0,H4-$K4-$L4)</f>
        <v>0</v>
      </c>
      <c r="O4" s="510">
        <f t="shared" si="1"/>
        <v>0</v>
      </c>
      <c r="P4" s="510">
        <f t="shared" si="1"/>
        <v>0</v>
      </c>
      <c r="X4" s="98"/>
      <c r="Y4" s="98"/>
      <c r="Z4" s="98"/>
      <c r="AA4" s="98"/>
      <c r="AB4" s="98"/>
      <c r="AC4" s="98"/>
      <c r="AD4" s="98"/>
      <c r="AE4" s="98"/>
      <c r="AF4" s="98"/>
      <c r="AG4" s="98"/>
      <c r="AH4" s="98"/>
    </row>
    <row r="5" spans="1:38">
      <c r="A5" s="507">
        <v>20100128</v>
      </c>
      <c r="B5" s="508" t="s">
        <v>459</v>
      </c>
      <c r="C5" s="508" t="str">
        <f>A5&amp;B5</f>
        <v>20100128RLS</v>
      </c>
      <c r="D5" s="508" t="s">
        <v>627</v>
      </c>
      <c r="E5" s="508" t="str">
        <f>A5&amp;D5</f>
        <v>20100128LE_901Pole</v>
      </c>
      <c r="F5" s="509">
        <v>9.36</v>
      </c>
      <c r="G5" s="509">
        <v>0</v>
      </c>
      <c r="H5" s="510">
        <v>0</v>
      </c>
      <c r="I5" s="510">
        <v>0</v>
      </c>
      <c r="J5" s="510">
        <v>0</v>
      </c>
      <c r="K5" s="509">
        <v>0</v>
      </c>
      <c r="L5" s="509">
        <v>0</v>
      </c>
      <c r="M5" s="509">
        <v>9.36</v>
      </c>
      <c r="N5" s="510">
        <f t="shared" si="1"/>
        <v>0</v>
      </c>
      <c r="O5" s="510">
        <f t="shared" si="1"/>
        <v>0</v>
      </c>
      <c r="P5" s="510">
        <f t="shared" si="1"/>
        <v>0</v>
      </c>
      <c r="X5" s="98"/>
      <c r="Y5" s="98"/>
      <c r="Z5" s="98"/>
      <c r="AA5" s="98"/>
      <c r="AB5" s="98"/>
      <c r="AC5" s="98"/>
      <c r="AD5" s="98"/>
      <c r="AE5" s="98"/>
      <c r="AF5" s="98"/>
      <c r="AG5" s="98"/>
      <c r="AH5" s="98"/>
    </row>
    <row r="6" spans="1:38">
      <c r="A6" s="507">
        <v>20100128</v>
      </c>
      <c r="B6" s="508" t="s">
        <v>459</v>
      </c>
      <c r="C6" s="508" t="str">
        <f>A6&amp;B6</f>
        <v>20100128RLS</v>
      </c>
      <c r="D6" s="508" t="s">
        <v>628</v>
      </c>
      <c r="E6" s="508" t="str">
        <f>A6&amp;D6</f>
        <v>20100128LE_902Pole</v>
      </c>
      <c r="F6" s="509">
        <v>11.17</v>
      </c>
      <c r="G6" s="509">
        <v>0</v>
      </c>
      <c r="H6" s="510">
        <v>0</v>
      </c>
      <c r="I6" s="510">
        <v>0</v>
      </c>
      <c r="J6" s="510">
        <v>0</v>
      </c>
      <c r="K6" s="509">
        <v>0</v>
      </c>
      <c r="L6" s="509">
        <v>0</v>
      </c>
      <c r="M6" s="509">
        <v>11.17</v>
      </c>
      <c r="N6" s="510">
        <f t="shared" si="1"/>
        <v>0</v>
      </c>
      <c r="O6" s="510">
        <f t="shared" si="1"/>
        <v>0</v>
      </c>
      <c r="P6" s="510">
        <f t="shared" si="1"/>
        <v>0</v>
      </c>
      <c r="X6" s="98"/>
      <c r="Y6" s="98"/>
      <c r="Z6" s="98"/>
      <c r="AA6" s="98"/>
      <c r="AB6" s="98"/>
      <c r="AC6" s="98"/>
      <c r="AD6" s="98"/>
      <c r="AE6" s="98"/>
      <c r="AF6" s="98"/>
      <c r="AG6" s="98"/>
      <c r="AH6" s="98"/>
    </row>
    <row r="7" spans="1:38">
      <c r="A7" s="507">
        <v>20100128</v>
      </c>
      <c r="B7" s="508" t="s">
        <v>567</v>
      </c>
      <c r="C7" s="508" t="str">
        <f t="shared" ref="C7:C18" si="2">A7&amp;B7</f>
        <v>20100128LS</v>
      </c>
      <c r="D7" s="508" t="s">
        <v>629</v>
      </c>
      <c r="E7" s="508" t="str">
        <f t="shared" ref="E7:E18" si="3">A7&amp;D7</f>
        <v>20100128LE_910Pole</v>
      </c>
      <c r="F7" s="509">
        <v>1.78</v>
      </c>
      <c r="G7" s="509">
        <v>0</v>
      </c>
      <c r="H7" s="510">
        <v>0</v>
      </c>
      <c r="I7" s="510">
        <v>0</v>
      </c>
      <c r="J7" s="510">
        <v>0</v>
      </c>
      <c r="K7" s="509">
        <v>0</v>
      </c>
      <c r="L7" s="509">
        <v>0</v>
      </c>
      <c r="M7" s="509">
        <v>1.78</v>
      </c>
      <c r="N7" s="510">
        <f t="shared" ref="N7:P18" si="4">IF(H7=0,0,H7-$K7-$L7)</f>
        <v>0</v>
      </c>
      <c r="O7" s="510">
        <f t="shared" si="4"/>
        <v>0</v>
      </c>
      <c r="P7" s="510">
        <f t="shared" si="4"/>
        <v>0</v>
      </c>
      <c r="X7" s="98"/>
      <c r="Y7" s="98"/>
      <c r="Z7" s="98"/>
      <c r="AA7" s="98"/>
      <c r="AB7" s="98"/>
      <c r="AC7" s="98"/>
      <c r="AD7" s="98"/>
      <c r="AE7" s="98"/>
      <c r="AF7" s="98"/>
      <c r="AG7" s="98"/>
      <c r="AH7" s="98"/>
    </row>
    <row r="8" spans="1:38">
      <c r="A8" s="507">
        <v>20100128</v>
      </c>
      <c r="B8" s="508" t="s">
        <v>567</v>
      </c>
      <c r="C8" s="508" t="str">
        <f t="shared" si="2"/>
        <v>20100128LS</v>
      </c>
      <c r="D8" s="508" t="s">
        <v>630</v>
      </c>
      <c r="E8" s="508" t="str">
        <f t="shared" si="3"/>
        <v>20100128LE_911Pole</v>
      </c>
      <c r="F8" s="509">
        <v>9.36</v>
      </c>
      <c r="G8" s="509">
        <v>0</v>
      </c>
      <c r="H8" s="510">
        <v>0</v>
      </c>
      <c r="I8" s="510">
        <v>0</v>
      </c>
      <c r="J8" s="510">
        <v>0</v>
      </c>
      <c r="K8" s="509">
        <v>0</v>
      </c>
      <c r="L8" s="509">
        <v>0</v>
      </c>
      <c r="M8" s="509">
        <v>9.36</v>
      </c>
      <c r="N8" s="510">
        <f t="shared" si="4"/>
        <v>0</v>
      </c>
      <c r="O8" s="510">
        <f t="shared" si="4"/>
        <v>0</v>
      </c>
      <c r="P8" s="510">
        <f t="shared" si="4"/>
        <v>0</v>
      </c>
      <c r="X8" s="98"/>
      <c r="Y8" s="98"/>
      <c r="Z8" s="98"/>
      <c r="AA8" s="98"/>
      <c r="AB8" s="98"/>
      <c r="AC8" s="98"/>
      <c r="AD8" s="98"/>
      <c r="AE8" s="98"/>
      <c r="AF8" s="98"/>
      <c r="AG8" s="98"/>
      <c r="AH8" s="98"/>
    </row>
    <row r="9" spans="1:38">
      <c r="A9" s="507">
        <v>20100128</v>
      </c>
      <c r="B9" s="508" t="s">
        <v>567</v>
      </c>
      <c r="C9" s="508" t="str">
        <f t="shared" si="2"/>
        <v>20100128LS</v>
      </c>
      <c r="D9" s="508" t="s">
        <v>631</v>
      </c>
      <c r="E9" s="508" t="str">
        <f t="shared" si="3"/>
        <v>20100128LE_912Pole</v>
      </c>
      <c r="F9" s="509">
        <v>11.17</v>
      </c>
      <c r="G9" s="509">
        <v>0</v>
      </c>
      <c r="H9" s="510">
        <v>0</v>
      </c>
      <c r="I9" s="510">
        <v>0</v>
      </c>
      <c r="J9" s="510">
        <v>0</v>
      </c>
      <c r="K9" s="509">
        <v>0</v>
      </c>
      <c r="L9" s="509">
        <v>0</v>
      </c>
      <c r="M9" s="509">
        <v>11.17</v>
      </c>
      <c r="N9" s="510">
        <f t="shared" si="4"/>
        <v>0</v>
      </c>
      <c r="O9" s="510">
        <f t="shared" si="4"/>
        <v>0</v>
      </c>
      <c r="P9" s="510">
        <f t="shared" si="4"/>
        <v>0</v>
      </c>
      <c r="X9" s="98"/>
      <c r="Y9" s="98"/>
      <c r="Z9" s="98"/>
      <c r="AA9" s="98"/>
      <c r="AB9" s="98"/>
      <c r="AC9" s="98"/>
      <c r="AD9" s="98"/>
      <c r="AE9" s="98"/>
      <c r="AF9" s="98"/>
      <c r="AG9" s="98"/>
      <c r="AH9" s="98"/>
    </row>
    <row r="10" spans="1:38">
      <c r="A10" s="507">
        <v>20100128</v>
      </c>
      <c r="B10" s="508" t="s">
        <v>459</v>
      </c>
      <c r="C10" s="508" t="str">
        <f t="shared" si="2"/>
        <v>20100128RLS</v>
      </c>
      <c r="D10" s="508" t="s">
        <v>632</v>
      </c>
      <c r="E10" s="508" t="str">
        <f t="shared" si="3"/>
        <v>20100128LE_950Base</v>
      </c>
      <c r="F10" s="509">
        <v>3</v>
      </c>
      <c r="G10" s="509">
        <v>0</v>
      </c>
      <c r="H10" s="510">
        <v>0</v>
      </c>
      <c r="I10" s="510">
        <v>0</v>
      </c>
      <c r="J10" s="510">
        <v>0</v>
      </c>
      <c r="K10" s="509">
        <v>0</v>
      </c>
      <c r="L10" s="509">
        <v>0</v>
      </c>
      <c r="M10" s="509">
        <v>3</v>
      </c>
      <c r="N10" s="510">
        <f t="shared" si="4"/>
        <v>0</v>
      </c>
      <c r="O10" s="510">
        <f t="shared" si="4"/>
        <v>0</v>
      </c>
      <c r="P10" s="510">
        <f t="shared" si="4"/>
        <v>0</v>
      </c>
      <c r="X10" s="98"/>
      <c r="Y10" s="98"/>
      <c r="Z10" s="98"/>
      <c r="AA10" s="98"/>
      <c r="AB10" s="98"/>
      <c r="AC10" s="98"/>
      <c r="AD10" s="98"/>
      <c r="AE10" s="98"/>
      <c r="AF10" s="98"/>
      <c r="AG10" s="98"/>
      <c r="AH10" s="98"/>
    </row>
    <row r="11" spans="1:38">
      <c r="A11" s="507">
        <v>20100128</v>
      </c>
      <c r="B11" s="508" t="s">
        <v>459</v>
      </c>
      <c r="C11" s="508" t="str">
        <f t="shared" si="2"/>
        <v>20100128RLS</v>
      </c>
      <c r="D11" s="508" t="s">
        <v>633</v>
      </c>
      <c r="E11" s="508" t="str">
        <f t="shared" si="3"/>
        <v>20100128LE_951Base</v>
      </c>
      <c r="F11" s="509">
        <v>3.22</v>
      </c>
      <c r="G11" s="509">
        <v>0</v>
      </c>
      <c r="H11" s="510">
        <v>0</v>
      </c>
      <c r="I11" s="510">
        <v>0</v>
      </c>
      <c r="J11" s="510">
        <v>0</v>
      </c>
      <c r="K11" s="509">
        <v>0</v>
      </c>
      <c r="L11" s="509">
        <v>0</v>
      </c>
      <c r="M11" s="509">
        <v>3.22</v>
      </c>
      <c r="N11" s="510">
        <f t="shared" si="4"/>
        <v>0</v>
      </c>
      <c r="O11" s="510">
        <f t="shared" si="4"/>
        <v>0</v>
      </c>
      <c r="P11" s="510">
        <f t="shared" si="4"/>
        <v>0</v>
      </c>
      <c r="X11" s="98"/>
      <c r="Y11" s="98"/>
      <c r="Z11" s="98"/>
      <c r="AA11" s="98"/>
      <c r="AB11" s="98"/>
      <c r="AC11" s="98"/>
      <c r="AD11" s="98"/>
      <c r="AE11" s="98"/>
      <c r="AF11" s="98"/>
      <c r="AG11" s="98"/>
      <c r="AH11" s="98"/>
    </row>
    <row r="12" spans="1:38">
      <c r="A12" s="507">
        <v>20100128</v>
      </c>
      <c r="B12" s="508" t="s">
        <v>459</v>
      </c>
      <c r="C12" s="508" t="str">
        <f t="shared" si="2"/>
        <v>20100128RLS</v>
      </c>
      <c r="D12" s="508" t="s">
        <v>634</v>
      </c>
      <c r="E12" s="508" t="str">
        <f t="shared" si="3"/>
        <v>20100128LE_952Base</v>
      </c>
      <c r="F12" s="509">
        <v>3.25</v>
      </c>
      <c r="G12" s="509">
        <v>0</v>
      </c>
      <c r="H12" s="510">
        <v>0</v>
      </c>
      <c r="I12" s="510">
        <v>0</v>
      </c>
      <c r="J12" s="510">
        <v>0</v>
      </c>
      <c r="K12" s="509">
        <v>0</v>
      </c>
      <c r="L12" s="509">
        <v>0</v>
      </c>
      <c r="M12" s="509">
        <v>3.25</v>
      </c>
      <c r="N12" s="510">
        <f t="shared" si="4"/>
        <v>0</v>
      </c>
      <c r="O12" s="510">
        <f t="shared" si="4"/>
        <v>0</v>
      </c>
      <c r="P12" s="510">
        <f t="shared" si="4"/>
        <v>0</v>
      </c>
      <c r="X12" s="98"/>
      <c r="Y12" s="98"/>
      <c r="Z12" s="98"/>
      <c r="AA12" s="98"/>
      <c r="AB12" s="98"/>
      <c r="AC12" s="98"/>
      <c r="AD12" s="98"/>
      <c r="AE12" s="98"/>
      <c r="AF12" s="98"/>
      <c r="AG12" s="98"/>
      <c r="AH12" s="98"/>
    </row>
    <row r="13" spans="1:38">
      <c r="A13" s="507">
        <v>20100128</v>
      </c>
      <c r="B13" s="508" t="s">
        <v>459</v>
      </c>
      <c r="C13" s="508" t="str">
        <f t="shared" si="2"/>
        <v>20100128RLS</v>
      </c>
      <c r="D13" s="508" t="s">
        <v>635</v>
      </c>
      <c r="E13" s="508" t="str">
        <f t="shared" si="3"/>
        <v>20100128LE_953Base</v>
      </c>
      <c r="F13" s="509">
        <v>3.42</v>
      </c>
      <c r="G13" s="509">
        <v>0</v>
      </c>
      <c r="H13" s="510">
        <v>0</v>
      </c>
      <c r="I13" s="510">
        <v>0</v>
      </c>
      <c r="J13" s="510">
        <v>0</v>
      </c>
      <c r="K13" s="509">
        <v>0</v>
      </c>
      <c r="L13" s="509">
        <v>0</v>
      </c>
      <c r="M13" s="509">
        <v>3.42</v>
      </c>
      <c r="N13" s="510">
        <f t="shared" si="4"/>
        <v>0</v>
      </c>
      <c r="O13" s="510">
        <f t="shared" si="4"/>
        <v>0</v>
      </c>
      <c r="P13" s="510">
        <f t="shared" si="4"/>
        <v>0</v>
      </c>
      <c r="X13" s="98"/>
      <c r="Y13" s="98"/>
      <c r="Z13" s="98"/>
      <c r="AA13" s="98"/>
      <c r="AB13" s="98"/>
      <c r="AC13" s="98"/>
      <c r="AD13" s="98"/>
      <c r="AE13" s="98"/>
      <c r="AF13" s="98"/>
      <c r="AG13" s="98"/>
      <c r="AH13" s="98"/>
    </row>
    <row r="14" spans="1:38">
      <c r="A14" s="507">
        <v>20100128</v>
      </c>
      <c r="B14" s="508" t="s">
        <v>567</v>
      </c>
      <c r="C14" s="508" t="str">
        <f t="shared" si="2"/>
        <v>20100128LS</v>
      </c>
      <c r="D14" s="508" t="s">
        <v>636</v>
      </c>
      <c r="E14" s="508" t="str">
        <f t="shared" si="3"/>
        <v>20100128LE_954Base</v>
      </c>
      <c r="F14" s="509">
        <v>2.5299999999999998</v>
      </c>
      <c r="G14" s="509">
        <v>0</v>
      </c>
      <c r="H14" s="510">
        <v>0</v>
      </c>
      <c r="I14" s="510">
        <v>0</v>
      </c>
      <c r="J14" s="510">
        <v>0</v>
      </c>
      <c r="K14" s="509">
        <v>0</v>
      </c>
      <c r="L14" s="509">
        <v>0</v>
      </c>
      <c r="M14" s="509">
        <v>2.5299999999999998</v>
      </c>
      <c r="N14" s="510">
        <f t="shared" si="4"/>
        <v>0</v>
      </c>
      <c r="O14" s="510">
        <f t="shared" si="4"/>
        <v>0</v>
      </c>
      <c r="P14" s="510">
        <f t="shared" si="4"/>
        <v>0</v>
      </c>
      <c r="X14" s="98"/>
      <c r="Y14" s="98"/>
      <c r="Z14" s="98"/>
      <c r="AA14" s="98"/>
      <c r="AB14" s="98"/>
      <c r="AC14" s="98"/>
      <c r="AD14" s="98"/>
      <c r="AE14" s="98"/>
      <c r="AF14" s="98"/>
      <c r="AG14" s="98"/>
      <c r="AH14" s="98"/>
    </row>
    <row r="15" spans="1:38">
      <c r="A15" s="507">
        <v>20100128</v>
      </c>
      <c r="B15" s="508" t="s">
        <v>567</v>
      </c>
      <c r="C15" s="508" t="str">
        <f t="shared" si="2"/>
        <v>20100128LS</v>
      </c>
      <c r="D15" s="508" t="s">
        <v>637</v>
      </c>
      <c r="E15" s="508" t="str">
        <f t="shared" si="3"/>
        <v>20100128LE_955Base</v>
      </c>
      <c r="F15" s="509">
        <v>2.5299999999999998</v>
      </c>
      <c r="G15" s="509">
        <v>0</v>
      </c>
      <c r="H15" s="510">
        <v>0</v>
      </c>
      <c r="I15" s="510">
        <v>0</v>
      </c>
      <c r="J15" s="510">
        <v>0</v>
      </c>
      <c r="K15" s="509">
        <v>0</v>
      </c>
      <c r="L15" s="509">
        <v>0</v>
      </c>
      <c r="M15" s="509">
        <v>2.5299999999999998</v>
      </c>
      <c r="N15" s="510">
        <f t="shared" si="4"/>
        <v>0</v>
      </c>
      <c r="O15" s="510">
        <f t="shared" si="4"/>
        <v>0</v>
      </c>
      <c r="P15" s="510">
        <f t="shared" si="4"/>
        <v>0</v>
      </c>
      <c r="X15" s="98"/>
      <c r="Y15" s="98"/>
      <c r="Z15" s="98"/>
      <c r="AA15" s="98"/>
      <c r="AB15" s="98"/>
      <c r="AC15" s="98"/>
      <c r="AD15" s="98"/>
      <c r="AE15" s="98"/>
      <c r="AF15" s="98"/>
      <c r="AG15" s="98"/>
      <c r="AH15" s="98"/>
    </row>
    <row r="16" spans="1:38">
      <c r="A16" s="507">
        <v>20100128</v>
      </c>
      <c r="B16" s="508" t="s">
        <v>567</v>
      </c>
      <c r="C16" s="508" t="str">
        <f t="shared" si="2"/>
        <v>20100128LS</v>
      </c>
      <c r="D16" s="508" t="s">
        <v>638</v>
      </c>
      <c r="E16" s="508" t="str">
        <f t="shared" si="3"/>
        <v>20100128LE_956Base</v>
      </c>
      <c r="F16" s="509">
        <v>2.5299999999999998</v>
      </c>
      <c r="G16" s="509">
        <v>0</v>
      </c>
      <c r="H16" s="510">
        <v>0</v>
      </c>
      <c r="I16" s="510">
        <v>0</v>
      </c>
      <c r="J16" s="510">
        <v>0</v>
      </c>
      <c r="K16" s="509">
        <v>0</v>
      </c>
      <c r="L16" s="509">
        <v>0</v>
      </c>
      <c r="M16" s="509">
        <v>2.5299999999999998</v>
      </c>
      <c r="N16" s="510">
        <f t="shared" si="4"/>
        <v>0</v>
      </c>
      <c r="O16" s="510">
        <f t="shared" si="4"/>
        <v>0</v>
      </c>
      <c r="P16" s="510">
        <f t="shared" si="4"/>
        <v>0</v>
      </c>
      <c r="X16" s="98"/>
      <c r="Y16" s="98"/>
      <c r="Z16" s="98"/>
      <c r="AA16" s="98"/>
      <c r="AB16" s="98"/>
      <c r="AC16" s="98"/>
      <c r="AD16" s="98"/>
      <c r="AE16" s="98"/>
      <c r="AF16" s="98"/>
      <c r="AG16" s="98"/>
      <c r="AH16" s="98"/>
    </row>
    <row r="17" spans="1:34">
      <c r="A17" s="507">
        <v>20100128</v>
      </c>
      <c r="B17" s="508" t="s">
        <v>567</v>
      </c>
      <c r="C17" s="508" t="str">
        <f t="shared" si="2"/>
        <v>20100128LS</v>
      </c>
      <c r="D17" s="508" t="s">
        <v>639</v>
      </c>
      <c r="E17" s="508" t="str">
        <f t="shared" si="3"/>
        <v>20100128LE_957Base</v>
      </c>
      <c r="F17" s="509">
        <v>2.69</v>
      </c>
      <c r="G17" s="509">
        <v>0</v>
      </c>
      <c r="H17" s="510">
        <v>0</v>
      </c>
      <c r="I17" s="510">
        <v>0</v>
      </c>
      <c r="J17" s="510">
        <v>0</v>
      </c>
      <c r="K17" s="509">
        <v>0</v>
      </c>
      <c r="L17" s="509">
        <v>0</v>
      </c>
      <c r="M17" s="509">
        <v>2.69</v>
      </c>
      <c r="N17" s="510">
        <f t="shared" si="4"/>
        <v>0</v>
      </c>
      <c r="O17" s="510">
        <f t="shared" si="4"/>
        <v>0</v>
      </c>
      <c r="P17" s="510">
        <f t="shared" si="4"/>
        <v>0</v>
      </c>
      <c r="X17" s="98"/>
      <c r="Y17" s="98"/>
      <c r="Z17" s="98"/>
      <c r="AA17" s="98"/>
      <c r="AB17" s="98"/>
      <c r="AC17" s="98"/>
      <c r="AD17" s="98"/>
      <c r="AE17" s="98"/>
      <c r="AF17" s="98"/>
      <c r="AG17" s="98"/>
      <c r="AH17" s="98"/>
    </row>
    <row r="18" spans="1:34">
      <c r="A18" s="507">
        <v>20100128</v>
      </c>
      <c r="B18" s="508" t="s">
        <v>567</v>
      </c>
      <c r="C18" s="508" t="str">
        <f t="shared" si="2"/>
        <v>20100128LS</v>
      </c>
      <c r="D18" s="508" t="s">
        <v>640</v>
      </c>
      <c r="E18" s="508" t="str">
        <f t="shared" si="3"/>
        <v>20100128LE_958Pole</v>
      </c>
      <c r="F18" s="509">
        <v>9.7899999999999991</v>
      </c>
      <c r="G18" s="509">
        <v>0</v>
      </c>
      <c r="H18" s="510">
        <v>0</v>
      </c>
      <c r="I18" s="510">
        <v>0</v>
      </c>
      <c r="J18" s="510">
        <v>0</v>
      </c>
      <c r="K18" s="509">
        <v>0</v>
      </c>
      <c r="L18" s="509">
        <v>0</v>
      </c>
      <c r="M18" s="509">
        <v>9.7899999999999991</v>
      </c>
      <c r="N18" s="510">
        <f t="shared" si="4"/>
        <v>0</v>
      </c>
      <c r="O18" s="510">
        <f t="shared" si="4"/>
        <v>0</v>
      </c>
      <c r="P18" s="510">
        <f t="shared" si="4"/>
        <v>0</v>
      </c>
      <c r="X18" s="98"/>
      <c r="Y18" s="98"/>
      <c r="Z18" s="98"/>
      <c r="AA18" s="98"/>
      <c r="AB18" s="98"/>
      <c r="AC18" s="98"/>
      <c r="AD18" s="98"/>
      <c r="AE18" s="98"/>
      <c r="AF18" s="98"/>
      <c r="AG18" s="98"/>
      <c r="AH18" s="98"/>
    </row>
    <row r="19" spans="1:34">
      <c r="A19" s="108">
        <v>20100729</v>
      </c>
      <c r="B19" s="206" t="s">
        <v>459</v>
      </c>
      <c r="C19" s="206" t="str">
        <f t="shared" ref="C19:C37" si="5">A19&amp;B19</f>
        <v>20100729RLS</v>
      </c>
      <c r="D19" s="206" t="s">
        <v>626</v>
      </c>
      <c r="E19" s="206" t="str">
        <f t="shared" ref="E19:E37" si="6">A19&amp;D19</f>
        <v>20100729LE_900Pole</v>
      </c>
      <c r="F19" s="114">
        <v>1.99</v>
      </c>
      <c r="G19" s="114">
        <v>0</v>
      </c>
      <c r="H19" s="511">
        <v>0</v>
      </c>
      <c r="I19" s="511">
        <v>0</v>
      </c>
      <c r="J19" s="511">
        <v>0</v>
      </c>
      <c r="K19" s="114">
        <v>0</v>
      </c>
      <c r="L19" s="114">
        <v>0</v>
      </c>
      <c r="M19" s="114">
        <v>1.99</v>
      </c>
      <c r="N19" s="511">
        <f t="shared" ref="N19:P22" si="7">IF(H19=0,0,H19-$K19-$L19)</f>
        <v>0</v>
      </c>
      <c r="O19" s="511">
        <f t="shared" si="7"/>
        <v>0</v>
      </c>
      <c r="P19" s="511">
        <f t="shared" si="7"/>
        <v>0</v>
      </c>
      <c r="X19" s="98"/>
      <c r="Y19" s="98"/>
      <c r="Z19" s="98"/>
      <c r="AA19" s="98"/>
      <c r="AB19" s="98"/>
      <c r="AC19" s="98"/>
      <c r="AD19" s="98"/>
      <c r="AE19" s="98"/>
      <c r="AF19" s="98"/>
      <c r="AG19" s="98"/>
      <c r="AH19" s="98"/>
    </row>
    <row r="20" spans="1:34">
      <c r="A20" s="108">
        <v>20100729</v>
      </c>
      <c r="B20" s="206" t="s">
        <v>459</v>
      </c>
      <c r="C20" s="206" t="str">
        <f t="shared" si="5"/>
        <v>20100729RLS</v>
      </c>
      <c r="D20" s="206" t="s">
        <v>627</v>
      </c>
      <c r="E20" s="206" t="str">
        <f t="shared" si="6"/>
        <v>20100729LE_901Pole</v>
      </c>
      <c r="F20" s="114">
        <v>10.44</v>
      </c>
      <c r="G20" s="114">
        <v>0</v>
      </c>
      <c r="H20" s="511">
        <v>0</v>
      </c>
      <c r="I20" s="511">
        <v>0</v>
      </c>
      <c r="J20" s="511">
        <v>0</v>
      </c>
      <c r="K20" s="114">
        <v>0</v>
      </c>
      <c r="L20" s="114">
        <v>0</v>
      </c>
      <c r="M20" s="114">
        <v>10.44</v>
      </c>
      <c r="N20" s="511">
        <f t="shared" si="7"/>
        <v>0</v>
      </c>
      <c r="O20" s="511">
        <f t="shared" si="7"/>
        <v>0</v>
      </c>
      <c r="P20" s="511">
        <f t="shared" si="7"/>
        <v>0</v>
      </c>
      <c r="X20" s="98"/>
      <c r="Y20" s="98"/>
      <c r="Z20" s="98"/>
      <c r="AA20" s="98"/>
      <c r="AB20" s="98"/>
      <c r="AC20" s="98"/>
      <c r="AD20" s="98"/>
      <c r="AE20" s="98"/>
      <c r="AF20" s="98"/>
      <c r="AG20" s="98"/>
      <c r="AH20" s="98"/>
    </row>
    <row r="21" spans="1:34">
      <c r="A21" s="108">
        <v>20100729</v>
      </c>
      <c r="B21" s="206" t="s">
        <v>459</v>
      </c>
      <c r="C21" s="206" t="str">
        <f t="shared" si="5"/>
        <v>20100729RLS</v>
      </c>
      <c r="D21" s="206" t="s">
        <v>628</v>
      </c>
      <c r="E21" s="206" t="str">
        <f t="shared" si="6"/>
        <v>20100729LE_902Pole</v>
      </c>
      <c r="F21" s="114">
        <v>12.46</v>
      </c>
      <c r="G21" s="114">
        <v>0</v>
      </c>
      <c r="H21" s="511">
        <v>0</v>
      </c>
      <c r="I21" s="511">
        <v>0</v>
      </c>
      <c r="J21" s="511">
        <v>0</v>
      </c>
      <c r="K21" s="114">
        <v>0</v>
      </c>
      <c r="L21" s="114">
        <v>0</v>
      </c>
      <c r="M21" s="114">
        <v>12.46</v>
      </c>
      <c r="N21" s="511">
        <f t="shared" si="7"/>
        <v>0</v>
      </c>
      <c r="O21" s="511">
        <f t="shared" si="7"/>
        <v>0</v>
      </c>
      <c r="P21" s="511">
        <f t="shared" si="7"/>
        <v>0</v>
      </c>
      <c r="X21" s="98"/>
      <c r="Y21" s="98"/>
      <c r="Z21" s="98"/>
      <c r="AA21" s="98"/>
      <c r="AB21" s="98"/>
      <c r="AC21" s="98"/>
      <c r="AD21" s="98"/>
      <c r="AE21" s="98"/>
      <c r="AF21" s="98"/>
      <c r="AG21" s="98"/>
      <c r="AH21" s="98"/>
    </row>
    <row r="22" spans="1:34">
      <c r="A22" s="108">
        <v>20100729</v>
      </c>
      <c r="B22" s="206" t="s">
        <v>567</v>
      </c>
      <c r="C22" s="206" t="str">
        <f t="shared" si="5"/>
        <v>20100729LS</v>
      </c>
      <c r="D22" s="206" t="s">
        <v>629</v>
      </c>
      <c r="E22" s="206" t="str">
        <f t="shared" si="6"/>
        <v>20100729LE_910Pole</v>
      </c>
      <c r="F22" s="114">
        <v>1.99</v>
      </c>
      <c r="G22" s="114">
        <v>0</v>
      </c>
      <c r="H22" s="511">
        <v>0</v>
      </c>
      <c r="I22" s="511">
        <v>0</v>
      </c>
      <c r="J22" s="511">
        <v>0</v>
      </c>
      <c r="K22" s="114">
        <v>0</v>
      </c>
      <c r="L22" s="114">
        <v>0</v>
      </c>
      <c r="M22" s="114">
        <v>1.99</v>
      </c>
      <c r="N22" s="511">
        <f t="shared" si="7"/>
        <v>0</v>
      </c>
      <c r="O22" s="511">
        <f t="shared" si="7"/>
        <v>0</v>
      </c>
      <c r="P22" s="511">
        <f t="shared" si="7"/>
        <v>0</v>
      </c>
      <c r="X22" s="98"/>
      <c r="Y22" s="98"/>
      <c r="Z22" s="98"/>
      <c r="AA22" s="98"/>
      <c r="AB22" s="98"/>
      <c r="AC22" s="98"/>
      <c r="AD22" s="98"/>
      <c r="AE22" s="98"/>
      <c r="AF22" s="98"/>
      <c r="AG22" s="98"/>
      <c r="AH22" s="98"/>
    </row>
    <row r="23" spans="1:34">
      <c r="A23" s="108">
        <v>20100729</v>
      </c>
      <c r="B23" s="206" t="s">
        <v>567</v>
      </c>
      <c r="C23" s="206" t="str">
        <f t="shared" si="5"/>
        <v>20100729LS</v>
      </c>
      <c r="D23" s="206" t="s">
        <v>630</v>
      </c>
      <c r="E23" s="206" t="str">
        <f t="shared" si="6"/>
        <v>20100729LE_911Pole</v>
      </c>
      <c r="F23" s="114">
        <v>10.44</v>
      </c>
      <c r="G23" s="114">
        <v>0</v>
      </c>
      <c r="H23" s="511">
        <v>0</v>
      </c>
      <c r="I23" s="511">
        <v>0</v>
      </c>
      <c r="J23" s="511">
        <v>0</v>
      </c>
      <c r="K23" s="114">
        <v>0</v>
      </c>
      <c r="L23" s="114">
        <v>0</v>
      </c>
      <c r="M23" s="114">
        <v>10.44</v>
      </c>
      <c r="N23" s="511">
        <f t="shared" ref="N23:P37" si="8">IF(H23=0,0,H23-$K23-$L23)</f>
        <v>0</v>
      </c>
      <c r="O23" s="511">
        <f t="shared" si="8"/>
        <v>0</v>
      </c>
      <c r="P23" s="511">
        <f t="shared" si="8"/>
        <v>0</v>
      </c>
      <c r="X23" s="98"/>
      <c r="Y23" s="98"/>
      <c r="Z23" s="98"/>
      <c r="AA23" s="98"/>
      <c r="AB23" s="98"/>
      <c r="AC23" s="98"/>
      <c r="AD23" s="98"/>
      <c r="AE23" s="98"/>
      <c r="AF23" s="98"/>
      <c r="AG23" s="98"/>
      <c r="AH23" s="98"/>
    </row>
    <row r="24" spans="1:34">
      <c r="A24" s="108">
        <v>20100729</v>
      </c>
      <c r="B24" s="206" t="s">
        <v>567</v>
      </c>
      <c r="C24" s="206" t="str">
        <f t="shared" si="5"/>
        <v>20100729LS</v>
      </c>
      <c r="D24" s="206" t="s">
        <v>631</v>
      </c>
      <c r="E24" s="206" t="str">
        <f t="shared" si="6"/>
        <v>20100729LE_912Pole</v>
      </c>
      <c r="F24" s="114">
        <v>12.46</v>
      </c>
      <c r="G24" s="114">
        <v>0</v>
      </c>
      <c r="H24" s="511">
        <v>0</v>
      </c>
      <c r="I24" s="511">
        <v>0</v>
      </c>
      <c r="J24" s="511">
        <v>0</v>
      </c>
      <c r="K24" s="114">
        <v>0</v>
      </c>
      <c r="L24" s="114">
        <v>0</v>
      </c>
      <c r="M24" s="114">
        <v>12.46</v>
      </c>
      <c r="N24" s="511">
        <f t="shared" si="8"/>
        <v>0</v>
      </c>
      <c r="O24" s="511">
        <f t="shared" si="8"/>
        <v>0</v>
      </c>
      <c r="P24" s="511">
        <f t="shared" si="8"/>
        <v>0</v>
      </c>
      <c r="X24" s="98"/>
      <c r="Y24" s="98"/>
      <c r="Z24" s="98"/>
      <c r="AA24" s="98"/>
      <c r="AB24" s="98"/>
      <c r="AC24" s="98"/>
      <c r="AD24" s="98"/>
      <c r="AE24" s="98"/>
      <c r="AF24" s="98"/>
      <c r="AG24" s="98"/>
      <c r="AH24" s="98"/>
    </row>
    <row r="25" spans="1:34">
      <c r="A25" s="108">
        <v>20100729</v>
      </c>
      <c r="B25" s="206" t="s">
        <v>459</v>
      </c>
      <c r="C25" s="206" t="str">
        <f>A25&amp;B25</f>
        <v>20100729RLS</v>
      </c>
      <c r="D25" s="206" t="s">
        <v>632</v>
      </c>
      <c r="E25" s="206" t="str">
        <f>A25&amp;D25</f>
        <v>20100729LE_950Base</v>
      </c>
      <c r="F25" s="114">
        <v>3.35</v>
      </c>
      <c r="G25" s="114">
        <v>0</v>
      </c>
      <c r="H25" s="511">
        <v>0</v>
      </c>
      <c r="I25" s="511">
        <v>0</v>
      </c>
      <c r="J25" s="511">
        <v>0</v>
      </c>
      <c r="K25" s="114">
        <v>0</v>
      </c>
      <c r="L25" s="114">
        <v>0</v>
      </c>
      <c r="M25" s="114">
        <v>3.35</v>
      </c>
      <c r="N25" s="511">
        <f>IF(H25=0,0,H25-$K25-$L25)</f>
        <v>0</v>
      </c>
      <c r="O25" s="511">
        <f>IF(I25=0,0,I25-$K25-$L25)</f>
        <v>0</v>
      </c>
      <c r="P25" s="511">
        <f>IF(J25=0,0,J25-$K25-$L25)</f>
        <v>0</v>
      </c>
      <c r="X25" s="98"/>
      <c r="Y25" s="98"/>
      <c r="Z25" s="98"/>
      <c r="AA25" s="98"/>
      <c r="AB25" s="98"/>
      <c r="AC25" s="98"/>
      <c r="AD25" s="98"/>
      <c r="AE25" s="98"/>
      <c r="AF25" s="98"/>
      <c r="AG25" s="98"/>
      <c r="AH25" s="98"/>
    </row>
    <row r="26" spans="1:34">
      <c r="A26" s="108">
        <v>20100729</v>
      </c>
      <c r="B26" s="210" t="s">
        <v>567</v>
      </c>
      <c r="C26" s="206" t="str">
        <f t="shared" si="5"/>
        <v>20100729LS</v>
      </c>
      <c r="D26" s="210" t="s">
        <v>708</v>
      </c>
      <c r="E26" s="206" t="str">
        <f t="shared" si="6"/>
        <v>20100729LE_960Base</v>
      </c>
      <c r="F26" s="114">
        <v>3.35</v>
      </c>
      <c r="G26" s="114">
        <v>0</v>
      </c>
      <c r="H26" s="511">
        <v>0</v>
      </c>
      <c r="I26" s="511">
        <v>0</v>
      </c>
      <c r="J26" s="511">
        <v>0</v>
      </c>
      <c r="K26" s="114">
        <v>0</v>
      </c>
      <c r="L26" s="114">
        <v>0</v>
      </c>
      <c r="M26" s="114">
        <v>3.35</v>
      </c>
      <c r="N26" s="511">
        <f t="shared" si="8"/>
        <v>0</v>
      </c>
      <c r="O26" s="511">
        <f t="shared" si="8"/>
        <v>0</v>
      </c>
      <c r="P26" s="511">
        <f t="shared" si="8"/>
        <v>0</v>
      </c>
      <c r="X26" s="98"/>
      <c r="Y26" s="98"/>
      <c r="Z26" s="98"/>
      <c r="AA26" s="98"/>
      <c r="AB26" s="98"/>
      <c r="AC26" s="98"/>
      <c r="AD26" s="98"/>
      <c r="AE26" s="98"/>
      <c r="AF26" s="98"/>
      <c r="AG26" s="98"/>
      <c r="AH26" s="98"/>
    </row>
    <row r="27" spans="1:34">
      <c r="A27" s="108">
        <v>20100729</v>
      </c>
      <c r="B27" s="206" t="s">
        <v>459</v>
      </c>
      <c r="C27" s="206" t="str">
        <f t="shared" si="5"/>
        <v>20100729RLS</v>
      </c>
      <c r="D27" s="206" t="s">
        <v>633</v>
      </c>
      <c r="E27" s="206" t="str">
        <f t="shared" si="6"/>
        <v>20100729LE_951Base</v>
      </c>
      <c r="F27" s="114">
        <v>3.6</v>
      </c>
      <c r="G27" s="114">
        <v>0</v>
      </c>
      <c r="H27" s="511">
        <v>0</v>
      </c>
      <c r="I27" s="511">
        <v>0</v>
      </c>
      <c r="J27" s="511">
        <v>0</v>
      </c>
      <c r="K27" s="114">
        <v>0</v>
      </c>
      <c r="L27" s="114">
        <v>0</v>
      </c>
      <c r="M27" s="114">
        <v>3.6</v>
      </c>
      <c r="N27" s="511">
        <f t="shared" si="8"/>
        <v>0</v>
      </c>
      <c r="O27" s="511">
        <f t="shared" si="8"/>
        <v>0</v>
      </c>
      <c r="P27" s="511">
        <f t="shared" si="8"/>
        <v>0</v>
      </c>
      <c r="X27" s="98"/>
      <c r="Y27" s="98"/>
      <c r="Z27" s="98"/>
      <c r="AA27" s="98"/>
      <c r="AB27" s="98"/>
      <c r="AC27" s="98"/>
      <c r="AD27" s="98"/>
      <c r="AE27" s="98"/>
      <c r="AF27" s="98"/>
      <c r="AG27" s="98"/>
      <c r="AH27" s="98"/>
    </row>
    <row r="28" spans="1:34">
      <c r="A28" s="108">
        <v>20100729</v>
      </c>
      <c r="B28" s="210" t="s">
        <v>567</v>
      </c>
      <c r="C28" s="206" t="str">
        <f>A28&amp;B28</f>
        <v>20100729LS</v>
      </c>
      <c r="D28" s="210" t="s">
        <v>709</v>
      </c>
      <c r="E28" s="206" t="str">
        <f>A28&amp;D28</f>
        <v>20100729LE_961Base</v>
      </c>
      <c r="F28" s="114">
        <v>3.6</v>
      </c>
      <c r="G28" s="114">
        <v>0</v>
      </c>
      <c r="H28" s="511">
        <v>0</v>
      </c>
      <c r="I28" s="511">
        <v>0</v>
      </c>
      <c r="J28" s="511">
        <v>0</v>
      </c>
      <c r="K28" s="114">
        <v>0</v>
      </c>
      <c r="L28" s="114">
        <v>0</v>
      </c>
      <c r="M28" s="114">
        <v>3.6</v>
      </c>
      <c r="N28" s="511">
        <f>IF(H28=0,0,H28-$K28-$L28)</f>
        <v>0</v>
      </c>
      <c r="O28" s="511">
        <f>IF(I28=0,0,I28-$K28-$L28)</f>
        <v>0</v>
      </c>
      <c r="P28" s="511">
        <f>IF(J28=0,0,J28-$K28-$L28)</f>
        <v>0</v>
      </c>
      <c r="X28" s="98"/>
      <c r="Y28" s="98"/>
      <c r="Z28" s="98"/>
      <c r="AA28" s="98"/>
      <c r="AB28" s="98"/>
      <c r="AC28" s="98"/>
      <c r="AD28" s="98"/>
      <c r="AE28" s="98"/>
      <c r="AF28" s="98"/>
      <c r="AG28" s="98"/>
      <c r="AH28" s="98"/>
    </row>
    <row r="29" spans="1:34">
      <c r="A29" s="108">
        <v>20100729</v>
      </c>
      <c r="B29" s="206" t="s">
        <v>459</v>
      </c>
      <c r="C29" s="206" t="str">
        <f t="shared" si="5"/>
        <v>20100729RLS</v>
      </c>
      <c r="D29" s="206" t="s">
        <v>634</v>
      </c>
      <c r="E29" s="206" t="str">
        <f t="shared" si="6"/>
        <v>20100729LE_952Base</v>
      </c>
      <c r="F29" s="114">
        <v>3.62</v>
      </c>
      <c r="G29" s="114">
        <v>0</v>
      </c>
      <c r="H29" s="511">
        <v>0</v>
      </c>
      <c r="I29" s="511">
        <v>0</v>
      </c>
      <c r="J29" s="511">
        <v>0</v>
      </c>
      <c r="K29" s="114">
        <v>0</v>
      </c>
      <c r="L29" s="114">
        <v>0</v>
      </c>
      <c r="M29" s="114">
        <v>3.62</v>
      </c>
      <c r="N29" s="511">
        <f t="shared" si="8"/>
        <v>0</v>
      </c>
      <c r="O29" s="511">
        <f t="shared" si="8"/>
        <v>0</v>
      </c>
      <c r="P29" s="511">
        <f t="shared" si="8"/>
        <v>0</v>
      </c>
      <c r="X29" s="98"/>
      <c r="Y29" s="98"/>
      <c r="Z29" s="98"/>
      <c r="AA29" s="98"/>
      <c r="AB29" s="98"/>
      <c r="AC29" s="98"/>
      <c r="AD29" s="98"/>
      <c r="AE29" s="98"/>
      <c r="AF29" s="98"/>
      <c r="AG29" s="98"/>
      <c r="AH29" s="98"/>
    </row>
    <row r="30" spans="1:34">
      <c r="A30" s="108">
        <v>20100729</v>
      </c>
      <c r="B30" s="206" t="s">
        <v>459</v>
      </c>
      <c r="C30" s="206" t="str">
        <f>A30&amp;B30</f>
        <v>20100729RLS</v>
      </c>
      <c r="D30" s="206" t="s">
        <v>635</v>
      </c>
      <c r="E30" s="206" t="str">
        <f>A30&amp;D30</f>
        <v>20100729LE_953Base</v>
      </c>
      <c r="F30" s="114">
        <v>3.81</v>
      </c>
      <c r="G30" s="114">
        <v>0</v>
      </c>
      <c r="H30" s="511">
        <v>0</v>
      </c>
      <c r="I30" s="511">
        <v>0</v>
      </c>
      <c r="J30" s="511">
        <v>0</v>
      </c>
      <c r="K30" s="114">
        <v>0</v>
      </c>
      <c r="L30" s="114">
        <v>0</v>
      </c>
      <c r="M30" s="114">
        <v>3.81</v>
      </c>
      <c r="N30" s="511">
        <f>IF(H30=0,0,H30-$K30-$L30)</f>
        <v>0</v>
      </c>
      <c r="O30" s="511">
        <f>IF(I30=0,0,I30-$K30-$L30)</f>
        <v>0</v>
      </c>
      <c r="P30" s="511">
        <f>IF(J30=0,0,J30-$K30-$L30)</f>
        <v>0</v>
      </c>
      <c r="X30" s="98"/>
      <c r="Y30" s="98"/>
      <c r="Z30" s="98"/>
      <c r="AA30" s="98"/>
      <c r="AB30" s="98"/>
      <c r="AC30" s="98"/>
      <c r="AD30" s="98"/>
      <c r="AE30" s="98"/>
      <c r="AF30" s="98"/>
      <c r="AG30" s="98"/>
      <c r="AH30" s="98"/>
    </row>
    <row r="31" spans="1:34">
      <c r="A31" s="108">
        <v>20100729</v>
      </c>
      <c r="B31" s="210" t="s">
        <v>567</v>
      </c>
      <c r="C31" s="206" t="str">
        <f t="shared" si="5"/>
        <v>20100729LS</v>
      </c>
      <c r="D31" s="210" t="s">
        <v>710</v>
      </c>
      <c r="E31" s="206" t="str">
        <f t="shared" si="6"/>
        <v>20100729LE_963Base</v>
      </c>
      <c r="F31" s="114">
        <v>3.81</v>
      </c>
      <c r="G31" s="114">
        <v>0</v>
      </c>
      <c r="H31" s="511">
        <v>0</v>
      </c>
      <c r="I31" s="511">
        <v>0</v>
      </c>
      <c r="J31" s="511">
        <v>0</v>
      </c>
      <c r="K31" s="114">
        <v>0</v>
      </c>
      <c r="L31" s="114">
        <v>0</v>
      </c>
      <c r="M31" s="114">
        <v>3.81</v>
      </c>
      <c r="N31" s="511">
        <f t="shared" si="8"/>
        <v>0</v>
      </c>
      <c r="O31" s="511">
        <f t="shared" si="8"/>
        <v>0</v>
      </c>
      <c r="P31" s="511">
        <f t="shared" si="8"/>
        <v>0</v>
      </c>
      <c r="X31" s="98"/>
      <c r="Y31" s="98"/>
      <c r="Z31" s="98"/>
      <c r="AA31" s="98"/>
      <c r="AB31" s="98"/>
      <c r="AC31" s="98"/>
      <c r="AD31" s="98"/>
      <c r="AE31" s="98"/>
      <c r="AF31" s="98"/>
      <c r="AG31" s="98"/>
      <c r="AH31" s="98"/>
    </row>
    <row r="32" spans="1:34">
      <c r="A32" s="108">
        <v>20100729</v>
      </c>
      <c r="B32" s="206" t="s">
        <v>567</v>
      </c>
      <c r="C32" s="206" t="str">
        <f t="shared" si="5"/>
        <v>20100729LS</v>
      </c>
      <c r="D32" s="206" t="s">
        <v>636</v>
      </c>
      <c r="E32" s="206" t="str">
        <f t="shared" si="6"/>
        <v>20100729LE_954Base</v>
      </c>
      <c r="F32" s="114">
        <v>2.83</v>
      </c>
      <c r="G32" s="114">
        <v>0</v>
      </c>
      <c r="H32" s="511">
        <v>0</v>
      </c>
      <c r="I32" s="511">
        <v>0</v>
      </c>
      <c r="J32" s="511">
        <v>0</v>
      </c>
      <c r="K32" s="114">
        <v>0</v>
      </c>
      <c r="L32" s="114">
        <v>0</v>
      </c>
      <c r="M32" s="114">
        <v>2.83</v>
      </c>
      <c r="N32" s="511">
        <f t="shared" si="8"/>
        <v>0</v>
      </c>
      <c r="O32" s="511">
        <f t="shared" si="8"/>
        <v>0</v>
      </c>
      <c r="P32" s="511">
        <f t="shared" si="8"/>
        <v>0</v>
      </c>
      <c r="X32" s="98"/>
      <c r="Y32" s="98"/>
      <c r="Z32" s="98"/>
      <c r="AA32" s="98"/>
      <c r="AB32" s="98"/>
      <c r="AC32" s="98"/>
      <c r="AD32" s="98"/>
      <c r="AE32" s="98"/>
      <c r="AF32" s="98"/>
      <c r="AG32" s="98"/>
      <c r="AH32" s="98"/>
    </row>
    <row r="33" spans="1:34">
      <c r="A33" s="108">
        <v>20100729</v>
      </c>
      <c r="B33" s="206" t="s">
        <v>567</v>
      </c>
      <c r="C33" s="206" t="str">
        <f t="shared" si="5"/>
        <v>20100729LS</v>
      </c>
      <c r="D33" s="206" t="s">
        <v>637</v>
      </c>
      <c r="E33" s="206" t="str">
        <f t="shared" si="6"/>
        <v>20100729LE_955Base</v>
      </c>
      <c r="F33" s="114">
        <v>2.83</v>
      </c>
      <c r="G33" s="114">
        <v>0</v>
      </c>
      <c r="H33" s="511">
        <v>0</v>
      </c>
      <c r="I33" s="511">
        <v>0</v>
      </c>
      <c r="J33" s="511">
        <v>0</v>
      </c>
      <c r="K33" s="114">
        <v>0</v>
      </c>
      <c r="L33" s="114">
        <v>0</v>
      </c>
      <c r="M33" s="114">
        <v>2.83</v>
      </c>
      <c r="N33" s="511">
        <f t="shared" si="8"/>
        <v>0</v>
      </c>
      <c r="O33" s="511">
        <f t="shared" si="8"/>
        <v>0</v>
      </c>
      <c r="P33" s="511">
        <f t="shared" si="8"/>
        <v>0</v>
      </c>
      <c r="X33" s="98"/>
      <c r="Y33" s="98"/>
      <c r="Z33" s="98"/>
      <c r="AA33" s="98"/>
      <c r="AB33" s="98"/>
      <c r="AC33" s="98"/>
      <c r="AD33" s="98"/>
      <c r="AE33" s="98"/>
      <c r="AF33" s="98"/>
      <c r="AG33" s="98"/>
      <c r="AH33" s="98"/>
    </row>
    <row r="34" spans="1:34">
      <c r="A34" s="108">
        <v>20100729</v>
      </c>
      <c r="B34" s="206" t="s">
        <v>567</v>
      </c>
      <c r="C34" s="206" t="str">
        <f t="shared" si="5"/>
        <v>20100729LS</v>
      </c>
      <c r="D34" s="206" t="s">
        <v>638</v>
      </c>
      <c r="E34" s="206" t="str">
        <f t="shared" si="6"/>
        <v>20100729LE_956Base</v>
      </c>
      <c r="F34" s="114">
        <v>2.83</v>
      </c>
      <c r="G34" s="114">
        <v>0</v>
      </c>
      <c r="H34" s="511">
        <v>0</v>
      </c>
      <c r="I34" s="511">
        <v>0</v>
      </c>
      <c r="J34" s="511">
        <v>0</v>
      </c>
      <c r="K34" s="114">
        <v>0</v>
      </c>
      <c r="L34" s="114">
        <v>0</v>
      </c>
      <c r="M34" s="114">
        <v>2.83</v>
      </c>
      <c r="N34" s="511">
        <f t="shared" si="8"/>
        <v>0</v>
      </c>
      <c r="O34" s="511">
        <f t="shared" si="8"/>
        <v>0</v>
      </c>
      <c r="P34" s="511">
        <f t="shared" si="8"/>
        <v>0</v>
      </c>
      <c r="X34" s="98"/>
      <c r="Y34" s="98"/>
      <c r="Z34" s="98"/>
      <c r="AA34" s="98"/>
      <c r="AB34" s="98"/>
      <c r="AC34" s="98"/>
      <c r="AD34" s="98"/>
      <c r="AE34" s="98"/>
      <c r="AF34" s="98"/>
      <c r="AG34" s="98"/>
      <c r="AH34" s="98"/>
    </row>
    <row r="35" spans="1:34">
      <c r="A35" s="108">
        <v>20100729</v>
      </c>
      <c r="B35" s="206" t="s">
        <v>567</v>
      </c>
      <c r="C35" s="206" t="str">
        <f t="shared" si="5"/>
        <v>20100729LS</v>
      </c>
      <c r="D35" s="206" t="s">
        <v>639</v>
      </c>
      <c r="E35" s="206" t="str">
        <f t="shared" si="6"/>
        <v>20100729LE_957Base</v>
      </c>
      <c r="F35" s="114">
        <v>3</v>
      </c>
      <c r="G35" s="114">
        <v>0</v>
      </c>
      <c r="H35" s="511">
        <v>0</v>
      </c>
      <c r="I35" s="511">
        <v>0</v>
      </c>
      <c r="J35" s="511">
        <v>0</v>
      </c>
      <c r="K35" s="114">
        <v>0</v>
      </c>
      <c r="L35" s="114">
        <v>0</v>
      </c>
      <c r="M35" s="114">
        <v>3</v>
      </c>
      <c r="N35" s="511">
        <f t="shared" si="8"/>
        <v>0</v>
      </c>
      <c r="O35" s="511">
        <f t="shared" si="8"/>
        <v>0</v>
      </c>
      <c r="P35" s="511">
        <f t="shared" si="8"/>
        <v>0</v>
      </c>
      <c r="X35" s="98"/>
      <c r="Y35" s="98"/>
      <c r="Z35" s="98"/>
      <c r="AA35" s="98"/>
      <c r="AB35" s="98"/>
      <c r="AC35" s="98"/>
      <c r="AD35" s="98"/>
      <c r="AE35" s="98"/>
      <c r="AF35" s="98"/>
      <c r="AG35" s="98"/>
      <c r="AH35" s="98"/>
    </row>
    <row r="36" spans="1:34">
      <c r="A36" s="108">
        <v>20100729</v>
      </c>
      <c r="B36" s="206" t="s">
        <v>567</v>
      </c>
      <c r="C36" s="206" t="str">
        <f>A36&amp;B36</f>
        <v>20100729LS</v>
      </c>
      <c r="D36" s="206" t="s">
        <v>640</v>
      </c>
      <c r="E36" s="206" t="str">
        <f>A36&amp;D36</f>
        <v>20100729LE_958Pole</v>
      </c>
      <c r="F36" s="114">
        <v>10.92</v>
      </c>
      <c r="G36" s="114">
        <v>0</v>
      </c>
      <c r="H36" s="511">
        <v>0</v>
      </c>
      <c r="I36" s="511">
        <v>0</v>
      </c>
      <c r="J36" s="511">
        <v>0</v>
      </c>
      <c r="K36" s="114">
        <v>0</v>
      </c>
      <c r="L36" s="114">
        <v>0</v>
      </c>
      <c r="M36" s="114">
        <v>10.92</v>
      </c>
      <c r="N36" s="511">
        <f>IF(H36=0,0,H36-$K36-$L36)</f>
        <v>0</v>
      </c>
      <c r="O36" s="511">
        <f>IF(I36=0,0,I36-$K36-$L36)</f>
        <v>0</v>
      </c>
      <c r="P36" s="511">
        <f>IF(J36=0,0,J36-$K36-$L36)</f>
        <v>0</v>
      </c>
      <c r="X36" s="98"/>
      <c r="Y36" s="98"/>
      <c r="Z36" s="98"/>
      <c r="AA36" s="98"/>
      <c r="AB36" s="98"/>
      <c r="AC36" s="98"/>
      <c r="AD36" s="98"/>
      <c r="AE36" s="98"/>
      <c r="AF36" s="98"/>
      <c r="AG36" s="98"/>
      <c r="AH36" s="98"/>
    </row>
    <row r="37" spans="1:34">
      <c r="A37" s="108">
        <v>20100729</v>
      </c>
      <c r="B37" s="206" t="s">
        <v>567</v>
      </c>
      <c r="C37" s="206" t="str">
        <f t="shared" si="5"/>
        <v>20100729LS</v>
      </c>
      <c r="D37" s="210" t="s">
        <v>707</v>
      </c>
      <c r="E37" s="206" t="str">
        <f t="shared" si="6"/>
        <v>20100729LE_962Base</v>
      </c>
      <c r="F37" s="114">
        <v>3.62</v>
      </c>
      <c r="G37" s="114">
        <v>0</v>
      </c>
      <c r="H37" s="511">
        <v>0</v>
      </c>
      <c r="I37" s="511">
        <v>0</v>
      </c>
      <c r="J37" s="511">
        <v>0</v>
      </c>
      <c r="K37" s="114">
        <v>0</v>
      </c>
      <c r="L37" s="114">
        <v>0</v>
      </c>
      <c r="M37" s="114">
        <v>10.92</v>
      </c>
      <c r="N37" s="511">
        <f t="shared" si="8"/>
        <v>0</v>
      </c>
      <c r="O37" s="511">
        <f t="shared" si="8"/>
        <v>0</v>
      </c>
      <c r="P37" s="511">
        <f t="shared" si="8"/>
        <v>0</v>
      </c>
      <c r="X37" s="98"/>
      <c r="Y37" s="98"/>
      <c r="Z37" s="98"/>
      <c r="AA37" s="98"/>
      <c r="AB37" s="98"/>
      <c r="AC37" s="98"/>
      <c r="AD37" s="98"/>
      <c r="AE37" s="98"/>
      <c r="AF37" s="98"/>
      <c r="AG37" s="98"/>
      <c r="AH37" s="98"/>
    </row>
    <row r="38" spans="1:34">
      <c r="A38" s="512">
        <v>20110629</v>
      </c>
      <c r="B38" s="513" t="s">
        <v>459</v>
      </c>
      <c r="C38" s="513" t="str">
        <f t="shared" ref="C38:C56" si="9">A38&amp;B38</f>
        <v>20110629RLS</v>
      </c>
      <c r="D38" s="513" t="s">
        <v>626</v>
      </c>
      <c r="E38" s="513" t="str">
        <f t="shared" ref="E38:E56" si="10">A38&amp;D38</f>
        <v>20110629LE_900Pole</v>
      </c>
      <c r="F38" s="514">
        <v>1.99</v>
      </c>
      <c r="G38" s="514">
        <v>0</v>
      </c>
      <c r="H38" s="514">
        <v>0</v>
      </c>
      <c r="I38" s="514">
        <v>0</v>
      </c>
      <c r="J38" s="514">
        <v>0</v>
      </c>
      <c r="K38" s="514">
        <v>0</v>
      </c>
      <c r="L38" s="514">
        <v>0</v>
      </c>
      <c r="M38" s="514">
        <f t="shared" ref="M38:M56" si="11">F38-K38-L38</f>
        <v>1.99</v>
      </c>
      <c r="N38" s="515">
        <f t="shared" ref="N38:P51" si="12">IF(H38=0,0,H38-$K38-$L38)</f>
        <v>0</v>
      </c>
      <c r="O38" s="515">
        <f t="shared" si="12"/>
        <v>0</v>
      </c>
      <c r="P38" s="515">
        <f t="shared" si="12"/>
        <v>0</v>
      </c>
      <c r="X38" s="98"/>
      <c r="Y38" s="98"/>
      <c r="Z38" s="98"/>
      <c r="AA38" s="98"/>
      <c r="AB38" s="98"/>
      <c r="AC38" s="98"/>
      <c r="AD38" s="98"/>
      <c r="AE38" s="98"/>
      <c r="AF38" s="98"/>
      <c r="AG38" s="98"/>
      <c r="AH38" s="98"/>
    </row>
    <row r="39" spans="1:34">
      <c r="A39" s="512">
        <f t="shared" ref="A39:A51" si="13">A38</f>
        <v>20110629</v>
      </c>
      <c r="B39" s="513" t="s">
        <v>459</v>
      </c>
      <c r="C39" s="513" t="str">
        <f t="shared" si="9"/>
        <v>20110629RLS</v>
      </c>
      <c r="D39" s="513" t="s">
        <v>627</v>
      </c>
      <c r="E39" s="513" t="str">
        <f t="shared" si="10"/>
        <v>20110629LE_901Pole</v>
      </c>
      <c r="F39" s="514">
        <v>10.44</v>
      </c>
      <c r="G39" s="514">
        <v>0</v>
      </c>
      <c r="H39" s="514">
        <v>0</v>
      </c>
      <c r="I39" s="514">
        <v>0</v>
      </c>
      <c r="J39" s="514">
        <v>0</v>
      </c>
      <c r="K39" s="514">
        <v>0</v>
      </c>
      <c r="L39" s="514">
        <v>0</v>
      </c>
      <c r="M39" s="514">
        <f t="shared" si="11"/>
        <v>10.44</v>
      </c>
      <c r="N39" s="515">
        <f t="shared" si="12"/>
        <v>0</v>
      </c>
      <c r="O39" s="515">
        <f t="shared" si="12"/>
        <v>0</v>
      </c>
      <c r="P39" s="515">
        <f t="shared" si="12"/>
        <v>0</v>
      </c>
      <c r="X39" s="98"/>
      <c r="Y39" s="98"/>
      <c r="Z39" s="98"/>
      <c r="AA39" s="98"/>
      <c r="AB39" s="98"/>
      <c r="AC39" s="98"/>
      <c r="AD39" s="98"/>
      <c r="AE39" s="98"/>
      <c r="AF39" s="98"/>
      <c r="AG39" s="98"/>
      <c r="AH39" s="98"/>
    </row>
    <row r="40" spans="1:34">
      <c r="A40" s="512">
        <f t="shared" si="13"/>
        <v>20110629</v>
      </c>
      <c r="B40" s="513" t="s">
        <v>459</v>
      </c>
      <c r="C40" s="513" t="str">
        <f t="shared" si="9"/>
        <v>20110629RLS</v>
      </c>
      <c r="D40" s="513" t="s">
        <v>628</v>
      </c>
      <c r="E40" s="513" t="str">
        <f t="shared" si="10"/>
        <v>20110629LE_902Pole</v>
      </c>
      <c r="F40" s="514">
        <v>12.46</v>
      </c>
      <c r="G40" s="514">
        <v>0</v>
      </c>
      <c r="H40" s="514">
        <v>0</v>
      </c>
      <c r="I40" s="514">
        <v>0</v>
      </c>
      <c r="J40" s="514">
        <v>0</v>
      </c>
      <c r="K40" s="514">
        <v>0</v>
      </c>
      <c r="L40" s="514">
        <v>0</v>
      </c>
      <c r="M40" s="514">
        <f t="shared" si="11"/>
        <v>12.46</v>
      </c>
      <c r="N40" s="515">
        <f t="shared" si="12"/>
        <v>0</v>
      </c>
      <c r="O40" s="515">
        <f t="shared" si="12"/>
        <v>0</v>
      </c>
      <c r="P40" s="515">
        <f t="shared" si="12"/>
        <v>0</v>
      </c>
      <c r="X40" s="98"/>
      <c r="Y40" s="98"/>
      <c r="Z40" s="98"/>
      <c r="AA40" s="98"/>
      <c r="AB40" s="98"/>
      <c r="AC40" s="98"/>
      <c r="AD40" s="98"/>
      <c r="AE40" s="98"/>
      <c r="AF40" s="98"/>
      <c r="AG40" s="98"/>
      <c r="AH40" s="98"/>
    </row>
    <row r="41" spans="1:34">
      <c r="A41" s="512">
        <f t="shared" si="13"/>
        <v>20110629</v>
      </c>
      <c r="B41" s="513" t="s">
        <v>567</v>
      </c>
      <c r="C41" s="513" t="str">
        <f t="shared" si="9"/>
        <v>20110629LS</v>
      </c>
      <c r="D41" s="513" t="s">
        <v>629</v>
      </c>
      <c r="E41" s="513" t="str">
        <f t="shared" si="10"/>
        <v>20110629LE_910Pole</v>
      </c>
      <c r="F41" s="514">
        <v>1.99</v>
      </c>
      <c r="G41" s="514">
        <v>0</v>
      </c>
      <c r="H41" s="514">
        <v>0</v>
      </c>
      <c r="I41" s="514">
        <v>0</v>
      </c>
      <c r="J41" s="514">
        <v>0</v>
      </c>
      <c r="K41" s="514">
        <v>0</v>
      </c>
      <c r="L41" s="514">
        <v>0</v>
      </c>
      <c r="M41" s="514">
        <f t="shared" si="11"/>
        <v>1.99</v>
      </c>
      <c r="N41" s="515">
        <f t="shared" si="12"/>
        <v>0</v>
      </c>
      <c r="O41" s="515">
        <f t="shared" si="12"/>
        <v>0</v>
      </c>
      <c r="P41" s="515">
        <f t="shared" si="12"/>
        <v>0</v>
      </c>
      <c r="X41" s="98"/>
      <c r="Y41" s="98"/>
      <c r="Z41" s="98"/>
      <c r="AA41" s="98"/>
      <c r="AB41" s="98"/>
      <c r="AC41" s="98"/>
      <c r="AD41" s="98"/>
      <c r="AE41" s="98"/>
      <c r="AF41" s="98"/>
      <c r="AG41" s="98"/>
      <c r="AH41" s="98"/>
    </row>
    <row r="42" spans="1:34">
      <c r="A42" s="512">
        <f t="shared" si="13"/>
        <v>20110629</v>
      </c>
      <c r="B42" s="513" t="s">
        <v>567</v>
      </c>
      <c r="C42" s="513" t="str">
        <f t="shared" si="9"/>
        <v>20110629LS</v>
      </c>
      <c r="D42" s="513" t="s">
        <v>630</v>
      </c>
      <c r="E42" s="513" t="str">
        <f t="shared" si="10"/>
        <v>20110629LE_911Pole</v>
      </c>
      <c r="F42" s="514">
        <v>10.44</v>
      </c>
      <c r="G42" s="514">
        <v>0</v>
      </c>
      <c r="H42" s="514">
        <v>0</v>
      </c>
      <c r="I42" s="514">
        <v>0</v>
      </c>
      <c r="J42" s="514">
        <v>0</v>
      </c>
      <c r="K42" s="514">
        <v>0</v>
      </c>
      <c r="L42" s="514">
        <v>0</v>
      </c>
      <c r="M42" s="514">
        <f t="shared" si="11"/>
        <v>10.44</v>
      </c>
      <c r="N42" s="515">
        <f t="shared" si="12"/>
        <v>0</v>
      </c>
      <c r="O42" s="515">
        <f t="shared" si="12"/>
        <v>0</v>
      </c>
      <c r="P42" s="515">
        <f t="shared" si="12"/>
        <v>0</v>
      </c>
      <c r="X42" s="98"/>
      <c r="Y42" s="98"/>
      <c r="Z42" s="98"/>
      <c r="AA42" s="98"/>
      <c r="AB42" s="98"/>
      <c r="AC42" s="98"/>
      <c r="AD42" s="98"/>
      <c r="AE42" s="98"/>
      <c r="AF42" s="98"/>
      <c r="AG42" s="98"/>
      <c r="AH42" s="98"/>
    </row>
    <row r="43" spans="1:34">
      <c r="A43" s="512">
        <f t="shared" si="13"/>
        <v>20110629</v>
      </c>
      <c r="B43" s="513" t="s">
        <v>567</v>
      </c>
      <c r="C43" s="513" t="str">
        <f t="shared" si="9"/>
        <v>20110629LS</v>
      </c>
      <c r="D43" s="513" t="s">
        <v>631</v>
      </c>
      <c r="E43" s="513" t="str">
        <f t="shared" si="10"/>
        <v>20110629LE_912Pole</v>
      </c>
      <c r="F43" s="514">
        <v>12.46</v>
      </c>
      <c r="G43" s="514">
        <v>0</v>
      </c>
      <c r="H43" s="514">
        <v>0</v>
      </c>
      <c r="I43" s="514">
        <v>0</v>
      </c>
      <c r="J43" s="514">
        <v>0</v>
      </c>
      <c r="K43" s="514">
        <v>0</v>
      </c>
      <c r="L43" s="514">
        <v>0</v>
      </c>
      <c r="M43" s="514">
        <f t="shared" si="11"/>
        <v>12.46</v>
      </c>
      <c r="N43" s="515">
        <f t="shared" si="12"/>
        <v>0</v>
      </c>
      <c r="O43" s="515">
        <f t="shared" si="12"/>
        <v>0</v>
      </c>
      <c r="P43" s="515">
        <f t="shared" si="12"/>
        <v>0</v>
      </c>
      <c r="X43" s="98"/>
      <c r="Y43" s="98"/>
      <c r="Z43" s="98"/>
      <c r="AA43" s="98"/>
      <c r="AB43" s="98"/>
      <c r="AC43" s="98"/>
      <c r="AD43" s="98"/>
      <c r="AE43" s="98"/>
      <c r="AF43" s="98"/>
      <c r="AG43" s="98"/>
      <c r="AH43" s="98"/>
    </row>
    <row r="44" spans="1:34">
      <c r="A44" s="512">
        <f t="shared" si="13"/>
        <v>20110629</v>
      </c>
      <c r="B44" s="513" t="s">
        <v>459</v>
      </c>
      <c r="C44" s="513" t="str">
        <f t="shared" si="9"/>
        <v>20110629RLS</v>
      </c>
      <c r="D44" s="513" t="s">
        <v>632</v>
      </c>
      <c r="E44" s="513" t="str">
        <f t="shared" si="10"/>
        <v>20110629LE_950Base</v>
      </c>
      <c r="F44" s="514">
        <v>3.35</v>
      </c>
      <c r="G44" s="514">
        <v>0</v>
      </c>
      <c r="H44" s="514">
        <v>0</v>
      </c>
      <c r="I44" s="514">
        <v>0</v>
      </c>
      <c r="J44" s="514">
        <v>0</v>
      </c>
      <c r="K44" s="514">
        <v>0</v>
      </c>
      <c r="L44" s="514">
        <v>0</v>
      </c>
      <c r="M44" s="514">
        <f t="shared" si="11"/>
        <v>3.35</v>
      </c>
      <c r="N44" s="515">
        <f t="shared" si="12"/>
        <v>0</v>
      </c>
      <c r="O44" s="515">
        <f t="shared" si="12"/>
        <v>0</v>
      </c>
      <c r="P44" s="515">
        <f t="shared" si="12"/>
        <v>0</v>
      </c>
      <c r="X44" s="98"/>
      <c r="Y44" s="98"/>
      <c r="Z44" s="98"/>
      <c r="AA44" s="98"/>
      <c r="AB44" s="98"/>
      <c r="AC44" s="98"/>
      <c r="AD44" s="98"/>
      <c r="AE44" s="98"/>
      <c r="AF44" s="98"/>
      <c r="AG44" s="98"/>
      <c r="AH44" s="98"/>
    </row>
    <row r="45" spans="1:34">
      <c r="A45" s="512">
        <f t="shared" si="13"/>
        <v>20110629</v>
      </c>
      <c r="B45" s="513" t="s">
        <v>459</v>
      </c>
      <c r="C45" s="513" t="str">
        <f t="shared" si="9"/>
        <v>20110629RLS</v>
      </c>
      <c r="D45" s="513" t="s">
        <v>633</v>
      </c>
      <c r="E45" s="513" t="str">
        <f t="shared" si="10"/>
        <v>20110629LE_951Base</v>
      </c>
      <c r="F45" s="514">
        <v>3.6</v>
      </c>
      <c r="G45" s="514">
        <v>0</v>
      </c>
      <c r="H45" s="514">
        <v>0</v>
      </c>
      <c r="I45" s="514">
        <v>0</v>
      </c>
      <c r="J45" s="514">
        <v>0</v>
      </c>
      <c r="K45" s="514">
        <v>0</v>
      </c>
      <c r="L45" s="514">
        <v>0</v>
      </c>
      <c r="M45" s="514">
        <f t="shared" si="11"/>
        <v>3.6</v>
      </c>
      <c r="N45" s="515">
        <f t="shared" si="12"/>
        <v>0</v>
      </c>
      <c r="O45" s="515">
        <f t="shared" si="12"/>
        <v>0</v>
      </c>
      <c r="P45" s="515">
        <f t="shared" si="12"/>
        <v>0</v>
      </c>
      <c r="X45" s="98"/>
      <c r="Y45" s="98"/>
      <c r="Z45" s="98"/>
      <c r="AA45" s="98"/>
      <c r="AB45" s="98"/>
      <c r="AC45" s="98"/>
      <c r="AD45" s="98"/>
      <c r="AE45" s="98"/>
      <c r="AF45" s="98"/>
      <c r="AG45" s="98"/>
      <c r="AH45" s="98"/>
    </row>
    <row r="46" spans="1:34">
      <c r="A46" s="512">
        <f t="shared" si="13"/>
        <v>20110629</v>
      </c>
      <c r="B46" s="513" t="s">
        <v>459</v>
      </c>
      <c r="C46" s="513" t="str">
        <f t="shared" si="9"/>
        <v>20110629RLS</v>
      </c>
      <c r="D46" s="513" t="s">
        <v>634</v>
      </c>
      <c r="E46" s="513" t="str">
        <f t="shared" si="10"/>
        <v>20110629LE_952Base</v>
      </c>
      <c r="F46" s="514">
        <v>3.62</v>
      </c>
      <c r="G46" s="514">
        <v>0</v>
      </c>
      <c r="H46" s="514">
        <v>0</v>
      </c>
      <c r="I46" s="514">
        <v>0</v>
      </c>
      <c r="J46" s="514">
        <v>0</v>
      </c>
      <c r="K46" s="514">
        <v>0</v>
      </c>
      <c r="L46" s="514">
        <v>0</v>
      </c>
      <c r="M46" s="514">
        <f t="shared" si="11"/>
        <v>3.62</v>
      </c>
      <c r="N46" s="515">
        <f t="shared" si="12"/>
        <v>0</v>
      </c>
      <c r="O46" s="515">
        <f t="shared" si="12"/>
        <v>0</v>
      </c>
      <c r="P46" s="515">
        <f t="shared" si="12"/>
        <v>0</v>
      </c>
      <c r="X46" s="98"/>
      <c r="Y46" s="98"/>
      <c r="Z46" s="98"/>
      <c r="AA46" s="98"/>
      <c r="AB46" s="98"/>
      <c r="AC46" s="98"/>
      <c r="AD46" s="98"/>
      <c r="AE46" s="98"/>
      <c r="AF46" s="98"/>
      <c r="AG46" s="98"/>
      <c r="AH46" s="98"/>
    </row>
    <row r="47" spans="1:34">
      <c r="A47" s="512">
        <f t="shared" si="13"/>
        <v>20110629</v>
      </c>
      <c r="B47" s="513" t="s">
        <v>459</v>
      </c>
      <c r="C47" s="513" t="str">
        <f t="shared" si="9"/>
        <v>20110629RLS</v>
      </c>
      <c r="D47" s="513" t="s">
        <v>635</v>
      </c>
      <c r="E47" s="513" t="str">
        <f t="shared" si="10"/>
        <v>20110629LE_953Base</v>
      </c>
      <c r="F47" s="514">
        <v>3.81</v>
      </c>
      <c r="G47" s="514">
        <v>0</v>
      </c>
      <c r="H47" s="514">
        <v>0</v>
      </c>
      <c r="I47" s="514">
        <v>0</v>
      </c>
      <c r="J47" s="514">
        <v>0</v>
      </c>
      <c r="K47" s="514">
        <v>0</v>
      </c>
      <c r="L47" s="514">
        <v>0</v>
      </c>
      <c r="M47" s="514">
        <f t="shared" si="11"/>
        <v>3.81</v>
      </c>
      <c r="N47" s="515">
        <f t="shared" si="12"/>
        <v>0</v>
      </c>
      <c r="O47" s="515">
        <f t="shared" si="12"/>
        <v>0</v>
      </c>
      <c r="P47" s="515">
        <f t="shared" si="12"/>
        <v>0</v>
      </c>
      <c r="X47" s="98"/>
      <c r="Y47" s="98"/>
      <c r="Z47" s="98"/>
      <c r="AA47" s="98"/>
      <c r="AB47" s="98"/>
      <c r="AC47" s="98"/>
      <c r="AD47" s="98"/>
      <c r="AE47" s="98"/>
      <c r="AF47" s="98"/>
      <c r="AG47" s="98"/>
      <c r="AH47" s="98"/>
    </row>
    <row r="48" spans="1:34">
      <c r="A48" s="512">
        <f t="shared" si="13"/>
        <v>20110629</v>
      </c>
      <c r="B48" s="513" t="s">
        <v>567</v>
      </c>
      <c r="C48" s="513" t="str">
        <f t="shared" si="9"/>
        <v>20110629LS</v>
      </c>
      <c r="D48" s="513" t="s">
        <v>636</v>
      </c>
      <c r="E48" s="513" t="str">
        <f t="shared" si="10"/>
        <v>20110629LE_954Base</v>
      </c>
      <c r="F48" s="514">
        <v>2.83</v>
      </c>
      <c r="G48" s="514">
        <v>0</v>
      </c>
      <c r="H48" s="514">
        <v>0</v>
      </c>
      <c r="I48" s="514">
        <v>0</v>
      </c>
      <c r="J48" s="514">
        <v>0</v>
      </c>
      <c r="K48" s="514">
        <v>0</v>
      </c>
      <c r="L48" s="514">
        <v>0</v>
      </c>
      <c r="M48" s="514">
        <f t="shared" si="11"/>
        <v>2.83</v>
      </c>
      <c r="N48" s="515">
        <f t="shared" si="12"/>
        <v>0</v>
      </c>
      <c r="O48" s="515">
        <f t="shared" si="12"/>
        <v>0</v>
      </c>
      <c r="P48" s="515">
        <f t="shared" si="12"/>
        <v>0</v>
      </c>
      <c r="X48" s="98"/>
      <c r="Y48" s="98"/>
      <c r="Z48" s="98"/>
      <c r="AA48" s="98"/>
      <c r="AB48" s="98"/>
      <c r="AC48" s="98"/>
      <c r="AD48" s="98"/>
      <c r="AE48" s="98"/>
      <c r="AF48" s="98"/>
      <c r="AG48" s="98"/>
      <c r="AH48" s="98"/>
    </row>
    <row r="49" spans="1:34">
      <c r="A49" s="512">
        <f t="shared" si="13"/>
        <v>20110629</v>
      </c>
      <c r="B49" s="513" t="s">
        <v>567</v>
      </c>
      <c r="C49" s="513" t="str">
        <f t="shared" si="9"/>
        <v>20110629LS</v>
      </c>
      <c r="D49" s="513" t="s">
        <v>637</v>
      </c>
      <c r="E49" s="513" t="str">
        <f t="shared" si="10"/>
        <v>20110629LE_955Base</v>
      </c>
      <c r="F49" s="514">
        <v>2.83</v>
      </c>
      <c r="G49" s="514">
        <v>0</v>
      </c>
      <c r="H49" s="514">
        <v>0</v>
      </c>
      <c r="I49" s="514">
        <v>0</v>
      </c>
      <c r="J49" s="514">
        <v>0</v>
      </c>
      <c r="K49" s="514">
        <v>0</v>
      </c>
      <c r="L49" s="514">
        <v>0</v>
      </c>
      <c r="M49" s="514">
        <f t="shared" si="11"/>
        <v>2.83</v>
      </c>
      <c r="N49" s="515">
        <f t="shared" si="12"/>
        <v>0</v>
      </c>
      <c r="O49" s="515">
        <f t="shared" si="12"/>
        <v>0</v>
      </c>
      <c r="P49" s="515">
        <f t="shared" si="12"/>
        <v>0</v>
      </c>
      <c r="X49" s="98"/>
      <c r="Y49" s="98"/>
      <c r="Z49" s="98"/>
      <c r="AA49" s="98"/>
      <c r="AB49" s="98"/>
      <c r="AC49" s="98"/>
      <c r="AD49" s="98"/>
      <c r="AE49" s="98"/>
      <c r="AF49" s="98"/>
      <c r="AG49" s="98"/>
      <c r="AH49" s="98"/>
    </row>
    <row r="50" spans="1:34">
      <c r="A50" s="512">
        <f t="shared" si="13"/>
        <v>20110629</v>
      </c>
      <c r="B50" s="513" t="s">
        <v>567</v>
      </c>
      <c r="C50" s="513" t="str">
        <f t="shared" si="9"/>
        <v>20110629LS</v>
      </c>
      <c r="D50" s="513" t="s">
        <v>638</v>
      </c>
      <c r="E50" s="513" t="str">
        <f t="shared" si="10"/>
        <v>20110629LE_956Base</v>
      </c>
      <c r="F50" s="514">
        <v>2.83</v>
      </c>
      <c r="G50" s="514">
        <v>0</v>
      </c>
      <c r="H50" s="514">
        <v>0</v>
      </c>
      <c r="I50" s="514">
        <v>0</v>
      </c>
      <c r="J50" s="514">
        <v>0</v>
      </c>
      <c r="K50" s="514">
        <v>0</v>
      </c>
      <c r="L50" s="514">
        <v>0</v>
      </c>
      <c r="M50" s="514">
        <f t="shared" si="11"/>
        <v>2.83</v>
      </c>
      <c r="N50" s="515">
        <f t="shared" si="12"/>
        <v>0</v>
      </c>
      <c r="O50" s="515">
        <f t="shared" si="12"/>
        <v>0</v>
      </c>
      <c r="P50" s="515">
        <f t="shared" si="12"/>
        <v>0</v>
      </c>
      <c r="X50" s="98"/>
      <c r="Y50" s="98"/>
      <c r="Z50" s="98"/>
      <c r="AA50" s="98"/>
      <c r="AB50" s="98"/>
      <c r="AC50" s="98"/>
      <c r="AD50" s="98"/>
      <c r="AE50" s="98"/>
      <c r="AF50" s="98"/>
      <c r="AG50" s="98"/>
      <c r="AH50" s="98"/>
    </row>
    <row r="51" spans="1:34">
      <c r="A51" s="512">
        <f t="shared" si="13"/>
        <v>20110629</v>
      </c>
      <c r="B51" s="513" t="s">
        <v>567</v>
      </c>
      <c r="C51" s="513" t="str">
        <f t="shared" si="9"/>
        <v>20110629LS</v>
      </c>
      <c r="D51" s="513" t="s">
        <v>639</v>
      </c>
      <c r="E51" s="513" t="str">
        <f t="shared" si="10"/>
        <v>20110629LE_957Base</v>
      </c>
      <c r="F51" s="514">
        <v>3</v>
      </c>
      <c r="G51" s="514">
        <v>0</v>
      </c>
      <c r="H51" s="514">
        <v>0</v>
      </c>
      <c r="I51" s="514">
        <v>0</v>
      </c>
      <c r="J51" s="514">
        <v>0</v>
      </c>
      <c r="K51" s="514">
        <v>0</v>
      </c>
      <c r="L51" s="514">
        <v>0</v>
      </c>
      <c r="M51" s="514">
        <f t="shared" si="11"/>
        <v>3</v>
      </c>
      <c r="N51" s="515">
        <f t="shared" si="12"/>
        <v>0</v>
      </c>
      <c r="O51" s="515">
        <f t="shared" si="12"/>
        <v>0</v>
      </c>
      <c r="P51" s="515">
        <f t="shared" si="12"/>
        <v>0</v>
      </c>
      <c r="X51" s="98"/>
      <c r="Y51" s="98"/>
      <c r="Z51" s="98"/>
      <c r="AA51" s="98"/>
      <c r="AB51" s="98"/>
      <c r="AC51" s="98"/>
      <c r="AD51" s="98"/>
      <c r="AE51" s="98"/>
      <c r="AF51" s="98"/>
      <c r="AG51" s="98"/>
      <c r="AH51" s="98"/>
    </row>
    <row r="52" spans="1:34">
      <c r="A52" s="512">
        <f>A50</f>
        <v>20110629</v>
      </c>
      <c r="B52" s="513" t="s">
        <v>567</v>
      </c>
      <c r="C52" s="513" t="str">
        <f>A52&amp;B52</f>
        <v>20110629LS</v>
      </c>
      <c r="D52" s="513" t="s">
        <v>640</v>
      </c>
      <c r="E52" s="513" t="str">
        <f>A52&amp;D52</f>
        <v>20110629LE_958Pole</v>
      </c>
      <c r="F52" s="514">
        <v>10.92</v>
      </c>
      <c r="G52" s="514">
        <v>0</v>
      </c>
      <c r="H52" s="514">
        <v>0</v>
      </c>
      <c r="I52" s="514">
        <v>0</v>
      </c>
      <c r="J52" s="514">
        <v>0</v>
      </c>
      <c r="K52" s="514">
        <v>0</v>
      </c>
      <c r="L52" s="514">
        <v>0</v>
      </c>
      <c r="M52" s="514">
        <f>F52-K52-L52</f>
        <v>10.92</v>
      </c>
      <c r="N52" s="515">
        <f t="shared" ref="N52:P64" si="14">IF(H52=0,0,H52-$K52-$L52)</f>
        <v>0</v>
      </c>
      <c r="O52" s="515">
        <f t="shared" si="14"/>
        <v>0</v>
      </c>
      <c r="P52" s="515">
        <f t="shared" si="14"/>
        <v>0</v>
      </c>
      <c r="X52" s="98"/>
      <c r="Y52" s="98"/>
      <c r="Z52" s="98"/>
      <c r="AA52" s="98"/>
      <c r="AB52" s="98"/>
      <c r="AC52" s="98"/>
      <c r="AD52" s="98"/>
      <c r="AE52" s="98"/>
      <c r="AF52" s="98"/>
      <c r="AG52" s="98"/>
      <c r="AH52" s="98"/>
    </row>
    <row r="53" spans="1:34">
      <c r="A53" s="512">
        <f>A50</f>
        <v>20110629</v>
      </c>
      <c r="B53" s="513" t="s">
        <v>567</v>
      </c>
      <c r="C53" s="513" t="str">
        <f>A53&amp;B53</f>
        <v>20110629LS</v>
      </c>
      <c r="D53" s="516" t="s">
        <v>708</v>
      </c>
      <c r="E53" s="513" t="str">
        <f>A53&amp;D53</f>
        <v>20110629LE_960Base</v>
      </c>
      <c r="F53" s="514">
        <v>3.35</v>
      </c>
      <c r="G53" s="514">
        <v>0</v>
      </c>
      <c r="H53" s="514">
        <v>0</v>
      </c>
      <c r="I53" s="514">
        <v>0</v>
      </c>
      <c r="J53" s="514">
        <v>0</v>
      </c>
      <c r="K53" s="514">
        <v>0</v>
      </c>
      <c r="L53" s="514">
        <v>0</v>
      </c>
      <c r="M53" s="514">
        <f>F53-K53-L53</f>
        <v>3.35</v>
      </c>
      <c r="N53" s="515">
        <f t="shared" si="14"/>
        <v>0</v>
      </c>
      <c r="O53" s="515">
        <f t="shared" si="14"/>
        <v>0</v>
      </c>
      <c r="P53" s="515">
        <f t="shared" si="14"/>
        <v>0</v>
      </c>
      <c r="X53" s="98"/>
      <c r="Y53" s="98"/>
      <c r="Z53" s="98"/>
      <c r="AA53" s="98"/>
      <c r="AB53" s="98"/>
      <c r="AC53" s="98"/>
      <c r="AD53" s="98"/>
      <c r="AE53" s="98"/>
      <c r="AF53" s="98"/>
      <c r="AG53" s="98"/>
      <c r="AH53" s="98"/>
    </row>
    <row r="54" spans="1:34">
      <c r="A54" s="512">
        <f>A49</f>
        <v>20110629</v>
      </c>
      <c r="B54" s="513" t="s">
        <v>567</v>
      </c>
      <c r="C54" s="513" t="str">
        <f>A54&amp;B54</f>
        <v>20110629LS</v>
      </c>
      <c r="D54" s="516" t="s">
        <v>709</v>
      </c>
      <c r="E54" s="513" t="str">
        <f>A54&amp;D54</f>
        <v>20110629LE_961Base</v>
      </c>
      <c r="F54" s="514">
        <v>3.6</v>
      </c>
      <c r="G54" s="514">
        <v>0</v>
      </c>
      <c r="H54" s="514">
        <v>0</v>
      </c>
      <c r="I54" s="514">
        <v>0</v>
      </c>
      <c r="J54" s="514">
        <v>0</v>
      </c>
      <c r="K54" s="514">
        <v>0</v>
      </c>
      <c r="L54" s="514">
        <v>0</v>
      </c>
      <c r="M54" s="514">
        <f>F54-K54-L54</f>
        <v>3.6</v>
      </c>
      <c r="N54" s="515">
        <f t="shared" si="14"/>
        <v>0</v>
      </c>
      <c r="O54" s="515">
        <f t="shared" si="14"/>
        <v>0</v>
      </c>
      <c r="P54" s="515">
        <f t="shared" si="14"/>
        <v>0</v>
      </c>
      <c r="X54" s="98"/>
      <c r="Y54" s="98"/>
      <c r="Z54" s="98"/>
      <c r="AA54" s="98"/>
      <c r="AB54" s="98"/>
      <c r="AC54" s="98"/>
      <c r="AD54" s="98"/>
      <c r="AE54" s="98"/>
      <c r="AF54" s="98"/>
      <c r="AG54" s="98"/>
      <c r="AH54" s="98"/>
    </row>
    <row r="55" spans="1:34">
      <c r="A55" s="512">
        <f>A50</f>
        <v>20110629</v>
      </c>
      <c r="B55" s="513" t="s">
        <v>567</v>
      </c>
      <c r="C55" s="513" t="str">
        <f>A55&amp;B55</f>
        <v>20110629LS</v>
      </c>
      <c r="D55" s="516" t="s">
        <v>707</v>
      </c>
      <c r="E55" s="513" t="str">
        <f>A55&amp;D55</f>
        <v>20110629LE_962Base</v>
      </c>
      <c r="F55" s="514">
        <v>3.62</v>
      </c>
      <c r="G55" s="514">
        <v>0</v>
      </c>
      <c r="H55" s="514">
        <v>0</v>
      </c>
      <c r="I55" s="514">
        <v>0</v>
      </c>
      <c r="J55" s="514">
        <v>0</v>
      </c>
      <c r="K55" s="514">
        <v>0</v>
      </c>
      <c r="L55" s="514">
        <v>0</v>
      </c>
      <c r="M55" s="514">
        <f>F55-K55-L55</f>
        <v>3.62</v>
      </c>
      <c r="N55" s="515">
        <f t="shared" si="14"/>
        <v>0</v>
      </c>
      <c r="O55" s="515">
        <f t="shared" si="14"/>
        <v>0</v>
      </c>
      <c r="P55" s="515">
        <f t="shared" si="14"/>
        <v>0</v>
      </c>
      <c r="X55" s="98"/>
      <c r="Y55" s="98"/>
      <c r="Z55" s="98"/>
      <c r="AA55" s="98"/>
      <c r="AB55" s="98"/>
      <c r="AC55" s="98"/>
      <c r="AD55" s="98"/>
      <c r="AE55" s="98"/>
      <c r="AF55" s="98"/>
      <c r="AG55" s="98"/>
      <c r="AH55" s="98"/>
    </row>
    <row r="56" spans="1:34">
      <c r="A56" s="512">
        <f>A51</f>
        <v>20110629</v>
      </c>
      <c r="B56" s="513" t="s">
        <v>567</v>
      </c>
      <c r="C56" s="513" t="str">
        <f t="shared" si="9"/>
        <v>20110629LS</v>
      </c>
      <c r="D56" s="516" t="s">
        <v>710</v>
      </c>
      <c r="E56" s="513" t="str">
        <f t="shared" si="10"/>
        <v>20110629LE_963Base</v>
      </c>
      <c r="F56" s="514">
        <v>3.81</v>
      </c>
      <c r="G56" s="514">
        <v>0</v>
      </c>
      <c r="H56" s="514">
        <v>0</v>
      </c>
      <c r="I56" s="514">
        <v>0</v>
      </c>
      <c r="J56" s="514">
        <v>0</v>
      </c>
      <c r="K56" s="514">
        <v>0</v>
      </c>
      <c r="L56" s="514">
        <v>0</v>
      </c>
      <c r="M56" s="514">
        <f t="shared" si="11"/>
        <v>3.81</v>
      </c>
      <c r="N56" s="515">
        <f t="shared" si="14"/>
        <v>0</v>
      </c>
      <c r="O56" s="515">
        <f t="shared" si="14"/>
        <v>0</v>
      </c>
      <c r="P56" s="515">
        <f t="shared" si="14"/>
        <v>0</v>
      </c>
      <c r="X56" s="98"/>
      <c r="Y56" s="98"/>
      <c r="Z56" s="98"/>
      <c r="AA56" s="98"/>
      <c r="AB56" s="98"/>
      <c r="AC56" s="98"/>
      <c r="AD56" s="98"/>
      <c r="AE56" s="98"/>
      <c r="AF56" s="98"/>
      <c r="AG56" s="98"/>
      <c r="AH56" s="98"/>
    </row>
    <row r="57" spans="1:34">
      <c r="A57" s="517">
        <v>20120301</v>
      </c>
      <c r="B57" s="518" t="s">
        <v>459</v>
      </c>
      <c r="C57" s="518" t="str">
        <f t="shared" ref="C57:C67" si="15">A57&amp;B57</f>
        <v>20120301RLS</v>
      </c>
      <c r="D57" s="518" t="s">
        <v>626</v>
      </c>
      <c r="E57" s="518" t="str">
        <f t="shared" ref="E57:E67" si="16">A57&amp;D57</f>
        <v>20120301LE_900Pole</v>
      </c>
      <c r="F57" s="519">
        <v>1.99</v>
      </c>
      <c r="G57" s="519">
        <v>0</v>
      </c>
      <c r="H57" s="519">
        <v>0</v>
      </c>
      <c r="I57" s="519">
        <v>0</v>
      </c>
      <c r="J57" s="519">
        <v>0</v>
      </c>
      <c r="K57" s="519">
        <v>0</v>
      </c>
      <c r="L57" s="519">
        <v>0</v>
      </c>
      <c r="M57" s="519">
        <f t="shared" ref="M57:M67" si="17">F57-K57-L57</f>
        <v>1.99</v>
      </c>
      <c r="N57" s="520">
        <f t="shared" si="14"/>
        <v>0</v>
      </c>
      <c r="O57" s="520">
        <f t="shared" si="14"/>
        <v>0</v>
      </c>
      <c r="P57" s="520">
        <f t="shared" si="14"/>
        <v>0</v>
      </c>
    </row>
    <row r="58" spans="1:34">
      <c r="A58" s="517">
        <v>20120301</v>
      </c>
      <c r="B58" s="518" t="s">
        <v>459</v>
      </c>
      <c r="C58" s="518" t="str">
        <f t="shared" si="15"/>
        <v>20120301RLS</v>
      </c>
      <c r="D58" s="518" t="s">
        <v>627</v>
      </c>
      <c r="E58" s="518" t="str">
        <f t="shared" si="16"/>
        <v>20120301LE_901Pole</v>
      </c>
      <c r="F58" s="519">
        <v>10.44</v>
      </c>
      <c r="G58" s="519">
        <v>0</v>
      </c>
      <c r="H58" s="519">
        <v>0</v>
      </c>
      <c r="I58" s="519">
        <v>0</v>
      </c>
      <c r="J58" s="519">
        <v>0</v>
      </c>
      <c r="K58" s="519">
        <v>0</v>
      </c>
      <c r="L58" s="519">
        <v>0</v>
      </c>
      <c r="M58" s="519">
        <f t="shared" si="17"/>
        <v>10.44</v>
      </c>
      <c r="N58" s="520">
        <f t="shared" si="14"/>
        <v>0</v>
      </c>
      <c r="O58" s="520">
        <f t="shared" si="14"/>
        <v>0</v>
      </c>
      <c r="P58" s="520">
        <f t="shared" si="14"/>
        <v>0</v>
      </c>
    </row>
    <row r="59" spans="1:34">
      <c r="A59" s="517">
        <v>20120301</v>
      </c>
      <c r="B59" s="518" t="s">
        <v>459</v>
      </c>
      <c r="C59" s="518" t="str">
        <f t="shared" si="15"/>
        <v>20120301RLS</v>
      </c>
      <c r="D59" s="518" t="s">
        <v>628</v>
      </c>
      <c r="E59" s="518" t="str">
        <f t="shared" si="16"/>
        <v>20120301LE_902Pole</v>
      </c>
      <c r="F59" s="519">
        <v>12.46</v>
      </c>
      <c r="G59" s="519">
        <v>0</v>
      </c>
      <c r="H59" s="519">
        <v>0</v>
      </c>
      <c r="I59" s="519">
        <v>0</v>
      </c>
      <c r="J59" s="519">
        <v>0</v>
      </c>
      <c r="K59" s="519">
        <v>0</v>
      </c>
      <c r="L59" s="519">
        <v>0</v>
      </c>
      <c r="M59" s="519">
        <f t="shared" si="17"/>
        <v>12.46</v>
      </c>
      <c r="N59" s="520">
        <f t="shared" si="14"/>
        <v>0</v>
      </c>
      <c r="O59" s="520">
        <f t="shared" si="14"/>
        <v>0</v>
      </c>
      <c r="P59" s="520">
        <f t="shared" si="14"/>
        <v>0</v>
      </c>
    </row>
    <row r="60" spans="1:34">
      <c r="A60" s="517">
        <v>20120301</v>
      </c>
      <c r="B60" s="518" t="s">
        <v>459</v>
      </c>
      <c r="C60" s="518" t="str">
        <f t="shared" si="15"/>
        <v>20120301RLS</v>
      </c>
      <c r="D60" s="518" t="s">
        <v>632</v>
      </c>
      <c r="E60" s="518" t="str">
        <f t="shared" si="16"/>
        <v>20120301LE_950Base</v>
      </c>
      <c r="F60" s="519">
        <v>3.35</v>
      </c>
      <c r="G60" s="519">
        <v>0</v>
      </c>
      <c r="H60" s="519">
        <v>0</v>
      </c>
      <c r="I60" s="519">
        <v>0</v>
      </c>
      <c r="J60" s="519">
        <v>0</v>
      </c>
      <c r="K60" s="519">
        <v>0</v>
      </c>
      <c r="L60" s="519">
        <v>0</v>
      </c>
      <c r="M60" s="519">
        <f t="shared" si="17"/>
        <v>3.35</v>
      </c>
      <c r="N60" s="520">
        <f t="shared" si="14"/>
        <v>0</v>
      </c>
      <c r="O60" s="520">
        <f t="shared" si="14"/>
        <v>0</v>
      </c>
      <c r="P60" s="520">
        <f t="shared" si="14"/>
        <v>0</v>
      </c>
    </row>
    <row r="61" spans="1:34">
      <c r="A61" s="517">
        <v>20120301</v>
      </c>
      <c r="B61" s="518" t="s">
        <v>459</v>
      </c>
      <c r="C61" s="518" t="str">
        <f t="shared" si="15"/>
        <v>20120301RLS</v>
      </c>
      <c r="D61" s="518" t="s">
        <v>633</v>
      </c>
      <c r="E61" s="518" t="str">
        <f t="shared" si="16"/>
        <v>20120301LE_951Base</v>
      </c>
      <c r="F61" s="519">
        <v>3.6</v>
      </c>
      <c r="G61" s="519">
        <v>0</v>
      </c>
      <c r="H61" s="519">
        <v>0</v>
      </c>
      <c r="I61" s="519">
        <v>0</v>
      </c>
      <c r="J61" s="519">
        <v>0</v>
      </c>
      <c r="K61" s="519">
        <v>0</v>
      </c>
      <c r="L61" s="519">
        <v>0</v>
      </c>
      <c r="M61" s="519">
        <f t="shared" si="17"/>
        <v>3.6</v>
      </c>
      <c r="N61" s="520">
        <f t="shared" si="14"/>
        <v>0</v>
      </c>
      <c r="O61" s="520">
        <f t="shared" si="14"/>
        <v>0</v>
      </c>
      <c r="P61" s="520">
        <f t="shared" si="14"/>
        <v>0</v>
      </c>
    </row>
    <row r="62" spans="1:34">
      <c r="A62" s="517">
        <v>20120301</v>
      </c>
      <c r="B62" s="518" t="s">
        <v>459</v>
      </c>
      <c r="C62" s="518" t="str">
        <f t="shared" si="15"/>
        <v>20120301RLS</v>
      </c>
      <c r="D62" s="518" t="s">
        <v>634</v>
      </c>
      <c r="E62" s="518" t="str">
        <f t="shared" si="16"/>
        <v>20120301LE_952Base</v>
      </c>
      <c r="F62" s="519">
        <v>3.62</v>
      </c>
      <c r="G62" s="519">
        <v>0</v>
      </c>
      <c r="H62" s="519">
        <v>0</v>
      </c>
      <c r="I62" s="519">
        <v>0</v>
      </c>
      <c r="J62" s="519">
        <v>0</v>
      </c>
      <c r="K62" s="519">
        <v>0</v>
      </c>
      <c r="L62" s="519">
        <v>0</v>
      </c>
      <c r="M62" s="519">
        <f t="shared" si="17"/>
        <v>3.62</v>
      </c>
      <c r="N62" s="520">
        <f t="shared" si="14"/>
        <v>0</v>
      </c>
      <c r="O62" s="520">
        <f t="shared" si="14"/>
        <v>0</v>
      </c>
      <c r="P62" s="520">
        <f t="shared" si="14"/>
        <v>0</v>
      </c>
    </row>
    <row r="63" spans="1:34">
      <c r="A63" s="517">
        <v>20120301</v>
      </c>
      <c r="B63" s="518" t="s">
        <v>459</v>
      </c>
      <c r="C63" s="518" t="str">
        <f t="shared" si="15"/>
        <v>20120301RLS</v>
      </c>
      <c r="D63" s="518" t="s">
        <v>635</v>
      </c>
      <c r="E63" s="518" t="str">
        <f t="shared" si="16"/>
        <v>20120301LE_953Base</v>
      </c>
      <c r="F63" s="519">
        <v>3.81</v>
      </c>
      <c r="G63" s="519">
        <v>0</v>
      </c>
      <c r="H63" s="519">
        <v>0</v>
      </c>
      <c r="I63" s="519">
        <v>0</v>
      </c>
      <c r="J63" s="519">
        <v>0</v>
      </c>
      <c r="K63" s="519">
        <v>0</v>
      </c>
      <c r="L63" s="519">
        <v>0</v>
      </c>
      <c r="M63" s="519">
        <f t="shared" si="17"/>
        <v>3.81</v>
      </c>
      <c r="N63" s="520">
        <f t="shared" si="14"/>
        <v>0</v>
      </c>
      <c r="O63" s="520">
        <f t="shared" si="14"/>
        <v>0</v>
      </c>
      <c r="P63" s="520">
        <f t="shared" si="14"/>
        <v>0</v>
      </c>
    </row>
    <row r="64" spans="1:34">
      <c r="A64" s="517">
        <v>20120301</v>
      </c>
      <c r="B64" s="518" t="s">
        <v>567</v>
      </c>
      <c r="C64" s="518" t="str">
        <f t="shared" si="15"/>
        <v>20120301LS</v>
      </c>
      <c r="D64" s="518" t="s">
        <v>636</v>
      </c>
      <c r="E64" s="518" t="str">
        <f t="shared" si="16"/>
        <v>20120301LE_954Base</v>
      </c>
      <c r="F64" s="519">
        <v>2.83</v>
      </c>
      <c r="G64" s="519">
        <v>0</v>
      </c>
      <c r="H64" s="519">
        <v>0</v>
      </c>
      <c r="I64" s="519">
        <v>0</v>
      </c>
      <c r="J64" s="519">
        <v>0</v>
      </c>
      <c r="K64" s="519">
        <v>0</v>
      </c>
      <c r="L64" s="519">
        <v>0</v>
      </c>
      <c r="M64" s="519">
        <f t="shared" si="17"/>
        <v>2.83</v>
      </c>
      <c r="N64" s="520">
        <f t="shared" si="14"/>
        <v>0</v>
      </c>
      <c r="O64" s="520">
        <f t="shared" si="14"/>
        <v>0</v>
      </c>
      <c r="P64" s="520">
        <f t="shared" si="14"/>
        <v>0</v>
      </c>
    </row>
    <row r="65" spans="1:16">
      <c r="A65" s="517">
        <v>20120301</v>
      </c>
      <c r="B65" s="518" t="s">
        <v>567</v>
      </c>
      <c r="C65" s="518" t="str">
        <f t="shared" si="15"/>
        <v>20120301LS</v>
      </c>
      <c r="D65" s="518" t="s">
        <v>637</v>
      </c>
      <c r="E65" s="518" t="str">
        <f t="shared" si="16"/>
        <v>20120301LE_955Base</v>
      </c>
      <c r="F65" s="519">
        <v>2.83</v>
      </c>
      <c r="G65" s="519">
        <v>0</v>
      </c>
      <c r="H65" s="519">
        <v>0</v>
      </c>
      <c r="I65" s="519">
        <v>0</v>
      </c>
      <c r="J65" s="519">
        <v>0</v>
      </c>
      <c r="K65" s="519">
        <v>0</v>
      </c>
      <c r="L65" s="519">
        <v>0</v>
      </c>
      <c r="M65" s="519">
        <f t="shared" si="17"/>
        <v>2.83</v>
      </c>
      <c r="N65" s="520">
        <f t="shared" ref="N65:N76" si="18">IF(H65=0,0,H65-$K65-$L65)</f>
        <v>0</v>
      </c>
      <c r="O65" s="520">
        <f t="shared" ref="O65:O76" si="19">IF(I65=0,0,I65-$K65-$L65)</f>
        <v>0</v>
      </c>
      <c r="P65" s="520">
        <f t="shared" ref="P65:P76" si="20">IF(J65=0,0,J65-$K65-$L65)</f>
        <v>0</v>
      </c>
    </row>
    <row r="66" spans="1:16">
      <c r="A66" s="517">
        <v>20120301</v>
      </c>
      <c r="B66" s="518" t="s">
        <v>567</v>
      </c>
      <c r="C66" s="518" t="str">
        <f t="shared" si="15"/>
        <v>20120301LS</v>
      </c>
      <c r="D66" s="518" t="s">
        <v>638</v>
      </c>
      <c r="E66" s="518" t="str">
        <f t="shared" si="16"/>
        <v>20120301LE_956Base</v>
      </c>
      <c r="F66" s="519">
        <v>2.83</v>
      </c>
      <c r="G66" s="519">
        <v>0</v>
      </c>
      <c r="H66" s="519">
        <v>0</v>
      </c>
      <c r="I66" s="519">
        <v>0</v>
      </c>
      <c r="J66" s="519">
        <v>0</v>
      </c>
      <c r="K66" s="519">
        <v>0</v>
      </c>
      <c r="L66" s="519">
        <v>0</v>
      </c>
      <c r="M66" s="519">
        <f t="shared" si="17"/>
        <v>2.83</v>
      </c>
      <c r="N66" s="520">
        <f t="shared" si="18"/>
        <v>0</v>
      </c>
      <c r="O66" s="520">
        <f t="shared" si="19"/>
        <v>0</v>
      </c>
      <c r="P66" s="520">
        <f t="shared" si="20"/>
        <v>0</v>
      </c>
    </row>
    <row r="67" spans="1:16">
      <c r="A67" s="517">
        <v>20120301</v>
      </c>
      <c r="B67" s="518" t="s">
        <v>567</v>
      </c>
      <c r="C67" s="518" t="str">
        <f t="shared" si="15"/>
        <v>20120301LS</v>
      </c>
      <c r="D67" s="518" t="s">
        <v>639</v>
      </c>
      <c r="E67" s="518" t="str">
        <f t="shared" si="16"/>
        <v>20120301LE_957Base</v>
      </c>
      <c r="F67" s="519">
        <v>3</v>
      </c>
      <c r="G67" s="519">
        <v>0</v>
      </c>
      <c r="H67" s="519">
        <v>0</v>
      </c>
      <c r="I67" s="519">
        <v>0</v>
      </c>
      <c r="J67" s="519">
        <v>0</v>
      </c>
      <c r="K67" s="519">
        <v>0</v>
      </c>
      <c r="L67" s="519">
        <v>0</v>
      </c>
      <c r="M67" s="519">
        <f t="shared" si="17"/>
        <v>3</v>
      </c>
      <c r="N67" s="520">
        <f t="shared" si="18"/>
        <v>0</v>
      </c>
      <c r="O67" s="520">
        <f t="shared" si="19"/>
        <v>0</v>
      </c>
      <c r="P67" s="520">
        <f t="shared" si="20"/>
        <v>0</v>
      </c>
    </row>
    <row r="68" spans="1:16">
      <c r="A68" s="517">
        <v>20120301</v>
      </c>
      <c r="B68" s="518" t="s">
        <v>567</v>
      </c>
      <c r="C68" s="518" t="str">
        <f>A68&amp;B68</f>
        <v>20120301LS</v>
      </c>
      <c r="D68" s="518" t="s">
        <v>640</v>
      </c>
      <c r="E68" s="518" t="str">
        <f>A68&amp;D68</f>
        <v>20120301LE_958Pole</v>
      </c>
      <c r="F68" s="519">
        <v>10.92</v>
      </c>
      <c r="G68" s="519">
        <v>0</v>
      </c>
      <c r="H68" s="519">
        <v>0</v>
      </c>
      <c r="I68" s="519">
        <v>0</v>
      </c>
      <c r="J68" s="519">
        <v>0</v>
      </c>
      <c r="K68" s="519">
        <v>0</v>
      </c>
      <c r="L68" s="519">
        <v>0</v>
      </c>
      <c r="M68" s="519">
        <f>F68-K68-L68</f>
        <v>10.92</v>
      </c>
      <c r="N68" s="520">
        <f t="shared" si="18"/>
        <v>0</v>
      </c>
      <c r="O68" s="520">
        <f t="shared" si="19"/>
        <v>0</v>
      </c>
      <c r="P68" s="520">
        <f t="shared" si="20"/>
        <v>0</v>
      </c>
    </row>
    <row r="69" spans="1:16">
      <c r="A69" s="507">
        <v>20130101</v>
      </c>
      <c r="B69" s="508" t="s">
        <v>459</v>
      </c>
      <c r="C69" s="508" t="str">
        <f t="shared" ref="C69:C79" si="21">A69&amp;B69</f>
        <v>20130101RLS</v>
      </c>
      <c r="D69" s="508" t="s">
        <v>626</v>
      </c>
      <c r="E69" s="508" t="str">
        <f t="shared" ref="E69:E79" si="22">A69&amp;D69</f>
        <v>20130101LE_900Pole</v>
      </c>
      <c r="F69" s="509">
        <v>2.06</v>
      </c>
      <c r="G69" s="509">
        <v>0</v>
      </c>
      <c r="H69" s="509">
        <v>0</v>
      </c>
      <c r="I69" s="509">
        <v>0</v>
      </c>
      <c r="J69" s="509">
        <v>0</v>
      </c>
      <c r="K69" s="509">
        <v>0</v>
      </c>
      <c r="L69" s="509">
        <v>0</v>
      </c>
      <c r="M69" s="509">
        <f t="shared" ref="M69:M79" si="23">F69-K69-L69</f>
        <v>2.06</v>
      </c>
      <c r="N69" s="510">
        <f t="shared" si="18"/>
        <v>0</v>
      </c>
      <c r="O69" s="510">
        <f t="shared" si="19"/>
        <v>0</v>
      </c>
      <c r="P69" s="510">
        <f t="shared" si="20"/>
        <v>0</v>
      </c>
    </row>
    <row r="70" spans="1:16">
      <c r="A70" s="507">
        <v>20130101</v>
      </c>
      <c r="B70" s="508" t="s">
        <v>459</v>
      </c>
      <c r="C70" s="508" t="str">
        <f t="shared" si="21"/>
        <v>20130101RLS</v>
      </c>
      <c r="D70" s="508" t="s">
        <v>627</v>
      </c>
      <c r="E70" s="508" t="str">
        <f t="shared" si="22"/>
        <v>20130101LE_901Pole</v>
      </c>
      <c r="F70" s="509">
        <v>10.81</v>
      </c>
      <c r="G70" s="509">
        <v>0</v>
      </c>
      <c r="H70" s="509">
        <v>0</v>
      </c>
      <c r="I70" s="509">
        <v>0</v>
      </c>
      <c r="J70" s="509">
        <v>0</v>
      </c>
      <c r="K70" s="509">
        <v>0</v>
      </c>
      <c r="L70" s="509">
        <v>0</v>
      </c>
      <c r="M70" s="509">
        <f t="shared" si="23"/>
        <v>10.81</v>
      </c>
      <c r="N70" s="510">
        <f t="shared" si="18"/>
        <v>0</v>
      </c>
      <c r="O70" s="510">
        <f t="shared" si="19"/>
        <v>0</v>
      </c>
      <c r="P70" s="510">
        <f t="shared" si="20"/>
        <v>0</v>
      </c>
    </row>
    <row r="71" spans="1:16">
      <c r="A71" s="507">
        <v>20130101</v>
      </c>
      <c r="B71" s="508" t="s">
        <v>459</v>
      </c>
      <c r="C71" s="508" t="str">
        <f t="shared" si="21"/>
        <v>20130101RLS</v>
      </c>
      <c r="D71" s="508" t="s">
        <v>628</v>
      </c>
      <c r="E71" s="508" t="str">
        <f t="shared" si="22"/>
        <v>20130101LE_902Pole</v>
      </c>
      <c r="F71" s="509">
        <v>12.9</v>
      </c>
      <c r="G71" s="509">
        <v>0</v>
      </c>
      <c r="H71" s="509">
        <v>0</v>
      </c>
      <c r="I71" s="509">
        <v>0</v>
      </c>
      <c r="J71" s="509">
        <v>0</v>
      </c>
      <c r="K71" s="509">
        <v>0</v>
      </c>
      <c r="L71" s="509">
        <v>0</v>
      </c>
      <c r="M71" s="509">
        <f t="shared" si="23"/>
        <v>12.9</v>
      </c>
      <c r="N71" s="510">
        <f t="shared" si="18"/>
        <v>0</v>
      </c>
      <c r="O71" s="510">
        <f t="shared" si="19"/>
        <v>0</v>
      </c>
      <c r="P71" s="510">
        <f t="shared" si="20"/>
        <v>0</v>
      </c>
    </row>
    <row r="72" spans="1:16">
      <c r="A72" s="507">
        <v>20130101</v>
      </c>
      <c r="B72" s="508" t="s">
        <v>459</v>
      </c>
      <c r="C72" s="508" t="str">
        <f t="shared" si="21"/>
        <v>20130101RLS</v>
      </c>
      <c r="D72" s="508" t="s">
        <v>632</v>
      </c>
      <c r="E72" s="508" t="str">
        <f t="shared" si="22"/>
        <v>20130101LE_950Base</v>
      </c>
      <c r="F72" s="509">
        <v>3.47</v>
      </c>
      <c r="G72" s="509">
        <v>0</v>
      </c>
      <c r="H72" s="509">
        <v>0</v>
      </c>
      <c r="I72" s="509">
        <v>0</v>
      </c>
      <c r="J72" s="509">
        <v>0</v>
      </c>
      <c r="K72" s="509">
        <v>0</v>
      </c>
      <c r="L72" s="509">
        <v>0</v>
      </c>
      <c r="M72" s="509">
        <f t="shared" si="23"/>
        <v>3.47</v>
      </c>
      <c r="N72" s="510">
        <f t="shared" si="18"/>
        <v>0</v>
      </c>
      <c r="O72" s="510">
        <f t="shared" si="19"/>
        <v>0</v>
      </c>
      <c r="P72" s="510">
        <f t="shared" si="20"/>
        <v>0</v>
      </c>
    </row>
    <row r="73" spans="1:16">
      <c r="A73" s="507">
        <v>20130101</v>
      </c>
      <c r="B73" s="508" t="s">
        <v>459</v>
      </c>
      <c r="C73" s="508" t="str">
        <f t="shared" si="21"/>
        <v>20130101RLS</v>
      </c>
      <c r="D73" s="508" t="s">
        <v>633</v>
      </c>
      <c r="E73" s="508" t="str">
        <f t="shared" si="22"/>
        <v>20130101LE_951Base</v>
      </c>
      <c r="F73" s="509">
        <v>3.73</v>
      </c>
      <c r="G73" s="509">
        <v>0</v>
      </c>
      <c r="H73" s="509">
        <v>0</v>
      </c>
      <c r="I73" s="509">
        <v>0</v>
      </c>
      <c r="J73" s="509">
        <v>0</v>
      </c>
      <c r="K73" s="509">
        <v>0</v>
      </c>
      <c r="L73" s="509">
        <v>0</v>
      </c>
      <c r="M73" s="509">
        <f t="shared" si="23"/>
        <v>3.73</v>
      </c>
      <c r="N73" s="510">
        <f t="shared" si="18"/>
        <v>0</v>
      </c>
      <c r="O73" s="510">
        <f t="shared" si="19"/>
        <v>0</v>
      </c>
      <c r="P73" s="510">
        <f t="shared" si="20"/>
        <v>0</v>
      </c>
    </row>
    <row r="74" spans="1:16">
      <c r="A74" s="507">
        <v>20130101</v>
      </c>
      <c r="B74" s="508" t="s">
        <v>459</v>
      </c>
      <c r="C74" s="508" t="str">
        <f t="shared" si="21"/>
        <v>20130101RLS</v>
      </c>
      <c r="D74" s="508" t="s">
        <v>634</v>
      </c>
      <c r="E74" s="508" t="str">
        <f t="shared" si="22"/>
        <v>20130101LE_952Base</v>
      </c>
      <c r="F74" s="509">
        <v>3.56</v>
      </c>
      <c r="G74" s="509">
        <v>0</v>
      </c>
      <c r="H74" s="509">
        <v>0</v>
      </c>
      <c r="I74" s="509">
        <v>0</v>
      </c>
      <c r="J74" s="509">
        <v>0</v>
      </c>
      <c r="K74" s="509">
        <v>0</v>
      </c>
      <c r="L74" s="509">
        <v>0</v>
      </c>
      <c r="M74" s="509">
        <f t="shared" si="23"/>
        <v>3.56</v>
      </c>
      <c r="N74" s="510">
        <f t="shared" si="18"/>
        <v>0</v>
      </c>
      <c r="O74" s="510">
        <f t="shared" si="19"/>
        <v>0</v>
      </c>
      <c r="P74" s="510">
        <f t="shared" si="20"/>
        <v>0</v>
      </c>
    </row>
    <row r="75" spans="1:16">
      <c r="A75" s="507">
        <v>20130101</v>
      </c>
      <c r="B75" s="508" t="s">
        <v>459</v>
      </c>
      <c r="C75" s="508" t="str">
        <f t="shared" si="21"/>
        <v>20130101RLS</v>
      </c>
      <c r="D75" s="508" t="s">
        <v>635</v>
      </c>
      <c r="E75" s="508" t="str">
        <f t="shared" si="22"/>
        <v>20130101LE_953Base</v>
      </c>
      <c r="F75" s="509">
        <v>3.73</v>
      </c>
      <c r="G75" s="509">
        <v>0</v>
      </c>
      <c r="H75" s="509">
        <v>0</v>
      </c>
      <c r="I75" s="509">
        <v>0</v>
      </c>
      <c r="J75" s="509">
        <v>0</v>
      </c>
      <c r="K75" s="509">
        <v>0</v>
      </c>
      <c r="L75" s="509">
        <v>0</v>
      </c>
      <c r="M75" s="509">
        <f t="shared" si="23"/>
        <v>3.73</v>
      </c>
      <c r="N75" s="510">
        <f t="shared" si="18"/>
        <v>0</v>
      </c>
      <c r="O75" s="510">
        <f t="shared" si="19"/>
        <v>0</v>
      </c>
      <c r="P75" s="510">
        <f t="shared" si="20"/>
        <v>0</v>
      </c>
    </row>
    <row r="76" spans="1:16">
      <c r="A76" s="507">
        <v>20130101</v>
      </c>
      <c r="B76" s="508" t="s">
        <v>567</v>
      </c>
      <c r="C76" s="508" t="str">
        <f t="shared" ref="C76" si="24">A76&amp;B76</f>
        <v>20130101LS</v>
      </c>
      <c r="D76" s="521" t="s">
        <v>636</v>
      </c>
      <c r="E76" s="508" t="str">
        <f t="shared" ref="E76" si="25">A76&amp;D76</f>
        <v>20130101LE_954Base</v>
      </c>
      <c r="F76" s="509">
        <v>3.47</v>
      </c>
      <c r="G76" s="509">
        <v>0</v>
      </c>
      <c r="H76" s="509">
        <v>0</v>
      </c>
      <c r="I76" s="509">
        <v>0</v>
      </c>
      <c r="J76" s="509">
        <v>0</v>
      </c>
      <c r="K76" s="509">
        <v>0</v>
      </c>
      <c r="L76" s="509">
        <v>0</v>
      </c>
      <c r="M76" s="509">
        <f t="shared" ref="M76" si="26">F76-K76-L76</f>
        <v>3.47</v>
      </c>
      <c r="N76" s="510">
        <f t="shared" si="18"/>
        <v>0</v>
      </c>
      <c r="O76" s="510">
        <f t="shared" si="19"/>
        <v>0</v>
      </c>
      <c r="P76" s="510">
        <f t="shared" si="20"/>
        <v>0</v>
      </c>
    </row>
    <row r="77" spans="1:16">
      <c r="A77" s="507">
        <v>20130101</v>
      </c>
      <c r="B77" s="508" t="s">
        <v>567</v>
      </c>
      <c r="C77" s="508" t="str">
        <f t="shared" si="21"/>
        <v>20130101LS</v>
      </c>
      <c r="D77" s="508" t="s">
        <v>637</v>
      </c>
      <c r="E77" s="508" t="str">
        <f t="shared" si="22"/>
        <v>20130101LE_955Base</v>
      </c>
      <c r="F77" s="509">
        <v>3.56</v>
      </c>
      <c r="G77" s="509">
        <v>0</v>
      </c>
      <c r="H77" s="509">
        <v>0</v>
      </c>
      <c r="I77" s="509">
        <v>0</v>
      </c>
      <c r="J77" s="509">
        <v>0</v>
      </c>
      <c r="K77" s="509">
        <v>0</v>
      </c>
      <c r="L77" s="509">
        <v>0</v>
      </c>
      <c r="M77" s="509">
        <f t="shared" si="23"/>
        <v>3.56</v>
      </c>
      <c r="N77" s="510">
        <f t="shared" ref="N77:N87" si="27">IF(H77=0,0,H77-$K77-$L77)</f>
        <v>0</v>
      </c>
      <c r="O77" s="510">
        <f t="shared" ref="O77:O87" si="28">IF(I77=0,0,I77-$K77-$L77)</f>
        <v>0</v>
      </c>
      <c r="P77" s="510">
        <f t="shared" ref="P77:P87" si="29">IF(J77=0,0,J77-$K77-$L77)</f>
        <v>0</v>
      </c>
    </row>
    <row r="78" spans="1:16">
      <c r="A78" s="507">
        <v>20130101</v>
      </c>
      <c r="B78" s="508" t="s">
        <v>567</v>
      </c>
      <c r="C78" s="508" t="str">
        <f t="shared" si="21"/>
        <v>20130101LS</v>
      </c>
      <c r="D78" s="508" t="s">
        <v>638</v>
      </c>
      <c r="E78" s="508" t="str">
        <f t="shared" si="22"/>
        <v>20130101LE_956Base</v>
      </c>
      <c r="F78" s="509">
        <v>3.56</v>
      </c>
      <c r="G78" s="509">
        <v>0</v>
      </c>
      <c r="H78" s="509">
        <v>0</v>
      </c>
      <c r="I78" s="509">
        <v>0</v>
      </c>
      <c r="J78" s="509">
        <v>0</v>
      </c>
      <c r="K78" s="509">
        <v>0</v>
      </c>
      <c r="L78" s="509">
        <v>0</v>
      </c>
      <c r="M78" s="509">
        <f t="shared" si="23"/>
        <v>3.56</v>
      </c>
      <c r="N78" s="510">
        <f t="shared" si="27"/>
        <v>0</v>
      </c>
      <c r="O78" s="510">
        <f t="shared" si="28"/>
        <v>0</v>
      </c>
      <c r="P78" s="510">
        <f t="shared" si="29"/>
        <v>0</v>
      </c>
    </row>
    <row r="79" spans="1:16">
      <c r="A79" s="507">
        <v>20130101</v>
      </c>
      <c r="B79" s="508" t="s">
        <v>567</v>
      </c>
      <c r="C79" s="508" t="str">
        <f t="shared" si="21"/>
        <v>20130101LS</v>
      </c>
      <c r="D79" s="508" t="s">
        <v>639</v>
      </c>
      <c r="E79" s="508" t="str">
        <f t="shared" si="22"/>
        <v>20130101LE_957Base</v>
      </c>
      <c r="F79" s="509">
        <v>3.56</v>
      </c>
      <c r="G79" s="509">
        <v>0</v>
      </c>
      <c r="H79" s="509">
        <v>0</v>
      </c>
      <c r="I79" s="509">
        <v>0</v>
      </c>
      <c r="J79" s="509">
        <v>0</v>
      </c>
      <c r="K79" s="509">
        <v>0</v>
      </c>
      <c r="L79" s="509">
        <v>0</v>
      </c>
      <c r="M79" s="509">
        <f t="shared" si="23"/>
        <v>3.56</v>
      </c>
      <c r="N79" s="510">
        <f t="shared" si="27"/>
        <v>0</v>
      </c>
      <c r="O79" s="510">
        <f t="shared" si="28"/>
        <v>0</v>
      </c>
      <c r="P79" s="510">
        <f t="shared" si="29"/>
        <v>0</v>
      </c>
    </row>
    <row r="80" spans="1:16">
      <c r="A80" s="507">
        <v>20130101</v>
      </c>
      <c r="B80" s="508" t="s">
        <v>567</v>
      </c>
      <c r="C80" s="508" t="str">
        <f>A80&amp;B80</f>
        <v>20130101LS</v>
      </c>
      <c r="D80" s="508" t="s">
        <v>640</v>
      </c>
      <c r="E80" s="508" t="str">
        <f>A80&amp;D80</f>
        <v>20130101LE_958Pole</v>
      </c>
      <c r="F80" s="509">
        <v>11.31</v>
      </c>
      <c r="G80" s="509">
        <v>0</v>
      </c>
      <c r="H80" s="509">
        <v>0</v>
      </c>
      <c r="I80" s="509">
        <v>0</v>
      </c>
      <c r="J80" s="509">
        <v>0</v>
      </c>
      <c r="K80" s="509">
        <v>0</v>
      </c>
      <c r="L80" s="509">
        <v>0</v>
      </c>
      <c r="M80" s="509">
        <f>F80-K80-L80</f>
        <v>11.31</v>
      </c>
      <c r="N80" s="510">
        <f t="shared" si="27"/>
        <v>0</v>
      </c>
      <c r="O80" s="510">
        <f t="shared" si="28"/>
        <v>0</v>
      </c>
      <c r="P80" s="510">
        <f t="shared" si="29"/>
        <v>0</v>
      </c>
    </row>
    <row r="81" spans="1:16">
      <c r="A81" s="512">
        <v>20130701</v>
      </c>
      <c r="B81" s="513" t="s">
        <v>459</v>
      </c>
      <c r="C81" s="513" t="str">
        <f t="shared" ref="C81:C91" si="30">A81&amp;B81</f>
        <v>20130701RLS</v>
      </c>
      <c r="D81" s="513" t="s">
        <v>626</v>
      </c>
      <c r="E81" s="513" t="str">
        <f t="shared" ref="E81:E91" si="31">A81&amp;D81</f>
        <v>20130701LE_900Pole</v>
      </c>
      <c r="F81" s="514">
        <v>2.06</v>
      </c>
      <c r="G81" s="514">
        <v>0</v>
      </c>
      <c r="H81" s="514">
        <v>0</v>
      </c>
      <c r="I81" s="514">
        <v>0</v>
      </c>
      <c r="J81" s="514">
        <v>0</v>
      </c>
      <c r="K81" s="514">
        <v>0</v>
      </c>
      <c r="L81" s="514">
        <v>0</v>
      </c>
      <c r="M81" s="514">
        <f t="shared" ref="M81:M91" si="32">F81-K81-L81</f>
        <v>2.06</v>
      </c>
      <c r="N81" s="515">
        <f t="shared" si="27"/>
        <v>0</v>
      </c>
      <c r="O81" s="515">
        <f t="shared" si="28"/>
        <v>0</v>
      </c>
      <c r="P81" s="515">
        <f t="shared" si="29"/>
        <v>0</v>
      </c>
    </row>
    <row r="82" spans="1:16">
      <c r="A82" s="512">
        <v>20130701</v>
      </c>
      <c r="B82" s="513" t="s">
        <v>459</v>
      </c>
      <c r="C82" s="513" t="str">
        <f t="shared" si="30"/>
        <v>20130701RLS</v>
      </c>
      <c r="D82" s="513" t="s">
        <v>627</v>
      </c>
      <c r="E82" s="513" t="str">
        <f t="shared" si="31"/>
        <v>20130701LE_901Pole</v>
      </c>
      <c r="F82" s="514">
        <v>10.81</v>
      </c>
      <c r="G82" s="514">
        <v>0</v>
      </c>
      <c r="H82" s="514">
        <v>0</v>
      </c>
      <c r="I82" s="514">
        <v>0</v>
      </c>
      <c r="J82" s="514">
        <v>0</v>
      </c>
      <c r="K82" s="514">
        <v>0</v>
      </c>
      <c r="L82" s="514">
        <v>0</v>
      </c>
      <c r="M82" s="514">
        <f t="shared" si="32"/>
        <v>10.81</v>
      </c>
      <c r="N82" s="515">
        <f t="shared" si="27"/>
        <v>0</v>
      </c>
      <c r="O82" s="515">
        <f t="shared" si="28"/>
        <v>0</v>
      </c>
      <c r="P82" s="515">
        <f t="shared" si="29"/>
        <v>0</v>
      </c>
    </row>
    <row r="83" spans="1:16">
      <c r="A83" s="512">
        <v>20130701</v>
      </c>
      <c r="B83" s="513" t="s">
        <v>459</v>
      </c>
      <c r="C83" s="513" t="str">
        <f t="shared" si="30"/>
        <v>20130701RLS</v>
      </c>
      <c r="D83" s="513" t="s">
        <v>628</v>
      </c>
      <c r="E83" s="513" t="str">
        <f t="shared" si="31"/>
        <v>20130701LE_902Pole</v>
      </c>
      <c r="F83" s="514">
        <v>12.9</v>
      </c>
      <c r="G83" s="514">
        <v>0</v>
      </c>
      <c r="H83" s="514">
        <v>0</v>
      </c>
      <c r="I83" s="514">
        <v>0</v>
      </c>
      <c r="J83" s="514">
        <v>0</v>
      </c>
      <c r="K83" s="514">
        <v>0</v>
      </c>
      <c r="L83" s="514">
        <v>0</v>
      </c>
      <c r="M83" s="514">
        <f t="shared" si="32"/>
        <v>12.9</v>
      </c>
      <c r="N83" s="515">
        <f t="shared" si="27"/>
        <v>0</v>
      </c>
      <c r="O83" s="515">
        <f t="shared" si="28"/>
        <v>0</v>
      </c>
      <c r="P83" s="515">
        <f t="shared" si="29"/>
        <v>0</v>
      </c>
    </row>
    <row r="84" spans="1:16">
      <c r="A84" s="512">
        <v>20130701</v>
      </c>
      <c r="B84" s="513" t="s">
        <v>459</v>
      </c>
      <c r="C84" s="513" t="str">
        <f t="shared" si="30"/>
        <v>20130701RLS</v>
      </c>
      <c r="D84" s="513" t="s">
        <v>632</v>
      </c>
      <c r="E84" s="513" t="str">
        <f t="shared" si="31"/>
        <v>20130701LE_950Base</v>
      </c>
      <c r="F84" s="514">
        <v>3.47</v>
      </c>
      <c r="G84" s="514">
        <v>0</v>
      </c>
      <c r="H84" s="514">
        <v>0</v>
      </c>
      <c r="I84" s="514">
        <v>0</v>
      </c>
      <c r="J84" s="514">
        <v>0</v>
      </c>
      <c r="K84" s="514">
        <v>0</v>
      </c>
      <c r="L84" s="514">
        <v>0</v>
      </c>
      <c r="M84" s="514">
        <f t="shared" si="32"/>
        <v>3.47</v>
      </c>
      <c r="N84" s="515">
        <f t="shared" si="27"/>
        <v>0</v>
      </c>
      <c r="O84" s="515">
        <f t="shared" si="28"/>
        <v>0</v>
      </c>
      <c r="P84" s="515">
        <f t="shared" si="29"/>
        <v>0</v>
      </c>
    </row>
    <row r="85" spans="1:16">
      <c r="A85" s="512">
        <v>20130701</v>
      </c>
      <c r="B85" s="513" t="s">
        <v>459</v>
      </c>
      <c r="C85" s="513" t="str">
        <f t="shared" si="30"/>
        <v>20130701RLS</v>
      </c>
      <c r="D85" s="513" t="s">
        <v>633</v>
      </c>
      <c r="E85" s="513" t="str">
        <f t="shared" si="31"/>
        <v>20130701LE_951Base</v>
      </c>
      <c r="F85" s="514">
        <v>3.73</v>
      </c>
      <c r="G85" s="514">
        <v>0</v>
      </c>
      <c r="H85" s="514">
        <v>0</v>
      </c>
      <c r="I85" s="514">
        <v>0</v>
      </c>
      <c r="J85" s="514">
        <v>0</v>
      </c>
      <c r="K85" s="514">
        <v>0</v>
      </c>
      <c r="L85" s="514">
        <v>0</v>
      </c>
      <c r="M85" s="514">
        <f t="shared" si="32"/>
        <v>3.73</v>
      </c>
      <c r="N85" s="515">
        <f t="shared" si="27"/>
        <v>0</v>
      </c>
      <c r="O85" s="515">
        <f t="shared" si="28"/>
        <v>0</v>
      </c>
      <c r="P85" s="515">
        <f t="shared" si="29"/>
        <v>0</v>
      </c>
    </row>
    <row r="86" spans="1:16">
      <c r="A86" s="512">
        <v>20130701</v>
      </c>
      <c r="B86" s="513" t="s">
        <v>459</v>
      </c>
      <c r="C86" s="513" t="str">
        <f t="shared" si="30"/>
        <v>20130701RLS</v>
      </c>
      <c r="D86" s="513" t="s">
        <v>634</v>
      </c>
      <c r="E86" s="513" t="str">
        <f t="shared" si="31"/>
        <v>20130701LE_952Base</v>
      </c>
      <c r="F86" s="514">
        <v>3.56</v>
      </c>
      <c r="G86" s="514">
        <v>0</v>
      </c>
      <c r="H86" s="514">
        <v>0</v>
      </c>
      <c r="I86" s="514">
        <v>0</v>
      </c>
      <c r="J86" s="514">
        <v>0</v>
      </c>
      <c r="K86" s="514">
        <v>0</v>
      </c>
      <c r="L86" s="514">
        <v>0</v>
      </c>
      <c r="M86" s="514">
        <f t="shared" si="32"/>
        <v>3.56</v>
      </c>
      <c r="N86" s="515">
        <f t="shared" si="27"/>
        <v>0</v>
      </c>
      <c r="O86" s="515">
        <f t="shared" si="28"/>
        <v>0</v>
      </c>
      <c r="P86" s="515">
        <f t="shared" si="29"/>
        <v>0</v>
      </c>
    </row>
    <row r="87" spans="1:16">
      <c r="A87" s="512">
        <v>20130701</v>
      </c>
      <c r="B87" s="513" t="s">
        <v>459</v>
      </c>
      <c r="C87" s="513" t="str">
        <f t="shared" si="30"/>
        <v>20130701RLS</v>
      </c>
      <c r="D87" s="513" t="s">
        <v>635</v>
      </c>
      <c r="E87" s="513" t="str">
        <f t="shared" si="31"/>
        <v>20130701LE_953Base</v>
      </c>
      <c r="F87" s="514">
        <v>3.73</v>
      </c>
      <c r="G87" s="514">
        <v>0</v>
      </c>
      <c r="H87" s="514">
        <v>0</v>
      </c>
      <c r="I87" s="514">
        <v>0</v>
      </c>
      <c r="J87" s="514">
        <v>0</v>
      </c>
      <c r="K87" s="514">
        <v>0</v>
      </c>
      <c r="L87" s="514">
        <v>0</v>
      </c>
      <c r="M87" s="514">
        <f t="shared" si="32"/>
        <v>3.73</v>
      </c>
      <c r="N87" s="515">
        <f t="shared" si="27"/>
        <v>0</v>
      </c>
      <c r="O87" s="515">
        <f t="shared" si="28"/>
        <v>0</v>
      </c>
      <c r="P87" s="515">
        <f t="shared" si="29"/>
        <v>0</v>
      </c>
    </row>
    <row r="88" spans="1:16">
      <c r="A88" s="512">
        <v>20130701</v>
      </c>
      <c r="B88" s="513" t="s">
        <v>459</v>
      </c>
      <c r="C88" s="513" t="str">
        <f t="shared" ref="C88" si="33">A88&amp;B88</f>
        <v>20130701RLS</v>
      </c>
      <c r="D88" s="516" t="s">
        <v>636</v>
      </c>
      <c r="E88" s="513" t="str">
        <f t="shared" ref="E88" si="34">A88&amp;D88</f>
        <v>20130701LE_954Base</v>
      </c>
      <c r="F88" s="514">
        <v>3.47</v>
      </c>
      <c r="G88" s="514">
        <v>0</v>
      </c>
      <c r="H88" s="514">
        <v>0</v>
      </c>
      <c r="I88" s="514">
        <v>0</v>
      </c>
      <c r="J88" s="514">
        <v>0</v>
      </c>
      <c r="K88" s="514">
        <v>0</v>
      </c>
      <c r="L88" s="514">
        <v>0</v>
      </c>
      <c r="M88" s="514">
        <f t="shared" ref="M88" si="35">F88-K88-L88</f>
        <v>3.47</v>
      </c>
      <c r="N88" s="515">
        <f t="shared" ref="N88" si="36">IF(H88=0,0,H88-$K88-$L88)</f>
        <v>0</v>
      </c>
      <c r="O88" s="515">
        <f t="shared" ref="O88" si="37">IF(I88=0,0,I88-$K88-$L88)</f>
        <v>0</v>
      </c>
      <c r="P88" s="515">
        <f t="shared" ref="P88" si="38">IF(J88=0,0,J88-$K88-$L88)</f>
        <v>0</v>
      </c>
    </row>
    <row r="89" spans="1:16">
      <c r="A89" s="512">
        <v>20130701</v>
      </c>
      <c r="B89" s="513" t="s">
        <v>567</v>
      </c>
      <c r="C89" s="513" t="str">
        <f t="shared" si="30"/>
        <v>20130701LS</v>
      </c>
      <c r="D89" s="513" t="s">
        <v>637</v>
      </c>
      <c r="E89" s="513" t="str">
        <f t="shared" si="31"/>
        <v>20130701LE_955Base</v>
      </c>
      <c r="F89" s="514">
        <v>3.56</v>
      </c>
      <c r="G89" s="514">
        <v>0</v>
      </c>
      <c r="H89" s="514">
        <v>0</v>
      </c>
      <c r="I89" s="514">
        <v>0</v>
      </c>
      <c r="J89" s="514">
        <v>0</v>
      </c>
      <c r="K89" s="514">
        <v>0</v>
      </c>
      <c r="L89" s="514">
        <v>0</v>
      </c>
      <c r="M89" s="514">
        <f t="shared" si="32"/>
        <v>3.56</v>
      </c>
      <c r="N89" s="515">
        <f t="shared" ref="N89:N104" si="39">IF(H89=0,0,H89-$K89-$L89)</f>
        <v>0</v>
      </c>
      <c r="O89" s="515">
        <f t="shared" ref="O89:O104" si="40">IF(I89=0,0,I89-$K89-$L89)</f>
        <v>0</v>
      </c>
      <c r="P89" s="515">
        <f t="shared" ref="P89:P104" si="41">IF(J89=0,0,J89-$K89-$L89)</f>
        <v>0</v>
      </c>
    </row>
    <row r="90" spans="1:16">
      <c r="A90" s="512">
        <v>20130701</v>
      </c>
      <c r="B90" s="513" t="s">
        <v>567</v>
      </c>
      <c r="C90" s="513" t="str">
        <f t="shared" si="30"/>
        <v>20130701LS</v>
      </c>
      <c r="D90" s="513" t="s">
        <v>638</v>
      </c>
      <c r="E90" s="513" t="str">
        <f t="shared" si="31"/>
        <v>20130701LE_956Base</v>
      </c>
      <c r="F90" s="514">
        <v>3.56</v>
      </c>
      <c r="G90" s="514">
        <v>0</v>
      </c>
      <c r="H90" s="514">
        <v>0</v>
      </c>
      <c r="I90" s="514">
        <v>0</v>
      </c>
      <c r="J90" s="514">
        <v>0</v>
      </c>
      <c r="K90" s="514">
        <v>0</v>
      </c>
      <c r="L90" s="514">
        <v>0</v>
      </c>
      <c r="M90" s="514">
        <f t="shared" si="32"/>
        <v>3.56</v>
      </c>
      <c r="N90" s="515">
        <f t="shared" si="39"/>
        <v>0</v>
      </c>
      <c r="O90" s="515">
        <f t="shared" si="40"/>
        <v>0</v>
      </c>
      <c r="P90" s="515">
        <f t="shared" si="41"/>
        <v>0</v>
      </c>
    </row>
    <row r="91" spans="1:16">
      <c r="A91" s="512">
        <v>20130701</v>
      </c>
      <c r="B91" s="513" t="s">
        <v>567</v>
      </c>
      <c r="C91" s="513" t="str">
        <f t="shared" si="30"/>
        <v>20130701LS</v>
      </c>
      <c r="D91" s="513" t="s">
        <v>639</v>
      </c>
      <c r="E91" s="513" t="str">
        <f t="shared" si="31"/>
        <v>20130701LE_957Base</v>
      </c>
      <c r="F91" s="514">
        <v>3.56</v>
      </c>
      <c r="G91" s="514">
        <v>0</v>
      </c>
      <c r="H91" s="514">
        <v>0</v>
      </c>
      <c r="I91" s="514">
        <v>0</v>
      </c>
      <c r="J91" s="514">
        <v>0</v>
      </c>
      <c r="K91" s="514">
        <v>0</v>
      </c>
      <c r="L91" s="514">
        <v>0</v>
      </c>
      <c r="M91" s="514">
        <f t="shared" si="32"/>
        <v>3.56</v>
      </c>
      <c r="N91" s="515">
        <f t="shared" si="39"/>
        <v>0</v>
      </c>
      <c r="O91" s="515">
        <f t="shared" si="40"/>
        <v>0</v>
      </c>
      <c r="P91" s="515">
        <f t="shared" si="41"/>
        <v>0</v>
      </c>
    </row>
    <row r="92" spans="1:16">
      <c r="A92" s="512">
        <v>20130701</v>
      </c>
      <c r="B92" s="513" t="s">
        <v>567</v>
      </c>
      <c r="C92" s="513" t="str">
        <f>A92&amp;B92</f>
        <v>20130701LS</v>
      </c>
      <c r="D92" s="513" t="s">
        <v>640</v>
      </c>
      <c r="E92" s="513" t="str">
        <f>A92&amp;D92</f>
        <v>20130701LE_958Pole</v>
      </c>
      <c r="F92" s="514">
        <v>11.31</v>
      </c>
      <c r="G92" s="514">
        <v>0</v>
      </c>
      <c r="H92" s="514">
        <v>0</v>
      </c>
      <c r="I92" s="514">
        <v>0</v>
      </c>
      <c r="J92" s="514">
        <v>0</v>
      </c>
      <c r="K92" s="514">
        <v>0</v>
      </c>
      <c r="L92" s="514">
        <v>0</v>
      </c>
      <c r="M92" s="514">
        <f>F92-K92-L92</f>
        <v>11.31</v>
      </c>
      <c r="N92" s="515">
        <f t="shared" si="39"/>
        <v>0</v>
      </c>
      <c r="O92" s="515">
        <f t="shared" si="40"/>
        <v>0</v>
      </c>
      <c r="P92" s="515">
        <f t="shared" si="41"/>
        <v>0</v>
      </c>
    </row>
    <row r="93" spans="1:16">
      <c r="A93" s="522">
        <v>20140101</v>
      </c>
      <c r="B93" s="523" t="s">
        <v>459</v>
      </c>
      <c r="C93" s="523" t="str">
        <f t="shared" ref="C93:C103" si="42">A93&amp;B93</f>
        <v>20140101RLS</v>
      </c>
      <c r="D93" s="523" t="s">
        <v>626</v>
      </c>
      <c r="E93" s="523" t="str">
        <f t="shared" ref="E93:E103" si="43">A93&amp;D93</f>
        <v>20140101LE_900Pole</v>
      </c>
      <c r="F93" s="115">
        <v>2.06</v>
      </c>
      <c r="G93" s="115">
        <v>0</v>
      </c>
      <c r="H93" s="115">
        <v>0</v>
      </c>
      <c r="I93" s="115">
        <v>0</v>
      </c>
      <c r="J93" s="115">
        <v>0</v>
      </c>
      <c r="K93" s="115">
        <v>0</v>
      </c>
      <c r="L93" s="115">
        <v>0</v>
      </c>
      <c r="M93" s="115">
        <f t="shared" ref="M93:M103" si="44">F93-K93-L93</f>
        <v>2.06</v>
      </c>
      <c r="N93" s="524">
        <f t="shared" si="39"/>
        <v>0</v>
      </c>
      <c r="O93" s="524">
        <f t="shared" si="40"/>
        <v>0</v>
      </c>
      <c r="P93" s="524">
        <f t="shared" si="41"/>
        <v>0</v>
      </c>
    </row>
    <row r="94" spans="1:16">
      <c r="A94" s="522">
        <v>20140101</v>
      </c>
      <c r="B94" s="523" t="s">
        <v>459</v>
      </c>
      <c r="C94" s="523" t="str">
        <f t="shared" si="42"/>
        <v>20140101RLS</v>
      </c>
      <c r="D94" s="523" t="s">
        <v>627</v>
      </c>
      <c r="E94" s="523" t="str">
        <f t="shared" si="43"/>
        <v>20140101LE_901Pole</v>
      </c>
      <c r="F94" s="115">
        <v>10.81</v>
      </c>
      <c r="G94" s="115">
        <v>0</v>
      </c>
      <c r="H94" s="115">
        <v>0</v>
      </c>
      <c r="I94" s="115">
        <v>0</v>
      </c>
      <c r="J94" s="115">
        <v>0</v>
      </c>
      <c r="K94" s="115">
        <v>0</v>
      </c>
      <c r="L94" s="115">
        <v>0</v>
      </c>
      <c r="M94" s="115">
        <f t="shared" si="44"/>
        <v>10.81</v>
      </c>
      <c r="N94" s="524">
        <f t="shared" si="39"/>
        <v>0</v>
      </c>
      <c r="O94" s="524">
        <f t="shared" si="40"/>
        <v>0</v>
      </c>
      <c r="P94" s="524">
        <f t="shared" si="41"/>
        <v>0</v>
      </c>
    </row>
    <row r="95" spans="1:16">
      <c r="A95" s="522">
        <v>20140101</v>
      </c>
      <c r="B95" s="523" t="s">
        <v>459</v>
      </c>
      <c r="C95" s="523" t="str">
        <f t="shared" si="42"/>
        <v>20140101RLS</v>
      </c>
      <c r="D95" s="523" t="s">
        <v>628</v>
      </c>
      <c r="E95" s="523" t="str">
        <f t="shared" si="43"/>
        <v>20140101LE_902Pole</v>
      </c>
      <c r="F95" s="115">
        <v>12.9</v>
      </c>
      <c r="G95" s="115">
        <v>0</v>
      </c>
      <c r="H95" s="115">
        <v>0</v>
      </c>
      <c r="I95" s="115">
        <v>0</v>
      </c>
      <c r="J95" s="115">
        <v>0</v>
      </c>
      <c r="K95" s="115">
        <v>0</v>
      </c>
      <c r="L95" s="115">
        <v>0</v>
      </c>
      <c r="M95" s="115">
        <f t="shared" si="44"/>
        <v>12.9</v>
      </c>
      <c r="N95" s="524">
        <f t="shared" si="39"/>
        <v>0</v>
      </c>
      <c r="O95" s="524">
        <f t="shared" si="40"/>
        <v>0</v>
      </c>
      <c r="P95" s="524">
        <f t="shared" si="41"/>
        <v>0</v>
      </c>
    </row>
    <row r="96" spans="1:16">
      <c r="A96" s="522">
        <v>20140101</v>
      </c>
      <c r="B96" s="523" t="s">
        <v>459</v>
      </c>
      <c r="C96" s="523" t="str">
        <f t="shared" si="42"/>
        <v>20140101RLS</v>
      </c>
      <c r="D96" s="523" t="s">
        <v>632</v>
      </c>
      <c r="E96" s="523" t="str">
        <f t="shared" si="43"/>
        <v>20140101LE_950Base</v>
      </c>
      <c r="F96" s="115">
        <v>3.47</v>
      </c>
      <c r="G96" s="115">
        <v>0</v>
      </c>
      <c r="H96" s="115">
        <v>0</v>
      </c>
      <c r="I96" s="115">
        <v>0</v>
      </c>
      <c r="J96" s="115">
        <v>0</v>
      </c>
      <c r="K96" s="115">
        <v>0</v>
      </c>
      <c r="L96" s="115">
        <v>0</v>
      </c>
      <c r="M96" s="115">
        <f t="shared" si="44"/>
        <v>3.47</v>
      </c>
      <c r="N96" s="524">
        <f t="shared" si="39"/>
        <v>0</v>
      </c>
      <c r="O96" s="524">
        <f t="shared" si="40"/>
        <v>0</v>
      </c>
      <c r="P96" s="524">
        <f t="shared" si="41"/>
        <v>0</v>
      </c>
    </row>
    <row r="97" spans="1:16">
      <c r="A97" s="522">
        <v>20140101</v>
      </c>
      <c r="B97" s="523" t="s">
        <v>459</v>
      </c>
      <c r="C97" s="523" t="str">
        <f t="shared" si="42"/>
        <v>20140101RLS</v>
      </c>
      <c r="D97" s="525" t="s">
        <v>633</v>
      </c>
      <c r="E97" s="523" t="str">
        <f t="shared" si="43"/>
        <v>20140101LE_951Base</v>
      </c>
      <c r="F97" s="115">
        <v>3.73</v>
      </c>
      <c r="G97" s="115">
        <v>0</v>
      </c>
      <c r="H97" s="115">
        <v>0</v>
      </c>
      <c r="I97" s="115">
        <v>0</v>
      </c>
      <c r="J97" s="115">
        <v>0</v>
      </c>
      <c r="K97" s="115">
        <v>0</v>
      </c>
      <c r="L97" s="115">
        <v>0</v>
      </c>
      <c r="M97" s="115">
        <f t="shared" si="44"/>
        <v>3.73</v>
      </c>
      <c r="N97" s="524">
        <f t="shared" si="39"/>
        <v>0</v>
      </c>
      <c r="O97" s="524">
        <f t="shared" si="40"/>
        <v>0</v>
      </c>
      <c r="P97" s="524">
        <f t="shared" si="41"/>
        <v>0</v>
      </c>
    </row>
    <row r="98" spans="1:16">
      <c r="A98" s="522">
        <v>20140101</v>
      </c>
      <c r="B98" s="523" t="s">
        <v>459</v>
      </c>
      <c r="C98" s="523" t="str">
        <f t="shared" si="42"/>
        <v>20140101RLS</v>
      </c>
      <c r="D98" s="523" t="s">
        <v>634</v>
      </c>
      <c r="E98" s="523" t="str">
        <f t="shared" si="43"/>
        <v>20140101LE_952Base</v>
      </c>
      <c r="F98" s="115">
        <v>3.56</v>
      </c>
      <c r="G98" s="115">
        <v>0</v>
      </c>
      <c r="H98" s="115">
        <v>0</v>
      </c>
      <c r="I98" s="115">
        <v>0</v>
      </c>
      <c r="J98" s="115">
        <v>0</v>
      </c>
      <c r="K98" s="115">
        <v>0</v>
      </c>
      <c r="L98" s="115">
        <v>0</v>
      </c>
      <c r="M98" s="115">
        <f t="shared" si="44"/>
        <v>3.56</v>
      </c>
      <c r="N98" s="524">
        <f t="shared" si="39"/>
        <v>0</v>
      </c>
      <c r="O98" s="524">
        <f t="shared" si="40"/>
        <v>0</v>
      </c>
      <c r="P98" s="524">
        <f t="shared" si="41"/>
        <v>0</v>
      </c>
    </row>
    <row r="99" spans="1:16">
      <c r="A99" s="522">
        <v>20140101</v>
      </c>
      <c r="B99" s="523" t="s">
        <v>459</v>
      </c>
      <c r="C99" s="523" t="str">
        <f t="shared" si="42"/>
        <v>20140101RLS</v>
      </c>
      <c r="D99" s="523" t="s">
        <v>635</v>
      </c>
      <c r="E99" s="523" t="str">
        <f t="shared" si="43"/>
        <v>20140101LE_953Base</v>
      </c>
      <c r="F99" s="115">
        <v>3.73</v>
      </c>
      <c r="G99" s="115">
        <v>0</v>
      </c>
      <c r="H99" s="115">
        <v>0</v>
      </c>
      <c r="I99" s="115">
        <v>0</v>
      </c>
      <c r="J99" s="115">
        <v>0</v>
      </c>
      <c r="K99" s="115">
        <v>0</v>
      </c>
      <c r="L99" s="115">
        <v>0</v>
      </c>
      <c r="M99" s="115">
        <f t="shared" si="44"/>
        <v>3.73</v>
      </c>
      <c r="N99" s="524">
        <f t="shared" si="39"/>
        <v>0</v>
      </c>
      <c r="O99" s="524">
        <f t="shared" si="40"/>
        <v>0</v>
      </c>
      <c r="P99" s="524">
        <f t="shared" si="41"/>
        <v>0</v>
      </c>
    </row>
    <row r="100" spans="1:16">
      <c r="A100" s="522">
        <v>20140101</v>
      </c>
      <c r="B100" s="523" t="s">
        <v>459</v>
      </c>
      <c r="C100" s="523" t="str">
        <f t="shared" ref="C100" si="45">A100&amp;B100</f>
        <v>20140101RLS</v>
      </c>
      <c r="D100" s="525" t="s">
        <v>636</v>
      </c>
      <c r="E100" s="523" t="str">
        <f t="shared" ref="E100" si="46">A100&amp;D100</f>
        <v>20140101LE_954Base</v>
      </c>
      <c r="F100" s="115">
        <v>3.47</v>
      </c>
      <c r="G100" s="115">
        <v>0</v>
      </c>
      <c r="H100" s="115">
        <v>0</v>
      </c>
      <c r="I100" s="115">
        <v>0</v>
      </c>
      <c r="J100" s="115">
        <v>0</v>
      </c>
      <c r="K100" s="115">
        <v>0</v>
      </c>
      <c r="L100" s="115">
        <v>0</v>
      </c>
      <c r="M100" s="115">
        <f t="shared" ref="M100" si="47">F100-K100-L100</f>
        <v>3.47</v>
      </c>
      <c r="N100" s="524">
        <f t="shared" ref="N100" si="48">IF(H100=0,0,H100-$K100-$L100)</f>
        <v>0</v>
      </c>
      <c r="O100" s="524">
        <f t="shared" ref="O100" si="49">IF(I100=0,0,I100-$K100-$L100)</f>
        <v>0</v>
      </c>
      <c r="P100" s="524">
        <f t="shared" ref="P100" si="50">IF(J100=0,0,J100-$K100-$L100)</f>
        <v>0</v>
      </c>
    </row>
    <row r="101" spans="1:16">
      <c r="A101" s="522">
        <v>20140101</v>
      </c>
      <c r="B101" s="523" t="s">
        <v>567</v>
      </c>
      <c r="C101" s="523" t="str">
        <f t="shared" si="42"/>
        <v>20140101LS</v>
      </c>
      <c r="D101" s="523" t="s">
        <v>637</v>
      </c>
      <c r="E101" s="523" t="str">
        <f t="shared" si="43"/>
        <v>20140101LE_955Base</v>
      </c>
      <c r="F101" s="115">
        <v>3.56</v>
      </c>
      <c r="G101" s="115">
        <v>0</v>
      </c>
      <c r="H101" s="115">
        <v>0</v>
      </c>
      <c r="I101" s="115">
        <v>0</v>
      </c>
      <c r="J101" s="115">
        <v>0</v>
      </c>
      <c r="K101" s="115">
        <v>0</v>
      </c>
      <c r="L101" s="115">
        <v>0</v>
      </c>
      <c r="M101" s="115">
        <f t="shared" si="44"/>
        <v>3.56</v>
      </c>
      <c r="N101" s="524">
        <f t="shared" si="39"/>
        <v>0</v>
      </c>
      <c r="O101" s="524">
        <f t="shared" si="40"/>
        <v>0</v>
      </c>
      <c r="P101" s="524">
        <f t="shared" si="41"/>
        <v>0</v>
      </c>
    </row>
    <row r="102" spans="1:16">
      <c r="A102" s="522">
        <v>20140101</v>
      </c>
      <c r="B102" s="523" t="s">
        <v>567</v>
      </c>
      <c r="C102" s="523" t="str">
        <f t="shared" si="42"/>
        <v>20140101LS</v>
      </c>
      <c r="D102" s="523" t="s">
        <v>638</v>
      </c>
      <c r="E102" s="523" t="str">
        <f t="shared" si="43"/>
        <v>20140101LE_956Base</v>
      </c>
      <c r="F102" s="115">
        <v>3.56</v>
      </c>
      <c r="G102" s="115">
        <v>0</v>
      </c>
      <c r="H102" s="115">
        <v>0</v>
      </c>
      <c r="I102" s="115">
        <v>0</v>
      </c>
      <c r="J102" s="115">
        <v>0</v>
      </c>
      <c r="K102" s="115">
        <v>0</v>
      </c>
      <c r="L102" s="115">
        <v>0</v>
      </c>
      <c r="M102" s="115">
        <f t="shared" si="44"/>
        <v>3.56</v>
      </c>
      <c r="N102" s="524">
        <f t="shared" si="39"/>
        <v>0</v>
      </c>
      <c r="O102" s="524">
        <f t="shared" si="40"/>
        <v>0</v>
      </c>
      <c r="P102" s="524">
        <f t="shared" si="41"/>
        <v>0</v>
      </c>
    </row>
    <row r="103" spans="1:16">
      <c r="A103" s="522">
        <v>20140101</v>
      </c>
      <c r="B103" s="523" t="s">
        <v>567</v>
      </c>
      <c r="C103" s="523" t="str">
        <f t="shared" si="42"/>
        <v>20140101LS</v>
      </c>
      <c r="D103" s="523" t="s">
        <v>639</v>
      </c>
      <c r="E103" s="523" t="str">
        <f t="shared" si="43"/>
        <v>20140101LE_957Base</v>
      </c>
      <c r="F103" s="115">
        <v>3.56</v>
      </c>
      <c r="G103" s="115">
        <v>0</v>
      </c>
      <c r="H103" s="115">
        <v>0</v>
      </c>
      <c r="I103" s="115">
        <v>0</v>
      </c>
      <c r="J103" s="115">
        <v>0</v>
      </c>
      <c r="K103" s="115">
        <v>0</v>
      </c>
      <c r="L103" s="115">
        <v>0</v>
      </c>
      <c r="M103" s="115">
        <f t="shared" si="44"/>
        <v>3.56</v>
      </c>
      <c r="N103" s="524">
        <f t="shared" si="39"/>
        <v>0</v>
      </c>
      <c r="O103" s="524">
        <f t="shared" si="40"/>
        <v>0</v>
      </c>
      <c r="P103" s="524">
        <f t="shared" si="41"/>
        <v>0</v>
      </c>
    </row>
    <row r="104" spans="1:16">
      <c r="A104" s="522">
        <v>20140101</v>
      </c>
      <c r="B104" s="523" t="s">
        <v>567</v>
      </c>
      <c r="C104" s="523" t="str">
        <f>A104&amp;B104</f>
        <v>20140101LS</v>
      </c>
      <c r="D104" s="523" t="s">
        <v>640</v>
      </c>
      <c r="E104" s="523" t="str">
        <f>A104&amp;D104</f>
        <v>20140101LE_958Pole</v>
      </c>
      <c r="F104" s="115">
        <v>11.31</v>
      </c>
      <c r="G104" s="115">
        <v>0</v>
      </c>
      <c r="H104" s="115">
        <v>0</v>
      </c>
      <c r="I104" s="115">
        <v>0</v>
      </c>
      <c r="J104" s="115">
        <v>0</v>
      </c>
      <c r="K104" s="115">
        <v>0</v>
      </c>
      <c r="L104" s="115">
        <v>0</v>
      </c>
      <c r="M104" s="115">
        <f>F104-K104-L104</f>
        <v>11.31</v>
      </c>
      <c r="N104" s="524">
        <f t="shared" si="39"/>
        <v>0</v>
      </c>
      <c r="O104" s="524">
        <f t="shared" si="40"/>
        <v>0</v>
      </c>
      <c r="P104" s="524">
        <f t="shared" si="41"/>
        <v>0</v>
      </c>
    </row>
  </sheetData>
  <autoFilter ref="A2:W56"/>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AY780"/>
  <sheetViews>
    <sheetView workbookViewId="0">
      <selection sqref="A1:AY780"/>
    </sheetView>
  </sheetViews>
  <sheetFormatPr defaultRowHeight="12"/>
  <cols>
    <col min="1" max="1" width="7.5" style="98" customWidth="1"/>
    <col min="2" max="2" width="13.5" style="98" customWidth="1"/>
    <col min="3" max="3" width="13.1640625" style="476" customWidth="1"/>
    <col min="4" max="4" width="16.33203125" style="98" customWidth="1"/>
    <col min="5" max="5" width="11" style="98" bestFit="1" customWidth="1"/>
    <col min="6" max="6" width="9.1640625" style="98" customWidth="1"/>
    <col min="7" max="7" width="9" style="98" customWidth="1"/>
    <col min="8" max="9" width="22.1640625" style="98" bestFit="1" customWidth="1"/>
    <col min="10" max="10" width="22.1640625" style="98" customWidth="1"/>
    <col min="11" max="11" width="22.1640625" style="98" bestFit="1" customWidth="1"/>
    <col min="12" max="12" width="18.33203125" style="98" bestFit="1" customWidth="1"/>
    <col min="13" max="13" width="21.6640625" style="98" bestFit="1" customWidth="1"/>
    <col min="14" max="14" width="17" style="98" bestFit="1" customWidth="1"/>
    <col min="15" max="16" width="24.6640625" style="98" bestFit="1" customWidth="1"/>
    <col min="17" max="17" width="21.6640625" style="98" bestFit="1" customWidth="1"/>
    <col min="18" max="18" width="24.5" style="98" bestFit="1" customWidth="1"/>
    <col min="19" max="19" width="10.83203125" style="98" customWidth="1"/>
    <col min="20" max="26" width="9.33203125" style="98"/>
    <col min="27" max="27" width="12.5" style="98" bestFit="1" customWidth="1"/>
    <col min="28" max="16384" width="9.33203125" style="98"/>
  </cols>
  <sheetData>
    <row r="1" spans="1:19" ht="23.25" thickBot="1">
      <c r="A1" s="2" t="s">
        <v>3</v>
      </c>
      <c r="B1" s="2" t="s">
        <v>0</v>
      </c>
      <c r="C1" s="2" t="s">
        <v>4</v>
      </c>
      <c r="D1" s="2" t="s">
        <v>1</v>
      </c>
      <c r="E1" s="2" t="s">
        <v>364</v>
      </c>
      <c r="F1" s="2" t="s">
        <v>365</v>
      </c>
      <c r="G1" s="2" t="s">
        <v>366</v>
      </c>
      <c r="H1" s="2" t="s">
        <v>2</v>
      </c>
      <c r="I1" s="2" t="s">
        <v>115</v>
      </c>
      <c r="J1" s="2" t="s">
        <v>116</v>
      </c>
      <c r="K1" s="2" t="s">
        <v>117</v>
      </c>
      <c r="L1" s="2" t="s">
        <v>1116</v>
      </c>
      <c r="M1" s="2" t="s">
        <v>1117</v>
      </c>
      <c r="N1" s="2" t="s">
        <v>1118</v>
      </c>
      <c r="O1" s="2" t="s">
        <v>1119</v>
      </c>
      <c r="P1" s="2" t="s">
        <v>1120</v>
      </c>
      <c r="Q1" s="2" t="s">
        <v>1121</v>
      </c>
      <c r="R1" s="2" t="s">
        <v>1122</v>
      </c>
      <c r="S1" s="24" t="s">
        <v>1247</v>
      </c>
    </row>
    <row r="2" spans="1:19" ht="12.75" hidden="1" thickBot="1">
      <c r="A2" s="2" t="s">
        <v>3</v>
      </c>
      <c r="B2" s="2" t="s">
        <v>0</v>
      </c>
      <c r="C2" s="2" t="s">
        <v>4</v>
      </c>
      <c r="D2" s="444"/>
      <c r="E2" s="444" t="s">
        <v>5</v>
      </c>
      <c r="F2" s="444" t="s">
        <v>5</v>
      </c>
      <c r="G2" s="444" t="s">
        <v>5</v>
      </c>
      <c r="H2" s="444" t="s">
        <v>5</v>
      </c>
      <c r="I2" s="444"/>
      <c r="J2" s="444"/>
      <c r="K2" s="444"/>
      <c r="L2" s="444"/>
      <c r="M2" s="444"/>
      <c r="N2" s="444"/>
      <c r="O2" s="444"/>
      <c r="P2" s="444"/>
      <c r="Q2" s="444"/>
      <c r="R2" s="444"/>
      <c r="S2" s="462" t="s">
        <v>6</v>
      </c>
    </row>
    <row r="3" spans="1:19" ht="12.75" hidden="1" thickBot="1">
      <c r="A3" s="2" t="s">
        <v>367</v>
      </c>
      <c r="B3" s="1" t="s">
        <v>1271</v>
      </c>
      <c r="C3" s="2" t="s">
        <v>368</v>
      </c>
      <c r="D3" s="463">
        <f t="shared" ref="D3:R18" si="0">ROUND(SUMIFS(D$409:D$780,$B$409:$B$780,$B3,$C$409:$C$780,$C3),0)</f>
        <v>0</v>
      </c>
      <c r="E3" s="463">
        <f t="shared" si="0"/>
        <v>0</v>
      </c>
      <c r="F3" s="463">
        <f t="shared" si="0"/>
        <v>0</v>
      </c>
      <c r="G3" s="463">
        <f t="shared" si="0"/>
        <v>0</v>
      </c>
      <c r="H3" s="463">
        <f t="shared" ref="H3" si="1">ROUND(SUMIFS(H$409:H$780,$B$409:$B$780,$B3,$C$409:$C$780,$C3)*1000,0)</f>
        <v>0</v>
      </c>
      <c r="I3" s="463">
        <f t="shared" si="0"/>
        <v>0</v>
      </c>
      <c r="J3" s="463">
        <f t="shared" si="0"/>
        <v>0</v>
      </c>
      <c r="K3" s="463">
        <f t="shared" si="0"/>
        <v>0</v>
      </c>
      <c r="L3" s="463">
        <f t="shared" si="0"/>
        <v>0</v>
      </c>
      <c r="M3" s="463">
        <f t="shared" si="0"/>
        <v>0</v>
      </c>
      <c r="N3" s="463">
        <f t="shared" si="0"/>
        <v>0</v>
      </c>
      <c r="O3" s="463">
        <f t="shared" si="0"/>
        <v>0</v>
      </c>
      <c r="P3" s="463">
        <f t="shared" si="0"/>
        <v>0</v>
      </c>
      <c r="Q3" s="463">
        <f t="shared" si="0"/>
        <v>0</v>
      </c>
      <c r="R3" s="463">
        <f t="shared" si="0"/>
        <v>0</v>
      </c>
      <c r="S3" s="464"/>
    </row>
    <row r="4" spans="1:19" ht="12.75" hidden="1" thickBot="1">
      <c r="A4" s="2" t="s">
        <v>367</v>
      </c>
      <c r="B4" s="1" t="s">
        <v>1271</v>
      </c>
      <c r="C4" s="2" t="s">
        <v>370</v>
      </c>
      <c r="D4" s="463">
        <f>ROUND(SUMIFS(D$409:D$780,$B$409:$B$780,$B4,$C$409:$C$780,$C4),0)</f>
        <v>28220</v>
      </c>
      <c r="E4" s="463">
        <f t="shared" si="0"/>
        <v>0</v>
      </c>
      <c r="F4" s="463">
        <f t="shared" si="0"/>
        <v>0</v>
      </c>
      <c r="G4" s="463">
        <f t="shared" si="0"/>
        <v>0</v>
      </c>
      <c r="H4" s="463">
        <f>ROUND(SUMIFS(H$409:H$780,$B$409:$B$780,$B4,$C$409:$C$780,$C4)*1000,0)</f>
        <v>31971164</v>
      </c>
      <c r="I4" s="463">
        <f t="shared" si="0"/>
        <v>0</v>
      </c>
      <c r="J4" s="463">
        <f t="shared" si="0"/>
        <v>0</v>
      </c>
      <c r="K4" s="463">
        <f t="shared" si="0"/>
        <v>0</v>
      </c>
      <c r="L4" s="463">
        <f t="shared" si="0"/>
        <v>0</v>
      </c>
      <c r="M4" s="463">
        <f t="shared" si="0"/>
        <v>0</v>
      </c>
      <c r="N4" s="463">
        <f t="shared" si="0"/>
        <v>0</v>
      </c>
      <c r="O4" s="463">
        <f t="shared" si="0"/>
        <v>0</v>
      </c>
      <c r="P4" s="463">
        <f t="shared" si="0"/>
        <v>0</v>
      </c>
      <c r="Q4" s="463">
        <f t="shared" si="0"/>
        <v>0</v>
      </c>
      <c r="R4" s="463">
        <f t="shared" si="0"/>
        <v>0</v>
      </c>
      <c r="S4" s="464"/>
    </row>
    <row r="5" spans="1:19" ht="12.75" hidden="1" thickBot="1">
      <c r="A5" s="2" t="s">
        <v>367</v>
      </c>
      <c r="B5" s="1" t="s">
        <v>1271</v>
      </c>
      <c r="C5" s="2" t="s">
        <v>371</v>
      </c>
      <c r="D5" s="463">
        <f t="shared" ref="D5:R20" si="2">ROUND(SUMIFS(D$409:D$780,$B$409:$B$780,$B5,$C$409:$C$780,$C5),0)</f>
        <v>0</v>
      </c>
      <c r="E5" s="463">
        <f t="shared" si="0"/>
        <v>0</v>
      </c>
      <c r="F5" s="463">
        <f t="shared" si="0"/>
        <v>0</v>
      </c>
      <c r="G5" s="463">
        <f t="shared" si="0"/>
        <v>0</v>
      </c>
      <c r="H5" s="463">
        <f t="shared" ref="H5:H35" si="3">ROUND(SUMIFS(H$409:H$780,$B$409:$B$780,$B5,$C$409:$C$780,$C5)*1000,0)</f>
        <v>0</v>
      </c>
      <c r="I5" s="463">
        <f t="shared" si="0"/>
        <v>0</v>
      </c>
      <c r="J5" s="463">
        <f t="shared" si="0"/>
        <v>0</v>
      </c>
      <c r="K5" s="463">
        <f t="shared" si="0"/>
        <v>0</v>
      </c>
      <c r="L5" s="463">
        <f t="shared" si="0"/>
        <v>0</v>
      </c>
      <c r="M5" s="463">
        <f t="shared" si="0"/>
        <v>0</v>
      </c>
      <c r="N5" s="463">
        <f t="shared" si="0"/>
        <v>0</v>
      </c>
      <c r="O5" s="463">
        <f t="shared" si="0"/>
        <v>0</v>
      </c>
      <c r="P5" s="463">
        <f t="shared" si="0"/>
        <v>0</v>
      </c>
      <c r="Q5" s="463">
        <f t="shared" si="0"/>
        <v>0</v>
      </c>
      <c r="R5" s="463">
        <f t="shared" si="0"/>
        <v>0</v>
      </c>
      <c r="S5" s="464"/>
    </row>
    <row r="6" spans="1:19" ht="12.75" hidden="1" thickBot="1">
      <c r="A6" s="2" t="s">
        <v>367</v>
      </c>
      <c r="B6" s="1" t="s">
        <v>1271</v>
      </c>
      <c r="C6" s="2" t="s">
        <v>372</v>
      </c>
      <c r="D6" s="463">
        <f t="shared" si="2"/>
        <v>0</v>
      </c>
      <c r="E6" s="463">
        <f t="shared" si="0"/>
        <v>0</v>
      </c>
      <c r="F6" s="463">
        <f t="shared" si="0"/>
        <v>0</v>
      </c>
      <c r="G6" s="463">
        <f t="shared" si="0"/>
        <v>0</v>
      </c>
      <c r="H6" s="463">
        <f t="shared" si="3"/>
        <v>0</v>
      </c>
      <c r="I6" s="463">
        <f t="shared" si="0"/>
        <v>0</v>
      </c>
      <c r="J6" s="463">
        <f t="shared" si="0"/>
        <v>0</v>
      </c>
      <c r="K6" s="463">
        <f t="shared" si="0"/>
        <v>0</v>
      </c>
      <c r="L6" s="463">
        <f t="shared" si="0"/>
        <v>0</v>
      </c>
      <c r="M6" s="463">
        <f t="shared" si="0"/>
        <v>0</v>
      </c>
      <c r="N6" s="463">
        <f t="shared" si="0"/>
        <v>0</v>
      </c>
      <c r="O6" s="463">
        <f t="shared" si="0"/>
        <v>0</v>
      </c>
      <c r="P6" s="463">
        <f t="shared" si="0"/>
        <v>0</v>
      </c>
      <c r="Q6" s="463">
        <f t="shared" si="0"/>
        <v>0</v>
      </c>
      <c r="R6" s="463">
        <f t="shared" si="0"/>
        <v>0</v>
      </c>
      <c r="S6" s="464"/>
    </row>
    <row r="7" spans="1:19" ht="12.75" hidden="1" thickBot="1">
      <c r="A7" s="2" t="s">
        <v>367</v>
      </c>
      <c r="B7" s="1" t="s">
        <v>1271</v>
      </c>
      <c r="C7" s="2" t="s">
        <v>374</v>
      </c>
      <c r="D7" s="463">
        <f t="shared" si="2"/>
        <v>0</v>
      </c>
      <c r="E7" s="463">
        <f t="shared" si="0"/>
        <v>0</v>
      </c>
      <c r="F7" s="463">
        <f t="shared" si="0"/>
        <v>0</v>
      </c>
      <c r="G7" s="463">
        <f t="shared" si="0"/>
        <v>0</v>
      </c>
      <c r="H7" s="463">
        <f t="shared" si="3"/>
        <v>0</v>
      </c>
      <c r="I7" s="463">
        <f t="shared" si="0"/>
        <v>0</v>
      </c>
      <c r="J7" s="463">
        <f t="shared" si="0"/>
        <v>0</v>
      </c>
      <c r="K7" s="463">
        <f t="shared" si="0"/>
        <v>0</v>
      </c>
      <c r="L7" s="463">
        <f t="shared" si="0"/>
        <v>0</v>
      </c>
      <c r="M7" s="463">
        <f t="shared" si="0"/>
        <v>0</v>
      </c>
      <c r="N7" s="463">
        <f t="shared" si="0"/>
        <v>0</v>
      </c>
      <c r="O7" s="463">
        <f t="shared" si="0"/>
        <v>0</v>
      </c>
      <c r="P7" s="463">
        <f t="shared" si="0"/>
        <v>0</v>
      </c>
      <c r="Q7" s="463">
        <f t="shared" si="0"/>
        <v>0</v>
      </c>
      <c r="R7" s="463">
        <f t="shared" si="0"/>
        <v>0</v>
      </c>
      <c r="S7" s="464"/>
    </row>
    <row r="8" spans="1:19" ht="12.75" hidden="1" thickBot="1">
      <c r="A8" s="2" t="s">
        <v>367</v>
      </c>
      <c r="B8" s="1" t="s">
        <v>1271</v>
      </c>
      <c r="C8" s="2" t="s">
        <v>375</v>
      </c>
      <c r="D8" s="463">
        <f t="shared" si="2"/>
        <v>2585</v>
      </c>
      <c r="E8" s="463">
        <f t="shared" si="0"/>
        <v>0</v>
      </c>
      <c r="F8" s="463">
        <f t="shared" si="0"/>
        <v>0</v>
      </c>
      <c r="G8" s="463">
        <f t="shared" si="0"/>
        <v>0</v>
      </c>
      <c r="H8" s="463">
        <f t="shared" si="3"/>
        <v>134413194</v>
      </c>
      <c r="I8" s="463">
        <f t="shared" si="0"/>
        <v>0</v>
      </c>
      <c r="J8" s="463">
        <f t="shared" si="0"/>
        <v>0</v>
      </c>
      <c r="K8" s="463">
        <f t="shared" si="0"/>
        <v>0</v>
      </c>
      <c r="L8" s="463">
        <f t="shared" si="0"/>
        <v>0</v>
      </c>
      <c r="M8" s="463">
        <f t="shared" si="0"/>
        <v>0</v>
      </c>
      <c r="N8" s="463">
        <f t="shared" si="0"/>
        <v>0</v>
      </c>
      <c r="O8" s="463">
        <f t="shared" si="0"/>
        <v>0</v>
      </c>
      <c r="P8" s="463">
        <f>R8</f>
        <v>342390</v>
      </c>
      <c r="Q8" s="463">
        <f t="shared" si="0"/>
        <v>0</v>
      </c>
      <c r="R8" s="463">
        <f t="shared" si="0"/>
        <v>342390</v>
      </c>
      <c r="S8" s="465"/>
    </row>
    <row r="9" spans="1:19" ht="12.75" hidden="1" thickBot="1">
      <c r="A9" s="2" t="s">
        <v>367</v>
      </c>
      <c r="B9" s="1" t="s">
        <v>1271</v>
      </c>
      <c r="C9" s="2" t="s">
        <v>376</v>
      </c>
      <c r="D9" s="463">
        <f t="shared" si="2"/>
        <v>52</v>
      </c>
      <c r="E9" s="463">
        <f t="shared" si="0"/>
        <v>0</v>
      </c>
      <c r="F9" s="463">
        <f t="shared" si="0"/>
        <v>0</v>
      </c>
      <c r="G9" s="463">
        <f t="shared" si="0"/>
        <v>0</v>
      </c>
      <c r="H9" s="463">
        <f t="shared" si="3"/>
        <v>11527513</v>
      </c>
      <c r="I9" s="463">
        <f t="shared" si="0"/>
        <v>0</v>
      </c>
      <c r="J9" s="463">
        <f t="shared" si="0"/>
        <v>0</v>
      </c>
      <c r="K9" s="463">
        <f t="shared" si="0"/>
        <v>0</v>
      </c>
      <c r="L9" s="463">
        <f t="shared" si="0"/>
        <v>0</v>
      </c>
      <c r="M9" s="463">
        <f t="shared" si="0"/>
        <v>0</v>
      </c>
      <c r="N9" s="463">
        <f t="shared" si="0"/>
        <v>0</v>
      </c>
      <c r="O9" s="463">
        <f t="shared" si="0"/>
        <v>0</v>
      </c>
      <c r="P9" s="463">
        <f>R9</f>
        <v>28709</v>
      </c>
      <c r="Q9" s="463">
        <f t="shared" si="0"/>
        <v>0</v>
      </c>
      <c r="R9" s="463">
        <f t="shared" si="0"/>
        <v>28709</v>
      </c>
      <c r="S9" s="465"/>
    </row>
    <row r="10" spans="1:19" ht="12.75" hidden="1" thickBot="1">
      <c r="A10" s="2" t="s">
        <v>367</v>
      </c>
      <c r="B10" s="1" t="s">
        <v>1271</v>
      </c>
      <c r="C10" s="2" t="s">
        <v>377</v>
      </c>
      <c r="D10" s="463">
        <f t="shared" si="2"/>
        <v>0</v>
      </c>
      <c r="E10" s="463">
        <f t="shared" si="0"/>
        <v>0</v>
      </c>
      <c r="F10" s="463">
        <f t="shared" si="0"/>
        <v>0</v>
      </c>
      <c r="G10" s="463">
        <f t="shared" si="0"/>
        <v>0</v>
      </c>
      <c r="H10" s="463">
        <f t="shared" si="3"/>
        <v>0</v>
      </c>
      <c r="I10" s="463">
        <f t="shared" si="0"/>
        <v>0</v>
      </c>
      <c r="J10" s="463">
        <f t="shared" si="0"/>
        <v>0</v>
      </c>
      <c r="K10" s="463">
        <f t="shared" si="0"/>
        <v>0</v>
      </c>
      <c r="L10" s="463">
        <f t="shared" si="0"/>
        <v>0</v>
      </c>
      <c r="M10" s="463">
        <f t="shared" si="0"/>
        <v>0</v>
      </c>
      <c r="N10" s="463">
        <f t="shared" si="0"/>
        <v>0</v>
      </c>
      <c r="O10" s="463">
        <f t="shared" si="0"/>
        <v>0</v>
      </c>
      <c r="P10" s="463">
        <f t="shared" si="0"/>
        <v>0</v>
      </c>
      <c r="Q10" s="463">
        <f t="shared" si="0"/>
        <v>0</v>
      </c>
      <c r="R10" s="463">
        <f t="shared" si="0"/>
        <v>0</v>
      </c>
      <c r="S10" s="464"/>
    </row>
    <row r="11" spans="1:19" ht="12.75" hidden="1" thickBot="1">
      <c r="A11" s="2" t="s">
        <v>367</v>
      </c>
      <c r="B11" s="1" t="s">
        <v>1271</v>
      </c>
      <c r="C11" s="2" t="s">
        <v>378</v>
      </c>
      <c r="D11" s="463">
        <f t="shared" si="2"/>
        <v>222</v>
      </c>
      <c r="E11" s="463">
        <f t="shared" si="0"/>
        <v>0</v>
      </c>
      <c r="F11" s="463">
        <f t="shared" si="0"/>
        <v>0</v>
      </c>
      <c r="G11" s="463">
        <f t="shared" si="0"/>
        <v>0</v>
      </c>
      <c r="H11" s="463">
        <f t="shared" si="3"/>
        <v>58180401</v>
      </c>
      <c r="I11" s="463">
        <f t="shared" si="0"/>
        <v>0</v>
      </c>
      <c r="J11" s="463">
        <f t="shared" si="0"/>
        <v>0</v>
      </c>
      <c r="K11" s="463">
        <f t="shared" si="0"/>
        <v>0</v>
      </c>
      <c r="L11" s="463">
        <f t="shared" si="0"/>
        <v>0</v>
      </c>
      <c r="M11" s="463">
        <f t="shared" si="0"/>
        <v>0</v>
      </c>
      <c r="N11" s="463">
        <f t="shared" si="0"/>
        <v>0</v>
      </c>
      <c r="O11" s="463">
        <f t="shared" si="0"/>
        <v>118759</v>
      </c>
      <c r="P11" s="463">
        <f t="shared" si="0"/>
        <v>109001</v>
      </c>
      <c r="Q11" s="463">
        <f t="shared" si="0"/>
        <v>106595</v>
      </c>
      <c r="R11" s="463">
        <f t="shared" si="0"/>
        <v>0</v>
      </c>
      <c r="S11" s="465"/>
    </row>
    <row r="12" spans="1:19" ht="12.75" hidden="1" thickBot="1">
      <c r="A12" s="2" t="s">
        <v>367</v>
      </c>
      <c r="B12" s="1" t="s">
        <v>1271</v>
      </c>
      <c r="C12" s="2" t="s">
        <v>379</v>
      </c>
      <c r="D12" s="463">
        <f t="shared" si="2"/>
        <v>40</v>
      </c>
      <c r="E12" s="463">
        <f t="shared" si="0"/>
        <v>0</v>
      </c>
      <c r="F12" s="463">
        <f t="shared" si="0"/>
        <v>0</v>
      </c>
      <c r="G12" s="463">
        <f t="shared" si="0"/>
        <v>0</v>
      </c>
      <c r="H12" s="463">
        <f t="shared" si="3"/>
        <v>28843197</v>
      </c>
      <c r="I12" s="463">
        <f t="shared" si="0"/>
        <v>0</v>
      </c>
      <c r="J12" s="463">
        <f t="shared" si="0"/>
        <v>0</v>
      </c>
      <c r="K12" s="463">
        <f t="shared" si="0"/>
        <v>0</v>
      </c>
      <c r="L12" s="463">
        <f t="shared" si="0"/>
        <v>0</v>
      </c>
      <c r="M12" s="463">
        <f t="shared" si="0"/>
        <v>0</v>
      </c>
      <c r="N12" s="463">
        <f t="shared" si="0"/>
        <v>0</v>
      </c>
      <c r="O12" s="463">
        <f t="shared" si="0"/>
        <v>67143</v>
      </c>
      <c r="P12" s="463">
        <f t="shared" si="0"/>
        <v>59358</v>
      </c>
      <c r="Q12" s="463">
        <f t="shared" si="0"/>
        <v>57314</v>
      </c>
      <c r="R12" s="463">
        <f t="shared" si="0"/>
        <v>0</v>
      </c>
      <c r="S12" s="464"/>
    </row>
    <row r="13" spans="1:19" ht="12.75" hidden="1" thickBot="1">
      <c r="A13" s="2" t="s">
        <v>367</v>
      </c>
      <c r="B13" s="1" t="s">
        <v>1271</v>
      </c>
      <c r="C13" s="2" t="s">
        <v>381</v>
      </c>
      <c r="D13" s="463">
        <f t="shared" si="2"/>
        <v>16386</v>
      </c>
      <c r="E13" s="463">
        <f t="shared" si="0"/>
        <v>0</v>
      </c>
      <c r="F13" s="463">
        <f t="shared" si="0"/>
        <v>0</v>
      </c>
      <c r="G13" s="463">
        <f t="shared" si="0"/>
        <v>0</v>
      </c>
      <c r="H13" s="463">
        <f t="shared" si="3"/>
        <v>81564370</v>
      </c>
      <c r="I13" s="463">
        <f t="shared" si="0"/>
        <v>0</v>
      </c>
      <c r="J13" s="463">
        <f t="shared" si="0"/>
        <v>0</v>
      </c>
      <c r="K13" s="463">
        <f t="shared" si="0"/>
        <v>0</v>
      </c>
      <c r="L13" s="463">
        <f t="shared" si="0"/>
        <v>0</v>
      </c>
      <c r="M13" s="463">
        <f t="shared" si="0"/>
        <v>0</v>
      </c>
      <c r="N13" s="463">
        <f t="shared" si="0"/>
        <v>0</v>
      </c>
      <c r="O13" s="463">
        <f>R13</f>
        <v>202711</v>
      </c>
      <c r="P13" s="463">
        <f t="shared" si="0"/>
        <v>0</v>
      </c>
      <c r="Q13" s="463">
        <f t="shared" si="0"/>
        <v>0</v>
      </c>
      <c r="R13" s="463">
        <f t="shared" si="0"/>
        <v>202711</v>
      </c>
      <c r="S13" s="464"/>
    </row>
    <row r="14" spans="1:19" ht="12.75" hidden="1" thickBot="1">
      <c r="A14" s="2" t="s">
        <v>367</v>
      </c>
      <c r="B14" s="1" t="s">
        <v>1271</v>
      </c>
      <c r="C14" s="2" t="s">
        <v>382</v>
      </c>
      <c r="D14" s="463">
        <f t="shared" si="2"/>
        <v>0</v>
      </c>
      <c r="E14" s="463">
        <f t="shared" si="0"/>
        <v>0</v>
      </c>
      <c r="F14" s="463">
        <f t="shared" si="0"/>
        <v>0</v>
      </c>
      <c r="G14" s="463">
        <f t="shared" si="0"/>
        <v>0</v>
      </c>
      <c r="H14" s="463">
        <f t="shared" si="3"/>
        <v>0</v>
      </c>
      <c r="I14" s="463">
        <f t="shared" si="0"/>
        <v>0</v>
      </c>
      <c r="J14" s="463">
        <f t="shared" si="0"/>
        <v>0</v>
      </c>
      <c r="K14" s="463">
        <f t="shared" si="0"/>
        <v>0</v>
      </c>
      <c r="L14" s="463">
        <f t="shared" si="0"/>
        <v>0</v>
      </c>
      <c r="M14" s="463">
        <f t="shared" si="0"/>
        <v>0</v>
      </c>
      <c r="N14" s="463">
        <f t="shared" si="0"/>
        <v>0</v>
      </c>
      <c r="O14" s="463">
        <f t="shared" si="0"/>
        <v>0</v>
      </c>
      <c r="P14" s="463">
        <f t="shared" si="0"/>
        <v>0</v>
      </c>
      <c r="Q14" s="463">
        <f t="shared" si="0"/>
        <v>0</v>
      </c>
      <c r="R14" s="463">
        <f t="shared" si="0"/>
        <v>0</v>
      </c>
      <c r="S14" s="464"/>
    </row>
    <row r="15" spans="1:19" ht="12.75" hidden="1" thickBot="1">
      <c r="A15" s="2" t="s">
        <v>367</v>
      </c>
      <c r="B15" s="1" t="s">
        <v>1271</v>
      </c>
      <c r="C15" s="2" t="s">
        <v>384</v>
      </c>
      <c r="D15" s="463">
        <f t="shared" si="2"/>
        <v>0</v>
      </c>
      <c r="E15" s="463">
        <f t="shared" si="0"/>
        <v>0</v>
      </c>
      <c r="F15" s="463">
        <f t="shared" si="0"/>
        <v>0</v>
      </c>
      <c r="G15" s="463">
        <f t="shared" si="0"/>
        <v>0</v>
      </c>
      <c r="H15" s="463">
        <f t="shared" si="3"/>
        <v>0</v>
      </c>
      <c r="I15" s="463">
        <f t="shared" si="0"/>
        <v>0</v>
      </c>
      <c r="J15" s="463">
        <f t="shared" si="0"/>
        <v>0</v>
      </c>
      <c r="K15" s="463">
        <f t="shared" si="0"/>
        <v>0</v>
      </c>
      <c r="L15" s="463">
        <f t="shared" si="0"/>
        <v>0</v>
      </c>
      <c r="M15" s="463">
        <f t="shared" si="0"/>
        <v>0</v>
      </c>
      <c r="N15" s="463">
        <f t="shared" si="0"/>
        <v>0</v>
      </c>
      <c r="O15" s="463">
        <f t="shared" si="0"/>
        <v>0</v>
      </c>
      <c r="P15" s="463">
        <f t="shared" si="0"/>
        <v>0</v>
      </c>
      <c r="Q15" s="463">
        <f t="shared" si="0"/>
        <v>0</v>
      </c>
      <c r="R15" s="463">
        <f t="shared" si="0"/>
        <v>0</v>
      </c>
      <c r="S15" s="464"/>
    </row>
    <row r="16" spans="1:19" ht="12.75" hidden="1" thickBot="1">
      <c r="A16" s="2" t="s">
        <v>367</v>
      </c>
      <c r="B16" s="1" t="s">
        <v>1271</v>
      </c>
      <c r="C16" s="2" t="s">
        <v>385</v>
      </c>
      <c r="D16" s="463">
        <f t="shared" si="2"/>
        <v>2</v>
      </c>
      <c r="E16" s="463">
        <f t="shared" si="0"/>
        <v>0</v>
      </c>
      <c r="F16" s="463">
        <f t="shared" si="0"/>
        <v>0</v>
      </c>
      <c r="G16" s="463">
        <f t="shared" si="0"/>
        <v>0</v>
      </c>
      <c r="H16" s="463">
        <f t="shared" si="3"/>
        <v>5498880</v>
      </c>
      <c r="I16" s="463">
        <f t="shared" si="0"/>
        <v>0</v>
      </c>
      <c r="J16" s="463">
        <f t="shared" si="0"/>
        <v>0</v>
      </c>
      <c r="K16" s="463">
        <f t="shared" si="0"/>
        <v>0</v>
      </c>
      <c r="L16" s="463">
        <f t="shared" si="0"/>
        <v>0</v>
      </c>
      <c r="M16" s="463">
        <f t="shared" si="0"/>
        <v>0</v>
      </c>
      <c r="N16" s="463">
        <f t="shared" si="0"/>
        <v>0</v>
      </c>
      <c r="O16" s="463">
        <f t="shared" si="0"/>
        <v>0</v>
      </c>
      <c r="P16" s="463">
        <f>R16</f>
        <v>9307</v>
      </c>
      <c r="Q16" s="463">
        <f t="shared" si="0"/>
        <v>0</v>
      </c>
      <c r="R16" s="463">
        <f t="shared" si="0"/>
        <v>9307</v>
      </c>
      <c r="S16" s="464"/>
    </row>
    <row r="17" spans="1:19" ht="12.75" hidden="1" thickBot="1">
      <c r="A17" s="2" t="s">
        <v>367</v>
      </c>
      <c r="B17" s="1" t="s">
        <v>1271</v>
      </c>
      <c r="C17" s="2" t="s">
        <v>1223</v>
      </c>
      <c r="D17" s="463">
        <f t="shared" si="2"/>
        <v>0</v>
      </c>
      <c r="E17" s="463">
        <f t="shared" si="0"/>
        <v>0</v>
      </c>
      <c r="F17" s="463">
        <f t="shared" si="0"/>
        <v>0</v>
      </c>
      <c r="G17" s="463">
        <f t="shared" si="0"/>
        <v>0</v>
      </c>
      <c r="H17" s="463">
        <f t="shared" si="3"/>
        <v>0</v>
      </c>
      <c r="I17" s="463">
        <f t="shared" si="0"/>
        <v>0</v>
      </c>
      <c r="J17" s="463">
        <f t="shared" si="0"/>
        <v>0</v>
      </c>
      <c r="K17" s="463">
        <f t="shared" si="0"/>
        <v>0</v>
      </c>
      <c r="L17" s="463">
        <f t="shared" si="0"/>
        <v>0</v>
      </c>
      <c r="M17" s="463">
        <f t="shared" si="0"/>
        <v>0</v>
      </c>
      <c r="N17" s="463">
        <f t="shared" si="0"/>
        <v>0</v>
      </c>
      <c r="O17" s="463">
        <f t="shared" si="0"/>
        <v>0</v>
      </c>
      <c r="P17" s="463">
        <f t="shared" si="0"/>
        <v>0</v>
      </c>
      <c r="Q17" s="463">
        <f t="shared" si="0"/>
        <v>0</v>
      </c>
      <c r="R17" s="463">
        <f t="shared" si="0"/>
        <v>0</v>
      </c>
      <c r="S17" s="464"/>
    </row>
    <row r="18" spans="1:19" ht="12.75" hidden="1" thickBot="1">
      <c r="A18" s="2" t="s">
        <v>367</v>
      </c>
      <c r="B18" s="1" t="s">
        <v>1271</v>
      </c>
      <c r="C18" s="2" t="s">
        <v>386</v>
      </c>
      <c r="D18" s="463">
        <f t="shared" si="2"/>
        <v>0</v>
      </c>
      <c r="E18" s="463">
        <f t="shared" si="0"/>
        <v>0</v>
      </c>
      <c r="F18" s="463">
        <f t="shared" si="0"/>
        <v>0</v>
      </c>
      <c r="G18" s="463">
        <f t="shared" si="0"/>
        <v>0</v>
      </c>
      <c r="H18" s="463">
        <f t="shared" si="3"/>
        <v>0</v>
      </c>
      <c r="I18" s="463">
        <f t="shared" si="0"/>
        <v>0</v>
      </c>
      <c r="J18" s="463">
        <f t="shared" si="0"/>
        <v>0</v>
      </c>
      <c r="K18" s="463">
        <f t="shared" si="0"/>
        <v>0</v>
      </c>
      <c r="L18" s="463">
        <f t="shared" si="0"/>
        <v>0</v>
      </c>
      <c r="M18" s="463">
        <f t="shared" si="0"/>
        <v>0</v>
      </c>
      <c r="N18" s="463">
        <f t="shared" si="0"/>
        <v>0</v>
      </c>
      <c r="O18" s="463">
        <f t="shared" si="0"/>
        <v>0</v>
      </c>
      <c r="P18" s="463">
        <f t="shared" si="0"/>
        <v>0</v>
      </c>
      <c r="Q18" s="463">
        <f t="shared" si="0"/>
        <v>0</v>
      </c>
      <c r="R18" s="463">
        <f t="shared" si="0"/>
        <v>0</v>
      </c>
      <c r="S18" s="464"/>
    </row>
    <row r="19" spans="1:19" ht="12.75" hidden="1" thickBot="1">
      <c r="A19" s="2" t="s">
        <v>367</v>
      </c>
      <c r="B19" s="1" t="s">
        <v>1271</v>
      </c>
      <c r="C19" s="2" t="s">
        <v>387</v>
      </c>
      <c r="D19" s="463">
        <f t="shared" si="2"/>
        <v>1</v>
      </c>
      <c r="E19" s="463">
        <f t="shared" si="2"/>
        <v>0</v>
      </c>
      <c r="F19" s="463">
        <f t="shared" si="2"/>
        <v>0</v>
      </c>
      <c r="G19" s="463">
        <f t="shared" si="2"/>
        <v>0</v>
      </c>
      <c r="H19" s="463">
        <f t="shared" si="3"/>
        <v>10975500</v>
      </c>
      <c r="I19" s="463">
        <f t="shared" si="2"/>
        <v>0</v>
      </c>
      <c r="J19" s="463">
        <f t="shared" si="2"/>
        <v>0</v>
      </c>
      <c r="K19" s="463">
        <f t="shared" si="2"/>
        <v>0</v>
      </c>
      <c r="L19" s="463">
        <f t="shared" si="2"/>
        <v>0</v>
      </c>
      <c r="M19" s="463">
        <f t="shared" si="2"/>
        <v>0</v>
      </c>
      <c r="N19" s="463">
        <f t="shared" si="2"/>
        <v>0</v>
      </c>
      <c r="O19" s="463">
        <f t="shared" si="2"/>
        <v>0</v>
      </c>
      <c r="P19" s="463">
        <f>R19</f>
        <v>15562</v>
      </c>
      <c r="Q19" s="463">
        <f t="shared" si="2"/>
        <v>0</v>
      </c>
      <c r="R19" s="463">
        <f t="shared" si="2"/>
        <v>15562</v>
      </c>
      <c r="S19" s="465"/>
    </row>
    <row r="20" spans="1:19" ht="12.75" hidden="1" thickBot="1">
      <c r="A20" s="2" t="s">
        <v>367</v>
      </c>
      <c r="B20" s="1" t="s">
        <v>1271</v>
      </c>
      <c r="C20" s="2" t="s">
        <v>388</v>
      </c>
      <c r="D20" s="463">
        <f t="shared" si="2"/>
        <v>12</v>
      </c>
      <c r="E20" s="463">
        <f t="shared" si="2"/>
        <v>0</v>
      </c>
      <c r="F20" s="463">
        <f t="shared" si="2"/>
        <v>0</v>
      </c>
      <c r="G20" s="463">
        <f t="shared" si="2"/>
        <v>0</v>
      </c>
      <c r="H20" s="463">
        <f t="shared" si="3"/>
        <v>68922949</v>
      </c>
      <c r="I20" s="463">
        <f t="shared" si="2"/>
        <v>0</v>
      </c>
      <c r="J20" s="463">
        <f t="shared" si="2"/>
        <v>0</v>
      </c>
      <c r="K20" s="463">
        <f t="shared" si="2"/>
        <v>0</v>
      </c>
      <c r="L20" s="463">
        <f t="shared" si="2"/>
        <v>0</v>
      </c>
      <c r="M20" s="463">
        <f t="shared" si="2"/>
        <v>0</v>
      </c>
      <c r="N20" s="463">
        <f t="shared" si="2"/>
        <v>0</v>
      </c>
      <c r="O20" s="463">
        <f t="shared" si="2"/>
        <v>167002</v>
      </c>
      <c r="P20" s="463">
        <f t="shared" si="2"/>
        <v>151811</v>
      </c>
      <c r="Q20" s="463">
        <f t="shared" si="2"/>
        <v>93556</v>
      </c>
      <c r="R20" s="463">
        <f t="shared" si="2"/>
        <v>0</v>
      </c>
      <c r="S20" s="464"/>
    </row>
    <row r="21" spans="1:19" ht="12.75" hidden="1" thickBot="1">
      <c r="A21" s="2" t="s">
        <v>367</v>
      </c>
      <c r="B21" s="1" t="s">
        <v>1271</v>
      </c>
      <c r="C21" s="2" t="s">
        <v>389</v>
      </c>
      <c r="D21" s="463">
        <f t="shared" ref="D21:R35" si="4">ROUND(SUMIFS(D$409:D$780,$B$409:$B$780,$B21,$C$409:$C$780,$C21),0)</f>
        <v>213</v>
      </c>
      <c r="E21" s="463">
        <f t="shared" si="4"/>
        <v>0</v>
      </c>
      <c r="F21" s="463">
        <f t="shared" si="4"/>
        <v>0</v>
      </c>
      <c r="G21" s="463">
        <f t="shared" si="4"/>
        <v>0</v>
      </c>
      <c r="H21" s="463">
        <f t="shared" si="3"/>
        <v>18274284</v>
      </c>
      <c r="I21" s="463">
        <f t="shared" si="4"/>
        <v>0</v>
      </c>
      <c r="J21" s="463">
        <f t="shared" si="4"/>
        <v>0</v>
      </c>
      <c r="K21" s="463">
        <f t="shared" si="4"/>
        <v>0</v>
      </c>
      <c r="L21" s="463">
        <f t="shared" si="4"/>
        <v>0</v>
      </c>
      <c r="M21" s="463">
        <f t="shared" si="4"/>
        <v>0</v>
      </c>
      <c r="N21" s="463">
        <f t="shared" si="4"/>
        <v>0</v>
      </c>
      <c r="O21" s="463">
        <f t="shared" si="4"/>
        <v>0</v>
      </c>
      <c r="P21" s="463">
        <f t="shared" ref="P21:P22" si="5">R21</f>
        <v>59090</v>
      </c>
      <c r="Q21" s="463">
        <f t="shared" si="4"/>
        <v>0</v>
      </c>
      <c r="R21" s="463">
        <f t="shared" si="4"/>
        <v>59090</v>
      </c>
      <c r="S21" s="465"/>
    </row>
    <row r="22" spans="1:19" ht="12.75" hidden="1" thickBot="1">
      <c r="A22" s="2" t="s">
        <v>367</v>
      </c>
      <c r="B22" s="1" t="s">
        <v>1271</v>
      </c>
      <c r="C22" s="2" t="s">
        <v>390</v>
      </c>
      <c r="D22" s="463">
        <f t="shared" si="4"/>
        <v>21</v>
      </c>
      <c r="E22" s="463">
        <f t="shared" si="4"/>
        <v>0</v>
      </c>
      <c r="F22" s="463">
        <f t="shared" si="4"/>
        <v>0</v>
      </c>
      <c r="G22" s="463">
        <f t="shared" si="4"/>
        <v>0</v>
      </c>
      <c r="H22" s="463">
        <f t="shared" si="3"/>
        <v>1034319</v>
      </c>
      <c r="I22" s="463">
        <f t="shared" si="4"/>
        <v>0</v>
      </c>
      <c r="J22" s="463">
        <f t="shared" si="4"/>
        <v>0</v>
      </c>
      <c r="K22" s="463">
        <f t="shared" si="4"/>
        <v>0</v>
      </c>
      <c r="L22" s="463">
        <f t="shared" si="4"/>
        <v>0</v>
      </c>
      <c r="M22" s="463">
        <f t="shared" si="4"/>
        <v>0</v>
      </c>
      <c r="N22" s="463">
        <f t="shared" si="4"/>
        <v>0</v>
      </c>
      <c r="O22" s="463">
        <f t="shared" si="4"/>
        <v>0</v>
      </c>
      <c r="P22" s="463">
        <f t="shared" si="5"/>
        <v>3851</v>
      </c>
      <c r="Q22" s="463">
        <f t="shared" si="4"/>
        <v>0</v>
      </c>
      <c r="R22" s="463">
        <f t="shared" si="4"/>
        <v>3851</v>
      </c>
      <c r="S22" s="465"/>
    </row>
    <row r="23" spans="1:19" ht="12.75" hidden="1" thickBot="1">
      <c r="A23" s="2" t="s">
        <v>367</v>
      </c>
      <c r="B23" s="1" t="s">
        <v>1271</v>
      </c>
      <c r="C23" s="2" t="s">
        <v>391</v>
      </c>
      <c r="D23" s="463">
        <f t="shared" si="4"/>
        <v>99</v>
      </c>
      <c r="E23" s="463">
        <f t="shared" si="4"/>
        <v>0</v>
      </c>
      <c r="F23" s="463">
        <f t="shared" si="4"/>
        <v>0</v>
      </c>
      <c r="G23" s="463">
        <f t="shared" si="4"/>
        <v>0</v>
      </c>
      <c r="H23" s="463">
        <f t="shared" si="3"/>
        <v>20040159</v>
      </c>
      <c r="I23" s="463">
        <f t="shared" si="4"/>
        <v>0</v>
      </c>
      <c r="J23" s="463">
        <f t="shared" si="4"/>
        <v>0</v>
      </c>
      <c r="K23" s="463">
        <f t="shared" si="4"/>
        <v>0</v>
      </c>
      <c r="L23" s="463">
        <f t="shared" si="4"/>
        <v>0</v>
      </c>
      <c r="M23" s="463">
        <f t="shared" si="4"/>
        <v>0</v>
      </c>
      <c r="N23" s="463">
        <f t="shared" si="4"/>
        <v>0</v>
      </c>
      <c r="O23" s="463">
        <f t="shared" si="4"/>
        <v>50459</v>
      </c>
      <c r="P23" s="463">
        <f t="shared" si="4"/>
        <v>45581</v>
      </c>
      <c r="Q23" s="463">
        <f t="shared" si="4"/>
        <v>44967</v>
      </c>
      <c r="R23" s="463">
        <f t="shared" si="4"/>
        <v>0</v>
      </c>
      <c r="S23" s="465"/>
    </row>
    <row r="24" spans="1:19" ht="12.75" hidden="1" thickBot="1">
      <c r="A24" s="2" t="s">
        <v>367</v>
      </c>
      <c r="B24" s="1" t="s">
        <v>1271</v>
      </c>
      <c r="C24" s="2" t="s">
        <v>392</v>
      </c>
      <c r="D24" s="463">
        <f t="shared" si="4"/>
        <v>70</v>
      </c>
      <c r="E24" s="463">
        <f t="shared" si="4"/>
        <v>0</v>
      </c>
      <c r="F24" s="463">
        <f t="shared" si="4"/>
        <v>0</v>
      </c>
      <c r="G24" s="463">
        <f t="shared" si="4"/>
        <v>0</v>
      </c>
      <c r="H24" s="463">
        <f t="shared" si="3"/>
        <v>130426785</v>
      </c>
      <c r="I24" s="463">
        <f t="shared" si="4"/>
        <v>0</v>
      </c>
      <c r="J24" s="463">
        <f t="shared" si="4"/>
        <v>0</v>
      </c>
      <c r="K24" s="463">
        <f t="shared" si="4"/>
        <v>0</v>
      </c>
      <c r="L24" s="463">
        <f t="shared" si="4"/>
        <v>0</v>
      </c>
      <c r="M24" s="463">
        <f t="shared" si="4"/>
        <v>0</v>
      </c>
      <c r="N24" s="463">
        <f t="shared" si="4"/>
        <v>0</v>
      </c>
      <c r="O24" s="463">
        <f t="shared" si="4"/>
        <v>328863</v>
      </c>
      <c r="P24" s="463">
        <f t="shared" si="4"/>
        <v>298563</v>
      </c>
      <c r="Q24" s="463">
        <f t="shared" si="4"/>
        <v>294597</v>
      </c>
      <c r="R24" s="463">
        <f t="shared" si="4"/>
        <v>0</v>
      </c>
      <c r="S24" s="464"/>
    </row>
    <row r="25" spans="1:19" ht="12.75" hidden="1" thickBot="1">
      <c r="A25" s="2" t="s">
        <v>367</v>
      </c>
      <c r="B25" s="1" t="s">
        <v>1271</v>
      </c>
      <c r="C25" s="2" t="s">
        <v>394</v>
      </c>
      <c r="D25" s="463">
        <f t="shared" si="4"/>
        <v>0</v>
      </c>
      <c r="E25" s="463">
        <f t="shared" si="4"/>
        <v>0</v>
      </c>
      <c r="F25" s="463">
        <f t="shared" si="4"/>
        <v>0</v>
      </c>
      <c r="G25" s="463">
        <f t="shared" si="4"/>
        <v>0</v>
      </c>
      <c r="H25" s="463">
        <f t="shared" si="3"/>
        <v>0</v>
      </c>
      <c r="I25" s="463">
        <f t="shared" si="4"/>
        <v>0</v>
      </c>
      <c r="J25" s="463">
        <f t="shared" si="4"/>
        <v>0</v>
      </c>
      <c r="K25" s="463">
        <f t="shared" si="4"/>
        <v>0</v>
      </c>
      <c r="L25" s="463">
        <f t="shared" si="4"/>
        <v>0</v>
      </c>
      <c r="M25" s="463">
        <f t="shared" si="4"/>
        <v>0</v>
      </c>
      <c r="N25" s="463">
        <f t="shared" si="4"/>
        <v>0</v>
      </c>
      <c r="O25" s="463">
        <f t="shared" si="4"/>
        <v>0</v>
      </c>
      <c r="P25" s="463">
        <f t="shared" si="4"/>
        <v>0</v>
      </c>
      <c r="Q25" s="463">
        <f t="shared" si="4"/>
        <v>0</v>
      </c>
      <c r="R25" s="463">
        <f t="shared" si="4"/>
        <v>0</v>
      </c>
      <c r="S25" s="464"/>
    </row>
    <row r="26" spans="1:19" ht="12.75" hidden="1" thickBot="1">
      <c r="A26" s="2" t="s">
        <v>367</v>
      </c>
      <c r="B26" s="1" t="s">
        <v>1271</v>
      </c>
      <c r="C26" s="2" t="s">
        <v>395</v>
      </c>
      <c r="D26" s="463">
        <f t="shared" si="4"/>
        <v>156</v>
      </c>
      <c r="E26" s="463">
        <f t="shared" si="4"/>
        <v>0</v>
      </c>
      <c r="F26" s="463">
        <f t="shared" si="4"/>
        <v>0</v>
      </c>
      <c r="G26" s="463">
        <f t="shared" si="4"/>
        <v>0</v>
      </c>
      <c r="H26" s="463">
        <f t="shared" si="3"/>
        <v>358279</v>
      </c>
      <c r="I26" s="463">
        <f t="shared" si="4"/>
        <v>0</v>
      </c>
      <c r="J26" s="463">
        <f t="shared" si="4"/>
        <v>0</v>
      </c>
      <c r="K26" s="463">
        <f t="shared" si="4"/>
        <v>0</v>
      </c>
      <c r="L26" s="463">
        <f t="shared" si="4"/>
        <v>0</v>
      </c>
      <c r="M26" s="463">
        <f t="shared" si="4"/>
        <v>0</v>
      </c>
      <c r="N26" s="463">
        <f t="shared" si="4"/>
        <v>0</v>
      </c>
      <c r="O26" s="463">
        <f t="shared" si="4"/>
        <v>0</v>
      </c>
      <c r="P26" s="463">
        <f t="shared" si="4"/>
        <v>0</v>
      </c>
      <c r="Q26" s="463">
        <f t="shared" si="4"/>
        <v>0</v>
      </c>
      <c r="R26" s="463">
        <f t="shared" si="4"/>
        <v>0</v>
      </c>
      <c r="S26" s="464"/>
    </row>
    <row r="27" spans="1:19" ht="12.75" hidden="1" thickBot="1">
      <c r="A27" s="2" t="s">
        <v>367</v>
      </c>
      <c r="B27" s="1" t="s">
        <v>1271</v>
      </c>
      <c r="C27" s="2" t="s">
        <v>396</v>
      </c>
      <c r="D27" s="463">
        <f t="shared" si="4"/>
        <v>0</v>
      </c>
      <c r="E27" s="463">
        <f t="shared" si="4"/>
        <v>0</v>
      </c>
      <c r="F27" s="463">
        <f t="shared" si="4"/>
        <v>0</v>
      </c>
      <c r="G27" s="463">
        <f t="shared" si="4"/>
        <v>0</v>
      </c>
      <c r="H27" s="463">
        <f t="shared" si="3"/>
        <v>0</v>
      </c>
      <c r="I27" s="463">
        <f t="shared" si="4"/>
        <v>0</v>
      </c>
      <c r="J27" s="463">
        <f t="shared" si="4"/>
        <v>0</v>
      </c>
      <c r="K27" s="463">
        <f t="shared" si="4"/>
        <v>0</v>
      </c>
      <c r="L27" s="463">
        <f t="shared" si="4"/>
        <v>0</v>
      </c>
      <c r="M27" s="463">
        <f t="shared" si="4"/>
        <v>0</v>
      </c>
      <c r="N27" s="463">
        <f t="shared" si="4"/>
        <v>0</v>
      </c>
      <c r="O27" s="463">
        <f t="shared" si="4"/>
        <v>0</v>
      </c>
      <c r="P27" s="463">
        <f t="shared" si="4"/>
        <v>0</v>
      </c>
      <c r="Q27" s="463">
        <f t="shared" si="4"/>
        <v>0</v>
      </c>
      <c r="R27" s="463">
        <f t="shared" si="4"/>
        <v>0</v>
      </c>
      <c r="S27" s="464"/>
    </row>
    <row r="28" spans="1:19" ht="12.75" hidden="1" thickBot="1">
      <c r="A28" s="2" t="s">
        <v>367</v>
      </c>
      <c r="B28" s="1" t="s">
        <v>1271</v>
      </c>
      <c r="C28" s="2" t="s">
        <v>397</v>
      </c>
      <c r="D28" s="463">
        <f t="shared" si="4"/>
        <v>905</v>
      </c>
      <c r="E28" s="463">
        <f t="shared" si="4"/>
        <v>0</v>
      </c>
      <c r="F28" s="463">
        <f t="shared" si="4"/>
        <v>0</v>
      </c>
      <c r="G28" s="463">
        <f t="shared" si="4"/>
        <v>0</v>
      </c>
      <c r="H28" s="463">
        <f t="shared" si="3"/>
        <v>289226</v>
      </c>
      <c r="I28" s="463">
        <f t="shared" si="4"/>
        <v>0</v>
      </c>
      <c r="J28" s="463">
        <f t="shared" si="4"/>
        <v>0</v>
      </c>
      <c r="K28" s="463">
        <f t="shared" si="4"/>
        <v>0</v>
      </c>
      <c r="L28" s="463">
        <f t="shared" si="4"/>
        <v>0</v>
      </c>
      <c r="M28" s="463">
        <f t="shared" si="4"/>
        <v>0</v>
      </c>
      <c r="N28" s="463">
        <f t="shared" si="4"/>
        <v>0</v>
      </c>
      <c r="O28" s="463">
        <f t="shared" si="4"/>
        <v>0</v>
      </c>
      <c r="P28" s="463">
        <f t="shared" si="4"/>
        <v>0</v>
      </c>
      <c r="Q28" s="463">
        <f t="shared" si="4"/>
        <v>0</v>
      </c>
      <c r="R28" s="463">
        <f t="shared" si="4"/>
        <v>0</v>
      </c>
      <c r="S28" s="464"/>
    </row>
    <row r="29" spans="1:19" ht="12.75" hidden="1" thickBot="1">
      <c r="A29" s="2" t="s">
        <v>367</v>
      </c>
      <c r="B29" s="1" t="s">
        <v>1271</v>
      </c>
      <c r="C29" s="2" t="s">
        <v>398</v>
      </c>
      <c r="D29" s="463">
        <f t="shared" si="4"/>
        <v>0</v>
      </c>
      <c r="E29" s="463">
        <f t="shared" si="4"/>
        <v>0</v>
      </c>
      <c r="F29" s="463">
        <f t="shared" si="4"/>
        <v>0</v>
      </c>
      <c r="G29" s="463">
        <f t="shared" si="4"/>
        <v>0</v>
      </c>
      <c r="H29" s="463">
        <f t="shared" si="3"/>
        <v>0</v>
      </c>
      <c r="I29" s="463">
        <f t="shared" si="4"/>
        <v>0</v>
      </c>
      <c r="J29" s="463">
        <f t="shared" si="4"/>
        <v>0</v>
      </c>
      <c r="K29" s="463">
        <f t="shared" si="4"/>
        <v>0</v>
      </c>
      <c r="L29" s="463">
        <f t="shared" si="4"/>
        <v>0</v>
      </c>
      <c r="M29" s="463">
        <f t="shared" si="4"/>
        <v>0</v>
      </c>
      <c r="N29" s="463">
        <f t="shared" si="4"/>
        <v>0</v>
      </c>
      <c r="O29" s="463">
        <f t="shared" si="4"/>
        <v>0</v>
      </c>
      <c r="P29" s="463">
        <f t="shared" si="4"/>
        <v>0</v>
      </c>
      <c r="Q29" s="463">
        <f t="shared" si="4"/>
        <v>0</v>
      </c>
      <c r="R29" s="463">
        <f t="shared" si="4"/>
        <v>0</v>
      </c>
      <c r="S29" s="464"/>
    </row>
    <row r="30" spans="1:19" ht="12.75" hidden="1" thickBot="1">
      <c r="A30" s="2" t="s">
        <v>367</v>
      </c>
      <c r="B30" s="1" t="s">
        <v>1271</v>
      </c>
      <c r="C30" s="2" t="s">
        <v>399</v>
      </c>
      <c r="D30" s="463">
        <f t="shared" si="4"/>
        <v>0</v>
      </c>
      <c r="E30" s="463">
        <f t="shared" si="4"/>
        <v>0</v>
      </c>
      <c r="F30" s="463">
        <f t="shared" si="4"/>
        <v>0</v>
      </c>
      <c r="G30" s="463">
        <f t="shared" si="4"/>
        <v>0</v>
      </c>
      <c r="H30" s="463">
        <f t="shared" si="3"/>
        <v>0</v>
      </c>
      <c r="I30" s="463">
        <f t="shared" si="4"/>
        <v>0</v>
      </c>
      <c r="J30" s="463">
        <f t="shared" si="4"/>
        <v>0</v>
      </c>
      <c r="K30" s="463">
        <f t="shared" si="4"/>
        <v>0</v>
      </c>
      <c r="L30" s="463">
        <f t="shared" si="4"/>
        <v>0</v>
      </c>
      <c r="M30" s="463">
        <f t="shared" si="4"/>
        <v>0</v>
      </c>
      <c r="N30" s="463">
        <f t="shared" si="4"/>
        <v>0</v>
      </c>
      <c r="O30" s="463">
        <f t="shared" si="4"/>
        <v>0</v>
      </c>
      <c r="P30" s="463">
        <f t="shared" si="4"/>
        <v>0</v>
      </c>
      <c r="Q30" s="463">
        <f t="shared" si="4"/>
        <v>0</v>
      </c>
      <c r="R30" s="463">
        <f t="shared" si="4"/>
        <v>0</v>
      </c>
      <c r="S30" s="464"/>
    </row>
    <row r="31" spans="1:19" ht="12.75" thickBot="1">
      <c r="A31" s="2" t="s">
        <v>367</v>
      </c>
      <c r="B31" s="1" t="s">
        <v>1271</v>
      </c>
      <c r="C31" s="2" t="s">
        <v>400</v>
      </c>
      <c r="D31" s="463">
        <f t="shared" si="4"/>
        <v>361605</v>
      </c>
      <c r="E31" s="463">
        <f t="shared" si="4"/>
        <v>0</v>
      </c>
      <c r="F31" s="463">
        <f t="shared" si="4"/>
        <v>0</v>
      </c>
      <c r="G31" s="463">
        <f t="shared" si="4"/>
        <v>0</v>
      </c>
      <c r="H31" s="463">
        <f t="shared" si="3"/>
        <v>375125149</v>
      </c>
      <c r="I31" s="463">
        <f t="shared" si="4"/>
        <v>0</v>
      </c>
      <c r="J31" s="463">
        <f t="shared" si="4"/>
        <v>0</v>
      </c>
      <c r="K31" s="463">
        <f t="shared" si="4"/>
        <v>0</v>
      </c>
      <c r="L31" s="463">
        <f t="shared" si="4"/>
        <v>0</v>
      </c>
      <c r="M31" s="463">
        <f t="shared" si="4"/>
        <v>0</v>
      </c>
      <c r="N31" s="463">
        <f t="shared" si="4"/>
        <v>0</v>
      </c>
      <c r="O31" s="463">
        <f t="shared" si="4"/>
        <v>0</v>
      </c>
      <c r="P31" s="463">
        <f t="shared" si="4"/>
        <v>0</v>
      </c>
      <c r="Q31" s="463">
        <f t="shared" si="4"/>
        <v>0</v>
      </c>
      <c r="R31" s="463">
        <f t="shared" si="4"/>
        <v>0</v>
      </c>
      <c r="S31" s="464"/>
    </row>
    <row r="32" spans="1:19" ht="12.75" hidden="1" thickBot="1">
      <c r="A32" s="2" t="s">
        <v>367</v>
      </c>
      <c r="B32" s="1" t="s">
        <v>1271</v>
      </c>
      <c r="C32" s="2" t="s">
        <v>401</v>
      </c>
      <c r="D32" s="463">
        <f t="shared" si="4"/>
        <v>0</v>
      </c>
      <c r="E32" s="463">
        <f t="shared" si="4"/>
        <v>0</v>
      </c>
      <c r="F32" s="463">
        <f t="shared" si="4"/>
        <v>0</v>
      </c>
      <c r="G32" s="463">
        <f t="shared" si="4"/>
        <v>0</v>
      </c>
      <c r="H32" s="463">
        <f t="shared" si="3"/>
        <v>0</v>
      </c>
      <c r="I32" s="463">
        <f t="shared" si="4"/>
        <v>0</v>
      </c>
      <c r="J32" s="463">
        <f t="shared" si="4"/>
        <v>0</v>
      </c>
      <c r="K32" s="463">
        <f t="shared" si="4"/>
        <v>0</v>
      </c>
      <c r="L32" s="463">
        <f t="shared" si="4"/>
        <v>0</v>
      </c>
      <c r="M32" s="463">
        <f t="shared" si="4"/>
        <v>0</v>
      </c>
      <c r="N32" s="463">
        <f t="shared" si="4"/>
        <v>0</v>
      </c>
      <c r="O32" s="463">
        <f t="shared" si="4"/>
        <v>0</v>
      </c>
      <c r="P32" s="463">
        <f t="shared" si="4"/>
        <v>0</v>
      </c>
      <c r="Q32" s="463">
        <f t="shared" si="4"/>
        <v>0</v>
      </c>
      <c r="R32" s="463">
        <f t="shared" si="4"/>
        <v>0</v>
      </c>
      <c r="S32" s="464"/>
    </row>
    <row r="33" spans="1:19" ht="12.75" hidden="1" thickBot="1">
      <c r="A33" s="2" t="s">
        <v>367</v>
      </c>
      <c r="B33" s="1" t="s">
        <v>1271</v>
      </c>
      <c r="C33" s="2" t="s">
        <v>402</v>
      </c>
      <c r="D33" s="463">
        <f t="shared" si="4"/>
        <v>0</v>
      </c>
      <c r="E33" s="463">
        <f t="shared" si="4"/>
        <v>0</v>
      </c>
      <c r="F33" s="463">
        <f t="shared" si="4"/>
        <v>0</v>
      </c>
      <c r="G33" s="463">
        <f t="shared" si="4"/>
        <v>0</v>
      </c>
      <c r="H33" s="463">
        <f t="shared" si="3"/>
        <v>0</v>
      </c>
      <c r="I33" s="463">
        <f t="shared" si="4"/>
        <v>0</v>
      </c>
      <c r="J33" s="463">
        <f t="shared" si="4"/>
        <v>0</v>
      </c>
      <c r="K33" s="463">
        <f t="shared" si="4"/>
        <v>0</v>
      </c>
      <c r="L33" s="463">
        <f t="shared" si="4"/>
        <v>0</v>
      </c>
      <c r="M33" s="463">
        <f t="shared" si="4"/>
        <v>0</v>
      </c>
      <c r="N33" s="463">
        <f t="shared" si="4"/>
        <v>0</v>
      </c>
      <c r="O33" s="463">
        <f t="shared" si="4"/>
        <v>0</v>
      </c>
      <c r="P33" s="463">
        <f t="shared" si="4"/>
        <v>0</v>
      </c>
      <c r="Q33" s="463">
        <f t="shared" si="4"/>
        <v>0</v>
      </c>
      <c r="R33" s="463">
        <f t="shared" si="4"/>
        <v>0</v>
      </c>
      <c r="S33" s="464"/>
    </row>
    <row r="34" spans="1:19" ht="12.75" hidden="1" thickBot="1">
      <c r="A34" s="2" t="s">
        <v>367</v>
      </c>
      <c r="B34" s="1" t="s">
        <v>1271</v>
      </c>
      <c r="C34" s="2" t="s">
        <v>706</v>
      </c>
      <c r="D34" s="463">
        <f t="shared" si="4"/>
        <v>20</v>
      </c>
      <c r="E34" s="463">
        <f t="shared" si="4"/>
        <v>13171</v>
      </c>
      <c r="F34" s="463">
        <f t="shared" si="4"/>
        <v>6352</v>
      </c>
      <c r="G34" s="463">
        <f t="shared" si="4"/>
        <v>4480</v>
      </c>
      <c r="H34" s="463">
        <f t="shared" si="3"/>
        <v>24003</v>
      </c>
      <c r="I34" s="463">
        <f t="shared" si="4"/>
        <v>0</v>
      </c>
      <c r="J34" s="463">
        <f t="shared" si="4"/>
        <v>0</v>
      </c>
      <c r="K34" s="463">
        <f t="shared" si="4"/>
        <v>0</v>
      </c>
      <c r="L34" s="463">
        <f t="shared" si="4"/>
        <v>0</v>
      </c>
      <c r="M34" s="463">
        <f t="shared" si="4"/>
        <v>0</v>
      </c>
      <c r="N34" s="463">
        <f t="shared" si="4"/>
        <v>0</v>
      </c>
      <c r="O34" s="463">
        <f t="shared" si="4"/>
        <v>0</v>
      </c>
      <c r="P34" s="463">
        <f t="shared" si="4"/>
        <v>0</v>
      </c>
      <c r="Q34" s="463">
        <f t="shared" si="4"/>
        <v>0</v>
      </c>
      <c r="R34" s="463">
        <f t="shared" si="4"/>
        <v>0</v>
      </c>
      <c r="S34" s="464"/>
    </row>
    <row r="35" spans="1:19" ht="12.75" hidden="1" thickBot="1">
      <c r="A35" s="2" t="s">
        <v>367</v>
      </c>
      <c r="B35" s="1" t="s">
        <v>1271</v>
      </c>
      <c r="C35" s="2" t="s">
        <v>1230</v>
      </c>
      <c r="D35" s="463">
        <f t="shared" si="4"/>
        <v>0</v>
      </c>
      <c r="E35" s="463">
        <f t="shared" si="4"/>
        <v>0</v>
      </c>
      <c r="F35" s="463">
        <f t="shared" si="4"/>
        <v>0</v>
      </c>
      <c r="G35" s="463">
        <f t="shared" si="4"/>
        <v>0</v>
      </c>
      <c r="H35" s="463">
        <f t="shared" si="3"/>
        <v>0</v>
      </c>
      <c r="I35" s="463">
        <f t="shared" si="4"/>
        <v>0</v>
      </c>
      <c r="J35" s="463">
        <f t="shared" si="4"/>
        <v>0</v>
      </c>
      <c r="K35" s="463">
        <f t="shared" si="4"/>
        <v>0</v>
      </c>
      <c r="L35" s="463">
        <f t="shared" si="4"/>
        <v>0</v>
      </c>
      <c r="M35" s="463">
        <f t="shared" si="4"/>
        <v>0</v>
      </c>
      <c r="N35" s="463">
        <f t="shared" si="4"/>
        <v>0</v>
      </c>
      <c r="O35" s="463">
        <f t="shared" si="4"/>
        <v>0</v>
      </c>
      <c r="P35" s="463">
        <f t="shared" si="4"/>
        <v>0</v>
      </c>
      <c r="Q35" s="463">
        <f t="shared" si="4"/>
        <v>0</v>
      </c>
      <c r="R35" s="463">
        <f t="shared" si="4"/>
        <v>0</v>
      </c>
      <c r="S35" s="464"/>
    </row>
    <row r="36" spans="1:19" ht="12.75" hidden="1" thickBot="1">
      <c r="A36" s="2" t="s">
        <v>367</v>
      </c>
      <c r="B36" s="1" t="s">
        <v>1271</v>
      </c>
      <c r="C36" s="17" t="s">
        <v>7</v>
      </c>
      <c r="D36" s="27"/>
      <c r="E36" s="466"/>
      <c r="F36" s="466"/>
      <c r="G36" s="466"/>
      <c r="H36" s="27"/>
      <c r="I36" s="467"/>
      <c r="J36" s="467"/>
      <c r="K36" s="467"/>
      <c r="L36" s="466"/>
      <c r="M36" s="466"/>
      <c r="N36" s="467"/>
      <c r="O36" s="456"/>
      <c r="P36" s="467"/>
      <c r="Q36" s="467"/>
      <c r="R36" s="467"/>
      <c r="S36" s="466"/>
    </row>
    <row r="37" spans="1:19" ht="12.75" hidden="1" thickBot="1">
      <c r="A37" s="24" t="s">
        <v>367</v>
      </c>
      <c r="B37" s="16" t="s">
        <v>1272</v>
      </c>
      <c r="C37" s="24" t="s">
        <v>368</v>
      </c>
      <c r="D37" s="463">
        <f t="shared" ref="D37:R52" si="6">ROUND(SUMIFS(D$409:D$780,$B$409:$B$780,$B37,$C$409:$C$780,$C37),0)</f>
        <v>0</v>
      </c>
      <c r="E37" s="463">
        <f t="shared" si="6"/>
        <v>0</v>
      </c>
      <c r="F37" s="463">
        <f t="shared" si="6"/>
        <v>0</v>
      </c>
      <c r="G37" s="463">
        <f t="shared" si="6"/>
        <v>0</v>
      </c>
      <c r="H37" s="463">
        <f t="shared" ref="H37:H69" si="7">ROUND(SUMIFS(H$409:H$780,$B$409:$B$780,$B37,$C$409:$C$780,$C37)*1000,0)</f>
        <v>0</v>
      </c>
      <c r="I37" s="463">
        <f t="shared" si="6"/>
        <v>0</v>
      </c>
      <c r="J37" s="463">
        <f t="shared" si="6"/>
        <v>0</v>
      </c>
      <c r="K37" s="463">
        <f t="shared" si="6"/>
        <v>0</v>
      </c>
      <c r="L37" s="463">
        <f t="shared" si="6"/>
        <v>0</v>
      </c>
      <c r="M37" s="463">
        <f t="shared" si="6"/>
        <v>0</v>
      </c>
      <c r="N37" s="463">
        <f t="shared" si="6"/>
        <v>0</v>
      </c>
      <c r="O37" s="463">
        <f t="shared" si="6"/>
        <v>0</v>
      </c>
      <c r="P37" s="463">
        <f t="shared" si="6"/>
        <v>0</v>
      </c>
      <c r="Q37" s="463">
        <f t="shared" si="6"/>
        <v>0</v>
      </c>
      <c r="R37" s="463">
        <f t="shared" si="6"/>
        <v>0</v>
      </c>
      <c r="S37" s="464"/>
    </row>
    <row r="38" spans="1:19" ht="12.75" hidden="1" thickBot="1">
      <c r="A38" s="24" t="s">
        <v>367</v>
      </c>
      <c r="B38" s="16" t="s">
        <v>1272</v>
      </c>
      <c r="C38" s="24" t="s">
        <v>370</v>
      </c>
      <c r="D38" s="463">
        <f>ROUND(SUMIFS(D$409:D$780,$B$409:$B$780,$B38,$C$409:$C$780,$C38),0)</f>
        <v>28231</v>
      </c>
      <c r="E38" s="463">
        <f t="shared" si="6"/>
        <v>0</v>
      </c>
      <c r="F38" s="463">
        <f t="shared" si="6"/>
        <v>0</v>
      </c>
      <c r="G38" s="463">
        <f t="shared" si="6"/>
        <v>0</v>
      </c>
      <c r="H38" s="463">
        <f t="shared" si="7"/>
        <v>28606751</v>
      </c>
      <c r="I38" s="463">
        <f t="shared" si="6"/>
        <v>0</v>
      </c>
      <c r="J38" s="463">
        <f t="shared" si="6"/>
        <v>0</v>
      </c>
      <c r="K38" s="463">
        <f t="shared" si="6"/>
        <v>0</v>
      </c>
      <c r="L38" s="463">
        <f t="shared" si="6"/>
        <v>0</v>
      </c>
      <c r="M38" s="463">
        <f t="shared" si="6"/>
        <v>0</v>
      </c>
      <c r="N38" s="463">
        <f t="shared" si="6"/>
        <v>0</v>
      </c>
      <c r="O38" s="463">
        <f t="shared" si="6"/>
        <v>0</v>
      </c>
      <c r="P38" s="463">
        <f t="shared" si="6"/>
        <v>0</v>
      </c>
      <c r="Q38" s="463">
        <f t="shared" si="6"/>
        <v>0</v>
      </c>
      <c r="R38" s="463">
        <f t="shared" si="6"/>
        <v>0</v>
      </c>
      <c r="S38" s="464"/>
    </row>
    <row r="39" spans="1:19" ht="12.75" hidden="1" thickBot="1">
      <c r="A39" s="24" t="s">
        <v>367</v>
      </c>
      <c r="B39" s="16" t="s">
        <v>1272</v>
      </c>
      <c r="C39" s="24" t="s">
        <v>371</v>
      </c>
      <c r="D39" s="463">
        <f t="shared" ref="D39:R54" si="8">ROUND(SUMIFS(D$409:D$780,$B$409:$B$780,$B39,$C$409:$C$780,$C39),0)</f>
        <v>0</v>
      </c>
      <c r="E39" s="463">
        <f t="shared" si="6"/>
        <v>0</v>
      </c>
      <c r="F39" s="463">
        <f t="shared" si="6"/>
        <v>0</v>
      </c>
      <c r="G39" s="463">
        <f t="shared" si="6"/>
        <v>0</v>
      </c>
      <c r="H39" s="463">
        <f t="shared" si="7"/>
        <v>0</v>
      </c>
      <c r="I39" s="463">
        <f t="shared" si="6"/>
        <v>0</v>
      </c>
      <c r="J39" s="463">
        <f t="shared" si="6"/>
        <v>0</v>
      </c>
      <c r="K39" s="463">
        <f t="shared" si="6"/>
        <v>0</v>
      </c>
      <c r="L39" s="463">
        <f t="shared" si="6"/>
        <v>0</v>
      </c>
      <c r="M39" s="463">
        <f t="shared" si="6"/>
        <v>0</v>
      </c>
      <c r="N39" s="463">
        <f t="shared" si="6"/>
        <v>0</v>
      </c>
      <c r="O39" s="463">
        <f t="shared" si="6"/>
        <v>0</v>
      </c>
      <c r="P39" s="463">
        <f t="shared" si="6"/>
        <v>0</v>
      </c>
      <c r="Q39" s="463">
        <f t="shared" si="6"/>
        <v>0</v>
      </c>
      <c r="R39" s="463">
        <f t="shared" si="6"/>
        <v>0</v>
      </c>
      <c r="S39" s="464"/>
    </row>
    <row r="40" spans="1:19" ht="12.75" hidden="1" thickBot="1">
      <c r="A40" s="24" t="s">
        <v>367</v>
      </c>
      <c r="B40" s="16" t="s">
        <v>1272</v>
      </c>
      <c r="C40" s="24" t="s">
        <v>372</v>
      </c>
      <c r="D40" s="463">
        <f t="shared" si="8"/>
        <v>0</v>
      </c>
      <c r="E40" s="463">
        <f t="shared" si="6"/>
        <v>0</v>
      </c>
      <c r="F40" s="463">
        <f t="shared" si="6"/>
        <v>0</v>
      </c>
      <c r="G40" s="463">
        <f t="shared" si="6"/>
        <v>0</v>
      </c>
      <c r="H40" s="463">
        <f t="shared" si="7"/>
        <v>0</v>
      </c>
      <c r="I40" s="463">
        <f t="shared" si="6"/>
        <v>0</v>
      </c>
      <c r="J40" s="463">
        <f t="shared" si="6"/>
        <v>0</v>
      </c>
      <c r="K40" s="463">
        <f t="shared" si="6"/>
        <v>0</v>
      </c>
      <c r="L40" s="463">
        <f t="shared" si="6"/>
        <v>0</v>
      </c>
      <c r="M40" s="463">
        <f t="shared" si="6"/>
        <v>0</v>
      </c>
      <c r="N40" s="463">
        <f t="shared" si="6"/>
        <v>0</v>
      </c>
      <c r="O40" s="463">
        <f t="shared" si="6"/>
        <v>0</v>
      </c>
      <c r="P40" s="463">
        <f t="shared" si="6"/>
        <v>0</v>
      </c>
      <c r="Q40" s="463">
        <f t="shared" si="6"/>
        <v>0</v>
      </c>
      <c r="R40" s="463">
        <f t="shared" si="6"/>
        <v>0</v>
      </c>
      <c r="S40" s="464"/>
    </row>
    <row r="41" spans="1:19" ht="12.75" hidden="1" thickBot="1">
      <c r="A41" s="24" t="s">
        <v>367</v>
      </c>
      <c r="B41" s="16" t="s">
        <v>1272</v>
      </c>
      <c r="C41" s="24" t="s">
        <v>374</v>
      </c>
      <c r="D41" s="463">
        <f t="shared" si="8"/>
        <v>0</v>
      </c>
      <c r="E41" s="463">
        <f t="shared" si="6"/>
        <v>0</v>
      </c>
      <c r="F41" s="463">
        <f t="shared" si="6"/>
        <v>0</v>
      </c>
      <c r="G41" s="463">
        <f t="shared" si="6"/>
        <v>0</v>
      </c>
      <c r="H41" s="463">
        <f t="shared" si="7"/>
        <v>0</v>
      </c>
      <c r="I41" s="463">
        <f t="shared" si="6"/>
        <v>0</v>
      </c>
      <c r="J41" s="463">
        <f t="shared" si="6"/>
        <v>0</v>
      </c>
      <c r="K41" s="463">
        <f t="shared" si="6"/>
        <v>0</v>
      </c>
      <c r="L41" s="463">
        <f t="shared" si="6"/>
        <v>0</v>
      </c>
      <c r="M41" s="463">
        <f t="shared" si="6"/>
        <v>0</v>
      </c>
      <c r="N41" s="463">
        <f t="shared" si="6"/>
        <v>0</v>
      </c>
      <c r="O41" s="463">
        <f t="shared" si="6"/>
        <v>0</v>
      </c>
      <c r="P41" s="463">
        <f t="shared" si="6"/>
        <v>0</v>
      </c>
      <c r="Q41" s="463">
        <f t="shared" si="6"/>
        <v>0</v>
      </c>
      <c r="R41" s="463">
        <f t="shared" si="6"/>
        <v>0</v>
      </c>
      <c r="S41" s="464"/>
    </row>
    <row r="42" spans="1:19" ht="12.75" hidden="1" thickBot="1">
      <c r="A42" s="24" t="s">
        <v>367</v>
      </c>
      <c r="B42" s="16" t="s">
        <v>1272</v>
      </c>
      <c r="C42" s="24" t="s">
        <v>375</v>
      </c>
      <c r="D42" s="463">
        <f t="shared" si="8"/>
        <v>2585</v>
      </c>
      <c r="E42" s="463">
        <f t="shared" si="6"/>
        <v>0</v>
      </c>
      <c r="F42" s="463">
        <f t="shared" si="6"/>
        <v>0</v>
      </c>
      <c r="G42" s="463">
        <f t="shared" si="6"/>
        <v>0</v>
      </c>
      <c r="H42" s="463">
        <f t="shared" si="7"/>
        <v>127422858</v>
      </c>
      <c r="I42" s="463">
        <f t="shared" si="6"/>
        <v>0</v>
      </c>
      <c r="J42" s="463">
        <f t="shared" si="6"/>
        <v>0</v>
      </c>
      <c r="K42" s="463">
        <f t="shared" si="6"/>
        <v>0</v>
      </c>
      <c r="L42" s="463">
        <f t="shared" si="6"/>
        <v>0</v>
      </c>
      <c r="M42" s="463">
        <f t="shared" si="6"/>
        <v>0</v>
      </c>
      <c r="N42" s="463">
        <f t="shared" si="6"/>
        <v>0</v>
      </c>
      <c r="O42" s="463">
        <f t="shared" si="6"/>
        <v>0</v>
      </c>
      <c r="P42" s="463">
        <f t="shared" ref="P42:P43" si="9">R42</f>
        <v>337388</v>
      </c>
      <c r="Q42" s="463">
        <f t="shared" si="6"/>
        <v>0</v>
      </c>
      <c r="R42" s="463">
        <f t="shared" si="6"/>
        <v>337388</v>
      </c>
      <c r="S42" s="465"/>
    </row>
    <row r="43" spans="1:19" ht="12.75" hidden="1" thickBot="1">
      <c r="A43" s="24" t="s">
        <v>367</v>
      </c>
      <c r="B43" s="16" t="s">
        <v>1272</v>
      </c>
      <c r="C43" s="24" t="s">
        <v>376</v>
      </c>
      <c r="D43" s="463">
        <f t="shared" si="8"/>
        <v>52</v>
      </c>
      <c r="E43" s="463">
        <f t="shared" si="6"/>
        <v>0</v>
      </c>
      <c r="F43" s="463">
        <f t="shared" si="6"/>
        <v>0</v>
      </c>
      <c r="G43" s="463">
        <f t="shared" si="6"/>
        <v>0</v>
      </c>
      <c r="H43" s="463">
        <f t="shared" si="7"/>
        <v>10127683</v>
      </c>
      <c r="I43" s="463">
        <f t="shared" si="6"/>
        <v>0</v>
      </c>
      <c r="J43" s="463">
        <f t="shared" si="6"/>
        <v>0</v>
      </c>
      <c r="K43" s="463">
        <f t="shared" si="6"/>
        <v>0</v>
      </c>
      <c r="L43" s="463">
        <f t="shared" si="6"/>
        <v>0</v>
      </c>
      <c r="M43" s="463">
        <f t="shared" si="6"/>
        <v>0</v>
      </c>
      <c r="N43" s="463">
        <f t="shared" si="6"/>
        <v>0</v>
      </c>
      <c r="O43" s="463">
        <f t="shared" si="6"/>
        <v>0</v>
      </c>
      <c r="P43" s="463">
        <f t="shared" si="9"/>
        <v>26300</v>
      </c>
      <c r="Q43" s="463">
        <f t="shared" si="6"/>
        <v>0</v>
      </c>
      <c r="R43" s="463">
        <f t="shared" si="6"/>
        <v>26300</v>
      </c>
      <c r="S43" s="465"/>
    </row>
    <row r="44" spans="1:19" ht="12.75" hidden="1" thickBot="1">
      <c r="A44" s="24" t="s">
        <v>367</v>
      </c>
      <c r="B44" s="16" t="s">
        <v>1272</v>
      </c>
      <c r="C44" s="24" t="s">
        <v>377</v>
      </c>
      <c r="D44" s="463">
        <f t="shared" si="8"/>
        <v>0</v>
      </c>
      <c r="E44" s="463">
        <f t="shared" si="6"/>
        <v>0</v>
      </c>
      <c r="F44" s="463">
        <f t="shared" si="6"/>
        <v>0</v>
      </c>
      <c r="G44" s="463">
        <f t="shared" si="6"/>
        <v>0</v>
      </c>
      <c r="H44" s="463">
        <f t="shared" si="7"/>
        <v>0</v>
      </c>
      <c r="I44" s="463">
        <f t="shared" si="6"/>
        <v>0</v>
      </c>
      <c r="J44" s="463">
        <f t="shared" si="6"/>
        <v>0</v>
      </c>
      <c r="K44" s="463">
        <f t="shared" si="6"/>
        <v>0</v>
      </c>
      <c r="L44" s="463">
        <f t="shared" si="6"/>
        <v>0</v>
      </c>
      <c r="M44" s="463">
        <f t="shared" si="6"/>
        <v>0</v>
      </c>
      <c r="N44" s="463">
        <f t="shared" si="6"/>
        <v>0</v>
      </c>
      <c r="O44" s="463">
        <f t="shared" si="6"/>
        <v>0</v>
      </c>
      <c r="P44" s="463">
        <f t="shared" si="6"/>
        <v>0</v>
      </c>
      <c r="Q44" s="463">
        <f t="shared" si="6"/>
        <v>0</v>
      </c>
      <c r="R44" s="463">
        <f t="shared" si="6"/>
        <v>0</v>
      </c>
      <c r="S44" s="464"/>
    </row>
    <row r="45" spans="1:19" ht="12.75" hidden="1" thickBot="1">
      <c r="A45" s="24" t="s">
        <v>367</v>
      </c>
      <c r="B45" s="16" t="s">
        <v>1272</v>
      </c>
      <c r="C45" s="24" t="s">
        <v>378</v>
      </c>
      <c r="D45" s="463">
        <f t="shared" si="8"/>
        <v>223</v>
      </c>
      <c r="E45" s="463">
        <f t="shared" si="6"/>
        <v>0</v>
      </c>
      <c r="F45" s="463">
        <f t="shared" si="6"/>
        <v>0</v>
      </c>
      <c r="G45" s="463">
        <f t="shared" si="6"/>
        <v>0</v>
      </c>
      <c r="H45" s="463">
        <f t="shared" si="7"/>
        <v>55589072</v>
      </c>
      <c r="I45" s="463">
        <f t="shared" si="6"/>
        <v>0</v>
      </c>
      <c r="J45" s="463">
        <f t="shared" si="6"/>
        <v>0</v>
      </c>
      <c r="K45" s="463">
        <f t="shared" si="6"/>
        <v>0</v>
      </c>
      <c r="L45" s="463">
        <f t="shared" si="6"/>
        <v>0</v>
      </c>
      <c r="M45" s="463">
        <f t="shared" si="6"/>
        <v>0</v>
      </c>
      <c r="N45" s="463">
        <f t="shared" si="6"/>
        <v>0</v>
      </c>
      <c r="O45" s="463">
        <f t="shared" si="6"/>
        <v>135574</v>
      </c>
      <c r="P45" s="463">
        <f t="shared" si="6"/>
        <v>124531</v>
      </c>
      <c r="Q45" s="463">
        <f t="shared" si="6"/>
        <v>121967</v>
      </c>
      <c r="R45" s="463">
        <f t="shared" si="6"/>
        <v>0</v>
      </c>
      <c r="S45" s="465"/>
    </row>
    <row r="46" spans="1:19" ht="12.75" hidden="1" thickBot="1">
      <c r="A46" s="24" t="s">
        <v>367</v>
      </c>
      <c r="B46" s="16" t="s">
        <v>1272</v>
      </c>
      <c r="C46" s="24" t="s">
        <v>379</v>
      </c>
      <c r="D46" s="463">
        <f t="shared" si="8"/>
        <v>40</v>
      </c>
      <c r="E46" s="463">
        <f t="shared" si="6"/>
        <v>0</v>
      </c>
      <c r="F46" s="463">
        <f t="shared" si="6"/>
        <v>0</v>
      </c>
      <c r="G46" s="463">
        <f t="shared" si="6"/>
        <v>0</v>
      </c>
      <c r="H46" s="463">
        <f t="shared" si="7"/>
        <v>25576926</v>
      </c>
      <c r="I46" s="463">
        <f t="shared" si="6"/>
        <v>0</v>
      </c>
      <c r="J46" s="463">
        <f t="shared" si="6"/>
        <v>0</v>
      </c>
      <c r="K46" s="463">
        <f t="shared" si="6"/>
        <v>0</v>
      </c>
      <c r="L46" s="463">
        <f t="shared" si="6"/>
        <v>0</v>
      </c>
      <c r="M46" s="463">
        <f t="shared" si="6"/>
        <v>0</v>
      </c>
      <c r="N46" s="463">
        <f t="shared" si="6"/>
        <v>0</v>
      </c>
      <c r="O46" s="463">
        <f t="shared" si="6"/>
        <v>65290</v>
      </c>
      <c r="P46" s="463">
        <f t="shared" si="6"/>
        <v>56701</v>
      </c>
      <c r="Q46" s="463">
        <f t="shared" si="6"/>
        <v>55318</v>
      </c>
      <c r="R46" s="463">
        <f t="shared" si="6"/>
        <v>0</v>
      </c>
      <c r="S46" s="464"/>
    </row>
    <row r="47" spans="1:19" ht="12.75" hidden="1" thickBot="1">
      <c r="A47" s="24" t="s">
        <v>367</v>
      </c>
      <c r="B47" s="16" t="s">
        <v>1272</v>
      </c>
      <c r="C47" s="24" t="s">
        <v>381</v>
      </c>
      <c r="D47" s="463">
        <f t="shared" si="8"/>
        <v>16392</v>
      </c>
      <c r="E47" s="463">
        <f t="shared" si="6"/>
        <v>0</v>
      </c>
      <c r="F47" s="463">
        <f t="shared" si="6"/>
        <v>0</v>
      </c>
      <c r="G47" s="463">
        <f t="shared" si="6"/>
        <v>0</v>
      </c>
      <c r="H47" s="463">
        <f t="shared" si="7"/>
        <v>72913022</v>
      </c>
      <c r="I47" s="463">
        <f t="shared" si="6"/>
        <v>0</v>
      </c>
      <c r="J47" s="463">
        <f t="shared" si="6"/>
        <v>0</v>
      </c>
      <c r="K47" s="463">
        <f t="shared" si="6"/>
        <v>0</v>
      </c>
      <c r="L47" s="463">
        <f t="shared" si="6"/>
        <v>0</v>
      </c>
      <c r="M47" s="463">
        <f t="shared" si="6"/>
        <v>0</v>
      </c>
      <c r="N47" s="463">
        <f t="shared" si="6"/>
        <v>0</v>
      </c>
      <c r="O47" s="463">
        <f>R47</f>
        <v>197213</v>
      </c>
      <c r="P47" s="463">
        <f t="shared" si="6"/>
        <v>0</v>
      </c>
      <c r="Q47" s="463">
        <f t="shared" si="6"/>
        <v>0</v>
      </c>
      <c r="R47" s="463">
        <f t="shared" si="6"/>
        <v>197213</v>
      </c>
      <c r="S47" s="464"/>
    </row>
    <row r="48" spans="1:19" ht="12.75" hidden="1" thickBot="1">
      <c r="A48" s="24" t="s">
        <v>367</v>
      </c>
      <c r="B48" s="16" t="s">
        <v>1272</v>
      </c>
      <c r="C48" s="24" t="s">
        <v>382</v>
      </c>
      <c r="D48" s="463">
        <f t="shared" si="8"/>
        <v>0</v>
      </c>
      <c r="E48" s="463">
        <f t="shared" si="6"/>
        <v>0</v>
      </c>
      <c r="F48" s="463">
        <f t="shared" si="6"/>
        <v>0</v>
      </c>
      <c r="G48" s="463">
        <f t="shared" si="6"/>
        <v>0</v>
      </c>
      <c r="H48" s="463">
        <f t="shared" si="7"/>
        <v>0</v>
      </c>
      <c r="I48" s="463">
        <f t="shared" si="6"/>
        <v>0</v>
      </c>
      <c r="J48" s="463">
        <f t="shared" si="6"/>
        <v>0</v>
      </c>
      <c r="K48" s="463">
        <f t="shared" si="6"/>
        <v>0</v>
      </c>
      <c r="L48" s="463">
        <f t="shared" si="6"/>
        <v>0</v>
      </c>
      <c r="M48" s="463">
        <f t="shared" si="6"/>
        <v>0</v>
      </c>
      <c r="N48" s="463">
        <f t="shared" si="6"/>
        <v>0</v>
      </c>
      <c r="O48" s="463">
        <f t="shared" si="6"/>
        <v>0</v>
      </c>
      <c r="P48" s="463">
        <f t="shared" si="6"/>
        <v>0</v>
      </c>
      <c r="Q48" s="463">
        <f t="shared" si="6"/>
        <v>0</v>
      </c>
      <c r="R48" s="463">
        <f t="shared" si="6"/>
        <v>0</v>
      </c>
      <c r="S48" s="464"/>
    </row>
    <row r="49" spans="1:19" ht="12.75" hidden="1" thickBot="1">
      <c r="A49" s="24" t="s">
        <v>367</v>
      </c>
      <c r="B49" s="16" t="s">
        <v>1272</v>
      </c>
      <c r="C49" s="24" t="s">
        <v>384</v>
      </c>
      <c r="D49" s="463">
        <f t="shared" si="8"/>
        <v>0</v>
      </c>
      <c r="E49" s="463">
        <f t="shared" si="6"/>
        <v>0</v>
      </c>
      <c r="F49" s="463">
        <f t="shared" si="6"/>
        <v>0</v>
      </c>
      <c r="G49" s="463">
        <f t="shared" si="6"/>
        <v>0</v>
      </c>
      <c r="H49" s="463">
        <f t="shared" si="7"/>
        <v>0</v>
      </c>
      <c r="I49" s="463">
        <f t="shared" si="6"/>
        <v>0</v>
      </c>
      <c r="J49" s="463">
        <f t="shared" si="6"/>
        <v>0</v>
      </c>
      <c r="K49" s="463">
        <f t="shared" si="6"/>
        <v>0</v>
      </c>
      <c r="L49" s="463">
        <f t="shared" si="6"/>
        <v>0</v>
      </c>
      <c r="M49" s="463">
        <f t="shared" si="6"/>
        <v>0</v>
      </c>
      <c r="N49" s="463">
        <f t="shared" si="6"/>
        <v>0</v>
      </c>
      <c r="O49" s="463">
        <f t="shared" si="6"/>
        <v>0</v>
      </c>
      <c r="P49" s="463">
        <f t="shared" si="6"/>
        <v>0</v>
      </c>
      <c r="Q49" s="463">
        <f t="shared" si="6"/>
        <v>0</v>
      </c>
      <c r="R49" s="463">
        <f t="shared" si="6"/>
        <v>0</v>
      </c>
      <c r="S49" s="464"/>
    </row>
    <row r="50" spans="1:19" ht="12.75" hidden="1" thickBot="1">
      <c r="A50" s="24" t="s">
        <v>367</v>
      </c>
      <c r="B50" s="16" t="s">
        <v>1272</v>
      </c>
      <c r="C50" s="24" t="s">
        <v>385</v>
      </c>
      <c r="D50" s="463">
        <f t="shared" si="8"/>
        <v>2</v>
      </c>
      <c r="E50" s="463">
        <f t="shared" si="6"/>
        <v>0</v>
      </c>
      <c r="F50" s="463">
        <f t="shared" si="6"/>
        <v>0</v>
      </c>
      <c r="G50" s="463">
        <f t="shared" si="6"/>
        <v>0</v>
      </c>
      <c r="H50" s="463">
        <f t="shared" si="7"/>
        <v>4744800</v>
      </c>
      <c r="I50" s="463">
        <f t="shared" si="6"/>
        <v>0</v>
      </c>
      <c r="J50" s="463">
        <f t="shared" si="6"/>
        <v>0</v>
      </c>
      <c r="K50" s="463">
        <f t="shared" si="6"/>
        <v>0</v>
      </c>
      <c r="L50" s="463">
        <f t="shared" si="6"/>
        <v>0</v>
      </c>
      <c r="M50" s="463">
        <f t="shared" si="6"/>
        <v>0</v>
      </c>
      <c r="N50" s="463">
        <f t="shared" si="6"/>
        <v>0</v>
      </c>
      <c r="O50" s="463">
        <f t="shared" si="6"/>
        <v>0</v>
      </c>
      <c r="P50" s="463">
        <f>R50</f>
        <v>9307</v>
      </c>
      <c r="Q50" s="463">
        <f t="shared" si="6"/>
        <v>0</v>
      </c>
      <c r="R50" s="463">
        <f t="shared" si="6"/>
        <v>9307</v>
      </c>
      <c r="S50" s="464"/>
    </row>
    <row r="51" spans="1:19" ht="12.75" hidden="1" thickBot="1">
      <c r="A51" s="24" t="s">
        <v>367</v>
      </c>
      <c r="B51" s="16" t="s">
        <v>1272</v>
      </c>
      <c r="C51" s="24" t="s">
        <v>1223</v>
      </c>
      <c r="D51" s="463">
        <f t="shared" si="8"/>
        <v>0</v>
      </c>
      <c r="E51" s="463">
        <f t="shared" si="6"/>
        <v>0</v>
      </c>
      <c r="F51" s="463">
        <f t="shared" si="6"/>
        <v>0</v>
      </c>
      <c r="G51" s="463">
        <f t="shared" si="6"/>
        <v>0</v>
      </c>
      <c r="H51" s="463">
        <f t="shared" si="7"/>
        <v>0</v>
      </c>
      <c r="I51" s="463">
        <f t="shared" si="6"/>
        <v>0</v>
      </c>
      <c r="J51" s="463">
        <f t="shared" si="6"/>
        <v>0</v>
      </c>
      <c r="K51" s="463">
        <f t="shared" si="6"/>
        <v>0</v>
      </c>
      <c r="L51" s="463">
        <f t="shared" si="6"/>
        <v>0</v>
      </c>
      <c r="M51" s="463">
        <f t="shared" si="6"/>
        <v>0</v>
      </c>
      <c r="N51" s="463">
        <f t="shared" si="6"/>
        <v>0</v>
      </c>
      <c r="O51" s="463">
        <f t="shared" si="6"/>
        <v>0</v>
      </c>
      <c r="P51" s="463">
        <f t="shared" si="6"/>
        <v>0</v>
      </c>
      <c r="Q51" s="463">
        <f t="shared" si="6"/>
        <v>0</v>
      </c>
      <c r="R51" s="463">
        <f t="shared" si="6"/>
        <v>0</v>
      </c>
      <c r="S51" s="464"/>
    </row>
    <row r="52" spans="1:19" ht="12.75" hidden="1" thickBot="1">
      <c r="A52" s="24" t="s">
        <v>367</v>
      </c>
      <c r="B52" s="16" t="s">
        <v>1272</v>
      </c>
      <c r="C52" s="24" t="s">
        <v>386</v>
      </c>
      <c r="D52" s="463">
        <f t="shared" si="8"/>
        <v>0</v>
      </c>
      <c r="E52" s="463">
        <f t="shared" si="6"/>
        <v>0</v>
      </c>
      <c r="F52" s="463">
        <f t="shared" si="6"/>
        <v>0</v>
      </c>
      <c r="G52" s="463">
        <f t="shared" si="6"/>
        <v>0</v>
      </c>
      <c r="H52" s="463">
        <f t="shared" si="7"/>
        <v>0</v>
      </c>
      <c r="I52" s="463">
        <f t="shared" si="6"/>
        <v>0</v>
      </c>
      <c r="J52" s="463">
        <f t="shared" si="6"/>
        <v>0</v>
      </c>
      <c r="K52" s="463">
        <f t="shared" si="6"/>
        <v>0</v>
      </c>
      <c r="L52" s="463">
        <f t="shared" si="6"/>
        <v>0</v>
      </c>
      <c r="M52" s="463">
        <f t="shared" si="6"/>
        <v>0</v>
      </c>
      <c r="N52" s="463">
        <f t="shared" si="6"/>
        <v>0</v>
      </c>
      <c r="O52" s="463">
        <f t="shared" si="6"/>
        <v>0</v>
      </c>
      <c r="P52" s="463">
        <f t="shared" si="6"/>
        <v>0</v>
      </c>
      <c r="Q52" s="463">
        <f t="shared" si="6"/>
        <v>0</v>
      </c>
      <c r="R52" s="463">
        <f t="shared" si="6"/>
        <v>0</v>
      </c>
      <c r="S52" s="464"/>
    </row>
    <row r="53" spans="1:19" ht="12.75" hidden="1" thickBot="1">
      <c r="A53" s="24" t="s">
        <v>367</v>
      </c>
      <c r="B53" s="16" t="s">
        <v>1272</v>
      </c>
      <c r="C53" s="24" t="s">
        <v>387</v>
      </c>
      <c r="D53" s="463">
        <f t="shared" si="8"/>
        <v>1</v>
      </c>
      <c r="E53" s="463">
        <f t="shared" si="8"/>
        <v>0</v>
      </c>
      <c r="F53" s="463">
        <f t="shared" si="8"/>
        <v>0</v>
      </c>
      <c r="G53" s="463">
        <f t="shared" si="8"/>
        <v>0</v>
      </c>
      <c r="H53" s="463">
        <f t="shared" si="7"/>
        <v>9522500</v>
      </c>
      <c r="I53" s="463">
        <f t="shared" si="8"/>
        <v>0</v>
      </c>
      <c r="J53" s="463">
        <f t="shared" si="8"/>
        <v>0</v>
      </c>
      <c r="K53" s="463">
        <f t="shared" si="8"/>
        <v>0</v>
      </c>
      <c r="L53" s="463">
        <f t="shared" si="8"/>
        <v>0</v>
      </c>
      <c r="M53" s="463">
        <f t="shared" si="8"/>
        <v>0</v>
      </c>
      <c r="N53" s="463">
        <f t="shared" si="8"/>
        <v>0</v>
      </c>
      <c r="O53" s="463">
        <f t="shared" si="8"/>
        <v>0</v>
      </c>
      <c r="P53" s="463">
        <f>R53</f>
        <v>14314</v>
      </c>
      <c r="Q53" s="463">
        <f t="shared" si="8"/>
        <v>0</v>
      </c>
      <c r="R53" s="463">
        <f t="shared" si="8"/>
        <v>14314</v>
      </c>
      <c r="S53" s="465"/>
    </row>
    <row r="54" spans="1:19" ht="12.75" hidden="1" thickBot="1">
      <c r="A54" s="24" t="s">
        <v>367</v>
      </c>
      <c r="B54" s="16" t="s">
        <v>1272</v>
      </c>
      <c r="C54" s="24" t="s">
        <v>388</v>
      </c>
      <c r="D54" s="463">
        <f t="shared" si="8"/>
        <v>12</v>
      </c>
      <c r="E54" s="463">
        <f t="shared" si="8"/>
        <v>0</v>
      </c>
      <c r="F54" s="463">
        <f t="shared" si="8"/>
        <v>0</v>
      </c>
      <c r="G54" s="463">
        <f t="shared" si="8"/>
        <v>0</v>
      </c>
      <c r="H54" s="463">
        <f t="shared" si="7"/>
        <v>56255087</v>
      </c>
      <c r="I54" s="463">
        <f t="shared" si="8"/>
        <v>0</v>
      </c>
      <c r="J54" s="463">
        <f t="shared" si="8"/>
        <v>0</v>
      </c>
      <c r="K54" s="463">
        <f t="shared" si="8"/>
        <v>0</v>
      </c>
      <c r="L54" s="463">
        <f t="shared" si="8"/>
        <v>0</v>
      </c>
      <c r="M54" s="463">
        <f t="shared" si="8"/>
        <v>0</v>
      </c>
      <c r="N54" s="463">
        <f t="shared" si="8"/>
        <v>0</v>
      </c>
      <c r="O54" s="463">
        <f t="shared" si="8"/>
        <v>157758</v>
      </c>
      <c r="P54" s="463">
        <f t="shared" si="8"/>
        <v>144484</v>
      </c>
      <c r="Q54" s="463">
        <f t="shared" si="8"/>
        <v>79386</v>
      </c>
      <c r="R54" s="463">
        <f t="shared" si="8"/>
        <v>0</v>
      </c>
      <c r="S54" s="464"/>
    </row>
    <row r="55" spans="1:19" ht="12.75" hidden="1" thickBot="1">
      <c r="A55" s="24" t="s">
        <v>367</v>
      </c>
      <c r="B55" s="16" t="s">
        <v>1272</v>
      </c>
      <c r="C55" s="24" t="s">
        <v>389</v>
      </c>
      <c r="D55" s="463">
        <f t="shared" ref="D55:R71" si="10">ROUND(SUMIFS(D$409:D$780,$B$409:$B$780,$B55,$C$409:$C$780,$C55),0)</f>
        <v>213</v>
      </c>
      <c r="E55" s="463">
        <f t="shared" si="10"/>
        <v>0</v>
      </c>
      <c r="F55" s="463">
        <f t="shared" si="10"/>
        <v>0</v>
      </c>
      <c r="G55" s="463">
        <f t="shared" si="10"/>
        <v>0</v>
      </c>
      <c r="H55" s="463">
        <f t="shared" si="7"/>
        <v>17230019</v>
      </c>
      <c r="I55" s="463">
        <f t="shared" si="10"/>
        <v>0</v>
      </c>
      <c r="J55" s="463">
        <f t="shared" si="10"/>
        <v>0</v>
      </c>
      <c r="K55" s="463">
        <f t="shared" si="10"/>
        <v>0</v>
      </c>
      <c r="L55" s="463">
        <f t="shared" si="10"/>
        <v>0</v>
      </c>
      <c r="M55" s="463">
        <f t="shared" si="10"/>
        <v>0</v>
      </c>
      <c r="N55" s="463">
        <f t="shared" si="10"/>
        <v>0</v>
      </c>
      <c r="O55" s="463">
        <f t="shared" si="10"/>
        <v>0</v>
      </c>
      <c r="P55" s="463">
        <f t="shared" ref="P55:P56" si="11">R55</f>
        <v>58144</v>
      </c>
      <c r="Q55" s="463">
        <f t="shared" si="10"/>
        <v>0</v>
      </c>
      <c r="R55" s="463">
        <f t="shared" si="10"/>
        <v>58144</v>
      </c>
      <c r="S55" s="465"/>
    </row>
    <row r="56" spans="1:19" ht="12.75" hidden="1" thickBot="1">
      <c r="A56" s="24" t="s">
        <v>367</v>
      </c>
      <c r="B56" s="16" t="s">
        <v>1272</v>
      </c>
      <c r="C56" s="24" t="s">
        <v>390</v>
      </c>
      <c r="D56" s="463">
        <f t="shared" si="10"/>
        <v>21</v>
      </c>
      <c r="E56" s="463">
        <f t="shared" si="10"/>
        <v>0</v>
      </c>
      <c r="F56" s="463">
        <f t="shared" si="10"/>
        <v>0</v>
      </c>
      <c r="G56" s="463">
        <f t="shared" si="10"/>
        <v>0</v>
      </c>
      <c r="H56" s="463">
        <f t="shared" si="7"/>
        <v>963928</v>
      </c>
      <c r="I56" s="463">
        <f t="shared" si="10"/>
        <v>0</v>
      </c>
      <c r="J56" s="463">
        <f t="shared" si="10"/>
        <v>0</v>
      </c>
      <c r="K56" s="463">
        <f t="shared" si="10"/>
        <v>0</v>
      </c>
      <c r="L56" s="463">
        <f t="shared" si="10"/>
        <v>0</v>
      </c>
      <c r="M56" s="463">
        <f t="shared" si="10"/>
        <v>0</v>
      </c>
      <c r="N56" s="463">
        <f t="shared" si="10"/>
        <v>0</v>
      </c>
      <c r="O56" s="463">
        <f t="shared" si="10"/>
        <v>0</v>
      </c>
      <c r="P56" s="463">
        <f t="shared" si="11"/>
        <v>3731</v>
      </c>
      <c r="Q56" s="463">
        <f t="shared" si="10"/>
        <v>0</v>
      </c>
      <c r="R56" s="463">
        <f t="shared" si="10"/>
        <v>3731</v>
      </c>
      <c r="S56" s="465"/>
    </row>
    <row r="57" spans="1:19" ht="12.75" hidden="1" thickBot="1">
      <c r="A57" s="24" t="s">
        <v>367</v>
      </c>
      <c r="B57" s="16" t="s">
        <v>1272</v>
      </c>
      <c r="C57" s="24" t="s">
        <v>391</v>
      </c>
      <c r="D57" s="463">
        <f t="shared" si="10"/>
        <v>100</v>
      </c>
      <c r="E57" s="463">
        <f t="shared" si="10"/>
        <v>0</v>
      </c>
      <c r="F57" s="463">
        <f t="shared" si="10"/>
        <v>0</v>
      </c>
      <c r="G57" s="463">
        <f t="shared" si="10"/>
        <v>0</v>
      </c>
      <c r="H57" s="463">
        <f t="shared" si="7"/>
        <v>19781342</v>
      </c>
      <c r="I57" s="463">
        <f t="shared" si="10"/>
        <v>0</v>
      </c>
      <c r="J57" s="463">
        <f t="shared" si="10"/>
        <v>0</v>
      </c>
      <c r="K57" s="463">
        <f t="shared" si="10"/>
        <v>0</v>
      </c>
      <c r="L57" s="463">
        <f t="shared" si="10"/>
        <v>0</v>
      </c>
      <c r="M57" s="463">
        <f t="shared" si="10"/>
        <v>0</v>
      </c>
      <c r="N57" s="463">
        <f t="shared" si="10"/>
        <v>0</v>
      </c>
      <c r="O57" s="463">
        <f t="shared" si="10"/>
        <v>53949</v>
      </c>
      <c r="P57" s="463">
        <f t="shared" si="10"/>
        <v>49120</v>
      </c>
      <c r="Q57" s="463">
        <f t="shared" si="10"/>
        <v>48259</v>
      </c>
      <c r="R57" s="463">
        <f t="shared" si="10"/>
        <v>0</v>
      </c>
      <c r="S57" s="465"/>
    </row>
    <row r="58" spans="1:19" ht="12.75" hidden="1" thickBot="1">
      <c r="A58" s="24" t="s">
        <v>367</v>
      </c>
      <c r="B58" s="16" t="s">
        <v>1272</v>
      </c>
      <c r="C58" s="24" t="s">
        <v>392</v>
      </c>
      <c r="D58" s="463">
        <f t="shared" si="10"/>
        <v>71</v>
      </c>
      <c r="E58" s="463">
        <f t="shared" si="10"/>
        <v>0</v>
      </c>
      <c r="F58" s="463">
        <f t="shared" si="10"/>
        <v>0</v>
      </c>
      <c r="G58" s="463">
        <f t="shared" si="10"/>
        <v>0</v>
      </c>
      <c r="H58" s="463">
        <f t="shared" si="7"/>
        <v>121550529</v>
      </c>
      <c r="I58" s="463">
        <f t="shared" si="10"/>
        <v>0</v>
      </c>
      <c r="J58" s="463">
        <f t="shared" si="10"/>
        <v>0</v>
      </c>
      <c r="K58" s="463">
        <f t="shared" si="10"/>
        <v>0</v>
      </c>
      <c r="L58" s="463">
        <f t="shared" si="10"/>
        <v>0</v>
      </c>
      <c r="M58" s="463">
        <f t="shared" si="10"/>
        <v>0</v>
      </c>
      <c r="N58" s="463">
        <f t="shared" si="10"/>
        <v>0</v>
      </c>
      <c r="O58" s="463">
        <f t="shared" si="10"/>
        <v>318625</v>
      </c>
      <c r="P58" s="463">
        <f t="shared" si="10"/>
        <v>289268</v>
      </c>
      <c r="Q58" s="463">
        <f t="shared" si="10"/>
        <v>285425</v>
      </c>
      <c r="R58" s="463">
        <f t="shared" si="10"/>
        <v>0</v>
      </c>
      <c r="S58" s="464"/>
    </row>
    <row r="59" spans="1:19" ht="12.75" hidden="1" thickBot="1">
      <c r="A59" s="24" t="s">
        <v>367</v>
      </c>
      <c r="B59" s="16" t="s">
        <v>1272</v>
      </c>
      <c r="C59" s="24" t="s">
        <v>394</v>
      </c>
      <c r="D59" s="463">
        <f t="shared" si="10"/>
        <v>0</v>
      </c>
      <c r="E59" s="463">
        <f t="shared" si="10"/>
        <v>0</v>
      </c>
      <c r="F59" s="463">
        <f t="shared" si="10"/>
        <v>0</v>
      </c>
      <c r="G59" s="463">
        <f t="shared" si="10"/>
        <v>0</v>
      </c>
      <c r="H59" s="463">
        <f t="shared" si="7"/>
        <v>0</v>
      </c>
      <c r="I59" s="463">
        <f t="shared" si="10"/>
        <v>0</v>
      </c>
      <c r="J59" s="463">
        <f t="shared" si="10"/>
        <v>0</v>
      </c>
      <c r="K59" s="463">
        <f t="shared" si="10"/>
        <v>0</v>
      </c>
      <c r="L59" s="463">
        <f t="shared" si="10"/>
        <v>0</v>
      </c>
      <c r="M59" s="463">
        <f t="shared" si="10"/>
        <v>0</v>
      </c>
      <c r="N59" s="463">
        <f t="shared" si="10"/>
        <v>0</v>
      </c>
      <c r="O59" s="463">
        <f t="shared" si="10"/>
        <v>0</v>
      </c>
      <c r="P59" s="463">
        <f t="shared" si="10"/>
        <v>0</v>
      </c>
      <c r="Q59" s="463">
        <f t="shared" si="10"/>
        <v>0</v>
      </c>
      <c r="R59" s="463">
        <f t="shared" si="10"/>
        <v>0</v>
      </c>
      <c r="S59" s="464"/>
    </row>
    <row r="60" spans="1:19" ht="12.75" hidden="1" thickBot="1">
      <c r="A60" s="24" t="s">
        <v>367</v>
      </c>
      <c r="B60" s="16" t="s">
        <v>1272</v>
      </c>
      <c r="C60" s="24" t="s">
        <v>395</v>
      </c>
      <c r="D60" s="463">
        <f t="shared" si="10"/>
        <v>156</v>
      </c>
      <c r="E60" s="463">
        <f t="shared" si="10"/>
        <v>0</v>
      </c>
      <c r="F60" s="463">
        <f t="shared" si="10"/>
        <v>0</v>
      </c>
      <c r="G60" s="463">
        <f t="shared" si="10"/>
        <v>0</v>
      </c>
      <c r="H60" s="463">
        <f t="shared" si="7"/>
        <v>268287</v>
      </c>
      <c r="I60" s="463">
        <f t="shared" si="10"/>
        <v>0</v>
      </c>
      <c r="J60" s="463">
        <f t="shared" si="10"/>
        <v>0</v>
      </c>
      <c r="K60" s="463">
        <f t="shared" si="10"/>
        <v>0</v>
      </c>
      <c r="L60" s="463">
        <f t="shared" si="10"/>
        <v>0</v>
      </c>
      <c r="M60" s="463">
        <f t="shared" si="10"/>
        <v>0</v>
      </c>
      <c r="N60" s="463">
        <f t="shared" si="10"/>
        <v>0</v>
      </c>
      <c r="O60" s="463">
        <f t="shared" si="10"/>
        <v>0</v>
      </c>
      <c r="P60" s="463">
        <f t="shared" si="10"/>
        <v>0</v>
      </c>
      <c r="Q60" s="463">
        <f t="shared" si="10"/>
        <v>0</v>
      </c>
      <c r="R60" s="463">
        <f t="shared" si="10"/>
        <v>0</v>
      </c>
      <c r="S60" s="464"/>
    </row>
    <row r="61" spans="1:19" ht="12.75" hidden="1" thickBot="1">
      <c r="A61" s="24" t="s">
        <v>367</v>
      </c>
      <c r="B61" s="16" t="s">
        <v>1272</v>
      </c>
      <c r="C61" s="24" t="s">
        <v>396</v>
      </c>
      <c r="D61" s="463">
        <f t="shared" si="10"/>
        <v>0</v>
      </c>
      <c r="E61" s="463">
        <f t="shared" si="10"/>
        <v>0</v>
      </c>
      <c r="F61" s="463">
        <f t="shared" si="10"/>
        <v>0</v>
      </c>
      <c r="G61" s="463">
        <f t="shared" si="10"/>
        <v>0</v>
      </c>
      <c r="H61" s="463">
        <f t="shared" si="7"/>
        <v>0</v>
      </c>
      <c r="I61" s="463">
        <f t="shared" si="10"/>
        <v>0</v>
      </c>
      <c r="J61" s="463">
        <f t="shared" si="10"/>
        <v>0</v>
      </c>
      <c r="K61" s="463">
        <f t="shared" si="10"/>
        <v>0</v>
      </c>
      <c r="L61" s="463">
        <f t="shared" si="10"/>
        <v>0</v>
      </c>
      <c r="M61" s="463">
        <f t="shared" si="10"/>
        <v>0</v>
      </c>
      <c r="N61" s="463">
        <f t="shared" si="10"/>
        <v>0</v>
      </c>
      <c r="O61" s="463">
        <f t="shared" si="10"/>
        <v>0</v>
      </c>
      <c r="P61" s="463">
        <f t="shared" si="10"/>
        <v>0</v>
      </c>
      <c r="Q61" s="463">
        <f t="shared" si="10"/>
        <v>0</v>
      </c>
      <c r="R61" s="463">
        <f t="shared" si="10"/>
        <v>0</v>
      </c>
      <c r="S61" s="464"/>
    </row>
    <row r="62" spans="1:19" ht="12.75" hidden="1" thickBot="1">
      <c r="A62" s="24" t="s">
        <v>367</v>
      </c>
      <c r="B62" s="16" t="s">
        <v>1272</v>
      </c>
      <c r="C62" s="24" t="s">
        <v>397</v>
      </c>
      <c r="D62" s="463">
        <f t="shared" si="10"/>
        <v>905</v>
      </c>
      <c r="E62" s="463">
        <f t="shared" si="10"/>
        <v>0</v>
      </c>
      <c r="F62" s="463">
        <f t="shared" si="10"/>
        <v>0</v>
      </c>
      <c r="G62" s="463">
        <f t="shared" si="10"/>
        <v>0</v>
      </c>
      <c r="H62" s="463">
        <f t="shared" si="7"/>
        <v>231486</v>
      </c>
      <c r="I62" s="463">
        <f t="shared" si="10"/>
        <v>0</v>
      </c>
      <c r="J62" s="463">
        <f t="shared" si="10"/>
        <v>0</v>
      </c>
      <c r="K62" s="463">
        <f t="shared" si="10"/>
        <v>0</v>
      </c>
      <c r="L62" s="463">
        <f t="shared" si="10"/>
        <v>0</v>
      </c>
      <c r="M62" s="463">
        <f t="shared" si="10"/>
        <v>0</v>
      </c>
      <c r="N62" s="463">
        <f t="shared" si="10"/>
        <v>0</v>
      </c>
      <c r="O62" s="463">
        <f t="shared" si="10"/>
        <v>0</v>
      </c>
      <c r="P62" s="463">
        <f t="shared" si="10"/>
        <v>0</v>
      </c>
      <c r="Q62" s="463">
        <f t="shared" si="10"/>
        <v>0</v>
      </c>
      <c r="R62" s="463">
        <f t="shared" si="10"/>
        <v>0</v>
      </c>
      <c r="S62" s="464"/>
    </row>
    <row r="63" spans="1:19" ht="12.75" hidden="1" thickBot="1">
      <c r="A63" s="24" t="s">
        <v>367</v>
      </c>
      <c r="B63" s="16" t="s">
        <v>1272</v>
      </c>
      <c r="C63" s="24" t="s">
        <v>398</v>
      </c>
      <c r="D63" s="463">
        <f t="shared" si="10"/>
        <v>0</v>
      </c>
      <c r="E63" s="463">
        <f t="shared" si="10"/>
        <v>0</v>
      </c>
      <c r="F63" s="463">
        <f t="shared" si="10"/>
        <v>0</v>
      </c>
      <c r="G63" s="463">
        <f t="shared" si="10"/>
        <v>0</v>
      </c>
      <c r="H63" s="463">
        <f t="shared" si="7"/>
        <v>0</v>
      </c>
      <c r="I63" s="463">
        <f t="shared" si="10"/>
        <v>0</v>
      </c>
      <c r="J63" s="463">
        <f t="shared" si="10"/>
        <v>0</v>
      </c>
      <c r="K63" s="463">
        <f t="shared" si="10"/>
        <v>0</v>
      </c>
      <c r="L63" s="463">
        <f t="shared" si="10"/>
        <v>0</v>
      </c>
      <c r="M63" s="463">
        <f t="shared" si="10"/>
        <v>0</v>
      </c>
      <c r="N63" s="463">
        <f t="shared" si="10"/>
        <v>0</v>
      </c>
      <c r="O63" s="463">
        <f t="shared" si="10"/>
        <v>0</v>
      </c>
      <c r="P63" s="463">
        <f t="shared" si="10"/>
        <v>0</v>
      </c>
      <c r="Q63" s="463">
        <f t="shared" si="10"/>
        <v>0</v>
      </c>
      <c r="R63" s="463">
        <f t="shared" si="10"/>
        <v>0</v>
      </c>
      <c r="S63" s="464"/>
    </row>
    <row r="64" spans="1:19" ht="12.75" hidden="1" thickBot="1">
      <c r="A64" s="24" t="s">
        <v>367</v>
      </c>
      <c r="B64" s="16" t="s">
        <v>1272</v>
      </c>
      <c r="C64" s="24" t="s">
        <v>399</v>
      </c>
      <c r="D64" s="463">
        <f t="shared" si="10"/>
        <v>0</v>
      </c>
      <c r="E64" s="463">
        <f t="shared" si="10"/>
        <v>0</v>
      </c>
      <c r="F64" s="463">
        <f t="shared" si="10"/>
        <v>0</v>
      </c>
      <c r="G64" s="463">
        <f t="shared" si="10"/>
        <v>0</v>
      </c>
      <c r="H64" s="463">
        <f t="shared" si="7"/>
        <v>0</v>
      </c>
      <c r="I64" s="463">
        <f t="shared" si="10"/>
        <v>0</v>
      </c>
      <c r="J64" s="463">
        <f t="shared" si="10"/>
        <v>0</v>
      </c>
      <c r="K64" s="463">
        <f t="shared" si="10"/>
        <v>0</v>
      </c>
      <c r="L64" s="463">
        <f t="shared" si="10"/>
        <v>0</v>
      </c>
      <c r="M64" s="463">
        <f t="shared" si="10"/>
        <v>0</v>
      </c>
      <c r="N64" s="463">
        <f t="shared" si="10"/>
        <v>0</v>
      </c>
      <c r="O64" s="463">
        <f t="shared" si="10"/>
        <v>0</v>
      </c>
      <c r="P64" s="463">
        <f t="shared" si="10"/>
        <v>0</v>
      </c>
      <c r="Q64" s="463">
        <f t="shared" si="10"/>
        <v>0</v>
      </c>
      <c r="R64" s="463">
        <f t="shared" si="10"/>
        <v>0</v>
      </c>
      <c r="S64" s="464"/>
    </row>
    <row r="65" spans="1:43" ht="12.75" thickBot="1">
      <c r="A65" s="24" t="s">
        <v>367</v>
      </c>
      <c r="B65" s="16" t="s">
        <v>1272</v>
      </c>
      <c r="C65" s="24" t="s">
        <v>400</v>
      </c>
      <c r="D65" s="463">
        <f t="shared" si="10"/>
        <v>361807</v>
      </c>
      <c r="E65" s="463">
        <f t="shared" si="10"/>
        <v>0</v>
      </c>
      <c r="F65" s="463">
        <f t="shared" si="10"/>
        <v>0</v>
      </c>
      <c r="G65" s="463">
        <f t="shared" si="10"/>
        <v>0</v>
      </c>
      <c r="H65" s="463">
        <f t="shared" si="7"/>
        <v>328309831</v>
      </c>
      <c r="I65" s="463">
        <f t="shared" si="10"/>
        <v>0</v>
      </c>
      <c r="J65" s="463">
        <f t="shared" si="10"/>
        <v>0</v>
      </c>
      <c r="K65" s="463">
        <f t="shared" si="10"/>
        <v>0</v>
      </c>
      <c r="L65" s="463">
        <f t="shared" si="10"/>
        <v>0</v>
      </c>
      <c r="M65" s="463">
        <f t="shared" si="10"/>
        <v>0</v>
      </c>
      <c r="N65" s="463">
        <f t="shared" si="10"/>
        <v>0</v>
      </c>
      <c r="O65" s="463">
        <f t="shared" si="10"/>
        <v>0</v>
      </c>
      <c r="P65" s="463">
        <f t="shared" si="10"/>
        <v>0</v>
      </c>
      <c r="Q65" s="463">
        <f t="shared" si="10"/>
        <v>0</v>
      </c>
      <c r="R65" s="463">
        <f t="shared" si="10"/>
        <v>0</v>
      </c>
      <c r="S65" s="464"/>
    </row>
    <row r="66" spans="1:43" ht="12.75" hidden="1" thickBot="1">
      <c r="A66" s="24" t="s">
        <v>367</v>
      </c>
      <c r="B66" s="16" t="s">
        <v>1272</v>
      </c>
      <c r="C66" s="24" t="s">
        <v>401</v>
      </c>
      <c r="D66" s="463">
        <f t="shared" si="10"/>
        <v>0</v>
      </c>
      <c r="E66" s="463">
        <f t="shared" si="10"/>
        <v>0</v>
      </c>
      <c r="F66" s="463">
        <f t="shared" si="10"/>
        <v>0</v>
      </c>
      <c r="G66" s="463">
        <f t="shared" si="10"/>
        <v>0</v>
      </c>
      <c r="H66" s="463">
        <f t="shared" si="7"/>
        <v>0</v>
      </c>
      <c r="I66" s="463">
        <f t="shared" si="10"/>
        <v>0</v>
      </c>
      <c r="J66" s="463">
        <f t="shared" si="10"/>
        <v>0</v>
      </c>
      <c r="K66" s="463">
        <f t="shared" si="10"/>
        <v>0</v>
      </c>
      <c r="L66" s="463">
        <f t="shared" si="10"/>
        <v>0</v>
      </c>
      <c r="M66" s="463">
        <f t="shared" si="10"/>
        <v>0</v>
      </c>
      <c r="N66" s="463">
        <f t="shared" si="10"/>
        <v>0</v>
      </c>
      <c r="O66" s="463">
        <f t="shared" si="10"/>
        <v>0</v>
      </c>
      <c r="P66" s="463">
        <f t="shared" si="10"/>
        <v>0</v>
      </c>
      <c r="Q66" s="463">
        <f t="shared" si="10"/>
        <v>0</v>
      </c>
      <c r="R66" s="463">
        <f t="shared" si="10"/>
        <v>0</v>
      </c>
      <c r="S66" s="464"/>
    </row>
    <row r="67" spans="1:43" ht="12.75" hidden="1" thickBot="1">
      <c r="A67" s="24" t="s">
        <v>367</v>
      </c>
      <c r="B67" s="16" t="s">
        <v>1272</v>
      </c>
      <c r="C67" s="24" t="s">
        <v>402</v>
      </c>
      <c r="D67" s="463">
        <f t="shared" si="10"/>
        <v>0</v>
      </c>
      <c r="E67" s="463">
        <f t="shared" si="10"/>
        <v>0</v>
      </c>
      <c r="F67" s="463">
        <f t="shared" si="10"/>
        <v>0</v>
      </c>
      <c r="G67" s="463">
        <f t="shared" si="10"/>
        <v>0</v>
      </c>
      <c r="H67" s="463">
        <f t="shared" si="7"/>
        <v>0</v>
      </c>
      <c r="I67" s="463">
        <f t="shared" si="10"/>
        <v>0</v>
      </c>
      <c r="J67" s="463">
        <f t="shared" si="10"/>
        <v>0</v>
      </c>
      <c r="K67" s="463">
        <f t="shared" si="10"/>
        <v>0</v>
      </c>
      <c r="L67" s="463">
        <f t="shared" si="10"/>
        <v>0</v>
      </c>
      <c r="M67" s="463">
        <f t="shared" si="10"/>
        <v>0</v>
      </c>
      <c r="N67" s="463">
        <f t="shared" si="10"/>
        <v>0</v>
      </c>
      <c r="O67" s="463">
        <f t="shared" si="10"/>
        <v>0</v>
      </c>
      <c r="P67" s="463">
        <f t="shared" si="10"/>
        <v>0</v>
      </c>
      <c r="Q67" s="463">
        <f t="shared" si="10"/>
        <v>0</v>
      </c>
      <c r="R67" s="463">
        <f t="shared" si="10"/>
        <v>0</v>
      </c>
      <c r="S67" s="464"/>
    </row>
    <row r="68" spans="1:43" ht="12.75" hidden="1" thickBot="1">
      <c r="A68" s="24" t="s">
        <v>367</v>
      </c>
      <c r="B68" s="16" t="s">
        <v>1272</v>
      </c>
      <c r="C68" s="24" t="s">
        <v>706</v>
      </c>
      <c r="D68" s="463">
        <f t="shared" si="10"/>
        <v>20</v>
      </c>
      <c r="E68" s="463">
        <f t="shared" si="10"/>
        <v>10967</v>
      </c>
      <c r="F68" s="463">
        <f t="shared" si="10"/>
        <v>5695</v>
      </c>
      <c r="G68" s="463">
        <f t="shared" si="10"/>
        <v>3400</v>
      </c>
      <c r="H68" s="463">
        <f t="shared" si="7"/>
        <v>20062</v>
      </c>
      <c r="I68" s="463">
        <f t="shared" si="10"/>
        <v>0</v>
      </c>
      <c r="J68" s="463">
        <f t="shared" si="10"/>
        <v>0</v>
      </c>
      <c r="K68" s="463">
        <f t="shared" si="10"/>
        <v>0</v>
      </c>
      <c r="L68" s="463">
        <f t="shared" si="10"/>
        <v>0</v>
      </c>
      <c r="M68" s="463">
        <f t="shared" si="10"/>
        <v>0</v>
      </c>
      <c r="N68" s="463">
        <f t="shared" si="10"/>
        <v>0</v>
      </c>
      <c r="O68" s="463">
        <f t="shared" si="10"/>
        <v>0</v>
      </c>
      <c r="P68" s="463">
        <f t="shared" si="10"/>
        <v>0</v>
      </c>
      <c r="Q68" s="463">
        <f t="shared" si="10"/>
        <v>0</v>
      </c>
      <c r="R68" s="463">
        <f t="shared" si="10"/>
        <v>0</v>
      </c>
      <c r="S68" s="464"/>
    </row>
    <row r="69" spans="1:43" s="461" customFormat="1" ht="12.75" hidden="1" thickBot="1">
      <c r="A69" s="24" t="s">
        <v>367</v>
      </c>
      <c r="B69" s="16" t="s">
        <v>1272</v>
      </c>
      <c r="C69" s="24" t="s">
        <v>1230</v>
      </c>
      <c r="D69" s="463">
        <f t="shared" si="10"/>
        <v>0</v>
      </c>
      <c r="E69" s="463">
        <f t="shared" si="10"/>
        <v>0</v>
      </c>
      <c r="F69" s="463">
        <f t="shared" si="10"/>
        <v>0</v>
      </c>
      <c r="G69" s="463">
        <f t="shared" si="10"/>
        <v>0</v>
      </c>
      <c r="H69" s="463">
        <f t="shared" si="7"/>
        <v>0</v>
      </c>
      <c r="I69" s="463">
        <f t="shared" si="10"/>
        <v>0</v>
      </c>
      <c r="J69" s="463">
        <f t="shared" si="10"/>
        <v>0</v>
      </c>
      <c r="K69" s="463">
        <f t="shared" si="10"/>
        <v>0</v>
      </c>
      <c r="L69" s="463">
        <f t="shared" si="10"/>
        <v>0</v>
      </c>
      <c r="M69" s="463">
        <f t="shared" si="10"/>
        <v>0</v>
      </c>
      <c r="N69" s="463">
        <f t="shared" si="10"/>
        <v>0</v>
      </c>
      <c r="O69" s="463">
        <f t="shared" si="10"/>
        <v>0</v>
      </c>
      <c r="P69" s="463">
        <f t="shared" si="10"/>
        <v>0</v>
      </c>
      <c r="Q69" s="463">
        <f t="shared" si="10"/>
        <v>0</v>
      </c>
      <c r="R69" s="463">
        <f t="shared" si="10"/>
        <v>0</v>
      </c>
      <c r="S69" s="464"/>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row>
    <row r="70" spans="1:43" s="461" customFormat="1" ht="12.75" hidden="1" thickBot="1">
      <c r="A70" s="24" t="s">
        <v>367</v>
      </c>
      <c r="B70" s="16" t="s">
        <v>1272</v>
      </c>
      <c r="C70" s="26" t="s">
        <v>7</v>
      </c>
      <c r="D70" s="27"/>
      <c r="E70" s="466"/>
      <c r="F70" s="466"/>
      <c r="G70" s="466"/>
      <c r="H70" s="27"/>
      <c r="I70" s="467"/>
      <c r="J70" s="467"/>
      <c r="K70" s="467"/>
      <c r="L70" s="466"/>
      <c r="M70" s="466"/>
      <c r="N70" s="467"/>
      <c r="O70" s="28"/>
      <c r="P70" s="467"/>
      <c r="Q70" s="467"/>
      <c r="R70" s="467"/>
      <c r="S70" s="466"/>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row>
    <row r="71" spans="1:43" ht="12.75" hidden="1" thickBot="1">
      <c r="A71" s="2" t="s">
        <v>367</v>
      </c>
      <c r="B71" s="1" t="s">
        <v>1273</v>
      </c>
      <c r="C71" s="2" t="s">
        <v>368</v>
      </c>
      <c r="D71" s="463">
        <f t="shared" si="10"/>
        <v>0</v>
      </c>
      <c r="E71" s="463">
        <f t="shared" si="10"/>
        <v>0</v>
      </c>
      <c r="F71" s="463">
        <f t="shared" si="10"/>
        <v>0</v>
      </c>
      <c r="G71" s="463">
        <f t="shared" si="10"/>
        <v>0</v>
      </c>
      <c r="H71" s="463">
        <f t="shared" ref="H71:H101" si="12">ROUND(SUMIFS(H$409:H$780,$B$409:$B$780,$B71,$C$409:$C$780,$C71)*1000,0)</f>
        <v>0</v>
      </c>
      <c r="I71" s="463">
        <f t="shared" si="10"/>
        <v>0</v>
      </c>
      <c r="J71" s="463">
        <f t="shared" si="10"/>
        <v>0</v>
      </c>
      <c r="K71" s="463">
        <f t="shared" si="10"/>
        <v>0</v>
      </c>
      <c r="L71" s="463">
        <f t="shared" si="10"/>
        <v>0</v>
      </c>
      <c r="M71" s="463">
        <f t="shared" si="10"/>
        <v>0</v>
      </c>
      <c r="N71" s="463">
        <f t="shared" si="10"/>
        <v>0</v>
      </c>
      <c r="O71" s="463">
        <f t="shared" si="10"/>
        <v>0</v>
      </c>
      <c r="P71" s="463">
        <f t="shared" si="10"/>
        <v>0</v>
      </c>
      <c r="Q71" s="463">
        <f t="shared" si="10"/>
        <v>0</v>
      </c>
      <c r="R71" s="463">
        <f t="shared" si="10"/>
        <v>0</v>
      </c>
      <c r="S71" s="464"/>
    </row>
    <row r="72" spans="1:43" ht="12.75" hidden="1" thickBot="1">
      <c r="A72" s="2" t="s">
        <v>367</v>
      </c>
      <c r="B72" s="1" t="s">
        <v>1273</v>
      </c>
      <c r="C72" s="2" t="s">
        <v>370</v>
      </c>
      <c r="D72" s="463">
        <f t="shared" ref="D72:R88" si="13">ROUND(SUMIFS(D$409:D$780,$B$409:$B$780,$B72,$C$409:$C$780,$C72),0)</f>
        <v>28242</v>
      </c>
      <c r="E72" s="463">
        <f t="shared" si="13"/>
        <v>0</v>
      </c>
      <c r="F72" s="463">
        <f t="shared" si="13"/>
        <v>0</v>
      </c>
      <c r="G72" s="463">
        <f t="shared" si="13"/>
        <v>0</v>
      </c>
      <c r="H72" s="463">
        <f t="shared" si="12"/>
        <v>29862341</v>
      </c>
      <c r="I72" s="463">
        <f t="shared" si="13"/>
        <v>0</v>
      </c>
      <c r="J72" s="463">
        <f t="shared" si="13"/>
        <v>0</v>
      </c>
      <c r="K72" s="463">
        <f t="shared" si="13"/>
        <v>0</v>
      </c>
      <c r="L72" s="463">
        <f t="shared" si="13"/>
        <v>0</v>
      </c>
      <c r="M72" s="463">
        <f t="shared" si="13"/>
        <v>0</v>
      </c>
      <c r="N72" s="463">
        <f t="shared" si="13"/>
        <v>0</v>
      </c>
      <c r="O72" s="463">
        <f t="shared" si="13"/>
        <v>0</v>
      </c>
      <c r="P72" s="463">
        <f t="shared" si="13"/>
        <v>0</v>
      </c>
      <c r="Q72" s="463">
        <f t="shared" si="13"/>
        <v>0</v>
      </c>
      <c r="R72" s="463">
        <f t="shared" si="13"/>
        <v>0</v>
      </c>
      <c r="S72" s="464"/>
    </row>
    <row r="73" spans="1:43" ht="12.75" hidden="1" thickBot="1">
      <c r="A73" s="2" t="s">
        <v>367</v>
      </c>
      <c r="B73" s="1" t="s">
        <v>1273</v>
      </c>
      <c r="C73" s="2" t="s">
        <v>371</v>
      </c>
      <c r="D73" s="463">
        <f t="shared" si="13"/>
        <v>0</v>
      </c>
      <c r="E73" s="463">
        <f t="shared" si="13"/>
        <v>0</v>
      </c>
      <c r="F73" s="463">
        <f t="shared" si="13"/>
        <v>0</v>
      </c>
      <c r="G73" s="463">
        <f t="shared" si="13"/>
        <v>0</v>
      </c>
      <c r="H73" s="463">
        <f t="shared" si="12"/>
        <v>0</v>
      </c>
      <c r="I73" s="463">
        <f t="shared" si="13"/>
        <v>0</v>
      </c>
      <c r="J73" s="463">
        <f t="shared" si="13"/>
        <v>0</v>
      </c>
      <c r="K73" s="463">
        <f t="shared" si="13"/>
        <v>0</v>
      </c>
      <c r="L73" s="463">
        <f t="shared" si="13"/>
        <v>0</v>
      </c>
      <c r="M73" s="463">
        <f t="shared" si="13"/>
        <v>0</v>
      </c>
      <c r="N73" s="463">
        <f t="shared" si="13"/>
        <v>0</v>
      </c>
      <c r="O73" s="463">
        <f t="shared" si="13"/>
        <v>0</v>
      </c>
      <c r="P73" s="463">
        <f t="shared" si="13"/>
        <v>0</v>
      </c>
      <c r="Q73" s="463">
        <f t="shared" si="13"/>
        <v>0</v>
      </c>
      <c r="R73" s="463">
        <f t="shared" si="13"/>
        <v>0</v>
      </c>
      <c r="S73" s="464"/>
    </row>
    <row r="74" spans="1:43" ht="12.75" hidden="1" thickBot="1">
      <c r="A74" s="2" t="s">
        <v>367</v>
      </c>
      <c r="B74" s="1" t="s">
        <v>1273</v>
      </c>
      <c r="C74" s="2" t="s">
        <v>372</v>
      </c>
      <c r="D74" s="463">
        <f t="shared" si="13"/>
        <v>0</v>
      </c>
      <c r="E74" s="463">
        <f t="shared" si="13"/>
        <v>0</v>
      </c>
      <c r="F74" s="463">
        <f t="shared" si="13"/>
        <v>0</v>
      </c>
      <c r="G74" s="463">
        <f t="shared" si="13"/>
        <v>0</v>
      </c>
      <c r="H74" s="463">
        <f t="shared" si="12"/>
        <v>0</v>
      </c>
      <c r="I74" s="463">
        <f t="shared" si="13"/>
        <v>0</v>
      </c>
      <c r="J74" s="463">
        <f t="shared" si="13"/>
        <v>0</v>
      </c>
      <c r="K74" s="463">
        <f t="shared" si="13"/>
        <v>0</v>
      </c>
      <c r="L74" s="463">
        <f t="shared" si="13"/>
        <v>0</v>
      </c>
      <c r="M74" s="463">
        <f t="shared" si="13"/>
        <v>0</v>
      </c>
      <c r="N74" s="463">
        <f t="shared" si="13"/>
        <v>0</v>
      </c>
      <c r="O74" s="463">
        <f t="shared" si="13"/>
        <v>0</v>
      </c>
      <c r="P74" s="463">
        <f t="shared" si="13"/>
        <v>0</v>
      </c>
      <c r="Q74" s="463">
        <f t="shared" si="13"/>
        <v>0</v>
      </c>
      <c r="R74" s="463">
        <f t="shared" si="13"/>
        <v>0</v>
      </c>
      <c r="S74" s="464"/>
    </row>
    <row r="75" spans="1:43" ht="12.75" hidden="1" thickBot="1">
      <c r="A75" s="2" t="s">
        <v>367</v>
      </c>
      <c r="B75" s="1" t="s">
        <v>1273</v>
      </c>
      <c r="C75" s="2" t="s">
        <v>374</v>
      </c>
      <c r="D75" s="463">
        <f t="shared" si="13"/>
        <v>0</v>
      </c>
      <c r="E75" s="463">
        <f t="shared" si="13"/>
        <v>0</v>
      </c>
      <c r="F75" s="463">
        <f t="shared" si="13"/>
        <v>0</v>
      </c>
      <c r="G75" s="463">
        <f t="shared" si="13"/>
        <v>0</v>
      </c>
      <c r="H75" s="463">
        <f t="shared" si="12"/>
        <v>0</v>
      </c>
      <c r="I75" s="463">
        <f t="shared" si="13"/>
        <v>0</v>
      </c>
      <c r="J75" s="463">
        <f t="shared" si="13"/>
        <v>0</v>
      </c>
      <c r="K75" s="463">
        <f t="shared" si="13"/>
        <v>0</v>
      </c>
      <c r="L75" s="463">
        <f t="shared" si="13"/>
        <v>0</v>
      </c>
      <c r="M75" s="463">
        <f t="shared" si="13"/>
        <v>0</v>
      </c>
      <c r="N75" s="463">
        <f t="shared" si="13"/>
        <v>0</v>
      </c>
      <c r="O75" s="463">
        <f t="shared" si="13"/>
        <v>0</v>
      </c>
      <c r="P75" s="463">
        <f t="shared" si="13"/>
        <v>0</v>
      </c>
      <c r="Q75" s="463">
        <f t="shared" si="13"/>
        <v>0</v>
      </c>
      <c r="R75" s="463">
        <f t="shared" si="13"/>
        <v>0</v>
      </c>
      <c r="S75" s="464"/>
    </row>
    <row r="76" spans="1:43" ht="12.75" hidden="1" thickBot="1">
      <c r="A76" s="2" t="s">
        <v>367</v>
      </c>
      <c r="B76" s="1" t="s">
        <v>1273</v>
      </c>
      <c r="C76" s="2" t="s">
        <v>375</v>
      </c>
      <c r="D76" s="463">
        <f t="shared" si="13"/>
        <v>2585</v>
      </c>
      <c r="E76" s="463">
        <f t="shared" si="13"/>
        <v>0</v>
      </c>
      <c r="F76" s="463">
        <f t="shared" si="13"/>
        <v>0</v>
      </c>
      <c r="G76" s="463">
        <f t="shared" si="13"/>
        <v>0</v>
      </c>
      <c r="H76" s="463">
        <f t="shared" si="12"/>
        <v>130807807</v>
      </c>
      <c r="I76" s="463">
        <f t="shared" si="13"/>
        <v>0</v>
      </c>
      <c r="J76" s="463">
        <f t="shared" si="13"/>
        <v>0</v>
      </c>
      <c r="K76" s="463">
        <f t="shared" si="13"/>
        <v>0</v>
      </c>
      <c r="L76" s="463">
        <f t="shared" si="13"/>
        <v>0</v>
      </c>
      <c r="M76" s="463">
        <f t="shared" si="13"/>
        <v>0</v>
      </c>
      <c r="N76" s="463">
        <f t="shared" si="13"/>
        <v>0</v>
      </c>
      <c r="O76" s="463">
        <f t="shared" si="13"/>
        <v>0</v>
      </c>
      <c r="P76" s="463">
        <f t="shared" ref="P76:P77" si="14">R76</f>
        <v>329383</v>
      </c>
      <c r="Q76" s="463">
        <f t="shared" si="13"/>
        <v>0</v>
      </c>
      <c r="R76" s="463">
        <f t="shared" si="13"/>
        <v>329383</v>
      </c>
      <c r="S76" s="465"/>
    </row>
    <row r="77" spans="1:43" ht="12.75" hidden="1" thickBot="1">
      <c r="A77" s="2" t="s">
        <v>367</v>
      </c>
      <c r="B77" s="1" t="s">
        <v>1273</v>
      </c>
      <c r="C77" s="2" t="s">
        <v>376</v>
      </c>
      <c r="D77" s="463">
        <f t="shared" si="13"/>
        <v>52</v>
      </c>
      <c r="E77" s="463">
        <f t="shared" si="13"/>
        <v>0</v>
      </c>
      <c r="F77" s="463">
        <f t="shared" si="13"/>
        <v>0</v>
      </c>
      <c r="G77" s="463">
        <f t="shared" si="13"/>
        <v>0</v>
      </c>
      <c r="H77" s="463">
        <f t="shared" si="12"/>
        <v>10824710</v>
      </c>
      <c r="I77" s="463">
        <f t="shared" si="13"/>
        <v>0</v>
      </c>
      <c r="J77" s="463">
        <f t="shared" si="13"/>
        <v>0</v>
      </c>
      <c r="K77" s="463">
        <f t="shared" si="13"/>
        <v>0</v>
      </c>
      <c r="L77" s="463">
        <f t="shared" si="13"/>
        <v>0</v>
      </c>
      <c r="M77" s="463">
        <f t="shared" si="13"/>
        <v>0</v>
      </c>
      <c r="N77" s="463">
        <f t="shared" si="13"/>
        <v>0</v>
      </c>
      <c r="O77" s="463">
        <f t="shared" si="13"/>
        <v>0</v>
      </c>
      <c r="P77" s="463">
        <f t="shared" si="14"/>
        <v>26650</v>
      </c>
      <c r="Q77" s="463">
        <f t="shared" si="13"/>
        <v>0</v>
      </c>
      <c r="R77" s="463">
        <f t="shared" si="13"/>
        <v>26650</v>
      </c>
      <c r="S77" s="465"/>
    </row>
    <row r="78" spans="1:43" ht="12.75" hidden="1" thickBot="1">
      <c r="A78" s="2" t="s">
        <v>367</v>
      </c>
      <c r="B78" s="1" t="s">
        <v>1273</v>
      </c>
      <c r="C78" s="2" t="s">
        <v>377</v>
      </c>
      <c r="D78" s="463">
        <f t="shared" si="13"/>
        <v>0</v>
      </c>
      <c r="E78" s="463">
        <f t="shared" si="13"/>
        <v>0</v>
      </c>
      <c r="F78" s="463">
        <f t="shared" si="13"/>
        <v>0</v>
      </c>
      <c r="G78" s="463">
        <f t="shared" si="13"/>
        <v>0</v>
      </c>
      <c r="H78" s="463">
        <f t="shared" si="12"/>
        <v>0</v>
      </c>
      <c r="I78" s="463">
        <f t="shared" si="13"/>
        <v>0</v>
      </c>
      <c r="J78" s="463">
        <f t="shared" si="13"/>
        <v>0</v>
      </c>
      <c r="K78" s="463">
        <f t="shared" si="13"/>
        <v>0</v>
      </c>
      <c r="L78" s="463">
        <f t="shared" si="13"/>
        <v>0</v>
      </c>
      <c r="M78" s="463">
        <f t="shared" si="13"/>
        <v>0</v>
      </c>
      <c r="N78" s="463">
        <f t="shared" si="13"/>
        <v>0</v>
      </c>
      <c r="O78" s="463">
        <f t="shared" si="13"/>
        <v>0</v>
      </c>
      <c r="P78" s="463">
        <f t="shared" si="13"/>
        <v>0</v>
      </c>
      <c r="Q78" s="463">
        <f t="shared" si="13"/>
        <v>0</v>
      </c>
      <c r="R78" s="463">
        <f t="shared" si="13"/>
        <v>0</v>
      </c>
      <c r="S78" s="464"/>
    </row>
    <row r="79" spans="1:43" ht="12.75" hidden="1" thickBot="1">
      <c r="A79" s="2" t="s">
        <v>367</v>
      </c>
      <c r="B79" s="1" t="s">
        <v>1273</v>
      </c>
      <c r="C79" s="2" t="s">
        <v>378</v>
      </c>
      <c r="D79" s="463">
        <f t="shared" si="13"/>
        <v>224</v>
      </c>
      <c r="E79" s="463">
        <f t="shared" si="13"/>
        <v>0</v>
      </c>
      <c r="F79" s="463">
        <f t="shared" si="13"/>
        <v>0</v>
      </c>
      <c r="G79" s="463">
        <f t="shared" si="13"/>
        <v>0</v>
      </c>
      <c r="H79" s="463">
        <f t="shared" si="12"/>
        <v>57508342</v>
      </c>
      <c r="I79" s="463">
        <f t="shared" si="13"/>
        <v>0</v>
      </c>
      <c r="J79" s="463">
        <f t="shared" si="13"/>
        <v>0</v>
      </c>
      <c r="K79" s="463">
        <f t="shared" si="13"/>
        <v>0</v>
      </c>
      <c r="L79" s="463">
        <f t="shared" si="13"/>
        <v>0</v>
      </c>
      <c r="M79" s="463">
        <f t="shared" si="13"/>
        <v>0</v>
      </c>
      <c r="N79" s="463">
        <f t="shared" si="13"/>
        <v>0</v>
      </c>
      <c r="O79" s="463">
        <f t="shared" si="13"/>
        <v>130300</v>
      </c>
      <c r="P79" s="463">
        <f t="shared" si="13"/>
        <v>120754</v>
      </c>
      <c r="Q79" s="463">
        <f t="shared" si="13"/>
        <v>117662</v>
      </c>
      <c r="R79" s="463">
        <f t="shared" si="13"/>
        <v>0</v>
      </c>
      <c r="S79" s="465"/>
    </row>
    <row r="80" spans="1:43" ht="12.75" hidden="1" thickBot="1">
      <c r="A80" s="2" t="s">
        <v>367</v>
      </c>
      <c r="B80" s="1" t="s">
        <v>1273</v>
      </c>
      <c r="C80" s="2" t="s">
        <v>379</v>
      </c>
      <c r="D80" s="463">
        <f t="shared" si="13"/>
        <v>40</v>
      </c>
      <c r="E80" s="463">
        <f t="shared" si="13"/>
        <v>0</v>
      </c>
      <c r="F80" s="463">
        <f t="shared" si="13"/>
        <v>0</v>
      </c>
      <c r="G80" s="463">
        <f t="shared" si="13"/>
        <v>0</v>
      </c>
      <c r="H80" s="463">
        <f t="shared" si="12"/>
        <v>27203323</v>
      </c>
      <c r="I80" s="463">
        <f t="shared" si="13"/>
        <v>0</v>
      </c>
      <c r="J80" s="463">
        <f t="shared" si="13"/>
        <v>0</v>
      </c>
      <c r="K80" s="463">
        <f t="shared" si="13"/>
        <v>0</v>
      </c>
      <c r="L80" s="463">
        <f t="shared" si="13"/>
        <v>0</v>
      </c>
      <c r="M80" s="463">
        <f t="shared" si="13"/>
        <v>0</v>
      </c>
      <c r="N80" s="463">
        <f t="shared" si="13"/>
        <v>0</v>
      </c>
      <c r="O80" s="463">
        <f t="shared" si="13"/>
        <v>65971</v>
      </c>
      <c r="P80" s="463">
        <f t="shared" si="13"/>
        <v>59840</v>
      </c>
      <c r="Q80" s="463">
        <f t="shared" si="13"/>
        <v>58531</v>
      </c>
      <c r="R80" s="463">
        <f t="shared" si="13"/>
        <v>0</v>
      </c>
      <c r="S80" s="464"/>
    </row>
    <row r="81" spans="1:19" ht="12.75" hidden="1" thickBot="1">
      <c r="A81" s="2" t="s">
        <v>367</v>
      </c>
      <c r="B81" s="1" t="s">
        <v>1273</v>
      </c>
      <c r="C81" s="2" t="s">
        <v>381</v>
      </c>
      <c r="D81" s="463">
        <f t="shared" si="13"/>
        <v>16398</v>
      </c>
      <c r="E81" s="463">
        <f t="shared" si="13"/>
        <v>0</v>
      </c>
      <c r="F81" s="463">
        <f t="shared" si="13"/>
        <v>0</v>
      </c>
      <c r="G81" s="463">
        <f t="shared" si="13"/>
        <v>0</v>
      </c>
      <c r="H81" s="463">
        <f t="shared" si="12"/>
        <v>76141682</v>
      </c>
      <c r="I81" s="463">
        <f t="shared" si="13"/>
        <v>0</v>
      </c>
      <c r="J81" s="463">
        <f t="shared" si="13"/>
        <v>0</v>
      </c>
      <c r="K81" s="463">
        <f t="shared" si="13"/>
        <v>0</v>
      </c>
      <c r="L81" s="463">
        <f t="shared" si="13"/>
        <v>0</v>
      </c>
      <c r="M81" s="463">
        <f t="shared" si="13"/>
        <v>0</v>
      </c>
      <c r="N81" s="463">
        <f t="shared" si="13"/>
        <v>0</v>
      </c>
      <c r="O81" s="463">
        <f>R81</f>
        <v>197201</v>
      </c>
      <c r="P81" s="463">
        <f t="shared" si="13"/>
        <v>0</v>
      </c>
      <c r="Q81" s="463">
        <f t="shared" si="13"/>
        <v>0</v>
      </c>
      <c r="R81" s="463">
        <f t="shared" si="13"/>
        <v>197201</v>
      </c>
      <c r="S81" s="464"/>
    </row>
    <row r="82" spans="1:19" ht="12.75" hidden="1" thickBot="1">
      <c r="A82" s="2" t="s">
        <v>367</v>
      </c>
      <c r="B82" s="1" t="s">
        <v>1273</v>
      </c>
      <c r="C82" s="2" t="s">
        <v>382</v>
      </c>
      <c r="D82" s="463">
        <f t="shared" si="13"/>
        <v>0</v>
      </c>
      <c r="E82" s="463">
        <f t="shared" si="13"/>
        <v>0</v>
      </c>
      <c r="F82" s="463">
        <f t="shared" si="13"/>
        <v>0</v>
      </c>
      <c r="G82" s="463">
        <f t="shared" si="13"/>
        <v>0</v>
      </c>
      <c r="H82" s="463">
        <f t="shared" si="12"/>
        <v>0</v>
      </c>
      <c r="I82" s="463">
        <f t="shared" si="13"/>
        <v>0</v>
      </c>
      <c r="J82" s="463">
        <f t="shared" si="13"/>
        <v>0</v>
      </c>
      <c r="K82" s="463">
        <f t="shared" si="13"/>
        <v>0</v>
      </c>
      <c r="L82" s="463">
        <f t="shared" si="13"/>
        <v>0</v>
      </c>
      <c r="M82" s="463">
        <f t="shared" si="13"/>
        <v>0</v>
      </c>
      <c r="N82" s="463">
        <f t="shared" si="13"/>
        <v>0</v>
      </c>
      <c r="O82" s="463">
        <f t="shared" si="13"/>
        <v>0</v>
      </c>
      <c r="P82" s="463">
        <f t="shared" si="13"/>
        <v>0</v>
      </c>
      <c r="Q82" s="463">
        <f t="shared" si="13"/>
        <v>0</v>
      </c>
      <c r="R82" s="463">
        <f t="shared" si="13"/>
        <v>0</v>
      </c>
      <c r="S82" s="464"/>
    </row>
    <row r="83" spans="1:19" ht="12.75" hidden="1" thickBot="1">
      <c r="A83" s="2" t="s">
        <v>367</v>
      </c>
      <c r="B83" s="1" t="s">
        <v>1273</v>
      </c>
      <c r="C83" s="2" t="s">
        <v>384</v>
      </c>
      <c r="D83" s="463">
        <f t="shared" si="13"/>
        <v>0</v>
      </c>
      <c r="E83" s="463">
        <f t="shared" si="13"/>
        <v>0</v>
      </c>
      <c r="F83" s="463">
        <f t="shared" si="13"/>
        <v>0</v>
      </c>
      <c r="G83" s="463">
        <f t="shared" si="13"/>
        <v>0</v>
      </c>
      <c r="H83" s="463">
        <f t="shared" si="12"/>
        <v>0</v>
      </c>
      <c r="I83" s="463">
        <f t="shared" si="13"/>
        <v>0</v>
      </c>
      <c r="J83" s="463">
        <f t="shared" si="13"/>
        <v>0</v>
      </c>
      <c r="K83" s="463">
        <f t="shared" si="13"/>
        <v>0</v>
      </c>
      <c r="L83" s="463">
        <f t="shared" si="13"/>
        <v>0</v>
      </c>
      <c r="M83" s="463">
        <f t="shared" si="13"/>
        <v>0</v>
      </c>
      <c r="N83" s="463">
        <f t="shared" si="13"/>
        <v>0</v>
      </c>
      <c r="O83" s="463">
        <f t="shared" si="13"/>
        <v>0</v>
      </c>
      <c r="P83" s="463">
        <f t="shared" si="13"/>
        <v>0</v>
      </c>
      <c r="Q83" s="463">
        <f t="shared" si="13"/>
        <v>0</v>
      </c>
      <c r="R83" s="463">
        <f t="shared" si="13"/>
        <v>0</v>
      </c>
      <c r="S83" s="464"/>
    </row>
    <row r="84" spans="1:19" ht="12.75" hidden="1" thickBot="1">
      <c r="A84" s="2" t="s">
        <v>367</v>
      </c>
      <c r="B84" s="1" t="s">
        <v>1273</v>
      </c>
      <c r="C84" s="2" t="s">
        <v>385</v>
      </c>
      <c r="D84" s="463">
        <f t="shared" si="13"/>
        <v>2</v>
      </c>
      <c r="E84" s="463">
        <f t="shared" si="13"/>
        <v>0</v>
      </c>
      <c r="F84" s="463">
        <f t="shared" si="13"/>
        <v>0</v>
      </c>
      <c r="G84" s="463">
        <f t="shared" si="13"/>
        <v>0</v>
      </c>
      <c r="H84" s="463">
        <f t="shared" si="12"/>
        <v>4351200</v>
      </c>
      <c r="I84" s="463">
        <f t="shared" si="13"/>
        <v>0</v>
      </c>
      <c r="J84" s="463">
        <f t="shared" si="13"/>
        <v>0</v>
      </c>
      <c r="K84" s="463">
        <f t="shared" si="13"/>
        <v>0</v>
      </c>
      <c r="L84" s="463">
        <f t="shared" si="13"/>
        <v>0</v>
      </c>
      <c r="M84" s="463">
        <f t="shared" si="13"/>
        <v>0</v>
      </c>
      <c r="N84" s="463">
        <f t="shared" si="13"/>
        <v>0</v>
      </c>
      <c r="O84" s="463">
        <f t="shared" si="13"/>
        <v>0</v>
      </c>
      <c r="P84" s="463">
        <f t="shared" ref="P84:P85" si="15">R84</f>
        <v>9307</v>
      </c>
      <c r="Q84" s="463">
        <f t="shared" si="13"/>
        <v>0</v>
      </c>
      <c r="R84" s="463">
        <f t="shared" si="13"/>
        <v>9307</v>
      </c>
      <c r="S84" s="464"/>
    </row>
    <row r="85" spans="1:19" ht="12.75" hidden="1" thickBot="1">
      <c r="A85" s="2" t="s">
        <v>367</v>
      </c>
      <c r="B85" s="1" t="s">
        <v>1273</v>
      </c>
      <c r="C85" s="1" t="s">
        <v>387</v>
      </c>
      <c r="D85" s="463">
        <f t="shared" si="13"/>
        <v>1</v>
      </c>
      <c r="E85" s="463">
        <f t="shared" si="13"/>
        <v>0</v>
      </c>
      <c r="F85" s="463">
        <f t="shared" si="13"/>
        <v>0</v>
      </c>
      <c r="G85" s="463">
        <f t="shared" si="13"/>
        <v>0</v>
      </c>
      <c r="H85" s="463">
        <f t="shared" si="12"/>
        <v>9371000</v>
      </c>
      <c r="I85" s="463">
        <f t="shared" si="13"/>
        <v>0</v>
      </c>
      <c r="J85" s="463">
        <f t="shared" si="13"/>
        <v>0</v>
      </c>
      <c r="K85" s="463">
        <f t="shared" si="13"/>
        <v>0</v>
      </c>
      <c r="L85" s="463">
        <f t="shared" si="13"/>
        <v>0</v>
      </c>
      <c r="M85" s="463">
        <f t="shared" si="13"/>
        <v>0</v>
      </c>
      <c r="N85" s="463">
        <f t="shared" si="13"/>
        <v>0</v>
      </c>
      <c r="O85" s="463">
        <f t="shared" si="13"/>
        <v>0</v>
      </c>
      <c r="P85" s="463">
        <f t="shared" si="15"/>
        <v>12754</v>
      </c>
      <c r="Q85" s="463">
        <f t="shared" si="13"/>
        <v>0</v>
      </c>
      <c r="R85" s="463">
        <f t="shared" si="13"/>
        <v>12754</v>
      </c>
      <c r="S85" s="464"/>
    </row>
    <row r="86" spans="1:19" ht="12.75" hidden="1" thickBot="1">
      <c r="A86" s="2" t="s">
        <v>367</v>
      </c>
      <c r="B86" s="1" t="s">
        <v>1273</v>
      </c>
      <c r="C86" s="2" t="s">
        <v>388</v>
      </c>
      <c r="D86" s="463">
        <f t="shared" si="13"/>
        <v>12</v>
      </c>
      <c r="E86" s="463">
        <f t="shared" si="13"/>
        <v>0</v>
      </c>
      <c r="F86" s="463">
        <f t="shared" si="13"/>
        <v>0</v>
      </c>
      <c r="G86" s="463">
        <f t="shared" si="13"/>
        <v>0</v>
      </c>
      <c r="H86" s="463">
        <f t="shared" si="12"/>
        <v>68950546</v>
      </c>
      <c r="I86" s="463">
        <f t="shared" si="13"/>
        <v>0</v>
      </c>
      <c r="J86" s="463">
        <f t="shared" si="13"/>
        <v>0</v>
      </c>
      <c r="K86" s="463">
        <f t="shared" si="13"/>
        <v>0</v>
      </c>
      <c r="L86" s="463">
        <f t="shared" si="13"/>
        <v>0</v>
      </c>
      <c r="M86" s="463">
        <f t="shared" si="13"/>
        <v>0</v>
      </c>
      <c r="N86" s="463">
        <f t="shared" si="13"/>
        <v>0</v>
      </c>
      <c r="O86" s="463">
        <f t="shared" si="13"/>
        <v>157141</v>
      </c>
      <c r="P86" s="463">
        <f t="shared" si="13"/>
        <v>151309</v>
      </c>
      <c r="Q86" s="463">
        <f t="shared" si="13"/>
        <v>92518</v>
      </c>
      <c r="R86" s="463">
        <f t="shared" si="13"/>
        <v>0</v>
      </c>
      <c r="S86" s="464"/>
    </row>
    <row r="87" spans="1:19" ht="12.75" hidden="1" thickBot="1">
      <c r="A87" s="2" t="s">
        <v>367</v>
      </c>
      <c r="B87" s="1" t="s">
        <v>1273</v>
      </c>
      <c r="C87" s="2" t="s">
        <v>389</v>
      </c>
      <c r="D87" s="463">
        <f t="shared" si="13"/>
        <v>212</v>
      </c>
      <c r="E87" s="463">
        <f t="shared" si="13"/>
        <v>0</v>
      </c>
      <c r="F87" s="463">
        <f t="shared" si="13"/>
        <v>0</v>
      </c>
      <c r="G87" s="463">
        <f t="shared" si="13"/>
        <v>0</v>
      </c>
      <c r="H87" s="463">
        <f t="shared" si="12"/>
        <v>18186183</v>
      </c>
      <c r="I87" s="463">
        <f t="shared" si="13"/>
        <v>0</v>
      </c>
      <c r="J87" s="463">
        <f t="shared" si="13"/>
        <v>0</v>
      </c>
      <c r="K87" s="463">
        <f t="shared" si="13"/>
        <v>0</v>
      </c>
      <c r="L87" s="463">
        <f t="shared" si="13"/>
        <v>0</v>
      </c>
      <c r="M87" s="463">
        <f t="shared" si="13"/>
        <v>0</v>
      </c>
      <c r="N87" s="463">
        <f t="shared" si="13"/>
        <v>0</v>
      </c>
      <c r="O87" s="463">
        <f t="shared" si="13"/>
        <v>0</v>
      </c>
      <c r="P87" s="463">
        <f t="shared" ref="P87:P88" si="16">R87</f>
        <v>58098</v>
      </c>
      <c r="Q87" s="463">
        <f t="shared" si="13"/>
        <v>0</v>
      </c>
      <c r="R87" s="463">
        <f t="shared" si="13"/>
        <v>58098</v>
      </c>
      <c r="S87" s="465"/>
    </row>
    <row r="88" spans="1:19" ht="12.75" hidden="1" thickBot="1">
      <c r="A88" s="2" t="s">
        <v>367</v>
      </c>
      <c r="B88" s="1" t="s">
        <v>1273</v>
      </c>
      <c r="C88" s="2" t="s">
        <v>390</v>
      </c>
      <c r="D88" s="463">
        <f t="shared" si="13"/>
        <v>21</v>
      </c>
      <c r="E88" s="463">
        <f t="shared" si="13"/>
        <v>0</v>
      </c>
      <c r="F88" s="463">
        <f t="shared" si="13"/>
        <v>0</v>
      </c>
      <c r="G88" s="463">
        <f t="shared" si="13"/>
        <v>0</v>
      </c>
      <c r="H88" s="463">
        <f t="shared" si="12"/>
        <v>1034858</v>
      </c>
      <c r="I88" s="463">
        <f t="shared" si="13"/>
        <v>0</v>
      </c>
      <c r="J88" s="463">
        <f t="shared" si="13"/>
        <v>0</v>
      </c>
      <c r="K88" s="463">
        <f t="shared" si="13"/>
        <v>0</v>
      </c>
      <c r="L88" s="463">
        <f t="shared" si="13"/>
        <v>0</v>
      </c>
      <c r="M88" s="463">
        <f t="shared" si="13"/>
        <v>0</v>
      </c>
      <c r="N88" s="463">
        <f t="shared" si="13"/>
        <v>0</v>
      </c>
      <c r="O88" s="463">
        <f t="shared" si="13"/>
        <v>0</v>
      </c>
      <c r="P88" s="463">
        <f t="shared" si="16"/>
        <v>3809</v>
      </c>
      <c r="Q88" s="463">
        <f t="shared" si="13"/>
        <v>0</v>
      </c>
      <c r="R88" s="463">
        <f t="shared" si="13"/>
        <v>3809</v>
      </c>
      <c r="S88" s="465"/>
    </row>
    <row r="89" spans="1:19" ht="12.75" hidden="1" thickBot="1">
      <c r="A89" s="2" t="s">
        <v>367</v>
      </c>
      <c r="B89" s="1" t="s">
        <v>1273</v>
      </c>
      <c r="C89" s="2" t="s">
        <v>391</v>
      </c>
      <c r="D89" s="463">
        <f t="shared" ref="D89:R101" si="17">ROUND(SUMIFS(D$409:D$780,$B$409:$B$780,$B89,$C$409:$C$780,$C89),0)</f>
        <v>100</v>
      </c>
      <c r="E89" s="463">
        <f t="shared" si="17"/>
        <v>0</v>
      </c>
      <c r="F89" s="463">
        <f t="shared" si="17"/>
        <v>0</v>
      </c>
      <c r="G89" s="463">
        <f t="shared" si="17"/>
        <v>0</v>
      </c>
      <c r="H89" s="463">
        <f t="shared" si="12"/>
        <v>20709793</v>
      </c>
      <c r="I89" s="463">
        <f t="shared" si="17"/>
        <v>0</v>
      </c>
      <c r="J89" s="463">
        <f t="shared" si="17"/>
        <v>0</v>
      </c>
      <c r="K89" s="463">
        <f t="shared" si="17"/>
        <v>0</v>
      </c>
      <c r="L89" s="463">
        <f t="shared" si="17"/>
        <v>0</v>
      </c>
      <c r="M89" s="463">
        <f t="shared" si="17"/>
        <v>0</v>
      </c>
      <c r="N89" s="463">
        <f t="shared" si="17"/>
        <v>0</v>
      </c>
      <c r="O89" s="463">
        <f t="shared" si="17"/>
        <v>53453</v>
      </c>
      <c r="P89" s="463">
        <f t="shared" si="17"/>
        <v>49487</v>
      </c>
      <c r="Q89" s="463">
        <f t="shared" si="17"/>
        <v>47392</v>
      </c>
      <c r="R89" s="463">
        <f t="shared" si="17"/>
        <v>0</v>
      </c>
      <c r="S89" s="465"/>
    </row>
    <row r="90" spans="1:19" ht="12.75" hidden="1" thickBot="1">
      <c r="A90" s="2" t="s">
        <v>367</v>
      </c>
      <c r="B90" s="1" t="s">
        <v>1273</v>
      </c>
      <c r="C90" s="2" t="s">
        <v>392</v>
      </c>
      <c r="D90" s="463">
        <f t="shared" si="17"/>
        <v>71</v>
      </c>
      <c r="E90" s="463">
        <f t="shared" si="17"/>
        <v>0</v>
      </c>
      <c r="F90" s="463">
        <f t="shared" si="17"/>
        <v>0</v>
      </c>
      <c r="G90" s="463">
        <f t="shared" si="17"/>
        <v>0</v>
      </c>
      <c r="H90" s="463">
        <f t="shared" si="12"/>
        <v>130494762</v>
      </c>
      <c r="I90" s="463">
        <f t="shared" si="17"/>
        <v>0</v>
      </c>
      <c r="J90" s="463">
        <f t="shared" si="17"/>
        <v>0</v>
      </c>
      <c r="K90" s="463">
        <f t="shared" si="17"/>
        <v>0</v>
      </c>
      <c r="L90" s="463">
        <f t="shared" si="17"/>
        <v>0</v>
      </c>
      <c r="M90" s="463">
        <f t="shared" si="17"/>
        <v>0</v>
      </c>
      <c r="N90" s="463">
        <f t="shared" si="17"/>
        <v>0</v>
      </c>
      <c r="O90" s="463">
        <f t="shared" si="17"/>
        <v>325255</v>
      </c>
      <c r="P90" s="463">
        <f t="shared" si="17"/>
        <v>295286</v>
      </c>
      <c r="Q90" s="463">
        <f t="shared" si="17"/>
        <v>291364</v>
      </c>
      <c r="R90" s="463">
        <f t="shared" si="17"/>
        <v>0</v>
      </c>
      <c r="S90" s="464"/>
    </row>
    <row r="91" spans="1:19" ht="12.75" hidden="1" thickBot="1">
      <c r="A91" s="2" t="s">
        <v>367</v>
      </c>
      <c r="B91" s="1" t="s">
        <v>1273</v>
      </c>
      <c r="C91" s="2" t="s">
        <v>394</v>
      </c>
      <c r="D91" s="463">
        <f t="shared" si="17"/>
        <v>0</v>
      </c>
      <c r="E91" s="463">
        <f t="shared" si="17"/>
        <v>0</v>
      </c>
      <c r="F91" s="463">
        <f t="shared" si="17"/>
        <v>0</v>
      </c>
      <c r="G91" s="463">
        <f t="shared" si="17"/>
        <v>0</v>
      </c>
      <c r="H91" s="463">
        <f t="shared" si="12"/>
        <v>0</v>
      </c>
      <c r="I91" s="463">
        <f t="shared" si="17"/>
        <v>0</v>
      </c>
      <c r="J91" s="463">
        <f t="shared" si="17"/>
        <v>0</v>
      </c>
      <c r="K91" s="463">
        <f t="shared" si="17"/>
        <v>0</v>
      </c>
      <c r="L91" s="463">
        <f t="shared" si="17"/>
        <v>0</v>
      </c>
      <c r="M91" s="463">
        <f t="shared" si="17"/>
        <v>0</v>
      </c>
      <c r="N91" s="463">
        <f t="shared" si="17"/>
        <v>0</v>
      </c>
      <c r="O91" s="463">
        <f t="shared" si="17"/>
        <v>0</v>
      </c>
      <c r="P91" s="463">
        <f t="shared" si="17"/>
        <v>0</v>
      </c>
      <c r="Q91" s="463">
        <f t="shared" si="17"/>
        <v>0</v>
      </c>
      <c r="R91" s="463">
        <f t="shared" si="17"/>
        <v>0</v>
      </c>
      <c r="S91" s="464"/>
    </row>
    <row r="92" spans="1:19" ht="12.75" hidden="1" thickBot="1">
      <c r="A92" s="2" t="s">
        <v>367</v>
      </c>
      <c r="B92" s="1" t="s">
        <v>1273</v>
      </c>
      <c r="C92" s="2" t="s">
        <v>395</v>
      </c>
      <c r="D92" s="463">
        <f t="shared" si="17"/>
        <v>156</v>
      </c>
      <c r="E92" s="463">
        <f t="shared" si="17"/>
        <v>0</v>
      </c>
      <c r="F92" s="463">
        <f t="shared" si="17"/>
        <v>0</v>
      </c>
      <c r="G92" s="463">
        <f t="shared" si="17"/>
        <v>0</v>
      </c>
      <c r="H92" s="463">
        <f t="shared" si="12"/>
        <v>246820</v>
      </c>
      <c r="I92" s="463">
        <f t="shared" si="17"/>
        <v>0</v>
      </c>
      <c r="J92" s="463">
        <f t="shared" si="17"/>
        <v>0</v>
      </c>
      <c r="K92" s="463">
        <f t="shared" si="17"/>
        <v>0</v>
      </c>
      <c r="L92" s="463">
        <f t="shared" si="17"/>
        <v>0</v>
      </c>
      <c r="M92" s="463">
        <f t="shared" si="17"/>
        <v>0</v>
      </c>
      <c r="N92" s="463">
        <f t="shared" si="17"/>
        <v>0</v>
      </c>
      <c r="O92" s="463">
        <f t="shared" si="17"/>
        <v>0</v>
      </c>
      <c r="P92" s="463">
        <f t="shared" si="17"/>
        <v>0</v>
      </c>
      <c r="Q92" s="463">
        <f t="shared" si="17"/>
        <v>0</v>
      </c>
      <c r="R92" s="463">
        <f t="shared" si="17"/>
        <v>0</v>
      </c>
      <c r="S92" s="464"/>
    </row>
    <row r="93" spans="1:19" ht="12.75" hidden="1" thickBot="1">
      <c r="A93" s="2" t="s">
        <v>367</v>
      </c>
      <c r="B93" s="1" t="s">
        <v>1273</v>
      </c>
      <c r="C93" s="2" t="s">
        <v>396</v>
      </c>
      <c r="D93" s="463">
        <f t="shared" si="17"/>
        <v>0</v>
      </c>
      <c r="E93" s="463">
        <f t="shared" si="17"/>
        <v>0</v>
      </c>
      <c r="F93" s="463">
        <f t="shared" si="17"/>
        <v>0</v>
      </c>
      <c r="G93" s="463">
        <f t="shared" si="17"/>
        <v>0</v>
      </c>
      <c r="H93" s="463">
        <f t="shared" si="12"/>
        <v>0</v>
      </c>
      <c r="I93" s="463">
        <f t="shared" si="17"/>
        <v>0</v>
      </c>
      <c r="J93" s="463">
        <f t="shared" si="17"/>
        <v>0</v>
      </c>
      <c r="K93" s="463">
        <f t="shared" si="17"/>
        <v>0</v>
      </c>
      <c r="L93" s="463">
        <f t="shared" si="17"/>
        <v>0</v>
      </c>
      <c r="M93" s="463">
        <f t="shared" si="17"/>
        <v>0</v>
      </c>
      <c r="N93" s="463">
        <f t="shared" si="17"/>
        <v>0</v>
      </c>
      <c r="O93" s="463">
        <f t="shared" si="17"/>
        <v>0</v>
      </c>
      <c r="P93" s="463">
        <f t="shared" si="17"/>
        <v>0</v>
      </c>
      <c r="Q93" s="463">
        <f t="shared" si="17"/>
        <v>0</v>
      </c>
      <c r="R93" s="463">
        <f t="shared" si="17"/>
        <v>0</v>
      </c>
      <c r="S93" s="464"/>
    </row>
    <row r="94" spans="1:19" ht="12.75" hidden="1" thickBot="1">
      <c r="A94" s="2" t="s">
        <v>367</v>
      </c>
      <c r="B94" s="1" t="s">
        <v>1273</v>
      </c>
      <c r="C94" s="2" t="s">
        <v>397</v>
      </c>
      <c r="D94" s="463">
        <f t="shared" si="17"/>
        <v>905</v>
      </c>
      <c r="E94" s="463">
        <f t="shared" si="17"/>
        <v>0</v>
      </c>
      <c r="F94" s="463">
        <f t="shared" si="17"/>
        <v>0</v>
      </c>
      <c r="G94" s="463">
        <f t="shared" si="17"/>
        <v>0</v>
      </c>
      <c r="H94" s="463">
        <f t="shared" si="12"/>
        <v>237752</v>
      </c>
      <c r="I94" s="463">
        <f t="shared" si="17"/>
        <v>0</v>
      </c>
      <c r="J94" s="463">
        <f t="shared" si="17"/>
        <v>0</v>
      </c>
      <c r="K94" s="463">
        <f t="shared" si="17"/>
        <v>0</v>
      </c>
      <c r="L94" s="463">
        <f t="shared" si="17"/>
        <v>0</v>
      </c>
      <c r="M94" s="463">
        <f t="shared" si="17"/>
        <v>0</v>
      </c>
      <c r="N94" s="463">
        <f t="shared" si="17"/>
        <v>0</v>
      </c>
      <c r="O94" s="463">
        <f t="shared" si="17"/>
        <v>0</v>
      </c>
      <c r="P94" s="463">
        <f t="shared" si="17"/>
        <v>0</v>
      </c>
      <c r="Q94" s="463">
        <f t="shared" si="17"/>
        <v>0</v>
      </c>
      <c r="R94" s="463">
        <f t="shared" si="17"/>
        <v>0</v>
      </c>
      <c r="S94" s="464"/>
    </row>
    <row r="95" spans="1:19" ht="12.75" hidden="1" thickBot="1">
      <c r="A95" s="2" t="s">
        <v>367</v>
      </c>
      <c r="B95" s="1" t="s">
        <v>1273</v>
      </c>
      <c r="C95" s="2" t="s">
        <v>398</v>
      </c>
      <c r="D95" s="463">
        <f t="shared" si="17"/>
        <v>0</v>
      </c>
      <c r="E95" s="463">
        <f t="shared" si="17"/>
        <v>0</v>
      </c>
      <c r="F95" s="463">
        <f t="shared" si="17"/>
        <v>0</v>
      </c>
      <c r="G95" s="463">
        <f t="shared" si="17"/>
        <v>0</v>
      </c>
      <c r="H95" s="463">
        <f t="shared" si="12"/>
        <v>0</v>
      </c>
      <c r="I95" s="463">
        <f t="shared" si="17"/>
        <v>0</v>
      </c>
      <c r="J95" s="463">
        <f t="shared" si="17"/>
        <v>0</v>
      </c>
      <c r="K95" s="463">
        <f t="shared" si="17"/>
        <v>0</v>
      </c>
      <c r="L95" s="463">
        <f t="shared" si="17"/>
        <v>0</v>
      </c>
      <c r="M95" s="463">
        <f t="shared" si="17"/>
        <v>0</v>
      </c>
      <c r="N95" s="463">
        <f t="shared" si="17"/>
        <v>0</v>
      </c>
      <c r="O95" s="463">
        <f t="shared" si="17"/>
        <v>0</v>
      </c>
      <c r="P95" s="463">
        <f t="shared" si="17"/>
        <v>0</v>
      </c>
      <c r="Q95" s="463">
        <f t="shared" si="17"/>
        <v>0</v>
      </c>
      <c r="R95" s="463">
        <f t="shared" si="17"/>
        <v>0</v>
      </c>
      <c r="S95" s="464"/>
    </row>
    <row r="96" spans="1:19" ht="12.75" hidden="1" thickBot="1">
      <c r="A96" s="2" t="s">
        <v>367</v>
      </c>
      <c r="B96" s="1" t="s">
        <v>1273</v>
      </c>
      <c r="C96" s="2" t="s">
        <v>399</v>
      </c>
      <c r="D96" s="463">
        <f t="shared" si="17"/>
        <v>0</v>
      </c>
      <c r="E96" s="463">
        <f t="shared" si="17"/>
        <v>0</v>
      </c>
      <c r="F96" s="463">
        <f t="shared" si="17"/>
        <v>0</v>
      </c>
      <c r="G96" s="463">
        <f t="shared" si="17"/>
        <v>0</v>
      </c>
      <c r="H96" s="463">
        <f t="shared" si="12"/>
        <v>0</v>
      </c>
      <c r="I96" s="463">
        <f t="shared" si="17"/>
        <v>0</v>
      </c>
      <c r="J96" s="463">
        <f t="shared" si="17"/>
        <v>0</v>
      </c>
      <c r="K96" s="463">
        <f t="shared" si="17"/>
        <v>0</v>
      </c>
      <c r="L96" s="463">
        <f t="shared" si="17"/>
        <v>0</v>
      </c>
      <c r="M96" s="463">
        <f t="shared" si="17"/>
        <v>0</v>
      </c>
      <c r="N96" s="463">
        <f t="shared" si="17"/>
        <v>0</v>
      </c>
      <c r="O96" s="463">
        <f t="shared" si="17"/>
        <v>0</v>
      </c>
      <c r="P96" s="463">
        <f t="shared" si="17"/>
        <v>0</v>
      </c>
      <c r="Q96" s="463">
        <f t="shared" si="17"/>
        <v>0</v>
      </c>
      <c r="R96" s="463">
        <f t="shared" si="17"/>
        <v>0</v>
      </c>
      <c r="S96" s="464"/>
    </row>
    <row r="97" spans="1:19" ht="12.75" thickBot="1">
      <c r="A97" s="2" t="s">
        <v>367</v>
      </c>
      <c r="B97" s="1" t="s">
        <v>1273</v>
      </c>
      <c r="C97" s="2" t="s">
        <v>400</v>
      </c>
      <c r="D97" s="463">
        <f t="shared" si="17"/>
        <v>362009</v>
      </c>
      <c r="E97" s="463">
        <f t="shared" si="17"/>
        <v>0</v>
      </c>
      <c r="F97" s="463">
        <f t="shared" si="17"/>
        <v>0</v>
      </c>
      <c r="G97" s="463">
        <f t="shared" si="17"/>
        <v>0</v>
      </c>
      <c r="H97" s="463">
        <f t="shared" si="12"/>
        <v>309062779</v>
      </c>
      <c r="I97" s="463">
        <f t="shared" si="17"/>
        <v>0</v>
      </c>
      <c r="J97" s="463">
        <f t="shared" si="17"/>
        <v>0</v>
      </c>
      <c r="K97" s="463">
        <f t="shared" si="17"/>
        <v>0</v>
      </c>
      <c r="L97" s="463">
        <f t="shared" si="17"/>
        <v>0</v>
      </c>
      <c r="M97" s="463">
        <f t="shared" si="17"/>
        <v>0</v>
      </c>
      <c r="N97" s="463">
        <f t="shared" si="17"/>
        <v>0</v>
      </c>
      <c r="O97" s="463">
        <f t="shared" si="17"/>
        <v>0</v>
      </c>
      <c r="P97" s="463">
        <f t="shared" si="17"/>
        <v>0</v>
      </c>
      <c r="Q97" s="463">
        <f t="shared" si="17"/>
        <v>0</v>
      </c>
      <c r="R97" s="463">
        <f t="shared" si="17"/>
        <v>0</v>
      </c>
      <c r="S97" s="464"/>
    </row>
    <row r="98" spans="1:19" ht="12.75" hidden="1" thickBot="1">
      <c r="A98" s="2" t="s">
        <v>367</v>
      </c>
      <c r="B98" s="1" t="s">
        <v>1273</v>
      </c>
      <c r="C98" s="2" t="s">
        <v>401</v>
      </c>
      <c r="D98" s="463">
        <f t="shared" si="17"/>
        <v>0</v>
      </c>
      <c r="E98" s="463">
        <f t="shared" si="17"/>
        <v>0</v>
      </c>
      <c r="F98" s="463">
        <f t="shared" si="17"/>
        <v>0</v>
      </c>
      <c r="G98" s="463">
        <f t="shared" si="17"/>
        <v>0</v>
      </c>
      <c r="H98" s="463">
        <f t="shared" si="12"/>
        <v>0</v>
      </c>
      <c r="I98" s="463">
        <f t="shared" si="17"/>
        <v>0</v>
      </c>
      <c r="J98" s="463">
        <f t="shared" si="17"/>
        <v>0</v>
      </c>
      <c r="K98" s="463">
        <f t="shared" si="17"/>
        <v>0</v>
      </c>
      <c r="L98" s="463">
        <f t="shared" si="17"/>
        <v>0</v>
      </c>
      <c r="M98" s="463">
        <f t="shared" si="17"/>
        <v>0</v>
      </c>
      <c r="N98" s="463">
        <f t="shared" si="17"/>
        <v>0</v>
      </c>
      <c r="O98" s="463">
        <f t="shared" si="17"/>
        <v>0</v>
      </c>
      <c r="P98" s="463">
        <f t="shared" si="17"/>
        <v>0</v>
      </c>
      <c r="Q98" s="463">
        <f t="shared" si="17"/>
        <v>0</v>
      </c>
      <c r="R98" s="463">
        <f t="shared" si="17"/>
        <v>0</v>
      </c>
      <c r="S98" s="464"/>
    </row>
    <row r="99" spans="1:19" ht="12.75" hidden="1" thickBot="1">
      <c r="A99" s="2" t="s">
        <v>367</v>
      </c>
      <c r="B99" s="1" t="s">
        <v>1273</v>
      </c>
      <c r="C99" s="2" t="s">
        <v>402</v>
      </c>
      <c r="D99" s="463">
        <f t="shared" si="17"/>
        <v>0</v>
      </c>
      <c r="E99" s="463">
        <f t="shared" si="17"/>
        <v>0</v>
      </c>
      <c r="F99" s="463">
        <f t="shared" si="17"/>
        <v>0</v>
      </c>
      <c r="G99" s="463">
        <f t="shared" si="17"/>
        <v>0</v>
      </c>
      <c r="H99" s="463">
        <f t="shared" si="12"/>
        <v>0</v>
      </c>
      <c r="I99" s="463">
        <f t="shared" si="17"/>
        <v>0</v>
      </c>
      <c r="J99" s="463">
        <f t="shared" si="17"/>
        <v>0</v>
      </c>
      <c r="K99" s="463">
        <f t="shared" si="17"/>
        <v>0</v>
      </c>
      <c r="L99" s="463">
        <f t="shared" si="17"/>
        <v>0</v>
      </c>
      <c r="M99" s="463">
        <f t="shared" si="17"/>
        <v>0</v>
      </c>
      <c r="N99" s="463">
        <f t="shared" si="17"/>
        <v>0</v>
      </c>
      <c r="O99" s="463">
        <f t="shared" si="17"/>
        <v>0</v>
      </c>
      <c r="P99" s="463">
        <f t="shared" si="17"/>
        <v>0</v>
      </c>
      <c r="Q99" s="463">
        <f t="shared" si="17"/>
        <v>0</v>
      </c>
      <c r="R99" s="463">
        <f t="shared" si="17"/>
        <v>0</v>
      </c>
      <c r="S99" s="464"/>
    </row>
    <row r="100" spans="1:19" ht="12.75" hidden="1" thickBot="1">
      <c r="A100" s="2" t="s">
        <v>367</v>
      </c>
      <c r="B100" s="1" t="s">
        <v>1273</v>
      </c>
      <c r="C100" s="2" t="s">
        <v>706</v>
      </c>
      <c r="D100" s="463">
        <f t="shared" si="17"/>
        <v>20</v>
      </c>
      <c r="E100" s="463">
        <f t="shared" si="17"/>
        <v>12824</v>
      </c>
      <c r="F100" s="463">
        <f t="shared" si="17"/>
        <v>6226</v>
      </c>
      <c r="G100" s="463">
        <f t="shared" si="17"/>
        <v>3888</v>
      </c>
      <c r="H100" s="463">
        <f t="shared" si="12"/>
        <v>22938</v>
      </c>
      <c r="I100" s="463">
        <f t="shared" si="17"/>
        <v>0</v>
      </c>
      <c r="J100" s="463">
        <f t="shared" si="17"/>
        <v>0</v>
      </c>
      <c r="K100" s="463">
        <f t="shared" si="17"/>
        <v>0</v>
      </c>
      <c r="L100" s="463">
        <f t="shared" si="17"/>
        <v>0</v>
      </c>
      <c r="M100" s="463">
        <f t="shared" si="17"/>
        <v>0</v>
      </c>
      <c r="N100" s="463">
        <f t="shared" si="17"/>
        <v>0</v>
      </c>
      <c r="O100" s="463">
        <f t="shared" si="17"/>
        <v>0</v>
      </c>
      <c r="P100" s="463">
        <f t="shared" si="17"/>
        <v>0</v>
      </c>
      <c r="Q100" s="463">
        <f t="shared" si="17"/>
        <v>0</v>
      </c>
      <c r="R100" s="463">
        <f t="shared" si="17"/>
        <v>0</v>
      </c>
      <c r="S100" s="464"/>
    </row>
    <row r="101" spans="1:19" ht="12.75" hidden="1" thickBot="1">
      <c r="A101" s="2" t="s">
        <v>367</v>
      </c>
      <c r="B101" s="1" t="s">
        <v>1273</v>
      </c>
      <c r="C101" s="2" t="s">
        <v>1230</v>
      </c>
      <c r="D101" s="463">
        <f t="shared" si="17"/>
        <v>0</v>
      </c>
      <c r="E101" s="463">
        <f t="shared" si="17"/>
        <v>0</v>
      </c>
      <c r="F101" s="463">
        <f t="shared" si="17"/>
        <v>0</v>
      </c>
      <c r="G101" s="463">
        <f t="shared" si="17"/>
        <v>0</v>
      </c>
      <c r="H101" s="463">
        <f t="shared" si="12"/>
        <v>0</v>
      </c>
      <c r="I101" s="463">
        <f t="shared" si="17"/>
        <v>0</v>
      </c>
      <c r="J101" s="463">
        <f t="shared" si="17"/>
        <v>0</v>
      </c>
      <c r="K101" s="463">
        <f t="shared" si="17"/>
        <v>0</v>
      </c>
      <c r="L101" s="463">
        <f t="shared" si="17"/>
        <v>0</v>
      </c>
      <c r="M101" s="463">
        <f t="shared" si="17"/>
        <v>0</v>
      </c>
      <c r="N101" s="463">
        <f t="shared" si="17"/>
        <v>0</v>
      </c>
      <c r="O101" s="463">
        <f t="shared" si="17"/>
        <v>0</v>
      </c>
      <c r="P101" s="463">
        <f t="shared" si="17"/>
        <v>0</v>
      </c>
      <c r="Q101" s="463">
        <f t="shared" si="17"/>
        <v>0</v>
      </c>
      <c r="R101" s="463">
        <f t="shared" si="17"/>
        <v>0</v>
      </c>
      <c r="S101" s="464"/>
    </row>
    <row r="102" spans="1:19" ht="12.75" hidden="1" thickBot="1">
      <c r="A102" s="2" t="s">
        <v>367</v>
      </c>
      <c r="B102" s="1" t="s">
        <v>1273</v>
      </c>
      <c r="C102" s="17" t="s">
        <v>7</v>
      </c>
      <c r="D102" s="7"/>
      <c r="E102" s="456"/>
      <c r="F102" s="456"/>
      <c r="G102" s="456"/>
      <c r="H102" s="7"/>
      <c r="I102" s="468"/>
      <c r="J102" s="468"/>
      <c r="K102" s="468"/>
      <c r="L102" s="456"/>
      <c r="M102" s="456"/>
      <c r="N102" s="468"/>
      <c r="O102" s="18"/>
      <c r="P102" s="468"/>
      <c r="Q102" s="468"/>
      <c r="R102" s="468"/>
      <c r="S102" s="466"/>
    </row>
    <row r="103" spans="1:19" ht="12.75" hidden="1" thickBot="1">
      <c r="A103" s="2" t="s">
        <v>367</v>
      </c>
      <c r="B103" s="1" t="s">
        <v>1274</v>
      </c>
      <c r="C103" s="2" t="s">
        <v>368</v>
      </c>
      <c r="D103" s="463">
        <f t="shared" ref="D103:R119" si="18">ROUND(SUMIFS(D$409:D$780,$B$409:$B$780,$B103,$C$409:$C$780,$C103),0)</f>
        <v>0</v>
      </c>
      <c r="E103" s="463">
        <f t="shared" si="18"/>
        <v>0</v>
      </c>
      <c r="F103" s="463">
        <f t="shared" si="18"/>
        <v>0</v>
      </c>
      <c r="G103" s="463">
        <f t="shared" si="18"/>
        <v>0</v>
      </c>
      <c r="H103" s="463">
        <f t="shared" ref="H103:H135" si="19">ROUND(SUMIFS(H$409:H$780,$B$409:$B$780,$B103,$C$409:$C$780,$C103)*1000,0)</f>
        <v>0</v>
      </c>
      <c r="I103" s="463">
        <f t="shared" si="18"/>
        <v>0</v>
      </c>
      <c r="J103" s="463">
        <f t="shared" si="18"/>
        <v>0</v>
      </c>
      <c r="K103" s="463">
        <f t="shared" si="18"/>
        <v>0</v>
      </c>
      <c r="L103" s="463">
        <f t="shared" si="18"/>
        <v>0</v>
      </c>
      <c r="M103" s="463">
        <f t="shared" si="18"/>
        <v>0</v>
      </c>
      <c r="N103" s="463">
        <f t="shared" si="18"/>
        <v>0</v>
      </c>
      <c r="O103" s="463">
        <f t="shared" si="18"/>
        <v>0</v>
      </c>
      <c r="P103" s="463">
        <f t="shared" si="18"/>
        <v>0</v>
      </c>
      <c r="Q103" s="463">
        <f t="shared" si="18"/>
        <v>0</v>
      </c>
      <c r="R103" s="463">
        <f t="shared" si="18"/>
        <v>0</v>
      </c>
      <c r="S103" s="464"/>
    </row>
    <row r="104" spans="1:19" ht="12.75" hidden="1" thickBot="1">
      <c r="A104" s="2" t="s">
        <v>367</v>
      </c>
      <c r="B104" s="1" t="s">
        <v>1274</v>
      </c>
      <c r="C104" s="2" t="s">
        <v>370</v>
      </c>
      <c r="D104" s="463">
        <f t="shared" si="18"/>
        <v>28253</v>
      </c>
      <c r="E104" s="463">
        <f t="shared" si="18"/>
        <v>0</v>
      </c>
      <c r="F104" s="463">
        <f t="shared" si="18"/>
        <v>0</v>
      </c>
      <c r="G104" s="463">
        <f t="shared" si="18"/>
        <v>0</v>
      </c>
      <c r="H104" s="463">
        <f t="shared" si="19"/>
        <v>28238912</v>
      </c>
      <c r="I104" s="463">
        <f t="shared" si="18"/>
        <v>0</v>
      </c>
      <c r="J104" s="463">
        <f t="shared" si="18"/>
        <v>0</v>
      </c>
      <c r="K104" s="463">
        <f t="shared" si="18"/>
        <v>0</v>
      </c>
      <c r="L104" s="463">
        <f t="shared" si="18"/>
        <v>0</v>
      </c>
      <c r="M104" s="463">
        <f t="shared" si="18"/>
        <v>0</v>
      </c>
      <c r="N104" s="463">
        <f t="shared" si="18"/>
        <v>0</v>
      </c>
      <c r="O104" s="463">
        <f t="shared" si="18"/>
        <v>0</v>
      </c>
      <c r="P104" s="463">
        <f t="shared" si="18"/>
        <v>0</v>
      </c>
      <c r="Q104" s="463">
        <f t="shared" si="18"/>
        <v>0</v>
      </c>
      <c r="R104" s="463">
        <f t="shared" si="18"/>
        <v>0</v>
      </c>
      <c r="S104" s="464"/>
    </row>
    <row r="105" spans="1:19" ht="12.75" hidden="1" thickBot="1">
      <c r="A105" s="2" t="s">
        <v>367</v>
      </c>
      <c r="B105" s="1" t="s">
        <v>1274</v>
      </c>
      <c r="C105" s="2" t="s">
        <v>371</v>
      </c>
      <c r="D105" s="463">
        <f t="shared" si="18"/>
        <v>0</v>
      </c>
      <c r="E105" s="463">
        <f t="shared" si="18"/>
        <v>0</v>
      </c>
      <c r="F105" s="463">
        <f t="shared" si="18"/>
        <v>0</v>
      </c>
      <c r="G105" s="463">
        <f t="shared" si="18"/>
        <v>0</v>
      </c>
      <c r="H105" s="463">
        <f t="shared" si="19"/>
        <v>0</v>
      </c>
      <c r="I105" s="463">
        <f t="shared" si="18"/>
        <v>0</v>
      </c>
      <c r="J105" s="463">
        <f t="shared" si="18"/>
        <v>0</v>
      </c>
      <c r="K105" s="463">
        <f t="shared" si="18"/>
        <v>0</v>
      </c>
      <c r="L105" s="463">
        <f t="shared" si="18"/>
        <v>0</v>
      </c>
      <c r="M105" s="463">
        <f t="shared" si="18"/>
        <v>0</v>
      </c>
      <c r="N105" s="463">
        <f t="shared" si="18"/>
        <v>0</v>
      </c>
      <c r="O105" s="463">
        <f t="shared" si="18"/>
        <v>0</v>
      </c>
      <c r="P105" s="463">
        <f t="shared" si="18"/>
        <v>0</v>
      </c>
      <c r="Q105" s="463">
        <f t="shared" si="18"/>
        <v>0</v>
      </c>
      <c r="R105" s="463">
        <f t="shared" si="18"/>
        <v>0</v>
      </c>
      <c r="S105" s="464"/>
    </row>
    <row r="106" spans="1:19" ht="12.75" hidden="1" thickBot="1">
      <c r="A106" s="2" t="s">
        <v>367</v>
      </c>
      <c r="B106" s="1" t="s">
        <v>1274</v>
      </c>
      <c r="C106" s="2" t="s">
        <v>372</v>
      </c>
      <c r="D106" s="463">
        <f t="shared" si="18"/>
        <v>0</v>
      </c>
      <c r="E106" s="463">
        <f t="shared" si="18"/>
        <v>0</v>
      </c>
      <c r="F106" s="463">
        <f t="shared" si="18"/>
        <v>0</v>
      </c>
      <c r="G106" s="463">
        <f t="shared" si="18"/>
        <v>0</v>
      </c>
      <c r="H106" s="463">
        <f t="shared" si="19"/>
        <v>0</v>
      </c>
      <c r="I106" s="463">
        <f t="shared" si="18"/>
        <v>0</v>
      </c>
      <c r="J106" s="463">
        <f t="shared" si="18"/>
        <v>0</v>
      </c>
      <c r="K106" s="463">
        <f t="shared" si="18"/>
        <v>0</v>
      </c>
      <c r="L106" s="463">
        <f t="shared" si="18"/>
        <v>0</v>
      </c>
      <c r="M106" s="463">
        <f t="shared" si="18"/>
        <v>0</v>
      </c>
      <c r="N106" s="463">
        <f t="shared" si="18"/>
        <v>0</v>
      </c>
      <c r="O106" s="463">
        <f t="shared" si="18"/>
        <v>0</v>
      </c>
      <c r="P106" s="463">
        <f t="shared" si="18"/>
        <v>0</v>
      </c>
      <c r="Q106" s="463">
        <f t="shared" si="18"/>
        <v>0</v>
      </c>
      <c r="R106" s="463">
        <f t="shared" si="18"/>
        <v>0</v>
      </c>
      <c r="S106" s="464"/>
    </row>
    <row r="107" spans="1:19" ht="12.75" hidden="1" thickBot="1">
      <c r="A107" s="2" t="s">
        <v>367</v>
      </c>
      <c r="B107" s="1" t="s">
        <v>1274</v>
      </c>
      <c r="C107" s="2" t="s">
        <v>374</v>
      </c>
      <c r="D107" s="463">
        <f t="shared" si="18"/>
        <v>0</v>
      </c>
      <c r="E107" s="463">
        <f t="shared" si="18"/>
        <v>0</v>
      </c>
      <c r="F107" s="463">
        <f t="shared" si="18"/>
        <v>0</v>
      </c>
      <c r="G107" s="463">
        <f t="shared" si="18"/>
        <v>0</v>
      </c>
      <c r="H107" s="463">
        <f t="shared" si="19"/>
        <v>0</v>
      </c>
      <c r="I107" s="463">
        <f t="shared" si="18"/>
        <v>0</v>
      </c>
      <c r="J107" s="463">
        <f t="shared" si="18"/>
        <v>0</v>
      </c>
      <c r="K107" s="463">
        <f t="shared" si="18"/>
        <v>0</v>
      </c>
      <c r="L107" s="463">
        <f t="shared" si="18"/>
        <v>0</v>
      </c>
      <c r="M107" s="463">
        <f t="shared" si="18"/>
        <v>0</v>
      </c>
      <c r="N107" s="463">
        <f t="shared" si="18"/>
        <v>0</v>
      </c>
      <c r="O107" s="463">
        <f t="shared" si="18"/>
        <v>0</v>
      </c>
      <c r="P107" s="463">
        <f t="shared" si="18"/>
        <v>0</v>
      </c>
      <c r="Q107" s="463">
        <f t="shared" si="18"/>
        <v>0</v>
      </c>
      <c r="R107" s="463">
        <f t="shared" si="18"/>
        <v>0</v>
      </c>
      <c r="S107" s="464"/>
    </row>
    <row r="108" spans="1:19" ht="12.75" hidden="1" thickBot="1">
      <c r="A108" s="2" t="s">
        <v>367</v>
      </c>
      <c r="B108" s="1" t="s">
        <v>1274</v>
      </c>
      <c r="C108" s="2" t="s">
        <v>375</v>
      </c>
      <c r="D108" s="463">
        <f t="shared" si="18"/>
        <v>2585</v>
      </c>
      <c r="E108" s="463">
        <f t="shared" si="18"/>
        <v>0</v>
      </c>
      <c r="F108" s="463">
        <f t="shared" si="18"/>
        <v>0</v>
      </c>
      <c r="G108" s="463">
        <f t="shared" si="18"/>
        <v>0</v>
      </c>
      <c r="H108" s="463">
        <f t="shared" si="19"/>
        <v>127586690</v>
      </c>
      <c r="I108" s="463">
        <f t="shared" si="18"/>
        <v>0</v>
      </c>
      <c r="J108" s="463">
        <f t="shared" si="18"/>
        <v>0</v>
      </c>
      <c r="K108" s="463">
        <f t="shared" si="18"/>
        <v>0</v>
      </c>
      <c r="L108" s="463">
        <f t="shared" si="18"/>
        <v>0</v>
      </c>
      <c r="M108" s="463">
        <f t="shared" si="18"/>
        <v>0</v>
      </c>
      <c r="N108" s="463">
        <f t="shared" si="18"/>
        <v>0</v>
      </c>
      <c r="O108" s="463">
        <f t="shared" si="18"/>
        <v>0</v>
      </c>
      <c r="P108" s="463">
        <f t="shared" ref="P108:P109" si="20">R108</f>
        <v>327890</v>
      </c>
      <c r="Q108" s="463">
        <f t="shared" si="18"/>
        <v>0</v>
      </c>
      <c r="R108" s="463">
        <f t="shared" si="18"/>
        <v>327890</v>
      </c>
      <c r="S108" s="465"/>
    </row>
    <row r="109" spans="1:19" ht="12.75" hidden="1" thickBot="1">
      <c r="A109" s="2" t="s">
        <v>367</v>
      </c>
      <c r="B109" s="1" t="s">
        <v>1274</v>
      </c>
      <c r="C109" s="2" t="s">
        <v>376</v>
      </c>
      <c r="D109" s="463">
        <f t="shared" si="18"/>
        <v>52</v>
      </c>
      <c r="E109" s="463">
        <f t="shared" si="18"/>
        <v>0</v>
      </c>
      <c r="F109" s="463">
        <f t="shared" si="18"/>
        <v>0</v>
      </c>
      <c r="G109" s="463">
        <f t="shared" si="18"/>
        <v>0</v>
      </c>
      <c r="H109" s="463">
        <f t="shared" si="19"/>
        <v>11224431</v>
      </c>
      <c r="I109" s="463">
        <f t="shared" si="18"/>
        <v>0</v>
      </c>
      <c r="J109" s="463">
        <f t="shared" si="18"/>
        <v>0</v>
      </c>
      <c r="K109" s="463">
        <f t="shared" si="18"/>
        <v>0</v>
      </c>
      <c r="L109" s="463">
        <f t="shared" si="18"/>
        <v>0</v>
      </c>
      <c r="M109" s="463">
        <f t="shared" si="18"/>
        <v>0</v>
      </c>
      <c r="N109" s="463">
        <f t="shared" si="18"/>
        <v>0</v>
      </c>
      <c r="O109" s="463">
        <f t="shared" si="18"/>
        <v>0</v>
      </c>
      <c r="P109" s="463">
        <f t="shared" si="20"/>
        <v>28222</v>
      </c>
      <c r="Q109" s="463">
        <f t="shared" si="18"/>
        <v>0</v>
      </c>
      <c r="R109" s="463">
        <f t="shared" si="18"/>
        <v>28222</v>
      </c>
      <c r="S109" s="465"/>
    </row>
    <row r="110" spans="1:19" ht="12.75" hidden="1" thickBot="1">
      <c r="A110" s="2" t="s">
        <v>367</v>
      </c>
      <c r="B110" s="1" t="s">
        <v>1274</v>
      </c>
      <c r="C110" s="2" t="s">
        <v>377</v>
      </c>
      <c r="D110" s="463">
        <f t="shared" si="18"/>
        <v>0</v>
      </c>
      <c r="E110" s="463">
        <f t="shared" si="18"/>
        <v>0</v>
      </c>
      <c r="F110" s="463">
        <f t="shared" si="18"/>
        <v>0</v>
      </c>
      <c r="G110" s="463">
        <f t="shared" si="18"/>
        <v>0</v>
      </c>
      <c r="H110" s="463">
        <f t="shared" si="19"/>
        <v>0</v>
      </c>
      <c r="I110" s="463">
        <f t="shared" si="18"/>
        <v>0</v>
      </c>
      <c r="J110" s="463">
        <f t="shared" si="18"/>
        <v>0</v>
      </c>
      <c r="K110" s="463">
        <f t="shared" si="18"/>
        <v>0</v>
      </c>
      <c r="L110" s="463">
        <f t="shared" si="18"/>
        <v>0</v>
      </c>
      <c r="M110" s="463">
        <f t="shared" si="18"/>
        <v>0</v>
      </c>
      <c r="N110" s="463">
        <f t="shared" si="18"/>
        <v>0</v>
      </c>
      <c r="O110" s="463">
        <f t="shared" si="18"/>
        <v>0</v>
      </c>
      <c r="P110" s="463">
        <f t="shared" si="18"/>
        <v>0</v>
      </c>
      <c r="Q110" s="463">
        <f t="shared" si="18"/>
        <v>0</v>
      </c>
      <c r="R110" s="463">
        <f t="shared" si="18"/>
        <v>0</v>
      </c>
      <c r="S110" s="464"/>
    </row>
    <row r="111" spans="1:19" ht="12.75" hidden="1" thickBot="1">
      <c r="A111" s="2" t="s">
        <v>367</v>
      </c>
      <c r="B111" s="1" t="s">
        <v>1274</v>
      </c>
      <c r="C111" s="2" t="s">
        <v>378</v>
      </c>
      <c r="D111" s="463">
        <f t="shared" si="18"/>
        <v>225</v>
      </c>
      <c r="E111" s="463">
        <f t="shared" si="18"/>
        <v>0</v>
      </c>
      <c r="F111" s="463">
        <f t="shared" si="18"/>
        <v>0</v>
      </c>
      <c r="G111" s="463">
        <f t="shared" si="18"/>
        <v>0</v>
      </c>
      <c r="H111" s="463">
        <f t="shared" si="19"/>
        <v>56529299</v>
      </c>
      <c r="I111" s="463">
        <f t="shared" si="18"/>
        <v>0</v>
      </c>
      <c r="J111" s="463">
        <f t="shared" si="18"/>
        <v>0</v>
      </c>
      <c r="K111" s="463">
        <f t="shared" si="18"/>
        <v>0</v>
      </c>
      <c r="L111" s="463">
        <f t="shared" si="18"/>
        <v>0</v>
      </c>
      <c r="M111" s="463">
        <f t="shared" si="18"/>
        <v>0</v>
      </c>
      <c r="N111" s="463">
        <f t="shared" si="18"/>
        <v>0</v>
      </c>
      <c r="O111" s="463">
        <f t="shared" si="18"/>
        <v>138479</v>
      </c>
      <c r="P111" s="463">
        <f t="shared" si="18"/>
        <v>128048</v>
      </c>
      <c r="Q111" s="463">
        <f t="shared" si="18"/>
        <v>124669</v>
      </c>
      <c r="R111" s="463">
        <f t="shared" si="18"/>
        <v>0</v>
      </c>
      <c r="S111" s="465"/>
    </row>
    <row r="112" spans="1:19" ht="12.75" hidden="1" thickBot="1">
      <c r="A112" s="2" t="s">
        <v>367</v>
      </c>
      <c r="B112" s="1" t="s">
        <v>1274</v>
      </c>
      <c r="C112" s="2" t="s">
        <v>379</v>
      </c>
      <c r="D112" s="463">
        <f t="shared" si="18"/>
        <v>41</v>
      </c>
      <c r="E112" s="463">
        <f t="shared" si="18"/>
        <v>0</v>
      </c>
      <c r="F112" s="463">
        <f t="shared" si="18"/>
        <v>0</v>
      </c>
      <c r="G112" s="463">
        <f t="shared" si="18"/>
        <v>0</v>
      </c>
      <c r="H112" s="463">
        <f t="shared" si="19"/>
        <v>28136006</v>
      </c>
      <c r="I112" s="463">
        <f t="shared" si="18"/>
        <v>0</v>
      </c>
      <c r="J112" s="463">
        <f t="shared" si="18"/>
        <v>0</v>
      </c>
      <c r="K112" s="463">
        <f t="shared" si="18"/>
        <v>0</v>
      </c>
      <c r="L112" s="463">
        <f t="shared" si="18"/>
        <v>0</v>
      </c>
      <c r="M112" s="463">
        <f t="shared" si="18"/>
        <v>0</v>
      </c>
      <c r="N112" s="463">
        <f t="shared" si="18"/>
        <v>0</v>
      </c>
      <c r="O112" s="463">
        <f t="shared" si="18"/>
        <v>68635</v>
      </c>
      <c r="P112" s="463">
        <f t="shared" si="18"/>
        <v>65178</v>
      </c>
      <c r="Q112" s="463">
        <f t="shared" si="18"/>
        <v>62041</v>
      </c>
      <c r="R112" s="463">
        <f t="shared" si="18"/>
        <v>0</v>
      </c>
      <c r="S112" s="464"/>
    </row>
    <row r="113" spans="1:19" ht="12.75" hidden="1" thickBot="1">
      <c r="A113" s="2" t="s">
        <v>367</v>
      </c>
      <c r="B113" s="1" t="s">
        <v>1274</v>
      </c>
      <c r="C113" s="2" t="s">
        <v>381</v>
      </c>
      <c r="D113" s="463">
        <f t="shared" si="18"/>
        <v>16404</v>
      </c>
      <c r="E113" s="463">
        <f t="shared" si="18"/>
        <v>0</v>
      </c>
      <c r="F113" s="463">
        <f t="shared" si="18"/>
        <v>0</v>
      </c>
      <c r="G113" s="463">
        <f t="shared" si="18"/>
        <v>0</v>
      </c>
      <c r="H113" s="463">
        <f t="shared" si="19"/>
        <v>71967151</v>
      </c>
      <c r="I113" s="463">
        <f t="shared" si="18"/>
        <v>0</v>
      </c>
      <c r="J113" s="463">
        <f t="shared" si="18"/>
        <v>0</v>
      </c>
      <c r="K113" s="463">
        <f t="shared" si="18"/>
        <v>0</v>
      </c>
      <c r="L113" s="463">
        <f t="shared" si="18"/>
        <v>0</v>
      </c>
      <c r="M113" s="463">
        <f t="shared" si="18"/>
        <v>0</v>
      </c>
      <c r="N113" s="463">
        <f t="shared" si="18"/>
        <v>0</v>
      </c>
      <c r="O113" s="463">
        <f>R113</f>
        <v>214875</v>
      </c>
      <c r="P113" s="463">
        <f t="shared" si="18"/>
        <v>0</v>
      </c>
      <c r="Q113" s="463">
        <f t="shared" si="18"/>
        <v>0</v>
      </c>
      <c r="R113" s="463">
        <f t="shared" si="18"/>
        <v>214875</v>
      </c>
      <c r="S113" s="464"/>
    </row>
    <row r="114" spans="1:19" ht="12.75" hidden="1" thickBot="1">
      <c r="A114" s="2" t="s">
        <v>367</v>
      </c>
      <c r="B114" s="1" t="s">
        <v>1274</v>
      </c>
      <c r="C114" s="2" t="s">
        <v>382</v>
      </c>
      <c r="D114" s="463">
        <f t="shared" si="18"/>
        <v>0</v>
      </c>
      <c r="E114" s="463">
        <f t="shared" si="18"/>
        <v>0</v>
      </c>
      <c r="F114" s="463">
        <f t="shared" si="18"/>
        <v>0</v>
      </c>
      <c r="G114" s="463">
        <f t="shared" si="18"/>
        <v>0</v>
      </c>
      <c r="H114" s="463">
        <f t="shared" si="19"/>
        <v>0</v>
      </c>
      <c r="I114" s="463">
        <f t="shared" si="18"/>
        <v>0</v>
      </c>
      <c r="J114" s="463">
        <f t="shared" si="18"/>
        <v>0</v>
      </c>
      <c r="K114" s="463">
        <f t="shared" si="18"/>
        <v>0</v>
      </c>
      <c r="L114" s="463">
        <f t="shared" si="18"/>
        <v>0</v>
      </c>
      <c r="M114" s="463">
        <f t="shared" si="18"/>
        <v>0</v>
      </c>
      <c r="N114" s="463">
        <f t="shared" si="18"/>
        <v>0</v>
      </c>
      <c r="O114" s="463">
        <f t="shared" si="18"/>
        <v>0</v>
      </c>
      <c r="P114" s="463">
        <f t="shared" si="18"/>
        <v>0</v>
      </c>
      <c r="Q114" s="463">
        <f t="shared" si="18"/>
        <v>0</v>
      </c>
      <c r="R114" s="463">
        <f t="shared" si="18"/>
        <v>0</v>
      </c>
      <c r="S114" s="464"/>
    </row>
    <row r="115" spans="1:19" ht="12.75" hidden="1" thickBot="1">
      <c r="A115" s="2" t="s">
        <v>367</v>
      </c>
      <c r="B115" s="1" t="s">
        <v>1274</v>
      </c>
      <c r="C115" s="2" t="s">
        <v>384</v>
      </c>
      <c r="D115" s="463">
        <f t="shared" si="18"/>
        <v>0</v>
      </c>
      <c r="E115" s="463">
        <f t="shared" si="18"/>
        <v>0</v>
      </c>
      <c r="F115" s="463">
        <f t="shared" si="18"/>
        <v>0</v>
      </c>
      <c r="G115" s="463">
        <f t="shared" si="18"/>
        <v>0</v>
      </c>
      <c r="H115" s="463">
        <f t="shared" si="19"/>
        <v>0</v>
      </c>
      <c r="I115" s="463">
        <f t="shared" si="18"/>
        <v>0</v>
      </c>
      <c r="J115" s="463">
        <f t="shared" si="18"/>
        <v>0</v>
      </c>
      <c r="K115" s="463">
        <f t="shared" si="18"/>
        <v>0</v>
      </c>
      <c r="L115" s="463">
        <f t="shared" si="18"/>
        <v>0</v>
      </c>
      <c r="M115" s="463">
        <f t="shared" si="18"/>
        <v>0</v>
      </c>
      <c r="N115" s="463">
        <f t="shared" si="18"/>
        <v>0</v>
      </c>
      <c r="O115" s="463">
        <f t="shared" si="18"/>
        <v>0</v>
      </c>
      <c r="P115" s="463">
        <f t="shared" si="18"/>
        <v>0</v>
      </c>
      <c r="Q115" s="463">
        <f t="shared" si="18"/>
        <v>0</v>
      </c>
      <c r="R115" s="463">
        <f t="shared" si="18"/>
        <v>0</v>
      </c>
      <c r="S115" s="464"/>
    </row>
    <row r="116" spans="1:19" ht="12.75" hidden="1" thickBot="1">
      <c r="A116" s="2" t="s">
        <v>367</v>
      </c>
      <c r="B116" s="1" t="s">
        <v>1274</v>
      </c>
      <c r="C116" s="2" t="s">
        <v>385</v>
      </c>
      <c r="D116" s="463">
        <f t="shared" si="18"/>
        <v>2</v>
      </c>
      <c r="E116" s="463">
        <f t="shared" si="18"/>
        <v>0</v>
      </c>
      <c r="F116" s="463">
        <f t="shared" si="18"/>
        <v>0</v>
      </c>
      <c r="G116" s="463">
        <f t="shared" si="18"/>
        <v>0</v>
      </c>
      <c r="H116" s="463">
        <f t="shared" si="19"/>
        <v>4414320</v>
      </c>
      <c r="I116" s="463">
        <f t="shared" si="18"/>
        <v>0</v>
      </c>
      <c r="J116" s="463">
        <f t="shared" si="18"/>
        <v>0</v>
      </c>
      <c r="K116" s="463">
        <f t="shared" si="18"/>
        <v>0</v>
      </c>
      <c r="L116" s="463">
        <f t="shared" si="18"/>
        <v>0</v>
      </c>
      <c r="M116" s="463">
        <f t="shared" si="18"/>
        <v>0</v>
      </c>
      <c r="N116" s="463">
        <f t="shared" si="18"/>
        <v>0</v>
      </c>
      <c r="O116" s="463">
        <f t="shared" si="18"/>
        <v>0</v>
      </c>
      <c r="P116" s="463">
        <f>R116</f>
        <v>9307</v>
      </c>
      <c r="Q116" s="463">
        <f t="shared" si="18"/>
        <v>0</v>
      </c>
      <c r="R116" s="463">
        <f t="shared" si="18"/>
        <v>9307</v>
      </c>
      <c r="S116" s="464"/>
    </row>
    <row r="117" spans="1:19" ht="12.75" hidden="1" thickBot="1">
      <c r="A117" s="2" t="s">
        <v>367</v>
      </c>
      <c r="B117" s="1" t="s">
        <v>1274</v>
      </c>
      <c r="C117" s="2" t="s">
        <v>1223</v>
      </c>
      <c r="D117" s="463">
        <f t="shared" si="18"/>
        <v>0</v>
      </c>
      <c r="E117" s="463">
        <f t="shared" si="18"/>
        <v>0</v>
      </c>
      <c r="F117" s="463">
        <f t="shared" si="18"/>
        <v>0</v>
      </c>
      <c r="G117" s="463">
        <f t="shared" si="18"/>
        <v>0</v>
      </c>
      <c r="H117" s="463">
        <f t="shared" si="19"/>
        <v>0</v>
      </c>
      <c r="I117" s="463">
        <f t="shared" si="18"/>
        <v>0</v>
      </c>
      <c r="J117" s="463">
        <f t="shared" si="18"/>
        <v>0</v>
      </c>
      <c r="K117" s="463">
        <f t="shared" si="18"/>
        <v>0</v>
      </c>
      <c r="L117" s="463">
        <f t="shared" si="18"/>
        <v>0</v>
      </c>
      <c r="M117" s="463">
        <f t="shared" si="18"/>
        <v>0</v>
      </c>
      <c r="N117" s="463">
        <f t="shared" si="18"/>
        <v>0</v>
      </c>
      <c r="O117" s="463">
        <f t="shared" si="18"/>
        <v>0</v>
      </c>
      <c r="P117" s="463">
        <f t="shared" si="18"/>
        <v>0</v>
      </c>
      <c r="Q117" s="463">
        <f t="shared" si="18"/>
        <v>0</v>
      </c>
      <c r="R117" s="463">
        <f t="shared" si="18"/>
        <v>0</v>
      </c>
      <c r="S117" s="464"/>
    </row>
    <row r="118" spans="1:19" ht="12.75" hidden="1" thickBot="1">
      <c r="A118" s="2" t="s">
        <v>367</v>
      </c>
      <c r="B118" s="1" t="s">
        <v>1274</v>
      </c>
      <c r="C118" s="2" t="s">
        <v>386</v>
      </c>
      <c r="D118" s="463">
        <f t="shared" si="18"/>
        <v>0</v>
      </c>
      <c r="E118" s="463">
        <f t="shared" si="18"/>
        <v>0</v>
      </c>
      <c r="F118" s="463">
        <f t="shared" si="18"/>
        <v>0</v>
      </c>
      <c r="G118" s="463">
        <f t="shared" si="18"/>
        <v>0</v>
      </c>
      <c r="H118" s="463">
        <f t="shared" si="19"/>
        <v>0</v>
      </c>
      <c r="I118" s="463">
        <f t="shared" si="18"/>
        <v>0</v>
      </c>
      <c r="J118" s="463">
        <f t="shared" si="18"/>
        <v>0</v>
      </c>
      <c r="K118" s="463">
        <f t="shared" si="18"/>
        <v>0</v>
      </c>
      <c r="L118" s="463">
        <f t="shared" si="18"/>
        <v>0</v>
      </c>
      <c r="M118" s="463">
        <f t="shared" si="18"/>
        <v>0</v>
      </c>
      <c r="N118" s="463">
        <f t="shared" si="18"/>
        <v>0</v>
      </c>
      <c r="O118" s="463">
        <f t="shared" si="18"/>
        <v>0</v>
      </c>
      <c r="P118" s="463">
        <f t="shared" si="18"/>
        <v>0</v>
      </c>
      <c r="Q118" s="463">
        <f t="shared" si="18"/>
        <v>0</v>
      </c>
      <c r="R118" s="463">
        <f t="shared" si="18"/>
        <v>0</v>
      </c>
      <c r="S118" s="464"/>
    </row>
    <row r="119" spans="1:19" ht="12.75" hidden="1" thickBot="1">
      <c r="A119" s="2" t="s">
        <v>367</v>
      </c>
      <c r="B119" s="1" t="s">
        <v>1274</v>
      </c>
      <c r="C119" s="2" t="s">
        <v>387</v>
      </c>
      <c r="D119" s="463">
        <f t="shared" si="18"/>
        <v>1</v>
      </c>
      <c r="E119" s="463">
        <f t="shared" si="18"/>
        <v>0</v>
      </c>
      <c r="F119" s="463">
        <f t="shared" si="18"/>
        <v>0</v>
      </c>
      <c r="G119" s="463">
        <f t="shared" si="18"/>
        <v>0</v>
      </c>
      <c r="H119" s="463">
        <f t="shared" si="19"/>
        <v>7236500</v>
      </c>
      <c r="I119" s="463">
        <f t="shared" si="18"/>
        <v>0</v>
      </c>
      <c r="J119" s="463">
        <f t="shared" si="18"/>
        <v>0</v>
      </c>
      <c r="K119" s="463">
        <f t="shared" si="18"/>
        <v>0</v>
      </c>
      <c r="L119" s="463">
        <f t="shared" si="18"/>
        <v>0</v>
      </c>
      <c r="M119" s="463">
        <f t="shared" si="18"/>
        <v>0</v>
      </c>
      <c r="N119" s="463">
        <f t="shared" si="18"/>
        <v>0</v>
      </c>
      <c r="O119" s="463">
        <f t="shared" si="18"/>
        <v>0</v>
      </c>
      <c r="P119" s="463">
        <f>R119</f>
        <v>7072</v>
      </c>
      <c r="Q119" s="463">
        <f t="shared" si="18"/>
        <v>0</v>
      </c>
      <c r="R119" s="463">
        <f t="shared" si="18"/>
        <v>7072</v>
      </c>
      <c r="S119" s="465"/>
    </row>
    <row r="120" spans="1:19" ht="12.75" hidden="1" thickBot="1">
      <c r="A120" s="2" t="s">
        <v>367</v>
      </c>
      <c r="B120" s="1" t="s">
        <v>1274</v>
      </c>
      <c r="C120" s="2" t="s">
        <v>388</v>
      </c>
      <c r="D120" s="463">
        <f t="shared" ref="D120:R135" si="21">ROUND(SUMIFS(D$409:D$780,$B$409:$B$780,$B120,$C$409:$C$780,$C120),0)</f>
        <v>12</v>
      </c>
      <c r="E120" s="463">
        <f t="shared" si="21"/>
        <v>0</v>
      </c>
      <c r="F120" s="463">
        <f t="shared" si="21"/>
        <v>0</v>
      </c>
      <c r="G120" s="463">
        <f t="shared" si="21"/>
        <v>0</v>
      </c>
      <c r="H120" s="463">
        <f t="shared" si="19"/>
        <v>78019986</v>
      </c>
      <c r="I120" s="463">
        <f t="shared" si="21"/>
        <v>0</v>
      </c>
      <c r="J120" s="463">
        <f t="shared" si="21"/>
        <v>0</v>
      </c>
      <c r="K120" s="463">
        <f t="shared" si="21"/>
        <v>0</v>
      </c>
      <c r="L120" s="463">
        <f t="shared" si="21"/>
        <v>0</v>
      </c>
      <c r="M120" s="463">
        <f t="shared" si="21"/>
        <v>0</v>
      </c>
      <c r="N120" s="463">
        <f t="shared" si="21"/>
        <v>0</v>
      </c>
      <c r="O120" s="463">
        <f t="shared" si="21"/>
        <v>171798</v>
      </c>
      <c r="P120" s="463">
        <f t="shared" si="21"/>
        <v>168988</v>
      </c>
      <c r="Q120" s="463">
        <f t="shared" si="21"/>
        <v>106853</v>
      </c>
      <c r="R120" s="463">
        <f t="shared" si="21"/>
        <v>0</v>
      </c>
      <c r="S120" s="464"/>
    </row>
    <row r="121" spans="1:19" ht="12.75" hidden="1" thickBot="1">
      <c r="A121" s="2" t="s">
        <v>367</v>
      </c>
      <c r="B121" s="1" t="s">
        <v>1274</v>
      </c>
      <c r="C121" s="2" t="s">
        <v>389</v>
      </c>
      <c r="D121" s="463">
        <f t="shared" si="21"/>
        <v>212</v>
      </c>
      <c r="E121" s="463">
        <f t="shared" si="21"/>
        <v>0</v>
      </c>
      <c r="F121" s="463">
        <f t="shared" si="21"/>
        <v>0</v>
      </c>
      <c r="G121" s="463">
        <f t="shared" si="21"/>
        <v>0</v>
      </c>
      <c r="H121" s="463">
        <f t="shared" si="19"/>
        <v>17964058</v>
      </c>
      <c r="I121" s="463">
        <f t="shared" si="21"/>
        <v>0</v>
      </c>
      <c r="J121" s="463">
        <f t="shared" si="21"/>
        <v>0</v>
      </c>
      <c r="K121" s="463">
        <f t="shared" si="21"/>
        <v>0</v>
      </c>
      <c r="L121" s="463">
        <f t="shared" si="21"/>
        <v>0</v>
      </c>
      <c r="M121" s="463">
        <f t="shared" si="21"/>
        <v>0</v>
      </c>
      <c r="N121" s="463">
        <f t="shared" si="21"/>
        <v>0</v>
      </c>
      <c r="O121" s="463">
        <f t="shared" si="21"/>
        <v>0</v>
      </c>
      <c r="P121" s="463">
        <f t="shared" ref="P121:P122" si="22">R121</f>
        <v>58664</v>
      </c>
      <c r="Q121" s="463">
        <f t="shared" si="21"/>
        <v>0</v>
      </c>
      <c r="R121" s="463">
        <f t="shared" si="21"/>
        <v>58664</v>
      </c>
      <c r="S121" s="465"/>
    </row>
    <row r="122" spans="1:19" ht="12.75" hidden="1" thickBot="1">
      <c r="A122" s="2" t="s">
        <v>367</v>
      </c>
      <c r="B122" s="1" t="s">
        <v>1274</v>
      </c>
      <c r="C122" s="2" t="s">
        <v>390</v>
      </c>
      <c r="D122" s="463">
        <f t="shared" si="21"/>
        <v>21</v>
      </c>
      <c r="E122" s="463">
        <f t="shared" si="21"/>
        <v>0</v>
      </c>
      <c r="F122" s="463">
        <f t="shared" si="21"/>
        <v>0</v>
      </c>
      <c r="G122" s="463">
        <f t="shared" si="21"/>
        <v>0</v>
      </c>
      <c r="H122" s="463">
        <f t="shared" si="19"/>
        <v>1038168</v>
      </c>
      <c r="I122" s="463">
        <f t="shared" si="21"/>
        <v>0</v>
      </c>
      <c r="J122" s="463">
        <f t="shared" si="21"/>
        <v>0</v>
      </c>
      <c r="K122" s="463">
        <f t="shared" si="21"/>
        <v>0</v>
      </c>
      <c r="L122" s="463">
        <f t="shared" si="21"/>
        <v>0</v>
      </c>
      <c r="M122" s="463">
        <f t="shared" si="21"/>
        <v>0</v>
      </c>
      <c r="N122" s="463">
        <f t="shared" si="21"/>
        <v>0</v>
      </c>
      <c r="O122" s="463">
        <f t="shared" si="21"/>
        <v>0</v>
      </c>
      <c r="P122" s="463">
        <f t="shared" si="22"/>
        <v>3900</v>
      </c>
      <c r="Q122" s="463">
        <f t="shared" si="21"/>
        <v>0</v>
      </c>
      <c r="R122" s="463">
        <f t="shared" si="21"/>
        <v>3900</v>
      </c>
      <c r="S122" s="465"/>
    </row>
    <row r="123" spans="1:19" ht="12.75" hidden="1" thickBot="1">
      <c r="A123" s="2" t="s">
        <v>367</v>
      </c>
      <c r="B123" s="1" t="s">
        <v>1274</v>
      </c>
      <c r="C123" s="2" t="s">
        <v>391</v>
      </c>
      <c r="D123" s="463">
        <f t="shared" si="21"/>
        <v>100</v>
      </c>
      <c r="E123" s="463">
        <f t="shared" si="21"/>
        <v>0</v>
      </c>
      <c r="F123" s="463">
        <f t="shared" si="21"/>
        <v>0</v>
      </c>
      <c r="G123" s="463">
        <f t="shared" si="21"/>
        <v>0</v>
      </c>
      <c r="H123" s="463">
        <f t="shared" si="19"/>
        <v>20494105</v>
      </c>
      <c r="I123" s="463">
        <f t="shared" si="21"/>
        <v>0</v>
      </c>
      <c r="J123" s="463">
        <f t="shared" si="21"/>
        <v>0</v>
      </c>
      <c r="K123" s="463">
        <f t="shared" si="21"/>
        <v>0</v>
      </c>
      <c r="L123" s="463">
        <f t="shared" si="21"/>
        <v>0</v>
      </c>
      <c r="M123" s="463">
        <f t="shared" si="21"/>
        <v>0</v>
      </c>
      <c r="N123" s="463">
        <f t="shared" si="21"/>
        <v>0</v>
      </c>
      <c r="O123" s="463">
        <f t="shared" si="21"/>
        <v>53481</v>
      </c>
      <c r="P123" s="463">
        <f t="shared" si="21"/>
        <v>50360</v>
      </c>
      <c r="Q123" s="463">
        <f t="shared" si="21"/>
        <v>48966</v>
      </c>
      <c r="R123" s="463">
        <f t="shared" si="21"/>
        <v>0</v>
      </c>
      <c r="S123" s="465"/>
    </row>
    <row r="124" spans="1:19" ht="12.75" hidden="1" thickBot="1">
      <c r="A124" s="2" t="s">
        <v>367</v>
      </c>
      <c r="B124" s="1" t="s">
        <v>1274</v>
      </c>
      <c r="C124" s="2" t="s">
        <v>392</v>
      </c>
      <c r="D124" s="463">
        <f t="shared" si="21"/>
        <v>71</v>
      </c>
      <c r="E124" s="463">
        <f t="shared" si="21"/>
        <v>0</v>
      </c>
      <c r="F124" s="463">
        <f t="shared" si="21"/>
        <v>0</v>
      </c>
      <c r="G124" s="463">
        <f t="shared" si="21"/>
        <v>0</v>
      </c>
      <c r="H124" s="463">
        <f t="shared" si="19"/>
        <v>130912123</v>
      </c>
      <c r="I124" s="463">
        <f t="shared" si="21"/>
        <v>0</v>
      </c>
      <c r="J124" s="463">
        <f t="shared" si="21"/>
        <v>0</v>
      </c>
      <c r="K124" s="463">
        <f t="shared" si="21"/>
        <v>0</v>
      </c>
      <c r="L124" s="463">
        <f t="shared" si="21"/>
        <v>0</v>
      </c>
      <c r="M124" s="463">
        <f t="shared" si="21"/>
        <v>0</v>
      </c>
      <c r="N124" s="463">
        <f t="shared" si="21"/>
        <v>0</v>
      </c>
      <c r="O124" s="463">
        <f t="shared" si="21"/>
        <v>333045</v>
      </c>
      <c r="P124" s="463">
        <f t="shared" si="21"/>
        <v>302359</v>
      </c>
      <c r="Q124" s="463">
        <f t="shared" si="21"/>
        <v>298342</v>
      </c>
      <c r="R124" s="463">
        <f t="shared" si="21"/>
        <v>0</v>
      </c>
      <c r="S124" s="464"/>
    </row>
    <row r="125" spans="1:19" ht="12.75" hidden="1" thickBot="1">
      <c r="A125" s="2" t="s">
        <v>367</v>
      </c>
      <c r="B125" s="1" t="s">
        <v>1274</v>
      </c>
      <c r="C125" s="2" t="s">
        <v>394</v>
      </c>
      <c r="D125" s="463">
        <f t="shared" si="21"/>
        <v>0</v>
      </c>
      <c r="E125" s="463">
        <f t="shared" si="21"/>
        <v>0</v>
      </c>
      <c r="F125" s="463">
        <f t="shared" si="21"/>
        <v>0</v>
      </c>
      <c r="G125" s="463">
        <f t="shared" si="21"/>
        <v>0</v>
      </c>
      <c r="H125" s="463">
        <f t="shared" si="19"/>
        <v>0</v>
      </c>
      <c r="I125" s="463">
        <f t="shared" si="21"/>
        <v>0</v>
      </c>
      <c r="J125" s="463">
        <f t="shared" si="21"/>
        <v>0</v>
      </c>
      <c r="K125" s="463">
        <f t="shared" si="21"/>
        <v>0</v>
      </c>
      <c r="L125" s="463">
        <f t="shared" si="21"/>
        <v>0</v>
      </c>
      <c r="M125" s="463">
        <f t="shared" si="21"/>
        <v>0</v>
      </c>
      <c r="N125" s="463">
        <f t="shared" si="21"/>
        <v>0</v>
      </c>
      <c r="O125" s="463">
        <f t="shared" si="21"/>
        <v>0</v>
      </c>
      <c r="P125" s="463">
        <f t="shared" si="21"/>
        <v>0</v>
      </c>
      <c r="Q125" s="463">
        <f t="shared" si="21"/>
        <v>0</v>
      </c>
      <c r="R125" s="463">
        <f t="shared" si="21"/>
        <v>0</v>
      </c>
      <c r="S125" s="464"/>
    </row>
    <row r="126" spans="1:19" ht="12.75" hidden="1" thickBot="1">
      <c r="A126" s="2" t="s">
        <v>367</v>
      </c>
      <c r="B126" s="1" t="s">
        <v>1274</v>
      </c>
      <c r="C126" s="2" t="s">
        <v>395</v>
      </c>
      <c r="D126" s="463">
        <f t="shared" si="21"/>
        <v>156</v>
      </c>
      <c r="E126" s="463">
        <f t="shared" si="21"/>
        <v>0</v>
      </c>
      <c r="F126" s="463">
        <f t="shared" si="21"/>
        <v>0</v>
      </c>
      <c r="G126" s="463">
        <f t="shared" si="21"/>
        <v>0</v>
      </c>
      <c r="H126" s="463">
        <f t="shared" si="19"/>
        <v>272304</v>
      </c>
      <c r="I126" s="463">
        <f t="shared" si="21"/>
        <v>0</v>
      </c>
      <c r="J126" s="463">
        <f t="shared" si="21"/>
        <v>0</v>
      </c>
      <c r="K126" s="463">
        <f t="shared" si="21"/>
        <v>0</v>
      </c>
      <c r="L126" s="463">
        <f t="shared" si="21"/>
        <v>0</v>
      </c>
      <c r="M126" s="463">
        <f t="shared" si="21"/>
        <v>0</v>
      </c>
      <c r="N126" s="463">
        <f t="shared" si="21"/>
        <v>0</v>
      </c>
      <c r="O126" s="463">
        <f t="shared" si="21"/>
        <v>0</v>
      </c>
      <c r="P126" s="463">
        <f t="shared" si="21"/>
        <v>0</v>
      </c>
      <c r="Q126" s="463">
        <f t="shared" si="21"/>
        <v>0</v>
      </c>
      <c r="R126" s="463">
        <f t="shared" si="21"/>
        <v>0</v>
      </c>
      <c r="S126" s="464"/>
    </row>
    <row r="127" spans="1:19" ht="12.75" hidden="1" thickBot="1">
      <c r="A127" s="2" t="s">
        <v>367</v>
      </c>
      <c r="B127" s="1" t="s">
        <v>1274</v>
      </c>
      <c r="C127" s="2" t="s">
        <v>396</v>
      </c>
      <c r="D127" s="463">
        <f t="shared" si="21"/>
        <v>0</v>
      </c>
      <c r="E127" s="463">
        <f t="shared" si="21"/>
        <v>0</v>
      </c>
      <c r="F127" s="463">
        <f t="shared" si="21"/>
        <v>0</v>
      </c>
      <c r="G127" s="463">
        <f t="shared" si="21"/>
        <v>0</v>
      </c>
      <c r="H127" s="463">
        <f t="shared" si="19"/>
        <v>0</v>
      </c>
      <c r="I127" s="463">
        <f t="shared" si="21"/>
        <v>0</v>
      </c>
      <c r="J127" s="463">
        <f t="shared" si="21"/>
        <v>0</v>
      </c>
      <c r="K127" s="463">
        <f t="shared" si="21"/>
        <v>0</v>
      </c>
      <c r="L127" s="463">
        <f t="shared" si="21"/>
        <v>0</v>
      </c>
      <c r="M127" s="463">
        <f t="shared" si="21"/>
        <v>0</v>
      </c>
      <c r="N127" s="463">
        <f t="shared" si="21"/>
        <v>0</v>
      </c>
      <c r="O127" s="463">
        <f t="shared" si="21"/>
        <v>0</v>
      </c>
      <c r="P127" s="463">
        <f t="shared" si="21"/>
        <v>0</v>
      </c>
      <c r="Q127" s="463">
        <f t="shared" si="21"/>
        <v>0</v>
      </c>
      <c r="R127" s="463">
        <f t="shared" si="21"/>
        <v>0</v>
      </c>
      <c r="S127" s="464"/>
    </row>
    <row r="128" spans="1:19" ht="12.75" hidden="1" thickBot="1">
      <c r="A128" s="2" t="s">
        <v>367</v>
      </c>
      <c r="B128" s="1" t="s">
        <v>1274</v>
      </c>
      <c r="C128" s="2" t="s">
        <v>397</v>
      </c>
      <c r="D128" s="463">
        <f t="shared" si="21"/>
        <v>905</v>
      </c>
      <c r="E128" s="463">
        <f t="shared" si="21"/>
        <v>0</v>
      </c>
      <c r="F128" s="463">
        <f t="shared" si="21"/>
        <v>0</v>
      </c>
      <c r="G128" s="463">
        <f t="shared" si="21"/>
        <v>0</v>
      </c>
      <c r="H128" s="463">
        <f t="shared" si="19"/>
        <v>241661</v>
      </c>
      <c r="I128" s="463">
        <f t="shared" si="21"/>
        <v>0</v>
      </c>
      <c r="J128" s="463">
        <f t="shared" si="21"/>
        <v>0</v>
      </c>
      <c r="K128" s="463">
        <f t="shared" si="21"/>
        <v>0</v>
      </c>
      <c r="L128" s="463">
        <f t="shared" si="21"/>
        <v>0</v>
      </c>
      <c r="M128" s="463">
        <f t="shared" si="21"/>
        <v>0</v>
      </c>
      <c r="N128" s="463">
        <f t="shared" si="21"/>
        <v>0</v>
      </c>
      <c r="O128" s="463">
        <f t="shared" si="21"/>
        <v>0</v>
      </c>
      <c r="P128" s="463">
        <f t="shared" si="21"/>
        <v>0</v>
      </c>
      <c r="Q128" s="463">
        <f t="shared" si="21"/>
        <v>0</v>
      </c>
      <c r="R128" s="463">
        <f t="shared" si="21"/>
        <v>0</v>
      </c>
      <c r="S128" s="464"/>
    </row>
    <row r="129" spans="1:19" ht="12.75" hidden="1" thickBot="1">
      <c r="A129" s="2" t="s">
        <v>367</v>
      </c>
      <c r="B129" s="1" t="s">
        <v>1274</v>
      </c>
      <c r="C129" s="2" t="s">
        <v>398</v>
      </c>
      <c r="D129" s="463">
        <f t="shared" si="21"/>
        <v>0</v>
      </c>
      <c r="E129" s="463">
        <f t="shared" si="21"/>
        <v>0</v>
      </c>
      <c r="F129" s="463">
        <f t="shared" si="21"/>
        <v>0</v>
      </c>
      <c r="G129" s="463">
        <f t="shared" si="21"/>
        <v>0</v>
      </c>
      <c r="H129" s="463">
        <f t="shared" si="19"/>
        <v>0</v>
      </c>
      <c r="I129" s="463">
        <f t="shared" si="21"/>
        <v>0</v>
      </c>
      <c r="J129" s="463">
        <f t="shared" si="21"/>
        <v>0</v>
      </c>
      <c r="K129" s="463">
        <f t="shared" si="21"/>
        <v>0</v>
      </c>
      <c r="L129" s="463">
        <f t="shared" si="21"/>
        <v>0</v>
      </c>
      <c r="M129" s="463">
        <f t="shared" si="21"/>
        <v>0</v>
      </c>
      <c r="N129" s="463">
        <f t="shared" si="21"/>
        <v>0</v>
      </c>
      <c r="O129" s="463">
        <f t="shared" si="21"/>
        <v>0</v>
      </c>
      <c r="P129" s="463">
        <f t="shared" si="21"/>
        <v>0</v>
      </c>
      <c r="Q129" s="463">
        <f t="shared" si="21"/>
        <v>0</v>
      </c>
      <c r="R129" s="463">
        <f t="shared" si="21"/>
        <v>0</v>
      </c>
      <c r="S129" s="464"/>
    </row>
    <row r="130" spans="1:19" ht="12.75" hidden="1" thickBot="1">
      <c r="A130" s="2" t="s">
        <v>367</v>
      </c>
      <c r="B130" s="1" t="s">
        <v>1274</v>
      </c>
      <c r="C130" s="2" t="s">
        <v>399</v>
      </c>
      <c r="D130" s="463">
        <f t="shared" si="21"/>
        <v>0</v>
      </c>
      <c r="E130" s="463">
        <f t="shared" si="21"/>
        <v>0</v>
      </c>
      <c r="F130" s="463">
        <f t="shared" si="21"/>
        <v>0</v>
      </c>
      <c r="G130" s="463">
        <f t="shared" si="21"/>
        <v>0</v>
      </c>
      <c r="H130" s="463">
        <f t="shared" si="19"/>
        <v>0</v>
      </c>
      <c r="I130" s="463">
        <f t="shared" si="21"/>
        <v>0</v>
      </c>
      <c r="J130" s="463">
        <f t="shared" si="21"/>
        <v>0</v>
      </c>
      <c r="K130" s="463">
        <f t="shared" si="21"/>
        <v>0</v>
      </c>
      <c r="L130" s="463">
        <f t="shared" si="21"/>
        <v>0</v>
      </c>
      <c r="M130" s="463">
        <f t="shared" si="21"/>
        <v>0</v>
      </c>
      <c r="N130" s="463">
        <f t="shared" si="21"/>
        <v>0</v>
      </c>
      <c r="O130" s="463">
        <f t="shared" si="21"/>
        <v>0</v>
      </c>
      <c r="P130" s="463">
        <f t="shared" si="21"/>
        <v>0</v>
      </c>
      <c r="Q130" s="463">
        <f t="shared" si="21"/>
        <v>0</v>
      </c>
      <c r="R130" s="463">
        <f t="shared" si="21"/>
        <v>0</v>
      </c>
      <c r="S130" s="464"/>
    </row>
    <row r="131" spans="1:19" ht="12.75" thickBot="1">
      <c r="A131" s="2" t="s">
        <v>367</v>
      </c>
      <c r="B131" s="1" t="s">
        <v>1274</v>
      </c>
      <c r="C131" s="2" t="s">
        <v>400</v>
      </c>
      <c r="D131" s="463">
        <f t="shared" si="21"/>
        <v>362211</v>
      </c>
      <c r="E131" s="463">
        <f t="shared" si="21"/>
        <v>0</v>
      </c>
      <c r="F131" s="463">
        <f t="shared" si="21"/>
        <v>0</v>
      </c>
      <c r="G131" s="463">
        <f t="shared" si="21"/>
        <v>0</v>
      </c>
      <c r="H131" s="463">
        <f t="shared" si="19"/>
        <v>258316933</v>
      </c>
      <c r="I131" s="463">
        <f t="shared" si="21"/>
        <v>0</v>
      </c>
      <c r="J131" s="463">
        <f t="shared" si="21"/>
        <v>0</v>
      </c>
      <c r="K131" s="463">
        <f t="shared" si="21"/>
        <v>0</v>
      </c>
      <c r="L131" s="463">
        <f t="shared" si="21"/>
        <v>0</v>
      </c>
      <c r="M131" s="463">
        <f t="shared" si="21"/>
        <v>0</v>
      </c>
      <c r="N131" s="463">
        <f t="shared" si="21"/>
        <v>0</v>
      </c>
      <c r="O131" s="463">
        <f t="shared" si="21"/>
        <v>0</v>
      </c>
      <c r="P131" s="463">
        <f t="shared" si="21"/>
        <v>0</v>
      </c>
      <c r="Q131" s="463">
        <f t="shared" si="21"/>
        <v>0</v>
      </c>
      <c r="R131" s="463">
        <f t="shared" si="21"/>
        <v>0</v>
      </c>
      <c r="S131" s="464"/>
    </row>
    <row r="132" spans="1:19" ht="12.75" hidden="1" thickBot="1">
      <c r="A132" s="2" t="s">
        <v>367</v>
      </c>
      <c r="B132" s="1" t="s">
        <v>1274</v>
      </c>
      <c r="C132" s="2" t="s">
        <v>401</v>
      </c>
      <c r="D132" s="463">
        <f t="shared" si="21"/>
        <v>0</v>
      </c>
      <c r="E132" s="463">
        <f t="shared" si="21"/>
        <v>0</v>
      </c>
      <c r="F132" s="463">
        <f t="shared" si="21"/>
        <v>0</v>
      </c>
      <c r="G132" s="463">
        <f t="shared" si="21"/>
        <v>0</v>
      </c>
      <c r="H132" s="463">
        <f t="shared" si="19"/>
        <v>0</v>
      </c>
      <c r="I132" s="463">
        <f t="shared" si="21"/>
        <v>0</v>
      </c>
      <c r="J132" s="463">
        <f t="shared" si="21"/>
        <v>0</v>
      </c>
      <c r="K132" s="463">
        <f t="shared" si="21"/>
        <v>0</v>
      </c>
      <c r="L132" s="463">
        <f t="shared" si="21"/>
        <v>0</v>
      </c>
      <c r="M132" s="463">
        <f t="shared" si="21"/>
        <v>0</v>
      </c>
      <c r="N132" s="463">
        <f t="shared" si="21"/>
        <v>0</v>
      </c>
      <c r="O132" s="463">
        <f t="shared" si="21"/>
        <v>0</v>
      </c>
      <c r="P132" s="463">
        <f t="shared" si="21"/>
        <v>0</v>
      </c>
      <c r="Q132" s="463">
        <f t="shared" si="21"/>
        <v>0</v>
      </c>
      <c r="R132" s="463">
        <f t="shared" si="21"/>
        <v>0</v>
      </c>
      <c r="S132" s="464"/>
    </row>
    <row r="133" spans="1:19" ht="12.75" hidden="1" thickBot="1">
      <c r="A133" s="2" t="s">
        <v>367</v>
      </c>
      <c r="B133" s="1" t="s">
        <v>1274</v>
      </c>
      <c r="C133" s="2" t="s">
        <v>402</v>
      </c>
      <c r="D133" s="463">
        <f t="shared" si="21"/>
        <v>0</v>
      </c>
      <c r="E133" s="463">
        <f t="shared" si="21"/>
        <v>0</v>
      </c>
      <c r="F133" s="463">
        <f t="shared" si="21"/>
        <v>0</v>
      </c>
      <c r="G133" s="463">
        <f t="shared" si="21"/>
        <v>0</v>
      </c>
      <c r="H133" s="463">
        <f t="shared" si="19"/>
        <v>0</v>
      </c>
      <c r="I133" s="463">
        <f t="shared" si="21"/>
        <v>0</v>
      </c>
      <c r="J133" s="463">
        <f t="shared" si="21"/>
        <v>0</v>
      </c>
      <c r="K133" s="463">
        <f t="shared" si="21"/>
        <v>0</v>
      </c>
      <c r="L133" s="463">
        <f t="shared" si="21"/>
        <v>0</v>
      </c>
      <c r="M133" s="463">
        <f t="shared" si="21"/>
        <v>0</v>
      </c>
      <c r="N133" s="463">
        <f t="shared" si="21"/>
        <v>0</v>
      </c>
      <c r="O133" s="463">
        <f t="shared" si="21"/>
        <v>0</v>
      </c>
      <c r="P133" s="463">
        <f t="shared" si="21"/>
        <v>0</v>
      </c>
      <c r="Q133" s="463">
        <f t="shared" si="21"/>
        <v>0</v>
      </c>
      <c r="R133" s="463">
        <f t="shared" si="21"/>
        <v>0</v>
      </c>
      <c r="S133" s="464"/>
    </row>
    <row r="134" spans="1:19" ht="12.75" hidden="1" thickBot="1">
      <c r="A134" s="2" t="s">
        <v>367</v>
      </c>
      <c r="B134" s="1" t="s">
        <v>1274</v>
      </c>
      <c r="C134" s="2" t="s">
        <v>706</v>
      </c>
      <c r="D134" s="463">
        <f t="shared" si="21"/>
        <v>21</v>
      </c>
      <c r="E134" s="463">
        <f t="shared" si="21"/>
        <v>18583</v>
      </c>
      <c r="F134" s="463">
        <f t="shared" si="21"/>
        <v>6886</v>
      </c>
      <c r="G134" s="463">
        <f t="shared" si="21"/>
        <v>6455</v>
      </c>
      <c r="H134" s="463">
        <f t="shared" si="19"/>
        <v>31924</v>
      </c>
      <c r="I134" s="463">
        <f t="shared" si="21"/>
        <v>0</v>
      </c>
      <c r="J134" s="463">
        <f t="shared" si="21"/>
        <v>0</v>
      </c>
      <c r="K134" s="463">
        <f t="shared" si="21"/>
        <v>0</v>
      </c>
      <c r="L134" s="463">
        <f t="shared" si="21"/>
        <v>0</v>
      </c>
      <c r="M134" s="463">
        <f t="shared" si="21"/>
        <v>0</v>
      </c>
      <c r="N134" s="463">
        <f t="shared" si="21"/>
        <v>0</v>
      </c>
      <c r="O134" s="463">
        <f t="shared" si="21"/>
        <v>0</v>
      </c>
      <c r="P134" s="463">
        <f t="shared" si="21"/>
        <v>0</v>
      </c>
      <c r="Q134" s="463">
        <f t="shared" si="21"/>
        <v>0</v>
      </c>
      <c r="R134" s="463">
        <f t="shared" si="21"/>
        <v>0</v>
      </c>
      <c r="S134" s="464"/>
    </row>
    <row r="135" spans="1:19" ht="12.75" hidden="1" thickBot="1">
      <c r="A135" s="2" t="s">
        <v>367</v>
      </c>
      <c r="B135" s="1" t="s">
        <v>1274</v>
      </c>
      <c r="C135" s="2" t="s">
        <v>1230</v>
      </c>
      <c r="D135" s="463">
        <f t="shared" si="21"/>
        <v>0</v>
      </c>
      <c r="E135" s="463">
        <f t="shared" si="21"/>
        <v>0</v>
      </c>
      <c r="F135" s="463">
        <f t="shared" si="21"/>
        <v>0</v>
      </c>
      <c r="G135" s="463">
        <f t="shared" si="21"/>
        <v>0</v>
      </c>
      <c r="H135" s="463">
        <f t="shared" si="19"/>
        <v>0</v>
      </c>
      <c r="I135" s="463">
        <f t="shared" si="21"/>
        <v>0</v>
      </c>
      <c r="J135" s="463">
        <f t="shared" si="21"/>
        <v>0</v>
      </c>
      <c r="K135" s="463">
        <f t="shared" si="21"/>
        <v>0</v>
      </c>
      <c r="L135" s="463">
        <f t="shared" si="21"/>
        <v>0</v>
      </c>
      <c r="M135" s="463">
        <f t="shared" si="21"/>
        <v>0</v>
      </c>
      <c r="N135" s="463">
        <f t="shared" si="21"/>
        <v>0</v>
      </c>
      <c r="O135" s="463">
        <f t="shared" si="21"/>
        <v>0</v>
      </c>
      <c r="P135" s="463">
        <f t="shared" si="21"/>
        <v>0</v>
      </c>
      <c r="Q135" s="463">
        <f t="shared" si="21"/>
        <v>0</v>
      </c>
      <c r="R135" s="463">
        <f t="shared" si="21"/>
        <v>0</v>
      </c>
      <c r="S135" s="464"/>
    </row>
    <row r="136" spans="1:19" ht="12.75" hidden="1" thickBot="1">
      <c r="A136" s="2" t="s">
        <v>367</v>
      </c>
      <c r="B136" s="1" t="s">
        <v>1274</v>
      </c>
      <c r="C136" s="17" t="s">
        <v>7</v>
      </c>
      <c r="D136" s="7"/>
      <c r="E136" s="456"/>
      <c r="F136" s="456"/>
      <c r="G136" s="456"/>
      <c r="H136" s="7"/>
      <c r="I136" s="468"/>
      <c r="J136" s="468"/>
      <c r="K136" s="468"/>
      <c r="L136" s="456"/>
      <c r="M136" s="456"/>
      <c r="N136" s="468"/>
      <c r="O136" s="18"/>
      <c r="P136" s="468"/>
      <c r="Q136" s="468"/>
      <c r="R136" s="468"/>
      <c r="S136" s="466"/>
    </row>
    <row r="137" spans="1:19" ht="12.75" hidden="1" thickBot="1">
      <c r="A137" s="2" t="s">
        <v>367</v>
      </c>
      <c r="B137" s="1" t="s">
        <v>1275</v>
      </c>
      <c r="C137" s="2" t="s">
        <v>368</v>
      </c>
      <c r="D137" s="463">
        <f t="shared" ref="D137:R153" si="23">ROUND(SUMIFS(D$409:D$780,$B$409:$B$780,$B137,$C$409:$C$780,$C137),0)</f>
        <v>0</v>
      </c>
      <c r="E137" s="463">
        <f t="shared" si="23"/>
        <v>0</v>
      </c>
      <c r="F137" s="463">
        <f t="shared" si="23"/>
        <v>0</v>
      </c>
      <c r="G137" s="463">
        <f t="shared" si="23"/>
        <v>0</v>
      </c>
      <c r="H137" s="463">
        <f t="shared" ref="H137:H169" si="24">ROUND(SUMIFS(H$409:H$780,$B$409:$B$780,$B137,$C$409:$C$780,$C137)*1000,0)</f>
        <v>0</v>
      </c>
      <c r="I137" s="463">
        <f t="shared" si="23"/>
        <v>0</v>
      </c>
      <c r="J137" s="463">
        <f t="shared" si="23"/>
        <v>0</v>
      </c>
      <c r="K137" s="463">
        <f t="shared" si="23"/>
        <v>0</v>
      </c>
      <c r="L137" s="463">
        <f t="shared" si="23"/>
        <v>0</v>
      </c>
      <c r="M137" s="463">
        <f t="shared" si="23"/>
        <v>0</v>
      </c>
      <c r="N137" s="463">
        <f t="shared" si="23"/>
        <v>0</v>
      </c>
      <c r="O137" s="463">
        <f t="shared" si="23"/>
        <v>0</v>
      </c>
      <c r="P137" s="463">
        <f t="shared" si="23"/>
        <v>0</v>
      </c>
      <c r="Q137" s="463">
        <f t="shared" si="23"/>
        <v>0</v>
      </c>
      <c r="R137" s="463">
        <f t="shared" si="23"/>
        <v>0</v>
      </c>
      <c r="S137" s="464"/>
    </row>
    <row r="138" spans="1:19" ht="12.75" hidden="1" thickBot="1">
      <c r="A138" s="2" t="s">
        <v>367</v>
      </c>
      <c r="B138" s="1" t="s">
        <v>1275</v>
      </c>
      <c r="C138" s="2" t="s">
        <v>370</v>
      </c>
      <c r="D138" s="463">
        <f t="shared" si="23"/>
        <v>28263</v>
      </c>
      <c r="E138" s="463">
        <f t="shared" si="23"/>
        <v>0</v>
      </c>
      <c r="F138" s="463">
        <f t="shared" si="23"/>
        <v>0</v>
      </c>
      <c r="G138" s="463">
        <f t="shared" si="23"/>
        <v>0</v>
      </c>
      <c r="H138" s="463">
        <f t="shared" si="24"/>
        <v>31985395</v>
      </c>
      <c r="I138" s="463">
        <f t="shared" si="23"/>
        <v>0</v>
      </c>
      <c r="J138" s="463">
        <f t="shared" si="23"/>
        <v>0</v>
      </c>
      <c r="K138" s="463">
        <f t="shared" si="23"/>
        <v>0</v>
      </c>
      <c r="L138" s="463">
        <f t="shared" si="23"/>
        <v>0</v>
      </c>
      <c r="M138" s="463">
        <f t="shared" si="23"/>
        <v>0</v>
      </c>
      <c r="N138" s="463">
        <f t="shared" si="23"/>
        <v>0</v>
      </c>
      <c r="O138" s="463">
        <f t="shared" si="23"/>
        <v>0</v>
      </c>
      <c r="P138" s="463">
        <f t="shared" si="23"/>
        <v>0</v>
      </c>
      <c r="Q138" s="463">
        <f t="shared" si="23"/>
        <v>0</v>
      </c>
      <c r="R138" s="463">
        <f t="shared" si="23"/>
        <v>0</v>
      </c>
      <c r="S138" s="464"/>
    </row>
    <row r="139" spans="1:19" ht="12.75" hidden="1" thickBot="1">
      <c r="A139" s="2" t="s">
        <v>367</v>
      </c>
      <c r="B139" s="1" t="s">
        <v>1275</v>
      </c>
      <c r="C139" s="2" t="s">
        <v>371</v>
      </c>
      <c r="D139" s="463">
        <f t="shared" si="23"/>
        <v>0</v>
      </c>
      <c r="E139" s="463">
        <f t="shared" si="23"/>
        <v>0</v>
      </c>
      <c r="F139" s="463">
        <f t="shared" si="23"/>
        <v>0</v>
      </c>
      <c r="G139" s="463">
        <f t="shared" si="23"/>
        <v>0</v>
      </c>
      <c r="H139" s="463">
        <f t="shared" si="24"/>
        <v>0</v>
      </c>
      <c r="I139" s="463">
        <f t="shared" si="23"/>
        <v>0</v>
      </c>
      <c r="J139" s="463">
        <f t="shared" si="23"/>
        <v>0</v>
      </c>
      <c r="K139" s="463">
        <f t="shared" si="23"/>
        <v>0</v>
      </c>
      <c r="L139" s="463">
        <f t="shared" si="23"/>
        <v>0</v>
      </c>
      <c r="M139" s="463">
        <f t="shared" si="23"/>
        <v>0</v>
      </c>
      <c r="N139" s="463">
        <f t="shared" si="23"/>
        <v>0</v>
      </c>
      <c r="O139" s="463">
        <f t="shared" si="23"/>
        <v>0</v>
      </c>
      <c r="P139" s="463">
        <f t="shared" si="23"/>
        <v>0</v>
      </c>
      <c r="Q139" s="463">
        <f t="shared" si="23"/>
        <v>0</v>
      </c>
      <c r="R139" s="463">
        <f t="shared" si="23"/>
        <v>0</v>
      </c>
      <c r="S139" s="464"/>
    </row>
    <row r="140" spans="1:19" ht="12.75" hidden="1" thickBot="1">
      <c r="A140" s="2" t="s">
        <v>367</v>
      </c>
      <c r="B140" s="1" t="s">
        <v>1275</v>
      </c>
      <c r="C140" s="2" t="s">
        <v>372</v>
      </c>
      <c r="D140" s="463">
        <f t="shared" si="23"/>
        <v>0</v>
      </c>
      <c r="E140" s="463">
        <f t="shared" si="23"/>
        <v>0</v>
      </c>
      <c r="F140" s="463">
        <f t="shared" si="23"/>
        <v>0</v>
      </c>
      <c r="G140" s="463">
        <f t="shared" si="23"/>
        <v>0</v>
      </c>
      <c r="H140" s="463">
        <f t="shared" si="24"/>
        <v>0</v>
      </c>
      <c r="I140" s="463">
        <f t="shared" si="23"/>
        <v>0</v>
      </c>
      <c r="J140" s="463">
        <f t="shared" si="23"/>
        <v>0</v>
      </c>
      <c r="K140" s="463">
        <f t="shared" si="23"/>
        <v>0</v>
      </c>
      <c r="L140" s="463">
        <f t="shared" si="23"/>
        <v>0</v>
      </c>
      <c r="M140" s="463">
        <f t="shared" si="23"/>
        <v>0</v>
      </c>
      <c r="N140" s="463">
        <f t="shared" si="23"/>
        <v>0</v>
      </c>
      <c r="O140" s="463">
        <f t="shared" si="23"/>
        <v>0</v>
      </c>
      <c r="P140" s="463">
        <f t="shared" si="23"/>
        <v>0</v>
      </c>
      <c r="Q140" s="463">
        <f t="shared" si="23"/>
        <v>0</v>
      </c>
      <c r="R140" s="463">
        <f t="shared" si="23"/>
        <v>0</v>
      </c>
      <c r="S140" s="464"/>
    </row>
    <row r="141" spans="1:19" ht="12.75" hidden="1" thickBot="1">
      <c r="A141" s="2" t="s">
        <v>367</v>
      </c>
      <c r="B141" s="1" t="s">
        <v>1275</v>
      </c>
      <c r="C141" s="2" t="s">
        <v>374</v>
      </c>
      <c r="D141" s="463">
        <f t="shared" si="23"/>
        <v>0</v>
      </c>
      <c r="E141" s="463">
        <f t="shared" si="23"/>
        <v>0</v>
      </c>
      <c r="F141" s="463">
        <f t="shared" si="23"/>
        <v>0</v>
      </c>
      <c r="G141" s="463">
        <f t="shared" si="23"/>
        <v>0</v>
      </c>
      <c r="H141" s="463">
        <f t="shared" si="24"/>
        <v>0</v>
      </c>
      <c r="I141" s="463">
        <f t="shared" si="23"/>
        <v>0</v>
      </c>
      <c r="J141" s="463">
        <f t="shared" si="23"/>
        <v>0</v>
      </c>
      <c r="K141" s="463">
        <f t="shared" si="23"/>
        <v>0</v>
      </c>
      <c r="L141" s="463">
        <f t="shared" si="23"/>
        <v>0</v>
      </c>
      <c r="M141" s="463">
        <f t="shared" si="23"/>
        <v>0</v>
      </c>
      <c r="N141" s="463">
        <f t="shared" si="23"/>
        <v>0</v>
      </c>
      <c r="O141" s="463">
        <f t="shared" si="23"/>
        <v>0</v>
      </c>
      <c r="P141" s="463">
        <f t="shared" si="23"/>
        <v>0</v>
      </c>
      <c r="Q141" s="463">
        <f t="shared" si="23"/>
        <v>0</v>
      </c>
      <c r="R141" s="463">
        <f t="shared" si="23"/>
        <v>0</v>
      </c>
      <c r="S141" s="464"/>
    </row>
    <row r="142" spans="1:19" ht="12.75" hidden="1" thickBot="1">
      <c r="A142" s="2" t="s">
        <v>367</v>
      </c>
      <c r="B142" s="1" t="s">
        <v>1275</v>
      </c>
      <c r="C142" s="2" t="s">
        <v>375</v>
      </c>
      <c r="D142" s="463">
        <f t="shared" si="23"/>
        <v>2585</v>
      </c>
      <c r="E142" s="463">
        <f t="shared" si="23"/>
        <v>0</v>
      </c>
      <c r="F142" s="463">
        <f t="shared" si="23"/>
        <v>0</v>
      </c>
      <c r="G142" s="463">
        <f t="shared" si="23"/>
        <v>0</v>
      </c>
      <c r="H142" s="463">
        <f t="shared" si="24"/>
        <v>151860056</v>
      </c>
      <c r="I142" s="463">
        <f t="shared" si="23"/>
        <v>0</v>
      </c>
      <c r="J142" s="463">
        <f t="shared" si="23"/>
        <v>0</v>
      </c>
      <c r="K142" s="463">
        <f t="shared" si="23"/>
        <v>0</v>
      </c>
      <c r="L142" s="463">
        <f t="shared" si="23"/>
        <v>0</v>
      </c>
      <c r="M142" s="463">
        <f t="shared" si="23"/>
        <v>0</v>
      </c>
      <c r="N142" s="463">
        <f t="shared" si="23"/>
        <v>0</v>
      </c>
      <c r="O142" s="463">
        <f t="shared" si="23"/>
        <v>0</v>
      </c>
      <c r="P142" s="463">
        <f t="shared" si="23"/>
        <v>0</v>
      </c>
      <c r="Q142" s="463">
        <f>R142</f>
        <v>338104</v>
      </c>
      <c r="R142" s="463">
        <f t="shared" si="23"/>
        <v>338104</v>
      </c>
      <c r="S142" s="465"/>
    </row>
    <row r="143" spans="1:19" ht="12.75" hidden="1" thickBot="1">
      <c r="A143" s="2" t="s">
        <v>367</v>
      </c>
      <c r="B143" s="1" t="s">
        <v>1275</v>
      </c>
      <c r="C143" s="2" t="s">
        <v>376</v>
      </c>
      <c r="D143" s="463">
        <f t="shared" si="23"/>
        <v>52</v>
      </c>
      <c r="E143" s="463">
        <f t="shared" si="23"/>
        <v>0</v>
      </c>
      <c r="F143" s="463">
        <f t="shared" si="23"/>
        <v>0</v>
      </c>
      <c r="G143" s="463">
        <f t="shared" si="23"/>
        <v>0</v>
      </c>
      <c r="H143" s="463">
        <f t="shared" si="24"/>
        <v>13088103</v>
      </c>
      <c r="I143" s="463">
        <f t="shared" si="23"/>
        <v>0</v>
      </c>
      <c r="J143" s="463">
        <f t="shared" si="23"/>
        <v>0</v>
      </c>
      <c r="K143" s="463">
        <f t="shared" si="23"/>
        <v>0</v>
      </c>
      <c r="L143" s="463">
        <f t="shared" si="23"/>
        <v>0</v>
      </c>
      <c r="M143" s="463">
        <f t="shared" si="23"/>
        <v>0</v>
      </c>
      <c r="N143" s="463">
        <f t="shared" si="23"/>
        <v>0</v>
      </c>
      <c r="O143" s="463">
        <f t="shared" si="23"/>
        <v>0</v>
      </c>
      <c r="P143" s="463">
        <f t="shared" si="23"/>
        <v>0</v>
      </c>
      <c r="Q143" s="463">
        <f t="shared" ref="Q143" si="25">R143</f>
        <v>28296</v>
      </c>
      <c r="R143" s="463">
        <f t="shared" si="23"/>
        <v>28296</v>
      </c>
      <c r="S143" s="465"/>
    </row>
    <row r="144" spans="1:19" ht="12.75" hidden="1" thickBot="1">
      <c r="A144" s="2" t="s">
        <v>367</v>
      </c>
      <c r="B144" s="1" t="s">
        <v>1275</v>
      </c>
      <c r="C144" s="2" t="s">
        <v>377</v>
      </c>
      <c r="D144" s="463">
        <f t="shared" si="23"/>
        <v>0</v>
      </c>
      <c r="E144" s="463">
        <f t="shared" si="23"/>
        <v>0</v>
      </c>
      <c r="F144" s="463">
        <f t="shared" si="23"/>
        <v>0</v>
      </c>
      <c r="G144" s="463">
        <f t="shared" si="23"/>
        <v>0</v>
      </c>
      <c r="H144" s="463">
        <f t="shared" si="24"/>
        <v>0</v>
      </c>
      <c r="I144" s="463">
        <f t="shared" si="23"/>
        <v>0</v>
      </c>
      <c r="J144" s="463">
        <f t="shared" si="23"/>
        <v>0</v>
      </c>
      <c r="K144" s="463">
        <f t="shared" si="23"/>
        <v>0</v>
      </c>
      <c r="L144" s="463">
        <f t="shared" si="23"/>
        <v>0</v>
      </c>
      <c r="M144" s="463">
        <f t="shared" si="23"/>
        <v>0</v>
      </c>
      <c r="N144" s="463">
        <f t="shared" si="23"/>
        <v>0</v>
      </c>
      <c r="O144" s="463">
        <f t="shared" si="23"/>
        <v>0</v>
      </c>
      <c r="P144" s="463">
        <f t="shared" si="23"/>
        <v>0</v>
      </c>
      <c r="Q144" s="463">
        <f t="shared" si="23"/>
        <v>0</v>
      </c>
      <c r="R144" s="463">
        <f t="shared" si="23"/>
        <v>0</v>
      </c>
      <c r="S144" s="465"/>
    </row>
    <row r="145" spans="1:19" ht="12.75" hidden="1" thickBot="1">
      <c r="A145" s="2" t="s">
        <v>367</v>
      </c>
      <c r="B145" s="1" t="s">
        <v>1275</v>
      </c>
      <c r="C145" s="2" t="s">
        <v>378</v>
      </c>
      <c r="D145" s="463">
        <f t="shared" si="23"/>
        <v>226</v>
      </c>
      <c r="E145" s="463">
        <f t="shared" si="23"/>
        <v>0</v>
      </c>
      <c r="F145" s="463">
        <f t="shared" si="23"/>
        <v>0</v>
      </c>
      <c r="G145" s="463">
        <f t="shared" si="23"/>
        <v>0</v>
      </c>
      <c r="H145" s="463">
        <f t="shared" si="24"/>
        <v>67792801</v>
      </c>
      <c r="I145" s="463">
        <f t="shared" si="23"/>
        <v>0</v>
      </c>
      <c r="J145" s="463">
        <f t="shared" si="23"/>
        <v>0</v>
      </c>
      <c r="K145" s="463">
        <f t="shared" si="23"/>
        <v>0</v>
      </c>
      <c r="L145" s="463">
        <f t="shared" si="23"/>
        <v>0</v>
      </c>
      <c r="M145" s="463">
        <f t="shared" si="23"/>
        <v>0</v>
      </c>
      <c r="N145" s="463">
        <f t="shared" si="23"/>
        <v>0</v>
      </c>
      <c r="O145" s="463">
        <f t="shared" si="23"/>
        <v>139944</v>
      </c>
      <c r="P145" s="463">
        <f t="shared" si="23"/>
        <v>132252</v>
      </c>
      <c r="Q145" s="463">
        <f t="shared" si="23"/>
        <v>130554</v>
      </c>
      <c r="R145" s="463">
        <f t="shared" si="23"/>
        <v>0</v>
      </c>
      <c r="S145" s="465"/>
    </row>
    <row r="146" spans="1:19" ht="12.75" hidden="1" thickBot="1">
      <c r="A146" s="2" t="s">
        <v>367</v>
      </c>
      <c r="B146" s="1" t="s">
        <v>1275</v>
      </c>
      <c r="C146" s="2" t="s">
        <v>379</v>
      </c>
      <c r="D146" s="463">
        <f t="shared" si="23"/>
        <v>41</v>
      </c>
      <c r="E146" s="463">
        <f t="shared" si="23"/>
        <v>0</v>
      </c>
      <c r="F146" s="463">
        <f t="shared" si="23"/>
        <v>0</v>
      </c>
      <c r="G146" s="463">
        <f t="shared" si="23"/>
        <v>0</v>
      </c>
      <c r="H146" s="463">
        <f t="shared" si="24"/>
        <v>32484574</v>
      </c>
      <c r="I146" s="463">
        <f t="shared" si="23"/>
        <v>0</v>
      </c>
      <c r="J146" s="463">
        <f t="shared" si="23"/>
        <v>0</v>
      </c>
      <c r="K146" s="463">
        <f t="shared" si="23"/>
        <v>0</v>
      </c>
      <c r="L146" s="463">
        <f t="shared" si="23"/>
        <v>0</v>
      </c>
      <c r="M146" s="463">
        <f t="shared" si="23"/>
        <v>0</v>
      </c>
      <c r="N146" s="463">
        <f t="shared" si="23"/>
        <v>0</v>
      </c>
      <c r="O146" s="463">
        <f t="shared" si="23"/>
        <v>69868</v>
      </c>
      <c r="P146" s="463">
        <f t="shared" si="23"/>
        <v>65445</v>
      </c>
      <c r="Q146" s="463">
        <f t="shared" si="23"/>
        <v>64848</v>
      </c>
      <c r="R146" s="463">
        <f t="shared" si="23"/>
        <v>0</v>
      </c>
      <c r="S146" s="464"/>
    </row>
    <row r="147" spans="1:19" ht="12.75" hidden="1" thickBot="1">
      <c r="A147" s="2" t="s">
        <v>367</v>
      </c>
      <c r="B147" s="1" t="s">
        <v>1275</v>
      </c>
      <c r="C147" s="2" t="s">
        <v>381</v>
      </c>
      <c r="D147" s="463">
        <f t="shared" si="23"/>
        <v>16411</v>
      </c>
      <c r="E147" s="463">
        <f t="shared" si="23"/>
        <v>0</v>
      </c>
      <c r="F147" s="463">
        <f t="shared" si="23"/>
        <v>0</v>
      </c>
      <c r="G147" s="463">
        <f t="shared" si="23"/>
        <v>0</v>
      </c>
      <c r="H147" s="463">
        <f t="shared" si="24"/>
        <v>81600963</v>
      </c>
      <c r="I147" s="463">
        <f t="shared" si="23"/>
        <v>0</v>
      </c>
      <c r="J147" s="463">
        <f t="shared" si="23"/>
        <v>0</v>
      </c>
      <c r="K147" s="463">
        <f t="shared" si="23"/>
        <v>0</v>
      </c>
      <c r="L147" s="463">
        <f t="shared" si="23"/>
        <v>0</v>
      </c>
      <c r="M147" s="463">
        <f t="shared" si="23"/>
        <v>0</v>
      </c>
      <c r="N147" s="463">
        <f t="shared" si="23"/>
        <v>0</v>
      </c>
      <c r="O147" s="463">
        <f>R147</f>
        <v>220979</v>
      </c>
      <c r="P147" s="463">
        <f t="shared" si="23"/>
        <v>0</v>
      </c>
      <c r="Q147" s="463">
        <f t="shared" si="23"/>
        <v>0</v>
      </c>
      <c r="R147" s="463">
        <f t="shared" si="23"/>
        <v>220979</v>
      </c>
      <c r="S147" s="464"/>
    </row>
    <row r="148" spans="1:19" ht="12.75" hidden="1" thickBot="1">
      <c r="A148" s="2" t="s">
        <v>367</v>
      </c>
      <c r="B148" s="1" t="s">
        <v>1275</v>
      </c>
      <c r="C148" s="2" t="s">
        <v>382</v>
      </c>
      <c r="D148" s="463">
        <f t="shared" si="23"/>
        <v>0</v>
      </c>
      <c r="E148" s="463">
        <f t="shared" si="23"/>
        <v>0</v>
      </c>
      <c r="F148" s="463">
        <f t="shared" si="23"/>
        <v>0</v>
      </c>
      <c r="G148" s="463">
        <f t="shared" si="23"/>
        <v>0</v>
      </c>
      <c r="H148" s="463">
        <f t="shared" si="24"/>
        <v>0</v>
      </c>
      <c r="I148" s="463">
        <f t="shared" si="23"/>
        <v>0</v>
      </c>
      <c r="J148" s="463">
        <f t="shared" si="23"/>
        <v>0</v>
      </c>
      <c r="K148" s="463">
        <f t="shared" si="23"/>
        <v>0</v>
      </c>
      <c r="L148" s="463">
        <f t="shared" si="23"/>
        <v>0</v>
      </c>
      <c r="M148" s="463">
        <f t="shared" si="23"/>
        <v>0</v>
      </c>
      <c r="N148" s="463">
        <f t="shared" si="23"/>
        <v>0</v>
      </c>
      <c r="O148" s="463">
        <f t="shared" si="23"/>
        <v>0</v>
      </c>
      <c r="P148" s="463">
        <f t="shared" si="23"/>
        <v>0</v>
      </c>
      <c r="Q148" s="463">
        <f t="shared" si="23"/>
        <v>0</v>
      </c>
      <c r="R148" s="463">
        <f t="shared" si="23"/>
        <v>0</v>
      </c>
      <c r="S148" s="464"/>
    </row>
    <row r="149" spans="1:19" ht="12.75" hidden="1" thickBot="1">
      <c r="A149" s="2" t="s">
        <v>367</v>
      </c>
      <c r="B149" s="1" t="s">
        <v>1275</v>
      </c>
      <c r="C149" s="2" t="s">
        <v>384</v>
      </c>
      <c r="D149" s="463">
        <f t="shared" si="23"/>
        <v>0</v>
      </c>
      <c r="E149" s="463">
        <f t="shared" si="23"/>
        <v>0</v>
      </c>
      <c r="F149" s="463">
        <f t="shared" si="23"/>
        <v>0</v>
      </c>
      <c r="G149" s="463">
        <f t="shared" si="23"/>
        <v>0</v>
      </c>
      <c r="H149" s="463">
        <f t="shared" si="24"/>
        <v>0</v>
      </c>
      <c r="I149" s="463">
        <f t="shared" si="23"/>
        <v>0</v>
      </c>
      <c r="J149" s="463">
        <f t="shared" si="23"/>
        <v>0</v>
      </c>
      <c r="K149" s="463">
        <f t="shared" si="23"/>
        <v>0</v>
      </c>
      <c r="L149" s="463">
        <f t="shared" si="23"/>
        <v>0</v>
      </c>
      <c r="M149" s="463">
        <f t="shared" si="23"/>
        <v>0</v>
      </c>
      <c r="N149" s="463">
        <f t="shared" si="23"/>
        <v>0</v>
      </c>
      <c r="O149" s="463">
        <f t="shared" si="23"/>
        <v>0</v>
      </c>
      <c r="P149" s="463">
        <f t="shared" si="23"/>
        <v>0</v>
      </c>
      <c r="Q149" s="463">
        <f t="shared" si="23"/>
        <v>0</v>
      </c>
      <c r="R149" s="463">
        <f t="shared" si="23"/>
        <v>0</v>
      </c>
      <c r="S149" s="464"/>
    </row>
    <row r="150" spans="1:19" ht="12.75" hidden="1" thickBot="1">
      <c r="A150" s="2" t="s">
        <v>367</v>
      </c>
      <c r="B150" s="1" t="s">
        <v>1275</v>
      </c>
      <c r="C150" s="2" t="s">
        <v>385</v>
      </c>
      <c r="D150" s="463">
        <f t="shared" si="23"/>
        <v>2</v>
      </c>
      <c r="E150" s="463">
        <f t="shared" si="23"/>
        <v>0</v>
      </c>
      <c r="F150" s="463">
        <f t="shared" si="23"/>
        <v>0</v>
      </c>
      <c r="G150" s="463">
        <f t="shared" si="23"/>
        <v>0</v>
      </c>
      <c r="H150" s="463">
        <f t="shared" si="24"/>
        <v>4343400</v>
      </c>
      <c r="I150" s="463">
        <f t="shared" si="23"/>
        <v>0</v>
      </c>
      <c r="J150" s="463">
        <f t="shared" si="23"/>
        <v>0</v>
      </c>
      <c r="K150" s="463">
        <f t="shared" si="23"/>
        <v>0</v>
      </c>
      <c r="L150" s="463">
        <f t="shared" si="23"/>
        <v>0</v>
      </c>
      <c r="M150" s="463">
        <f t="shared" si="23"/>
        <v>0</v>
      </c>
      <c r="N150" s="463">
        <f t="shared" si="23"/>
        <v>0</v>
      </c>
      <c r="O150" s="463">
        <f t="shared" si="23"/>
        <v>0</v>
      </c>
      <c r="P150" s="463">
        <f t="shared" si="23"/>
        <v>0</v>
      </c>
      <c r="Q150" s="463">
        <f>R150</f>
        <v>9429</v>
      </c>
      <c r="R150" s="463">
        <f t="shared" si="23"/>
        <v>9429</v>
      </c>
      <c r="S150" s="464"/>
    </row>
    <row r="151" spans="1:19" ht="12.75" hidden="1" thickBot="1">
      <c r="A151" s="2" t="s">
        <v>367</v>
      </c>
      <c r="B151" s="1" t="s">
        <v>1275</v>
      </c>
      <c r="C151" s="2" t="s">
        <v>1223</v>
      </c>
      <c r="D151" s="463">
        <f t="shared" si="23"/>
        <v>0</v>
      </c>
      <c r="E151" s="463">
        <f t="shared" si="23"/>
        <v>0</v>
      </c>
      <c r="F151" s="463">
        <f t="shared" si="23"/>
        <v>0</v>
      </c>
      <c r="G151" s="463">
        <f t="shared" si="23"/>
        <v>0</v>
      </c>
      <c r="H151" s="463">
        <f t="shared" si="24"/>
        <v>0</v>
      </c>
      <c r="I151" s="463">
        <f t="shared" si="23"/>
        <v>0</v>
      </c>
      <c r="J151" s="463">
        <f t="shared" si="23"/>
        <v>0</v>
      </c>
      <c r="K151" s="463">
        <f t="shared" si="23"/>
        <v>0</v>
      </c>
      <c r="L151" s="463">
        <f t="shared" si="23"/>
        <v>0</v>
      </c>
      <c r="M151" s="463">
        <f t="shared" si="23"/>
        <v>0</v>
      </c>
      <c r="N151" s="463">
        <f t="shared" si="23"/>
        <v>0</v>
      </c>
      <c r="O151" s="463">
        <f t="shared" si="23"/>
        <v>0</v>
      </c>
      <c r="P151" s="463">
        <f t="shared" si="23"/>
        <v>0</v>
      </c>
      <c r="Q151" s="463">
        <f t="shared" si="23"/>
        <v>0</v>
      </c>
      <c r="R151" s="463">
        <f t="shared" si="23"/>
        <v>0</v>
      </c>
      <c r="S151" s="464"/>
    </row>
    <row r="152" spans="1:19" ht="12.75" hidden="1" thickBot="1">
      <c r="A152" s="2" t="s">
        <v>367</v>
      </c>
      <c r="B152" s="1" t="s">
        <v>1275</v>
      </c>
      <c r="C152" s="2" t="s">
        <v>386</v>
      </c>
      <c r="D152" s="463">
        <f t="shared" si="23"/>
        <v>0</v>
      </c>
      <c r="E152" s="463">
        <f t="shared" si="23"/>
        <v>0</v>
      </c>
      <c r="F152" s="463">
        <f t="shared" si="23"/>
        <v>0</v>
      </c>
      <c r="G152" s="463">
        <f t="shared" si="23"/>
        <v>0</v>
      </c>
      <c r="H152" s="463">
        <f t="shared" si="24"/>
        <v>0</v>
      </c>
      <c r="I152" s="463">
        <f t="shared" si="23"/>
        <v>0</v>
      </c>
      <c r="J152" s="463">
        <f t="shared" si="23"/>
        <v>0</v>
      </c>
      <c r="K152" s="463">
        <f t="shared" si="23"/>
        <v>0</v>
      </c>
      <c r="L152" s="463">
        <f t="shared" si="23"/>
        <v>0</v>
      </c>
      <c r="M152" s="463">
        <f t="shared" si="23"/>
        <v>0</v>
      </c>
      <c r="N152" s="463">
        <f t="shared" si="23"/>
        <v>0</v>
      </c>
      <c r="O152" s="463">
        <f t="shared" si="23"/>
        <v>0</v>
      </c>
      <c r="P152" s="463">
        <f t="shared" si="23"/>
        <v>0</v>
      </c>
      <c r="Q152" s="463">
        <f t="shared" si="23"/>
        <v>0</v>
      </c>
      <c r="R152" s="463">
        <f t="shared" si="23"/>
        <v>0</v>
      </c>
      <c r="S152" s="464"/>
    </row>
    <row r="153" spans="1:19" ht="12.75" hidden="1" thickBot="1">
      <c r="A153" s="2" t="s">
        <v>367</v>
      </c>
      <c r="B153" s="1" t="s">
        <v>1275</v>
      </c>
      <c r="C153" s="2" t="s">
        <v>387</v>
      </c>
      <c r="D153" s="463">
        <f t="shared" si="23"/>
        <v>1</v>
      </c>
      <c r="E153" s="463">
        <f t="shared" si="23"/>
        <v>0</v>
      </c>
      <c r="F153" s="463">
        <f t="shared" si="23"/>
        <v>0</v>
      </c>
      <c r="G153" s="463">
        <f t="shared" si="23"/>
        <v>0</v>
      </c>
      <c r="H153" s="463">
        <f t="shared" si="24"/>
        <v>8289000</v>
      </c>
      <c r="I153" s="463">
        <f t="shared" si="23"/>
        <v>0</v>
      </c>
      <c r="J153" s="463">
        <f t="shared" si="23"/>
        <v>0</v>
      </c>
      <c r="K153" s="463">
        <f t="shared" si="23"/>
        <v>0</v>
      </c>
      <c r="L153" s="463">
        <f t="shared" si="23"/>
        <v>0</v>
      </c>
      <c r="M153" s="463">
        <f t="shared" si="23"/>
        <v>0</v>
      </c>
      <c r="N153" s="463">
        <f t="shared" si="23"/>
        <v>0</v>
      </c>
      <c r="O153" s="463">
        <f t="shared" si="23"/>
        <v>0</v>
      </c>
      <c r="P153" s="463">
        <f>R153</f>
        <v>12946</v>
      </c>
      <c r="Q153" s="463">
        <f t="shared" si="23"/>
        <v>0</v>
      </c>
      <c r="R153" s="463">
        <f t="shared" si="23"/>
        <v>12946</v>
      </c>
      <c r="S153" s="465"/>
    </row>
    <row r="154" spans="1:19" ht="12.75" hidden="1" thickBot="1">
      <c r="A154" s="2" t="s">
        <v>367</v>
      </c>
      <c r="B154" s="1" t="s">
        <v>1275</v>
      </c>
      <c r="C154" s="2" t="s">
        <v>388</v>
      </c>
      <c r="D154" s="463">
        <f t="shared" ref="D154:R169" si="26">ROUND(SUMIFS(D$409:D$780,$B$409:$B$780,$B154,$C$409:$C$780,$C154),0)</f>
        <v>12</v>
      </c>
      <c r="E154" s="463">
        <f t="shared" si="26"/>
        <v>0</v>
      </c>
      <c r="F154" s="463">
        <f t="shared" si="26"/>
        <v>0</v>
      </c>
      <c r="G154" s="463">
        <f t="shared" si="26"/>
        <v>0</v>
      </c>
      <c r="H154" s="463">
        <f t="shared" si="24"/>
        <v>88780755</v>
      </c>
      <c r="I154" s="463">
        <f t="shared" si="26"/>
        <v>0</v>
      </c>
      <c r="J154" s="463">
        <f t="shared" si="26"/>
        <v>0</v>
      </c>
      <c r="K154" s="463">
        <f t="shared" si="26"/>
        <v>0</v>
      </c>
      <c r="L154" s="463">
        <f t="shared" si="26"/>
        <v>0</v>
      </c>
      <c r="M154" s="463">
        <f t="shared" si="26"/>
        <v>0</v>
      </c>
      <c r="N154" s="463">
        <f t="shared" si="26"/>
        <v>0</v>
      </c>
      <c r="O154" s="463">
        <f t="shared" si="26"/>
        <v>164840</v>
      </c>
      <c r="P154" s="463">
        <f t="shared" si="26"/>
        <v>163262</v>
      </c>
      <c r="Q154" s="463">
        <f t="shared" si="26"/>
        <v>105280</v>
      </c>
      <c r="R154" s="463">
        <f t="shared" si="26"/>
        <v>0</v>
      </c>
      <c r="S154" s="464"/>
    </row>
    <row r="155" spans="1:19" ht="12.75" hidden="1" thickBot="1">
      <c r="A155" s="2" t="s">
        <v>367</v>
      </c>
      <c r="B155" s="1" t="s">
        <v>1275</v>
      </c>
      <c r="C155" s="2" t="s">
        <v>389</v>
      </c>
      <c r="D155" s="463">
        <f t="shared" si="26"/>
        <v>211</v>
      </c>
      <c r="E155" s="463">
        <f t="shared" si="26"/>
        <v>0</v>
      </c>
      <c r="F155" s="463">
        <f t="shared" si="26"/>
        <v>0</v>
      </c>
      <c r="G155" s="463">
        <f t="shared" si="26"/>
        <v>0</v>
      </c>
      <c r="H155" s="463">
        <f t="shared" si="24"/>
        <v>20979803</v>
      </c>
      <c r="I155" s="463">
        <f t="shared" si="26"/>
        <v>0</v>
      </c>
      <c r="J155" s="463">
        <f t="shared" si="26"/>
        <v>0</v>
      </c>
      <c r="K155" s="463">
        <f t="shared" si="26"/>
        <v>0</v>
      </c>
      <c r="L155" s="463">
        <f t="shared" si="26"/>
        <v>0</v>
      </c>
      <c r="M155" s="463">
        <f t="shared" si="26"/>
        <v>0</v>
      </c>
      <c r="N155" s="463">
        <f t="shared" si="26"/>
        <v>0</v>
      </c>
      <c r="O155" s="463">
        <f t="shared" si="26"/>
        <v>0</v>
      </c>
      <c r="P155" s="463">
        <f t="shared" si="26"/>
        <v>0</v>
      </c>
      <c r="Q155" s="463">
        <f t="shared" ref="Q155:Q156" si="27">R155</f>
        <v>58644</v>
      </c>
      <c r="R155" s="463">
        <f t="shared" si="26"/>
        <v>58644</v>
      </c>
      <c r="S155" s="465"/>
    </row>
    <row r="156" spans="1:19" ht="12.75" hidden="1" thickBot="1">
      <c r="A156" s="2" t="s">
        <v>367</v>
      </c>
      <c r="B156" s="1" t="s">
        <v>1275</v>
      </c>
      <c r="C156" s="2" t="s">
        <v>390</v>
      </c>
      <c r="D156" s="463">
        <f t="shared" si="26"/>
        <v>21</v>
      </c>
      <c r="E156" s="463">
        <f t="shared" si="26"/>
        <v>0</v>
      </c>
      <c r="F156" s="463">
        <f t="shared" si="26"/>
        <v>0</v>
      </c>
      <c r="G156" s="463">
        <f t="shared" si="26"/>
        <v>0</v>
      </c>
      <c r="H156" s="463">
        <f t="shared" si="24"/>
        <v>1232786</v>
      </c>
      <c r="I156" s="463">
        <f t="shared" si="26"/>
        <v>0</v>
      </c>
      <c r="J156" s="463">
        <f t="shared" si="26"/>
        <v>0</v>
      </c>
      <c r="K156" s="463">
        <f t="shared" si="26"/>
        <v>0</v>
      </c>
      <c r="L156" s="463">
        <f t="shared" si="26"/>
        <v>0</v>
      </c>
      <c r="M156" s="463">
        <f t="shared" si="26"/>
        <v>0</v>
      </c>
      <c r="N156" s="463">
        <f t="shared" si="26"/>
        <v>0</v>
      </c>
      <c r="O156" s="463">
        <f t="shared" si="26"/>
        <v>0</v>
      </c>
      <c r="P156" s="463">
        <f t="shared" si="26"/>
        <v>0</v>
      </c>
      <c r="Q156" s="463">
        <f t="shared" si="27"/>
        <v>4010</v>
      </c>
      <c r="R156" s="463">
        <f t="shared" si="26"/>
        <v>4010</v>
      </c>
      <c r="S156" s="465"/>
    </row>
    <row r="157" spans="1:19" ht="12.75" hidden="1" thickBot="1">
      <c r="A157" s="2" t="s">
        <v>367</v>
      </c>
      <c r="B157" s="1" t="s">
        <v>1275</v>
      </c>
      <c r="C157" s="2" t="s">
        <v>391</v>
      </c>
      <c r="D157" s="463">
        <f t="shared" si="26"/>
        <v>100</v>
      </c>
      <c r="E157" s="463">
        <f t="shared" si="26"/>
        <v>0</v>
      </c>
      <c r="F157" s="463">
        <f t="shared" si="26"/>
        <v>0</v>
      </c>
      <c r="G157" s="463">
        <f t="shared" si="26"/>
        <v>0</v>
      </c>
      <c r="H157" s="463">
        <f t="shared" si="24"/>
        <v>24315210</v>
      </c>
      <c r="I157" s="463">
        <f t="shared" si="26"/>
        <v>0</v>
      </c>
      <c r="J157" s="463">
        <f t="shared" si="26"/>
        <v>0</v>
      </c>
      <c r="K157" s="463">
        <f t="shared" si="26"/>
        <v>0</v>
      </c>
      <c r="L157" s="463">
        <f t="shared" si="26"/>
        <v>0</v>
      </c>
      <c r="M157" s="463">
        <f t="shared" si="26"/>
        <v>0</v>
      </c>
      <c r="N157" s="463">
        <f t="shared" si="26"/>
        <v>0</v>
      </c>
      <c r="O157" s="463">
        <f t="shared" si="26"/>
        <v>55168</v>
      </c>
      <c r="P157" s="463">
        <f t="shared" si="26"/>
        <v>52124</v>
      </c>
      <c r="Q157" s="463">
        <f t="shared" si="26"/>
        <v>50849</v>
      </c>
      <c r="R157" s="463">
        <f t="shared" si="26"/>
        <v>0</v>
      </c>
      <c r="S157" s="465"/>
    </row>
    <row r="158" spans="1:19" ht="12.75" hidden="1" thickBot="1">
      <c r="A158" s="2" t="s">
        <v>367</v>
      </c>
      <c r="B158" s="1" t="s">
        <v>1275</v>
      </c>
      <c r="C158" s="2" t="s">
        <v>392</v>
      </c>
      <c r="D158" s="463">
        <f t="shared" si="26"/>
        <v>72</v>
      </c>
      <c r="E158" s="463">
        <f t="shared" si="26"/>
        <v>0</v>
      </c>
      <c r="F158" s="463">
        <f t="shared" si="26"/>
        <v>0</v>
      </c>
      <c r="G158" s="463">
        <f t="shared" si="26"/>
        <v>0</v>
      </c>
      <c r="H158" s="463">
        <f t="shared" si="24"/>
        <v>155453213</v>
      </c>
      <c r="I158" s="463">
        <f t="shared" si="26"/>
        <v>0</v>
      </c>
      <c r="J158" s="463">
        <f t="shared" si="26"/>
        <v>0</v>
      </c>
      <c r="K158" s="463">
        <f t="shared" si="26"/>
        <v>0</v>
      </c>
      <c r="L158" s="463">
        <f t="shared" si="26"/>
        <v>0</v>
      </c>
      <c r="M158" s="463">
        <f t="shared" si="26"/>
        <v>0</v>
      </c>
      <c r="N158" s="463">
        <f t="shared" si="26"/>
        <v>0</v>
      </c>
      <c r="O158" s="463">
        <f t="shared" si="26"/>
        <v>342427</v>
      </c>
      <c r="P158" s="463">
        <f t="shared" si="26"/>
        <v>310877</v>
      </c>
      <c r="Q158" s="463">
        <f t="shared" si="26"/>
        <v>306747</v>
      </c>
      <c r="R158" s="463">
        <f t="shared" si="26"/>
        <v>0</v>
      </c>
      <c r="S158" s="464"/>
    </row>
    <row r="159" spans="1:19" ht="12.75" hidden="1" thickBot="1">
      <c r="A159" s="2" t="s">
        <v>367</v>
      </c>
      <c r="B159" s="1" t="s">
        <v>1275</v>
      </c>
      <c r="C159" s="2" t="s">
        <v>394</v>
      </c>
      <c r="D159" s="463">
        <f t="shared" si="26"/>
        <v>0</v>
      </c>
      <c r="E159" s="463">
        <f t="shared" si="26"/>
        <v>0</v>
      </c>
      <c r="F159" s="463">
        <f t="shared" si="26"/>
        <v>0</v>
      </c>
      <c r="G159" s="463">
        <f t="shared" si="26"/>
        <v>0</v>
      </c>
      <c r="H159" s="463">
        <f t="shared" si="24"/>
        <v>0</v>
      </c>
      <c r="I159" s="463">
        <f t="shared" si="26"/>
        <v>0</v>
      </c>
      <c r="J159" s="463">
        <f t="shared" si="26"/>
        <v>0</v>
      </c>
      <c r="K159" s="463">
        <f t="shared" si="26"/>
        <v>0</v>
      </c>
      <c r="L159" s="463">
        <f t="shared" si="26"/>
        <v>0</v>
      </c>
      <c r="M159" s="463">
        <f t="shared" si="26"/>
        <v>0</v>
      </c>
      <c r="N159" s="463">
        <f t="shared" si="26"/>
        <v>0</v>
      </c>
      <c r="O159" s="463">
        <f t="shared" si="26"/>
        <v>0</v>
      </c>
      <c r="P159" s="463">
        <f t="shared" si="26"/>
        <v>0</v>
      </c>
      <c r="Q159" s="463">
        <f t="shared" si="26"/>
        <v>0</v>
      </c>
      <c r="R159" s="463">
        <f t="shared" si="26"/>
        <v>0</v>
      </c>
      <c r="S159" s="464"/>
    </row>
    <row r="160" spans="1:19" ht="12.75" hidden="1" thickBot="1">
      <c r="A160" s="2" t="s">
        <v>367</v>
      </c>
      <c r="B160" s="1" t="s">
        <v>1275</v>
      </c>
      <c r="C160" s="2" t="s">
        <v>395</v>
      </c>
      <c r="D160" s="463">
        <f t="shared" si="26"/>
        <v>156</v>
      </c>
      <c r="E160" s="463">
        <f t="shared" si="26"/>
        <v>0</v>
      </c>
      <c r="F160" s="463">
        <f t="shared" si="26"/>
        <v>0</v>
      </c>
      <c r="G160" s="463">
        <f t="shared" si="26"/>
        <v>0</v>
      </c>
      <c r="H160" s="463">
        <f t="shared" si="24"/>
        <v>306985</v>
      </c>
      <c r="I160" s="463">
        <f t="shared" si="26"/>
        <v>0</v>
      </c>
      <c r="J160" s="463">
        <f t="shared" si="26"/>
        <v>0</v>
      </c>
      <c r="K160" s="463">
        <f t="shared" si="26"/>
        <v>0</v>
      </c>
      <c r="L160" s="463">
        <f t="shared" si="26"/>
        <v>0</v>
      </c>
      <c r="M160" s="463">
        <f t="shared" si="26"/>
        <v>0</v>
      </c>
      <c r="N160" s="463">
        <f t="shared" si="26"/>
        <v>0</v>
      </c>
      <c r="O160" s="463">
        <f t="shared" si="26"/>
        <v>0</v>
      </c>
      <c r="P160" s="463">
        <f t="shared" si="26"/>
        <v>0</v>
      </c>
      <c r="Q160" s="463">
        <f t="shared" si="26"/>
        <v>0</v>
      </c>
      <c r="R160" s="463">
        <f t="shared" si="26"/>
        <v>0</v>
      </c>
      <c r="S160" s="464"/>
    </row>
    <row r="161" spans="1:19" ht="12.75" hidden="1" thickBot="1">
      <c r="A161" s="2" t="s">
        <v>367</v>
      </c>
      <c r="B161" s="1" t="s">
        <v>1275</v>
      </c>
      <c r="C161" s="2" t="s">
        <v>396</v>
      </c>
      <c r="D161" s="463">
        <f t="shared" si="26"/>
        <v>0</v>
      </c>
      <c r="E161" s="463">
        <f t="shared" si="26"/>
        <v>0</v>
      </c>
      <c r="F161" s="463">
        <f t="shared" si="26"/>
        <v>0</v>
      </c>
      <c r="G161" s="463">
        <f t="shared" si="26"/>
        <v>0</v>
      </c>
      <c r="H161" s="463">
        <f t="shared" si="24"/>
        <v>0</v>
      </c>
      <c r="I161" s="463">
        <f t="shared" si="26"/>
        <v>0</v>
      </c>
      <c r="J161" s="463">
        <f t="shared" si="26"/>
        <v>0</v>
      </c>
      <c r="K161" s="463">
        <f t="shared" si="26"/>
        <v>0</v>
      </c>
      <c r="L161" s="463">
        <f t="shared" si="26"/>
        <v>0</v>
      </c>
      <c r="M161" s="463">
        <f t="shared" si="26"/>
        <v>0</v>
      </c>
      <c r="N161" s="463">
        <f t="shared" si="26"/>
        <v>0</v>
      </c>
      <c r="O161" s="463">
        <f t="shared" si="26"/>
        <v>0</v>
      </c>
      <c r="P161" s="463">
        <f t="shared" si="26"/>
        <v>0</v>
      </c>
      <c r="Q161" s="463">
        <f t="shared" si="26"/>
        <v>0</v>
      </c>
      <c r="R161" s="463">
        <f t="shared" si="26"/>
        <v>0</v>
      </c>
      <c r="S161" s="464"/>
    </row>
    <row r="162" spans="1:19" ht="12.75" hidden="1" thickBot="1">
      <c r="A162" s="2" t="s">
        <v>367</v>
      </c>
      <c r="B162" s="1" t="s">
        <v>1275</v>
      </c>
      <c r="C162" s="2" t="s">
        <v>397</v>
      </c>
      <c r="D162" s="463">
        <f t="shared" si="26"/>
        <v>905</v>
      </c>
      <c r="E162" s="463">
        <f t="shared" si="26"/>
        <v>0</v>
      </c>
      <c r="F162" s="463">
        <f t="shared" si="26"/>
        <v>0</v>
      </c>
      <c r="G162" s="463">
        <f t="shared" si="26"/>
        <v>0</v>
      </c>
      <c r="H162" s="463">
        <f t="shared" si="24"/>
        <v>274260</v>
      </c>
      <c r="I162" s="463">
        <f t="shared" si="26"/>
        <v>0</v>
      </c>
      <c r="J162" s="463">
        <f t="shared" si="26"/>
        <v>0</v>
      </c>
      <c r="K162" s="463">
        <f t="shared" si="26"/>
        <v>0</v>
      </c>
      <c r="L162" s="463">
        <f t="shared" si="26"/>
        <v>0</v>
      </c>
      <c r="M162" s="463">
        <f t="shared" si="26"/>
        <v>0</v>
      </c>
      <c r="N162" s="463">
        <f t="shared" si="26"/>
        <v>0</v>
      </c>
      <c r="O162" s="463">
        <f t="shared" si="26"/>
        <v>0</v>
      </c>
      <c r="P162" s="463">
        <f t="shared" si="26"/>
        <v>0</v>
      </c>
      <c r="Q162" s="463">
        <f t="shared" si="26"/>
        <v>0</v>
      </c>
      <c r="R162" s="463">
        <f t="shared" si="26"/>
        <v>0</v>
      </c>
      <c r="S162" s="464"/>
    </row>
    <row r="163" spans="1:19" ht="12.75" hidden="1" thickBot="1">
      <c r="A163" s="2" t="s">
        <v>367</v>
      </c>
      <c r="B163" s="1" t="s">
        <v>1275</v>
      </c>
      <c r="C163" s="2" t="s">
        <v>398</v>
      </c>
      <c r="D163" s="463">
        <f t="shared" si="26"/>
        <v>0</v>
      </c>
      <c r="E163" s="463">
        <f t="shared" si="26"/>
        <v>0</v>
      </c>
      <c r="F163" s="463">
        <f t="shared" si="26"/>
        <v>0</v>
      </c>
      <c r="G163" s="463">
        <f t="shared" si="26"/>
        <v>0</v>
      </c>
      <c r="H163" s="463">
        <f t="shared" si="24"/>
        <v>0</v>
      </c>
      <c r="I163" s="463">
        <f t="shared" si="26"/>
        <v>0</v>
      </c>
      <c r="J163" s="463">
        <f t="shared" si="26"/>
        <v>0</v>
      </c>
      <c r="K163" s="463">
        <f t="shared" si="26"/>
        <v>0</v>
      </c>
      <c r="L163" s="463">
        <f t="shared" si="26"/>
        <v>0</v>
      </c>
      <c r="M163" s="463">
        <f t="shared" si="26"/>
        <v>0</v>
      </c>
      <c r="N163" s="463">
        <f t="shared" si="26"/>
        <v>0</v>
      </c>
      <c r="O163" s="463">
        <f t="shared" si="26"/>
        <v>0</v>
      </c>
      <c r="P163" s="463">
        <f t="shared" si="26"/>
        <v>0</v>
      </c>
      <c r="Q163" s="463">
        <f t="shared" si="26"/>
        <v>0</v>
      </c>
      <c r="R163" s="463">
        <f t="shared" si="26"/>
        <v>0</v>
      </c>
      <c r="S163" s="464"/>
    </row>
    <row r="164" spans="1:19" ht="12.75" hidden="1" thickBot="1">
      <c r="A164" s="2" t="s">
        <v>367</v>
      </c>
      <c r="B164" s="1" t="s">
        <v>1275</v>
      </c>
      <c r="C164" s="2" t="s">
        <v>399</v>
      </c>
      <c r="D164" s="463">
        <f t="shared" si="26"/>
        <v>0</v>
      </c>
      <c r="E164" s="463">
        <f t="shared" si="26"/>
        <v>0</v>
      </c>
      <c r="F164" s="463">
        <f t="shared" si="26"/>
        <v>0</v>
      </c>
      <c r="G164" s="463">
        <f t="shared" si="26"/>
        <v>0</v>
      </c>
      <c r="H164" s="463">
        <f t="shared" si="24"/>
        <v>0</v>
      </c>
      <c r="I164" s="463">
        <f t="shared" si="26"/>
        <v>0</v>
      </c>
      <c r="J164" s="463">
        <f t="shared" si="26"/>
        <v>0</v>
      </c>
      <c r="K164" s="463">
        <f t="shared" si="26"/>
        <v>0</v>
      </c>
      <c r="L164" s="463">
        <f t="shared" si="26"/>
        <v>0</v>
      </c>
      <c r="M164" s="463">
        <f t="shared" si="26"/>
        <v>0</v>
      </c>
      <c r="N164" s="463">
        <f t="shared" si="26"/>
        <v>0</v>
      </c>
      <c r="O164" s="463">
        <f t="shared" si="26"/>
        <v>0</v>
      </c>
      <c r="P164" s="463">
        <f t="shared" si="26"/>
        <v>0</v>
      </c>
      <c r="Q164" s="463">
        <f t="shared" si="26"/>
        <v>0</v>
      </c>
      <c r="R164" s="463">
        <f t="shared" si="26"/>
        <v>0</v>
      </c>
      <c r="S164" s="464"/>
    </row>
    <row r="165" spans="1:19" ht="12.75" thickBot="1">
      <c r="A165" s="2" t="s">
        <v>367</v>
      </c>
      <c r="B165" s="1" t="s">
        <v>1275</v>
      </c>
      <c r="C165" s="2" t="s">
        <v>400</v>
      </c>
      <c r="D165" s="463">
        <f t="shared" si="26"/>
        <v>362413</v>
      </c>
      <c r="E165" s="463">
        <f t="shared" si="26"/>
        <v>0</v>
      </c>
      <c r="F165" s="463">
        <f t="shared" si="26"/>
        <v>0</v>
      </c>
      <c r="G165" s="463">
        <f t="shared" si="26"/>
        <v>0</v>
      </c>
      <c r="H165" s="463">
        <f t="shared" si="24"/>
        <v>295355367</v>
      </c>
      <c r="I165" s="463">
        <f t="shared" si="26"/>
        <v>0</v>
      </c>
      <c r="J165" s="463">
        <f t="shared" si="26"/>
        <v>0</v>
      </c>
      <c r="K165" s="463">
        <f t="shared" si="26"/>
        <v>0</v>
      </c>
      <c r="L165" s="463">
        <f t="shared" si="26"/>
        <v>0</v>
      </c>
      <c r="M165" s="463">
        <f t="shared" si="26"/>
        <v>0</v>
      </c>
      <c r="N165" s="463">
        <f t="shared" si="26"/>
        <v>0</v>
      </c>
      <c r="O165" s="463">
        <f t="shared" si="26"/>
        <v>0</v>
      </c>
      <c r="P165" s="463">
        <f t="shared" si="26"/>
        <v>0</v>
      </c>
      <c r="Q165" s="463">
        <f t="shared" si="26"/>
        <v>0</v>
      </c>
      <c r="R165" s="463">
        <f t="shared" si="26"/>
        <v>0</v>
      </c>
      <c r="S165" s="464"/>
    </row>
    <row r="166" spans="1:19" ht="12.75" hidden="1" thickBot="1">
      <c r="A166" s="2" t="s">
        <v>367</v>
      </c>
      <c r="B166" s="1" t="s">
        <v>1275</v>
      </c>
      <c r="C166" s="2" t="s">
        <v>401</v>
      </c>
      <c r="D166" s="463">
        <f t="shared" si="26"/>
        <v>0</v>
      </c>
      <c r="E166" s="463">
        <f t="shared" si="26"/>
        <v>0</v>
      </c>
      <c r="F166" s="463">
        <f t="shared" si="26"/>
        <v>0</v>
      </c>
      <c r="G166" s="463">
        <f t="shared" si="26"/>
        <v>0</v>
      </c>
      <c r="H166" s="463">
        <f t="shared" si="24"/>
        <v>0</v>
      </c>
      <c r="I166" s="463">
        <f t="shared" si="26"/>
        <v>0</v>
      </c>
      <c r="J166" s="463">
        <f t="shared" si="26"/>
        <v>0</v>
      </c>
      <c r="K166" s="463">
        <f t="shared" si="26"/>
        <v>0</v>
      </c>
      <c r="L166" s="463">
        <f t="shared" si="26"/>
        <v>0</v>
      </c>
      <c r="M166" s="463">
        <f t="shared" si="26"/>
        <v>0</v>
      </c>
      <c r="N166" s="463">
        <f t="shared" si="26"/>
        <v>0</v>
      </c>
      <c r="O166" s="463">
        <f t="shared" si="26"/>
        <v>0</v>
      </c>
      <c r="P166" s="463">
        <f t="shared" si="26"/>
        <v>0</v>
      </c>
      <c r="Q166" s="463">
        <f t="shared" si="26"/>
        <v>0</v>
      </c>
      <c r="R166" s="463">
        <f t="shared" si="26"/>
        <v>0</v>
      </c>
      <c r="S166" s="464"/>
    </row>
    <row r="167" spans="1:19" ht="12.75" hidden="1" thickBot="1">
      <c r="A167" s="2" t="s">
        <v>367</v>
      </c>
      <c r="B167" s="1" t="s">
        <v>1275</v>
      </c>
      <c r="C167" s="2" t="s">
        <v>402</v>
      </c>
      <c r="D167" s="463">
        <f t="shared" si="26"/>
        <v>0</v>
      </c>
      <c r="E167" s="463">
        <f t="shared" si="26"/>
        <v>0</v>
      </c>
      <c r="F167" s="463">
        <f t="shared" si="26"/>
        <v>0</v>
      </c>
      <c r="G167" s="463">
        <f t="shared" si="26"/>
        <v>0</v>
      </c>
      <c r="H167" s="463">
        <f t="shared" si="24"/>
        <v>0</v>
      </c>
      <c r="I167" s="463">
        <f t="shared" si="26"/>
        <v>0</v>
      </c>
      <c r="J167" s="463">
        <f t="shared" si="26"/>
        <v>0</v>
      </c>
      <c r="K167" s="463">
        <f t="shared" si="26"/>
        <v>0</v>
      </c>
      <c r="L167" s="463">
        <f t="shared" si="26"/>
        <v>0</v>
      </c>
      <c r="M167" s="463">
        <f t="shared" si="26"/>
        <v>0</v>
      </c>
      <c r="N167" s="463">
        <f t="shared" si="26"/>
        <v>0</v>
      </c>
      <c r="O167" s="463">
        <f t="shared" si="26"/>
        <v>0</v>
      </c>
      <c r="P167" s="463">
        <f t="shared" si="26"/>
        <v>0</v>
      </c>
      <c r="Q167" s="463">
        <f t="shared" si="26"/>
        <v>0</v>
      </c>
      <c r="R167" s="463">
        <f t="shared" si="26"/>
        <v>0</v>
      </c>
      <c r="S167" s="464"/>
    </row>
    <row r="168" spans="1:19" ht="12.75" hidden="1" thickBot="1">
      <c r="A168" s="2" t="s">
        <v>367</v>
      </c>
      <c r="B168" s="1" t="s">
        <v>1275</v>
      </c>
      <c r="C168" s="2" t="s">
        <v>706</v>
      </c>
      <c r="D168" s="463">
        <f t="shared" si="26"/>
        <v>21</v>
      </c>
      <c r="E168" s="463">
        <f t="shared" si="26"/>
        <v>23432</v>
      </c>
      <c r="F168" s="463">
        <f t="shared" si="26"/>
        <v>8205</v>
      </c>
      <c r="G168" s="463">
        <f t="shared" si="26"/>
        <v>8534</v>
      </c>
      <c r="H168" s="463">
        <f t="shared" si="24"/>
        <v>40171</v>
      </c>
      <c r="I168" s="463">
        <f t="shared" si="26"/>
        <v>0</v>
      </c>
      <c r="J168" s="463">
        <f t="shared" si="26"/>
        <v>0</v>
      </c>
      <c r="K168" s="463">
        <f t="shared" si="26"/>
        <v>0</v>
      </c>
      <c r="L168" s="463">
        <f t="shared" si="26"/>
        <v>0</v>
      </c>
      <c r="M168" s="463">
        <f t="shared" si="26"/>
        <v>0</v>
      </c>
      <c r="N168" s="463">
        <f t="shared" si="26"/>
        <v>0</v>
      </c>
      <c r="O168" s="463">
        <f t="shared" si="26"/>
        <v>0</v>
      </c>
      <c r="P168" s="463">
        <f t="shared" si="26"/>
        <v>0</v>
      </c>
      <c r="Q168" s="463">
        <f t="shared" si="26"/>
        <v>0</v>
      </c>
      <c r="R168" s="463">
        <f t="shared" si="26"/>
        <v>0</v>
      </c>
      <c r="S168" s="464"/>
    </row>
    <row r="169" spans="1:19" ht="12.75" hidden="1" thickBot="1">
      <c r="A169" s="2" t="s">
        <v>367</v>
      </c>
      <c r="B169" s="1" t="s">
        <v>1275</v>
      </c>
      <c r="C169" s="2" t="s">
        <v>1230</v>
      </c>
      <c r="D169" s="463">
        <f t="shared" si="26"/>
        <v>0</v>
      </c>
      <c r="E169" s="463">
        <f t="shared" si="26"/>
        <v>0</v>
      </c>
      <c r="F169" s="463">
        <f t="shared" si="26"/>
        <v>0</v>
      </c>
      <c r="G169" s="463">
        <f t="shared" si="26"/>
        <v>0</v>
      </c>
      <c r="H169" s="463">
        <f t="shared" si="24"/>
        <v>0</v>
      </c>
      <c r="I169" s="463">
        <f t="shared" si="26"/>
        <v>0</v>
      </c>
      <c r="J169" s="463">
        <f t="shared" si="26"/>
        <v>0</v>
      </c>
      <c r="K169" s="463">
        <f t="shared" si="26"/>
        <v>0</v>
      </c>
      <c r="L169" s="463">
        <f t="shared" si="26"/>
        <v>0</v>
      </c>
      <c r="M169" s="463">
        <f t="shared" si="26"/>
        <v>0</v>
      </c>
      <c r="N169" s="463">
        <f t="shared" si="26"/>
        <v>0</v>
      </c>
      <c r="O169" s="463">
        <f t="shared" si="26"/>
        <v>0</v>
      </c>
      <c r="P169" s="463">
        <f t="shared" si="26"/>
        <v>0</v>
      </c>
      <c r="Q169" s="463">
        <f t="shared" si="26"/>
        <v>0</v>
      </c>
      <c r="R169" s="463">
        <f t="shared" si="26"/>
        <v>0</v>
      </c>
      <c r="S169" s="464"/>
    </row>
    <row r="170" spans="1:19" ht="12.75" hidden="1" thickBot="1">
      <c r="A170" s="2" t="s">
        <v>367</v>
      </c>
      <c r="B170" s="1" t="s">
        <v>1275</v>
      </c>
      <c r="C170" s="17" t="s">
        <v>7</v>
      </c>
      <c r="D170" s="7"/>
      <c r="E170" s="456"/>
      <c r="F170" s="456"/>
      <c r="G170" s="456"/>
      <c r="H170" s="7"/>
      <c r="I170" s="468"/>
      <c r="J170" s="468"/>
      <c r="K170" s="468"/>
      <c r="L170" s="456"/>
      <c r="M170" s="456"/>
      <c r="N170" s="468"/>
      <c r="O170" s="18"/>
      <c r="P170" s="468"/>
      <c r="Q170" s="468"/>
      <c r="R170" s="468"/>
      <c r="S170" s="466"/>
    </row>
    <row r="171" spans="1:19" ht="12.75" hidden="1" thickBot="1">
      <c r="A171" s="2" t="s">
        <v>367</v>
      </c>
      <c r="B171" s="1" t="s">
        <v>1276</v>
      </c>
      <c r="C171" s="2" t="s">
        <v>368</v>
      </c>
      <c r="D171" s="463">
        <f t="shared" ref="D171:R187" si="28">ROUND(SUMIFS(D$409:D$780,$B$409:$B$780,$B171,$C$409:$C$780,$C171),0)</f>
        <v>0</v>
      </c>
      <c r="E171" s="463">
        <f t="shared" si="28"/>
        <v>0</v>
      </c>
      <c r="F171" s="463">
        <f t="shared" si="28"/>
        <v>0</v>
      </c>
      <c r="G171" s="463">
        <f t="shared" si="28"/>
        <v>0</v>
      </c>
      <c r="H171" s="463">
        <f t="shared" ref="H171:H203" si="29">ROUND(SUMIFS(H$409:H$780,$B$409:$B$780,$B171,$C$409:$C$780,$C171)*1000,0)</f>
        <v>0</v>
      </c>
      <c r="I171" s="463">
        <f t="shared" si="28"/>
        <v>0</v>
      </c>
      <c r="J171" s="463">
        <f t="shared" si="28"/>
        <v>0</v>
      </c>
      <c r="K171" s="463">
        <f t="shared" si="28"/>
        <v>0</v>
      </c>
      <c r="L171" s="463">
        <f t="shared" si="28"/>
        <v>0</v>
      </c>
      <c r="M171" s="463">
        <f t="shared" si="28"/>
        <v>0</v>
      </c>
      <c r="N171" s="463">
        <f t="shared" si="28"/>
        <v>0</v>
      </c>
      <c r="O171" s="463">
        <f t="shared" si="28"/>
        <v>0</v>
      </c>
      <c r="P171" s="463">
        <f t="shared" si="28"/>
        <v>0</v>
      </c>
      <c r="Q171" s="463">
        <f t="shared" si="28"/>
        <v>0</v>
      </c>
      <c r="R171" s="463">
        <f t="shared" si="28"/>
        <v>0</v>
      </c>
      <c r="S171" s="469"/>
    </row>
    <row r="172" spans="1:19" ht="12.75" hidden="1" thickBot="1">
      <c r="A172" s="2" t="s">
        <v>367</v>
      </c>
      <c r="B172" s="1" t="s">
        <v>1276</v>
      </c>
      <c r="C172" s="2" t="s">
        <v>370</v>
      </c>
      <c r="D172" s="463">
        <f t="shared" si="28"/>
        <v>28274</v>
      </c>
      <c r="E172" s="463">
        <f t="shared" si="28"/>
        <v>0</v>
      </c>
      <c r="F172" s="463">
        <f t="shared" si="28"/>
        <v>0</v>
      </c>
      <c r="G172" s="463">
        <f t="shared" si="28"/>
        <v>0</v>
      </c>
      <c r="H172" s="463">
        <f t="shared" si="29"/>
        <v>36031760</v>
      </c>
      <c r="I172" s="463">
        <f t="shared" si="28"/>
        <v>0</v>
      </c>
      <c r="J172" s="463">
        <f t="shared" si="28"/>
        <v>0</v>
      </c>
      <c r="K172" s="463">
        <f t="shared" si="28"/>
        <v>0</v>
      </c>
      <c r="L172" s="463">
        <f t="shared" si="28"/>
        <v>0</v>
      </c>
      <c r="M172" s="463">
        <f t="shared" si="28"/>
        <v>0</v>
      </c>
      <c r="N172" s="463">
        <f t="shared" si="28"/>
        <v>0</v>
      </c>
      <c r="O172" s="463">
        <f t="shared" si="28"/>
        <v>0</v>
      </c>
      <c r="P172" s="463">
        <f t="shared" si="28"/>
        <v>0</v>
      </c>
      <c r="Q172" s="463">
        <f t="shared" si="28"/>
        <v>0</v>
      </c>
      <c r="R172" s="463">
        <f t="shared" si="28"/>
        <v>0</v>
      </c>
      <c r="S172" s="469"/>
    </row>
    <row r="173" spans="1:19" ht="12.75" hidden="1" thickBot="1">
      <c r="A173" s="2" t="s">
        <v>367</v>
      </c>
      <c r="B173" s="1" t="s">
        <v>1276</v>
      </c>
      <c r="C173" s="2" t="s">
        <v>371</v>
      </c>
      <c r="D173" s="463">
        <f t="shared" si="28"/>
        <v>0</v>
      </c>
      <c r="E173" s="463">
        <f t="shared" si="28"/>
        <v>0</v>
      </c>
      <c r="F173" s="463">
        <f t="shared" si="28"/>
        <v>0</v>
      </c>
      <c r="G173" s="463">
        <f t="shared" si="28"/>
        <v>0</v>
      </c>
      <c r="H173" s="463">
        <f t="shared" si="29"/>
        <v>0</v>
      </c>
      <c r="I173" s="463">
        <f t="shared" si="28"/>
        <v>0</v>
      </c>
      <c r="J173" s="463">
        <f t="shared" si="28"/>
        <v>0</v>
      </c>
      <c r="K173" s="463">
        <f t="shared" si="28"/>
        <v>0</v>
      </c>
      <c r="L173" s="463">
        <f t="shared" si="28"/>
        <v>0</v>
      </c>
      <c r="M173" s="463">
        <f t="shared" si="28"/>
        <v>0</v>
      </c>
      <c r="N173" s="463">
        <f t="shared" si="28"/>
        <v>0</v>
      </c>
      <c r="O173" s="463">
        <f t="shared" si="28"/>
        <v>0</v>
      </c>
      <c r="P173" s="463">
        <f t="shared" si="28"/>
        <v>0</v>
      </c>
      <c r="Q173" s="463">
        <f t="shared" si="28"/>
        <v>0</v>
      </c>
      <c r="R173" s="463">
        <f t="shared" si="28"/>
        <v>0</v>
      </c>
      <c r="S173" s="469"/>
    </row>
    <row r="174" spans="1:19" ht="12.75" hidden="1" thickBot="1">
      <c r="A174" s="2" t="s">
        <v>367</v>
      </c>
      <c r="B174" s="1" t="s">
        <v>1276</v>
      </c>
      <c r="C174" s="2" t="s">
        <v>372</v>
      </c>
      <c r="D174" s="463">
        <f t="shared" si="28"/>
        <v>0</v>
      </c>
      <c r="E174" s="463">
        <f t="shared" si="28"/>
        <v>0</v>
      </c>
      <c r="F174" s="463">
        <f t="shared" si="28"/>
        <v>0</v>
      </c>
      <c r="G174" s="463">
        <f t="shared" si="28"/>
        <v>0</v>
      </c>
      <c r="H174" s="463">
        <f t="shared" si="29"/>
        <v>0</v>
      </c>
      <c r="I174" s="463">
        <f t="shared" si="28"/>
        <v>0</v>
      </c>
      <c r="J174" s="463">
        <f t="shared" si="28"/>
        <v>0</v>
      </c>
      <c r="K174" s="463">
        <f t="shared" si="28"/>
        <v>0</v>
      </c>
      <c r="L174" s="463">
        <f t="shared" si="28"/>
        <v>0</v>
      </c>
      <c r="M174" s="463">
        <f t="shared" si="28"/>
        <v>0</v>
      </c>
      <c r="N174" s="463">
        <f t="shared" si="28"/>
        <v>0</v>
      </c>
      <c r="O174" s="463">
        <f t="shared" si="28"/>
        <v>0</v>
      </c>
      <c r="P174" s="463">
        <f t="shared" si="28"/>
        <v>0</v>
      </c>
      <c r="Q174" s="463">
        <f t="shared" si="28"/>
        <v>0</v>
      </c>
      <c r="R174" s="463">
        <f t="shared" si="28"/>
        <v>0</v>
      </c>
      <c r="S174" s="469"/>
    </row>
    <row r="175" spans="1:19" ht="12.75" hidden="1" thickBot="1">
      <c r="A175" s="2" t="s">
        <v>367</v>
      </c>
      <c r="B175" s="1" t="s">
        <v>1276</v>
      </c>
      <c r="C175" s="2" t="s">
        <v>374</v>
      </c>
      <c r="D175" s="463">
        <f t="shared" si="28"/>
        <v>0</v>
      </c>
      <c r="E175" s="463">
        <f t="shared" si="28"/>
        <v>0</v>
      </c>
      <c r="F175" s="463">
        <f t="shared" si="28"/>
        <v>0</v>
      </c>
      <c r="G175" s="463">
        <f t="shared" si="28"/>
        <v>0</v>
      </c>
      <c r="H175" s="463">
        <f t="shared" si="29"/>
        <v>0</v>
      </c>
      <c r="I175" s="463">
        <f t="shared" si="28"/>
        <v>0</v>
      </c>
      <c r="J175" s="463">
        <f t="shared" si="28"/>
        <v>0</v>
      </c>
      <c r="K175" s="463">
        <f t="shared" si="28"/>
        <v>0</v>
      </c>
      <c r="L175" s="463">
        <f t="shared" si="28"/>
        <v>0</v>
      </c>
      <c r="M175" s="463">
        <f t="shared" si="28"/>
        <v>0</v>
      </c>
      <c r="N175" s="463">
        <f t="shared" si="28"/>
        <v>0</v>
      </c>
      <c r="O175" s="463">
        <f t="shared" si="28"/>
        <v>0</v>
      </c>
      <c r="P175" s="463">
        <f t="shared" si="28"/>
        <v>0</v>
      </c>
      <c r="Q175" s="463">
        <f t="shared" si="28"/>
        <v>0</v>
      </c>
      <c r="R175" s="463">
        <f t="shared" si="28"/>
        <v>0</v>
      </c>
      <c r="S175" s="469"/>
    </row>
    <row r="176" spans="1:19" ht="12.75" hidden="1" thickBot="1">
      <c r="A176" s="2" t="s">
        <v>367</v>
      </c>
      <c r="B176" s="1" t="s">
        <v>1276</v>
      </c>
      <c r="C176" s="2" t="s">
        <v>375</v>
      </c>
      <c r="D176" s="463">
        <f t="shared" si="28"/>
        <v>2585</v>
      </c>
      <c r="E176" s="463">
        <f t="shared" si="28"/>
        <v>0</v>
      </c>
      <c r="F176" s="463">
        <f t="shared" si="28"/>
        <v>0</v>
      </c>
      <c r="G176" s="463">
        <f t="shared" si="28"/>
        <v>0</v>
      </c>
      <c r="H176" s="463">
        <f t="shared" si="29"/>
        <v>170619420</v>
      </c>
      <c r="I176" s="463">
        <f t="shared" si="28"/>
        <v>0</v>
      </c>
      <c r="J176" s="463">
        <f t="shared" si="28"/>
        <v>0</v>
      </c>
      <c r="K176" s="463">
        <f t="shared" si="28"/>
        <v>0</v>
      </c>
      <c r="L176" s="463">
        <f t="shared" si="28"/>
        <v>0</v>
      </c>
      <c r="M176" s="463">
        <f t="shared" si="28"/>
        <v>0</v>
      </c>
      <c r="N176" s="463">
        <f t="shared" si="28"/>
        <v>0</v>
      </c>
      <c r="O176" s="463">
        <f t="shared" si="28"/>
        <v>0</v>
      </c>
      <c r="P176" s="463">
        <f t="shared" si="28"/>
        <v>0</v>
      </c>
      <c r="Q176" s="463">
        <f t="shared" ref="Q176:Q177" si="30">R176</f>
        <v>389231</v>
      </c>
      <c r="R176" s="463">
        <f t="shared" si="28"/>
        <v>389231</v>
      </c>
      <c r="S176" s="470"/>
    </row>
    <row r="177" spans="1:19" ht="12.75" hidden="1" thickBot="1">
      <c r="A177" s="2" t="s">
        <v>367</v>
      </c>
      <c r="B177" s="1" t="s">
        <v>1276</v>
      </c>
      <c r="C177" s="2" t="s">
        <v>376</v>
      </c>
      <c r="D177" s="463">
        <f t="shared" si="28"/>
        <v>52</v>
      </c>
      <c r="E177" s="463">
        <f t="shared" si="28"/>
        <v>0</v>
      </c>
      <c r="F177" s="463">
        <f t="shared" si="28"/>
        <v>0</v>
      </c>
      <c r="G177" s="463">
        <f t="shared" si="28"/>
        <v>0</v>
      </c>
      <c r="H177" s="463">
        <f t="shared" si="29"/>
        <v>14473039</v>
      </c>
      <c r="I177" s="463">
        <f t="shared" si="28"/>
        <v>0</v>
      </c>
      <c r="J177" s="463">
        <f t="shared" si="28"/>
        <v>0</v>
      </c>
      <c r="K177" s="463">
        <f t="shared" si="28"/>
        <v>0</v>
      </c>
      <c r="L177" s="463">
        <f t="shared" si="28"/>
        <v>0</v>
      </c>
      <c r="M177" s="463">
        <f t="shared" si="28"/>
        <v>0</v>
      </c>
      <c r="N177" s="463">
        <f t="shared" si="28"/>
        <v>0</v>
      </c>
      <c r="O177" s="463">
        <f t="shared" si="28"/>
        <v>0</v>
      </c>
      <c r="P177" s="463">
        <f t="shared" si="28"/>
        <v>0</v>
      </c>
      <c r="Q177" s="463">
        <f t="shared" si="30"/>
        <v>32085</v>
      </c>
      <c r="R177" s="463">
        <f t="shared" si="28"/>
        <v>32085</v>
      </c>
      <c r="S177" s="470"/>
    </row>
    <row r="178" spans="1:19" ht="12.75" hidden="1" thickBot="1">
      <c r="A178" s="2" t="s">
        <v>367</v>
      </c>
      <c r="B178" s="1" t="s">
        <v>1276</v>
      </c>
      <c r="C178" s="2" t="s">
        <v>377</v>
      </c>
      <c r="D178" s="463">
        <f t="shared" si="28"/>
        <v>0</v>
      </c>
      <c r="E178" s="463">
        <f t="shared" si="28"/>
        <v>0</v>
      </c>
      <c r="F178" s="463">
        <f t="shared" si="28"/>
        <v>0</v>
      </c>
      <c r="G178" s="463">
        <f t="shared" si="28"/>
        <v>0</v>
      </c>
      <c r="H178" s="463">
        <f t="shared" si="29"/>
        <v>0</v>
      </c>
      <c r="I178" s="463">
        <f t="shared" si="28"/>
        <v>0</v>
      </c>
      <c r="J178" s="463">
        <f t="shared" si="28"/>
        <v>0</v>
      </c>
      <c r="K178" s="463">
        <f t="shared" si="28"/>
        <v>0</v>
      </c>
      <c r="L178" s="463">
        <f t="shared" si="28"/>
        <v>0</v>
      </c>
      <c r="M178" s="463">
        <f t="shared" si="28"/>
        <v>0</v>
      </c>
      <c r="N178" s="463">
        <f t="shared" si="28"/>
        <v>0</v>
      </c>
      <c r="O178" s="463">
        <f t="shared" si="28"/>
        <v>0</v>
      </c>
      <c r="P178" s="463">
        <f t="shared" si="28"/>
        <v>0</v>
      </c>
      <c r="Q178" s="463">
        <f t="shared" si="28"/>
        <v>0</v>
      </c>
      <c r="R178" s="463">
        <f t="shared" si="28"/>
        <v>0</v>
      </c>
      <c r="S178" s="470"/>
    </row>
    <row r="179" spans="1:19" ht="12.75" hidden="1" thickBot="1">
      <c r="A179" s="2" t="s">
        <v>367</v>
      </c>
      <c r="B179" s="1" t="s">
        <v>1276</v>
      </c>
      <c r="C179" s="2" t="s">
        <v>378</v>
      </c>
      <c r="D179" s="463">
        <f t="shared" si="28"/>
        <v>227</v>
      </c>
      <c r="E179" s="463">
        <f t="shared" si="28"/>
        <v>0</v>
      </c>
      <c r="F179" s="463">
        <f t="shared" si="28"/>
        <v>0</v>
      </c>
      <c r="G179" s="463">
        <f t="shared" si="28"/>
        <v>0</v>
      </c>
      <c r="H179" s="463">
        <f t="shared" si="29"/>
        <v>76748015</v>
      </c>
      <c r="I179" s="463">
        <f t="shared" si="28"/>
        <v>0</v>
      </c>
      <c r="J179" s="463">
        <f t="shared" si="28"/>
        <v>0</v>
      </c>
      <c r="K179" s="463">
        <f t="shared" si="28"/>
        <v>0</v>
      </c>
      <c r="L179" s="463">
        <f t="shared" si="28"/>
        <v>0</v>
      </c>
      <c r="M179" s="463">
        <f t="shared" si="28"/>
        <v>0</v>
      </c>
      <c r="N179" s="463">
        <f t="shared" si="28"/>
        <v>0</v>
      </c>
      <c r="O179" s="463">
        <f t="shared" si="28"/>
        <v>155338</v>
      </c>
      <c r="P179" s="463">
        <f t="shared" si="28"/>
        <v>149375</v>
      </c>
      <c r="Q179" s="463">
        <f t="shared" si="28"/>
        <v>147579</v>
      </c>
      <c r="R179" s="463">
        <f t="shared" si="28"/>
        <v>0</v>
      </c>
      <c r="S179" s="470"/>
    </row>
    <row r="180" spans="1:19" ht="12.75" hidden="1" thickBot="1">
      <c r="A180" s="2" t="s">
        <v>367</v>
      </c>
      <c r="B180" s="1" t="s">
        <v>1276</v>
      </c>
      <c r="C180" s="2" t="s">
        <v>379</v>
      </c>
      <c r="D180" s="463">
        <f t="shared" si="28"/>
        <v>41</v>
      </c>
      <c r="E180" s="463">
        <f t="shared" si="28"/>
        <v>0</v>
      </c>
      <c r="F180" s="463">
        <f t="shared" si="28"/>
        <v>0</v>
      </c>
      <c r="G180" s="463">
        <f t="shared" si="28"/>
        <v>0</v>
      </c>
      <c r="H180" s="463">
        <f t="shared" si="29"/>
        <v>35716090</v>
      </c>
      <c r="I180" s="463">
        <f t="shared" si="28"/>
        <v>0</v>
      </c>
      <c r="J180" s="463">
        <f t="shared" si="28"/>
        <v>0</v>
      </c>
      <c r="K180" s="463">
        <f t="shared" si="28"/>
        <v>0</v>
      </c>
      <c r="L180" s="463">
        <f t="shared" si="28"/>
        <v>0</v>
      </c>
      <c r="M180" s="463">
        <f t="shared" si="28"/>
        <v>0</v>
      </c>
      <c r="N180" s="463">
        <f t="shared" si="28"/>
        <v>0</v>
      </c>
      <c r="O180" s="463">
        <f t="shared" si="28"/>
        <v>80665</v>
      </c>
      <c r="P180" s="463">
        <f t="shared" si="28"/>
        <v>74590</v>
      </c>
      <c r="Q180" s="463">
        <f t="shared" si="28"/>
        <v>73984</v>
      </c>
      <c r="R180" s="463">
        <f t="shared" si="28"/>
        <v>0</v>
      </c>
      <c r="S180" s="469"/>
    </row>
    <row r="181" spans="1:19" ht="12.75" hidden="1" thickBot="1">
      <c r="A181" s="2" t="s">
        <v>367</v>
      </c>
      <c r="B181" s="1" t="s">
        <v>1276</v>
      </c>
      <c r="C181" s="2" t="s">
        <v>381</v>
      </c>
      <c r="D181" s="463">
        <f t="shared" si="28"/>
        <v>16417</v>
      </c>
      <c r="E181" s="463">
        <f t="shared" si="28"/>
        <v>0</v>
      </c>
      <c r="F181" s="463">
        <f t="shared" si="28"/>
        <v>0</v>
      </c>
      <c r="G181" s="463">
        <f t="shared" si="28"/>
        <v>0</v>
      </c>
      <c r="H181" s="463">
        <f t="shared" si="29"/>
        <v>92005903</v>
      </c>
      <c r="I181" s="463">
        <f t="shared" si="28"/>
        <v>0</v>
      </c>
      <c r="J181" s="463">
        <f t="shared" si="28"/>
        <v>0</v>
      </c>
      <c r="K181" s="463">
        <f t="shared" si="28"/>
        <v>0</v>
      </c>
      <c r="L181" s="463">
        <f t="shared" si="28"/>
        <v>0</v>
      </c>
      <c r="M181" s="463">
        <f t="shared" si="28"/>
        <v>0</v>
      </c>
      <c r="N181" s="463">
        <f t="shared" si="28"/>
        <v>0</v>
      </c>
      <c r="O181" s="463">
        <f>R181</f>
        <v>216926</v>
      </c>
      <c r="P181" s="463">
        <f t="shared" si="28"/>
        <v>0</v>
      </c>
      <c r="Q181" s="463">
        <f t="shared" si="28"/>
        <v>0</v>
      </c>
      <c r="R181" s="463">
        <f t="shared" si="28"/>
        <v>216926</v>
      </c>
      <c r="S181" s="469"/>
    </row>
    <row r="182" spans="1:19" ht="12.75" hidden="1" thickBot="1">
      <c r="A182" s="2" t="s">
        <v>367</v>
      </c>
      <c r="B182" s="1" t="s">
        <v>1276</v>
      </c>
      <c r="C182" s="2" t="s">
        <v>382</v>
      </c>
      <c r="D182" s="463">
        <f t="shared" si="28"/>
        <v>0</v>
      </c>
      <c r="E182" s="463">
        <f t="shared" si="28"/>
        <v>0</v>
      </c>
      <c r="F182" s="463">
        <f t="shared" si="28"/>
        <v>0</v>
      </c>
      <c r="G182" s="463">
        <f t="shared" si="28"/>
        <v>0</v>
      </c>
      <c r="H182" s="463">
        <f t="shared" si="29"/>
        <v>0</v>
      </c>
      <c r="I182" s="463">
        <f t="shared" si="28"/>
        <v>0</v>
      </c>
      <c r="J182" s="463">
        <f t="shared" si="28"/>
        <v>0</v>
      </c>
      <c r="K182" s="463">
        <f t="shared" si="28"/>
        <v>0</v>
      </c>
      <c r="L182" s="463">
        <f t="shared" si="28"/>
        <v>0</v>
      </c>
      <c r="M182" s="463">
        <f t="shared" si="28"/>
        <v>0</v>
      </c>
      <c r="N182" s="463">
        <f t="shared" si="28"/>
        <v>0</v>
      </c>
      <c r="O182" s="463">
        <f t="shared" si="28"/>
        <v>0</v>
      </c>
      <c r="P182" s="463">
        <f t="shared" si="28"/>
        <v>0</v>
      </c>
      <c r="Q182" s="463">
        <f t="shared" si="28"/>
        <v>0</v>
      </c>
      <c r="R182" s="463">
        <f t="shared" si="28"/>
        <v>0</v>
      </c>
      <c r="S182" s="469"/>
    </row>
    <row r="183" spans="1:19" ht="12.75" hidden="1" thickBot="1">
      <c r="A183" s="2" t="s">
        <v>367</v>
      </c>
      <c r="B183" s="1" t="s">
        <v>1276</v>
      </c>
      <c r="C183" s="2" t="s">
        <v>384</v>
      </c>
      <c r="D183" s="463">
        <f t="shared" si="28"/>
        <v>0</v>
      </c>
      <c r="E183" s="463">
        <f t="shared" si="28"/>
        <v>0</v>
      </c>
      <c r="F183" s="463">
        <f t="shared" si="28"/>
        <v>0</v>
      </c>
      <c r="G183" s="463">
        <f t="shared" si="28"/>
        <v>0</v>
      </c>
      <c r="H183" s="463">
        <f t="shared" si="29"/>
        <v>0</v>
      </c>
      <c r="I183" s="463">
        <f t="shared" si="28"/>
        <v>0</v>
      </c>
      <c r="J183" s="463">
        <f t="shared" si="28"/>
        <v>0</v>
      </c>
      <c r="K183" s="463">
        <f t="shared" si="28"/>
        <v>0</v>
      </c>
      <c r="L183" s="463">
        <f t="shared" si="28"/>
        <v>0</v>
      </c>
      <c r="M183" s="463">
        <f t="shared" si="28"/>
        <v>0</v>
      </c>
      <c r="N183" s="463">
        <f t="shared" si="28"/>
        <v>0</v>
      </c>
      <c r="O183" s="463">
        <f t="shared" si="28"/>
        <v>0</v>
      </c>
      <c r="P183" s="463">
        <f t="shared" si="28"/>
        <v>0</v>
      </c>
      <c r="Q183" s="463">
        <f t="shared" si="28"/>
        <v>0</v>
      </c>
      <c r="R183" s="463">
        <f t="shared" si="28"/>
        <v>0</v>
      </c>
      <c r="S183" s="469"/>
    </row>
    <row r="184" spans="1:19" ht="12.75" hidden="1" thickBot="1">
      <c r="A184" s="2" t="s">
        <v>367</v>
      </c>
      <c r="B184" s="1" t="s">
        <v>1276</v>
      </c>
      <c r="C184" s="2" t="s">
        <v>385</v>
      </c>
      <c r="D184" s="463">
        <f t="shared" si="28"/>
        <v>2</v>
      </c>
      <c r="E184" s="463">
        <f t="shared" si="28"/>
        <v>0</v>
      </c>
      <c r="F184" s="463">
        <f t="shared" si="28"/>
        <v>0</v>
      </c>
      <c r="G184" s="463">
        <f t="shared" si="28"/>
        <v>0</v>
      </c>
      <c r="H184" s="463">
        <f t="shared" si="29"/>
        <v>4921800</v>
      </c>
      <c r="I184" s="463">
        <f t="shared" si="28"/>
        <v>0</v>
      </c>
      <c r="J184" s="463">
        <f t="shared" si="28"/>
        <v>0</v>
      </c>
      <c r="K184" s="463">
        <f t="shared" si="28"/>
        <v>0</v>
      </c>
      <c r="L184" s="463">
        <f t="shared" si="28"/>
        <v>0</v>
      </c>
      <c r="M184" s="463">
        <f t="shared" si="28"/>
        <v>0</v>
      </c>
      <c r="N184" s="463">
        <f t="shared" si="28"/>
        <v>0</v>
      </c>
      <c r="O184" s="463">
        <f t="shared" si="28"/>
        <v>0</v>
      </c>
      <c r="P184" s="463">
        <f t="shared" si="28"/>
        <v>0</v>
      </c>
      <c r="Q184" s="463">
        <f>R184</f>
        <v>9435</v>
      </c>
      <c r="R184" s="463">
        <f t="shared" si="28"/>
        <v>9435</v>
      </c>
      <c r="S184" s="469"/>
    </row>
    <row r="185" spans="1:19" ht="12.75" hidden="1" thickBot="1">
      <c r="A185" s="2" t="s">
        <v>367</v>
      </c>
      <c r="B185" s="1" t="s">
        <v>1276</v>
      </c>
      <c r="C185" s="2" t="s">
        <v>1223</v>
      </c>
      <c r="D185" s="463">
        <f t="shared" si="28"/>
        <v>0</v>
      </c>
      <c r="E185" s="463">
        <f t="shared" si="28"/>
        <v>0</v>
      </c>
      <c r="F185" s="463">
        <f t="shared" si="28"/>
        <v>0</v>
      </c>
      <c r="G185" s="463">
        <f t="shared" si="28"/>
        <v>0</v>
      </c>
      <c r="H185" s="463">
        <f t="shared" si="29"/>
        <v>0</v>
      </c>
      <c r="I185" s="463">
        <f t="shared" si="28"/>
        <v>0</v>
      </c>
      <c r="J185" s="463">
        <f t="shared" si="28"/>
        <v>0</v>
      </c>
      <c r="K185" s="463">
        <f t="shared" si="28"/>
        <v>0</v>
      </c>
      <c r="L185" s="463">
        <f t="shared" si="28"/>
        <v>0</v>
      </c>
      <c r="M185" s="463">
        <f t="shared" si="28"/>
        <v>0</v>
      </c>
      <c r="N185" s="463">
        <f t="shared" si="28"/>
        <v>0</v>
      </c>
      <c r="O185" s="463">
        <f t="shared" si="28"/>
        <v>0</v>
      </c>
      <c r="P185" s="463">
        <f t="shared" si="28"/>
        <v>0</v>
      </c>
      <c r="Q185" s="463">
        <f t="shared" si="28"/>
        <v>0</v>
      </c>
      <c r="R185" s="463">
        <f t="shared" si="28"/>
        <v>0</v>
      </c>
      <c r="S185" s="469"/>
    </row>
    <row r="186" spans="1:19" ht="12.75" hidden="1" thickBot="1">
      <c r="A186" s="2" t="s">
        <v>367</v>
      </c>
      <c r="B186" s="1" t="s">
        <v>1276</v>
      </c>
      <c r="C186" s="2" t="s">
        <v>386</v>
      </c>
      <c r="D186" s="463">
        <f t="shared" si="28"/>
        <v>0</v>
      </c>
      <c r="E186" s="463">
        <f t="shared" si="28"/>
        <v>0</v>
      </c>
      <c r="F186" s="463">
        <f t="shared" si="28"/>
        <v>0</v>
      </c>
      <c r="G186" s="463">
        <f t="shared" si="28"/>
        <v>0</v>
      </c>
      <c r="H186" s="463">
        <f t="shared" si="29"/>
        <v>0</v>
      </c>
      <c r="I186" s="463">
        <f t="shared" si="28"/>
        <v>0</v>
      </c>
      <c r="J186" s="463">
        <f t="shared" si="28"/>
        <v>0</v>
      </c>
      <c r="K186" s="463">
        <f t="shared" si="28"/>
        <v>0</v>
      </c>
      <c r="L186" s="463">
        <f t="shared" si="28"/>
        <v>0</v>
      </c>
      <c r="M186" s="463">
        <f t="shared" si="28"/>
        <v>0</v>
      </c>
      <c r="N186" s="463">
        <f t="shared" si="28"/>
        <v>0</v>
      </c>
      <c r="O186" s="463">
        <f t="shared" si="28"/>
        <v>0</v>
      </c>
      <c r="P186" s="463">
        <f t="shared" si="28"/>
        <v>0</v>
      </c>
      <c r="Q186" s="463">
        <f t="shared" si="28"/>
        <v>0</v>
      </c>
      <c r="R186" s="463">
        <f t="shared" si="28"/>
        <v>0</v>
      </c>
      <c r="S186" s="469"/>
    </row>
    <row r="187" spans="1:19" ht="12.75" hidden="1" thickBot="1">
      <c r="A187" s="2" t="s">
        <v>367</v>
      </c>
      <c r="B187" s="1" t="s">
        <v>1276</v>
      </c>
      <c r="C187" s="2" t="s">
        <v>387</v>
      </c>
      <c r="D187" s="463">
        <f t="shared" si="28"/>
        <v>1</v>
      </c>
      <c r="E187" s="463">
        <f t="shared" si="28"/>
        <v>0</v>
      </c>
      <c r="F187" s="463">
        <f t="shared" si="28"/>
        <v>0</v>
      </c>
      <c r="G187" s="463">
        <f t="shared" si="28"/>
        <v>0</v>
      </c>
      <c r="H187" s="463">
        <f t="shared" si="29"/>
        <v>10068000</v>
      </c>
      <c r="I187" s="463">
        <f t="shared" si="28"/>
        <v>0</v>
      </c>
      <c r="J187" s="463">
        <f t="shared" si="28"/>
        <v>0</v>
      </c>
      <c r="K187" s="463">
        <f t="shared" si="28"/>
        <v>0</v>
      </c>
      <c r="L187" s="463">
        <f t="shared" si="28"/>
        <v>0</v>
      </c>
      <c r="M187" s="463">
        <f t="shared" si="28"/>
        <v>0</v>
      </c>
      <c r="N187" s="463">
        <f t="shared" si="28"/>
        <v>0</v>
      </c>
      <c r="O187" s="463">
        <f t="shared" si="28"/>
        <v>0</v>
      </c>
      <c r="P187" s="463">
        <f t="shared" si="28"/>
        <v>0</v>
      </c>
      <c r="Q187" s="463">
        <f>R187</f>
        <v>16030</v>
      </c>
      <c r="R187" s="463">
        <f t="shared" si="28"/>
        <v>16030</v>
      </c>
      <c r="S187" s="470"/>
    </row>
    <row r="188" spans="1:19" ht="12.75" hidden="1" thickBot="1">
      <c r="A188" s="2" t="s">
        <v>367</v>
      </c>
      <c r="B188" s="1" t="s">
        <v>1276</v>
      </c>
      <c r="C188" s="2" t="s">
        <v>388</v>
      </c>
      <c r="D188" s="463">
        <f t="shared" ref="D188:R203" si="31">ROUND(SUMIFS(D$409:D$780,$B$409:$B$780,$B188,$C$409:$C$780,$C188),0)</f>
        <v>12</v>
      </c>
      <c r="E188" s="463">
        <f t="shared" si="31"/>
        <v>0</v>
      </c>
      <c r="F188" s="463">
        <f t="shared" si="31"/>
        <v>0</v>
      </c>
      <c r="G188" s="463">
        <f t="shared" si="31"/>
        <v>0</v>
      </c>
      <c r="H188" s="463">
        <f t="shared" si="29"/>
        <v>85948776</v>
      </c>
      <c r="I188" s="463">
        <f t="shared" si="31"/>
        <v>0</v>
      </c>
      <c r="J188" s="463">
        <f t="shared" si="31"/>
        <v>0</v>
      </c>
      <c r="K188" s="463">
        <f t="shared" si="31"/>
        <v>0</v>
      </c>
      <c r="L188" s="463">
        <f t="shared" si="31"/>
        <v>0</v>
      </c>
      <c r="M188" s="463">
        <f t="shared" si="31"/>
        <v>0</v>
      </c>
      <c r="N188" s="463">
        <f t="shared" si="31"/>
        <v>0</v>
      </c>
      <c r="O188" s="463">
        <f t="shared" si="31"/>
        <v>165068</v>
      </c>
      <c r="P188" s="463">
        <f t="shared" si="31"/>
        <v>162432</v>
      </c>
      <c r="Q188" s="463">
        <f t="shared" si="31"/>
        <v>104436</v>
      </c>
      <c r="R188" s="463">
        <f t="shared" si="31"/>
        <v>0</v>
      </c>
      <c r="S188" s="469"/>
    </row>
    <row r="189" spans="1:19" ht="12.75" hidden="1" thickBot="1">
      <c r="A189" s="2" t="s">
        <v>367</v>
      </c>
      <c r="B189" s="1" t="s">
        <v>1276</v>
      </c>
      <c r="C189" s="2" t="s">
        <v>389</v>
      </c>
      <c r="D189" s="463">
        <f t="shared" si="31"/>
        <v>211</v>
      </c>
      <c r="E189" s="463">
        <f t="shared" si="31"/>
        <v>0</v>
      </c>
      <c r="F189" s="463">
        <f t="shared" si="31"/>
        <v>0</v>
      </c>
      <c r="G189" s="463">
        <f t="shared" si="31"/>
        <v>0</v>
      </c>
      <c r="H189" s="463">
        <f t="shared" si="29"/>
        <v>21823098</v>
      </c>
      <c r="I189" s="463">
        <f t="shared" si="31"/>
        <v>0</v>
      </c>
      <c r="J189" s="463">
        <f t="shared" si="31"/>
        <v>0</v>
      </c>
      <c r="K189" s="463">
        <f t="shared" si="31"/>
        <v>0</v>
      </c>
      <c r="L189" s="463">
        <f t="shared" si="31"/>
        <v>0</v>
      </c>
      <c r="M189" s="463">
        <f t="shared" si="31"/>
        <v>0</v>
      </c>
      <c r="N189" s="463">
        <f t="shared" si="31"/>
        <v>0</v>
      </c>
      <c r="O189" s="463">
        <f t="shared" si="31"/>
        <v>0</v>
      </c>
      <c r="P189" s="463">
        <f t="shared" si="31"/>
        <v>0</v>
      </c>
      <c r="Q189" s="463">
        <f t="shared" ref="Q189:Q190" si="32">R189</f>
        <v>62552</v>
      </c>
      <c r="R189" s="463">
        <f t="shared" si="31"/>
        <v>62552</v>
      </c>
      <c r="S189" s="470"/>
    </row>
    <row r="190" spans="1:19" ht="12.75" hidden="1" thickBot="1">
      <c r="A190" s="2" t="s">
        <v>367</v>
      </c>
      <c r="B190" s="1" t="s">
        <v>1276</v>
      </c>
      <c r="C190" s="2" t="s">
        <v>390</v>
      </c>
      <c r="D190" s="463">
        <f t="shared" si="31"/>
        <v>21</v>
      </c>
      <c r="E190" s="463">
        <f t="shared" si="31"/>
        <v>0</v>
      </c>
      <c r="F190" s="463">
        <f t="shared" si="31"/>
        <v>0</v>
      </c>
      <c r="G190" s="463">
        <f t="shared" si="31"/>
        <v>0</v>
      </c>
      <c r="H190" s="463">
        <f t="shared" si="29"/>
        <v>1298252</v>
      </c>
      <c r="I190" s="463">
        <f t="shared" si="31"/>
        <v>0</v>
      </c>
      <c r="J190" s="463">
        <f t="shared" si="31"/>
        <v>0</v>
      </c>
      <c r="K190" s="463">
        <f t="shared" si="31"/>
        <v>0</v>
      </c>
      <c r="L190" s="463">
        <f t="shared" si="31"/>
        <v>0</v>
      </c>
      <c r="M190" s="463">
        <f t="shared" si="31"/>
        <v>0</v>
      </c>
      <c r="N190" s="463">
        <f t="shared" si="31"/>
        <v>0</v>
      </c>
      <c r="O190" s="463">
        <f t="shared" si="31"/>
        <v>0</v>
      </c>
      <c r="P190" s="463">
        <f t="shared" si="31"/>
        <v>0</v>
      </c>
      <c r="Q190" s="463">
        <f t="shared" si="32"/>
        <v>4327</v>
      </c>
      <c r="R190" s="463">
        <f t="shared" si="31"/>
        <v>4327</v>
      </c>
      <c r="S190" s="470"/>
    </row>
    <row r="191" spans="1:19" ht="12.75" hidden="1" thickBot="1">
      <c r="A191" s="2" t="s">
        <v>367</v>
      </c>
      <c r="B191" s="1" t="s">
        <v>1276</v>
      </c>
      <c r="C191" s="2" t="s">
        <v>391</v>
      </c>
      <c r="D191" s="463">
        <f t="shared" si="31"/>
        <v>100</v>
      </c>
      <c r="E191" s="463">
        <f t="shared" si="31"/>
        <v>0</v>
      </c>
      <c r="F191" s="463">
        <f t="shared" si="31"/>
        <v>0</v>
      </c>
      <c r="G191" s="463">
        <f t="shared" si="31"/>
        <v>0</v>
      </c>
      <c r="H191" s="463">
        <f t="shared" si="29"/>
        <v>25167481</v>
      </c>
      <c r="I191" s="463">
        <f t="shared" si="31"/>
        <v>0</v>
      </c>
      <c r="J191" s="463">
        <f t="shared" si="31"/>
        <v>0</v>
      </c>
      <c r="K191" s="463">
        <f t="shared" si="31"/>
        <v>0</v>
      </c>
      <c r="L191" s="463">
        <f t="shared" si="31"/>
        <v>0</v>
      </c>
      <c r="M191" s="463">
        <f t="shared" si="31"/>
        <v>0</v>
      </c>
      <c r="N191" s="463">
        <f t="shared" si="31"/>
        <v>0</v>
      </c>
      <c r="O191" s="463">
        <f t="shared" si="31"/>
        <v>58439</v>
      </c>
      <c r="P191" s="463">
        <f t="shared" si="31"/>
        <v>54724</v>
      </c>
      <c r="Q191" s="463">
        <f t="shared" si="31"/>
        <v>52686</v>
      </c>
      <c r="R191" s="463">
        <f t="shared" si="31"/>
        <v>0</v>
      </c>
      <c r="S191" s="470"/>
    </row>
    <row r="192" spans="1:19" ht="12.75" hidden="1" thickBot="1">
      <c r="A192" s="2" t="s">
        <v>367</v>
      </c>
      <c r="B192" s="1" t="s">
        <v>1276</v>
      </c>
      <c r="C192" s="2" t="s">
        <v>392</v>
      </c>
      <c r="D192" s="463">
        <f t="shared" si="31"/>
        <v>72</v>
      </c>
      <c r="E192" s="463">
        <f t="shared" si="31"/>
        <v>0</v>
      </c>
      <c r="F192" s="463">
        <f t="shared" si="31"/>
        <v>0</v>
      </c>
      <c r="G192" s="463">
        <f t="shared" si="31"/>
        <v>0</v>
      </c>
      <c r="H192" s="463">
        <f t="shared" si="29"/>
        <v>163708445</v>
      </c>
      <c r="I192" s="463">
        <f t="shared" si="31"/>
        <v>0</v>
      </c>
      <c r="J192" s="463">
        <f t="shared" si="31"/>
        <v>0</v>
      </c>
      <c r="K192" s="463">
        <f t="shared" si="31"/>
        <v>0</v>
      </c>
      <c r="L192" s="463">
        <f t="shared" si="31"/>
        <v>0</v>
      </c>
      <c r="M192" s="463">
        <f t="shared" si="31"/>
        <v>0</v>
      </c>
      <c r="N192" s="463">
        <f t="shared" si="31"/>
        <v>0</v>
      </c>
      <c r="O192" s="463">
        <f t="shared" si="31"/>
        <v>369509</v>
      </c>
      <c r="P192" s="463">
        <f t="shared" si="31"/>
        <v>335463</v>
      </c>
      <c r="Q192" s="463">
        <f t="shared" si="31"/>
        <v>331007</v>
      </c>
      <c r="R192" s="463">
        <f t="shared" si="31"/>
        <v>0</v>
      </c>
      <c r="S192" s="469"/>
    </row>
    <row r="193" spans="1:19" ht="12.75" hidden="1" thickBot="1">
      <c r="A193" s="2" t="s">
        <v>367</v>
      </c>
      <c r="B193" s="1" t="s">
        <v>1276</v>
      </c>
      <c r="C193" s="2" t="s">
        <v>394</v>
      </c>
      <c r="D193" s="463">
        <f t="shared" si="31"/>
        <v>0</v>
      </c>
      <c r="E193" s="463">
        <f t="shared" si="31"/>
        <v>0</v>
      </c>
      <c r="F193" s="463">
        <f t="shared" si="31"/>
        <v>0</v>
      </c>
      <c r="G193" s="463">
        <f t="shared" si="31"/>
        <v>0</v>
      </c>
      <c r="H193" s="463">
        <f t="shared" si="29"/>
        <v>0</v>
      </c>
      <c r="I193" s="463">
        <f t="shared" si="31"/>
        <v>0</v>
      </c>
      <c r="J193" s="463">
        <f t="shared" si="31"/>
        <v>0</v>
      </c>
      <c r="K193" s="463">
        <f t="shared" si="31"/>
        <v>0</v>
      </c>
      <c r="L193" s="463">
        <f t="shared" si="31"/>
        <v>0</v>
      </c>
      <c r="M193" s="463">
        <f t="shared" si="31"/>
        <v>0</v>
      </c>
      <c r="N193" s="463">
        <f t="shared" si="31"/>
        <v>0</v>
      </c>
      <c r="O193" s="463">
        <f t="shared" si="31"/>
        <v>0</v>
      </c>
      <c r="P193" s="463">
        <f t="shared" si="31"/>
        <v>0</v>
      </c>
      <c r="Q193" s="463">
        <f t="shared" si="31"/>
        <v>0</v>
      </c>
      <c r="R193" s="463">
        <f t="shared" si="31"/>
        <v>0</v>
      </c>
      <c r="S193" s="469"/>
    </row>
    <row r="194" spans="1:19" ht="12.75" hidden="1" thickBot="1">
      <c r="A194" s="2" t="s">
        <v>367</v>
      </c>
      <c r="B194" s="1" t="s">
        <v>1276</v>
      </c>
      <c r="C194" s="2" t="s">
        <v>395</v>
      </c>
      <c r="D194" s="463">
        <f t="shared" si="31"/>
        <v>156</v>
      </c>
      <c r="E194" s="463">
        <f t="shared" si="31"/>
        <v>0</v>
      </c>
      <c r="F194" s="463">
        <f t="shared" si="31"/>
        <v>0</v>
      </c>
      <c r="G194" s="463">
        <f t="shared" si="31"/>
        <v>0</v>
      </c>
      <c r="H194" s="463">
        <f t="shared" si="29"/>
        <v>281310</v>
      </c>
      <c r="I194" s="463">
        <f t="shared" si="31"/>
        <v>0</v>
      </c>
      <c r="J194" s="463">
        <f t="shared" si="31"/>
        <v>0</v>
      </c>
      <c r="K194" s="463">
        <f t="shared" si="31"/>
        <v>0</v>
      </c>
      <c r="L194" s="463">
        <f t="shared" si="31"/>
        <v>0</v>
      </c>
      <c r="M194" s="463">
        <f t="shared" si="31"/>
        <v>0</v>
      </c>
      <c r="N194" s="463">
        <f t="shared" si="31"/>
        <v>0</v>
      </c>
      <c r="O194" s="463">
        <f t="shared" si="31"/>
        <v>0</v>
      </c>
      <c r="P194" s="463">
        <f t="shared" si="31"/>
        <v>0</v>
      </c>
      <c r="Q194" s="463">
        <f t="shared" si="31"/>
        <v>0</v>
      </c>
      <c r="R194" s="463">
        <f t="shared" si="31"/>
        <v>0</v>
      </c>
      <c r="S194" s="469"/>
    </row>
    <row r="195" spans="1:19" ht="12.75" hidden="1" thickBot="1">
      <c r="A195" s="2" t="s">
        <v>367</v>
      </c>
      <c r="B195" s="1" t="s">
        <v>1276</v>
      </c>
      <c r="C195" s="2" t="s">
        <v>396</v>
      </c>
      <c r="D195" s="463">
        <f t="shared" si="31"/>
        <v>0</v>
      </c>
      <c r="E195" s="463">
        <f t="shared" si="31"/>
        <v>0</v>
      </c>
      <c r="F195" s="463">
        <f t="shared" si="31"/>
        <v>0</v>
      </c>
      <c r="G195" s="463">
        <f t="shared" si="31"/>
        <v>0</v>
      </c>
      <c r="H195" s="463">
        <f t="shared" si="29"/>
        <v>0</v>
      </c>
      <c r="I195" s="463">
        <f t="shared" si="31"/>
        <v>0</v>
      </c>
      <c r="J195" s="463">
        <f t="shared" si="31"/>
        <v>0</v>
      </c>
      <c r="K195" s="463">
        <f t="shared" si="31"/>
        <v>0</v>
      </c>
      <c r="L195" s="463">
        <f t="shared" si="31"/>
        <v>0</v>
      </c>
      <c r="M195" s="463">
        <f t="shared" si="31"/>
        <v>0</v>
      </c>
      <c r="N195" s="463">
        <f t="shared" si="31"/>
        <v>0</v>
      </c>
      <c r="O195" s="463">
        <f t="shared" si="31"/>
        <v>0</v>
      </c>
      <c r="P195" s="463">
        <f t="shared" si="31"/>
        <v>0</v>
      </c>
      <c r="Q195" s="463">
        <f t="shared" si="31"/>
        <v>0</v>
      </c>
      <c r="R195" s="463">
        <f t="shared" si="31"/>
        <v>0</v>
      </c>
      <c r="S195" s="469"/>
    </row>
    <row r="196" spans="1:19" ht="12.75" hidden="1" thickBot="1">
      <c r="A196" s="2" t="s">
        <v>367</v>
      </c>
      <c r="B196" s="1" t="s">
        <v>1276</v>
      </c>
      <c r="C196" s="2" t="s">
        <v>397</v>
      </c>
      <c r="D196" s="463">
        <f t="shared" si="31"/>
        <v>905</v>
      </c>
      <c r="E196" s="463">
        <f t="shared" si="31"/>
        <v>0</v>
      </c>
      <c r="F196" s="463">
        <f t="shared" si="31"/>
        <v>0</v>
      </c>
      <c r="G196" s="463">
        <f t="shared" si="31"/>
        <v>0</v>
      </c>
      <c r="H196" s="463">
        <f t="shared" si="29"/>
        <v>277659</v>
      </c>
      <c r="I196" s="463">
        <f t="shared" si="31"/>
        <v>0</v>
      </c>
      <c r="J196" s="463">
        <f t="shared" si="31"/>
        <v>0</v>
      </c>
      <c r="K196" s="463">
        <f t="shared" si="31"/>
        <v>0</v>
      </c>
      <c r="L196" s="463">
        <f t="shared" si="31"/>
        <v>0</v>
      </c>
      <c r="M196" s="463">
        <f t="shared" si="31"/>
        <v>0</v>
      </c>
      <c r="N196" s="463">
        <f t="shared" si="31"/>
        <v>0</v>
      </c>
      <c r="O196" s="463">
        <f t="shared" si="31"/>
        <v>0</v>
      </c>
      <c r="P196" s="463">
        <f t="shared" si="31"/>
        <v>0</v>
      </c>
      <c r="Q196" s="463">
        <f t="shared" si="31"/>
        <v>0</v>
      </c>
      <c r="R196" s="463">
        <f t="shared" si="31"/>
        <v>0</v>
      </c>
      <c r="S196" s="469"/>
    </row>
    <row r="197" spans="1:19" ht="12.75" hidden="1" thickBot="1">
      <c r="A197" s="2" t="s">
        <v>367</v>
      </c>
      <c r="B197" s="1" t="s">
        <v>1276</v>
      </c>
      <c r="C197" s="2" t="s">
        <v>398</v>
      </c>
      <c r="D197" s="463">
        <f t="shared" si="31"/>
        <v>0</v>
      </c>
      <c r="E197" s="463">
        <f t="shared" si="31"/>
        <v>0</v>
      </c>
      <c r="F197" s="463">
        <f t="shared" si="31"/>
        <v>0</v>
      </c>
      <c r="G197" s="463">
        <f t="shared" si="31"/>
        <v>0</v>
      </c>
      <c r="H197" s="463">
        <f t="shared" si="29"/>
        <v>0</v>
      </c>
      <c r="I197" s="463">
        <f t="shared" si="31"/>
        <v>0</v>
      </c>
      <c r="J197" s="463">
        <f t="shared" si="31"/>
        <v>0</v>
      </c>
      <c r="K197" s="463">
        <f t="shared" si="31"/>
        <v>0</v>
      </c>
      <c r="L197" s="463">
        <f t="shared" si="31"/>
        <v>0</v>
      </c>
      <c r="M197" s="463">
        <f t="shared" si="31"/>
        <v>0</v>
      </c>
      <c r="N197" s="463">
        <f t="shared" si="31"/>
        <v>0</v>
      </c>
      <c r="O197" s="463">
        <f t="shared" si="31"/>
        <v>0</v>
      </c>
      <c r="P197" s="463">
        <f t="shared" si="31"/>
        <v>0</v>
      </c>
      <c r="Q197" s="463">
        <f t="shared" si="31"/>
        <v>0</v>
      </c>
      <c r="R197" s="463">
        <f t="shared" si="31"/>
        <v>0</v>
      </c>
      <c r="S197" s="469"/>
    </row>
    <row r="198" spans="1:19" ht="12.75" hidden="1" thickBot="1">
      <c r="A198" s="2" t="s">
        <v>367</v>
      </c>
      <c r="B198" s="1" t="s">
        <v>1276</v>
      </c>
      <c r="C198" s="2" t="s">
        <v>399</v>
      </c>
      <c r="D198" s="463">
        <f t="shared" si="31"/>
        <v>0</v>
      </c>
      <c r="E198" s="463">
        <f t="shared" si="31"/>
        <v>0</v>
      </c>
      <c r="F198" s="463">
        <f t="shared" si="31"/>
        <v>0</v>
      </c>
      <c r="G198" s="463">
        <f t="shared" si="31"/>
        <v>0</v>
      </c>
      <c r="H198" s="463">
        <f t="shared" si="29"/>
        <v>0</v>
      </c>
      <c r="I198" s="463">
        <f t="shared" si="31"/>
        <v>0</v>
      </c>
      <c r="J198" s="463">
        <f t="shared" si="31"/>
        <v>0</v>
      </c>
      <c r="K198" s="463">
        <f t="shared" si="31"/>
        <v>0</v>
      </c>
      <c r="L198" s="463">
        <f t="shared" si="31"/>
        <v>0</v>
      </c>
      <c r="M198" s="463">
        <f t="shared" si="31"/>
        <v>0</v>
      </c>
      <c r="N198" s="463">
        <f t="shared" si="31"/>
        <v>0</v>
      </c>
      <c r="O198" s="463">
        <f t="shared" si="31"/>
        <v>0</v>
      </c>
      <c r="P198" s="463">
        <f t="shared" si="31"/>
        <v>0</v>
      </c>
      <c r="Q198" s="463">
        <f t="shared" si="31"/>
        <v>0</v>
      </c>
      <c r="R198" s="463">
        <f t="shared" si="31"/>
        <v>0</v>
      </c>
      <c r="S198" s="469"/>
    </row>
    <row r="199" spans="1:19" ht="12.75" thickBot="1">
      <c r="A199" s="2" t="s">
        <v>367</v>
      </c>
      <c r="B199" s="1" t="s">
        <v>1276</v>
      </c>
      <c r="C199" s="2" t="s">
        <v>400</v>
      </c>
      <c r="D199" s="463">
        <f t="shared" si="31"/>
        <v>362615</v>
      </c>
      <c r="E199" s="463">
        <f t="shared" si="31"/>
        <v>0</v>
      </c>
      <c r="F199" s="463">
        <f t="shared" si="31"/>
        <v>0</v>
      </c>
      <c r="G199" s="463">
        <f t="shared" si="31"/>
        <v>0</v>
      </c>
      <c r="H199" s="463">
        <f t="shared" si="29"/>
        <v>411072623</v>
      </c>
      <c r="I199" s="463">
        <f t="shared" si="31"/>
        <v>0</v>
      </c>
      <c r="J199" s="463">
        <f t="shared" si="31"/>
        <v>0</v>
      </c>
      <c r="K199" s="463">
        <f t="shared" si="31"/>
        <v>0</v>
      </c>
      <c r="L199" s="463">
        <f t="shared" si="31"/>
        <v>0</v>
      </c>
      <c r="M199" s="463">
        <f t="shared" si="31"/>
        <v>0</v>
      </c>
      <c r="N199" s="463">
        <f t="shared" si="31"/>
        <v>0</v>
      </c>
      <c r="O199" s="463">
        <f t="shared" si="31"/>
        <v>0</v>
      </c>
      <c r="P199" s="463">
        <f t="shared" si="31"/>
        <v>0</v>
      </c>
      <c r="Q199" s="463">
        <f t="shared" si="31"/>
        <v>0</v>
      </c>
      <c r="R199" s="463">
        <f t="shared" si="31"/>
        <v>0</v>
      </c>
      <c r="S199" s="469"/>
    </row>
    <row r="200" spans="1:19" ht="12.75" hidden="1" thickBot="1">
      <c r="A200" s="2" t="s">
        <v>367</v>
      </c>
      <c r="B200" s="1" t="s">
        <v>1276</v>
      </c>
      <c r="C200" s="2" t="s">
        <v>401</v>
      </c>
      <c r="D200" s="463">
        <f t="shared" si="31"/>
        <v>0</v>
      </c>
      <c r="E200" s="463">
        <f t="shared" si="31"/>
        <v>0</v>
      </c>
      <c r="F200" s="463">
        <f t="shared" si="31"/>
        <v>0</v>
      </c>
      <c r="G200" s="463">
        <f t="shared" si="31"/>
        <v>0</v>
      </c>
      <c r="H200" s="463">
        <f t="shared" si="29"/>
        <v>0</v>
      </c>
      <c r="I200" s="463">
        <f t="shared" si="31"/>
        <v>0</v>
      </c>
      <c r="J200" s="463">
        <f t="shared" si="31"/>
        <v>0</v>
      </c>
      <c r="K200" s="463">
        <f t="shared" si="31"/>
        <v>0</v>
      </c>
      <c r="L200" s="463">
        <f t="shared" si="31"/>
        <v>0</v>
      </c>
      <c r="M200" s="463">
        <f t="shared" si="31"/>
        <v>0</v>
      </c>
      <c r="N200" s="463">
        <f t="shared" si="31"/>
        <v>0</v>
      </c>
      <c r="O200" s="463">
        <f t="shared" si="31"/>
        <v>0</v>
      </c>
      <c r="P200" s="463">
        <f t="shared" si="31"/>
        <v>0</v>
      </c>
      <c r="Q200" s="463">
        <f t="shared" si="31"/>
        <v>0</v>
      </c>
      <c r="R200" s="463">
        <f t="shared" si="31"/>
        <v>0</v>
      </c>
      <c r="S200" s="469"/>
    </row>
    <row r="201" spans="1:19" ht="12.75" hidden="1" thickBot="1">
      <c r="A201" s="2" t="s">
        <v>367</v>
      </c>
      <c r="B201" s="1" t="s">
        <v>1276</v>
      </c>
      <c r="C201" s="2" t="s">
        <v>402</v>
      </c>
      <c r="D201" s="463">
        <f t="shared" si="31"/>
        <v>0</v>
      </c>
      <c r="E201" s="463">
        <f t="shared" si="31"/>
        <v>0</v>
      </c>
      <c r="F201" s="463">
        <f t="shared" si="31"/>
        <v>0</v>
      </c>
      <c r="G201" s="463">
        <f t="shared" si="31"/>
        <v>0</v>
      </c>
      <c r="H201" s="463">
        <f t="shared" si="29"/>
        <v>0</v>
      </c>
      <c r="I201" s="463">
        <f t="shared" si="31"/>
        <v>0</v>
      </c>
      <c r="J201" s="463">
        <f t="shared" si="31"/>
        <v>0</v>
      </c>
      <c r="K201" s="463">
        <f t="shared" si="31"/>
        <v>0</v>
      </c>
      <c r="L201" s="463">
        <f t="shared" si="31"/>
        <v>0</v>
      </c>
      <c r="M201" s="463">
        <f t="shared" si="31"/>
        <v>0</v>
      </c>
      <c r="N201" s="463">
        <f t="shared" si="31"/>
        <v>0</v>
      </c>
      <c r="O201" s="463">
        <f t="shared" si="31"/>
        <v>0</v>
      </c>
      <c r="P201" s="463">
        <f t="shared" si="31"/>
        <v>0</v>
      </c>
      <c r="Q201" s="463">
        <f t="shared" si="31"/>
        <v>0</v>
      </c>
      <c r="R201" s="463">
        <f t="shared" si="31"/>
        <v>0</v>
      </c>
      <c r="S201" s="469"/>
    </row>
    <row r="202" spans="1:19" ht="12.75" hidden="1" thickBot="1">
      <c r="A202" s="2" t="s">
        <v>367</v>
      </c>
      <c r="B202" s="1" t="s">
        <v>1276</v>
      </c>
      <c r="C202" s="2" t="s">
        <v>706</v>
      </c>
      <c r="D202" s="463">
        <f t="shared" si="31"/>
        <v>21</v>
      </c>
      <c r="E202" s="463">
        <f t="shared" si="31"/>
        <v>23293</v>
      </c>
      <c r="F202" s="463">
        <f t="shared" si="31"/>
        <v>8637</v>
      </c>
      <c r="G202" s="463">
        <f t="shared" si="31"/>
        <v>8200</v>
      </c>
      <c r="H202" s="463">
        <f t="shared" si="29"/>
        <v>40130</v>
      </c>
      <c r="I202" s="463">
        <f t="shared" si="31"/>
        <v>0</v>
      </c>
      <c r="J202" s="463">
        <f t="shared" si="31"/>
        <v>0</v>
      </c>
      <c r="K202" s="463">
        <f t="shared" si="31"/>
        <v>0</v>
      </c>
      <c r="L202" s="463">
        <f t="shared" si="31"/>
        <v>0</v>
      </c>
      <c r="M202" s="463">
        <f t="shared" si="31"/>
        <v>0</v>
      </c>
      <c r="N202" s="463">
        <f t="shared" si="31"/>
        <v>0</v>
      </c>
      <c r="O202" s="463">
        <f t="shared" si="31"/>
        <v>0</v>
      </c>
      <c r="P202" s="463">
        <f t="shared" si="31"/>
        <v>0</v>
      </c>
      <c r="Q202" s="463">
        <f t="shared" si="31"/>
        <v>0</v>
      </c>
      <c r="R202" s="463">
        <f t="shared" si="31"/>
        <v>0</v>
      </c>
      <c r="S202" s="469"/>
    </row>
    <row r="203" spans="1:19" ht="12.75" hidden="1" thickBot="1">
      <c r="A203" s="2" t="s">
        <v>367</v>
      </c>
      <c r="B203" s="1" t="s">
        <v>1276</v>
      </c>
      <c r="C203" s="2" t="s">
        <v>1230</v>
      </c>
      <c r="D203" s="463">
        <f t="shared" si="31"/>
        <v>0</v>
      </c>
      <c r="E203" s="463">
        <f t="shared" si="31"/>
        <v>0</v>
      </c>
      <c r="F203" s="463">
        <f t="shared" si="31"/>
        <v>0</v>
      </c>
      <c r="G203" s="463">
        <f t="shared" si="31"/>
        <v>0</v>
      </c>
      <c r="H203" s="463">
        <f t="shared" si="29"/>
        <v>0</v>
      </c>
      <c r="I203" s="463">
        <f t="shared" si="31"/>
        <v>0</v>
      </c>
      <c r="J203" s="463">
        <f t="shared" si="31"/>
        <v>0</v>
      </c>
      <c r="K203" s="463">
        <f t="shared" si="31"/>
        <v>0</v>
      </c>
      <c r="L203" s="463">
        <f t="shared" si="31"/>
        <v>0</v>
      </c>
      <c r="M203" s="463">
        <f t="shared" si="31"/>
        <v>0</v>
      </c>
      <c r="N203" s="463">
        <f t="shared" si="31"/>
        <v>0</v>
      </c>
      <c r="O203" s="463">
        <f t="shared" si="31"/>
        <v>0</v>
      </c>
      <c r="P203" s="463">
        <f t="shared" si="31"/>
        <v>0</v>
      </c>
      <c r="Q203" s="463">
        <f t="shared" si="31"/>
        <v>0</v>
      </c>
      <c r="R203" s="463">
        <f t="shared" si="31"/>
        <v>0</v>
      </c>
      <c r="S203" s="469"/>
    </row>
    <row r="204" spans="1:19" ht="12.75" hidden="1" thickBot="1">
      <c r="A204" s="2" t="s">
        <v>367</v>
      </c>
      <c r="B204" s="1" t="s">
        <v>1276</v>
      </c>
      <c r="C204" s="17" t="s">
        <v>7</v>
      </c>
      <c r="D204" s="7"/>
      <c r="E204" s="456"/>
      <c r="F204" s="456"/>
      <c r="G204" s="456"/>
      <c r="H204" s="7"/>
      <c r="I204" s="468"/>
      <c r="J204" s="468"/>
      <c r="K204" s="468"/>
      <c r="L204" s="456"/>
      <c r="M204" s="456"/>
      <c r="N204" s="468"/>
      <c r="O204" s="18"/>
      <c r="P204" s="468"/>
      <c r="Q204" s="468"/>
      <c r="R204" s="468"/>
      <c r="S204" s="456"/>
    </row>
    <row r="205" spans="1:19" ht="12.75" hidden="1" thickBot="1">
      <c r="A205" s="24" t="s">
        <v>367</v>
      </c>
      <c r="B205" s="16" t="s">
        <v>1277</v>
      </c>
      <c r="C205" s="24" t="s">
        <v>368</v>
      </c>
      <c r="D205" s="463">
        <f t="shared" ref="D205:R221" si="33">ROUND(SUMIFS(D$409:D$780,$B$409:$B$780,$B205,$C$409:$C$780,$C205),0)</f>
        <v>0</v>
      </c>
      <c r="E205" s="463">
        <f t="shared" si="33"/>
        <v>0</v>
      </c>
      <c r="F205" s="463">
        <f t="shared" si="33"/>
        <v>0</v>
      </c>
      <c r="G205" s="463">
        <f t="shared" si="33"/>
        <v>0</v>
      </c>
      <c r="H205" s="463">
        <f t="shared" ref="H205:H236" si="34">ROUND(SUMIFS(H$409:H$780,$B$409:$B$780,$B205,$C$409:$C$780,$C205)*1000,0)</f>
        <v>0</v>
      </c>
      <c r="I205" s="463">
        <f t="shared" si="33"/>
        <v>0</v>
      </c>
      <c r="J205" s="463">
        <f t="shared" si="33"/>
        <v>0</v>
      </c>
      <c r="K205" s="463">
        <f t="shared" si="33"/>
        <v>0</v>
      </c>
      <c r="L205" s="463">
        <f t="shared" si="33"/>
        <v>0</v>
      </c>
      <c r="M205" s="463">
        <f t="shared" si="33"/>
        <v>0</v>
      </c>
      <c r="N205" s="463">
        <f t="shared" si="33"/>
        <v>0</v>
      </c>
      <c r="O205" s="463">
        <f t="shared" si="33"/>
        <v>0</v>
      </c>
      <c r="P205" s="463">
        <f t="shared" si="33"/>
        <v>0</v>
      </c>
      <c r="Q205" s="463">
        <f t="shared" si="33"/>
        <v>0</v>
      </c>
      <c r="R205" s="463">
        <f t="shared" si="33"/>
        <v>0</v>
      </c>
      <c r="S205" s="464"/>
    </row>
    <row r="206" spans="1:19" ht="12.75" hidden="1" thickBot="1">
      <c r="A206" s="24" t="s">
        <v>367</v>
      </c>
      <c r="B206" s="16" t="s">
        <v>1277</v>
      </c>
      <c r="C206" s="24" t="s">
        <v>370</v>
      </c>
      <c r="D206" s="463">
        <f t="shared" si="33"/>
        <v>28156</v>
      </c>
      <c r="E206" s="463">
        <f t="shared" si="33"/>
        <v>0</v>
      </c>
      <c r="F206" s="463">
        <f t="shared" si="33"/>
        <v>0</v>
      </c>
      <c r="G206" s="463">
        <f t="shared" si="33"/>
        <v>0</v>
      </c>
      <c r="H206" s="463">
        <f t="shared" si="34"/>
        <v>40110981</v>
      </c>
      <c r="I206" s="463">
        <f t="shared" si="33"/>
        <v>0</v>
      </c>
      <c r="J206" s="463">
        <f t="shared" si="33"/>
        <v>0</v>
      </c>
      <c r="K206" s="463">
        <f t="shared" si="33"/>
        <v>0</v>
      </c>
      <c r="L206" s="463">
        <f t="shared" si="33"/>
        <v>0</v>
      </c>
      <c r="M206" s="463">
        <f t="shared" si="33"/>
        <v>0</v>
      </c>
      <c r="N206" s="463">
        <f t="shared" si="33"/>
        <v>0</v>
      </c>
      <c r="O206" s="463">
        <f t="shared" si="33"/>
        <v>0</v>
      </c>
      <c r="P206" s="463">
        <f t="shared" si="33"/>
        <v>0</v>
      </c>
      <c r="Q206" s="463">
        <f t="shared" si="33"/>
        <v>0</v>
      </c>
      <c r="R206" s="463">
        <f t="shared" si="33"/>
        <v>0</v>
      </c>
      <c r="S206" s="464"/>
    </row>
    <row r="207" spans="1:19" ht="12.75" hidden="1" thickBot="1">
      <c r="A207" s="24" t="s">
        <v>367</v>
      </c>
      <c r="B207" s="16" t="s">
        <v>1277</v>
      </c>
      <c r="C207" s="24" t="s">
        <v>371</v>
      </c>
      <c r="D207" s="463">
        <f t="shared" si="33"/>
        <v>0</v>
      </c>
      <c r="E207" s="463">
        <f t="shared" si="33"/>
        <v>0</v>
      </c>
      <c r="F207" s="463">
        <f t="shared" si="33"/>
        <v>0</v>
      </c>
      <c r="G207" s="463">
        <f t="shared" si="33"/>
        <v>0</v>
      </c>
      <c r="H207" s="463">
        <f t="shared" si="34"/>
        <v>0</v>
      </c>
      <c r="I207" s="463">
        <f t="shared" si="33"/>
        <v>0</v>
      </c>
      <c r="J207" s="463">
        <f t="shared" si="33"/>
        <v>0</v>
      </c>
      <c r="K207" s="463">
        <f t="shared" si="33"/>
        <v>0</v>
      </c>
      <c r="L207" s="463">
        <f t="shared" si="33"/>
        <v>0</v>
      </c>
      <c r="M207" s="463">
        <f t="shared" si="33"/>
        <v>0</v>
      </c>
      <c r="N207" s="463">
        <f t="shared" si="33"/>
        <v>0</v>
      </c>
      <c r="O207" s="463">
        <f t="shared" si="33"/>
        <v>0</v>
      </c>
      <c r="P207" s="463">
        <f t="shared" si="33"/>
        <v>0</v>
      </c>
      <c r="Q207" s="463">
        <f t="shared" si="33"/>
        <v>0</v>
      </c>
      <c r="R207" s="463">
        <f t="shared" si="33"/>
        <v>0</v>
      </c>
      <c r="S207" s="464"/>
    </row>
    <row r="208" spans="1:19" ht="12.75" hidden="1" thickBot="1">
      <c r="A208" s="24" t="s">
        <v>367</v>
      </c>
      <c r="B208" s="16" t="s">
        <v>1277</v>
      </c>
      <c r="C208" s="24" t="s">
        <v>372</v>
      </c>
      <c r="D208" s="463">
        <f t="shared" si="33"/>
        <v>0</v>
      </c>
      <c r="E208" s="463">
        <f t="shared" si="33"/>
        <v>0</v>
      </c>
      <c r="F208" s="463">
        <f t="shared" si="33"/>
        <v>0</v>
      </c>
      <c r="G208" s="463">
        <f t="shared" si="33"/>
        <v>0</v>
      </c>
      <c r="H208" s="463">
        <f t="shared" si="34"/>
        <v>0</v>
      </c>
      <c r="I208" s="463">
        <f t="shared" si="33"/>
        <v>0</v>
      </c>
      <c r="J208" s="463">
        <f t="shared" si="33"/>
        <v>0</v>
      </c>
      <c r="K208" s="463">
        <f t="shared" si="33"/>
        <v>0</v>
      </c>
      <c r="L208" s="463">
        <f t="shared" si="33"/>
        <v>0</v>
      </c>
      <c r="M208" s="463">
        <f t="shared" si="33"/>
        <v>0</v>
      </c>
      <c r="N208" s="463">
        <f t="shared" si="33"/>
        <v>0</v>
      </c>
      <c r="O208" s="463">
        <f t="shared" si="33"/>
        <v>0</v>
      </c>
      <c r="P208" s="463">
        <f t="shared" si="33"/>
        <v>0</v>
      </c>
      <c r="Q208" s="463">
        <f t="shared" si="33"/>
        <v>0</v>
      </c>
      <c r="R208" s="463">
        <f t="shared" si="33"/>
        <v>0</v>
      </c>
      <c r="S208" s="464"/>
    </row>
    <row r="209" spans="1:19" ht="12.75" hidden="1" thickBot="1">
      <c r="A209" s="24" t="s">
        <v>367</v>
      </c>
      <c r="B209" s="16" t="s">
        <v>1277</v>
      </c>
      <c r="C209" s="24" t="s">
        <v>374</v>
      </c>
      <c r="D209" s="463">
        <f t="shared" si="33"/>
        <v>0</v>
      </c>
      <c r="E209" s="463">
        <f t="shared" si="33"/>
        <v>0</v>
      </c>
      <c r="F209" s="463">
        <f t="shared" si="33"/>
        <v>0</v>
      </c>
      <c r="G209" s="463">
        <f t="shared" si="33"/>
        <v>0</v>
      </c>
      <c r="H209" s="463">
        <f t="shared" si="34"/>
        <v>0</v>
      </c>
      <c r="I209" s="463">
        <f t="shared" si="33"/>
        <v>0</v>
      </c>
      <c r="J209" s="463">
        <f t="shared" si="33"/>
        <v>0</v>
      </c>
      <c r="K209" s="463">
        <f t="shared" si="33"/>
        <v>0</v>
      </c>
      <c r="L209" s="463">
        <f t="shared" si="33"/>
        <v>0</v>
      </c>
      <c r="M209" s="463">
        <f t="shared" si="33"/>
        <v>0</v>
      </c>
      <c r="N209" s="463">
        <f t="shared" si="33"/>
        <v>0</v>
      </c>
      <c r="O209" s="463">
        <f t="shared" si="33"/>
        <v>0</v>
      </c>
      <c r="P209" s="463">
        <f t="shared" si="33"/>
        <v>0</v>
      </c>
      <c r="Q209" s="463">
        <f t="shared" si="33"/>
        <v>0</v>
      </c>
      <c r="R209" s="463">
        <f t="shared" si="33"/>
        <v>0</v>
      </c>
      <c r="S209" s="464"/>
    </row>
    <row r="210" spans="1:19" ht="12.75" hidden="1" thickBot="1">
      <c r="A210" s="24" t="s">
        <v>367</v>
      </c>
      <c r="B210" s="16" t="s">
        <v>1277</v>
      </c>
      <c r="C210" s="24" t="s">
        <v>375</v>
      </c>
      <c r="D210" s="463">
        <f t="shared" si="33"/>
        <v>2579</v>
      </c>
      <c r="E210" s="463">
        <f t="shared" si="33"/>
        <v>0</v>
      </c>
      <c r="F210" s="463">
        <f t="shared" si="33"/>
        <v>0</v>
      </c>
      <c r="G210" s="463">
        <f t="shared" si="33"/>
        <v>0</v>
      </c>
      <c r="H210" s="463">
        <f t="shared" si="34"/>
        <v>168924378</v>
      </c>
      <c r="I210" s="463">
        <f t="shared" si="33"/>
        <v>0</v>
      </c>
      <c r="J210" s="463">
        <f t="shared" si="33"/>
        <v>0</v>
      </c>
      <c r="K210" s="463">
        <f t="shared" si="33"/>
        <v>0</v>
      </c>
      <c r="L210" s="463">
        <f t="shared" si="33"/>
        <v>0</v>
      </c>
      <c r="M210" s="463">
        <f t="shared" si="33"/>
        <v>0</v>
      </c>
      <c r="N210" s="463">
        <f t="shared" si="33"/>
        <v>0</v>
      </c>
      <c r="O210" s="463">
        <f t="shared" si="33"/>
        <v>0</v>
      </c>
      <c r="P210" s="463">
        <f t="shared" si="33"/>
        <v>0</v>
      </c>
      <c r="Q210" s="463">
        <f t="shared" ref="Q210:Q211" si="35">R210</f>
        <v>406609</v>
      </c>
      <c r="R210" s="463">
        <f t="shared" si="33"/>
        <v>406609</v>
      </c>
      <c r="S210" s="465"/>
    </row>
    <row r="211" spans="1:19" ht="12.75" hidden="1" thickBot="1">
      <c r="A211" s="24" t="s">
        <v>367</v>
      </c>
      <c r="B211" s="16" t="s">
        <v>1277</v>
      </c>
      <c r="C211" s="24" t="s">
        <v>376</v>
      </c>
      <c r="D211" s="463">
        <f t="shared" si="33"/>
        <v>52</v>
      </c>
      <c r="E211" s="463">
        <f t="shared" si="33"/>
        <v>0</v>
      </c>
      <c r="F211" s="463">
        <f t="shared" si="33"/>
        <v>0</v>
      </c>
      <c r="G211" s="463">
        <f t="shared" si="33"/>
        <v>0</v>
      </c>
      <c r="H211" s="463">
        <f t="shared" si="34"/>
        <v>14939406</v>
      </c>
      <c r="I211" s="463">
        <f t="shared" si="33"/>
        <v>0</v>
      </c>
      <c r="J211" s="463">
        <f t="shared" si="33"/>
        <v>0</v>
      </c>
      <c r="K211" s="463">
        <f t="shared" si="33"/>
        <v>0</v>
      </c>
      <c r="L211" s="463">
        <f t="shared" si="33"/>
        <v>0</v>
      </c>
      <c r="M211" s="463">
        <f t="shared" si="33"/>
        <v>0</v>
      </c>
      <c r="N211" s="463">
        <f t="shared" si="33"/>
        <v>0</v>
      </c>
      <c r="O211" s="463">
        <f t="shared" si="33"/>
        <v>0</v>
      </c>
      <c r="P211" s="463">
        <f t="shared" si="33"/>
        <v>0</v>
      </c>
      <c r="Q211" s="463">
        <f t="shared" si="35"/>
        <v>35012</v>
      </c>
      <c r="R211" s="463">
        <f t="shared" si="33"/>
        <v>35012</v>
      </c>
      <c r="S211" s="465"/>
    </row>
    <row r="212" spans="1:19" ht="12.75" hidden="1" thickBot="1">
      <c r="A212" s="24" t="s">
        <v>367</v>
      </c>
      <c r="B212" s="16" t="s">
        <v>1277</v>
      </c>
      <c r="C212" s="24" t="s">
        <v>377</v>
      </c>
      <c r="D212" s="463">
        <f t="shared" si="33"/>
        <v>0</v>
      </c>
      <c r="E212" s="463">
        <f t="shared" si="33"/>
        <v>0</v>
      </c>
      <c r="F212" s="463">
        <f t="shared" si="33"/>
        <v>0</v>
      </c>
      <c r="G212" s="463">
        <f t="shared" si="33"/>
        <v>0</v>
      </c>
      <c r="H212" s="463">
        <f t="shared" si="34"/>
        <v>0</v>
      </c>
      <c r="I212" s="463">
        <f t="shared" si="33"/>
        <v>0</v>
      </c>
      <c r="J212" s="463">
        <f t="shared" si="33"/>
        <v>0</v>
      </c>
      <c r="K212" s="463">
        <f t="shared" si="33"/>
        <v>0</v>
      </c>
      <c r="L212" s="463">
        <f t="shared" si="33"/>
        <v>0</v>
      </c>
      <c r="M212" s="463">
        <f t="shared" si="33"/>
        <v>0</v>
      </c>
      <c r="N212" s="463">
        <f t="shared" si="33"/>
        <v>0</v>
      </c>
      <c r="O212" s="463">
        <f t="shared" si="33"/>
        <v>0</v>
      </c>
      <c r="P212" s="463">
        <f t="shared" si="33"/>
        <v>0</v>
      </c>
      <c r="Q212" s="463">
        <f t="shared" si="33"/>
        <v>0</v>
      </c>
      <c r="R212" s="463">
        <f t="shared" si="33"/>
        <v>0</v>
      </c>
      <c r="S212" s="465"/>
    </row>
    <row r="213" spans="1:19" ht="12.75" hidden="1" thickBot="1">
      <c r="A213" s="24" t="s">
        <v>367</v>
      </c>
      <c r="B213" s="16" t="s">
        <v>1277</v>
      </c>
      <c r="C213" s="24" t="s">
        <v>378</v>
      </c>
      <c r="D213" s="463">
        <f t="shared" si="33"/>
        <v>216</v>
      </c>
      <c r="E213" s="463">
        <f t="shared" si="33"/>
        <v>0</v>
      </c>
      <c r="F213" s="463">
        <f t="shared" si="33"/>
        <v>0</v>
      </c>
      <c r="G213" s="463">
        <f t="shared" si="33"/>
        <v>0</v>
      </c>
      <c r="H213" s="463">
        <f t="shared" si="34"/>
        <v>76574431</v>
      </c>
      <c r="I213" s="463">
        <f t="shared" si="33"/>
        <v>0</v>
      </c>
      <c r="J213" s="463">
        <f t="shared" si="33"/>
        <v>0</v>
      </c>
      <c r="K213" s="463">
        <f t="shared" si="33"/>
        <v>0</v>
      </c>
      <c r="L213" s="463">
        <f t="shared" si="33"/>
        <v>0</v>
      </c>
      <c r="M213" s="463">
        <f t="shared" si="33"/>
        <v>0</v>
      </c>
      <c r="N213" s="463">
        <f t="shared" si="33"/>
        <v>0</v>
      </c>
      <c r="O213" s="463">
        <f t="shared" si="33"/>
        <v>156986</v>
      </c>
      <c r="P213" s="463">
        <f t="shared" si="33"/>
        <v>152069</v>
      </c>
      <c r="Q213" s="463">
        <f t="shared" si="33"/>
        <v>150334</v>
      </c>
      <c r="R213" s="463">
        <f t="shared" si="33"/>
        <v>0</v>
      </c>
      <c r="S213" s="465"/>
    </row>
    <row r="214" spans="1:19" ht="12.75" hidden="1" thickBot="1">
      <c r="A214" s="24" t="s">
        <v>367</v>
      </c>
      <c r="B214" s="16" t="s">
        <v>1277</v>
      </c>
      <c r="C214" s="24" t="s">
        <v>379</v>
      </c>
      <c r="D214" s="463">
        <f t="shared" si="33"/>
        <v>38</v>
      </c>
      <c r="E214" s="463">
        <f t="shared" si="33"/>
        <v>0</v>
      </c>
      <c r="F214" s="463">
        <f t="shared" si="33"/>
        <v>0</v>
      </c>
      <c r="G214" s="463">
        <f t="shared" si="33"/>
        <v>0</v>
      </c>
      <c r="H214" s="463">
        <f t="shared" si="34"/>
        <v>36804280</v>
      </c>
      <c r="I214" s="463">
        <f t="shared" si="33"/>
        <v>0</v>
      </c>
      <c r="J214" s="463">
        <f t="shared" si="33"/>
        <v>0</v>
      </c>
      <c r="K214" s="463">
        <f t="shared" si="33"/>
        <v>0</v>
      </c>
      <c r="L214" s="463">
        <f t="shared" si="33"/>
        <v>0</v>
      </c>
      <c r="M214" s="463">
        <f t="shared" si="33"/>
        <v>0</v>
      </c>
      <c r="N214" s="463">
        <f t="shared" si="33"/>
        <v>0</v>
      </c>
      <c r="O214" s="463">
        <f t="shared" si="33"/>
        <v>85062</v>
      </c>
      <c r="P214" s="463">
        <f t="shared" si="33"/>
        <v>77957</v>
      </c>
      <c r="Q214" s="463">
        <f t="shared" si="33"/>
        <v>76798</v>
      </c>
      <c r="R214" s="463">
        <f t="shared" si="33"/>
        <v>0</v>
      </c>
      <c r="S214" s="464"/>
    </row>
    <row r="215" spans="1:19" ht="12.75" hidden="1" thickBot="1">
      <c r="A215" s="24" t="s">
        <v>367</v>
      </c>
      <c r="B215" s="16" t="s">
        <v>1277</v>
      </c>
      <c r="C215" s="24" t="s">
        <v>381</v>
      </c>
      <c r="D215" s="463">
        <f t="shared" si="33"/>
        <v>16348</v>
      </c>
      <c r="E215" s="463">
        <f t="shared" si="33"/>
        <v>0</v>
      </c>
      <c r="F215" s="463">
        <f t="shared" si="33"/>
        <v>0</v>
      </c>
      <c r="G215" s="463">
        <f t="shared" si="33"/>
        <v>0</v>
      </c>
      <c r="H215" s="463">
        <f t="shared" si="34"/>
        <v>102495326</v>
      </c>
      <c r="I215" s="463">
        <f t="shared" si="33"/>
        <v>0</v>
      </c>
      <c r="J215" s="463">
        <f t="shared" si="33"/>
        <v>0</v>
      </c>
      <c r="K215" s="463">
        <f t="shared" si="33"/>
        <v>0</v>
      </c>
      <c r="L215" s="463">
        <f t="shared" si="33"/>
        <v>0</v>
      </c>
      <c r="M215" s="463">
        <f t="shared" si="33"/>
        <v>0</v>
      </c>
      <c r="N215" s="463">
        <f t="shared" si="33"/>
        <v>0</v>
      </c>
      <c r="O215" s="463">
        <f>R215</f>
        <v>238335</v>
      </c>
      <c r="P215" s="463">
        <f t="shared" si="33"/>
        <v>0</v>
      </c>
      <c r="Q215" s="463">
        <f t="shared" si="33"/>
        <v>0</v>
      </c>
      <c r="R215" s="463">
        <f t="shared" si="33"/>
        <v>238335</v>
      </c>
      <c r="S215" s="464"/>
    </row>
    <row r="216" spans="1:19" ht="12.75" hidden="1" thickBot="1">
      <c r="A216" s="24" t="s">
        <v>367</v>
      </c>
      <c r="B216" s="16" t="s">
        <v>1277</v>
      </c>
      <c r="C216" s="24" t="s">
        <v>382</v>
      </c>
      <c r="D216" s="463">
        <f t="shared" si="33"/>
        <v>0</v>
      </c>
      <c r="E216" s="463">
        <f t="shared" si="33"/>
        <v>0</v>
      </c>
      <c r="F216" s="463">
        <f t="shared" si="33"/>
        <v>0</v>
      </c>
      <c r="G216" s="463">
        <f t="shared" si="33"/>
        <v>0</v>
      </c>
      <c r="H216" s="463">
        <f t="shared" si="34"/>
        <v>0</v>
      </c>
      <c r="I216" s="463">
        <f t="shared" si="33"/>
        <v>0</v>
      </c>
      <c r="J216" s="463">
        <f t="shared" si="33"/>
        <v>0</v>
      </c>
      <c r="K216" s="463">
        <f t="shared" si="33"/>
        <v>0</v>
      </c>
      <c r="L216" s="463">
        <f t="shared" si="33"/>
        <v>0</v>
      </c>
      <c r="M216" s="463">
        <f t="shared" si="33"/>
        <v>0</v>
      </c>
      <c r="N216" s="463">
        <f t="shared" si="33"/>
        <v>0</v>
      </c>
      <c r="O216" s="463">
        <f t="shared" si="33"/>
        <v>0</v>
      </c>
      <c r="P216" s="463">
        <f t="shared" si="33"/>
        <v>0</v>
      </c>
      <c r="Q216" s="463">
        <f t="shared" si="33"/>
        <v>0</v>
      </c>
      <c r="R216" s="463">
        <f t="shared" si="33"/>
        <v>0</v>
      </c>
      <c r="S216" s="464"/>
    </row>
    <row r="217" spans="1:19" ht="12.75" hidden="1" thickBot="1">
      <c r="A217" s="24" t="s">
        <v>367</v>
      </c>
      <c r="B217" s="16" t="s">
        <v>1277</v>
      </c>
      <c r="C217" s="24" t="s">
        <v>384</v>
      </c>
      <c r="D217" s="463">
        <f t="shared" si="33"/>
        <v>0</v>
      </c>
      <c r="E217" s="463">
        <f t="shared" si="33"/>
        <v>0</v>
      </c>
      <c r="F217" s="463">
        <f t="shared" si="33"/>
        <v>0</v>
      </c>
      <c r="G217" s="463">
        <f t="shared" si="33"/>
        <v>0</v>
      </c>
      <c r="H217" s="463">
        <f t="shared" si="34"/>
        <v>0</v>
      </c>
      <c r="I217" s="463">
        <f t="shared" si="33"/>
        <v>0</v>
      </c>
      <c r="J217" s="463">
        <f t="shared" si="33"/>
        <v>0</v>
      </c>
      <c r="K217" s="463">
        <f t="shared" si="33"/>
        <v>0</v>
      </c>
      <c r="L217" s="463">
        <f t="shared" si="33"/>
        <v>0</v>
      </c>
      <c r="M217" s="463">
        <f t="shared" si="33"/>
        <v>0</v>
      </c>
      <c r="N217" s="463">
        <f t="shared" si="33"/>
        <v>0</v>
      </c>
      <c r="O217" s="463">
        <f t="shared" si="33"/>
        <v>0</v>
      </c>
      <c r="P217" s="463">
        <f t="shared" si="33"/>
        <v>0</v>
      </c>
      <c r="Q217" s="463">
        <f t="shared" si="33"/>
        <v>0</v>
      </c>
      <c r="R217" s="463">
        <f t="shared" si="33"/>
        <v>0</v>
      </c>
      <c r="S217" s="464"/>
    </row>
    <row r="218" spans="1:19" ht="12.75" hidden="1" thickBot="1">
      <c r="A218" s="24" t="s">
        <v>367</v>
      </c>
      <c r="B218" s="16" t="s">
        <v>1277</v>
      </c>
      <c r="C218" s="24" t="s">
        <v>385</v>
      </c>
      <c r="D218" s="463">
        <f t="shared" si="33"/>
        <v>2</v>
      </c>
      <c r="E218" s="463">
        <f t="shared" si="33"/>
        <v>0</v>
      </c>
      <c r="F218" s="463">
        <f t="shared" si="33"/>
        <v>0</v>
      </c>
      <c r="G218" s="463">
        <f t="shared" si="33"/>
        <v>0</v>
      </c>
      <c r="H218" s="463">
        <f t="shared" si="34"/>
        <v>5252400</v>
      </c>
      <c r="I218" s="463">
        <f t="shared" si="33"/>
        <v>0</v>
      </c>
      <c r="J218" s="463">
        <f t="shared" si="33"/>
        <v>0</v>
      </c>
      <c r="K218" s="463">
        <f t="shared" si="33"/>
        <v>0</v>
      </c>
      <c r="L218" s="463">
        <f t="shared" si="33"/>
        <v>0</v>
      </c>
      <c r="M218" s="463">
        <f t="shared" si="33"/>
        <v>0</v>
      </c>
      <c r="N218" s="463">
        <f t="shared" si="33"/>
        <v>0</v>
      </c>
      <c r="O218" s="463">
        <f t="shared" si="33"/>
        <v>0</v>
      </c>
      <c r="P218" s="463">
        <f t="shared" si="33"/>
        <v>0</v>
      </c>
      <c r="Q218" s="463">
        <f>R218</f>
        <v>9450</v>
      </c>
      <c r="R218" s="463">
        <f t="shared" si="33"/>
        <v>9450</v>
      </c>
      <c r="S218" s="464"/>
    </row>
    <row r="219" spans="1:19" ht="12.75" hidden="1" thickBot="1">
      <c r="A219" s="24" t="s">
        <v>367</v>
      </c>
      <c r="B219" s="16" t="s">
        <v>1277</v>
      </c>
      <c r="C219" s="24" t="s">
        <v>1223</v>
      </c>
      <c r="D219" s="463">
        <f t="shared" si="33"/>
        <v>0</v>
      </c>
      <c r="E219" s="463">
        <f t="shared" si="33"/>
        <v>0</v>
      </c>
      <c r="F219" s="463">
        <f t="shared" si="33"/>
        <v>0</v>
      </c>
      <c r="G219" s="463">
        <f t="shared" si="33"/>
        <v>0</v>
      </c>
      <c r="H219" s="463">
        <f t="shared" si="34"/>
        <v>0</v>
      </c>
      <c r="I219" s="463">
        <f t="shared" si="33"/>
        <v>0</v>
      </c>
      <c r="J219" s="463">
        <f t="shared" si="33"/>
        <v>0</v>
      </c>
      <c r="K219" s="463">
        <f t="shared" si="33"/>
        <v>0</v>
      </c>
      <c r="L219" s="463">
        <f t="shared" si="33"/>
        <v>0</v>
      </c>
      <c r="M219" s="463">
        <f t="shared" si="33"/>
        <v>0</v>
      </c>
      <c r="N219" s="463">
        <f t="shared" si="33"/>
        <v>0</v>
      </c>
      <c r="O219" s="463">
        <f t="shared" si="33"/>
        <v>0</v>
      </c>
      <c r="P219" s="463">
        <f t="shared" si="33"/>
        <v>0</v>
      </c>
      <c r="Q219" s="463">
        <f t="shared" si="33"/>
        <v>0</v>
      </c>
      <c r="R219" s="463">
        <f t="shared" si="33"/>
        <v>0</v>
      </c>
      <c r="S219" s="464"/>
    </row>
    <row r="220" spans="1:19" ht="12.75" hidden="1" thickBot="1">
      <c r="A220" s="24" t="s">
        <v>367</v>
      </c>
      <c r="B220" s="16" t="s">
        <v>1277</v>
      </c>
      <c r="C220" s="24" t="s">
        <v>387</v>
      </c>
      <c r="D220" s="463">
        <f t="shared" si="33"/>
        <v>1</v>
      </c>
      <c r="E220" s="463">
        <f t="shared" si="33"/>
        <v>0</v>
      </c>
      <c r="F220" s="463">
        <f t="shared" si="33"/>
        <v>0</v>
      </c>
      <c r="G220" s="463">
        <f t="shared" si="33"/>
        <v>0</v>
      </c>
      <c r="H220" s="463">
        <f t="shared" si="34"/>
        <v>10990000</v>
      </c>
      <c r="I220" s="463">
        <f t="shared" si="33"/>
        <v>0</v>
      </c>
      <c r="J220" s="463">
        <f t="shared" si="33"/>
        <v>0</v>
      </c>
      <c r="K220" s="463">
        <f t="shared" si="33"/>
        <v>0</v>
      </c>
      <c r="L220" s="463">
        <f t="shared" si="33"/>
        <v>0</v>
      </c>
      <c r="M220" s="463">
        <f t="shared" si="33"/>
        <v>0</v>
      </c>
      <c r="N220" s="463">
        <f t="shared" si="33"/>
        <v>0</v>
      </c>
      <c r="O220" s="463">
        <f t="shared" si="33"/>
        <v>0</v>
      </c>
      <c r="P220" s="463">
        <f t="shared" si="33"/>
        <v>0</v>
      </c>
      <c r="Q220" s="463">
        <f>R220</f>
        <v>20596</v>
      </c>
      <c r="R220" s="463">
        <f t="shared" si="33"/>
        <v>20596</v>
      </c>
      <c r="S220" s="465"/>
    </row>
    <row r="221" spans="1:19" ht="12.75" hidden="1" thickBot="1">
      <c r="A221" s="24" t="s">
        <v>367</v>
      </c>
      <c r="B221" s="16" t="s">
        <v>1277</v>
      </c>
      <c r="C221" s="24" t="s">
        <v>388</v>
      </c>
      <c r="D221" s="463">
        <f t="shared" si="33"/>
        <v>12</v>
      </c>
      <c r="E221" s="463">
        <f t="shared" si="33"/>
        <v>0</v>
      </c>
      <c r="F221" s="463">
        <f t="shared" si="33"/>
        <v>0</v>
      </c>
      <c r="G221" s="463">
        <f t="shared" si="33"/>
        <v>0</v>
      </c>
      <c r="H221" s="463">
        <f t="shared" si="34"/>
        <v>71457686</v>
      </c>
      <c r="I221" s="463">
        <f t="shared" si="33"/>
        <v>0</v>
      </c>
      <c r="J221" s="463">
        <f t="shared" si="33"/>
        <v>0</v>
      </c>
      <c r="K221" s="463">
        <f t="shared" si="33"/>
        <v>0</v>
      </c>
      <c r="L221" s="463">
        <f t="shared" si="33"/>
        <v>0</v>
      </c>
      <c r="M221" s="463">
        <f t="shared" si="33"/>
        <v>0</v>
      </c>
      <c r="N221" s="463">
        <f t="shared" si="33"/>
        <v>0</v>
      </c>
      <c r="O221" s="463">
        <f t="shared" si="33"/>
        <v>148471</v>
      </c>
      <c r="P221" s="463">
        <f t="shared" si="33"/>
        <v>144617</v>
      </c>
      <c r="Q221" s="463">
        <f t="shared" si="33"/>
        <v>91611</v>
      </c>
      <c r="R221" s="463">
        <f t="shared" si="33"/>
        <v>0</v>
      </c>
      <c r="S221" s="464"/>
    </row>
    <row r="222" spans="1:19" ht="12.75" hidden="1" thickBot="1">
      <c r="A222" s="24" t="s">
        <v>367</v>
      </c>
      <c r="B222" s="16" t="s">
        <v>1277</v>
      </c>
      <c r="C222" s="24" t="s">
        <v>389</v>
      </c>
      <c r="D222" s="463">
        <f t="shared" ref="D222:R236" si="36">ROUND(SUMIFS(D$409:D$780,$B$409:$B$780,$B222,$C$409:$C$780,$C222),0)</f>
        <v>216</v>
      </c>
      <c r="E222" s="463">
        <f t="shared" si="36"/>
        <v>0</v>
      </c>
      <c r="F222" s="463">
        <f t="shared" si="36"/>
        <v>0</v>
      </c>
      <c r="G222" s="463">
        <f t="shared" si="36"/>
        <v>0</v>
      </c>
      <c r="H222" s="463">
        <f t="shared" si="34"/>
        <v>23496230</v>
      </c>
      <c r="I222" s="463">
        <f t="shared" si="36"/>
        <v>0</v>
      </c>
      <c r="J222" s="463">
        <f t="shared" si="36"/>
        <v>0</v>
      </c>
      <c r="K222" s="463">
        <f t="shared" si="36"/>
        <v>0</v>
      </c>
      <c r="L222" s="463">
        <f t="shared" si="36"/>
        <v>0</v>
      </c>
      <c r="M222" s="463">
        <f t="shared" si="36"/>
        <v>0</v>
      </c>
      <c r="N222" s="463">
        <f t="shared" si="36"/>
        <v>0</v>
      </c>
      <c r="O222" s="463">
        <f t="shared" si="36"/>
        <v>0</v>
      </c>
      <c r="P222" s="463">
        <f t="shared" si="36"/>
        <v>0</v>
      </c>
      <c r="Q222" s="463">
        <f t="shared" ref="Q222:Q223" si="37">R222</f>
        <v>71167</v>
      </c>
      <c r="R222" s="463">
        <f t="shared" si="36"/>
        <v>71167</v>
      </c>
      <c r="S222" s="465"/>
    </row>
    <row r="223" spans="1:19" ht="12.75" hidden="1" thickBot="1">
      <c r="A223" s="24" t="s">
        <v>367</v>
      </c>
      <c r="B223" s="16" t="s">
        <v>1277</v>
      </c>
      <c r="C223" s="24" t="s">
        <v>390</v>
      </c>
      <c r="D223" s="463">
        <f t="shared" si="36"/>
        <v>21</v>
      </c>
      <c r="E223" s="463">
        <f t="shared" si="36"/>
        <v>0</v>
      </c>
      <c r="F223" s="463">
        <f t="shared" si="36"/>
        <v>0</v>
      </c>
      <c r="G223" s="463">
        <f t="shared" si="36"/>
        <v>0</v>
      </c>
      <c r="H223" s="463">
        <f t="shared" si="34"/>
        <v>1185295</v>
      </c>
      <c r="I223" s="463">
        <f t="shared" si="36"/>
        <v>0</v>
      </c>
      <c r="J223" s="463">
        <f t="shared" si="36"/>
        <v>0</v>
      </c>
      <c r="K223" s="463">
        <f t="shared" si="36"/>
        <v>0</v>
      </c>
      <c r="L223" s="463">
        <f t="shared" si="36"/>
        <v>0</v>
      </c>
      <c r="M223" s="463">
        <f t="shared" si="36"/>
        <v>0</v>
      </c>
      <c r="N223" s="463">
        <f t="shared" si="36"/>
        <v>0</v>
      </c>
      <c r="O223" s="463">
        <f t="shared" si="36"/>
        <v>0</v>
      </c>
      <c r="P223" s="463">
        <f t="shared" si="36"/>
        <v>0</v>
      </c>
      <c r="Q223" s="463">
        <f t="shared" si="37"/>
        <v>4169</v>
      </c>
      <c r="R223" s="463">
        <f t="shared" si="36"/>
        <v>4169</v>
      </c>
      <c r="S223" s="465"/>
    </row>
    <row r="224" spans="1:19" ht="12.75" hidden="1" thickBot="1">
      <c r="A224" s="24" t="s">
        <v>367</v>
      </c>
      <c r="B224" s="16" t="s">
        <v>1277</v>
      </c>
      <c r="C224" s="24" t="s">
        <v>391</v>
      </c>
      <c r="D224" s="463">
        <f t="shared" si="36"/>
        <v>93</v>
      </c>
      <c r="E224" s="463">
        <f t="shared" si="36"/>
        <v>0</v>
      </c>
      <c r="F224" s="463">
        <f t="shared" si="36"/>
        <v>0</v>
      </c>
      <c r="G224" s="463">
        <f t="shared" si="36"/>
        <v>0</v>
      </c>
      <c r="H224" s="463">
        <f t="shared" si="34"/>
        <v>23109451</v>
      </c>
      <c r="I224" s="463">
        <f t="shared" si="36"/>
        <v>0</v>
      </c>
      <c r="J224" s="463">
        <f t="shared" si="36"/>
        <v>0</v>
      </c>
      <c r="K224" s="463">
        <f t="shared" si="36"/>
        <v>0</v>
      </c>
      <c r="L224" s="463">
        <f t="shared" si="36"/>
        <v>0</v>
      </c>
      <c r="M224" s="463">
        <f t="shared" si="36"/>
        <v>0</v>
      </c>
      <c r="N224" s="463">
        <f t="shared" si="36"/>
        <v>0</v>
      </c>
      <c r="O224" s="463">
        <f t="shared" si="36"/>
        <v>55144</v>
      </c>
      <c r="P224" s="463">
        <f t="shared" si="36"/>
        <v>51572</v>
      </c>
      <c r="Q224" s="463">
        <f t="shared" si="36"/>
        <v>49890</v>
      </c>
      <c r="R224" s="463">
        <f t="shared" si="36"/>
        <v>0</v>
      </c>
      <c r="S224" s="465"/>
    </row>
    <row r="225" spans="1:19" ht="12.75" hidden="1" thickBot="1">
      <c r="A225" s="24" t="s">
        <v>367</v>
      </c>
      <c r="B225" s="16" t="s">
        <v>1277</v>
      </c>
      <c r="C225" s="24" t="s">
        <v>392</v>
      </c>
      <c r="D225" s="463">
        <f t="shared" si="36"/>
        <v>68</v>
      </c>
      <c r="E225" s="463">
        <f t="shared" si="36"/>
        <v>0</v>
      </c>
      <c r="F225" s="463">
        <f t="shared" si="36"/>
        <v>0</v>
      </c>
      <c r="G225" s="463">
        <f t="shared" si="36"/>
        <v>0</v>
      </c>
      <c r="H225" s="463">
        <f t="shared" si="34"/>
        <v>149464743</v>
      </c>
      <c r="I225" s="463">
        <f t="shared" si="36"/>
        <v>0</v>
      </c>
      <c r="J225" s="463">
        <f t="shared" si="36"/>
        <v>0</v>
      </c>
      <c r="K225" s="463">
        <f t="shared" si="36"/>
        <v>0</v>
      </c>
      <c r="L225" s="463">
        <f t="shared" si="36"/>
        <v>0</v>
      </c>
      <c r="M225" s="463">
        <f t="shared" si="36"/>
        <v>0</v>
      </c>
      <c r="N225" s="463">
        <f t="shared" si="36"/>
        <v>0</v>
      </c>
      <c r="O225" s="463">
        <f t="shared" si="36"/>
        <v>355998</v>
      </c>
      <c r="P225" s="463">
        <f t="shared" si="36"/>
        <v>323197</v>
      </c>
      <c r="Q225" s="463">
        <f t="shared" si="36"/>
        <v>318904</v>
      </c>
      <c r="R225" s="463">
        <f t="shared" si="36"/>
        <v>0</v>
      </c>
      <c r="S225" s="464"/>
    </row>
    <row r="226" spans="1:19" ht="12.75" hidden="1" thickBot="1">
      <c r="A226" s="24" t="s">
        <v>367</v>
      </c>
      <c r="B226" s="16" t="s">
        <v>1277</v>
      </c>
      <c r="C226" s="24" t="s">
        <v>394</v>
      </c>
      <c r="D226" s="463">
        <f t="shared" si="36"/>
        <v>0</v>
      </c>
      <c r="E226" s="463">
        <f t="shared" si="36"/>
        <v>0</v>
      </c>
      <c r="F226" s="463">
        <f t="shared" si="36"/>
        <v>0</v>
      </c>
      <c r="G226" s="463">
        <f t="shared" si="36"/>
        <v>0</v>
      </c>
      <c r="H226" s="463">
        <f t="shared" si="34"/>
        <v>0</v>
      </c>
      <c r="I226" s="463">
        <f t="shared" si="36"/>
        <v>0</v>
      </c>
      <c r="J226" s="463">
        <f t="shared" si="36"/>
        <v>0</v>
      </c>
      <c r="K226" s="463">
        <f t="shared" si="36"/>
        <v>0</v>
      </c>
      <c r="L226" s="463">
        <f t="shared" si="36"/>
        <v>0</v>
      </c>
      <c r="M226" s="463">
        <f t="shared" si="36"/>
        <v>0</v>
      </c>
      <c r="N226" s="463">
        <f t="shared" si="36"/>
        <v>0</v>
      </c>
      <c r="O226" s="463">
        <f t="shared" si="36"/>
        <v>0</v>
      </c>
      <c r="P226" s="463">
        <f t="shared" si="36"/>
        <v>0</v>
      </c>
      <c r="Q226" s="463">
        <f t="shared" si="36"/>
        <v>0</v>
      </c>
      <c r="R226" s="463">
        <f t="shared" si="36"/>
        <v>0</v>
      </c>
      <c r="S226" s="464"/>
    </row>
    <row r="227" spans="1:19" ht="12.75" hidden="1" thickBot="1">
      <c r="A227" s="24" t="s">
        <v>367</v>
      </c>
      <c r="B227" s="16" t="s">
        <v>1277</v>
      </c>
      <c r="C227" s="24" t="s">
        <v>395</v>
      </c>
      <c r="D227" s="463">
        <f t="shared" si="36"/>
        <v>156</v>
      </c>
      <c r="E227" s="463">
        <f t="shared" si="36"/>
        <v>0</v>
      </c>
      <c r="F227" s="463">
        <f t="shared" si="36"/>
        <v>0</v>
      </c>
      <c r="G227" s="463">
        <f t="shared" si="36"/>
        <v>0</v>
      </c>
      <c r="H227" s="463">
        <f t="shared" si="34"/>
        <v>264288</v>
      </c>
      <c r="I227" s="463">
        <f t="shared" si="36"/>
        <v>0</v>
      </c>
      <c r="J227" s="463">
        <f t="shared" si="36"/>
        <v>0</v>
      </c>
      <c r="K227" s="463">
        <f t="shared" si="36"/>
        <v>0</v>
      </c>
      <c r="L227" s="463">
        <f t="shared" si="36"/>
        <v>0</v>
      </c>
      <c r="M227" s="463">
        <f t="shared" si="36"/>
        <v>0</v>
      </c>
      <c r="N227" s="463">
        <f t="shared" si="36"/>
        <v>0</v>
      </c>
      <c r="O227" s="463">
        <f t="shared" si="36"/>
        <v>0</v>
      </c>
      <c r="P227" s="463">
        <f t="shared" si="36"/>
        <v>0</v>
      </c>
      <c r="Q227" s="463">
        <f t="shared" si="36"/>
        <v>0</v>
      </c>
      <c r="R227" s="463">
        <f t="shared" si="36"/>
        <v>0</v>
      </c>
      <c r="S227" s="464"/>
    </row>
    <row r="228" spans="1:19" ht="12.75" hidden="1" thickBot="1">
      <c r="A228" s="24" t="s">
        <v>367</v>
      </c>
      <c r="B228" s="16" t="s">
        <v>1277</v>
      </c>
      <c r="C228" s="24" t="s">
        <v>396</v>
      </c>
      <c r="D228" s="463">
        <f t="shared" si="36"/>
        <v>0</v>
      </c>
      <c r="E228" s="463">
        <f t="shared" si="36"/>
        <v>0</v>
      </c>
      <c r="F228" s="463">
        <f t="shared" si="36"/>
        <v>0</v>
      </c>
      <c r="G228" s="463">
        <f t="shared" si="36"/>
        <v>0</v>
      </c>
      <c r="H228" s="463">
        <f t="shared" si="34"/>
        <v>0</v>
      </c>
      <c r="I228" s="463">
        <f t="shared" si="36"/>
        <v>0</v>
      </c>
      <c r="J228" s="463">
        <f t="shared" si="36"/>
        <v>0</v>
      </c>
      <c r="K228" s="463">
        <f t="shared" si="36"/>
        <v>0</v>
      </c>
      <c r="L228" s="463">
        <f t="shared" si="36"/>
        <v>0</v>
      </c>
      <c r="M228" s="463">
        <f t="shared" si="36"/>
        <v>0</v>
      </c>
      <c r="N228" s="463">
        <f t="shared" si="36"/>
        <v>0</v>
      </c>
      <c r="O228" s="463">
        <f t="shared" si="36"/>
        <v>0</v>
      </c>
      <c r="P228" s="463">
        <f t="shared" si="36"/>
        <v>0</v>
      </c>
      <c r="Q228" s="463">
        <f t="shared" si="36"/>
        <v>0</v>
      </c>
      <c r="R228" s="463">
        <f t="shared" si="36"/>
        <v>0</v>
      </c>
      <c r="S228" s="464"/>
    </row>
    <row r="229" spans="1:19" ht="12.75" hidden="1" thickBot="1">
      <c r="A229" s="24" t="s">
        <v>367</v>
      </c>
      <c r="B229" s="16" t="s">
        <v>1277</v>
      </c>
      <c r="C229" s="24" t="s">
        <v>397</v>
      </c>
      <c r="D229" s="463">
        <f t="shared" si="36"/>
        <v>905</v>
      </c>
      <c r="E229" s="463">
        <f t="shared" si="36"/>
        <v>0</v>
      </c>
      <c r="F229" s="463">
        <f t="shared" si="36"/>
        <v>0</v>
      </c>
      <c r="G229" s="463">
        <f t="shared" si="36"/>
        <v>0</v>
      </c>
      <c r="H229" s="463">
        <f t="shared" si="34"/>
        <v>256936</v>
      </c>
      <c r="I229" s="463">
        <f t="shared" si="36"/>
        <v>0</v>
      </c>
      <c r="J229" s="463">
        <f t="shared" si="36"/>
        <v>0</v>
      </c>
      <c r="K229" s="463">
        <f t="shared" si="36"/>
        <v>0</v>
      </c>
      <c r="L229" s="463">
        <f t="shared" si="36"/>
        <v>0</v>
      </c>
      <c r="M229" s="463">
        <f t="shared" si="36"/>
        <v>0</v>
      </c>
      <c r="N229" s="463">
        <f t="shared" si="36"/>
        <v>0</v>
      </c>
      <c r="O229" s="463">
        <f t="shared" si="36"/>
        <v>0</v>
      </c>
      <c r="P229" s="463">
        <f t="shared" si="36"/>
        <v>0</v>
      </c>
      <c r="Q229" s="463">
        <f t="shared" si="36"/>
        <v>0</v>
      </c>
      <c r="R229" s="463">
        <f t="shared" si="36"/>
        <v>0</v>
      </c>
      <c r="S229" s="464"/>
    </row>
    <row r="230" spans="1:19" ht="12.75" hidden="1" thickBot="1">
      <c r="A230" s="24" t="s">
        <v>367</v>
      </c>
      <c r="B230" s="16" t="s">
        <v>1277</v>
      </c>
      <c r="C230" s="24" t="s">
        <v>398</v>
      </c>
      <c r="D230" s="463">
        <f t="shared" si="36"/>
        <v>0</v>
      </c>
      <c r="E230" s="463">
        <f t="shared" si="36"/>
        <v>0</v>
      </c>
      <c r="F230" s="463">
        <f t="shared" si="36"/>
        <v>0</v>
      </c>
      <c r="G230" s="463">
        <f t="shared" si="36"/>
        <v>0</v>
      </c>
      <c r="H230" s="463">
        <f t="shared" si="34"/>
        <v>0</v>
      </c>
      <c r="I230" s="463">
        <f t="shared" si="36"/>
        <v>0</v>
      </c>
      <c r="J230" s="463">
        <f t="shared" si="36"/>
        <v>0</v>
      </c>
      <c r="K230" s="463">
        <f t="shared" si="36"/>
        <v>0</v>
      </c>
      <c r="L230" s="463">
        <f t="shared" si="36"/>
        <v>0</v>
      </c>
      <c r="M230" s="463">
        <f t="shared" si="36"/>
        <v>0</v>
      </c>
      <c r="N230" s="463">
        <f t="shared" si="36"/>
        <v>0</v>
      </c>
      <c r="O230" s="463">
        <f t="shared" si="36"/>
        <v>0</v>
      </c>
      <c r="P230" s="463">
        <f t="shared" si="36"/>
        <v>0</v>
      </c>
      <c r="Q230" s="463">
        <f t="shared" si="36"/>
        <v>0</v>
      </c>
      <c r="R230" s="463">
        <f t="shared" si="36"/>
        <v>0</v>
      </c>
      <c r="S230" s="464"/>
    </row>
    <row r="231" spans="1:19" ht="12.75" hidden="1" thickBot="1">
      <c r="A231" s="24" t="s">
        <v>367</v>
      </c>
      <c r="B231" s="16" t="s">
        <v>1277</v>
      </c>
      <c r="C231" s="24" t="s">
        <v>399</v>
      </c>
      <c r="D231" s="463">
        <f t="shared" si="36"/>
        <v>0</v>
      </c>
      <c r="E231" s="463">
        <f t="shared" si="36"/>
        <v>0</v>
      </c>
      <c r="F231" s="463">
        <f t="shared" si="36"/>
        <v>0</v>
      </c>
      <c r="G231" s="463">
        <f t="shared" si="36"/>
        <v>0</v>
      </c>
      <c r="H231" s="463">
        <f t="shared" si="34"/>
        <v>0</v>
      </c>
      <c r="I231" s="463">
        <f t="shared" si="36"/>
        <v>0</v>
      </c>
      <c r="J231" s="463">
        <f t="shared" si="36"/>
        <v>0</v>
      </c>
      <c r="K231" s="463">
        <f t="shared" si="36"/>
        <v>0</v>
      </c>
      <c r="L231" s="463">
        <f t="shared" si="36"/>
        <v>0</v>
      </c>
      <c r="M231" s="463">
        <f t="shared" si="36"/>
        <v>0</v>
      </c>
      <c r="N231" s="463">
        <f t="shared" si="36"/>
        <v>0</v>
      </c>
      <c r="O231" s="463">
        <f t="shared" si="36"/>
        <v>0</v>
      </c>
      <c r="P231" s="463">
        <f t="shared" si="36"/>
        <v>0</v>
      </c>
      <c r="Q231" s="463">
        <f t="shared" si="36"/>
        <v>0</v>
      </c>
      <c r="R231" s="463">
        <f t="shared" si="36"/>
        <v>0</v>
      </c>
      <c r="S231" s="464"/>
    </row>
    <row r="232" spans="1:19" ht="12.75" thickBot="1">
      <c r="A232" s="24" t="s">
        <v>367</v>
      </c>
      <c r="B232" s="16" t="s">
        <v>1277</v>
      </c>
      <c r="C232" s="24" t="s">
        <v>400</v>
      </c>
      <c r="D232" s="463">
        <f t="shared" si="36"/>
        <v>360372</v>
      </c>
      <c r="E232" s="463">
        <f t="shared" si="36"/>
        <v>0</v>
      </c>
      <c r="F232" s="463">
        <f t="shared" si="36"/>
        <v>0</v>
      </c>
      <c r="G232" s="463">
        <f t="shared" si="36"/>
        <v>0</v>
      </c>
      <c r="H232" s="463">
        <f t="shared" si="34"/>
        <v>517281280</v>
      </c>
      <c r="I232" s="463">
        <f t="shared" si="36"/>
        <v>0</v>
      </c>
      <c r="J232" s="463">
        <f t="shared" si="36"/>
        <v>0</v>
      </c>
      <c r="K232" s="463">
        <f t="shared" si="36"/>
        <v>0</v>
      </c>
      <c r="L232" s="463">
        <f t="shared" si="36"/>
        <v>0</v>
      </c>
      <c r="M232" s="463">
        <f t="shared" si="36"/>
        <v>0</v>
      </c>
      <c r="N232" s="463">
        <f t="shared" si="36"/>
        <v>0</v>
      </c>
      <c r="O232" s="463">
        <f t="shared" si="36"/>
        <v>0</v>
      </c>
      <c r="P232" s="463">
        <f t="shared" si="36"/>
        <v>0</v>
      </c>
      <c r="Q232" s="463">
        <f t="shared" si="36"/>
        <v>0</v>
      </c>
      <c r="R232" s="463">
        <f t="shared" si="36"/>
        <v>0</v>
      </c>
      <c r="S232" s="464"/>
    </row>
    <row r="233" spans="1:19" ht="12.75" hidden="1" thickBot="1">
      <c r="A233" s="24" t="s">
        <v>367</v>
      </c>
      <c r="B233" s="16" t="s">
        <v>1277</v>
      </c>
      <c r="C233" s="24" t="s">
        <v>401</v>
      </c>
      <c r="D233" s="463">
        <f t="shared" si="36"/>
        <v>0</v>
      </c>
      <c r="E233" s="463">
        <f t="shared" si="36"/>
        <v>0</v>
      </c>
      <c r="F233" s="463">
        <f t="shared" si="36"/>
        <v>0</v>
      </c>
      <c r="G233" s="463">
        <f t="shared" si="36"/>
        <v>0</v>
      </c>
      <c r="H233" s="463">
        <f t="shared" si="34"/>
        <v>0</v>
      </c>
      <c r="I233" s="463">
        <f t="shared" si="36"/>
        <v>0</v>
      </c>
      <c r="J233" s="463">
        <f t="shared" si="36"/>
        <v>0</v>
      </c>
      <c r="K233" s="463">
        <f t="shared" si="36"/>
        <v>0</v>
      </c>
      <c r="L233" s="463">
        <f t="shared" si="36"/>
        <v>0</v>
      </c>
      <c r="M233" s="463">
        <f t="shared" si="36"/>
        <v>0</v>
      </c>
      <c r="N233" s="463">
        <f t="shared" si="36"/>
        <v>0</v>
      </c>
      <c r="O233" s="463">
        <f t="shared" si="36"/>
        <v>0</v>
      </c>
      <c r="P233" s="463">
        <f t="shared" si="36"/>
        <v>0</v>
      </c>
      <c r="Q233" s="463">
        <f t="shared" si="36"/>
        <v>0</v>
      </c>
      <c r="R233" s="463">
        <f t="shared" si="36"/>
        <v>0</v>
      </c>
      <c r="S233" s="464"/>
    </row>
    <row r="234" spans="1:19" ht="12.75" hidden="1" thickBot="1">
      <c r="A234" s="24" t="s">
        <v>367</v>
      </c>
      <c r="B234" s="16" t="s">
        <v>1277</v>
      </c>
      <c r="C234" s="24" t="s">
        <v>402</v>
      </c>
      <c r="D234" s="463">
        <f t="shared" si="36"/>
        <v>0</v>
      </c>
      <c r="E234" s="463">
        <f t="shared" si="36"/>
        <v>0</v>
      </c>
      <c r="F234" s="463">
        <f t="shared" si="36"/>
        <v>0</v>
      </c>
      <c r="G234" s="463">
        <f t="shared" si="36"/>
        <v>0</v>
      </c>
      <c r="H234" s="463">
        <f t="shared" si="34"/>
        <v>0</v>
      </c>
      <c r="I234" s="463">
        <f t="shared" si="36"/>
        <v>0</v>
      </c>
      <c r="J234" s="463">
        <f t="shared" si="36"/>
        <v>0</v>
      </c>
      <c r="K234" s="463">
        <f t="shared" si="36"/>
        <v>0</v>
      </c>
      <c r="L234" s="463">
        <f t="shared" si="36"/>
        <v>0</v>
      </c>
      <c r="M234" s="463">
        <f t="shared" si="36"/>
        <v>0</v>
      </c>
      <c r="N234" s="463">
        <f t="shared" si="36"/>
        <v>0</v>
      </c>
      <c r="O234" s="463">
        <f t="shared" si="36"/>
        <v>0</v>
      </c>
      <c r="P234" s="463">
        <f t="shared" si="36"/>
        <v>0</v>
      </c>
      <c r="Q234" s="463">
        <f t="shared" si="36"/>
        <v>0</v>
      </c>
      <c r="R234" s="463">
        <f t="shared" si="36"/>
        <v>0</v>
      </c>
      <c r="S234" s="464"/>
    </row>
    <row r="235" spans="1:19" ht="12.75" hidden="1" thickBot="1">
      <c r="A235" s="24" t="s">
        <v>367</v>
      </c>
      <c r="B235" s="16" t="s">
        <v>1277</v>
      </c>
      <c r="C235" s="24" t="s">
        <v>706</v>
      </c>
      <c r="D235" s="463">
        <f t="shared" si="36"/>
        <v>20</v>
      </c>
      <c r="E235" s="463">
        <f t="shared" si="36"/>
        <v>17747</v>
      </c>
      <c r="F235" s="463">
        <f t="shared" si="36"/>
        <v>6131</v>
      </c>
      <c r="G235" s="463">
        <f t="shared" si="36"/>
        <v>6208</v>
      </c>
      <c r="H235" s="463">
        <f t="shared" si="34"/>
        <v>30086</v>
      </c>
      <c r="I235" s="463">
        <f t="shared" si="36"/>
        <v>0</v>
      </c>
      <c r="J235" s="463">
        <f t="shared" si="36"/>
        <v>0</v>
      </c>
      <c r="K235" s="463">
        <f t="shared" si="36"/>
        <v>0</v>
      </c>
      <c r="L235" s="463">
        <f t="shared" si="36"/>
        <v>0</v>
      </c>
      <c r="M235" s="463">
        <f t="shared" si="36"/>
        <v>0</v>
      </c>
      <c r="N235" s="463">
        <f t="shared" si="36"/>
        <v>0</v>
      </c>
      <c r="O235" s="463">
        <f t="shared" si="36"/>
        <v>0</v>
      </c>
      <c r="P235" s="463">
        <f t="shared" si="36"/>
        <v>0</v>
      </c>
      <c r="Q235" s="463">
        <f t="shared" si="36"/>
        <v>0</v>
      </c>
      <c r="R235" s="463">
        <f t="shared" si="36"/>
        <v>0</v>
      </c>
      <c r="S235" s="464"/>
    </row>
    <row r="236" spans="1:19" ht="12.75" hidden="1" thickBot="1">
      <c r="A236" s="24" t="s">
        <v>367</v>
      </c>
      <c r="B236" s="16" t="s">
        <v>1277</v>
      </c>
      <c r="C236" s="24" t="s">
        <v>1230</v>
      </c>
      <c r="D236" s="463">
        <f t="shared" si="36"/>
        <v>0</v>
      </c>
      <c r="E236" s="463">
        <f t="shared" si="36"/>
        <v>0</v>
      </c>
      <c r="F236" s="463">
        <f t="shared" si="36"/>
        <v>0</v>
      </c>
      <c r="G236" s="463">
        <f t="shared" si="36"/>
        <v>0</v>
      </c>
      <c r="H236" s="463">
        <f t="shared" si="34"/>
        <v>0</v>
      </c>
      <c r="I236" s="463">
        <f t="shared" si="36"/>
        <v>0</v>
      </c>
      <c r="J236" s="463">
        <f t="shared" si="36"/>
        <v>0</v>
      </c>
      <c r="K236" s="463">
        <f t="shared" si="36"/>
        <v>0</v>
      </c>
      <c r="L236" s="463">
        <f t="shared" si="36"/>
        <v>0</v>
      </c>
      <c r="M236" s="463">
        <f t="shared" si="36"/>
        <v>0</v>
      </c>
      <c r="N236" s="463">
        <f t="shared" si="36"/>
        <v>0</v>
      </c>
      <c r="O236" s="463">
        <f t="shared" si="36"/>
        <v>0</v>
      </c>
      <c r="P236" s="463">
        <f t="shared" si="36"/>
        <v>0</v>
      </c>
      <c r="Q236" s="463">
        <f t="shared" si="36"/>
        <v>0</v>
      </c>
      <c r="R236" s="463">
        <f t="shared" si="36"/>
        <v>0</v>
      </c>
      <c r="S236" s="464"/>
    </row>
    <row r="237" spans="1:19" ht="12.75" hidden="1" thickBot="1">
      <c r="A237" s="24" t="s">
        <v>367</v>
      </c>
      <c r="B237" s="16" t="s">
        <v>1277</v>
      </c>
      <c r="C237" s="26" t="s">
        <v>7</v>
      </c>
      <c r="D237" s="27"/>
      <c r="E237" s="466"/>
      <c r="F237" s="466"/>
      <c r="G237" s="466"/>
      <c r="H237" s="27"/>
      <c r="I237" s="467"/>
      <c r="J237" s="467"/>
      <c r="K237" s="467"/>
      <c r="L237" s="466"/>
      <c r="M237" s="466"/>
      <c r="N237" s="467"/>
      <c r="O237" s="28"/>
      <c r="P237" s="467"/>
      <c r="Q237" s="467"/>
      <c r="R237" s="467"/>
      <c r="S237" s="466"/>
    </row>
    <row r="238" spans="1:19" ht="12.75" hidden="1" thickBot="1">
      <c r="A238" s="2" t="s">
        <v>367</v>
      </c>
      <c r="B238" s="1" t="s">
        <v>1278</v>
      </c>
      <c r="C238" s="2" t="s">
        <v>368</v>
      </c>
      <c r="D238" s="463">
        <f t="shared" ref="D238:R254" si="38">ROUND(SUMIFS(D$409:D$780,$B$409:$B$780,$B238,$C$409:$C$780,$C238),0)</f>
        <v>0</v>
      </c>
      <c r="E238" s="463">
        <f t="shared" si="38"/>
        <v>0</v>
      </c>
      <c r="F238" s="463">
        <f t="shared" si="38"/>
        <v>0</v>
      </c>
      <c r="G238" s="463">
        <f t="shared" si="38"/>
        <v>0</v>
      </c>
      <c r="H238" s="463">
        <f t="shared" ref="H238:H269" si="39">ROUND(SUMIFS(H$409:H$780,$B$409:$B$780,$B238,$C$409:$C$780,$C238)*1000,0)</f>
        <v>0</v>
      </c>
      <c r="I238" s="463">
        <f t="shared" si="38"/>
        <v>0</v>
      </c>
      <c r="J238" s="463">
        <f t="shared" si="38"/>
        <v>0</v>
      </c>
      <c r="K238" s="463">
        <f t="shared" si="38"/>
        <v>0</v>
      </c>
      <c r="L238" s="463">
        <f t="shared" si="38"/>
        <v>0</v>
      </c>
      <c r="M238" s="463">
        <f t="shared" si="38"/>
        <v>0</v>
      </c>
      <c r="N238" s="463">
        <f t="shared" si="38"/>
        <v>0</v>
      </c>
      <c r="O238" s="463">
        <f t="shared" si="38"/>
        <v>0</v>
      </c>
      <c r="P238" s="463">
        <f t="shared" si="38"/>
        <v>0</v>
      </c>
      <c r="Q238" s="463">
        <f t="shared" si="38"/>
        <v>0</v>
      </c>
      <c r="R238" s="463">
        <f t="shared" si="38"/>
        <v>0</v>
      </c>
      <c r="S238" s="469"/>
    </row>
    <row r="239" spans="1:19" ht="12.75" hidden="1" thickBot="1">
      <c r="A239" s="2" t="s">
        <v>367</v>
      </c>
      <c r="B239" s="1" t="s">
        <v>1278</v>
      </c>
      <c r="C239" s="2" t="s">
        <v>370</v>
      </c>
      <c r="D239" s="463">
        <f t="shared" si="38"/>
        <v>28166</v>
      </c>
      <c r="E239" s="463">
        <f t="shared" si="38"/>
        <v>0</v>
      </c>
      <c r="F239" s="463">
        <f t="shared" si="38"/>
        <v>0</v>
      </c>
      <c r="G239" s="463">
        <f t="shared" si="38"/>
        <v>0</v>
      </c>
      <c r="H239" s="463">
        <f t="shared" si="39"/>
        <v>40346505</v>
      </c>
      <c r="I239" s="463">
        <f t="shared" si="38"/>
        <v>0</v>
      </c>
      <c r="J239" s="463">
        <f t="shared" si="38"/>
        <v>0</v>
      </c>
      <c r="K239" s="463">
        <f t="shared" si="38"/>
        <v>0</v>
      </c>
      <c r="L239" s="463">
        <f t="shared" si="38"/>
        <v>0</v>
      </c>
      <c r="M239" s="463">
        <f t="shared" si="38"/>
        <v>0</v>
      </c>
      <c r="N239" s="463">
        <f t="shared" si="38"/>
        <v>0</v>
      </c>
      <c r="O239" s="463">
        <f t="shared" si="38"/>
        <v>0</v>
      </c>
      <c r="P239" s="463">
        <f t="shared" si="38"/>
        <v>0</v>
      </c>
      <c r="Q239" s="463">
        <f t="shared" si="38"/>
        <v>0</v>
      </c>
      <c r="R239" s="463">
        <f t="shared" si="38"/>
        <v>0</v>
      </c>
      <c r="S239" s="469"/>
    </row>
    <row r="240" spans="1:19" ht="12.75" hidden="1" thickBot="1">
      <c r="A240" s="2" t="s">
        <v>367</v>
      </c>
      <c r="B240" s="1" t="s">
        <v>1278</v>
      </c>
      <c r="C240" s="2" t="s">
        <v>371</v>
      </c>
      <c r="D240" s="463">
        <f t="shared" si="38"/>
        <v>0</v>
      </c>
      <c r="E240" s="463">
        <f t="shared" si="38"/>
        <v>0</v>
      </c>
      <c r="F240" s="463">
        <f t="shared" si="38"/>
        <v>0</v>
      </c>
      <c r="G240" s="463">
        <f t="shared" si="38"/>
        <v>0</v>
      </c>
      <c r="H240" s="463">
        <f t="shared" si="39"/>
        <v>0</v>
      </c>
      <c r="I240" s="463">
        <f t="shared" si="38"/>
        <v>0</v>
      </c>
      <c r="J240" s="463">
        <f t="shared" si="38"/>
        <v>0</v>
      </c>
      <c r="K240" s="463">
        <f t="shared" si="38"/>
        <v>0</v>
      </c>
      <c r="L240" s="463">
        <f t="shared" si="38"/>
        <v>0</v>
      </c>
      <c r="M240" s="463">
        <f t="shared" si="38"/>
        <v>0</v>
      </c>
      <c r="N240" s="463">
        <f t="shared" si="38"/>
        <v>0</v>
      </c>
      <c r="O240" s="463">
        <f t="shared" si="38"/>
        <v>0</v>
      </c>
      <c r="P240" s="463">
        <f t="shared" si="38"/>
        <v>0</v>
      </c>
      <c r="Q240" s="463">
        <f t="shared" si="38"/>
        <v>0</v>
      </c>
      <c r="R240" s="463">
        <f t="shared" si="38"/>
        <v>0</v>
      </c>
      <c r="S240" s="469"/>
    </row>
    <row r="241" spans="1:19" ht="12.75" hidden="1" thickBot="1">
      <c r="A241" s="2" t="s">
        <v>367</v>
      </c>
      <c r="B241" s="1" t="s">
        <v>1278</v>
      </c>
      <c r="C241" s="2" t="s">
        <v>372</v>
      </c>
      <c r="D241" s="463">
        <f t="shared" si="38"/>
        <v>0</v>
      </c>
      <c r="E241" s="463">
        <f t="shared" si="38"/>
        <v>0</v>
      </c>
      <c r="F241" s="463">
        <f t="shared" si="38"/>
        <v>0</v>
      </c>
      <c r="G241" s="463">
        <f t="shared" si="38"/>
        <v>0</v>
      </c>
      <c r="H241" s="463">
        <f t="shared" si="39"/>
        <v>0</v>
      </c>
      <c r="I241" s="463">
        <f t="shared" si="38"/>
        <v>0</v>
      </c>
      <c r="J241" s="463">
        <f t="shared" si="38"/>
        <v>0</v>
      </c>
      <c r="K241" s="463">
        <f t="shared" si="38"/>
        <v>0</v>
      </c>
      <c r="L241" s="463">
        <f t="shared" si="38"/>
        <v>0</v>
      </c>
      <c r="M241" s="463">
        <f t="shared" si="38"/>
        <v>0</v>
      </c>
      <c r="N241" s="463">
        <f t="shared" si="38"/>
        <v>0</v>
      </c>
      <c r="O241" s="463">
        <f t="shared" si="38"/>
        <v>0</v>
      </c>
      <c r="P241" s="463">
        <f t="shared" si="38"/>
        <v>0</v>
      </c>
      <c r="Q241" s="463">
        <f t="shared" si="38"/>
        <v>0</v>
      </c>
      <c r="R241" s="463">
        <f t="shared" si="38"/>
        <v>0</v>
      </c>
      <c r="S241" s="469"/>
    </row>
    <row r="242" spans="1:19" ht="12.75" hidden="1" thickBot="1">
      <c r="A242" s="2" t="s">
        <v>367</v>
      </c>
      <c r="B242" s="1" t="s">
        <v>1278</v>
      </c>
      <c r="C242" s="2" t="s">
        <v>374</v>
      </c>
      <c r="D242" s="463">
        <f t="shared" si="38"/>
        <v>0</v>
      </c>
      <c r="E242" s="463">
        <f t="shared" si="38"/>
        <v>0</v>
      </c>
      <c r="F242" s="463">
        <f t="shared" si="38"/>
        <v>0</v>
      </c>
      <c r="G242" s="463">
        <f t="shared" si="38"/>
        <v>0</v>
      </c>
      <c r="H242" s="463">
        <f t="shared" si="39"/>
        <v>0</v>
      </c>
      <c r="I242" s="463">
        <f t="shared" si="38"/>
        <v>0</v>
      </c>
      <c r="J242" s="463">
        <f t="shared" si="38"/>
        <v>0</v>
      </c>
      <c r="K242" s="463">
        <f t="shared" si="38"/>
        <v>0</v>
      </c>
      <c r="L242" s="463">
        <f t="shared" si="38"/>
        <v>0</v>
      </c>
      <c r="M242" s="463">
        <f t="shared" si="38"/>
        <v>0</v>
      </c>
      <c r="N242" s="463">
        <f t="shared" si="38"/>
        <v>0</v>
      </c>
      <c r="O242" s="463">
        <f t="shared" si="38"/>
        <v>0</v>
      </c>
      <c r="P242" s="463">
        <f t="shared" si="38"/>
        <v>0</v>
      </c>
      <c r="Q242" s="463">
        <f t="shared" si="38"/>
        <v>0</v>
      </c>
      <c r="R242" s="463">
        <f t="shared" si="38"/>
        <v>0</v>
      </c>
      <c r="S242" s="469"/>
    </row>
    <row r="243" spans="1:19" ht="12.75" hidden="1" thickBot="1">
      <c r="A243" s="2" t="s">
        <v>367</v>
      </c>
      <c r="B243" s="1" t="s">
        <v>1278</v>
      </c>
      <c r="C243" s="2" t="s">
        <v>375</v>
      </c>
      <c r="D243" s="463">
        <f t="shared" si="38"/>
        <v>2579</v>
      </c>
      <c r="E243" s="463">
        <f t="shared" si="38"/>
        <v>0</v>
      </c>
      <c r="F243" s="463">
        <f t="shared" si="38"/>
        <v>0</v>
      </c>
      <c r="G243" s="463">
        <f t="shared" si="38"/>
        <v>0</v>
      </c>
      <c r="H243" s="463">
        <f t="shared" si="39"/>
        <v>169566983</v>
      </c>
      <c r="I243" s="463">
        <f t="shared" si="38"/>
        <v>0</v>
      </c>
      <c r="J243" s="463">
        <f t="shared" si="38"/>
        <v>0</v>
      </c>
      <c r="K243" s="463">
        <f t="shared" si="38"/>
        <v>0</v>
      </c>
      <c r="L243" s="463">
        <f t="shared" si="38"/>
        <v>0</v>
      </c>
      <c r="M243" s="463">
        <f t="shared" si="38"/>
        <v>0</v>
      </c>
      <c r="N243" s="463">
        <f t="shared" si="38"/>
        <v>0</v>
      </c>
      <c r="O243" s="463">
        <f t="shared" si="38"/>
        <v>0</v>
      </c>
      <c r="P243" s="463">
        <f t="shared" si="38"/>
        <v>0</v>
      </c>
      <c r="Q243" s="463">
        <f t="shared" ref="Q243:Q244" si="40">R243</f>
        <v>412938</v>
      </c>
      <c r="R243" s="463">
        <f t="shared" si="38"/>
        <v>412938</v>
      </c>
      <c r="S243" s="470"/>
    </row>
    <row r="244" spans="1:19" ht="12.75" hidden="1" thickBot="1">
      <c r="A244" s="2" t="s">
        <v>367</v>
      </c>
      <c r="B244" s="1" t="s">
        <v>1278</v>
      </c>
      <c r="C244" s="2" t="s">
        <v>376</v>
      </c>
      <c r="D244" s="463">
        <f t="shared" si="38"/>
        <v>52</v>
      </c>
      <c r="E244" s="463">
        <f t="shared" si="38"/>
        <v>0</v>
      </c>
      <c r="F244" s="463">
        <f t="shared" si="38"/>
        <v>0</v>
      </c>
      <c r="G244" s="463">
        <f t="shared" si="38"/>
        <v>0</v>
      </c>
      <c r="H244" s="463">
        <f t="shared" si="39"/>
        <v>14885241</v>
      </c>
      <c r="I244" s="463">
        <f t="shared" si="38"/>
        <v>0</v>
      </c>
      <c r="J244" s="463">
        <f t="shared" si="38"/>
        <v>0</v>
      </c>
      <c r="K244" s="463">
        <f t="shared" si="38"/>
        <v>0</v>
      </c>
      <c r="L244" s="463">
        <f t="shared" si="38"/>
        <v>0</v>
      </c>
      <c r="M244" s="463">
        <f t="shared" si="38"/>
        <v>0</v>
      </c>
      <c r="N244" s="463">
        <f t="shared" si="38"/>
        <v>0</v>
      </c>
      <c r="O244" s="463">
        <f t="shared" si="38"/>
        <v>0</v>
      </c>
      <c r="P244" s="463">
        <f t="shared" si="38"/>
        <v>0</v>
      </c>
      <c r="Q244" s="463">
        <f t="shared" si="40"/>
        <v>35310</v>
      </c>
      <c r="R244" s="463">
        <f t="shared" si="38"/>
        <v>35310</v>
      </c>
      <c r="S244" s="470"/>
    </row>
    <row r="245" spans="1:19" ht="12.75" hidden="1" thickBot="1">
      <c r="A245" s="2" t="s">
        <v>367</v>
      </c>
      <c r="B245" s="1" t="s">
        <v>1278</v>
      </c>
      <c r="C245" s="2" t="s">
        <v>377</v>
      </c>
      <c r="D245" s="463">
        <f t="shared" si="38"/>
        <v>0</v>
      </c>
      <c r="E245" s="463">
        <f t="shared" si="38"/>
        <v>0</v>
      </c>
      <c r="F245" s="463">
        <f t="shared" si="38"/>
        <v>0</v>
      </c>
      <c r="G245" s="463">
        <f t="shared" si="38"/>
        <v>0</v>
      </c>
      <c r="H245" s="463">
        <f t="shared" si="39"/>
        <v>0</v>
      </c>
      <c r="I245" s="463">
        <f t="shared" si="38"/>
        <v>0</v>
      </c>
      <c r="J245" s="463">
        <f t="shared" si="38"/>
        <v>0</v>
      </c>
      <c r="K245" s="463">
        <f t="shared" si="38"/>
        <v>0</v>
      </c>
      <c r="L245" s="463">
        <f t="shared" si="38"/>
        <v>0</v>
      </c>
      <c r="M245" s="463">
        <f t="shared" si="38"/>
        <v>0</v>
      </c>
      <c r="N245" s="463">
        <f t="shared" si="38"/>
        <v>0</v>
      </c>
      <c r="O245" s="463">
        <f t="shared" si="38"/>
        <v>0</v>
      </c>
      <c r="P245" s="463">
        <f t="shared" si="38"/>
        <v>0</v>
      </c>
      <c r="Q245" s="463">
        <f t="shared" si="38"/>
        <v>0</v>
      </c>
      <c r="R245" s="463">
        <f t="shared" si="38"/>
        <v>0</v>
      </c>
      <c r="S245" s="470"/>
    </row>
    <row r="246" spans="1:19" ht="12.75" hidden="1" thickBot="1">
      <c r="A246" s="2" t="s">
        <v>367</v>
      </c>
      <c r="B246" s="1" t="s">
        <v>1278</v>
      </c>
      <c r="C246" s="2" t="s">
        <v>378</v>
      </c>
      <c r="D246" s="463">
        <f t="shared" si="38"/>
        <v>217</v>
      </c>
      <c r="E246" s="463">
        <f t="shared" si="38"/>
        <v>0</v>
      </c>
      <c r="F246" s="463">
        <f t="shared" si="38"/>
        <v>0</v>
      </c>
      <c r="G246" s="463">
        <f t="shared" si="38"/>
        <v>0</v>
      </c>
      <c r="H246" s="463">
        <f t="shared" si="39"/>
        <v>77456015</v>
      </c>
      <c r="I246" s="463">
        <f t="shared" si="38"/>
        <v>0</v>
      </c>
      <c r="J246" s="463">
        <f t="shared" si="38"/>
        <v>0</v>
      </c>
      <c r="K246" s="463">
        <f t="shared" si="38"/>
        <v>0</v>
      </c>
      <c r="L246" s="463">
        <f t="shared" si="38"/>
        <v>0</v>
      </c>
      <c r="M246" s="463">
        <f t="shared" si="38"/>
        <v>0</v>
      </c>
      <c r="N246" s="463">
        <f t="shared" si="38"/>
        <v>0</v>
      </c>
      <c r="O246" s="463">
        <f t="shared" si="38"/>
        <v>162445</v>
      </c>
      <c r="P246" s="463">
        <f t="shared" si="38"/>
        <v>157888</v>
      </c>
      <c r="Q246" s="463">
        <f t="shared" si="38"/>
        <v>155706</v>
      </c>
      <c r="R246" s="463">
        <f t="shared" si="38"/>
        <v>0</v>
      </c>
      <c r="S246" s="470"/>
    </row>
    <row r="247" spans="1:19" ht="12.75" hidden="1" thickBot="1">
      <c r="A247" s="2" t="s">
        <v>367</v>
      </c>
      <c r="B247" s="1" t="s">
        <v>1278</v>
      </c>
      <c r="C247" s="2" t="s">
        <v>379</v>
      </c>
      <c r="D247" s="463">
        <f t="shared" si="38"/>
        <v>38</v>
      </c>
      <c r="E247" s="463">
        <f t="shared" si="38"/>
        <v>0</v>
      </c>
      <c r="F247" s="463">
        <f t="shared" si="38"/>
        <v>0</v>
      </c>
      <c r="G247" s="463">
        <f t="shared" si="38"/>
        <v>0</v>
      </c>
      <c r="H247" s="463">
        <f t="shared" si="39"/>
        <v>36677896</v>
      </c>
      <c r="I247" s="463">
        <f t="shared" si="38"/>
        <v>0</v>
      </c>
      <c r="J247" s="463">
        <f t="shared" si="38"/>
        <v>0</v>
      </c>
      <c r="K247" s="463">
        <f t="shared" si="38"/>
        <v>0</v>
      </c>
      <c r="L247" s="463">
        <f t="shared" si="38"/>
        <v>0</v>
      </c>
      <c r="M247" s="463">
        <f t="shared" si="38"/>
        <v>0</v>
      </c>
      <c r="N247" s="463">
        <f t="shared" si="38"/>
        <v>0</v>
      </c>
      <c r="O247" s="463">
        <f t="shared" si="38"/>
        <v>83741</v>
      </c>
      <c r="P247" s="463">
        <f t="shared" si="38"/>
        <v>78985</v>
      </c>
      <c r="Q247" s="463">
        <f t="shared" si="38"/>
        <v>77873</v>
      </c>
      <c r="R247" s="463">
        <f t="shared" si="38"/>
        <v>0</v>
      </c>
      <c r="S247" s="469"/>
    </row>
    <row r="248" spans="1:19" ht="12.75" hidden="1" thickBot="1">
      <c r="A248" s="2" t="s">
        <v>367</v>
      </c>
      <c r="B248" s="1" t="s">
        <v>1278</v>
      </c>
      <c r="C248" s="2" t="s">
        <v>381</v>
      </c>
      <c r="D248" s="463">
        <f t="shared" si="38"/>
        <v>16355</v>
      </c>
      <c r="E248" s="463">
        <f t="shared" si="38"/>
        <v>0</v>
      </c>
      <c r="F248" s="463">
        <f t="shared" si="38"/>
        <v>0</v>
      </c>
      <c r="G248" s="463">
        <f t="shared" si="38"/>
        <v>0</v>
      </c>
      <c r="H248" s="463">
        <f t="shared" si="39"/>
        <v>103100960</v>
      </c>
      <c r="I248" s="463">
        <f t="shared" si="38"/>
        <v>0</v>
      </c>
      <c r="J248" s="463">
        <f t="shared" si="38"/>
        <v>0</v>
      </c>
      <c r="K248" s="463">
        <f t="shared" si="38"/>
        <v>0</v>
      </c>
      <c r="L248" s="463">
        <f t="shared" si="38"/>
        <v>0</v>
      </c>
      <c r="M248" s="463">
        <f t="shared" si="38"/>
        <v>0</v>
      </c>
      <c r="N248" s="463">
        <f t="shared" si="38"/>
        <v>0</v>
      </c>
      <c r="O248" s="463">
        <f>R248</f>
        <v>239619</v>
      </c>
      <c r="P248" s="463">
        <f t="shared" si="38"/>
        <v>0</v>
      </c>
      <c r="Q248" s="463">
        <f t="shared" si="38"/>
        <v>0</v>
      </c>
      <c r="R248" s="463">
        <f t="shared" si="38"/>
        <v>239619</v>
      </c>
      <c r="S248" s="469"/>
    </row>
    <row r="249" spans="1:19" ht="12.75" hidden="1" thickBot="1">
      <c r="A249" s="2" t="s">
        <v>367</v>
      </c>
      <c r="B249" s="1" t="s">
        <v>1278</v>
      </c>
      <c r="C249" s="2" t="s">
        <v>382</v>
      </c>
      <c r="D249" s="463">
        <f t="shared" si="38"/>
        <v>0</v>
      </c>
      <c r="E249" s="463">
        <f t="shared" si="38"/>
        <v>0</v>
      </c>
      <c r="F249" s="463">
        <f t="shared" si="38"/>
        <v>0</v>
      </c>
      <c r="G249" s="463">
        <f t="shared" si="38"/>
        <v>0</v>
      </c>
      <c r="H249" s="463">
        <f t="shared" si="39"/>
        <v>0</v>
      </c>
      <c r="I249" s="463">
        <f t="shared" si="38"/>
        <v>0</v>
      </c>
      <c r="J249" s="463">
        <f t="shared" si="38"/>
        <v>0</v>
      </c>
      <c r="K249" s="463">
        <f t="shared" si="38"/>
        <v>0</v>
      </c>
      <c r="L249" s="463">
        <f t="shared" si="38"/>
        <v>0</v>
      </c>
      <c r="M249" s="463">
        <f t="shared" si="38"/>
        <v>0</v>
      </c>
      <c r="N249" s="463">
        <f t="shared" si="38"/>
        <v>0</v>
      </c>
      <c r="O249" s="463">
        <f t="shared" si="38"/>
        <v>0</v>
      </c>
      <c r="P249" s="463">
        <f t="shared" si="38"/>
        <v>0</v>
      </c>
      <c r="Q249" s="463">
        <f t="shared" si="38"/>
        <v>0</v>
      </c>
      <c r="R249" s="463">
        <f t="shared" si="38"/>
        <v>0</v>
      </c>
      <c r="S249" s="469"/>
    </row>
    <row r="250" spans="1:19" ht="12.75" hidden="1" thickBot="1">
      <c r="A250" s="2" t="s">
        <v>367</v>
      </c>
      <c r="B250" s="1" t="s">
        <v>1278</v>
      </c>
      <c r="C250" s="2" t="s">
        <v>384</v>
      </c>
      <c r="D250" s="463">
        <f t="shared" si="38"/>
        <v>0</v>
      </c>
      <c r="E250" s="463">
        <f t="shared" si="38"/>
        <v>0</v>
      </c>
      <c r="F250" s="463">
        <f t="shared" si="38"/>
        <v>0</v>
      </c>
      <c r="G250" s="463">
        <f t="shared" si="38"/>
        <v>0</v>
      </c>
      <c r="H250" s="463">
        <f t="shared" si="39"/>
        <v>0</v>
      </c>
      <c r="I250" s="463">
        <f t="shared" si="38"/>
        <v>0</v>
      </c>
      <c r="J250" s="463">
        <f t="shared" si="38"/>
        <v>0</v>
      </c>
      <c r="K250" s="463">
        <f t="shared" si="38"/>
        <v>0</v>
      </c>
      <c r="L250" s="463">
        <f t="shared" si="38"/>
        <v>0</v>
      </c>
      <c r="M250" s="463">
        <f t="shared" si="38"/>
        <v>0</v>
      </c>
      <c r="N250" s="463">
        <f t="shared" si="38"/>
        <v>0</v>
      </c>
      <c r="O250" s="463">
        <f t="shared" si="38"/>
        <v>0</v>
      </c>
      <c r="P250" s="463">
        <f t="shared" si="38"/>
        <v>0</v>
      </c>
      <c r="Q250" s="463">
        <f t="shared" si="38"/>
        <v>0</v>
      </c>
      <c r="R250" s="463">
        <f t="shared" si="38"/>
        <v>0</v>
      </c>
      <c r="S250" s="469"/>
    </row>
    <row r="251" spans="1:19" ht="12.75" hidden="1" thickBot="1">
      <c r="A251" s="2" t="s">
        <v>367</v>
      </c>
      <c r="B251" s="1" t="s">
        <v>1278</v>
      </c>
      <c r="C251" s="2" t="s">
        <v>385</v>
      </c>
      <c r="D251" s="463">
        <f t="shared" si="38"/>
        <v>2</v>
      </c>
      <c r="E251" s="463">
        <f t="shared" si="38"/>
        <v>0</v>
      </c>
      <c r="F251" s="463">
        <f t="shared" si="38"/>
        <v>0</v>
      </c>
      <c r="G251" s="463">
        <f t="shared" si="38"/>
        <v>0</v>
      </c>
      <c r="H251" s="463">
        <f t="shared" si="39"/>
        <v>5119500</v>
      </c>
      <c r="I251" s="463">
        <f t="shared" si="38"/>
        <v>0</v>
      </c>
      <c r="J251" s="463">
        <f t="shared" si="38"/>
        <v>0</v>
      </c>
      <c r="K251" s="463">
        <f t="shared" si="38"/>
        <v>0</v>
      </c>
      <c r="L251" s="463">
        <f t="shared" si="38"/>
        <v>0</v>
      </c>
      <c r="M251" s="463">
        <f t="shared" si="38"/>
        <v>0</v>
      </c>
      <c r="N251" s="463">
        <f t="shared" si="38"/>
        <v>0</v>
      </c>
      <c r="O251" s="463">
        <f t="shared" si="38"/>
        <v>0</v>
      </c>
      <c r="P251" s="463">
        <f t="shared" si="38"/>
        <v>0</v>
      </c>
      <c r="Q251" s="463">
        <f>R251</f>
        <v>9450</v>
      </c>
      <c r="R251" s="463">
        <f t="shared" si="38"/>
        <v>9450</v>
      </c>
      <c r="S251" s="469"/>
    </row>
    <row r="252" spans="1:19" ht="12.75" hidden="1" thickBot="1">
      <c r="A252" s="2" t="s">
        <v>367</v>
      </c>
      <c r="B252" s="1" t="s">
        <v>1278</v>
      </c>
      <c r="C252" s="2" t="s">
        <v>1223</v>
      </c>
      <c r="D252" s="463">
        <f t="shared" si="38"/>
        <v>0</v>
      </c>
      <c r="E252" s="463">
        <f t="shared" si="38"/>
        <v>0</v>
      </c>
      <c r="F252" s="463">
        <f t="shared" si="38"/>
        <v>0</v>
      </c>
      <c r="G252" s="463">
        <f t="shared" si="38"/>
        <v>0</v>
      </c>
      <c r="H252" s="463">
        <f t="shared" si="39"/>
        <v>0</v>
      </c>
      <c r="I252" s="463">
        <f t="shared" si="38"/>
        <v>0</v>
      </c>
      <c r="J252" s="463">
        <f t="shared" si="38"/>
        <v>0</v>
      </c>
      <c r="K252" s="463">
        <f t="shared" si="38"/>
        <v>0</v>
      </c>
      <c r="L252" s="463">
        <f t="shared" si="38"/>
        <v>0</v>
      </c>
      <c r="M252" s="463">
        <f t="shared" si="38"/>
        <v>0</v>
      </c>
      <c r="N252" s="463">
        <f t="shared" si="38"/>
        <v>0</v>
      </c>
      <c r="O252" s="463">
        <f t="shared" si="38"/>
        <v>0</v>
      </c>
      <c r="P252" s="463">
        <f t="shared" si="38"/>
        <v>0</v>
      </c>
      <c r="Q252" s="463">
        <f t="shared" si="38"/>
        <v>0</v>
      </c>
      <c r="R252" s="463">
        <f t="shared" si="38"/>
        <v>0</v>
      </c>
      <c r="S252" s="469"/>
    </row>
    <row r="253" spans="1:19" ht="12.75" hidden="1" thickBot="1">
      <c r="A253" s="2" t="s">
        <v>367</v>
      </c>
      <c r="B253" s="1" t="s">
        <v>1278</v>
      </c>
      <c r="C253" s="2" t="s">
        <v>387</v>
      </c>
      <c r="D253" s="463">
        <f t="shared" si="38"/>
        <v>1</v>
      </c>
      <c r="E253" s="463">
        <f t="shared" si="38"/>
        <v>0</v>
      </c>
      <c r="F253" s="463">
        <f t="shared" si="38"/>
        <v>0</v>
      </c>
      <c r="G253" s="463">
        <f t="shared" si="38"/>
        <v>0</v>
      </c>
      <c r="H253" s="463">
        <f t="shared" si="39"/>
        <v>10824200</v>
      </c>
      <c r="I253" s="463">
        <f t="shared" si="38"/>
        <v>0</v>
      </c>
      <c r="J253" s="463">
        <f t="shared" si="38"/>
        <v>0</v>
      </c>
      <c r="K253" s="463">
        <f t="shared" si="38"/>
        <v>0</v>
      </c>
      <c r="L253" s="463">
        <f t="shared" si="38"/>
        <v>0</v>
      </c>
      <c r="M253" s="463">
        <f t="shared" si="38"/>
        <v>0</v>
      </c>
      <c r="N253" s="463">
        <f t="shared" si="38"/>
        <v>0</v>
      </c>
      <c r="O253" s="463">
        <f t="shared" si="38"/>
        <v>0</v>
      </c>
      <c r="P253" s="463">
        <f t="shared" si="38"/>
        <v>0</v>
      </c>
      <c r="Q253" s="463">
        <f>R253</f>
        <v>16552</v>
      </c>
      <c r="R253" s="463">
        <f t="shared" si="38"/>
        <v>16552</v>
      </c>
      <c r="S253" s="470"/>
    </row>
    <row r="254" spans="1:19" ht="12.75" hidden="1" thickBot="1">
      <c r="A254" s="2" t="s">
        <v>367</v>
      </c>
      <c r="B254" s="1" t="s">
        <v>1278</v>
      </c>
      <c r="C254" s="2" t="s">
        <v>388</v>
      </c>
      <c r="D254" s="463">
        <f t="shared" si="38"/>
        <v>12</v>
      </c>
      <c r="E254" s="463">
        <f t="shared" si="38"/>
        <v>0</v>
      </c>
      <c r="F254" s="463">
        <f t="shared" si="38"/>
        <v>0</v>
      </c>
      <c r="G254" s="463">
        <f t="shared" si="38"/>
        <v>0</v>
      </c>
      <c r="H254" s="463">
        <f t="shared" si="39"/>
        <v>77369757</v>
      </c>
      <c r="I254" s="463">
        <f t="shared" si="38"/>
        <v>0</v>
      </c>
      <c r="J254" s="463">
        <f t="shared" si="38"/>
        <v>0</v>
      </c>
      <c r="K254" s="463">
        <f t="shared" si="38"/>
        <v>0</v>
      </c>
      <c r="L254" s="463">
        <f t="shared" si="38"/>
        <v>0</v>
      </c>
      <c r="M254" s="463">
        <f t="shared" si="38"/>
        <v>0</v>
      </c>
      <c r="N254" s="463">
        <f t="shared" si="38"/>
        <v>0</v>
      </c>
      <c r="O254" s="463">
        <f t="shared" si="38"/>
        <v>158091</v>
      </c>
      <c r="P254" s="463">
        <f t="shared" si="38"/>
        <v>152483</v>
      </c>
      <c r="Q254" s="463">
        <f t="shared" si="38"/>
        <v>100356</v>
      </c>
      <c r="R254" s="463">
        <f t="shared" si="38"/>
        <v>0</v>
      </c>
      <c r="S254" s="469"/>
    </row>
    <row r="255" spans="1:19" ht="12.75" hidden="1" thickBot="1">
      <c r="A255" s="2" t="s">
        <v>367</v>
      </c>
      <c r="B255" s="1" t="s">
        <v>1278</v>
      </c>
      <c r="C255" s="2" t="s">
        <v>389</v>
      </c>
      <c r="D255" s="463">
        <f t="shared" ref="D255:R269" si="41">ROUND(SUMIFS(D$409:D$780,$B$409:$B$780,$B255,$C$409:$C$780,$C255),0)</f>
        <v>216</v>
      </c>
      <c r="E255" s="463">
        <f t="shared" si="41"/>
        <v>0</v>
      </c>
      <c r="F255" s="463">
        <f t="shared" si="41"/>
        <v>0</v>
      </c>
      <c r="G255" s="463">
        <f t="shared" si="41"/>
        <v>0</v>
      </c>
      <c r="H255" s="463">
        <f t="shared" si="39"/>
        <v>22942935</v>
      </c>
      <c r="I255" s="463">
        <f t="shared" si="41"/>
        <v>0</v>
      </c>
      <c r="J255" s="463">
        <f t="shared" si="41"/>
        <v>0</v>
      </c>
      <c r="K255" s="463">
        <f t="shared" si="41"/>
        <v>0</v>
      </c>
      <c r="L255" s="463">
        <f t="shared" si="41"/>
        <v>0</v>
      </c>
      <c r="M255" s="463">
        <f t="shared" si="41"/>
        <v>0</v>
      </c>
      <c r="N255" s="463">
        <f t="shared" si="41"/>
        <v>0</v>
      </c>
      <c r="O255" s="463">
        <f t="shared" si="41"/>
        <v>0</v>
      </c>
      <c r="P255" s="463">
        <f t="shared" si="41"/>
        <v>0</v>
      </c>
      <c r="Q255" s="463">
        <f t="shared" ref="Q255:Q256" si="42">R255</f>
        <v>70377</v>
      </c>
      <c r="R255" s="463">
        <f t="shared" si="41"/>
        <v>70377</v>
      </c>
      <c r="S255" s="470"/>
    </row>
    <row r="256" spans="1:19" ht="12.75" hidden="1" thickBot="1">
      <c r="A256" s="2" t="s">
        <v>367</v>
      </c>
      <c r="B256" s="1" t="s">
        <v>1278</v>
      </c>
      <c r="C256" s="2" t="s">
        <v>390</v>
      </c>
      <c r="D256" s="463">
        <f t="shared" si="41"/>
        <v>21</v>
      </c>
      <c r="E256" s="463">
        <f t="shared" si="41"/>
        <v>0</v>
      </c>
      <c r="F256" s="463">
        <f t="shared" si="41"/>
        <v>0</v>
      </c>
      <c r="G256" s="463">
        <f t="shared" si="41"/>
        <v>0</v>
      </c>
      <c r="H256" s="463">
        <f t="shared" si="39"/>
        <v>1251083</v>
      </c>
      <c r="I256" s="463">
        <f t="shared" si="41"/>
        <v>0</v>
      </c>
      <c r="J256" s="463">
        <f t="shared" si="41"/>
        <v>0</v>
      </c>
      <c r="K256" s="463">
        <f t="shared" si="41"/>
        <v>0</v>
      </c>
      <c r="L256" s="463">
        <f t="shared" si="41"/>
        <v>0</v>
      </c>
      <c r="M256" s="463">
        <f t="shared" si="41"/>
        <v>0</v>
      </c>
      <c r="N256" s="463">
        <f t="shared" si="41"/>
        <v>0</v>
      </c>
      <c r="O256" s="463">
        <f t="shared" si="41"/>
        <v>0</v>
      </c>
      <c r="P256" s="463">
        <f t="shared" si="41"/>
        <v>0</v>
      </c>
      <c r="Q256" s="463">
        <f t="shared" si="42"/>
        <v>4452</v>
      </c>
      <c r="R256" s="463">
        <f t="shared" si="41"/>
        <v>4452</v>
      </c>
      <c r="S256" s="470"/>
    </row>
    <row r="257" spans="1:19" ht="12.75" hidden="1" thickBot="1">
      <c r="A257" s="2" t="s">
        <v>367</v>
      </c>
      <c r="B257" s="1" t="s">
        <v>1278</v>
      </c>
      <c r="C257" s="2" t="s">
        <v>391</v>
      </c>
      <c r="D257" s="463">
        <f t="shared" si="41"/>
        <v>94</v>
      </c>
      <c r="E257" s="463">
        <f t="shared" si="41"/>
        <v>0</v>
      </c>
      <c r="F257" s="463">
        <f t="shared" si="41"/>
        <v>0</v>
      </c>
      <c r="G257" s="463">
        <f t="shared" si="41"/>
        <v>0</v>
      </c>
      <c r="H257" s="463">
        <f t="shared" si="39"/>
        <v>23497311</v>
      </c>
      <c r="I257" s="463">
        <f t="shared" si="41"/>
        <v>0</v>
      </c>
      <c r="J257" s="463">
        <f t="shared" si="41"/>
        <v>0</v>
      </c>
      <c r="K257" s="463">
        <f t="shared" si="41"/>
        <v>0</v>
      </c>
      <c r="L257" s="463">
        <f t="shared" si="41"/>
        <v>0</v>
      </c>
      <c r="M257" s="463">
        <f t="shared" si="41"/>
        <v>0</v>
      </c>
      <c r="N257" s="463">
        <f t="shared" si="41"/>
        <v>0</v>
      </c>
      <c r="O257" s="463">
        <f t="shared" si="41"/>
        <v>57193</v>
      </c>
      <c r="P257" s="463">
        <f t="shared" si="41"/>
        <v>53980</v>
      </c>
      <c r="Q257" s="463">
        <f t="shared" si="41"/>
        <v>52025</v>
      </c>
      <c r="R257" s="463">
        <f t="shared" si="41"/>
        <v>0</v>
      </c>
      <c r="S257" s="470"/>
    </row>
    <row r="258" spans="1:19" ht="12.75" hidden="1" thickBot="1">
      <c r="A258" s="2" t="s">
        <v>367</v>
      </c>
      <c r="B258" s="1" t="s">
        <v>1278</v>
      </c>
      <c r="C258" s="2" t="s">
        <v>392</v>
      </c>
      <c r="D258" s="463">
        <f t="shared" si="41"/>
        <v>69</v>
      </c>
      <c r="E258" s="463">
        <f t="shared" si="41"/>
        <v>0</v>
      </c>
      <c r="F258" s="463">
        <f t="shared" si="41"/>
        <v>0</v>
      </c>
      <c r="G258" s="463">
        <f t="shared" si="41"/>
        <v>0</v>
      </c>
      <c r="H258" s="463">
        <f t="shared" si="39"/>
        <v>157760478</v>
      </c>
      <c r="I258" s="463">
        <f t="shared" si="41"/>
        <v>0</v>
      </c>
      <c r="J258" s="463">
        <f t="shared" si="41"/>
        <v>0</v>
      </c>
      <c r="K258" s="463">
        <f t="shared" si="41"/>
        <v>0</v>
      </c>
      <c r="L258" s="463">
        <f t="shared" si="41"/>
        <v>0</v>
      </c>
      <c r="M258" s="463">
        <f t="shared" si="41"/>
        <v>0</v>
      </c>
      <c r="N258" s="463">
        <f t="shared" si="41"/>
        <v>0</v>
      </c>
      <c r="O258" s="463">
        <f t="shared" si="41"/>
        <v>380170</v>
      </c>
      <c r="P258" s="463">
        <f t="shared" si="41"/>
        <v>345142</v>
      </c>
      <c r="Q258" s="463">
        <f t="shared" si="41"/>
        <v>340557</v>
      </c>
      <c r="R258" s="463">
        <f t="shared" si="41"/>
        <v>0</v>
      </c>
      <c r="S258" s="469"/>
    </row>
    <row r="259" spans="1:19" ht="12.75" hidden="1" thickBot="1">
      <c r="A259" s="2" t="s">
        <v>367</v>
      </c>
      <c r="B259" s="1" t="s">
        <v>1278</v>
      </c>
      <c r="C259" s="2" t="s">
        <v>394</v>
      </c>
      <c r="D259" s="463">
        <f t="shared" si="41"/>
        <v>0</v>
      </c>
      <c r="E259" s="463">
        <f t="shared" si="41"/>
        <v>0</v>
      </c>
      <c r="F259" s="463">
        <f t="shared" si="41"/>
        <v>0</v>
      </c>
      <c r="G259" s="463">
        <f t="shared" si="41"/>
        <v>0</v>
      </c>
      <c r="H259" s="463">
        <f t="shared" si="39"/>
        <v>0</v>
      </c>
      <c r="I259" s="463">
        <f t="shared" si="41"/>
        <v>0</v>
      </c>
      <c r="J259" s="463">
        <f t="shared" si="41"/>
        <v>0</v>
      </c>
      <c r="K259" s="463">
        <f t="shared" si="41"/>
        <v>0</v>
      </c>
      <c r="L259" s="463">
        <f t="shared" si="41"/>
        <v>0</v>
      </c>
      <c r="M259" s="463">
        <f t="shared" si="41"/>
        <v>0</v>
      </c>
      <c r="N259" s="463">
        <f t="shared" si="41"/>
        <v>0</v>
      </c>
      <c r="O259" s="463">
        <f t="shared" si="41"/>
        <v>0</v>
      </c>
      <c r="P259" s="463">
        <f t="shared" si="41"/>
        <v>0</v>
      </c>
      <c r="Q259" s="463">
        <f t="shared" si="41"/>
        <v>0</v>
      </c>
      <c r="R259" s="463">
        <f t="shared" si="41"/>
        <v>0</v>
      </c>
      <c r="S259" s="469"/>
    </row>
    <row r="260" spans="1:19" ht="12.75" hidden="1" thickBot="1">
      <c r="A260" s="2" t="s">
        <v>367</v>
      </c>
      <c r="B260" s="1" t="s">
        <v>1278</v>
      </c>
      <c r="C260" s="2" t="s">
        <v>395</v>
      </c>
      <c r="D260" s="463">
        <f t="shared" si="41"/>
        <v>156</v>
      </c>
      <c r="E260" s="463">
        <f t="shared" si="41"/>
        <v>0</v>
      </c>
      <c r="F260" s="463">
        <f t="shared" si="41"/>
        <v>0</v>
      </c>
      <c r="G260" s="463">
        <f t="shared" si="41"/>
        <v>0</v>
      </c>
      <c r="H260" s="463">
        <f t="shared" si="39"/>
        <v>258896</v>
      </c>
      <c r="I260" s="463">
        <f t="shared" si="41"/>
        <v>0</v>
      </c>
      <c r="J260" s="463">
        <f t="shared" si="41"/>
        <v>0</v>
      </c>
      <c r="K260" s="463">
        <f t="shared" si="41"/>
        <v>0</v>
      </c>
      <c r="L260" s="463">
        <f t="shared" si="41"/>
        <v>0</v>
      </c>
      <c r="M260" s="463">
        <f t="shared" si="41"/>
        <v>0</v>
      </c>
      <c r="N260" s="463">
        <f t="shared" si="41"/>
        <v>0</v>
      </c>
      <c r="O260" s="463">
        <f t="shared" si="41"/>
        <v>0</v>
      </c>
      <c r="P260" s="463">
        <f t="shared" si="41"/>
        <v>0</v>
      </c>
      <c r="Q260" s="463">
        <f t="shared" si="41"/>
        <v>0</v>
      </c>
      <c r="R260" s="463">
        <f t="shared" si="41"/>
        <v>0</v>
      </c>
      <c r="S260" s="469"/>
    </row>
    <row r="261" spans="1:19" ht="12.75" hidden="1" thickBot="1">
      <c r="A261" s="2" t="s">
        <v>367</v>
      </c>
      <c r="B261" s="1" t="s">
        <v>1278</v>
      </c>
      <c r="C261" s="2" t="s">
        <v>396</v>
      </c>
      <c r="D261" s="463">
        <f t="shared" si="41"/>
        <v>0</v>
      </c>
      <c r="E261" s="463">
        <f t="shared" si="41"/>
        <v>0</v>
      </c>
      <c r="F261" s="463">
        <f t="shared" si="41"/>
        <v>0</v>
      </c>
      <c r="G261" s="463">
        <f t="shared" si="41"/>
        <v>0</v>
      </c>
      <c r="H261" s="463">
        <f t="shared" si="39"/>
        <v>0</v>
      </c>
      <c r="I261" s="463">
        <f t="shared" si="41"/>
        <v>0</v>
      </c>
      <c r="J261" s="463">
        <f t="shared" si="41"/>
        <v>0</v>
      </c>
      <c r="K261" s="463">
        <f t="shared" si="41"/>
        <v>0</v>
      </c>
      <c r="L261" s="463">
        <f t="shared" si="41"/>
        <v>0</v>
      </c>
      <c r="M261" s="463">
        <f t="shared" si="41"/>
        <v>0</v>
      </c>
      <c r="N261" s="463">
        <f t="shared" si="41"/>
        <v>0</v>
      </c>
      <c r="O261" s="463">
        <f t="shared" si="41"/>
        <v>0</v>
      </c>
      <c r="P261" s="463">
        <f t="shared" si="41"/>
        <v>0</v>
      </c>
      <c r="Q261" s="463">
        <f t="shared" si="41"/>
        <v>0</v>
      </c>
      <c r="R261" s="463">
        <f t="shared" si="41"/>
        <v>0</v>
      </c>
      <c r="S261" s="469"/>
    </row>
    <row r="262" spans="1:19" ht="12.75" hidden="1" thickBot="1">
      <c r="A262" s="2" t="s">
        <v>367</v>
      </c>
      <c r="B262" s="1" t="s">
        <v>1278</v>
      </c>
      <c r="C262" s="2" t="s">
        <v>397</v>
      </c>
      <c r="D262" s="463">
        <f t="shared" si="41"/>
        <v>905</v>
      </c>
      <c r="E262" s="463">
        <f t="shared" si="41"/>
        <v>0</v>
      </c>
      <c r="F262" s="463">
        <f t="shared" si="41"/>
        <v>0</v>
      </c>
      <c r="G262" s="463">
        <f t="shared" si="41"/>
        <v>0</v>
      </c>
      <c r="H262" s="463">
        <f t="shared" si="39"/>
        <v>255201</v>
      </c>
      <c r="I262" s="463">
        <f t="shared" si="41"/>
        <v>0</v>
      </c>
      <c r="J262" s="463">
        <f t="shared" si="41"/>
        <v>0</v>
      </c>
      <c r="K262" s="463">
        <f t="shared" si="41"/>
        <v>0</v>
      </c>
      <c r="L262" s="463">
        <f t="shared" si="41"/>
        <v>0</v>
      </c>
      <c r="M262" s="463">
        <f t="shared" si="41"/>
        <v>0</v>
      </c>
      <c r="N262" s="463">
        <f t="shared" si="41"/>
        <v>0</v>
      </c>
      <c r="O262" s="463">
        <f t="shared" si="41"/>
        <v>0</v>
      </c>
      <c r="P262" s="463">
        <f t="shared" si="41"/>
        <v>0</v>
      </c>
      <c r="Q262" s="463">
        <f t="shared" si="41"/>
        <v>0</v>
      </c>
      <c r="R262" s="463">
        <f t="shared" si="41"/>
        <v>0</v>
      </c>
      <c r="S262" s="469"/>
    </row>
    <row r="263" spans="1:19" ht="12.75" hidden="1" thickBot="1">
      <c r="A263" s="2" t="s">
        <v>367</v>
      </c>
      <c r="B263" s="1" t="s">
        <v>1278</v>
      </c>
      <c r="C263" s="2" t="s">
        <v>398</v>
      </c>
      <c r="D263" s="463">
        <f t="shared" si="41"/>
        <v>0</v>
      </c>
      <c r="E263" s="463">
        <f t="shared" si="41"/>
        <v>0</v>
      </c>
      <c r="F263" s="463">
        <f t="shared" si="41"/>
        <v>0</v>
      </c>
      <c r="G263" s="463">
        <f t="shared" si="41"/>
        <v>0</v>
      </c>
      <c r="H263" s="463">
        <f t="shared" si="39"/>
        <v>0</v>
      </c>
      <c r="I263" s="463">
        <f t="shared" si="41"/>
        <v>0</v>
      </c>
      <c r="J263" s="463">
        <f t="shared" si="41"/>
        <v>0</v>
      </c>
      <c r="K263" s="463">
        <f t="shared" si="41"/>
        <v>0</v>
      </c>
      <c r="L263" s="463">
        <f t="shared" si="41"/>
        <v>0</v>
      </c>
      <c r="M263" s="463">
        <f t="shared" si="41"/>
        <v>0</v>
      </c>
      <c r="N263" s="463">
        <f t="shared" si="41"/>
        <v>0</v>
      </c>
      <c r="O263" s="463">
        <f t="shared" si="41"/>
        <v>0</v>
      </c>
      <c r="P263" s="463">
        <f t="shared" si="41"/>
        <v>0</v>
      </c>
      <c r="Q263" s="463">
        <f t="shared" si="41"/>
        <v>0</v>
      </c>
      <c r="R263" s="463">
        <f t="shared" si="41"/>
        <v>0</v>
      </c>
      <c r="S263" s="469"/>
    </row>
    <row r="264" spans="1:19" ht="12.75" hidden="1" thickBot="1">
      <c r="A264" s="2" t="s">
        <v>367</v>
      </c>
      <c r="B264" s="1" t="s">
        <v>1278</v>
      </c>
      <c r="C264" s="2" t="s">
        <v>399</v>
      </c>
      <c r="D264" s="463">
        <f t="shared" si="41"/>
        <v>0</v>
      </c>
      <c r="E264" s="463">
        <f t="shared" si="41"/>
        <v>0</v>
      </c>
      <c r="F264" s="463">
        <f t="shared" si="41"/>
        <v>0</v>
      </c>
      <c r="G264" s="463">
        <f t="shared" si="41"/>
        <v>0</v>
      </c>
      <c r="H264" s="463">
        <f t="shared" si="39"/>
        <v>0</v>
      </c>
      <c r="I264" s="463">
        <f t="shared" si="41"/>
        <v>0</v>
      </c>
      <c r="J264" s="463">
        <f t="shared" si="41"/>
        <v>0</v>
      </c>
      <c r="K264" s="463">
        <f t="shared" si="41"/>
        <v>0</v>
      </c>
      <c r="L264" s="463">
        <f t="shared" si="41"/>
        <v>0</v>
      </c>
      <c r="M264" s="463">
        <f t="shared" si="41"/>
        <v>0</v>
      </c>
      <c r="N264" s="463">
        <f t="shared" si="41"/>
        <v>0</v>
      </c>
      <c r="O264" s="463">
        <f t="shared" si="41"/>
        <v>0</v>
      </c>
      <c r="P264" s="463">
        <f t="shared" si="41"/>
        <v>0</v>
      </c>
      <c r="Q264" s="463">
        <f t="shared" si="41"/>
        <v>0</v>
      </c>
      <c r="R264" s="463">
        <f t="shared" si="41"/>
        <v>0</v>
      </c>
      <c r="S264" s="469"/>
    </row>
    <row r="265" spans="1:19" ht="12.75" thickBot="1">
      <c r="A265" s="2" t="s">
        <v>367</v>
      </c>
      <c r="B265" s="1" t="s">
        <v>1278</v>
      </c>
      <c r="C265" s="2" t="s">
        <v>400</v>
      </c>
      <c r="D265" s="463">
        <f t="shared" si="41"/>
        <v>360578</v>
      </c>
      <c r="E265" s="463">
        <f t="shared" si="41"/>
        <v>0</v>
      </c>
      <c r="F265" s="463">
        <f t="shared" si="41"/>
        <v>0</v>
      </c>
      <c r="G265" s="463">
        <f t="shared" si="41"/>
        <v>0</v>
      </c>
      <c r="H265" s="463">
        <f t="shared" si="39"/>
        <v>516766239</v>
      </c>
      <c r="I265" s="463">
        <f t="shared" si="41"/>
        <v>0</v>
      </c>
      <c r="J265" s="463">
        <f t="shared" si="41"/>
        <v>0</v>
      </c>
      <c r="K265" s="463">
        <f t="shared" si="41"/>
        <v>0</v>
      </c>
      <c r="L265" s="463">
        <f t="shared" si="41"/>
        <v>0</v>
      </c>
      <c r="M265" s="463">
        <f t="shared" si="41"/>
        <v>0</v>
      </c>
      <c r="N265" s="463">
        <f t="shared" si="41"/>
        <v>0</v>
      </c>
      <c r="O265" s="463">
        <f t="shared" si="41"/>
        <v>0</v>
      </c>
      <c r="P265" s="463">
        <f t="shared" si="41"/>
        <v>0</v>
      </c>
      <c r="Q265" s="463">
        <f t="shared" si="41"/>
        <v>0</v>
      </c>
      <c r="R265" s="463">
        <f t="shared" si="41"/>
        <v>0</v>
      </c>
      <c r="S265" s="469"/>
    </row>
    <row r="266" spans="1:19" ht="12.75" hidden="1" thickBot="1">
      <c r="A266" s="2" t="s">
        <v>367</v>
      </c>
      <c r="B266" s="1" t="s">
        <v>1278</v>
      </c>
      <c r="C266" s="2" t="s">
        <v>401</v>
      </c>
      <c r="D266" s="463">
        <f t="shared" si="41"/>
        <v>0</v>
      </c>
      <c r="E266" s="463">
        <f t="shared" si="41"/>
        <v>0</v>
      </c>
      <c r="F266" s="463">
        <f t="shared" si="41"/>
        <v>0</v>
      </c>
      <c r="G266" s="463">
        <f t="shared" si="41"/>
        <v>0</v>
      </c>
      <c r="H266" s="463">
        <f t="shared" si="39"/>
        <v>0</v>
      </c>
      <c r="I266" s="463">
        <f t="shared" si="41"/>
        <v>0</v>
      </c>
      <c r="J266" s="463">
        <f t="shared" si="41"/>
        <v>0</v>
      </c>
      <c r="K266" s="463">
        <f t="shared" si="41"/>
        <v>0</v>
      </c>
      <c r="L266" s="463">
        <f t="shared" si="41"/>
        <v>0</v>
      </c>
      <c r="M266" s="463">
        <f t="shared" si="41"/>
        <v>0</v>
      </c>
      <c r="N266" s="463">
        <f t="shared" si="41"/>
        <v>0</v>
      </c>
      <c r="O266" s="463">
        <f t="shared" si="41"/>
        <v>0</v>
      </c>
      <c r="P266" s="463">
        <f t="shared" si="41"/>
        <v>0</v>
      </c>
      <c r="Q266" s="463">
        <f t="shared" si="41"/>
        <v>0</v>
      </c>
      <c r="R266" s="463">
        <f t="shared" si="41"/>
        <v>0</v>
      </c>
      <c r="S266" s="469"/>
    </row>
    <row r="267" spans="1:19" ht="12.75" hidden="1" thickBot="1">
      <c r="A267" s="2" t="s">
        <v>367</v>
      </c>
      <c r="B267" s="1" t="s">
        <v>1278</v>
      </c>
      <c r="C267" s="2" t="s">
        <v>402</v>
      </c>
      <c r="D267" s="463">
        <f t="shared" si="41"/>
        <v>0</v>
      </c>
      <c r="E267" s="463">
        <f t="shared" si="41"/>
        <v>0</v>
      </c>
      <c r="F267" s="463">
        <f t="shared" si="41"/>
        <v>0</v>
      </c>
      <c r="G267" s="463">
        <f t="shared" si="41"/>
        <v>0</v>
      </c>
      <c r="H267" s="463">
        <f t="shared" si="39"/>
        <v>0</v>
      </c>
      <c r="I267" s="463">
        <f t="shared" si="41"/>
        <v>0</v>
      </c>
      <c r="J267" s="463">
        <f t="shared" si="41"/>
        <v>0</v>
      </c>
      <c r="K267" s="463">
        <f t="shared" si="41"/>
        <v>0</v>
      </c>
      <c r="L267" s="463">
        <f t="shared" si="41"/>
        <v>0</v>
      </c>
      <c r="M267" s="463">
        <f t="shared" si="41"/>
        <v>0</v>
      </c>
      <c r="N267" s="463">
        <f t="shared" si="41"/>
        <v>0</v>
      </c>
      <c r="O267" s="463">
        <f t="shared" si="41"/>
        <v>0</v>
      </c>
      <c r="P267" s="463">
        <f t="shared" si="41"/>
        <v>0</v>
      </c>
      <c r="Q267" s="463">
        <f t="shared" si="41"/>
        <v>0</v>
      </c>
      <c r="R267" s="463">
        <f t="shared" si="41"/>
        <v>0</v>
      </c>
      <c r="S267" s="469"/>
    </row>
    <row r="268" spans="1:19" ht="12.75" hidden="1" thickBot="1">
      <c r="A268" s="2" t="s">
        <v>367</v>
      </c>
      <c r="B268" s="1" t="s">
        <v>1278</v>
      </c>
      <c r="C268" s="2" t="s">
        <v>706</v>
      </c>
      <c r="D268" s="463">
        <f t="shared" si="41"/>
        <v>20</v>
      </c>
      <c r="E268" s="463">
        <f t="shared" si="41"/>
        <v>11960</v>
      </c>
      <c r="F268" s="463">
        <f t="shared" si="41"/>
        <v>5584</v>
      </c>
      <c r="G268" s="463">
        <f t="shared" si="41"/>
        <v>3820</v>
      </c>
      <c r="H268" s="463">
        <f t="shared" si="39"/>
        <v>21364</v>
      </c>
      <c r="I268" s="463">
        <f t="shared" si="41"/>
        <v>0</v>
      </c>
      <c r="J268" s="463">
        <f t="shared" si="41"/>
        <v>0</v>
      </c>
      <c r="K268" s="463">
        <f t="shared" si="41"/>
        <v>0</v>
      </c>
      <c r="L268" s="463">
        <f t="shared" si="41"/>
        <v>0</v>
      </c>
      <c r="M268" s="463">
        <f t="shared" si="41"/>
        <v>0</v>
      </c>
      <c r="N268" s="463">
        <f t="shared" si="41"/>
        <v>0</v>
      </c>
      <c r="O268" s="463">
        <f t="shared" si="41"/>
        <v>0</v>
      </c>
      <c r="P268" s="463">
        <f t="shared" si="41"/>
        <v>0</v>
      </c>
      <c r="Q268" s="463">
        <f t="shared" si="41"/>
        <v>0</v>
      </c>
      <c r="R268" s="463">
        <f t="shared" si="41"/>
        <v>0</v>
      </c>
      <c r="S268" s="469"/>
    </row>
    <row r="269" spans="1:19" ht="12.75" hidden="1" thickBot="1">
      <c r="A269" s="2" t="s">
        <v>367</v>
      </c>
      <c r="B269" s="1" t="s">
        <v>1278</v>
      </c>
      <c r="C269" s="2" t="s">
        <v>1230</v>
      </c>
      <c r="D269" s="463">
        <f t="shared" si="41"/>
        <v>0</v>
      </c>
      <c r="E269" s="463">
        <f t="shared" si="41"/>
        <v>0</v>
      </c>
      <c r="F269" s="463">
        <f t="shared" si="41"/>
        <v>0</v>
      </c>
      <c r="G269" s="463">
        <f t="shared" si="41"/>
        <v>0</v>
      </c>
      <c r="H269" s="463">
        <f t="shared" si="39"/>
        <v>0</v>
      </c>
      <c r="I269" s="463">
        <f t="shared" si="41"/>
        <v>0</v>
      </c>
      <c r="J269" s="463">
        <f t="shared" si="41"/>
        <v>0</v>
      </c>
      <c r="K269" s="463">
        <f t="shared" si="41"/>
        <v>0</v>
      </c>
      <c r="L269" s="463">
        <f t="shared" si="41"/>
        <v>0</v>
      </c>
      <c r="M269" s="463">
        <f t="shared" si="41"/>
        <v>0</v>
      </c>
      <c r="N269" s="463">
        <f t="shared" si="41"/>
        <v>0</v>
      </c>
      <c r="O269" s="463">
        <f t="shared" si="41"/>
        <v>0</v>
      </c>
      <c r="P269" s="463">
        <f t="shared" si="41"/>
        <v>0</v>
      </c>
      <c r="Q269" s="463">
        <f t="shared" si="41"/>
        <v>0</v>
      </c>
      <c r="R269" s="463">
        <f t="shared" si="41"/>
        <v>0</v>
      </c>
      <c r="S269" s="469"/>
    </row>
    <row r="270" spans="1:19" ht="12.75" hidden="1" thickBot="1">
      <c r="A270" s="2" t="s">
        <v>367</v>
      </c>
      <c r="B270" s="1" t="s">
        <v>1278</v>
      </c>
      <c r="C270" s="17" t="s">
        <v>7</v>
      </c>
      <c r="D270" s="7"/>
      <c r="E270" s="456"/>
      <c r="F270" s="456"/>
      <c r="G270" s="456"/>
      <c r="H270" s="7"/>
      <c r="I270" s="468"/>
      <c r="J270" s="468"/>
      <c r="K270" s="468"/>
      <c r="L270" s="456"/>
      <c r="M270" s="456"/>
      <c r="N270" s="468"/>
      <c r="O270" s="18"/>
      <c r="P270" s="468"/>
      <c r="Q270" s="468"/>
      <c r="R270" s="468"/>
      <c r="S270" s="456"/>
    </row>
    <row r="271" spans="1:19" ht="12.75" hidden="1" thickBot="1">
      <c r="A271" s="2" t="s">
        <v>367</v>
      </c>
      <c r="B271" s="1" t="s">
        <v>1279</v>
      </c>
      <c r="C271" s="2" t="s">
        <v>368</v>
      </c>
      <c r="D271" s="463">
        <f t="shared" ref="D271:R287" si="43">ROUND(SUMIFS(D$409:D$780,$B$409:$B$780,$B271,$C$409:$C$780,$C271),0)</f>
        <v>0</v>
      </c>
      <c r="E271" s="463">
        <f t="shared" si="43"/>
        <v>0</v>
      </c>
      <c r="F271" s="463">
        <f t="shared" si="43"/>
        <v>0</v>
      </c>
      <c r="G271" s="463">
        <f t="shared" si="43"/>
        <v>0</v>
      </c>
      <c r="H271" s="463">
        <f t="shared" ref="H271:H302" si="44">ROUND(SUMIFS(H$409:H$780,$B$409:$B$780,$B271,$C$409:$C$780,$C271)*1000,0)</f>
        <v>0</v>
      </c>
      <c r="I271" s="463">
        <f t="shared" si="43"/>
        <v>0</v>
      </c>
      <c r="J271" s="463">
        <f t="shared" si="43"/>
        <v>0</v>
      </c>
      <c r="K271" s="463">
        <f t="shared" si="43"/>
        <v>0</v>
      </c>
      <c r="L271" s="463">
        <f t="shared" si="43"/>
        <v>0</v>
      </c>
      <c r="M271" s="463">
        <f t="shared" si="43"/>
        <v>0</v>
      </c>
      <c r="N271" s="463">
        <f t="shared" si="43"/>
        <v>0</v>
      </c>
      <c r="O271" s="463">
        <f t="shared" si="43"/>
        <v>0</v>
      </c>
      <c r="P271" s="463">
        <f t="shared" si="43"/>
        <v>0</v>
      </c>
      <c r="Q271" s="463">
        <f t="shared" si="43"/>
        <v>0</v>
      </c>
      <c r="R271" s="463">
        <f t="shared" si="43"/>
        <v>0</v>
      </c>
      <c r="S271" s="464"/>
    </row>
    <row r="272" spans="1:19" ht="12.75" hidden="1" thickBot="1">
      <c r="A272" s="2" t="s">
        <v>367</v>
      </c>
      <c r="B272" s="1" t="s">
        <v>1279</v>
      </c>
      <c r="C272" s="2" t="s">
        <v>370</v>
      </c>
      <c r="D272" s="463">
        <f t="shared" si="43"/>
        <v>28177</v>
      </c>
      <c r="E272" s="463">
        <f t="shared" si="43"/>
        <v>0</v>
      </c>
      <c r="F272" s="463">
        <f t="shared" si="43"/>
        <v>0</v>
      </c>
      <c r="G272" s="463">
        <f t="shared" si="43"/>
        <v>0</v>
      </c>
      <c r="H272" s="463">
        <f t="shared" si="44"/>
        <v>32918663</v>
      </c>
      <c r="I272" s="463">
        <f t="shared" si="43"/>
        <v>0</v>
      </c>
      <c r="J272" s="463">
        <f t="shared" si="43"/>
        <v>0</v>
      </c>
      <c r="K272" s="463">
        <f t="shared" si="43"/>
        <v>0</v>
      </c>
      <c r="L272" s="463">
        <f t="shared" si="43"/>
        <v>0</v>
      </c>
      <c r="M272" s="463">
        <f t="shared" si="43"/>
        <v>0</v>
      </c>
      <c r="N272" s="463">
        <f t="shared" si="43"/>
        <v>0</v>
      </c>
      <c r="O272" s="463">
        <f t="shared" si="43"/>
        <v>0</v>
      </c>
      <c r="P272" s="463">
        <f t="shared" si="43"/>
        <v>0</v>
      </c>
      <c r="Q272" s="463">
        <f t="shared" si="43"/>
        <v>0</v>
      </c>
      <c r="R272" s="463">
        <f t="shared" si="43"/>
        <v>0</v>
      </c>
      <c r="S272" s="464"/>
    </row>
    <row r="273" spans="1:51" ht="12.75" hidden="1" thickBot="1">
      <c r="A273" s="2" t="s">
        <v>367</v>
      </c>
      <c r="B273" s="1" t="s">
        <v>1279</v>
      </c>
      <c r="C273" s="2" t="s">
        <v>371</v>
      </c>
      <c r="D273" s="463">
        <f t="shared" si="43"/>
        <v>0</v>
      </c>
      <c r="E273" s="463">
        <f t="shared" si="43"/>
        <v>0</v>
      </c>
      <c r="F273" s="463">
        <f t="shared" si="43"/>
        <v>0</v>
      </c>
      <c r="G273" s="463">
        <f t="shared" si="43"/>
        <v>0</v>
      </c>
      <c r="H273" s="463">
        <f t="shared" si="44"/>
        <v>0</v>
      </c>
      <c r="I273" s="463">
        <f t="shared" si="43"/>
        <v>0</v>
      </c>
      <c r="J273" s="463">
        <f t="shared" si="43"/>
        <v>0</v>
      </c>
      <c r="K273" s="463">
        <f t="shared" si="43"/>
        <v>0</v>
      </c>
      <c r="L273" s="463">
        <f t="shared" si="43"/>
        <v>0</v>
      </c>
      <c r="M273" s="463">
        <f t="shared" si="43"/>
        <v>0</v>
      </c>
      <c r="N273" s="463">
        <f t="shared" si="43"/>
        <v>0</v>
      </c>
      <c r="O273" s="463">
        <f t="shared" si="43"/>
        <v>0</v>
      </c>
      <c r="P273" s="463">
        <f t="shared" si="43"/>
        <v>0</v>
      </c>
      <c r="Q273" s="463">
        <f t="shared" si="43"/>
        <v>0</v>
      </c>
      <c r="R273" s="463">
        <f t="shared" si="43"/>
        <v>0</v>
      </c>
      <c r="S273" s="464"/>
    </row>
    <row r="274" spans="1:51" ht="12.75" hidden="1" thickBot="1">
      <c r="A274" s="2" t="s">
        <v>367</v>
      </c>
      <c r="B274" s="1" t="s">
        <v>1279</v>
      </c>
      <c r="C274" s="2" t="s">
        <v>372</v>
      </c>
      <c r="D274" s="463">
        <f t="shared" si="43"/>
        <v>0</v>
      </c>
      <c r="E274" s="463">
        <f t="shared" si="43"/>
        <v>0</v>
      </c>
      <c r="F274" s="463">
        <f t="shared" si="43"/>
        <v>0</v>
      </c>
      <c r="G274" s="463">
        <f t="shared" si="43"/>
        <v>0</v>
      </c>
      <c r="H274" s="463">
        <f t="shared" si="44"/>
        <v>0</v>
      </c>
      <c r="I274" s="463">
        <f t="shared" si="43"/>
        <v>0</v>
      </c>
      <c r="J274" s="463">
        <f t="shared" si="43"/>
        <v>0</v>
      </c>
      <c r="K274" s="463">
        <f t="shared" si="43"/>
        <v>0</v>
      </c>
      <c r="L274" s="463">
        <f t="shared" si="43"/>
        <v>0</v>
      </c>
      <c r="M274" s="463">
        <f t="shared" si="43"/>
        <v>0</v>
      </c>
      <c r="N274" s="463">
        <f t="shared" si="43"/>
        <v>0</v>
      </c>
      <c r="O274" s="463">
        <f t="shared" si="43"/>
        <v>0</v>
      </c>
      <c r="P274" s="463">
        <f t="shared" si="43"/>
        <v>0</v>
      </c>
      <c r="Q274" s="463">
        <f t="shared" si="43"/>
        <v>0</v>
      </c>
      <c r="R274" s="463">
        <f t="shared" si="43"/>
        <v>0</v>
      </c>
      <c r="S274" s="464"/>
    </row>
    <row r="275" spans="1:51" ht="12.75" hidden="1" thickBot="1">
      <c r="A275" s="2" t="s">
        <v>367</v>
      </c>
      <c r="B275" s="1" t="s">
        <v>1279</v>
      </c>
      <c r="C275" s="2" t="s">
        <v>374</v>
      </c>
      <c r="D275" s="463">
        <f t="shared" si="43"/>
        <v>0</v>
      </c>
      <c r="E275" s="463">
        <f t="shared" si="43"/>
        <v>0</v>
      </c>
      <c r="F275" s="463">
        <f t="shared" si="43"/>
        <v>0</v>
      </c>
      <c r="G275" s="463">
        <f t="shared" si="43"/>
        <v>0</v>
      </c>
      <c r="H275" s="463">
        <f t="shared" si="44"/>
        <v>0</v>
      </c>
      <c r="I275" s="463">
        <f t="shared" si="43"/>
        <v>0</v>
      </c>
      <c r="J275" s="463">
        <f t="shared" si="43"/>
        <v>0</v>
      </c>
      <c r="K275" s="463">
        <f t="shared" si="43"/>
        <v>0</v>
      </c>
      <c r="L275" s="463">
        <f t="shared" si="43"/>
        <v>0</v>
      </c>
      <c r="M275" s="463">
        <f t="shared" si="43"/>
        <v>0</v>
      </c>
      <c r="N275" s="463">
        <f t="shared" si="43"/>
        <v>0</v>
      </c>
      <c r="O275" s="463">
        <f t="shared" si="43"/>
        <v>0</v>
      </c>
      <c r="P275" s="463">
        <f t="shared" si="43"/>
        <v>0</v>
      </c>
      <c r="Q275" s="463">
        <f t="shared" si="43"/>
        <v>0</v>
      </c>
      <c r="R275" s="463">
        <f t="shared" si="43"/>
        <v>0</v>
      </c>
      <c r="S275" s="464"/>
    </row>
    <row r="276" spans="1:51" ht="12.75" hidden="1" thickBot="1">
      <c r="A276" s="2" t="s">
        <v>367</v>
      </c>
      <c r="B276" s="1" t="s">
        <v>1279</v>
      </c>
      <c r="C276" s="2" t="s">
        <v>375</v>
      </c>
      <c r="D276" s="463">
        <f t="shared" si="43"/>
        <v>2579</v>
      </c>
      <c r="E276" s="463">
        <f t="shared" si="43"/>
        <v>0</v>
      </c>
      <c r="F276" s="463">
        <f t="shared" si="43"/>
        <v>0</v>
      </c>
      <c r="G276" s="463">
        <f t="shared" si="43"/>
        <v>0</v>
      </c>
      <c r="H276" s="463">
        <f t="shared" si="44"/>
        <v>143721391</v>
      </c>
      <c r="I276" s="463">
        <f t="shared" si="43"/>
        <v>0</v>
      </c>
      <c r="J276" s="463">
        <f t="shared" si="43"/>
        <v>0</v>
      </c>
      <c r="K276" s="463">
        <f t="shared" si="43"/>
        <v>0</v>
      </c>
      <c r="L276" s="463">
        <f t="shared" si="43"/>
        <v>0</v>
      </c>
      <c r="M276" s="463">
        <f t="shared" si="43"/>
        <v>0</v>
      </c>
      <c r="N276" s="463">
        <f t="shared" si="43"/>
        <v>0</v>
      </c>
      <c r="O276" s="463">
        <f t="shared" si="43"/>
        <v>0</v>
      </c>
      <c r="P276" s="463">
        <f t="shared" si="43"/>
        <v>0</v>
      </c>
      <c r="Q276" s="463">
        <f t="shared" ref="Q276:Q277" si="45">R276</f>
        <v>407882</v>
      </c>
      <c r="R276" s="463">
        <f t="shared" si="43"/>
        <v>407882</v>
      </c>
      <c r="S276" s="465"/>
    </row>
    <row r="277" spans="1:51" ht="12.75" hidden="1" thickBot="1">
      <c r="A277" s="2" t="s">
        <v>367</v>
      </c>
      <c r="B277" s="1" t="s">
        <v>1279</v>
      </c>
      <c r="C277" s="2" t="s">
        <v>376</v>
      </c>
      <c r="D277" s="463">
        <f t="shared" si="43"/>
        <v>52</v>
      </c>
      <c r="E277" s="463">
        <f t="shared" si="43"/>
        <v>0</v>
      </c>
      <c r="F277" s="463">
        <f t="shared" si="43"/>
        <v>0</v>
      </c>
      <c r="G277" s="463">
        <f t="shared" si="43"/>
        <v>0</v>
      </c>
      <c r="H277" s="463">
        <f t="shared" si="44"/>
        <v>13180844</v>
      </c>
      <c r="I277" s="463">
        <f t="shared" si="43"/>
        <v>0</v>
      </c>
      <c r="J277" s="463">
        <f t="shared" si="43"/>
        <v>0</v>
      </c>
      <c r="K277" s="463">
        <f t="shared" si="43"/>
        <v>0</v>
      </c>
      <c r="L277" s="463">
        <f t="shared" si="43"/>
        <v>0</v>
      </c>
      <c r="M277" s="463">
        <f t="shared" si="43"/>
        <v>0</v>
      </c>
      <c r="N277" s="463">
        <f t="shared" si="43"/>
        <v>0</v>
      </c>
      <c r="O277" s="463">
        <f t="shared" si="43"/>
        <v>0</v>
      </c>
      <c r="P277" s="463">
        <f t="shared" si="43"/>
        <v>0</v>
      </c>
      <c r="Q277" s="463">
        <f t="shared" si="45"/>
        <v>36679</v>
      </c>
      <c r="R277" s="463">
        <f t="shared" si="43"/>
        <v>36679</v>
      </c>
      <c r="S277" s="465"/>
    </row>
    <row r="278" spans="1:51" ht="12.75" hidden="1" thickBot="1">
      <c r="A278" s="2" t="s">
        <v>367</v>
      </c>
      <c r="B278" s="1" t="s">
        <v>1279</v>
      </c>
      <c r="C278" s="2" t="s">
        <v>377</v>
      </c>
      <c r="D278" s="463">
        <f t="shared" si="43"/>
        <v>0</v>
      </c>
      <c r="E278" s="463">
        <f t="shared" si="43"/>
        <v>0</v>
      </c>
      <c r="F278" s="463">
        <f t="shared" si="43"/>
        <v>0</v>
      </c>
      <c r="G278" s="463">
        <f t="shared" si="43"/>
        <v>0</v>
      </c>
      <c r="H278" s="463">
        <f t="shared" si="44"/>
        <v>0</v>
      </c>
      <c r="I278" s="463">
        <f t="shared" si="43"/>
        <v>0</v>
      </c>
      <c r="J278" s="463">
        <f t="shared" si="43"/>
        <v>0</v>
      </c>
      <c r="K278" s="463">
        <f t="shared" si="43"/>
        <v>0</v>
      </c>
      <c r="L278" s="463">
        <f t="shared" si="43"/>
        <v>0</v>
      </c>
      <c r="M278" s="463">
        <f t="shared" si="43"/>
        <v>0</v>
      </c>
      <c r="N278" s="463">
        <f t="shared" si="43"/>
        <v>0</v>
      </c>
      <c r="O278" s="463">
        <f t="shared" si="43"/>
        <v>0</v>
      </c>
      <c r="P278" s="463">
        <f t="shared" si="43"/>
        <v>0</v>
      </c>
      <c r="Q278" s="463">
        <f t="shared" si="43"/>
        <v>0</v>
      </c>
      <c r="R278" s="463">
        <f t="shared" si="43"/>
        <v>0</v>
      </c>
      <c r="S278" s="465"/>
    </row>
    <row r="279" spans="1:51" ht="12.75" hidden="1" thickBot="1">
      <c r="A279" s="2" t="s">
        <v>367</v>
      </c>
      <c r="B279" s="1" t="s">
        <v>1279</v>
      </c>
      <c r="C279" s="2" t="s">
        <v>378</v>
      </c>
      <c r="D279" s="463">
        <f t="shared" si="43"/>
        <v>218</v>
      </c>
      <c r="E279" s="463">
        <f t="shared" si="43"/>
        <v>0</v>
      </c>
      <c r="F279" s="463">
        <f t="shared" si="43"/>
        <v>0</v>
      </c>
      <c r="G279" s="463">
        <f t="shared" si="43"/>
        <v>0</v>
      </c>
      <c r="H279" s="463">
        <f t="shared" si="44"/>
        <v>66161499</v>
      </c>
      <c r="I279" s="463">
        <f t="shared" si="43"/>
        <v>0</v>
      </c>
      <c r="J279" s="463">
        <f t="shared" si="43"/>
        <v>0</v>
      </c>
      <c r="K279" s="463">
        <f t="shared" si="43"/>
        <v>0</v>
      </c>
      <c r="L279" s="463">
        <f t="shared" si="43"/>
        <v>0</v>
      </c>
      <c r="M279" s="463">
        <f t="shared" si="43"/>
        <v>0</v>
      </c>
      <c r="N279" s="463">
        <f t="shared" si="43"/>
        <v>0</v>
      </c>
      <c r="O279" s="463">
        <f t="shared" si="43"/>
        <v>156169</v>
      </c>
      <c r="P279" s="463">
        <f t="shared" si="43"/>
        <v>151786</v>
      </c>
      <c r="Q279" s="463">
        <f t="shared" si="43"/>
        <v>149867</v>
      </c>
      <c r="R279" s="463">
        <f t="shared" si="43"/>
        <v>0</v>
      </c>
      <c r="S279" s="465"/>
    </row>
    <row r="280" spans="1:51" ht="12.75" hidden="1" thickBot="1">
      <c r="A280" s="2" t="s">
        <v>367</v>
      </c>
      <c r="B280" s="1" t="s">
        <v>1279</v>
      </c>
      <c r="C280" s="2" t="s">
        <v>379</v>
      </c>
      <c r="D280" s="463">
        <f t="shared" si="43"/>
        <v>38</v>
      </c>
      <c r="E280" s="463">
        <f t="shared" si="43"/>
        <v>0</v>
      </c>
      <c r="F280" s="463">
        <f t="shared" si="43"/>
        <v>0</v>
      </c>
      <c r="G280" s="463">
        <f t="shared" si="43"/>
        <v>0</v>
      </c>
      <c r="H280" s="463">
        <f t="shared" si="44"/>
        <v>32700970</v>
      </c>
      <c r="I280" s="463">
        <f t="shared" si="43"/>
        <v>0</v>
      </c>
      <c r="J280" s="463">
        <f t="shared" si="43"/>
        <v>0</v>
      </c>
      <c r="K280" s="463">
        <f t="shared" si="43"/>
        <v>0</v>
      </c>
      <c r="L280" s="463">
        <f t="shared" si="43"/>
        <v>0</v>
      </c>
      <c r="M280" s="463">
        <f t="shared" si="43"/>
        <v>0</v>
      </c>
      <c r="N280" s="463">
        <f t="shared" si="43"/>
        <v>0</v>
      </c>
      <c r="O280" s="463">
        <f t="shared" si="43"/>
        <v>83488</v>
      </c>
      <c r="P280" s="463">
        <f t="shared" si="43"/>
        <v>81209</v>
      </c>
      <c r="Q280" s="463">
        <f t="shared" si="43"/>
        <v>80536</v>
      </c>
      <c r="R280" s="463">
        <f t="shared" si="43"/>
        <v>0</v>
      </c>
      <c r="S280" s="464"/>
      <c r="T280" s="214"/>
      <c r="X280" s="214"/>
      <c r="Y280" s="214"/>
      <c r="Z280" s="214"/>
      <c r="AA280" s="214"/>
      <c r="AB280" s="214"/>
      <c r="AC280" s="214"/>
    </row>
    <row r="281" spans="1:51" ht="12.75" hidden="1" thickBot="1">
      <c r="A281" s="2" t="s">
        <v>367</v>
      </c>
      <c r="B281" s="1" t="s">
        <v>1279</v>
      </c>
      <c r="C281" s="2" t="s">
        <v>381</v>
      </c>
      <c r="D281" s="463">
        <f t="shared" si="43"/>
        <v>16361</v>
      </c>
      <c r="E281" s="463">
        <f t="shared" si="43"/>
        <v>0</v>
      </c>
      <c r="F281" s="463">
        <f t="shared" si="43"/>
        <v>0</v>
      </c>
      <c r="G281" s="463">
        <f t="shared" si="43"/>
        <v>0</v>
      </c>
      <c r="H281" s="463">
        <f t="shared" si="44"/>
        <v>84000796</v>
      </c>
      <c r="I281" s="463">
        <f t="shared" si="43"/>
        <v>0</v>
      </c>
      <c r="J281" s="463">
        <f t="shared" si="43"/>
        <v>0</v>
      </c>
      <c r="K281" s="463">
        <f t="shared" si="43"/>
        <v>0</v>
      </c>
      <c r="L281" s="463">
        <f t="shared" si="43"/>
        <v>0</v>
      </c>
      <c r="M281" s="463">
        <f t="shared" si="43"/>
        <v>0</v>
      </c>
      <c r="N281" s="463">
        <f t="shared" si="43"/>
        <v>0</v>
      </c>
      <c r="O281" s="463">
        <f>R281</f>
        <v>227086</v>
      </c>
      <c r="P281" s="463">
        <f t="shared" si="43"/>
        <v>0</v>
      </c>
      <c r="Q281" s="463">
        <f t="shared" si="43"/>
        <v>0</v>
      </c>
      <c r="R281" s="463">
        <f t="shared" si="43"/>
        <v>227086</v>
      </c>
      <c r="S281" s="464"/>
      <c r="T281" s="214"/>
      <c r="X281" s="214"/>
      <c r="Y281" s="214"/>
      <c r="Z281" s="214"/>
      <c r="AA281" s="214"/>
      <c r="AB281" s="214"/>
      <c r="AC281" s="214"/>
    </row>
    <row r="282" spans="1:51" ht="12.75" hidden="1" thickBot="1">
      <c r="A282" s="2" t="s">
        <v>367</v>
      </c>
      <c r="B282" s="1" t="s">
        <v>1279</v>
      </c>
      <c r="C282" s="2" t="s">
        <v>382</v>
      </c>
      <c r="D282" s="463">
        <f t="shared" si="43"/>
        <v>0</v>
      </c>
      <c r="E282" s="463">
        <f t="shared" si="43"/>
        <v>0</v>
      </c>
      <c r="F282" s="463">
        <f t="shared" si="43"/>
        <v>0</v>
      </c>
      <c r="G282" s="463">
        <f t="shared" si="43"/>
        <v>0</v>
      </c>
      <c r="H282" s="463">
        <f t="shared" si="44"/>
        <v>0</v>
      </c>
      <c r="I282" s="463">
        <f t="shared" si="43"/>
        <v>0</v>
      </c>
      <c r="J282" s="463">
        <f t="shared" si="43"/>
        <v>0</v>
      </c>
      <c r="K282" s="463">
        <f t="shared" si="43"/>
        <v>0</v>
      </c>
      <c r="L282" s="463">
        <f t="shared" si="43"/>
        <v>0</v>
      </c>
      <c r="M282" s="463">
        <f t="shared" si="43"/>
        <v>0</v>
      </c>
      <c r="N282" s="463">
        <f t="shared" si="43"/>
        <v>0</v>
      </c>
      <c r="O282" s="463">
        <f t="shared" si="43"/>
        <v>0</v>
      </c>
      <c r="P282" s="463">
        <f t="shared" si="43"/>
        <v>0</v>
      </c>
      <c r="Q282" s="463">
        <f t="shared" si="43"/>
        <v>0</v>
      </c>
      <c r="R282" s="463">
        <f t="shared" si="43"/>
        <v>0</v>
      </c>
      <c r="S282" s="464"/>
      <c r="T282" s="214"/>
      <c r="X282" s="214"/>
      <c r="Y282" s="214"/>
      <c r="Z282" s="214"/>
      <c r="AA282" s="214"/>
      <c r="AB282" s="214"/>
      <c r="AC282" s="214"/>
    </row>
    <row r="283" spans="1:51" ht="12.75" hidden="1" thickBot="1">
      <c r="A283" s="2" t="s">
        <v>367</v>
      </c>
      <c r="B283" s="1" t="s">
        <v>1279</v>
      </c>
      <c r="C283" s="2" t="s">
        <v>384</v>
      </c>
      <c r="D283" s="463">
        <f t="shared" si="43"/>
        <v>0</v>
      </c>
      <c r="E283" s="463">
        <f t="shared" si="43"/>
        <v>0</v>
      </c>
      <c r="F283" s="463">
        <f t="shared" si="43"/>
        <v>0</v>
      </c>
      <c r="G283" s="463">
        <f t="shared" si="43"/>
        <v>0</v>
      </c>
      <c r="H283" s="463">
        <f t="shared" si="44"/>
        <v>0</v>
      </c>
      <c r="I283" s="463">
        <f t="shared" si="43"/>
        <v>0</v>
      </c>
      <c r="J283" s="463">
        <f t="shared" si="43"/>
        <v>0</v>
      </c>
      <c r="K283" s="463">
        <f t="shared" si="43"/>
        <v>0</v>
      </c>
      <c r="L283" s="463">
        <f t="shared" si="43"/>
        <v>0</v>
      </c>
      <c r="M283" s="463">
        <f t="shared" si="43"/>
        <v>0</v>
      </c>
      <c r="N283" s="463">
        <f t="shared" si="43"/>
        <v>0</v>
      </c>
      <c r="O283" s="463">
        <f t="shared" si="43"/>
        <v>0</v>
      </c>
      <c r="P283" s="463">
        <f t="shared" si="43"/>
        <v>0</v>
      </c>
      <c r="Q283" s="463">
        <f t="shared" si="43"/>
        <v>0</v>
      </c>
      <c r="R283" s="463">
        <f t="shared" si="43"/>
        <v>0</v>
      </c>
      <c r="S283" s="464"/>
      <c r="T283" s="214"/>
      <c r="X283" s="214"/>
      <c r="Y283" s="214"/>
      <c r="Z283" s="214"/>
      <c r="AA283" s="214"/>
      <c r="AB283" s="214"/>
      <c r="AC283" s="214"/>
    </row>
    <row r="284" spans="1:51" ht="12.75" hidden="1" thickBot="1">
      <c r="A284" s="2" t="s">
        <v>367</v>
      </c>
      <c r="B284" s="1" t="s">
        <v>1279</v>
      </c>
      <c r="C284" s="2" t="s">
        <v>385</v>
      </c>
      <c r="D284" s="463">
        <f t="shared" si="43"/>
        <v>2</v>
      </c>
      <c r="E284" s="463">
        <f t="shared" si="43"/>
        <v>0</v>
      </c>
      <c r="F284" s="463">
        <f t="shared" si="43"/>
        <v>0</v>
      </c>
      <c r="G284" s="463">
        <f t="shared" si="43"/>
        <v>0</v>
      </c>
      <c r="H284" s="463">
        <f t="shared" si="44"/>
        <v>5318100</v>
      </c>
      <c r="I284" s="463">
        <f t="shared" si="43"/>
        <v>0</v>
      </c>
      <c r="J284" s="463">
        <f t="shared" si="43"/>
        <v>0</v>
      </c>
      <c r="K284" s="463">
        <f t="shared" si="43"/>
        <v>0</v>
      </c>
      <c r="L284" s="463">
        <f t="shared" si="43"/>
        <v>0</v>
      </c>
      <c r="M284" s="463">
        <f t="shared" si="43"/>
        <v>0</v>
      </c>
      <c r="N284" s="463">
        <f t="shared" si="43"/>
        <v>0</v>
      </c>
      <c r="O284" s="463">
        <f t="shared" si="43"/>
        <v>0</v>
      </c>
      <c r="P284" s="463">
        <f t="shared" si="43"/>
        <v>0</v>
      </c>
      <c r="Q284" s="463">
        <f>R284</f>
        <v>9450</v>
      </c>
      <c r="R284" s="463">
        <f t="shared" si="43"/>
        <v>9450</v>
      </c>
      <c r="S284" s="464"/>
      <c r="T284" s="214"/>
      <c r="X284" s="214"/>
      <c r="Y284" s="214"/>
      <c r="Z284" s="214"/>
      <c r="AA284" s="214"/>
      <c r="AB284" s="214"/>
      <c r="AC284" s="214"/>
    </row>
    <row r="285" spans="1:51" ht="12.75" hidden="1" thickBot="1">
      <c r="A285" s="2" t="s">
        <v>367</v>
      </c>
      <c r="B285" s="1" t="s">
        <v>1279</v>
      </c>
      <c r="C285" s="2" t="s">
        <v>1223</v>
      </c>
      <c r="D285" s="463">
        <f t="shared" si="43"/>
        <v>0</v>
      </c>
      <c r="E285" s="463">
        <f t="shared" si="43"/>
        <v>0</v>
      </c>
      <c r="F285" s="463">
        <f t="shared" si="43"/>
        <v>0</v>
      </c>
      <c r="G285" s="463">
        <f t="shared" si="43"/>
        <v>0</v>
      </c>
      <c r="H285" s="463">
        <f t="shared" si="44"/>
        <v>0</v>
      </c>
      <c r="I285" s="463">
        <f t="shared" si="43"/>
        <v>0</v>
      </c>
      <c r="J285" s="463">
        <f t="shared" si="43"/>
        <v>0</v>
      </c>
      <c r="K285" s="463">
        <f t="shared" si="43"/>
        <v>0</v>
      </c>
      <c r="L285" s="463">
        <f t="shared" si="43"/>
        <v>0</v>
      </c>
      <c r="M285" s="463">
        <f t="shared" si="43"/>
        <v>0</v>
      </c>
      <c r="N285" s="463">
        <f t="shared" si="43"/>
        <v>0</v>
      </c>
      <c r="O285" s="463">
        <f t="shared" si="43"/>
        <v>0</v>
      </c>
      <c r="P285" s="463">
        <f t="shared" si="43"/>
        <v>0</v>
      </c>
      <c r="Q285" s="463">
        <f t="shared" si="43"/>
        <v>0</v>
      </c>
      <c r="R285" s="463">
        <f t="shared" si="43"/>
        <v>0</v>
      </c>
      <c r="S285" s="464"/>
      <c r="T285" s="214"/>
      <c r="X285" s="214"/>
      <c r="Y285" s="214"/>
      <c r="Z285" s="214"/>
      <c r="AA285" s="214"/>
      <c r="AB285" s="214"/>
      <c r="AC285" s="214"/>
    </row>
    <row r="286" spans="1:51" ht="12.75" hidden="1" thickBot="1">
      <c r="A286" s="2" t="s">
        <v>367</v>
      </c>
      <c r="B286" s="1" t="s">
        <v>1279</v>
      </c>
      <c r="C286" s="2" t="s">
        <v>386</v>
      </c>
      <c r="D286" s="463">
        <f t="shared" si="43"/>
        <v>0</v>
      </c>
      <c r="E286" s="463">
        <f t="shared" si="43"/>
        <v>0</v>
      </c>
      <c r="F286" s="463">
        <f t="shared" si="43"/>
        <v>0</v>
      </c>
      <c r="G286" s="463">
        <f t="shared" si="43"/>
        <v>0</v>
      </c>
      <c r="H286" s="463">
        <f t="shared" si="44"/>
        <v>0</v>
      </c>
      <c r="I286" s="463">
        <f t="shared" si="43"/>
        <v>0</v>
      </c>
      <c r="J286" s="463">
        <f t="shared" si="43"/>
        <v>0</v>
      </c>
      <c r="K286" s="463">
        <f t="shared" si="43"/>
        <v>0</v>
      </c>
      <c r="L286" s="463">
        <f t="shared" si="43"/>
        <v>0</v>
      </c>
      <c r="M286" s="463">
        <f t="shared" si="43"/>
        <v>0</v>
      </c>
      <c r="N286" s="463">
        <f t="shared" si="43"/>
        <v>0</v>
      </c>
      <c r="O286" s="463">
        <f t="shared" si="43"/>
        <v>0</v>
      </c>
      <c r="P286" s="463">
        <f t="shared" si="43"/>
        <v>0</v>
      </c>
      <c r="Q286" s="463">
        <f t="shared" si="43"/>
        <v>0</v>
      </c>
      <c r="R286" s="463">
        <f t="shared" si="43"/>
        <v>0</v>
      </c>
      <c r="S286" s="464"/>
      <c r="T286" s="214"/>
      <c r="X286" s="214"/>
      <c r="Y286" s="214"/>
      <c r="Z286" s="214"/>
      <c r="AA286" s="214"/>
      <c r="AB286" s="214"/>
      <c r="AC286" s="214"/>
    </row>
    <row r="287" spans="1:51" ht="12.75" hidden="1" thickBot="1">
      <c r="A287" s="2" t="s">
        <v>367</v>
      </c>
      <c r="B287" s="1" t="s">
        <v>1279</v>
      </c>
      <c r="C287" s="2" t="s">
        <v>387</v>
      </c>
      <c r="D287" s="463">
        <f t="shared" si="43"/>
        <v>1</v>
      </c>
      <c r="E287" s="463">
        <f t="shared" si="43"/>
        <v>0</v>
      </c>
      <c r="F287" s="463">
        <f t="shared" si="43"/>
        <v>0</v>
      </c>
      <c r="G287" s="463">
        <f t="shared" si="43"/>
        <v>0</v>
      </c>
      <c r="H287" s="463">
        <f t="shared" si="44"/>
        <v>8540000</v>
      </c>
      <c r="I287" s="463">
        <f t="shared" si="43"/>
        <v>0</v>
      </c>
      <c r="J287" s="463">
        <f t="shared" si="43"/>
        <v>0</v>
      </c>
      <c r="K287" s="463">
        <f t="shared" si="43"/>
        <v>0</v>
      </c>
      <c r="L287" s="463">
        <f t="shared" si="43"/>
        <v>0</v>
      </c>
      <c r="M287" s="463">
        <f t="shared" si="43"/>
        <v>0</v>
      </c>
      <c r="N287" s="463">
        <f t="shared" si="43"/>
        <v>0</v>
      </c>
      <c r="O287" s="463">
        <f t="shared" si="43"/>
        <v>0</v>
      </c>
      <c r="P287" s="463">
        <f t="shared" si="43"/>
        <v>0</v>
      </c>
      <c r="Q287" s="463">
        <f>R287</f>
        <v>13654</v>
      </c>
      <c r="R287" s="463">
        <f t="shared" si="43"/>
        <v>13654</v>
      </c>
      <c r="S287" s="465"/>
      <c r="T287" s="10"/>
      <c r="X287" s="10"/>
      <c r="Y287" s="10"/>
      <c r="Z287" s="10"/>
      <c r="AA287" s="10"/>
      <c r="AB287" s="10"/>
      <c r="AC287" s="10"/>
      <c r="AD287" s="461"/>
      <c r="AE287" s="461"/>
      <c r="AF287" s="461"/>
      <c r="AG287" s="461"/>
      <c r="AH287" s="461"/>
      <c r="AI287" s="461"/>
      <c r="AJ287" s="461"/>
      <c r="AK287" s="461"/>
      <c r="AL287" s="461"/>
      <c r="AM287" s="461"/>
      <c r="AN287" s="461"/>
      <c r="AO287" s="461"/>
      <c r="AP287" s="461"/>
      <c r="AQ287" s="461"/>
      <c r="AR287" s="461"/>
      <c r="AS287" s="461"/>
      <c r="AT287" s="461"/>
      <c r="AU287" s="461"/>
      <c r="AV287" s="461"/>
      <c r="AW287" s="461"/>
      <c r="AX287" s="461"/>
      <c r="AY287" s="461"/>
    </row>
    <row r="288" spans="1:51" ht="12.75" hidden="1" thickBot="1">
      <c r="A288" s="2" t="s">
        <v>367</v>
      </c>
      <c r="B288" s="1" t="s">
        <v>1279</v>
      </c>
      <c r="C288" s="2" t="s">
        <v>388</v>
      </c>
      <c r="D288" s="463">
        <f t="shared" ref="D288:R302" si="46">ROUND(SUMIFS(D$409:D$780,$B$409:$B$780,$B288,$C$409:$C$780,$C288),0)</f>
        <v>12</v>
      </c>
      <c r="E288" s="463">
        <f t="shared" si="46"/>
        <v>0</v>
      </c>
      <c r="F288" s="463">
        <f t="shared" si="46"/>
        <v>0</v>
      </c>
      <c r="G288" s="463">
        <f t="shared" si="46"/>
        <v>0</v>
      </c>
      <c r="H288" s="463">
        <f t="shared" si="44"/>
        <v>64168870</v>
      </c>
      <c r="I288" s="463">
        <f t="shared" si="46"/>
        <v>0</v>
      </c>
      <c r="J288" s="463">
        <f t="shared" si="46"/>
        <v>0</v>
      </c>
      <c r="K288" s="463">
        <f t="shared" si="46"/>
        <v>0</v>
      </c>
      <c r="L288" s="463">
        <f t="shared" si="46"/>
        <v>0</v>
      </c>
      <c r="M288" s="463">
        <f t="shared" si="46"/>
        <v>0</v>
      </c>
      <c r="N288" s="463">
        <f t="shared" si="46"/>
        <v>0</v>
      </c>
      <c r="O288" s="463">
        <f t="shared" si="46"/>
        <v>159696</v>
      </c>
      <c r="P288" s="463">
        <f t="shared" si="46"/>
        <v>155509</v>
      </c>
      <c r="Q288" s="463">
        <f t="shared" si="46"/>
        <v>97048</v>
      </c>
      <c r="R288" s="463">
        <f t="shared" si="46"/>
        <v>0</v>
      </c>
      <c r="S288" s="464"/>
      <c r="T288" s="10"/>
      <c r="X288" s="10"/>
      <c r="Y288" s="10"/>
      <c r="Z288" s="10"/>
      <c r="AA288" s="10"/>
      <c r="AB288" s="10"/>
      <c r="AC288" s="10"/>
      <c r="AD288" s="461"/>
      <c r="AE288" s="461"/>
      <c r="AF288" s="461"/>
      <c r="AG288" s="461"/>
      <c r="AH288" s="461"/>
      <c r="AI288" s="461"/>
      <c r="AJ288" s="461"/>
      <c r="AK288" s="461"/>
      <c r="AL288" s="461"/>
      <c r="AM288" s="461"/>
      <c r="AN288" s="461"/>
      <c r="AO288" s="461"/>
      <c r="AP288" s="461"/>
      <c r="AQ288" s="461"/>
      <c r="AR288" s="461"/>
      <c r="AS288" s="461"/>
      <c r="AT288" s="461"/>
      <c r="AU288" s="461"/>
      <c r="AV288" s="461"/>
      <c r="AW288" s="461"/>
      <c r="AX288" s="461"/>
      <c r="AY288" s="461"/>
    </row>
    <row r="289" spans="1:51" ht="12.75" hidden="1" thickBot="1">
      <c r="A289" s="2" t="s">
        <v>367</v>
      </c>
      <c r="B289" s="1" t="s">
        <v>1279</v>
      </c>
      <c r="C289" s="2" t="s">
        <v>389</v>
      </c>
      <c r="D289" s="463">
        <f t="shared" si="46"/>
        <v>215</v>
      </c>
      <c r="E289" s="463">
        <f t="shared" si="46"/>
        <v>0</v>
      </c>
      <c r="F289" s="463">
        <f t="shared" si="46"/>
        <v>0</v>
      </c>
      <c r="G289" s="463">
        <f t="shared" si="46"/>
        <v>0</v>
      </c>
      <c r="H289" s="463">
        <f t="shared" si="44"/>
        <v>19657594</v>
      </c>
      <c r="I289" s="463">
        <f t="shared" si="46"/>
        <v>0</v>
      </c>
      <c r="J289" s="463">
        <f t="shared" si="46"/>
        <v>0</v>
      </c>
      <c r="K289" s="463">
        <f t="shared" si="46"/>
        <v>0</v>
      </c>
      <c r="L289" s="463">
        <f t="shared" si="46"/>
        <v>0</v>
      </c>
      <c r="M289" s="463">
        <f t="shared" si="46"/>
        <v>0</v>
      </c>
      <c r="N289" s="463">
        <f t="shared" si="46"/>
        <v>0</v>
      </c>
      <c r="O289" s="463">
        <f t="shared" si="46"/>
        <v>0</v>
      </c>
      <c r="P289" s="463">
        <f t="shared" si="46"/>
        <v>0</v>
      </c>
      <c r="Q289" s="463">
        <f t="shared" ref="Q289:Q290" si="47">R289</f>
        <v>71083</v>
      </c>
      <c r="R289" s="463">
        <f t="shared" si="46"/>
        <v>71083</v>
      </c>
      <c r="S289" s="465"/>
      <c r="T289" s="214"/>
      <c r="X289" s="214"/>
      <c r="Y289" s="214"/>
      <c r="Z289" s="214"/>
      <c r="AA289" s="214"/>
      <c r="AB289" s="214"/>
      <c r="AC289" s="214"/>
    </row>
    <row r="290" spans="1:51" s="461" customFormat="1" ht="12.75" hidden="1" thickBot="1">
      <c r="A290" s="2" t="s">
        <v>367</v>
      </c>
      <c r="B290" s="1" t="s">
        <v>1279</v>
      </c>
      <c r="C290" s="2" t="s">
        <v>390</v>
      </c>
      <c r="D290" s="463">
        <f t="shared" si="46"/>
        <v>21</v>
      </c>
      <c r="E290" s="463">
        <f t="shared" si="46"/>
        <v>0</v>
      </c>
      <c r="F290" s="463">
        <f t="shared" si="46"/>
        <v>0</v>
      </c>
      <c r="G290" s="463">
        <f t="shared" si="46"/>
        <v>0</v>
      </c>
      <c r="H290" s="463">
        <f t="shared" si="44"/>
        <v>1023218</v>
      </c>
      <c r="I290" s="463">
        <f t="shared" si="46"/>
        <v>0</v>
      </c>
      <c r="J290" s="463">
        <f t="shared" si="46"/>
        <v>0</v>
      </c>
      <c r="K290" s="463">
        <f t="shared" si="46"/>
        <v>0</v>
      </c>
      <c r="L290" s="463">
        <f t="shared" si="46"/>
        <v>0</v>
      </c>
      <c r="M290" s="463">
        <f t="shared" si="46"/>
        <v>0</v>
      </c>
      <c r="N290" s="463">
        <f t="shared" si="46"/>
        <v>0</v>
      </c>
      <c r="O290" s="463">
        <f t="shared" si="46"/>
        <v>0</v>
      </c>
      <c r="P290" s="463">
        <f t="shared" si="46"/>
        <v>0</v>
      </c>
      <c r="Q290" s="463">
        <f t="shared" si="47"/>
        <v>4245</v>
      </c>
      <c r="R290" s="463">
        <f t="shared" si="46"/>
        <v>4245</v>
      </c>
      <c r="S290" s="465"/>
      <c r="T290" s="214"/>
      <c r="U290" s="98"/>
      <c r="V290" s="98"/>
      <c r="W290" s="98"/>
      <c r="X290" s="214"/>
      <c r="Y290" s="214"/>
      <c r="Z290" s="214"/>
      <c r="AA290" s="214"/>
      <c r="AB290" s="214"/>
      <c r="AC290" s="214"/>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row>
    <row r="291" spans="1:51" s="461" customFormat="1" ht="12.75" hidden="1" thickBot="1">
      <c r="A291" s="2" t="s">
        <v>367</v>
      </c>
      <c r="B291" s="1" t="s">
        <v>1279</v>
      </c>
      <c r="C291" s="2" t="s">
        <v>391</v>
      </c>
      <c r="D291" s="463">
        <f t="shared" si="46"/>
        <v>95</v>
      </c>
      <c r="E291" s="463">
        <f t="shared" si="46"/>
        <v>0</v>
      </c>
      <c r="F291" s="463">
        <f t="shared" si="46"/>
        <v>0</v>
      </c>
      <c r="G291" s="463">
        <f t="shared" si="46"/>
        <v>0</v>
      </c>
      <c r="H291" s="463">
        <f t="shared" si="44"/>
        <v>20552866</v>
      </c>
      <c r="I291" s="463">
        <f t="shared" si="46"/>
        <v>0</v>
      </c>
      <c r="J291" s="463">
        <f t="shared" si="46"/>
        <v>0</v>
      </c>
      <c r="K291" s="463">
        <f t="shared" si="46"/>
        <v>0</v>
      </c>
      <c r="L291" s="463">
        <f t="shared" si="46"/>
        <v>0</v>
      </c>
      <c r="M291" s="463">
        <f t="shared" si="46"/>
        <v>0</v>
      </c>
      <c r="N291" s="463">
        <f t="shared" si="46"/>
        <v>0</v>
      </c>
      <c r="O291" s="463">
        <f t="shared" si="46"/>
        <v>54409</v>
      </c>
      <c r="P291" s="463">
        <f t="shared" si="46"/>
        <v>51469</v>
      </c>
      <c r="Q291" s="463">
        <f t="shared" si="46"/>
        <v>50102</v>
      </c>
      <c r="R291" s="463">
        <f t="shared" si="46"/>
        <v>0</v>
      </c>
      <c r="S291" s="465"/>
      <c r="T291" s="214"/>
      <c r="U291" s="98"/>
      <c r="V291" s="98"/>
      <c r="W291" s="98"/>
      <c r="X291" s="214"/>
      <c r="Y291" s="214"/>
      <c r="Z291" s="214"/>
      <c r="AA291" s="214"/>
      <c r="AB291" s="214"/>
      <c r="AC291" s="214"/>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row>
    <row r="292" spans="1:51" ht="12.75" hidden="1" thickBot="1">
      <c r="A292" s="2" t="s">
        <v>367</v>
      </c>
      <c r="B292" s="1" t="s">
        <v>1279</v>
      </c>
      <c r="C292" s="2" t="s">
        <v>392</v>
      </c>
      <c r="D292" s="463">
        <f t="shared" si="46"/>
        <v>69</v>
      </c>
      <c r="E292" s="463">
        <f t="shared" si="46"/>
        <v>0</v>
      </c>
      <c r="F292" s="463">
        <f t="shared" si="46"/>
        <v>0</v>
      </c>
      <c r="G292" s="463">
        <f t="shared" si="46"/>
        <v>0</v>
      </c>
      <c r="H292" s="463">
        <f t="shared" si="44"/>
        <v>129026932</v>
      </c>
      <c r="I292" s="463">
        <f t="shared" si="46"/>
        <v>0</v>
      </c>
      <c r="J292" s="463">
        <f t="shared" si="46"/>
        <v>0</v>
      </c>
      <c r="K292" s="463">
        <f t="shared" si="46"/>
        <v>0</v>
      </c>
      <c r="L292" s="463">
        <f t="shared" si="46"/>
        <v>0</v>
      </c>
      <c r="M292" s="463">
        <f t="shared" si="46"/>
        <v>0</v>
      </c>
      <c r="N292" s="463">
        <f t="shared" si="46"/>
        <v>0</v>
      </c>
      <c r="O292" s="463">
        <f t="shared" si="46"/>
        <v>362538</v>
      </c>
      <c r="P292" s="463">
        <f t="shared" si="46"/>
        <v>329134</v>
      </c>
      <c r="Q292" s="463">
        <f t="shared" si="46"/>
        <v>324762</v>
      </c>
      <c r="R292" s="463">
        <f t="shared" si="46"/>
        <v>0</v>
      </c>
      <c r="S292" s="465"/>
      <c r="T292" s="214"/>
      <c r="X292" s="214"/>
      <c r="Y292" s="214"/>
      <c r="Z292" s="214"/>
      <c r="AA292" s="214"/>
      <c r="AB292" s="214"/>
      <c r="AC292" s="214"/>
    </row>
    <row r="293" spans="1:51" ht="12.75" hidden="1" thickBot="1">
      <c r="A293" s="2" t="s">
        <v>367</v>
      </c>
      <c r="B293" s="1" t="s">
        <v>1279</v>
      </c>
      <c r="C293" s="2" t="s">
        <v>394</v>
      </c>
      <c r="D293" s="463">
        <f t="shared" si="46"/>
        <v>0</v>
      </c>
      <c r="E293" s="463">
        <f t="shared" si="46"/>
        <v>0</v>
      </c>
      <c r="F293" s="463">
        <f t="shared" si="46"/>
        <v>0</v>
      </c>
      <c r="G293" s="463">
        <f t="shared" si="46"/>
        <v>0</v>
      </c>
      <c r="H293" s="463">
        <f t="shared" si="44"/>
        <v>0</v>
      </c>
      <c r="I293" s="463">
        <f t="shared" si="46"/>
        <v>0</v>
      </c>
      <c r="J293" s="463">
        <f t="shared" si="46"/>
        <v>0</v>
      </c>
      <c r="K293" s="463">
        <f t="shared" si="46"/>
        <v>0</v>
      </c>
      <c r="L293" s="463">
        <f t="shared" si="46"/>
        <v>0</v>
      </c>
      <c r="M293" s="463">
        <f t="shared" si="46"/>
        <v>0</v>
      </c>
      <c r="N293" s="463">
        <f t="shared" si="46"/>
        <v>0</v>
      </c>
      <c r="O293" s="463">
        <f t="shared" si="46"/>
        <v>0</v>
      </c>
      <c r="P293" s="463">
        <f t="shared" si="46"/>
        <v>0</v>
      </c>
      <c r="Q293" s="463">
        <f t="shared" si="46"/>
        <v>0</v>
      </c>
      <c r="R293" s="463">
        <f t="shared" si="46"/>
        <v>0</v>
      </c>
      <c r="S293" s="464"/>
      <c r="T293" s="214"/>
      <c r="X293" s="214"/>
      <c r="Y293" s="214"/>
      <c r="Z293" s="214"/>
      <c r="AA293" s="214"/>
      <c r="AB293" s="214"/>
      <c r="AC293" s="214"/>
    </row>
    <row r="294" spans="1:51" ht="12.75" hidden="1" thickBot="1">
      <c r="A294" s="2" t="s">
        <v>367</v>
      </c>
      <c r="B294" s="1" t="s">
        <v>1279</v>
      </c>
      <c r="C294" s="2" t="s">
        <v>395</v>
      </c>
      <c r="D294" s="463">
        <f t="shared" si="46"/>
        <v>156</v>
      </c>
      <c r="E294" s="463">
        <f t="shared" si="46"/>
        <v>0</v>
      </c>
      <c r="F294" s="463">
        <f t="shared" si="46"/>
        <v>0</v>
      </c>
      <c r="G294" s="463">
        <f t="shared" si="46"/>
        <v>0</v>
      </c>
      <c r="H294" s="463">
        <f t="shared" si="44"/>
        <v>238222</v>
      </c>
      <c r="I294" s="463">
        <f t="shared" si="46"/>
        <v>0</v>
      </c>
      <c r="J294" s="463">
        <f t="shared" si="46"/>
        <v>0</v>
      </c>
      <c r="K294" s="463">
        <f t="shared" si="46"/>
        <v>0</v>
      </c>
      <c r="L294" s="463">
        <f t="shared" si="46"/>
        <v>0</v>
      </c>
      <c r="M294" s="463">
        <f t="shared" si="46"/>
        <v>0</v>
      </c>
      <c r="N294" s="463">
        <f t="shared" si="46"/>
        <v>0</v>
      </c>
      <c r="O294" s="463">
        <f t="shared" si="46"/>
        <v>0</v>
      </c>
      <c r="P294" s="463">
        <f t="shared" si="46"/>
        <v>0</v>
      </c>
      <c r="Q294" s="463">
        <f t="shared" si="46"/>
        <v>0</v>
      </c>
      <c r="R294" s="463">
        <f t="shared" si="46"/>
        <v>0</v>
      </c>
      <c r="S294" s="464"/>
      <c r="T294" s="214"/>
      <c r="X294" s="214"/>
      <c r="Y294" s="214"/>
      <c r="Z294" s="214"/>
      <c r="AA294" s="214"/>
      <c r="AB294" s="214"/>
      <c r="AC294" s="214"/>
    </row>
    <row r="295" spans="1:51" ht="12.75" hidden="1" thickBot="1">
      <c r="A295" s="2" t="s">
        <v>367</v>
      </c>
      <c r="B295" s="1" t="s">
        <v>1279</v>
      </c>
      <c r="C295" s="2" t="s">
        <v>396</v>
      </c>
      <c r="D295" s="463">
        <f t="shared" si="46"/>
        <v>0</v>
      </c>
      <c r="E295" s="463">
        <f t="shared" si="46"/>
        <v>0</v>
      </c>
      <c r="F295" s="463">
        <f t="shared" si="46"/>
        <v>0</v>
      </c>
      <c r="G295" s="463">
        <f t="shared" si="46"/>
        <v>0</v>
      </c>
      <c r="H295" s="463">
        <f t="shared" si="44"/>
        <v>0</v>
      </c>
      <c r="I295" s="463">
        <f t="shared" si="46"/>
        <v>0</v>
      </c>
      <c r="J295" s="463">
        <f t="shared" si="46"/>
        <v>0</v>
      </c>
      <c r="K295" s="463">
        <f t="shared" si="46"/>
        <v>0</v>
      </c>
      <c r="L295" s="463">
        <f t="shared" si="46"/>
        <v>0</v>
      </c>
      <c r="M295" s="463">
        <f t="shared" si="46"/>
        <v>0</v>
      </c>
      <c r="N295" s="463">
        <f t="shared" si="46"/>
        <v>0</v>
      </c>
      <c r="O295" s="463">
        <f t="shared" si="46"/>
        <v>0</v>
      </c>
      <c r="P295" s="463">
        <f t="shared" si="46"/>
        <v>0</v>
      </c>
      <c r="Q295" s="463">
        <f t="shared" si="46"/>
        <v>0</v>
      </c>
      <c r="R295" s="463">
        <f t="shared" si="46"/>
        <v>0</v>
      </c>
      <c r="S295" s="464"/>
      <c r="T295" s="214"/>
      <c r="X295" s="214"/>
      <c r="Y295" s="214"/>
      <c r="Z295" s="214"/>
      <c r="AA295" s="214"/>
      <c r="AB295" s="214"/>
      <c r="AC295" s="214"/>
    </row>
    <row r="296" spans="1:51" ht="12.75" hidden="1" thickBot="1">
      <c r="A296" s="2" t="s">
        <v>367</v>
      </c>
      <c r="B296" s="1" t="s">
        <v>1279</v>
      </c>
      <c r="C296" s="2" t="s">
        <v>397</v>
      </c>
      <c r="D296" s="463">
        <f t="shared" si="46"/>
        <v>905</v>
      </c>
      <c r="E296" s="463">
        <f t="shared" si="46"/>
        <v>0</v>
      </c>
      <c r="F296" s="463">
        <f t="shared" si="46"/>
        <v>0</v>
      </c>
      <c r="G296" s="463">
        <f t="shared" si="46"/>
        <v>0</v>
      </c>
      <c r="H296" s="463">
        <f t="shared" si="44"/>
        <v>223416</v>
      </c>
      <c r="I296" s="463">
        <f t="shared" si="46"/>
        <v>0</v>
      </c>
      <c r="J296" s="463">
        <f t="shared" si="46"/>
        <v>0</v>
      </c>
      <c r="K296" s="463">
        <f t="shared" si="46"/>
        <v>0</v>
      </c>
      <c r="L296" s="463">
        <f t="shared" si="46"/>
        <v>0</v>
      </c>
      <c r="M296" s="463">
        <f t="shared" si="46"/>
        <v>0</v>
      </c>
      <c r="N296" s="463">
        <f t="shared" si="46"/>
        <v>0</v>
      </c>
      <c r="O296" s="463">
        <f t="shared" si="46"/>
        <v>0</v>
      </c>
      <c r="P296" s="463">
        <f t="shared" si="46"/>
        <v>0</v>
      </c>
      <c r="Q296" s="463">
        <f t="shared" si="46"/>
        <v>0</v>
      </c>
      <c r="R296" s="463">
        <f t="shared" si="46"/>
        <v>0</v>
      </c>
      <c r="S296" s="464"/>
      <c r="T296" s="214"/>
      <c r="X296" s="214"/>
      <c r="Y296" s="214"/>
      <c r="Z296" s="214"/>
      <c r="AA296" s="214"/>
      <c r="AB296" s="214"/>
      <c r="AC296" s="214"/>
    </row>
    <row r="297" spans="1:51" ht="12.75" hidden="1" thickBot="1">
      <c r="A297" s="2" t="s">
        <v>367</v>
      </c>
      <c r="B297" s="1" t="s">
        <v>1279</v>
      </c>
      <c r="C297" s="2" t="s">
        <v>398</v>
      </c>
      <c r="D297" s="463">
        <f t="shared" si="46"/>
        <v>0</v>
      </c>
      <c r="E297" s="463">
        <f t="shared" si="46"/>
        <v>0</v>
      </c>
      <c r="F297" s="463">
        <f t="shared" si="46"/>
        <v>0</v>
      </c>
      <c r="G297" s="463">
        <f t="shared" si="46"/>
        <v>0</v>
      </c>
      <c r="H297" s="463">
        <f t="shared" si="44"/>
        <v>0</v>
      </c>
      <c r="I297" s="463">
        <f t="shared" si="46"/>
        <v>0</v>
      </c>
      <c r="J297" s="463">
        <f t="shared" si="46"/>
        <v>0</v>
      </c>
      <c r="K297" s="463">
        <f t="shared" si="46"/>
        <v>0</v>
      </c>
      <c r="L297" s="463">
        <f t="shared" si="46"/>
        <v>0</v>
      </c>
      <c r="M297" s="463">
        <f t="shared" si="46"/>
        <v>0</v>
      </c>
      <c r="N297" s="463">
        <f t="shared" si="46"/>
        <v>0</v>
      </c>
      <c r="O297" s="463">
        <f t="shared" si="46"/>
        <v>0</v>
      </c>
      <c r="P297" s="463">
        <f t="shared" si="46"/>
        <v>0</v>
      </c>
      <c r="Q297" s="463">
        <f t="shared" si="46"/>
        <v>0</v>
      </c>
      <c r="R297" s="463">
        <f t="shared" si="46"/>
        <v>0</v>
      </c>
      <c r="S297" s="464"/>
      <c r="T297" s="214"/>
      <c r="X297" s="214"/>
      <c r="Y297" s="214"/>
      <c r="Z297" s="214"/>
      <c r="AA297" s="214"/>
      <c r="AB297" s="214"/>
      <c r="AC297" s="214"/>
    </row>
    <row r="298" spans="1:51" ht="12.75" hidden="1" thickBot="1">
      <c r="A298" s="2" t="s">
        <v>367</v>
      </c>
      <c r="B298" s="1" t="s">
        <v>1279</v>
      </c>
      <c r="C298" s="2" t="s">
        <v>399</v>
      </c>
      <c r="D298" s="463">
        <f t="shared" si="46"/>
        <v>0</v>
      </c>
      <c r="E298" s="463">
        <f t="shared" si="46"/>
        <v>0</v>
      </c>
      <c r="F298" s="463">
        <f t="shared" si="46"/>
        <v>0</v>
      </c>
      <c r="G298" s="463">
        <f t="shared" si="46"/>
        <v>0</v>
      </c>
      <c r="H298" s="463">
        <f t="shared" si="44"/>
        <v>0</v>
      </c>
      <c r="I298" s="463">
        <f t="shared" si="46"/>
        <v>0</v>
      </c>
      <c r="J298" s="463">
        <f t="shared" si="46"/>
        <v>0</v>
      </c>
      <c r="K298" s="463">
        <f t="shared" si="46"/>
        <v>0</v>
      </c>
      <c r="L298" s="463">
        <f t="shared" si="46"/>
        <v>0</v>
      </c>
      <c r="M298" s="463">
        <f t="shared" si="46"/>
        <v>0</v>
      </c>
      <c r="N298" s="463">
        <f t="shared" si="46"/>
        <v>0</v>
      </c>
      <c r="O298" s="463">
        <f t="shared" si="46"/>
        <v>0</v>
      </c>
      <c r="P298" s="463">
        <f t="shared" si="46"/>
        <v>0</v>
      </c>
      <c r="Q298" s="463">
        <f t="shared" si="46"/>
        <v>0</v>
      </c>
      <c r="R298" s="463">
        <f t="shared" si="46"/>
        <v>0</v>
      </c>
      <c r="S298" s="464"/>
      <c r="T298" s="214"/>
      <c r="X298" s="214"/>
      <c r="Y298" s="214"/>
      <c r="Z298" s="214"/>
      <c r="AA298" s="214"/>
      <c r="AB298" s="214"/>
      <c r="AC298" s="214"/>
    </row>
    <row r="299" spans="1:51" ht="12.75" thickBot="1">
      <c r="A299" s="2" t="s">
        <v>367</v>
      </c>
      <c r="B299" s="1" t="s">
        <v>1279</v>
      </c>
      <c r="C299" s="2" t="s">
        <v>400</v>
      </c>
      <c r="D299" s="463">
        <f t="shared" si="46"/>
        <v>360785</v>
      </c>
      <c r="E299" s="463">
        <f t="shared" si="46"/>
        <v>0</v>
      </c>
      <c r="F299" s="463">
        <f t="shared" si="46"/>
        <v>0</v>
      </c>
      <c r="G299" s="463">
        <f t="shared" si="46"/>
        <v>0</v>
      </c>
      <c r="H299" s="463">
        <f t="shared" si="44"/>
        <v>387412176</v>
      </c>
      <c r="I299" s="463">
        <f t="shared" si="46"/>
        <v>0</v>
      </c>
      <c r="J299" s="463">
        <f t="shared" si="46"/>
        <v>0</v>
      </c>
      <c r="K299" s="463">
        <f t="shared" si="46"/>
        <v>0</v>
      </c>
      <c r="L299" s="463">
        <f t="shared" si="46"/>
        <v>0</v>
      </c>
      <c r="M299" s="463">
        <f t="shared" si="46"/>
        <v>0</v>
      </c>
      <c r="N299" s="463">
        <f t="shared" si="46"/>
        <v>0</v>
      </c>
      <c r="O299" s="463">
        <f t="shared" si="46"/>
        <v>0</v>
      </c>
      <c r="P299" s="463">
        <f t="shared" si="46"/>
        <v>0</v>
      </c>
      <c r="Q299" s="463">
        <f t="shared" si="46"/>
        <v>0</v>
      </c>
      <c r="R299" s="463">
        <f t="shared" si="46"/>
        <v>0</v>
      </c>
      <c r="S299" s="464"/>
      <c r="T299" s="214"/>
      <c r="X299" s="214"/>
      <c r="Y299" s="214"/>
      <c r="Z299" s="214"/>
      <c r="AA299" s="214"/>
      <c r="AB299" s="214"/>
      <c r="AC299" s="214"/>
    </row>
    <row r="300" spans="1:51" ht="12.75" hidden="1" thickBot="1">
      <c r="A300" s="2" t="s">
        <v>367</v>
      </c>
      <c r="B300" s="1" t="s">
        <v>1279</v>
      </c>
      <c r="C300" s="2" t="s">
        <v>401</v>
      </c>
      <c r="D300" s="463">
        <f t="shared" si="46"/>
        <v>0</v>
      </c>
      <c r="E300" s="463">
        <f t="shared" si="46"/>
        <v>0</v>
      </c>
      <c r="F300" s="463">
        <f t="shared" si="46"/>
        <v>0</v>
      </c>
      <c r="G300" s="463">
        <f t="shared" si="46"/>
        <v>0</v>
      </c>
      <c r="H300" s="463">
        <f t="shared" si="44"/>
        <v>0</v>
      </c>
      <c r="I300" s="463">
        <f t="shared" si="46"/>
        <v>0</v>
      </c>
      <c r="J300" s="463">
        <f t="shared" si="46"/>
        <v>0</v>
      </c>
      <c r="K300" s="463">
        <f t="shared" si="46"/>
        <v>0</v>
      </c>
      <c r="L300" s="463">
        <f t="shared" si="46"/>
        <v>0</v>
      </c>
      <c r="M300" s="463">
        <f t="shared" si="46"/>
        <v>0</v>
      </c>
      <c r="N300" s="463">
        <f t="shared" si="46"/>
        <v>0</v>
      </c>
      <c r="O300" s="463">
        <f t="shared" si="46"/>
        <v>0</v>
      </c>
      <c r="P300" s="463">
        <f t="shared" si="46"/>
        <v>0</v>
      </c>
      <c r="Q300" s="463">
        <f t="shared" si="46"/>
        <v>0</v>
      </c>
      <c r="R300" s="463">
        <f t="shared" si="46"/>
        <v>0</v>
      </c>
      <c r="S300" s="464"/>
      <c r="T300" s="214"/>
      <c r="X300" s="214"/>
      <c r="Y300" s="214"/>
      <c r="Z300" s="214"/>
      <c r="AA300" s="214"/>
      <c r="AB300" s="214"/>
      <c r="AC300" s="214"/>
    </row>
    <row r="301" spans="1:51" ht="12.75" hidden="1" thickBot="1">
      <c r="A301" s="2" t="s">
        <v>367</v>
      </c>
      <c r="B301" s="1" t="s">
        <v>1279</v>
      </c>
      <c r="C301" s="2" t="s">
        <v>402</v>
      </c>
      <c r="D301" s="463">
        <f t="shared" si="46"/>
        <v>0</v>
      </c>
      <c r="E301" s="463">
        <f t="shared" si="46"/>
        <v>0</v>
      </c>
      <c r="F301" s="463">
        <f t="shared" si="46"/>
        <v>0</v>
      </c>
      <c r="G301" s="463">
        <f t="shared" si="46"/>
        <v>0</v>
      </c>
      <c r="H301" s="463">
        <f t="shared" si="44"/>
        <v>0</v>
      </c>
      <c r="I301" s="463">
        <f t="shared" si="46"/>
        <v>0</v>
      </c>
      <c r="J301" s="463">
        <f t="shared" si="46"/>
        <v>0</v>
      </c>
      <c r="K301" s="463">
        <f t="shared" si="46"/>
        <v>0</v>
      </c>
      <c r="L301" s="463">
        <f t="shared" si="46"/>
        <v>0</v>
      </c>
      <c r="M301" s="463">
        <f t="shared" si="46"/>
        <v>0</v>
      </c>
      <c r="N301" s="463">
        <f t="shared" si="46"/>
        <v>0</v>
      </c>
      <c r="O301" s="463">
        <f t="shared" si="46"/>
        <v>0</v>
      </c>
      <c r="P301" s="463">
        <f t="shared" si="46"/>
        <v>0</v>
      </c>
      <c r="Q301" s="463">
        <f t="shared" si="46"/>
        <v>0</v>
      </c>
      <c r="R301" s="463">
        <f t="shared" si="46"/>
        <v>0</v>
      </c>
      <c r="S301" s="464"/>
      <c r="T301" s="214"/>
      <c r="X301" s="214"/>
      <c r="Y301" s="214"/>
      <c r="Z301" s="214"/>
      <c r="AA301" s="214"/>
      <c r="AB301" s="214"/>
      <c r="AC301" s="214"/>
    </row>
    <row r="302" spans="1:51" ht="12.75" hidden="1" thickBot="1">
      <c r="A302" s="2" t="s">
        <v>367</v>
      </c>
      <c r="B302" s="1" t="s">
        <v>1279</v>
      </c>
      <c r="C302" s="2" t="s">
        <v>706</v>
      </c>
      <c r="D302" s="463">
        <f t="shared" si="46"/>
        <v>20</v>
      </c>
      <c r="E302" s="463">
        <f t="shared" si="46"/>
        <v>11196</v>
      </c>
      <c r="F302" s="463">
        <f t="shared" si="46"/>
        <v>5538</v>
      </c>
      <c r="G302" s="463">
        <f t="shared" si="46"/>
        <v>3260</v>
      </c>
      <c r="H302" s="463">
        <f t="shared" si="44"/>
        <v>19994</v>
      </c>
      <c r="I302" s="463">
        <f t="shared" si="46"/>
        <v>0</v>
      </c>
      <c r="J302" s="463">
        <f t="shared" si="46"/>
        <v>0</v>
      </c>
      <c r="K302" s="463">
        <f t="shared" si="46"/>
        <v>0</v>
      </c>
      <c r="L302" s="463">
        <f t="shared" si="46"/>
        <v>0</v>
      </c>
      <c r="M302" s="463">
        <f t="shared" si="46"/>
        <v>0</v>
      </c>
      <c r="N302" s="463">
        <f t="shared" si="46"/>
        <v>0</v>
      </c>
      <c r="O302" s="463">
        <f t="shared" si="46"/>
        <v>0</v>
      </c>
      <c r="P302" s="463">
        <f t="shared" si="46"/>
        <v>0</v>
      </c>
      <c r="Q302" s="463">
        <f t="shared" si="46"/>
        <v>0</v>
      </c>
      <c r="R302" s="463">
        <f t="shared" si="46"/>
        <v>0</v>
      </c>
      <c r="S302" s="464"/>
      <c r="T302" s="214"/>
      <c r="X302" s="214"/>
      <c r="Y302" s="214"/>
      <c r="Z302" s="214"/>
      <c r="AA302" s="214"/>
      <c r="AB302" s="214"/>
      <c r="AC302" s="214"/>
    </row>
    <row r="303" spans="1:51" ht="12.75" hidden="1" thickBot="1">
      <c r="A303" s="2" t="s">
        <v>367</v>
      </c>
      <c r="B303" s="1" t="s">
        <v>1279</v>
      </c>
      <c r="C303" s="17" t="s">
        <v>7</v>
      </c>
      <c r="D303" s="7"/>
      <c r="E303" s="456"/>
      <c r="F303" s="456"/>
      <c r="G303" s="456"/>
      <c r="H303" s="7"/>
      <c r="I303" s="468"/>
      <c r="J303" s="468"/>
      <c r="K303" s="468"/>
      <c r="L303" s="456"/>
      <c r="M303" s="456"/>
      <c r="N303" s="468"/>
      <c r="O303" s="468"/>
      <c r="P303" s="468"/>
      <c r="Q303" s="468"/>
      <c r="R303" s="468"/>
      <c r="S303" s="466"/>
      <c r="T303" s="214"/>
      <c r="X303" s="214"/>
      <c r="Y303" s="214"/>
      <c r="Z303" s="214"/>
      <c r="AA303" s="214"/>
      <c r="AB303" s="214"/>
      <c r="AC303" s="214"/>
    </row>
    <row r="304" spans="1:51" ht="12.75" hidden="1" thickBot="1">
      <c r="A304" s="2" t="s">
        <v>367</v>
      </c>
      <c r="B304" s="1" t="s">
        <v>1280</v>
      </c>
      <c r="C304" s="2" t="s">
        <v>368</v>
      </c>
      <c r="D304" s="463">
        <f t="shared" ref="D304:R320" si="48">ROUND(SUMIFS(D$409:D$780,$B$409:$B$780,$B304,$C$409:$C$780,$C304),0)</f>
        <v>0</v>
      </c>
      <c r="E304" s="463">
        <f t="shared" si="48"/>
        <v>0</v>
      </c>
      <c r="F304" s="463">
        <f t="shared" si="48"/>
        <v>0</v>
      </c>
      <c r="G304" s="463">
        <f t="shared" si="48"/>
        <v>0</v>
      </c>
      <c r="H304" s="463">
        <f t="shared" ref="H304:H336" si="49">ROUND(SUMIFS(H$409:H$780,$B$409:$B$780,$B304,$C$409:$C$780,$C304)*1000,0)</f>
        <v>0</v>
      </c>
      <c r="I304" s="463">
        <f t="shared" si="48"/>
        <v>0</v>
      </c>
      <c r="J304" s="463">
        <f t="shared" si="48"/>
        <v>0</v>
      </c>
      <c r="K304" s="463">
        <f t="shared" si="48"/>
        <v>0</v>
      </c>
      <c r="L304" s="463">
        <f t="shared" si="48"/>
        <v>0</v>
      </c>
      <c r="M304" s="463">
        <f t="shared" si="48"/>
        <v>0</v>
      </c>
      <c r="N304" s="463">
        <f t="shared" si="48"/>
        <v>0</v>
      </c>
      <c r="O304" s="463">
        <f t="shared" si="48"/>
        <v>0</v>
      </c>
      <c r="P304" s="463">
        <f t="shared" si="48"/>
        <v>0</v>
      </c>
      <c r="Q304" s="463">
        <f t="shared" si="48"/>
        <v>0</v>
      </c>
      <c r="R304" s="463">
        <f t="shared" si="48"/>
        <v>0</v>
      </c>
      <c r="S304" s="464"/>
      <c r="T304" s="214"/>
      <c r="X304" s="214"/>
      <c r="Y304" s="214"/>
      <c r="Z304" s="214"/>
      <c r="AA304" s="214"/>
      <c r="AB304" s="214"/>
      <c r="AC304" s="214"/>
    </row>
    <row r="305" spans="1:29" ht="12.75" hidden="1" thickBot="1">
      <c r="A305" s="2" t="s">
        <v>367</v>
      </c>
      <c r="B305" s="1" t="s">
        <v>1280</v>
      </c>
      <c r="C305" s="2" t="s">
        <v>370</v>
      </c>
      <c r="D305" s="463">
        <f t="shared" si="48"/>
        <v>28188</v>
      </c>
      <c r="E305" s="463">
        <f t="shared" si="48"/>
        <v>0</v>
      </c>
      <c r="F305" s="463">
        <f t="shared" si="48"/>
        <v>0</v>
      </c>
      <c r="G305" s="463">
        <f t="shared" si="48"/>
        <v>0</v>
      </c>
      <c r="H305" s="463">
        <f t="shared" si="49"/>
        <v>29801686</v>
      </c>
      <c r="I305" s="463">
        <f t="shared" si="48"/>
        <v>0</v>
      </c>
      <c r="J305" s="463">
        <f t="shared" si="48"/>
        <v>0</v>
      </c>
      <c r="K305" s="463">
        <f t="shared" si="48"/>
        <v>0</v>
      </c>
      <c r="L305" s="463">
        <f t="shared" si="48"/>
        <v>0</v>
      </c>
      <c r="M305" s="463">
        <f t="shared" si="48"/>
        <v>0</v>
      </c>
      <c r="N305" s="463">
        <f t="shared" si="48"/>
        <v>0</v>
      </c>
      <c r="O305" s="463">
        <f t="shared" si="48"/>
        <v>0</v>
      </c>
      <c r="P305" s="463">
        <f t="shared" si="48"/>
        <v>0</v>
      </c>
      <c r="Q305" s="463">
        <f t="shared" si="48"/>
        <v>0</v>
      </c>
      <c r="R305" s="463">
        <f t="shared" si="48"/>
        <v>0</v>
      </c>
      <c r="S305" s="464"/>
      <c r="T305" s="214"/>
      <c r="X305" s="214"/>
      <c r="Y305" s="214"/>
      <c r="Z305" s="214"/>
      <c r="AA305" s="214"/>
      <c r="AB305" s="214"/>
      <c r="AC305" s="214"/>
    </row>
    <row r="306" spans="1:29" ht="12.75" hidden="1" thickBot="1">
      <c r="A306" s="2" t="s">
        <v>367</v>
      </c>
      <c r="B306" s="1" t="s">
        <v>1280</v>
      </c>
      <c r="C306" s="2" t="s">
        <v>371</v>
      </c>
      <c r="D306" s="463">
        <f t="shared" si="48"/>
        <v>0</v>
      </c>
      <c r="E306" s="463">
        <f t="shared" si="48"/>
        <v>0</v>
      </c>
      <c r="F306" s="463">
        <f t="shared" si="48"/>
        <v>0</v>
      </c>
      <c r="G306" s="463">
        <f t="shared" si="48"/>
        <v>0</v>
      </c>
      <c r="H306" s="463">
        <f t="shared" si="49"/>
        <v>0</v>
      </c>
      <c r="I306" s="463">
        <f t="shared" si="48"/>
        <v>0</v>
      </c>
      <c r="J306" s="463">
        <f t="shared" si="48"/>
        <v>0</v>
      </c>
      <c r="K306" s="463">
        <f t="shared" si="48"/>
        <v>0</v>
      </c>
      <c r="L306" s="463">
        <f t="shared" si="48"/>
        <v>0</v>
      </c>
      <c r="M306" s="463">
        <f t="shared" si="48"/>
        <v>0</v>
      </c>
      <c r="N306" s="463">
        <f t="shared" si="48"/>
        <v>0</v>
      </c>
      <c r="O306" s="463">
        <f t="shared" si="48"/>
        <v>0</v>
      </c>
      <c r="P306" s="463">
        <f t="shared" si="48"/>
        <v>0</v>
      </c>
      <c r="Q306" s="463">
        <f t="shared" si="48"/>
        <v>0</v>
      </c>
      <c r="R306" s="463">
        <f t="shared" si="48"/>
        <v>0</v>
      </c>
      <c r="S306" s="464"/>
    </row>
    <row r="307" spans="1:29" ht="12.75" hidden="1" thickBot="1">
      <c r="A307" s="2" t="s">
        <v>367</v>
      </c>
      <c r="B307" s="1" t="s">
        <v>1280</v>
      </c>
      <c r="C307" s="2" t="s">
        <v>372</v>
      </c>
      <c r="D307" s="463">
        <f t="shared" si="48"/>
        <v>0</v>
      </c>
      <c r="E307" s="463">
        <f t="shared" si="48"/>
        <v>0</v>
      </c>
      <c r="F307" s="463">
        <f t="shared" si="48"/>
        <v>0</v>
      </c>
      <c r="G307" s="463">
        <f t="shared" si="48"/>
        <v>0</v>
      </c>
      <c r="H307" s="463">
        <f t="shared" si="49"/>
        <v>0</v>
      </c>
      <c r="I307" s="463">
        <f t="shared" si="48"/>
        <v>0</v>
      </c>
      <c r="J307" s="463">
        <f t="shared" si="48"/>
        <v>0</v>
      </c>
      <c r="K307" s="463">
        <f t="shared" si="48"/>
        <v>0</v>
      </c>
      <c r="L307" s="463">
        <f t="shared" si="48"/>
        <v>0</v>
      </c>
      <c r="M307" s="463">
        <f t="shared" si="48"/>
        <v>0</v>
      </c>
      <c r="N307" s="463">
        <f t="shared" si="48"/>
        <v>0</v>
      </c>
      <c r="O307" s="463">
        <f t="shared" si="48"/>
        <v>0</v>
      </c>
      <c r="P307" s="463">
        <f t="shared" si="48"/>
        <v>0</v>
      </c>
      <c r="Q307" s="463">
        <f t="shared" si="48"/>
        <v>0</v>
      </c>
      <c r="R307" s="463">
        <f t="shared" si="48"/>
        <v>0</v>
      </c>
      <c r="S307" s="464"/>
    </row>
    <row r="308" spans="1:29" ht="12.75" hidden="1" thickBot="1">
      <c r="A308" s="2" t="s">
        <v>367</v>
      </c>
      <c r="B308" s="1" t="s">
        <v>1280</v>
      </c>
      <c r="C308" s="2" t="s">
        <v>374</v>
      </c>
      <c r="D308" s="463">
        <f t="shared" si="48"/>
        <v>0</v>
      </c>
      <c r="E308" s="463">
        <f t="shared" si="48"/>
        <v>0</v>
      </c>
      <c r="F308" s="463">
        <f t="shared" si="48"/>
        <v>0</v>
      </c>
      <c r="G308" s="463">
        <f t="shared" si="48"/>
        <v>0</v>
      </c>
      <c r="H308" s="463">
        <f t="shared" si="49"/>
        <v>0</v>
      </c>
      <c r="I308" s="463">
        <f t="shared" si="48"/>
        <v>0</v>
      </c>
      <c r="J308" s="463">
        <f t="shared" si="48"/>
        <v>0</v>
      </c>
      <c r="K308" s="463">
        <f t="shared" si="48"/>
        <v>0</v>
      </c>
      <c r="L308" s="463">
        <f t="shared" si="48"/>
        <v>0</v>
      </c>
      <c r="M308" s="463">
        <f t="shared" si="48"/>
        <v>0</v>
      </c>
      <c r="N308" s="463">
        <f t="shared" si="48"/>
        <v>0</v>
      </c>
      <c r="O308" s="463">
        <f t="shared" si="48"/>
        <v>0</v>
      </c>
      <c r="P308" s="463">
        <f t="shared" si="48"/>
        <v>0</v>
      </c>
      <c r="Q308" s="463">
        <f t="shared" si="48"/>
        <v>0</v>
      </c>
      <c r="R308" s="463">
        <f t="shared" si="48"/>
        <v>0</v>
      </c>
      <c r="S308" s="464"/>
    </row>
    <row r="309" spans="1:29" ht="12.75" hidden="1" thickBot="1">
      <c r="A309" s="2" t="s">
        <v>367</v>
      </c>
      <c r="B309" s="1" t="s">
        <v>1280</v>
      </c>
      <c r="C309" s="2" t="s">
        <v>375</v>
      </c>
      <c r="D309" s="463">
        <f t="shared" si="48"/>
        <v>2579</v>
      </c>
      <c r="E309" s="463">
        <f t="shared" si="48"/>
        <v>0</v>
      </c>
      <c r="F309" s="463">
        <f t="shared" si="48"/>
        <v>0</v>
      </c>
      <c r="G309" s="463">
        <f t="shared" si="48"/>
        <v>0</v>
      </c>
      <c r="H309" s="463">
        <f t="shared" si="49"/>
        <v>137270484</v>
      </c>
      <c r="I309" s="463">
        <f t="shared" si="48"/>
        <v>0</v>
      </c>
      <c r="J309" s="463">
        <f t="shared" si="48"/>
        <v>0</v>
      </c>
      <c r="K309" s="463">
        <f t="shared" si="48"/>
        <v>0</v>
      </c>
      <c r="L309" s="463">
        <f t="shared" si="48"/>
        <v>0</v>
      </c>
      <c r="M309" s="463">
        <f t="shared" si="48"/>
        <v>0</v>
      </c>
      <c r="N309" s="463">
        <f t="shared" si="48"/>
        <v>0</v>
      </c>
      <c r="O309" s="463">
        <f t="shared" si="48"/>
        <v>0</v>
      </c>
      <c r="P309" s="463">
        <f t="shared" ref="P309" si="50">R309</f>
        <v>350228</v>
      </c>
      <c r="Q309" s="463">
        <f t="shared" si="48"/>
        <v>0</v>
      </c>
      <c r="R309" s="463">
        <f t="shared" si="48"/>
        <v>350228</v>
      </c>
      <c r="S309" s="465"/>
    </row>
    <row r="310" spans="1:29" ht="12.75" hidden="1" thickBot="1">
      <c r="A310" s="2" t="s">
        <v>367</v>
      </c>
      <c r="B310" s="1" t="s">
        <v>1280</v>
      </c>
      <c r="C310" s="2" t="s">
        <v>376</v>
      </c>
      <c r="D310" s="463">
        <f t="shared" si="48"/>
        <v>52</v>
      </c>
      <c r="E310" s="463">
        <f t="shared" si="48"/>
        <v>0</v>
      </c>
      <c r="F310" s="463">
        <f t="shared" si="48"/>
        <v>0</v>
      </c>
      <c r="G310" s="463">
        <f t="shared" si="48"/>
        <v>0</v>
      </c>
      <c r="H310" s="463">
        <f t="shared" si="49"/>
        <v>12153894</v>
      </c>
      <c r="I310" s="463">
        <f t="shared" si="48"/>
        <v>0</v>
      </c>
      <c r="J310" s="463">
        <f t="shared" si="48"/>
        <v>0</v>
      </c>
      <c r="K310" s="463">
        <f t="shared" si="48"/>
        <v>0</v>
      </c>
      <c r="L310" s="463">
        <f t="shared" si="48"/>
        <v>0</v>
      </c>
      <c r="M310" s="463">
        <f t="shared" si="48"/>
        <v>0</v>
      </c>
      <c r="N310" s="463">
        <f t="shared" si="48"/>
        <v>0</v>
      </c>
      <c r="O310" s="463">
        <f t="shared" si="48"/>
        <v>0</v>
      </c>
      <c r="P310" s="463">
        <f t="shared" ref="P310" si="51">R310</f>
        <v>30305</v>
      </c>
      <c r="Q310" s="463">
        <f t="shared" si="48"/>
        <v>0</v>
      </c>
      <c r="R310" s="463">
        <f t="shared" si="48"/>
        <v>30305</v>
      </c>
      <c r="S310" s="465"/>
    </row>
    <row r="311" spans="1:29" ht="12.75" hidden="1" thickBot="1">
      <c r="A311" s="2" t="s">
        <v>367</v>
      </c>
      <c r="B311" s="1" t="s">
        <v>1280</v>
      </c>
      <c r="C311" s="2" t="s">
        <v>377</v>
      </c>
      <c r="D311" s="463">
        <f t="shared" si="48"/>
        <v>0</v>
      </c>
      <c r="E311" s="463">
        <f t="shared" si="48"/>
        <v>0</v>
      </c>
      <c r="F311" s="463">
        <f t="shared" si="48"/>
        <v>0</v>
      </c>
      <c r="G311" s="463">
        <f t="shared" si="48"/>
        <v>0</v>
      </c>
      <c r="H311" s="463">
        <f t="shared" si="49"/>
        <v>0</v>
      </c>
      <c r="I311" s="463">
        <f t="shared" si="48"/>
        <v>0</v>
      </c>
      <c r="J311" s="463">
        <f t="shared" si="48"/>
        <v>0</v>
      </c>
      <c r="K311" s="463">
        <f t="shared" si="48"/>
        <v>0</v>
      </c>
      <c r="L311" s="463">
        <f t="shared" si="48"/>
        <v>0</v>
      </c>
      <c r="M311" s="463">
        <f t="shared" si="48"/>
        <v>0</v>
      </c>
      <c r="N311" s="463">
        <f t="shared" si="48"/>
        <v>0</v>
      </c>
      <c r="O311" s="463">
        <f t="shared" si="48"/>
        <v>0</v>
      </c>
      <c r="P311" s="463">
        <f t="shared" si="48"/>
        <v>0</v>
      </c>
      <c r="Q311" s="463">
        <f t="shared" si="48"/>
        <v>0</v>
      </c>
      <c r="R311" s="463">
        <f t="shared" si="48"/>
        <v>0</v>
      </c>
      <c r="S311" s="465"/>
    </row>
    <row r="312" spans="1:29" ht="12.75" hidden="1" thickBot="1">
      <c r="A312" s="2" t="s">
        <v>367</v>
      </c>
      <c r="B312" s="1" t="s">
        <v>1280</v>
      </c>
      <c r="C312" s="2" t="s">
        <v>378</v>
      </c>
      <c r="D312" s="463">
        <f t="shared" si="48"/>
        <v>219</v>
      </c>
      <c r="E312" s="463">
        <f t="shared" si="48"/>
        <v>0</v>
      </c>
      <c r="F312" s="463">
        <f t="shared" si="48"/>
        <v>0</v>
      </c>
      <c r="G312" s="463">
        <f t="shared" si="48"/>
        <v>0</v>
      </c>
      <c r="H312" s="463">
        <f t="shared" si="49"/>
        <v>63676678</v>
      </c>
      <c r="I312" s="463">
        <f t="shared" si="48"/>
        <v>0</v>
      </c>
      <c r="J312" s="463">
        <f t="shared" si="48"/>
        <v>0</v>
      </c>
      <c r="K312" s="463">
        <f t="shared" si="48"/>
        <v>0</v>
      </c>
      <c r="L312" s="463">
        <f t="shared" si="48"/>
        <v>0</v>
      </c>
      <c r="M312" s="463">
        <f t="shared" si="48"/>
        <v>0</v>
      </c>
      <c r="N312" s="463">
        <f t="shared" si="48"/>
        <v>0</v>
      </c>
      <c r="O312" s="463">
        <f t="shared" si="48"/>
        <v>143906</v>
      </c>
      <c r="P312" s="463">
        <f t="shared" si="48"/>
        <v>139178</v>
      </c>
      <c r="Q312" s="463">
        <f t="shared" si="48"/>
        <v>137189</v>
      </c>
      <c r="R312" s="463">
        <f t="shared" si="48"/>
        <v>0</v>
      </c>
      <c r="S312" s="465"/>
    </row>
    <row r="313" spans="1:29" ht="12.75" hidden="1" thickBot="1">
      <c r="A313" s="2" t="s">
        <v>367</v>
      </c>
      <c r="B313" s="1" t="s">
        <v>1280</v>
      </c>
      <c r="C313" s="2" t="s">
        <v>379</v>
      </c>
      <c r="D313" s="463">
        <f t="shared" si="48"/>
        <v>39</v>
      </c>
      <c r="E313" s="463">
        <f t="shared" si="48"/>
        <v>0</v>
      </c>
      <c r="F313" s="463">
        <f t="shared" si="48"/>
        <v>0</v>
      </c>
      <c r="G313" s="463">
        <f t="shared" si="48"/>
        <v>0</v>
      </c>
      <c r="H313" s="463">
        <f t="shared" si="49"/>
        <v>30304753</v>
      </c>
      <c r="I313" s="463">
        <f t="shared" si="48"/>
        <v>0</v>
      </c>
      <c r="J313" s="463">
        <f t="shared" si="48"/>
        <v>0</v>
      </c>
      <c r="K313" s="463">
        <f t="shared" si="48"/>
        <v>0</v>
      </c>
      <c r="L313" s="463">
        <f t="shared" si="48"/>
        <v>0</v>
      </c>
      <c r="M313" s="463">
        <f t="shared" si="48"/>
        <v>0</v>
      </c>
      <c r="N313" s="463">
        <f t="shared" si="48"/>
        <v>0</v>
      </c>
      <c r="O313" s="463">
        <f t="shared" si="48"/>
        <v>74509</v>
      </c>
      <c r="P313" s="463">
        <f t="shared" si="48"/>
        <v>71650</v>
      </c>
      <c r="Q313" s="463">
        <f t="shared" si="48"/>
        <v>70634</v>
      </c>
      <c r="R313" s="463">
        <f t="shared" si="48"/>
        <v>0</v>
      </c>
      <c r="S313" s="464"/>
    </row>
    <row r="314" spans="1:29" ht="12.75" hidden="1" thickBot="1">
      <c r="A314" s="2" t="s">
        <v>367</v>
      </c>
      <c r="B314" s="1" t="s">
        <v>1280</v>
      </c>
      <c r="C314" s="2" t="s">
        <v>381</v>
      </c>
      <c r="D314" s="463">
        <f t="shared" si="48"/>
        <v>16367</v>
      </c>
      <c r="E314" s="463">
        <f t="shared" si="48"/>
        <v>0</v>
      </c>
      <c r="F314" s="463">
        <f t="shared" si="48"/>
        <v>0</v>
      </c>
      <c r="G314" s="463">
        <f t="shared" si="48"/>
        <v>0</v>
      </c>
      <c r="H314" s="463">
        <f t="shared" si="49"/>
        <v>75985713</v>
      </c>
      <c r="I314" s="463">
        <f t="shared" si="48"/>
        <v>0</v>
      </c>
      <c r="J314" s="463">
        <f t="shared" si="48"/>
        <v>0</v>
      </c>
      <c r="K314" s="463">
        <f t="shared" si="48"/>
        <v>0</v>
      </c>
      <c r="L314" s="463">
        <f t="shared" si="48"/>
        <v>0</v>
      </c>
      <c r="M314" s="463">
        <f t="shared" si="48"/>
        <v>0</v>
      </c>
      <c r="N314" s="463">
        <f t="shared" si="48"/>
        <v>0</v>
      </c>
      <c r="O314" s="463">
        <f>R314</f>
        <v>215612</v>
      </c>
      <c r="P314" s="463">
        <f t="shared" si="48"/>
        <v>0</v>
      </c>
      <c r="Q314" s="463">
        <f t="shared" si="48"/>
        <v>0</v>
      </c>
      <c r="R314" s="463">
        <f t="shared" si="48"/>
        <v>215612</v>
      </c>
      <c r="S314" s="464"/>
    </row>
    <row r="315" spans="1:29" ht="12.75" hidden="1" thickBot="1">
      <c r="A315" s="2" t="s">
        <v>367</v>
      </c>
      <c r="B315" s="1" t="s">
        <v>1280</v>
      </c>
      <c r="C315" s="2" t="s">
        <v>382</v>
      </c>
      <c r="D315" s="463">
        <f t="shared" si="48"/>
        <v>0</v>
      </c>
      <c r="E315" s="463">
        <f t="shared" si="48"/>
        <v>0</v>
      </c>
      <c r="F315" s="463">
        <f t="shared" si="48"/>
        <v>0</v>
      </c>
      <c r="G315" s="463">
        <f t="shared" si="48"/>
        <v>0</v>
      </c>
      <c r="H315" s="463">
        <f t="shared" si="49"/>
        <v>0</v>
      </c>
      <c r="I315" s="463">
        <f t="shared" si="48"/>
        <v>0</v>
      </c>
      <c r="J315" s="463">
        <f t="shared" si="48"/>
        <v>0</v>
      </c>
      <c r="K315" s="463">
        <f t="shared" si="48"/>
        <v>0</v>
      </c>
      <c r="L315" s="463">
        <f t="shared" si="48"/>
        <v>0</v>
      </c>
      <c r="M315" s="463">
        <f t="shared" si="48"/>
        <v>0</v>
      </c>
      <c r="N315" s="463">
        <f t="shared" si="48"/>
        <v>0</v>
      </c>
      <c r="O315" s="463">
        <f t="shared" si="48"/>
        <v>0</v>
      </c>
      <c r="P315" s="463">
        <f t="shared" si="48"/>
        <v>0</v>
      </c>
      <c r="Q315" s="463">
        <f t="shared" si="48"/>
        <v>0</v>
      </c>
      <c r="R315" s="463">
        <f t="shared" si="48"/>
        <v>0</v>
      </c>
      <c r="S315" s="464"/>
    </row>
    <row r="316" spans="1:29" ht="12.75" hidden="1" thickBot="1">
      <c r="A316" s="2" t="s">
        <v>367</v>
      </c>
      <c r="B316" s="1" t="s">
        <v>1280</v>
      </c>
      <c r="C316" s="2" t="s">
        <v>384</v>
      </c>
      <c r="D316" s="463">
        <f t="shared" si="48"/>
        <v>0</v>
      </c>
      <c r="E316" s="463">
        <f t="shared" si="48"/>
        <v>0</v>
      </c>
      <c r="F316" s="463">
        <f t="shared" si="48"/>
        <v>0</v>
      </c>
      <c r="G316" s="463">
        <f t="shared" si="48"/>
        <v>0</v>
      </c>
      <c r="H316" s="463">
        <f t="shared" si="49"/>
        <v>0</v>
      </c>
      <c r="I316" s="463">
        <f t="shared" si="48"/>
        <v>0</v>
      </c>
      <c r="J316" s="463">
        <f t="shared" si="48"/>
        <v>0</v>
      </c>
      <c r="K316" s="463">
        <f t="shared" si="48"/>
        <v>0</v>
      </c>
      <c r="L316" s="463">
        <f t="shared" si="48"/>
        <v>0</v>
      </c>
      <c r="M316" s="463">
        <f t="shared" si="48"/>
        <v>0</v>
      </c>
      <c r="N316" s="463">
        <f t="shared" si="48"/>
        <v>0</v>
      </c>
      <c r="O316" s="463">
        <f t="shared" si="48"/>
        <v>0</v>
      </c>
      <c r="P316" s="463">
        <f t="shared" si="48"/>
        <v>0</v>
      </c>
      <c r="Q316" s="463">
        <f t="shared" si="48"/>
        <v>0</v>
      </c>
      <c r="R316" s="463">
        <f t="shared" si="48"/>
        <v>0</v>
      </c>
      <c r="S316" s="464"/>
    </row>
    <row r="317" spans="1:29" ht="12.75" hidden="1" thickBot="1">
      <c r="A317" s="2" t="s">
        <v>367</v>
      </c>
      <c r="B317" s="1" t="s">
        <v>1280</v>
      </c>
      <c r="C317" s="2" t="s">
        <v>385</v>
      </c>
      <c r="D317" s="463">
        <f t="shared" si="48"/>
        <v>2</v>
      </c>
      <c r="E317" s="463">
        <f t="shared" si="48"/>
        <v>0</v>
      </c>
      <c r="F317" s="463">
        <f t="shared" si="48"/>
        <v>0</v>
      </c>
      <c r="G317" s="463">
        <f t="shared" si="48"/>
        <v>0</v>
      </c>
      <c r="H317" s="463">
        <f t="shared" si="49"/>
        <v>4450800</v>
      </c>
      <c r="I317" s="463">
        <f t="shared" si="48"/>
        <v>0</v>
      </c>
      <c r="J317" s="463">
        <f t="shared" si="48"/>
        <v>0</v>
      </c>
      <c r="K317" s="463">
        <f t="shared" si="48"/>
        <v>0</v>
      </c>
      <c r="L317" s="463">
        <f t="shared" si="48"/>
        <v>0</v>
      </c>
      <c r="M317" s="463">
        <f t="shared" si="48"/>
        <v>0</v>
      </c>
      <c r="N317" s="463">
        <f t="shared" si="48"/>
        <v>0</v>
      </c>
      <c r="O317" s="463">
        <f t="shared" si="48"/>
        <v>0</v>
      </c>
      <c r="P317" s="463">
        <f>R317</f>
        <v>9450</v>
      </c>
      <c r="Q317" s="463">
        <f t="shared" si="48"/>
        <v>0</v>
      </c>
      <c r="R317" s="463">
        <f t="shared" si="48"/>
        <v>9450</v>
      </c>
      <c r="S317" s="464"/>
    </row>
    <row r="318" spans="1:29" ht="12.75" hidden="1" thickBot="1">
      <c r="A318" s="2" t="s">
        <v>367</v>
      </c>
      <c r="B318" s="1" t="s">
        <v>1280</v>
      </c>
      <c r="C318" s="2" t="s">
        <v>1223</v>
      </c>
      <c r="D318" s="463">
        <f t="shared" si="48"/>
        <v>0</v>
      </c>
      <c r="E318" s="463">
        <f t="shared" si="48"/>
        <v>0</v>
      </c>
      <c r="F318" s="463">
        <f t="shared" si="48"/>
        <v>0</v>
      </c>
      <c r="G318" s="463">
        <f t="shared" si="48"/>
        <v>0</v>
      </c>
      <c r="H318" s="463">
        <f t="shared" si="49"/>
        <v>0</v>
      </c>
      <c r="I318" s="463">
        <f t="shared" si="48"/>
        <v>0</v>
      </c>
      <c r="J318" s="463">
        <f t="shared" si="48"/>
        <v>0</v>
      </c>
      <c r="K318" s="463">
        <f t="shared" si="48"/>
        <v>0</v>
      </c>
      <c r="L318" s="463">
        <f t="shared" si="48"/>
        <v>0</v>
      </c>
      <c r="M318" s="463">
        <f t="shared" si="48"/>
        <v>0</v>
      </c>
      <c r="N318" s="463">
        <f t="shared" si="48"/>
        <v>0</v>
      </c>
      <c r="O318" s="463">
        <f t="shared" si="48"/>
        <v>0</v>
      </c>
      <c r="P318" s="463">
        <f t="shared" si="48"/>
        <v>0</v>
      </c>
      <c r="Q318" s="463">
        <f t="shared" si="48"/>
        <v>0</v>
      </c>
      <c r="R318" s="463">
        <f t="shared" si="48"/>
        <v>0</v>
      </c>
      <c r="S318" s="464"/>
    </row>
    <row r="319" spans="1:29" ht="12.75" hidden="1" thickBot="1">
      <c r="A319" s="2" t="s">
        <v>367</v>
      </c>
      <c r="B319" s="1" t="s">
        <v>1280</v>
      </c>
      <c r="C319" s="2" t="s">
        <v>386</v>
      </c>
      <c r="D319" s="463">
        <f t="shared" si="48"/>
        <v>0</v>
      </c>
      <c r="E319" s="463">
        <f t="shared" si="48"/>
        <v>0</v>
      </c>
      <c r="F319" s="463">
        <f t="shared" si="48"/>
        <v>0</v>
      </c>
      <c r="G319" s="463">
        <f t="shared" si="48"/>
        <v>0</v>
      </c>
      <c r="H319" s="463">
        <f t="shared" si="49"/>
        <v>0</v>
      </c>
      <c r="I319" s="463">
        <f t="shared" si="48"/>
        <v>0</v>
      </c>
      <c r="J319" s="463">
        <f t="shared" si="48"/>
        <v>0</v>
      </c>
      <c r="K319" s="463">
        <f t="shared" si="48"/>
        <v>0</v>
      </c>
      <c r="L319" s="463">
        <f t="shared" si="48"/>
        <v>0</v>
      </c>
      <c r="M319" s="463">
        <f t="shared" si="48"/>
        <v>0</v>
      </c>
      <c r="N319" s="463">
        <f t="shared" si="48"/>
        <v>0</v>
      </c>
      <c r="O319" s="463">
        <f t="shared" si="48"/>
        <v>0</v>
      </c>
      <c r="P319" s="463">
        <f t="shared" si="48"/>
        <v>0</v>
      </c>
      <c r="Q319" s="463">
        <f t="shared" si="48"/>
        <v>0</v>
      </c>
      <c r="R319" s="463">
        <f t="shared" si="48"/>
        <v>0</v>
      </c>
      <c r="S319" s="464"/>
    </row>
    <row r="320" spans="1:29" ht="12.75" hidden="1" thickBot="1">
      <c r="A320" s="2" t="s">
        <v>367</v>
      </c>
      <c r="B320" s="1" t="s">
        <v>1280</v>
      </c>
      <c r="C320" s="2" t="s">
        <v>387</v>
      </c>
      <c r="D320" s="463">
        <f t="shared" si="48"/>
        <v>1</v>
      </c>
      <c r="E320" s="463">
        <f t="shared" si="48"/>
        <v>0</v>
      </c>
      <c r="F320" s="463">
        <f t="shared" si="48"/>
        <v>0</v>
      </c>
      <c r="G320" s="463">
        <f t="shared" si="48"/>
        <v>0</v>
      </c>
      <c r="H320" s="463">
        <f t="shared" si="49"/>
        <v>7093200</v>
      </c>
      <c r="I320" s="463">
        <f t="shared" si="48"/>
        <v>0</v>
      </c>
      <c r="J320" s="463">
        <f t="shared" si="48"/>
        <v>0</v>
      </c>
      <c r="K320" s="463">
        <f t="shared" si="48"/>
        <v>0</v>
      </c>
      <c r="L320" s="463">
        <f t="shared" si="48"/>
        <v>0</v>
      </c>
      <c r="M320" s="463">
        <f t="shared" si="48"/>
        <v>0</v>
      </c>
      <c r="N320" s="463">
        <f t="shared" si="48"/>
        <v>0</v>
      </c>
      <c r="O320" s="463">
        <f t="shared" si="48"/>
        <v>0</v>
      </c>
      <c r="P320" s="463">
        <f>R320</f>
        <v>8332</v>
      </c>
      <c r="Q320" s="463">
        <f t="shared" si="48"/>
        <v>0</v>
      </c>
      <c r="R320" s="463">
        <f t="shared" si="48"/>
        <v>8332</v>
      </c>
      <c r="S320" s="465"/>
    </row>
    <row r="321" spans="1:19" ht="12.75" hidden="1" thickBot="1">
      <c r="A321" s="2" t="s">
        <v>367</v>
      </c>
      <c r="B321" s="1" t="s">
        <v>1280</v>
      </c>
      <c r="C321" s="2" t="s">
        <v>388</v>
      </c>
      <c r="D321" s="463">
        <f t="shared" ref="D321:R336" si="52">ROUND(SUMIFS(D$409:D$780,$B$409:$B$780,$B321,$C$409:$C$780,$C321),0)</f>
        <v>12</v>
      </c>
      <c r="E321" s="463">
        <f t="shared" si="52"/>
        <v>0</v>
      </c>
      <c r="F321" s="463">
        <f t="shared" si="52"/>
        <v>0</v>
      </c>
      <c r="G321" s="463">
        <f t="shared" si="52"/>
        <v>0</v>
      </c>
      <c r="H321" s="463">
        <f t="shared" si="49"/>
        <v>68882846</v>
      </c>
      <c r="I321" s="463">
        <f t="shared" si="52"/>
        <v>0</v>
      </c>
      <c r="J321" s="463">
        <f t="shared" si="52"/>
        <v>0</v>
      </c>
      <c r="K321" s="463">
        <f t="shared" si="52"/>
        <v>0</v>
      </c>
      <c r="L321" s="463">
        <f t="shared" si="52"/>
        <v>0</v>
      </c>
      <c r="M321" s="463">
        <f t="shared" si="52"/>
        <v>0</v>
      </c>
      <c r="N321" s="463">
        <f t="shared" si="52"/>
        <v>0</v>
      </c>
      <c r="O321" s="463">
        <f t="shared" si="52"/>
        <v>163502</v>
      </c>
      <c r="P321" s="463">
        <f t="shared" si="52"/>
        <v>157323</v>
      </c>
      <c r="Q321" s="463">
        <f t="shared" si="52"/>
        <v>93632</v>
      </c>
      <c r="R321" s="463">
        <f t="shared" si="52"/>
        <v>0</v>
      </c>
      <c r="S321" s="464"/>
    </row>
    <row r="322" spans="1:19" ht="12.75" hidden="1" thickBot="1">
      <c r="A322" s="2" t="s">
        <v>367</v>
      </c>
      <c r="B322" s="1" t="s">
        <v>1280</v>
      </c>
      <c r="C322" s="2" t="s">
        <v>389</v>
      </c>
      <c r="D322" s="463">
        <f t="shared" si="52"/>
        <v>215</v>
      </c>
      <c r="E322" s="463">
        <f t="shared" si="52"/>
        <v>0</v>
      </c>
      <c r="F322" s="463">
        <f t="shared" si="52"/>
        <v>0</v>
      </c>
      <c r="G322" s="463">
        <f t="shared" si="52"/>
        <v>0</v>
      </c>
      <c r="H322" s="463">
        <f t="shared" si="49"/>
        <v>19399423</v>
      </c>
      <c r="I322" s="463">
        <f t="shared" si="52"/>
        <v>0</v>
      </c>
      <c r="J322" s="463">
        <f t="shared" si="52"/>
        <v>0</v>
      </c>
      <c r="K322" s="463">
        <f t="shared" si="52"/>
        <v>0</v>
      </c>
      <c r="L322" s="463">
        <f t="shared" si="52"/>
        <v>0</v>
      </c>
      <c r="M322" s="463">
        <f t="shared" si="52"/>
        <v>0</v>
      </c>
      <c r="N322" s="463">
        <f t="shared" si="52"/>
        <v>0</v>
      </c>
      <c r="O322" s="463">
        <f t="shared" si="52"/>
        <v>0</v>
      </c>
      <c r="P322" s="463">
        <f t="shared" ref="P322" si="53">R322</f>
        <v>62733</v>
      </c>
      <c r="Q322" s="463">
        <f t="shared" si="52"/>
        <v>0</v>
      </c>
      <c r="R322" s="463">
        <f t="shared" si="52"/>
        <v>62733</v>
      </c>
      <c r="S322" s="465"/>
    </row>
    <row r="323" spans="1:19" ht="12.75" hidden="1" thickBot="1">
      <c r="A323" s="2" t="s">
        <v>367</v>
      </c>
      <c r="B323" s="1" t="s">
        <v>1280</v>
      </c>
      <c r="C323" s="2" t="s">
        <v>390</v>
      </c>
      <c r="D323" s="463">
        <f t="shared" si="52"/>
        <v>21</v>
      </c>
      <c r="E323" s="463">
        <f t="shared" si="52"/>
        <v>0</v>
      </c>
      <c r="F323" s="463">
        <f t="shared" si="52"/>
        <v>0</v>
      </c>
      <c r="G323" s="463">
        <f t="shared" si="52"/>
        <v>0</v>
      </c>
      <c r="H323" s="463">
        <f t="shared" si="49"/>
        <v>1042841</v>
      </c>
      <c r="I323" s="463">
        <f t="shared" si="52"/>
        <v>0</v>
      </c>
      <c r="J323" s="463">
        <f t="shared" si="52"/>
        <v>0</v>
      </c>
      <c r="K323" s="463">
        <f t="shared" si="52"/>
        <v>0</v>
      </c>
      <c r="L323" s="463">
        <f t="shared" si="52"/>
        <v>0</v>
      </c>
      <c r="M323" s="463">
        <f t="shared" si="52"/>
        <v>0</v>
      </c>
      <c r="N323" s="463">
        <f t="shared" si="52"/>
        <v>0</v>
      </c>
      <c r="O323" s="463">
        <f t="shared" si="52"/>
        <v>0</v>
      </c>
      <c r="P323" s="463">
        <f t="shared" ref="P323" si="54">R323</f>
        <v>3889</v>
      </c>
      <c r="Q323" s="463">
        <f t="shared" si="52"/>
        <v>0</v>
      </c>
      <c r="R323" s="463">
        <f t="shared" si="52"/>
        <v>3889</v>
      </c>
      <c r="S323" s="465"/>
    </row>
    <row r="324" spans="1:19" ht="12.75" hidden="1" thickBot="1">
      <c r="A324" s="2" t="s">
        <v>367</v>
      </c>
      <c r="B324" s="1" t="s">
        <v>1280</v>
      </c>
      <c r="C324" s="2" t="s">
        <v>391</v>
      </c>
      <c r="D324" s="463">
        <f t="shared" si="52"/>
        <v>96</v>
      </c>
      <c r="E324" s="463">
        <f t="shared" si="52"/>
        <v>0</v>
      </c>
      <c r="F324" s="463">
        <f t="shared" si="52"/>
        <v>0</v>
      </c>
      <c r="G324" s="463">
        <f t="shared" si="52"/>
        <v>0</v>
      </c>
      <c r="H324" s="463">
        <f t="shared" si="49"/>
        <v>20321484</v>
      </c>
      <c r="I324" s="463">
        <f t="shared" si="52"/>
        <v>0</v>
      </c>
      <c r="J324" s="463">
        <f t="shared" si="52"/>
        <v>0</v>
      </c>
      <c r="K324" s="463">
        <f t="shared" si="52"/>
        <v>0</v>
      </c>
      <c r="L324" s="463">
        <f t="shared" si="52"/>
        <v>0</v>
      </c>
      <c r="M324" s="463">
        <f t="shared" si="52"/>
        <v>0</v>
      </c>
      <c r="N324" s="463">
        <f t="shared" si="52"/>
        <v>0</v>
      </c>
      <c r="O324" s="463">
        <f t="shared" si="52"/>
        <v>52059</v>
      </c>
      <c r="P324" s="463">
        <f t="shared" si="52"/>
        <v>47898</v>
      </c>
      <c r="Q324" s="463">
        <f t="shared" si="52"/>
        <v>46862</v>
      </c>
      <c r="R324" s="463">
        <f t="shared" si="52"/>
        <v>0</v>
      </c>
      <c r="S324" s="465"/>
    </row>
    <row r="325" spans="1:19" ht="12.75" hidden="1" thickBot="1">
      <c r="A325" s="2" t="s">
        <v>367</v>
      </c>
      <c r="B325" s="1" t="s">
        <v>1280</v>
      </c>
      <c r="C325" s="2" t="s">
        <v>392</v>
      </c>
      <c r="D325" s="463">
        <f t="shared" si="52"/>
        <v>69</v>
      </c>
      <c r="E325" s="463">
        <f t="shared" si="52"/>
        <v>0</v>
      </c>
      <c r="F325" s="463">
        <f t="shared" si="52"/>
        <v>0</v>
      </c>
      <c r="G325" s="463">
        <f t="shared" si="52"/>
        <v>0</v>
      </c>
      <c r="H325" s="463">
        <f t="shared" si="49"/>
        <v>131501376</v>
      </c>
      <c r="I325" s="463">
        <f t="shared" si="52"/>
        <v>0</v>
      </c>
      <c r="J325" s="463">
        <f t="shared" si="52"/>
        <v>0</v>
      </c>
      <c r="K325" s="463">
        <f t="shared" si="52"/>
        <v>0</v>
      </c>
      <c r="L325" s="463">
        <f t="shared" si="52"/>
        <v>0</v>
      </c>
      <c r="M325" s="463">
        <f t="shared" si="52"/>
        <v>0</v>
      </c>
      <c r="N325" s="463">
        <f t="shared" si="52"/>
        <v>0</v>
      </c>
      <c r="O325" s="463">
        <f t="shared" si="52"/>
        <v>332089</v>
      </c>
      <c r="P325" s="463">
        <f t="shared" si="52"/>
        <v>301491</v>
      </c>
      <c r="Q325" s="463">
        <f t="shared" si="52"/>
        <v>297486</v>
      </c>
      <c r="R325" s="463">
        <f t="shared" si="52"/>
        <v>0</v>
      </c>
      <c r="S325" s="464"/>
    </row>
    <row r="326" spans="1:19" ht="12.75" hidden="1" thickBot="1">
      <c r="A326" s="2" t="s">
        <v>367</v>
      </c>
      <c r="B326" s="1" t="s">
        <v>1280</v>
      </c>
      <c r="C326" s="2" t="s">
        <v>394</v>
      </c>
      <c r="D326" s="463">
        <f t="shared" si="52"/>
        <v>0</v>
      </c>
      <c r="E326" s="463">
        <f t="shared" si="52"/>
        <v>0</v>
      </c>
      <c r="F326" s="463">
        <f t="shared" si="52"/>
        <v>0</v>
      </c>
      <c r="G326" s="463">
        <f t="shared" si="52"/>
        <v>0</v>
      </c>
      <c r="H326" s="463">
        <f t="shared" si="49"/>
        <v>0</v>
      </c>
      <c r="I326" s="463">
        <f t="shared" si="52"/>
        <v>0</v>
      </c>
      <c r="J326" s="463">
        <f t="shared" si="52"/>
        <v>0</v>
      </c>
      <c r="K326" s="463">
        <f t="shared" si="52"/>
        <v>0</v>
      </c>
      <c r="L326" s="463">
        <f t="shared" si="52"/>
        <v>0</v>
      </c>
      <c r="M326" s="463">
        <f t="shared" si="52"/>
        <v>0</v>
      </c>
      <c r="N326" s="463">
        <f t="shared" si="52"/>
        <v>0</v>
      </c>
      <c r="O326" s="463">
        <f t="shared" si="52"/>
        <v>0</v>
      </c>
      <c r="P326" s="463">
        <f t="shared" si="52"/>
        <v>0</v>
      </c>
      <c r="Q326" s="463">
        <f t="shared" si="52"/>
        <v>0</v>
      </c>
      <c r="R326" s="463">
        <f t="shared" si="52"/>
        <v>0</v>
      </c>
      <c r="S326" s="464"/>
    </row>
    <row r="327" spans="1:19" ht="12.75" hidden="1" thickBot="1">
      <c r="A327" s="2" t="s">
        <v>367</v>
      </c>
      <c r="B327" s="1" t="s">
        <v>1280</v>
      </c>
      <c r="C327" s="2" t="s">
        <v>395</v>
      </c>
      <c r="D327" s="463">
        <f t="shared" si="52"/>
        <v>156</v>
      </c>
      <c r="E327" s="463">
        <f t="shared" si="52"/>
        <v>0</v>
      </c>
      <c r="F327" s="463">
        <f t="shared" si="52"/>
        <v>0</v>
      </c>
      <c r="G327" s="463">
        <f t="shared" si="52"/>
        <v>0</v>
      </c>
      <c r="H327" s="463">
        <f t="shared" si="49"/>
        <v>273372</v>
      </c>
      <c r="I327" s="463">
        <f t="shared" si="52"/>
        <v>0</v>
      </c>
      <c r="J327" s="463">
        <f t="shared" si="52"/>
        <v>0</v>
      </c>
      <c r="K327" s="463">
        <f t="shared" si="52"/>
        <v>0</v>
      </c>
      <c r="L327" s="463">
        <f t="shared" si="52"/>
        <v>0</v>
      </c>
      <c r="M327" s="463">
        <f t="shared" si="52"/>
        <v>0</v>
      </c>
      <c r="N327" s="463">
        <f t="shared" si="52"/>
        <v>0</v>
      </c>
      <c r="O327" s="463">
        <f t="shared" si="52"/>
        <v>0</v>
      </c>
      <c r="P327" s="463">
        <f t="shared" si="52"/>
        <v>0</v>
      </c>
      <c r="Q327" s="463">
        <f t="shared" si="52"/>
        <v>0</v>
      </c>
      <c r="R327" s="463">
        <f t="shared" si="52"/>
        <v>0</v>
      </c>
      <c r="S327" s="464"/>
    </row>
    <row r="328" spans="1:19" ht="12.75" hidden="1" thickBot="1">
      <c r="A328" s="2" t="s">
        <v>367</v>
      </c>
      <c r="B328" s="1" t="s">
        <v>1280</v>
      </c>
      <c r="C328" s="2" t="s">
        <v>396</v>
      </c>
      <c r="D328" s="463">
        <f t="shared" si="52"/>
        <v>0</v>
      </c>
      <c r="E328" s="463">
        <f t="shared" si="52"/>
        <v>0</v>
      </c>
      <c r="F328" s="463">
        <f t="shared" si="52"/>
        <v>0</v>
      </c>
      <c r="G328" s="463">
        <f t="shared" si="52"/>
        <v>0</v>
      </c>
      <c r="H328" s="463">
        <f t="shared" si="49"/>
        <v>0</v>
      </c>
      <c r="I328" s="463">
        <f t="shared" si="52"/>
        <v>0</v>
      </c>
      <c r="J328" s="463">
        <f t="shared" si="52"/>
        <v>0</v>
      </c>
      <c r="K328" s="463">
        <f t="shared" si="52"/>
        <v>0</v>
      </c>
      <c r="L328" s="463">
        <f t="shared" si="52"/>
        <v>0</v>
      </c>
      <c r="M328" s="463">
        <f t="shared" si="52"/>
        <v>0</v>
      </c>
      <c r="N328" s="463">
        <f t="shared" si="52"/>
        <v>0</v>
      </c>
      <c r="O328" s="463">
        <f t="shared" si="52"/>
        <v>0</v>
      </c>
      <c r="P328" s="463">
        <f t="shared" si="52"/>
        <v>0</v>
      </c>
      <c r="Q328" s="463">
        <f t="shared" si="52"/>
        <v>0</v>
      </c>
      <c r="R328" s="463">
        <f t="shared" si="52"/>
        <v>0</v>
      </c>
      <c r="S328" s="464"/>
    </row>
    <row r="329" spans="1:19" ht="12.75" hidden="1" thickBot="1">
      <c r="A329" s="2" t="s">
        <v>367</v>
      </c>
      <c r="B329" s="1" t="s">
        <v>1280</v>
      </c>
      <c r="C329" s="2" t="s">
        <v>397</v>
      </c>
      <c r="D329" s="463">
        <f t="shared" si="52"/>
        <v>905</v>
      </c>
      <c r="E329" s="463">
        <f t="shared" si="52"/>
        <v>0</v>
      </c>
      <c r="F329" s="463">
        <f t="shared" si="52"/>
        <v>0</v>
      </c>
      <c r="G329" s="463">
        <f t="shared" si="52"/>
        <v>0</v>
      </c>
      <c r="H329" s="463">
        <f t="shared" si="49"/>
        <v>250217</v>
      </c>
      <c r="I329" s="463">
        <f t="shared" si="52"/>
        <v>0</v>
      </c>
      <c r="J329" s="463">
        <f t="shared" si="52"/>
        <v>0</v>
      </c>
      <c r="K329" s="463">
        <f t="shared" si="52"/>
        <v>0</v>
      </c>
      <c r="L329" s="463">
        <f t="shared" si="52"/>
        <v>0</v>
      </c>
      <c r="M329" s="463">
        <f t="shared" si="52"/>
        <v>0</v>
      </c>
      <c r="N329" s="463">
        <f t="shared" si="52"/>
        <v>0</v>
      </c>
      <c r="O329" s="463">
        <f t="shared" si="52"/>
        <v>0</v>
      </c>
      <c r="P329" s="463">
        <f t="shared" si="52"/>
        <v>0</v>
      </c>
      <c r="Q329" s="463">
        <f t="shared" si="52"/>
        <v>0</v>
      </c>
      <c r="R329" s="463">
        <f t="shared" si="52"/>
        <v>0</v>
      </c>
      <c r="S329" s="464"/>
    </row>
    <row r="330" spans="1:19" ht="12.75" hidden="1" thickBot="1">
      <c r="A330" s="2" t="s">
        <v>367</v>
      </c>
      <c r="B330" s="1" t="s">
        <v>1280</v>
      </c>
      <c r="C330" s="2" t="s">
        <v>398</v>
      </c>
      <c r="D330" s="463">
        <f t="shared" si="52"/>
        <v>0</v>
      </c>
      <c r="E330" s="463">
        <f t="shared" si="52"/>
        <v>0</v>
      </c>
      <c r="F330" s="463">
        <f t="shared" si="52"/>
        <v>0</v>
      </c>
      <c r="G330" s="463">
        <f t="shared" si="52"/>
        <v>0</v>
      </c>
      <c r="H330" s="463">
        <f t="shared" si="49"/>
        <v>0</v>
      </c>
      <c r="I330" s="463">
        <f t="shared" si="52"/>
        <v>0</v>
      </c>
      <c r="J330" s="463">
        <f t="shared" si="52"/>
        <v>0</v>
      </c>
      <c r="K330" s="463">
        <f t="shared" si="52"/>
        <v>0</v>
      </c>
      <c r="L330" s="463">
        <f t="shared" si="52"/>
        <v>0</v>
      </c>
      <c r="M330" s="463">
        <f t="shared" si="52"/>
        <v>0</v>
      </c>
      <c r="N330" s="463">
        <f t="shared" si="52"/>
        <v>0</v>
      </c>
      <c r="O330" s="463">
        <f t="shared" si="52"/>
        <v>0</v>
      </c>
      <c r="P330" s="463">
        <f t="shared" si="52"/>
        <v>0</v>
      </c>
      <c r="Q330" s="463">
        <f t="shared" si="52"/>
        <v>0</v>
      </c>
      <c r="R330" s="463">
        <f t="shared" si="52"/>
        <v>0</v>
      </c>
      <c r="S330" s="464"/>
    </row>
    <row r="331" spans="1:19" ht="12.75" hidden="1" thickBot="1">
      <c r="A331" s="2" t="s">
        <v>367</v>
      </c>
      <c r="B331" s="1" t="s">
        <v>1280</v>
      </c>
      <c r="C331" s="2" t="s">
        <v>399</v>
      </c>
      <c r="D331" s="463">
        <f t="shared" si="52"/>
        <v>0</v>
      </c>
      <c r="E331" s="463">
        <f t="shared" si="52"/>
        <v>0</v>
      </c>
      <c r="F331" s="463">
        <f t="shared" si="52"/>
        <v>0</v>
      </c>
      <c r="G331" s="463">
        <f t="shared" si="52"/>
        <v>0</v>
      </c>
      <c r="H331" s="463">
        <f t="shared" si="49"/>
        <v>0</v>
      </c>
      <c r="I331" s="463">
        <f t="shared" si="52"/>
        <v>0</v>
      </c>
      <c r="J331" s="463">
        <f t="shared" si="52"/>
        <v>0</v>
      </c>
      <c r="K331" s="463">
        <f t="shared" si="52"/>
        <v>0</v>
      </c>
      <c r="L331" s="463">
        <f t="shared" si="52"/>
        <v>0</v>
      </c>
      <c r="M331" s="463">
        <f t="shared" si="52"/>
        <v>0</v>
      </c>
      <c r="N331" s="463">
        <f t="shared" si="52"/>
        <v>0</v>
      </c>
      <c r="O331" s="463">
        <f t="shared" si="52"/>
        <v>0</v>
      </c>
      <c r="P331" s="463">
        <f t="shared" si="52"/>
        <v>0</v>
      </c>
      <c r="Q331" s="463">
        <f t="shared" si="52"/>
        <v>0</v>
      </c>
      <c r="R331" s="463">
        <f t="shared" si="52"/>
        <v>0</v>
      </c>
      <c r="S331" s="464"/>
    </row>
    <row r="332" spans="1:19" ht="12.75" thickBot="1">
      <c r="A332" s="2" t="s">
        <v>367</v>
      </c>
      <c r="B332" s="1" t="s">
        <v>1280</v>
      </c>
      <c r="C332" s="2" t="s">
        <v>400</v>
      </c>
      <c r="D332" s="463">
        <f t="shared" si="52"/>
        <v>360991</v>
      </c>
      <c r="E332" s="463">
        <f t="shared" si="52"/>
        <v>0</v>
      </c>
      <c r="F332" s="463">
        <f t="shared" si="52"/>
        <v>0</v>
      </c>
      <c r="G332" s="463">
        <f t="shared" si="52"/>
        <v>0</v>
      </c>
      <c r="H332" s="463">
        <f t="shared" si="49"/>
        <v>275093953</v>
      </c>
      <c r="I332" s="463">
        <f t="shared" si="52"/>
        <v>0</v>
      </c>
      <c r="J332" s="463">
        <f t="shared" si="52"/>
        <v>0</v>
      </c>
      <c r="K332" s="463">
        <f t="shared" si="52"/>
        <v>0</v>
      </c>
      <c r="L332" s="463">
        <f t="shared" si="52"/>
        <v>0</v>
      </c>
      <c r="M332" s="463">
        <f t="shared" si="52"/>
        <v>0</v>
      </c>
      <c r="N332" s="463">
        <f t="shared" si="52"/>
        <v>0</v>
      </c>
      <c r="O332" s="463">
        <f t="shared" si="52"/>
        <v>0</v>
      </c>
      <c r="P332" s="463">
        <f t="shared" si="52"/>
        <v>0</v>
      </c>
      <c r="Q332" s="463">
        <f t="shared" si="52"/>
        <v>0</v>
      </c>
      <c r="R332" s="463">
        <f t="shared" si="52"/>
        <v>0</v>
      </c>
      <c r="S332" s="464"/>
    </row>
    <row r="333" spans="1:19" ht="12.75" hidden="1" thickBot="1">
      <c r="A333" s="2" t="s">
        <v>367</v>
      </c>
      <c r="B333" s="1" t="s">
        <v>1280</v>
      </c>
      <c r="C333" s="2" t="s">
        <v>401</v>
      </c>
      <c r="D333" s="463">
        <f t="shared" si="52"/>
        <v>0</v>
      </c>
      <c r="E333" s="463">
        <f t="shared" si="52"/>
        <v>0</v>
      </c>
      <c r="F333" s="463">
        <f t="shared" si="52"/>
        <v>0</v>
      </c>
      <c r="G333" s="463">
        <f t="shared" si="52"/>
        <v>0</v>
      </c>
      <c r="H333" s="463">
        <f t="shared" si="49"/>
        <v>0</v>
      </c>
      <c r="I333" s="463">
        <f t="shared" si="52"/>
        <v>0</v>
      </c>
      <c r="J333" s="463">
        <f t="shared" si="52"/>
        <v>0</v>
      </c>
      <c r="K333" s="463">
        <f t="shared" si="52"/>
        <v>0</v>
      </c>
      <c r="L333" s="463">
        <f t="shared" si="52"/>
        <v>0</v>
      </c>
      <c r="M333" s="463">
        <f t="shared" si="52"/>
        <v>0</v>
      </c>
      <c r="N333" s="463">
        <f t="shared" si="52"/>
        <v>0</v>
      </c>
      <c r="O333" s="463">
        <f t="shared" si="52"/>
        <v>0</v>
      </c>
      <c r="P333" s="463">
        <f t="shared" si="52"/>
        <v>0</v>
      </c>
      <c r="Q333" s="463">
        <f t="shared" si="52"/>
        <v>0</v>
      </c>
      <c r="R333" s="463">
        <f t="shared" si="52"/>
        <v>0</v>
      </c>
      <c r="S333" s="464"/>
    </row>
    <row r="334" spans="1:19" ht="12.75" hidden="1" thickBot="1">
      <c r="A334" s="2" t="s">
        <v>367</v>
      </c>
      <c r="B334" s="1" t="s">
        <v>1280</v>
      </c>
      <c r="C334" s="2" t="s">
        <v>402</v>
      </c>
      <c r="D334" s="463">
        <f t="shared" si="52"/>
        <v>0</v>
      </c>
      <c r="E334" s="463">
        <f t="shared" si="52"/>
        <v>0</v>
      </c>
      <c r="F334" s="463">
        <f t="shared" si="52"/>
        <v>0</v>
      </c>
      <c r="G334" s="463">
        <f t="shared" si="52"/>
        <v>0</v>
      </c>
      <c r="H334" s="463">
        <f t="shared" si="49"/>
        <v>0</v>
      </c>
      <c r="I334" s="463">
        <f t="shared" si="52"/>
        <v>0</v>
      </c>
      <c r="J334" s="463">
        <f t="shared" si="52"/>
        <v>0</v>
      </c>
      <c r="K334" s="463">
        <f t="shared" si="52"/>
        <v>0</v>
      </c>
      <c r="L334" s="463">
        <f t="shared" si="52"/>
        <v>0</v>
      </c>
      <c r="M334" s="463">
        <f t="shared" si="52"/>
        <v>0</v>
      </c>
      <c r="N334" s="463">
        <f t="shared" si="52"/>
        <v>0</v>
      </c>
      <c r="O334" s="463">
        <f t="shared" si="52"/>
        <v>0</v>
      </c>
      <c r="P334" s="463">
        <f t="shared" si="52"/>
        <v>0</v>
      </c>
      <c r="Q334" s="463">
        <f t="shared" si="52"/>
        <v>0</v>
      </c>
      <c r="R334" s="463">
        <f t="shared" si="52"/>
        <v>0</v>
      </c>
      <c r="S334" s="464"/>
    </row>
    <row r="335" spans="1:19" ht="12.75" hidden="1" thickBot="1">
      <c r="A335" s="2" t="s">
        <v>367</v>
      </c>
      <c r="B335" s="1" t="s">
        <v>1280</v>
      </c>
      <c r="C335" s="2" t="s">
        <v>706</v>
      </c>
      <c r="D335" s="463">
        <f t="shared" si="52"/>
        <v>20</v>
      </c>
      <c r="E335" s="463">
        <f t="shared" si="52"/>
        <v>14140</v>
      </c>
      <c r="F335" s="463">
        <f t="shared" si="52"/>
        <v>7399</v>
      </c>
      <c r="G335" s="463">
        <f t="shared" si="52"/>
        <v>4513</v>
      </c>
      <c r="H335" s="463">
        <f t="shared" si="49"/>
        <v>26052</v>
      </c>
      <c r="I335" s="463">
        <f t="shared" si="52"/>
        <v>0</v>
      </c>
      <c r="J335" s="463">
        <f t="shared" si="52"/>
        <v>0</v>
      </c>
      <c r="K335" s="463">
        <f t="shared" si="52"/>
        <v>0</v>
      </c>
      <c r="L335" s="463">
        <f t="shared" si="52"/>
        <v>0</v>
      </c>
      <c r="M335" s="463">
        <f t="shared" si="52"/>
        <v>0</v>
      </c>
      <c r="N335" s="463">
        <f t="shared" si="52"/>
        <v>0</v>
      </c>
      <c r="O335" s="463">
        <f t="shared" si="52"/>
        <v>0</v>
      </c>
      <c r="P335" s="463">
        <f t="shared" si="52"/>
        <v>0</v>
      </c>
      <c r="Q335" s="463">
        <f t="shared" si="52"/>
        <v>0</v>
      </c>
      <c r="R335" s="463">
        <f t="shared" si="52"/>
        <v>0</v>
      </c>
      <c r="S335" s="464"/>
    </row>
    <row r="336" spans="1:19" ht="12.75" hidden="1" thickBot="1">
      <c r="A336" s="2" t="s">
        <v>367</v>
      </c>
      <c r="B336" s="1" t="s">
        <v>1280</v>
      </c>
      <c r="C336" s="2" t="s">
        <v>1230</v>
      </c>
      <c r="D336" s="463">
        <f t="shared" si="52"/>
        <v>0</v>
      </c>
      <c r="E336" s="463">
        <f t="shared" si="52"/>
        <v>0</v>
      </c>
      <c r="F336" s="463">
        <f t="shared" si="52"/>
        <v>0</v>
      </c>
      <c r="G336" s="463">
        <f t="shared" si="52"/>
        <v>0</v>
      </c>
      <c r="H336" s="463">
        <f t="shared" si="49"/>
        <v>0</v>
      </c>
      <c r="I336" s="463">
        <f t="shared" si="52"/>
        <v>0</v>
      </c>
      <c r="J336" s="463">
        <f t="shared" si="52"/>
        <v>0</v>
      </c>
      <c r="K336" s="463">
        <f t="shared" si="52"/>
        <v>0</v>
      </c>
      <c r="L336" s="463">
        <f t="shared" si="52"/>
        <v>0</v>
      </c>
      <c r="M336" s="463">
        <f t="shared" si="52"/>
        <v>0</v>
      </c>
      <c r="N336" s="463">
        <f t="shared" si="52"/>
        <v>0</v>
      </c>
      <c r="O336" s="463">
        <f t="shared" si="52"/>
        <v>0</v>
      </c>
      <c r="P336" s="463">
        <f t="shared" si="52"/>
        <v>0</v>
      </c>
      <c r="Q336" s="463">
        <f t="shared" si="52"/>
        <v>0</v>
      </c>
      <c r="R336" s="463">
        <f t="shared" si="52"/>
        <v>0</v>
      </c>
      <c r="S336" s="464"/>
    </row>
    <row r="337" spans="1:19" ht="12.75" hidden="1" thickBot="1">
      <c r="A337" s="2" t="s">
        <v>367</v>
      </c>
      <c r="B337" s="1" t="s">
        <v>1280</v>
      </c>
      <c r="C337" s="17" t="s">
        <v>7</v>
      </c>
      <c r="D337" s="7"/>
      <c r="E337" s="456"/>
      <c r="F337" s="456"/>
      <c r="G337" s="456"/>
      <c r="H337" s="7"/>
      <c r="I337" s="468"/>
      <c r="J337" s="468"/>
      <c r="K337" s="468"/>
      <c r="L337" s="456"/>
      <c r="M337" s="456"/>
      <c r="N337" s="468"/>
      <c r="O337" s="18"/>
      <c r="P337" s="468"/>
      <c r="Q337" s="468"/>
      <c r="R337" s="468"/>
      <c r="S337" s="466"/>
    </row>
    <row r="338" spans="1:19" ht="12.75" hidden="1" thickBot="1">
      <c r="A338" s="24" t="s">
        <v>367</v>
      </c>
      <c r="B338" s="16" t="s">
        <v>1281</v>
      </c>
      <c r="C338" s="24" t="s">
        <v>368</v>
      </c>
      <c r="D338" s="463">
        <f t="shared" ref="D338:R354" si="55">ROUND(SUMIFS(D$409:D$780,$B$409:$B$780,$B338,$C$409:$C$780,$C338),0)</f>
        <v>0</v>
      </c>
      <c r="E338" s="463">
        <f t="shared" si="55"/>
        <v>0</v>
      </c>
      <c r="F338" s="463">
        <f t="shared" si="55"/>
        <v>0</v>
      </c>
      <c r="G338" s="463">
        <f t="shared" si="55"/>
        <v>0</v>
      </c>
      <c r="H338" s="463">
        <f t="shared" ref="H338:H370" si="56">ROUND(SUMIFS(H$409:H$780,$B$409:$B$780,$B338,$C$409:$C$780,$C338)*1000,0)</f>
        <v>0</v>
      </c>
      <c r="I338" s="463">
        <f t="shared" si="55"/>
        <v>0</v>
      </c>
      <c r="J338" s="463">
        <f t="shared" si="55"/>
        <v>0</v>
      </c>
      <c r="K338" s="463">
        <f t="shared" si="55"/>
        <v>0</v>
      </c>
      <c r="L338" s="463">
        <f t="shared" si="55"/>
        <v>0</v>
      </c>
      <c r="M338" s="463">
        <f t="shared" si="55"/>
        <v>0</v>
      </c>
      <c r="N338" s="463">
        <f t="shared" si="55"/>
        <v>0</v>
      </c>
      <c r="O338" s="463">
        <f t="shared" si="55"/>
        <v>0</v>
      </c>
      <c r="P338" s="463">
        <f t="shared" si="55"/>
        <v>0</v>
      </c>
      <c r="Q338" s="463">
        <f t="shared" si="55"/>
        <v>0</v>
      </c>
      <c r="R338" s="463">
        <f t="shared" si="55"/>
        <v>0</v>
      </c>
      <c r="S338" s="464"/>
    </row>
    <row r="339" spans="1:19" ht="12.75" hidden="1" thickBot="1">
      <c r="A339" s="24" t="s">
        <v>367</v>
      </c>
      <c r="B339" s="16" t="s">
        <v>1281</v>
      </c>
      <c r="C339" s="24" t="s">
        <v>370</v>
      </c>
      <c r="D339" s="463">
        <f t="shared" si="55"/>
        <v>28199</v>
      </c>
      <c r="E339" s="463">
        <f t="shared" si="55"/>
        <v>0</v>
      </c>
      <c r="F339" s="463">
        <f t="shared" si="55"/>
        <v>0</v>
      </c>
      <c r="G339" s="463">
        <f t="shared" si="55"/>
        <v>0</v>
      </c>
      <c r="H339" s="463">
        <f t="shared" si="56"/>
        <v>29115339</v>
      </c>
      <c r="I339" s="463">
        <f t="shared" si="55"/>
        <v>0</v>
      </c>
      <c r="J339" s="463">
        <f t="shared" si="55"/>
        <v>0</v>
      </c>
      <c r="K339" s="463">
        <f t="shared" si="55"/>
        <v>0</v>
      </c>
      <c r="L339" s="463">
        <f t="shared" si="55"/>
        <v>0</v>
      </c>
      <c r="M339" s="463">
        <f t="shared" si="55"/>
        <v>0</v>
      </c>
      <c r="N339" s="463">
        <f t="shared" si="55"/>
        <v>0</v>
      </c>
      <c r="O339" s="463">
        <f t="shared" si="55"/>
        <v>0</v>
      </c>
      <c r="P339" s="463">
        <f t="shared" si="55"/>
        <v>0</v>
      </c>
      <c r="Q339" s="463">
        <f t="shared" si="55"/>
        <v>0</v>
      </c>
      <c r="R339" s="463">
        <f t="shared" si="55"/>
        <v>0</v>
      </c>
      <c r="S339" s="464"/>
    </row>
    <row r="340" spans="1:19" ht="12.75" hidden="1" thickBot="1">
      <c r="A340" s="24" t="s">
        <v>367</v>
      </c>
      <c r="B340" s="16" t="s">
        <v>1281</v>
      </c>
      <c r="C340" s="24" t="s">
        <v>371</v>
      </c>
      <c r="D340" s="463">
        <f t="shared" si="55"/>
        <v>0</v>
      </c>
      <c r="E340" s="463">
        <f t="shared" si="55"/>
        <v>0</v>
      </c>
      <c r="F340" s="463">
        <f t="shared" si="55"/>
        <v>0</v>
      </c>
      <c r="G340" s="463">
        <f t="shared" si="55"/>
        <v>0</v>
      </c>
      <c r="H340" s="463">
        <f t="shared" si="56"/>
        <v>0</v>
      </c>
      <c r="I340" s="463">
        <f t="shared" si="55"/>
        <v>0</v>
      </c>
      <c r="J340" s="463">
        <f t="shared" si="55"/>
        <v>0</v>
      </c>
      <c r="K340" s="463">
        <f t="shared" si="55"/>
        <v>0</v>
      </c>
      <c r="L340" s="463">
        <f t="shared" si="55"/>
        <v>0</v>
      </c>
      <c r="M340" s="463">
        <f t="shared" si="55"/>
        <v>0</v>
      </c>
      <c r="N340" s="463">
        <f t="shared" si="55"/>
        <v>0</v>
      </c>
      <c r="O340" s="463">
        <f t="shared" si="55"/>
        <v>0</v>
      </c>
      <c r="P340" s="463">
        <f t="shared" si="55"/>
        <v>0</v>
      </c>
      <c r="Q340" s="463">
        <f t="shared" si="55"/>
        <v>0</v>
      </c>
      <c r="R340" s="463">
        <f t="shared" si="55"/>
        <v>0</v>
      </c>
      <c r="S340" s="464"/>
    </row>
    <row r="341" spans="1:19" ht="12.75" hidden="1" thickBot="1">
      <c r="A341" s="24" t="s">
        <v>367</v>
      </c>
      <c r="B341" s="16" t="s">
        <v>1281</v>
      </c>
      <c r="C341" s="24" t="s">
        <v>372</v>
      </c>
      <c r="D341" s="463">
        <f t="shared" si="55"/>
        <v>0</v>
      </c>
      <c r="E341" s="463">
        <f t="shared" si="55"/>
        <v>0</v>
      </c>
      <c r="F341" s="463">
        <f t="shared" si="55"/>
        <v>0</v>
      </c>
      <c r="G341" s="463">
        <f t="shared" si="55"/>
        <v>0</v>
      </c>
      <c r="H341" s="463">
        <f t="shared" si="56"/>
        <v>0</v>
      </c>
      <c r="I341" s="463">
        <f t="shared" si="55"/>
        <v>0</v>
      </c>
      <c r="J341" s="463">
        <f t="shared" si="55"/>
        <v>0</v>
      </c>
      <c r="K341" s="463">
        <f t="shared" si="55"/>
        <v>0</v>
      </c>
      <c r="L341" s="463">
        <f t="shared" si="55"/>
        <v>0</v>
      </c>
      <c r="M341" s="463">
        <f t="shared" si="55"/>
        <v>0</v>
      </c>
      <c r="N341" s="463">
        <f t="shared" si="55"/>
        <v>0</v>
      </c>
      <c r="O341" s="463">
        <f t="shared" si="55"/>
        <v>0</v>
      </c>
      <c r="P341" s="463">
        <f t="shared" si="55"/>
        <v>0</v>
      </c>
      <c r="Q341" s="463">
        <f t="shared" si="55"/>
        <v>0</v>
      </c>
      <c r="R341" s="463">
        <f t="shared" si="55"/>
        <v>0</v>
      </c>
      <c r="S341" s="464"/>
    </row>
    <row r="342" spans="1:19" ht="12.75" hidden="1" thickBot="1">
      <c r="A342" s="24" t="s">
        <v>367</v>
      </c>
      <c r="B342" s="16" t="s">
        <v>1281</v>
      </c>
      <c r="C342" s="24" t="s">
        <v>374</v>
      </c>
      <c r="D342" s="463">
        <f t="shared" si="55"/>
        <v>0</v>
      </c>
      <c r="E342" s="463">
        <f t="shared" si="55"/>
        <v>0</v>
      </c>
      <c r="F342" s="463">
        <f t="shared" si="55"/>
        <v>0</v>
      </c>
      <c r="G342" s="463">
        <f t="shared" si="55"/>
        <v>0</v>
      </c>
      <c r="H342" s="463">
        <f t="shared" si="56"/>
        <v>0</v>
      </c>
      <c r="I342" s="463">
        <f t="shared" si="55"/>
        <v>0</v>
      </c>
      <c r="J342" s="463">
        <f t="shared" si="55"/>
        <v>0</v>
      </c>
      <c r="K342" s="463">
        <f t="shared" si="55"/>
        <v>0</v>
      </c>
      <c r="L342" s="463">
        <f t="shared" si="55"/>
        <v>0</v>
      </c>
      <c r="M342" s="463">
        <f t="shared" si="55"/>
        <v>0</v>
      </c>
      <c r="N342" s="463">
        <f t="shared" si="55"/>
        <v>0</v>
      </c>
      <c r="O342" s="463">
        <f t="shared" si="55"/>
        <v>0</v>
      </c>
      <c r="P342" s="463">
        <f t="shared" si="55"/>
        <v>0</v>
      </c>
      <c r="Q342" s="463">
        <f t="shared" si="55"/>
        <v>0</v>
      </c>
      <c r="R342" s="463">
        <f t="shared" si="55"/>
        <v>0</v>
      </c>
      <c r="S342" s="464"/>
    </row>
    <row r="343" spans="1:19" ht="12.75" hidden="1" thickBot="1">
      <c r="A343" s="24" t="s">
        <v>367</v>
      </c>
      <c r="B343" s="16" t="s">
        <v>1281</v>
      </c>
      <c r="C343" s="24" t="s">
        <v>375</v>
      </c>
      <c r="D343" s="463">
        <f t="shared" si="55"/>
        <v>2579</v>
      </c>
      <c r="E343" s="463">
        <f t="shared" si="55"/>
        <v>0</v>
      </c>
      <c r="F343" s="463">
        <f t="shared" si="55"/>
        <v>0</v>
      </c>
      <c r="G343" s="463">
        <f t="shared" si="55"/>
        <v>0</v>
      </c>
      <c r="H343" s="463">
        <f t="shared" si="56"/>
        <v>129888119</v>
      </c>
      <c r="I343" s="463">
        <f t="shared" si="55"/>
        <v>0</v>
      </c>
      <c r="J343" s="463">
        <f t="shared" si="55"/>
        <v>0</v>
      </c>
      <c r="K343" s="463">
        <f t="shared" si="55"/>
        <v>0</v>
      </c>
      <c r="L343" s="463">
        <f t="shared" si="55"/>
        <v>0</v>
      </c>
      <c r="M343" s="463">
        <f t="shared" si="55"/>
        <v>0</v>
      </c>
      <c r="N343" s="463">
        <f t="shared" si="55"/>
        <v>0</v>
      </c>
      <c r="O343" s="463">
        <f t="shared" si="55"/>
        <v>0</v>
      </c>
      <c r="P343" s="463">
        <f t="shared" ref="P343" si="57">R343</f>
        <v>317514</v>
      </c>
      <c r="Q343" s="463">
        <f t="shared" si="55"/>
        <v>0</v>
      </c>
      <c r="R343" s="463">
        <f t="shared" si="55"/>
        <v>317514</v>
      </c>
      <c r="S343" s="465"/>
    </row>
    <row r="344" spans="1:19" ht="12.75" hidden="1" thickBot="1">
      <c r="A344" s="24" t="s">
        <v>367</v>
      </c>
      <c r="B344" s="16" t="s">
        <v>1281</v>
      </c>
      <c r="C344" s="24" t="s">
        <v>376</v>
      </c>
      <c r="D344" s="463">
        <f t="shared" si="55"/>
        <v>52</v>
      </c>
      <c r="E344" s="463">
        <f t="shared" si="55"/>
        <v>0</v>
      </c>
      <c r="F344" s="463">
        <f t="shared" si="55"/>
        <v>0</v>
      </c>
      <c r="G344" s="463">
        <f t="shared" si="55"/>
        <v>0</v>
      </c>
      <c r="H344" s="463">
        <f t="shared" si="56"/>
        <v>11303433</v>
      </c>
      <c r="I344" s="463">
        <f t="shared" si="55"/>
        <v>0</v>
      </c>
      <c r="J344" s="463">
        <f t="shared" si="55"/>
        <v>0</v>
      </c>
      <c r="K344" s="463">
        <f t="shared" si="55"/>
        <v>0</v>
      </c>
      <c r="L344" s="463">
        <f t="shared" si="55"/>
        <v>0</v>
      </c>
      <c r="M344" s="463">
        <f t="shared" si="55"/>
        <v>0</v>
      </c>
      <c r="N344" s="463">
        <f t="shared" si="55"/>
        <v>0</v>
      </c>
      <c r="O344" s="463">
        <f t="shared" si="55"/>
        <v>0</v>
      </c>
      <c r="P344" s="463">
        <f t="shared" ref="P344" si="58">R344</f>
        <v>26967</v>
      </c>
      <c r="Q344" s="463">
        <f t="shared" si="55"/>
        <v>0</v>
      </c>
      <c r="R344" s="463">
        <f t="shared" si="55"/>
        <v>26967</v>
      </c>
      <c r="S344" s="465"/>
    </row>
    <row r="345" spans="1:19" ht="12.75" hidden="1" thickBot="1">
      <c r="A345" s="24" t="s">
        <v>367</v>
      </c>
      <c r="B345" s="16" t="s">
        <v>1281</v>
      </c>
      <c r="C345" s="24" t="s">
        <v>377</v>
      </c>
      <c r="D345" s="463">
        <f t="shared" si="55"/>
        <v>0</v>
      </c>
      <c r="E345" s="463">
        <f t="shared" si="55"/>
        <v>0</v>
      </c>
      <c r="F345" s="463">
        <f t="shared" si="55"/>
        <v>0</v>
      </c>
      <c r="G345" s="463">
        <f t="shared" si="55"/>
        <v>0</v>
      </c>
      <c r="H345" s="463">
        <f t="shared" si="56"/>
        <v>0</v>
      </c>
      <c r="I345" s="463">
        <f t="shared" si="55"/>
        <v>0</v>
      </c>
      <c r="J345" s="463">
        <f t="shared" si="55"/>
        <v>0</v>
      </c>
      <c r="K345" s="463">
        <f t="shared" si="55"/>
        <v>0</v>
      </c>
      <c r="L345" s="463">
        <f t="shared" si="55"/>
        <v>0</v>
      </c>
      <c r="M345" s="463">
        <f t="shared" si="55"/>
        <v>0</v>
      </c>
      <c r="N345" s="463">
        <f t="shared" si="55"/>
        <v>0</v>
      </c>
      <c r="O345" s="463">
        <f t="shared" si="55"/>
        <v>0</v>
      </c>
      <c r="P345" s="463">
        <f t="shared" si="55"/>
        <v>0</v>
      </c>
      <c r="Q345" s="463">
        <f t="shared" si="55"/>
        <v>0</v>
      </c>
      <c r="R345" s="463">
        <f t="shared" si="55"/>
        <v>0</v>
      </c>
      <c r="S345" s="465"/>
    </row>
    <row r="346" spans="1:19" ht="12.75" hidden="1" thickBot="1">
      <c r="A346" s="24" t="s">
        <v>367</v>
      </c>
      <c r="B346" s="16" t="s">
        <v>1281</v>
      </c>
      <c r="C346" s="24" t="s">
        <v>378</v>
      </c>
      <c r="D346" s="463">
        <f t="shared" si="55"/>
        <v>220</v>
      </c>
      <c r="E346" s="463">
        <f t="shared" si="55"/>
        <v>0</v>
      </c>
      <c r="F346" s="463">
        <f t="shared" si="55"/>
        <v>0</v>
      </c>
      <c r="G346" s="463">
        <f t="shared" si="55"/>
        <v>0</v>
      </c>
      <c r="H346" s="463">
        <f t="shared" si="56"/>
        <v>60713564</v>
      </c>
      <c r="I346" s="463">
        <f t="shared" si="55"/>
        <v>0</v>
      </c>
      <c r="J346" s="463">
        <f t="shared" si="55"/>
        <v>0</v>
      </c>
      <c r="K346" s="463">
        <f t="shared" si="55"/>
        <v>0</v>
      </c>
      <c r="L346" s="463">
        <f t="shared" si="55"/>
        <v>0</v>
      </c>
      <c r="M346" s="463">
        <f t="shared" si="55"/>
        <v>0</v>
      </c>
      <c r="N346" s="463">
        <f t="shared" si="55"/>
        <v>0</v>
      </c>
      <c r="O346" s="463">
        <f t="shared" si="55"/>
        <v>137838</v>
      </c>
      <c r="P346" s="463">
        <f t="shared" si="55"/>
        <v>130077</v>
      </c>
      <c r="Q346" s="463">
        <f t="shared" si="55"/>
        <v>125528</v>
      </c>
      <c r="R346" s="463">
        <f t="shared" si="55"/>
        <v>0</v>
      </c>
      <c r="S346" s="465"/>
    </row>
    <row r="347" spans="1:19" ht="12.75" hidden="1" thickBot="1">
      <c r="A347" s="24" t="s">
        <v>367</v>
      </c>
      <c r="B347" s="16" t="s">
        <v>1281</v>
      </c>
      <c r="C347" s="24" t="s">
        <v>379</v>
      </c>
      <c r="D347" s="463">
        <f t="shared" si="55"/>
        <v>39</v>
      </c>
      <c r="E347" s="463">
        <f t="shared" si="55"/>
        <v>0</v>
      </c>
      <c r="F347" s="463">
        <f t="shared" si="55"/>
        <v>0</v>
      </c>
      <c r="G347" s="463">
        <f t="shared" si="55"/>
        <v>0</v>
      </c>
      <c r="H347" s="463">
        <f t="shared" si="56"/>
        <v>28320345</v>
      </c>
      <c r="I347" s="463">
        <f t="shared" si="55"/>
        <v>0</v>
      </c>
      <c r="J347" s="463">
        <f t="shared" si="55"/>
        <v>0</v>
      </c>
      <c r="K347" s="463">
        <f t="shared" si="55"/>
        <v>0</v>
      </c>
      <c r="L347" s="463">
        <f t="shared" si="55"/>
        <v>0</v>
      </c>
      <c r="M347" s="463">
        <f t="shared" si="55"/>
        <v>0</v>
      </c>
      <c r="N347" s="463">
        <f t="shared" si="55"/>
        <v>0</v>
      </c>
      <c r="O347" s="463">
        <f t="shared" si="55"/>
        <v>70146</v>
      </c>
      <c r="P347" s="463">
        <f t="shared" si="55"/>
        <v>65072</v>
      </c>
      <c r="Q347" s="463">
        <f t="shared" si="55"/>
        <v>63316</v>
      </c>
      <c r="R347" s="463">
        <f t="shared" si="55"/>
        <v>0</v>
      </c>
      <c r="S347" s="464"/>
    </row>
    <row r="348" spans="1:19" ht="12.75" hidden="1" thickBot="1">
      <c r="A348" s="24" t="s">
        <v>367</v>
      </c>
      <c r="B348" s="16" t="s">
        <v>1281</v>
      </c>
      <c r="C348" s="24" t="s">
        <v>381</v>
      </c>
      <c r="D348" s="463">
        <f t="shared" si="55"/>
        <v>16373</v>
      </c>
      <c r="E348" s="463">
        <f t="shared" si="55"/>
        <v>0</v>
      </c>
      <c r="F348" s="463">
        <f t="shared" si="55"/>
        <v>0</v>
      </c>
      <c r="G348" s="463">
        <f t="shared" si="55"/>
        <v>0</v>
      </c>
      <c r="H348" s="463">
        <f t="shared" si="56"/>
        <v>74220820</v>
      </c>
      <c r="I348" s="463">
        <f t="shared" si="55"/>
        <v>0</v>
      </c>
      <c r="J348" s="463">
        <f t="shared" si="55"/>
        <v>0</v>
      </c>
      <c r="K348" s="463">
        <f t="shared" si="55"/>
        <v>0</v>
      </c>
      <c r="L348" s="463">
        <f t="shared" si="55"/>
        <v>0</v>
      </c>
      <c r="M348" s="463">
        <f t="shared" si="55"/>
        <v>0</v>
      </c>
      <c r="N348" s="463">
        <f t="shared" si="55"/>
        <v>0</v>
      </c>
      <c r="O348" s="463">
        <f>R348</f>
        <v>211286</v>
      </c>
      <c r="P348" s="463">
        <f t="shared" si="55"/>
        <v>0</v>
      </c>
      <c r="Q348" s="463">
        <f t="shared" si="55"/>
        <v>0</v>
      </c>
      <c r="R348" s="463">
        <f t="shared" si="55"/>
        <v>211286</v>
      </c>
      <c r="S348" s="464"/>
    </row>
    <row r="349" spans="1:19" ht="12.75" hidden="1" thickBot="1">
      <c r="A349" s="24" t="s">
        <v>367</v>
      </c>
      <c r="B349" s="16" t="s">
        <v>1281</v>
      </c>
      <c r="C349" s="24" t="s">
        <v>382</v>
      </c>
      <c r="D349" s="463">
        <f t="shared" si="55"/>
        <v>0</v>
      </c>
      <c r="E349" s="463">
        <f t="shared" si="55"/>
        <v>0</v>
      </c>
      <c r="F349" s="463">
        <f t="shared" si="55"/>
        <v>0</v>
      </c>
      <c r="G349" s="463">
        <f t="shared" si="55"/>
        <v>0</v>
      </c>
      <c r="H349" s="463">
        <f t="shared" si="56"/>
        <v>0</v>
      </c>
      <c r="I349" s="463">
        <f t="shared" si="55"/>
        <v>0</v>
      </c>
      <c r="J349" s="463">
        <f t="shared" si="55"/>
        <v>0</v>
      </c>
      <c r="K349" s="463">
        <f t="shared" si="55"/>
        <v>0</v>
      </c>
      <c r="L349" s="463">
        <f t="shared" si="55"/>
        <v>0</v>
      </c>
      <c r="M349" s="463">
        <f t="shared" si="55"/>
        <v>0</v>
      </c>
      <c r="N349" s="463">
        <f t="shared" si="55"/>
        <v>0</v>
      </c>
      <c r="O349" s="463">
        <f t="shared" si="55"/>
        <v>0</v>
      </c>
      <c r="P349" s="463">
        <f t="shared" si="55"/>
        <v>0</v>
      </c>
      <c r="Q349" s="463">
        <f t="shared" si="55"/>
        <v>0</v>
      </c>
      <c r="R349" s="463">
        <f t="shared" si="55"/>
        <v>0</v>
      </c>
      <c r="S349" s="464"/>
    </row>
    <row r="350" spans="1:19" ht="12.75" hidden="1" thickBot="1">
      <c r="A350" s="24" t="s">
        <v>367</v>
      </c>
      <c r="B350" s="16" t="s">
        <v>1281</v>
      </c>
      <c r="C350" s="24" t="s">
        <v>384</v>
      </c>
      <c r="D350" s="463">
        <f t="shared" si="55"/>
        <v>0</v>
      </c>
      <c r="E350" s="463">
        <f t="shared" si="55"/>
        <v>0</v>
      </c>
      <c r="F350" s="463">
        <f t="shared" si="55"/>
        <v>0</v>
      </c>
      <c r="G350" s="463">
        <f t="shared" si="55"/>
        <v>0</v>
      </c>
      <c r="H350" s="463">
        <f t="shared" si="56"/>
        <v>0</v>
      </c>
      <c r="I350" s="463">
        <f t="shared" si="55"/>
        <v>0</v>
      </c>
      <c r="J350" s="463">
        <f t="shared" si="55"/>
        <v>0</v>
      </c>
      <c r="K350" s="463">
        <f t="shared" si="55"/>
        <v>0</v>
      </c>
      <c r="L350" s="463">
        <f t="shared" si="55"/>
        <v>0</v>
      </c>
      <c r="M350" s="463">
        <f t="shared" si="55"/>
        <v>0</v>
      </c>
      <c r="N350" s="463">
        <f t="shared" si="55"/>
        <v>0</v>
      </c>
      <c r="O350" s="463">
        <f t="shared" si="55"/>
        <v>0</v>
      </c>
      <c r="P350" s="463">
        <f t="shared" si="55"/>
        <v>0</v>
      </c>
      <c r="Q350" s="463">
        <f t="shared" si="55"/>
        <v>0</v>
      </c>
      <c r="R350" s="463">
        <f t="shared" si="55"/>
        <v>0</v>
      </c>
      <c r="S350" s="464"/>
    </row>
    <row r="351" spans="1:19" ht="12.75" hidden="1" thickBot="1">
      <c r="A351" s="24" t="s">
        <v>367</v>
      </c>
      <c r="B351" s="16" t="s">
        <v>1281</v>
      </c>
      <c r="C351" s="24" t="s">
        <v>385</v>
      </c>
      <c r="D351" s="463">
        <f t="shared" si="55"/>
        <v>2</v>
      </c>
      <c r="E351" s="463">
        <f t="shared" si="55"/>
        <v>0</v>
      </c>
      <c r="F351" s="463">
        <f t="shared" si="55"/>
        <v>0</v>
      </c>
      <c r="G351" s="463">
        <f t="shared" si="55"/>
        <v>0</v>
      </c>
      <c r="H351" s="463">
        <f t="shared" si="56"/>
        <v>4366800</v>
      </c>
      <c r="I351" s="463">
        <f t="shared" si="55"/>
        <v>0</v>
      </c>
      <c r="J351" s="463">
        <f t="shared" si="55"/>
        <v>0</v>
      </c>
      <c r="K351" s="463">
        <f t="shared" si="55"/>
        <v>0</v>
      </c>
      <c r="L351" s="463">
        <f t="shared" si="55"/>
        <v>0</v>
      </c>
      <c r="M351" s="463">
        <f t="shared" si="55"/>
        <v>0</v>
      </c>
      <c r="N351" s="463">
        <f t="shared" si="55"/>
        <v>0</v>
      </c>
      <c r="O351" s="463">
        <f t="shared" si="55"/>
        <v>0</v>
      </c>
      <c r="P351" s="463">
        <f>R351</f>
        <v>9450</v>
      </c>
      <c r="Q351" s="463">
        <f t="shared" si="55"/>
        <v>0</v>
      </c>
      <c r="R351" s="463">
        <f t="shared" si="55"/>
        <v>9450</v>
      </c>
      <c r="S351" s="464"/>
    </row>
    <row r="352" spans="1:19" ht="12.75" hidden="1" thickBot="1">
      <c r="A352" s="24" t="s">
        <v>367</v>
      </c>
      <c r="B352" s="16" t="s">
        <v>1281</v>
      </c>
      <c r="C352" s="24" t="s">
        <v>1223</v>
      </c>
      <c r="D352" s="463">
        <f t="shared" si="55"/>
        <v>0</v>
      </c>
      <c r="E352" s="463">
        <f t="shared" si="55"/>
        <v>0</v>
      </c>
      <c r="F352" s="463">
        <f t="shared" si="55"/>
        <v>0</v>
      </c>
      <c r="G352" s="463">
        <f t="shared" si="55"/>
        <v>0</v>
      </c>
      <c r="H352" s="463">
        <f t="shared" si="56"/>
        <v>0</v>
      </c>
      <c r="I352" s="463">
        <f t="shared" si="55"/>
        <v>0</v>
      </c>
      <c r="J352" s="463">
        <f t="shared" si="55"/>
        <v>0</v>
      </c>
      <c r="K352" s="463">
        <f t="shared" si="55"/>
        <v>0</v>
      </c>
      <c r="L352" s="463">
        <f t="shared" si="55"/>
        <v>0</v>
      </c>
      <c r="M352" s="463">
        <f t="shared" si="55"/>
        <v>0</v>
      </c>
      <c r="N352" s="463">
        <f t="shared" si="55"/>
        <v>0</v>
      </c>
      <c r="O352" s="463">
        <f t="shared" si="55"/>
        <v>0</v>
      </c>
      <c r="P352" s="463">
        <f t="shared" si="55"/>
        <v>0</v>
      </c>
      <c r="Q352" s="463">
        <f t="shared" si="55"/>
        <v>0</v>
      </c>
      <c r="R352" s="463">
        <f t="shared" si="55"/>
        <v>0</v>
      </c>
      <c r="S352" s="464"/>
    </row>
    <row r="353" spans="1:19" ht="12.75" hidden="1" thickBot="1">
      <c r="A353" s="24" t="s">
        <v>367</v>
      </c>
      <c r="B353" s="16" t="s">
        <v>1281</v>
      </c>
      <c r="C353" s="24" t="s">
        <v>386</v>
      </c>
      <c r="D353" s="463">
        <f t="shared" si="55"/>
        <v>0</v>
      </c>
      <c r="E353" s="463">
        <f t="shared" si="55"/>
        <v>0</v>
      </c>
      <c r="F353" s="463">
        <f t="shared" si="55"/>
        <v>0</v>
      </c>
      <c r="G353" s="463">
        <f t="shared" si="55"/>
        <v>0</v>
      </c>
      <c r="H353" s="463">
        <f t="shared" si="56"/>
        <v>0</v>
      </c>
      <c r="I353" s="463">
        <f t="shared" si="55"/>
        <v>0</v>
      </c>
      <c r="J353" s="463">
        <f t="shared" si="55"/>
        <v>0</v>
      </c>
      <c r="K353" s="463">
        <f t="shared" si="55"/>
        <v>0</v>
      </c>
      <c r="L353" s="463">
        <f t="shared" si="55"/>
        <v>0</v>
      </c>
      <c r="M353" s="463">
        <f t="shared" si="55"/>
        <v>0</v>
      </c>
      <c r="N353" s="463">
        <f t="shared" si="55"/>
        <v>0</v>
      </c>
      <c r="O353" s="463">
        <f t="shared" si="55"/>
        <v>0</v>
      </c>
      <c r="P353" s="463">
        <f t="shared" si="55"/>
        <v>0</v>
      </c>
      <c r="Q353" s="463">
        <f t="shared" si="55"/>
        <v>0</v>
      </c>
      <c r="R353" s="463">
        <f t="shared" si="55"/>
        <v>0</v>
      </c>
      <c r="S353" s="464"/>
    </row>
    <row r="354" spans="1:19" ht="12.75" hidden="1" thickBot="1">
      <c r="A354" s="24" t="s">
        <v>367</v>
      </c>
      <c r="B354" s="16" t="s">
        <v>1281</v>
      </c>
      <c r="C354" s="24" t="s">
        <v>387</v>
      </c>
      <c r="D354" s="463">
        <f t="shared" si="55"/>
        <v>1</v>
      </c>
      <c r="E354" s="463">
        <f t="shared" si="55"/>
        <v>0</v>
      </c>
      <c r="F354" s="463">
        <f t="shared" si="55"/>
        <v>0</v>
      </c>
      <c r="G354" s="463">
        <f t="shared" si="55"/>
        <v>0</v>
      </c>
      <c r="H354" s="463">
        <f t="shared" si="56"/>
        <v>7436000</v>
      </c>
      <c r="I354" s="463">
        <f t="shared" si="55"/>
        <v>0</v>
      </c>
      <c r="J354" s="463">
        <f t="shared" si="55"/>
        <v>0</v>
      </c>
      <c r="K354" s="463">
        <f t="shared" si="55"/>
        <v>0</v>
      </c>
      <c r="L354" s="463">
        <f t="shared" si="55"/>
        <v>0</v>
      </c>
      <c r="M354" s="463">
        <f t="shared" si="55"/>
        <v>0</v>
      </c>
      <c r="N354" s="463">
        <f t="shared" si="55"/>
        <v>0</v>
      </c>
      <c r="O354" s="463">
        <f t="shared" si="55"/>
        <v>0</v>
      </c>
      <c r="P354" s="463">
        <f>R354</f>
        <v>9520</v>
      </c>
      <c r="Q354" s="463">
        <f t="shared" si="55"/>
        <v>0</v>
      </c>
      <c r="R354" s="463">
        <f t="shared" si="55"/>
        <v>9520</v>
      </c>
      <c r="S354" s="465"/>
    </row>
    <row r="355" spans="1:19" ht="12.75" hidden="1" thickBot="1">
      <c r="A355" s="24" t="s">
        <v>367</v>
      </c>
      <c r="B355" s="16" t="s">
        <v>1281</v>
      </c>
      <c r="C355" s="24" t="s">
        <v>388</v>
      </c>
      <c r="D355" s="463">
        <f t="shared" ref="D355:R370" si="59">ROUND(SUMIFS(D$409:D$780,$B$409:$B$780,$B355,$C$409:$C$780,$C355),0)</f>
        <v>12</v>
      </c>
      <c r="E355" s="463">
        <f t="shared" si="59"/>
        <v>0</v>
      </c>
      <c r="F355" s="463">
        <f t="shared" si="59"/>
        <v>0</v>
      </c>
      <c r="G355" s="463">
        <f t="shared" si="59"/>
        <v>0</v>
      </c>
      <c r="H355" s="463">
        <f t="shared" si="56"/>
        <v>71794294</v>
      </c>
      <c r="I355" s="463">
        <f t="shared" si="59"/>
        <v>0</v>
      </c>
      <c r="J355" s="463">
        <f t="shared" si="59"/>
        <v>0</v>
      </c>
      <c r="K355" s="463">
        <f t="shared" si="59"/>
        <v>0</v>
      </c>
      <c r="L355" s="463">
        <f t="shared" si="59"/>
        <v>0</v>
      </c>
      <c r="M355" s="463">
        <f t="shared" si="59"/>
        <v>0</v>
      </c>
      <c r="N355" s="463">
        <f t="shared" si="59"/>
        <v>0</v>
      </c>
      <c r="O355" s="463">
        <f t="shared" si="59"/>
        <v>148975</v>
      </c>
      <c r="P355" s="463">
        <f t="shared" si="59"/>
        <v>144575</v>
      </c>
      <c r="Q355" s="463">
        <f t="shared" si="59"/>
        <v>93494</v>
      </c>
      <c r="R355" s="463">
        <f t="shared" si="59"/>
        <v>0</v>
      </c>
      <c r="S355" s="464"/>
    </row>
    <row r="356" spans="1:19" ht="12.75" hidden="1" thickBot="1">
      <c r="A356" s="24" t="s">
        <v>367</v>
      </c>
      <c r="B356" s="16" t="s">
        <v>1281</v>
      </c>
      <c r="C356" s="24" t="s">
        <v>389</v>
      </c>
      <c r="D356" s="463">
        <f t="shared" si="59"/>
        <v>214</v>
      </c>
      <c r="E356" s="463">
        <f t="shared" si="59"/>
        <v>0</v>
      </c>
      <c r="F356" s="463">
        <f t="shared" si="59"/>
        <v>0</v>
      </c>
      <c r="G356" s="463">
        <f t="shared" si="59"/>
        <v>0</v>
      </c>
      <c r="H356" s="463">
        <f t="shared" si="56"/>
        <v>19146672</v>
      </c>
      <c r="I356" s="463">
        <f t="shared" si="59"/>
        <v>0</v>
      </c>
      <c r="J356" s="463">
        <f t="shared" si="59"/>
        <v>0</v>
      </c>
      <c r="K356" s="463">
        <f t="shared" si="59"/>
        <v>0</v>
      </c>
      <c r="L356" s="463">
        <f t="shared" si="59"/>
        <v>0</v>
      </c>
      <c r="M356" s="463">
        <f t="shared" si="59"/>
        <v>0</v>
      </c>
      <c r="N356" s="463">
        <f t="shared" si="59"/>
        <v>0</v>
      </c>
      <c r="O356" s="463">
        <f t="shared" si="59"/>
        <v>0</v>
      </c>
      <c r="P356" s="463">
        <f t="shared" ref="P356" si="60">R356</f>
        <v>59196</v>
      </c>
      <c r="Q356" s="463">
        <f t="shared" si="59"/>
        <v>0</v>
      </c>
      <c r="R356" s="463">
        <f t="shared" si="59"/>
        <v>59196</v>
      </c>
      <c r="S356" s="465"/>
    </row>
    <row r="357" spans="1:19" ht="12.75" hidden="1" thickBot="1">
      <c r="A357" s="24" t="s">
        <v>367</v>
      </c>
      <c r="B357" s="16" t="s">
        <v>1281</v>
      </c>
      <c r="C357" s="24" t="s">
        <v>390</v>
      </c>
      <c r="D357" s="463">
        <f t="shared" si="59"/>
        <v>21</v>
      </c>
      <c r="E357" s="463">
        <f t="shared" si="59"/>
        <v>0</v>
      </c>
      <c r="F357" s="463">
        <f t="shared" si="59"/>
        <v>0</v>
      </c>
      <c r="G357" s="463">
        <f t="shared" si="59"/>
        <v>0</v>
      </c>
      <c r="H357" s="463">
        <f t="shared" si="56"/>
        <v>1056885</v>
      </c>
      <c r="I357" s="463">
        <f t="shared" si="59"/>
        <v>0</v>
      </c>
      <c r="J357" s="463">
        <f t="shared" si="59"/>
        <v>0</v>
      </c>
      <c r="K357" s="463">
        <f t="shared" si="59"/>
        <v>0</v>
      </c>
      <c r="L357" s="463">
        <f t="shared" si="59"/>
        <v>0</v>
      </c>
      <c r="M357" s="463">
        <f t="shared" si="59"/>
        <v>0</v>
      </c>
      <c r="N357" s="463">
        <f t="shared" si="59"/>
        <v>0</v>
      </c>
      <c r="O357" s="463">
        <f t="shared" si="59"/>
        <v>0</v>
      </c>
      <c r="P357" s="463">
        <f t="shared" ref="P357" si="61">R357</f>
        <v>3776</v>
      </c>
      <c r="Q357" s="463">
        <f t="shared" si="59"/>
        <v>0</v>
      </c>
      <c r="R357" s="463">
        <f t="shared" si="59"/>
        <v>3776</v>
      </c>
      <c r="S357" s="465"/>
    </row>
    <row r="358" spans="1:19" ht="12.75" hidden="1" thickBot="1">
      <c r="A358" s="24" t="s">
        <v>367</v>
      </c>
      <c r="B358" s="16" t="s">
        <v>1281</v>
      </c>
      <c r="C358" s="24" t="s">
        <v>391</v>
      </c>
      <c r="D358" s="463">
        <f t="shared" si="59"/>
        <v>97</v>
      </c>
      <c r="E358" s="463">
        <f t="shared" si="59"/>
        <v>0</v>
      </c>
      <c r="F358" s="463">
        <f t="shared" si="59"/>
        <v>0</v>
      </c>
      <c r="G358" s="463">
        <f t="shared" si="59"/>
        <v>0</v>
      </c>
      <c r="H358" s="463">
        <f t="shared" si="56"/>
        <v>20853450</v>
      </c>
      <c r="I358" s="463">
        <f t="shared" si="59"/>
        <v>0</v>
      </c>
      <c r="J358" s="463">
        <f t="shared" si="59"/>
        <v>0</v>
      </c>
      <c r="K358" s="463">
        <f t="shared" si="59"/>
        <v>0</v>
      </c>
      <c r="L358" s="463">
        <f t="shared" si="59"/>
        <v>0</v>
      </c>
      <c r="M358" s="463">
        <f t="shared" si="59"/>
        <v>0</v>
      </c>
      <c r="N358" s="463">
        <f t="shared" si="59"/>
        <v>0</v>
      </c>
      <c r="O358" s="463">
        <f t="shared" si="59"/>
        <v>53247</v>
      </c>
      <c r="P358" s="463">
        <f t="shared" si="59"/>
        <v>49958</v>
      </c>
      <c r="Q358" s="463">
        <f t="shared" si="59"/>
        <v>49046</v>
      </c>
      <c r="R358" s="463">
        <f t="shared" si="59"/>
        <v>0</v>
      </c>
      <c r="S358" s="465"/>
    </row>
    <row r="359" spans="1:19" ht="12.75" hidden="1" thickBot="1">
      <c r="A359" s="24" t="s">
        <v>367</v>
      </c>
      <c r="B359" s="16" t="s">
        <v>1281</v>
      </c>
      <c r="C359" s="24" t="s">
        <v>392</v>
      </c>
      <c r="D359" s="463">
        <f t="shared" si="59"/>
        <v>70</v>
      </c>
      <c r="E359" s="463">
        <f t="shared" si="59"/>
        <v>0</v>
      </c>
      <c r="F359" s="463">
        <f t="shared" si="59"/>
        <v>0</v>
      </c>
      <c r="G359" s="463">
        <f t="shared" si="59"/>
        <v>0</v>
      </c>
      <c r="H359" s="463">
        <f t="shared" si="56"/>
        <v>133272351</v>
      </c>
      <c r="I359" s="463">
        <f t="shared" si="59"/>
        <v>0</v>
      </c>
      <c r="J359" s="463">
        <f t="shared" si="59"/>
        <v>0</v>
      </c>
      <c r="K359" s="463">
        <f t="shared" si="59"/>
        <v>0</v>
      </c>
      <c r="L359" s="463">
        <f t="shared" si="59"/>
        <v>0</v>
      </c>
      <c r="M359" s="463">
        <f t="shared" si="59"/>
        <v>0</v>
      </c>
      <c r="N359" s="463">
        <f t="shared" si="59"/>
        <v>0</v>
      </c>
      <c r="O359" s="463">
        <f t="shared" si="59"/>
        <v>322436</v>
      </c>
      <c r="P359" s="463">
        <f t="shared" si="59"/>
        <v>292728</v>
      </c>
      <c r="Q359" s="463">
        <f t="shared" si="59"/>
        <v>288839</v>
      </c>
      <c r="R359" s="463">
        <f t="shared" si="59"/>
        <v>0</v>
      </c>
      <c r="S359" s="464"/>
    </row>
    <row r="360" spans="1:19" ht="12.75" hidden="1" thickBot="1">
      <c r="A360" s="24" t="s">
        <v>367</v>
      </c>
      <c r="B360" s="16" t="s">
        <v>1281</v>
      </c>
      <c r="C360" s="24" t="s">
        <v>394</v>
      </c>
      <c r="D360" s="463">
        <f t="shared" si="59"/>
        <v>0</v>
      </c>
      <c r="E360" s="463">
        <f t="shared" si="59"/>
        <v>0</v>
      </c>
      <c r="F360" s="463">
        <f t="shared" si="59"/>
        <v>0</v>
      </c>
      <c r="G360" s="463">
        <f t="shared" si="59"/>
        <v>0</v>
      </c>
      <c r="H360" s="463">
        <f t="shared" si="56"/>
        <v>0</v>
      </c>
      <c r="I360" s="463">
        <f t="shared" si="59"/>
        <v>0</v>
      </c>
      <c r="J360" s="463">
        <f t="shared" si="59"/>
        <v>0</v>
      </c>
      <c r="K360" s="463">
        <f t="shared" si="59"/>
        <v>0</v>
      </c>
      <c r="L360" s="463">
        <f t="shared" si="59"/>
        <v>0</v>
      </c>
      <c r="M360" s="463">
        <f t="shared" si="59"/>
        <v>0</v>
      </c>
      <c r="N360" s="463">
        <f t="shared" si="59"/>
        <v>0</v>
      </c>
      <c r="O360" s="463">
        <f t="shared" si="59"/>
        <v>0</v>
      </c>
      <c r="P360" s="463">
        <f t="shared" si="59"/>
        <v>0</v>
      </c>
      <c r="Q360" s="463">
        <f t="shared" si="59"/>
        <v>0</v>
      </c>
      <c r="R360" s="463">
        <f t="shared" si="59"/>
        <v>0</v>
      </c>
      <c r="S360" s="464"/>
    </row>
    <row r="361" spans="1:19" ht="12.75" hidden="1" thickBot="1">
      <c r="A361" s="24" t="s">
        <v>367</v>
      </c>
      <c r="B361" s="16" t="s">
        <v>1281</v>
      </c>
      <c r="C361" s="24" t="s">
        <v>395</v>
      </c>
      <c r="D361" s="463">
        <f t="shared" si="59"/>
        <v>156</v>
      </c>
      <c r="E361" s="463">
        <f t="shared" si="59"/>
        <v>0</v>
      </c>
      <c r="F361" s="463">
        <f t="shared" si="59"/>
        <v>0</v>
      </c>
      <c r="G361" s="463">
        <f t="shared" si="59"/>
        <v>0</v>
      </c>
      <c r="H361" s="463">
        <f t="shared" si="56"/>
        <v>314517</v>
      </c>
      <c r="I361" s="463">
        <f t="shared" si="59"/>
        <v>0</v>
      </c>
      <c r="J361" s="463">
        <f t="shared" si="59"/>
        <v>0</v>
      </c>
      <c r="K361" s="463">
        <f t="shared" si="59"/>
        <v>0</v>
      </c>
      <c r="L361" s="463">
        <f t="shared" si="59"/>
        <v>0</v>
      </c>
      <c r="M361" s="463">
        <f t="shared" si="59"/>
        <v>0</v>
      </c>
      <c r="N361" s="463">
        <f t="shared" si="59"/>
        <v>0</v>
      </c>
      <c r="O361" s="463">
        <f t="shared" si="59"/>
        <v>0</v>
      </c>
      <c r="P361" s="463">
        <f t="shared" si="59"/>
        <v>0</v>
      </c>
      <c r="Q361" s="463">
        <f t="shared" si="59"/>
        <v>0</v>
      </c>
      <c r="R361" s="463">
        <f t="shared" si="59"/>
        <v>0</v>
      </c>
      <c r="S361" s="464"/>
    </row>
    <row r="362" spans="1:19" ht="12.75" hidden="1" thickBot="1">
      <c r="A362" s="24" t="s">
        <v>367</v>
      </c>
      <c r="B362" s="16" t="s">
        <v>1281</v>
      </c>
      <c r="C362" s="24" t="s">
        <v>396</v>
      </c>
      <c r="D362" s="463">
        <f t="shared" si="59"/>
        <v>0</v>
      </c>
      <c r="E362" s="463">
        <f t="shared" si="59"/>
        <v>0</v>
      </c>
      <c r="F362" s="463">
        <f t="shared" si="59"/>
        <v>0</v>
      </c>
      <c r="G362" s="463">
        <f t="shared" si="59"/>
        <v>0</v>
      </c>
      <c r="H362" s="463">
        <f t="shared" si="56"/>
        <v>0</v>
      </c>
      <c r="I362" s="463">
        <f t="shared" si="59"/>
        <v>0</v>
      </c>
      <c r="J362" s="463">
        <f t="shared" si="59"/>
        <v>0</v>
      </c>
      <c r="K362" s="463">
        <f t="shared" si="59"/>
        <v>0</v>
      </c>
      <c r="L362" s="463">
        <f t="shared" si="59"/>
        <v>0</v>
      </c>
      <c r="M362" s="463">
        <f t="shared" si="59"/>
        <v>0</v>
      </c>
      <c r="N362" s="463">
        <f t="shared" si="59"/>
        <v>0</v>
      </c>
      <c r="O362" s="463">
        <f t="shared" si="59"/>
        <v>0</v>
      </c>
      <c r="P362" s="463">
        <f t="shared" si="59"/>
        <v>0</v>
      </c>
      <c r="Q362" s="463">
        <f t="shared" si="59"/>
        <v>0</v>
      </c>
      <c r="R362" s="463">
        <f t="shared" si="59"/>
        <v>0</v>
      </c>
      <c r="S362" s="464"/>
    </row>
    <row r="363" spans="1:19" ht="12.75" hidden="1" thickBot="1">
      <c r="A363" s="24" t="s">
        <v>367</v>
      </c>
      <c r="B363" s="16" t="s">
        <v>1281</v>
      </c>
      <c r="C363" s="24" t="s">
        <v>397</v>
      </c>
      <c r="D363" s="463">
        <f t="shared" si="59"/>
        <v>905</v>
      </c>
      <c r="E363" s="463">
        <f t="shared" si="59"/>
        <v>0</v>
      </c>
      <c r="F363" s="463">
        <f t="shared" si="59"/>
        <v>0</v>
      </c>
      <c r="G363" s="463">
        <f t="shared" si="59"/>
        <v>0</v>
      </c>
      <c r="H363" s="463">
        <f t="shared" si="56"/>
        <v>269918</v>
      </c>
      <c r="I363" s="463">
        <f t="shared" si="59"/>
        <v>0</v>
      </c>
      <c r="J363" s="463">
        <f t="shared" si="59"/>
        <v>0</v>
      </c>
      <c r="K363" s="463">
        <f t="shared" si="59"/>
        <v>0</v>
      </c>
      <c r="L363" s="463">
        <f t="shared" si="59"/>
        <v>0</v>
      </c>
      <c r="M363" s="463">
        <f t="shared" si="59"/>
        <v>0</v>
      </c>
      <c r="N363" s="463">
        <f t="shared" si="59"/>
        <v>0</v>
      </c>
      <c r="O363" s="463">
        <f t="shared" si="59"/>
        <v>0</v>
      </c>
      <c r="P363" s="463">
        <f t="shared" si="59"/>
        <v>0</v>
      </c>
      <c r="Q363" s="463">
        <f t="shared" si="59"/>
        <v>0</v>
      </c>
      <c r="R363" s="463">
        <f t="shared" si="59"/>
        <v>0</v>
      </c>
      <c r="S363" s="464"/>
    </row>
    <row r="364" spans="1:19" ht="12.75" hidden="1" thickBot="1">
      <c r="A364" s="24" t="s">
        <v>367</v>
      </c>
      <c r="B364" s="16" t="s">
        <v>1281</v>
      </c>
      <c r="C364" s="24" t="s">
        <v>398</v>
      </c>
      <c r="D364" s="463">
        <f t="shared" si="59"/>
        <v>0</v>
      </c>
      <c r="E364" s="463">
        <f t="shared" si="59"/>
        <v>0</v>
      </c>
      <c r="F364" s="463">
        <f t="shared" si="59"/>
        <v>0</v>
      </c>
      <c r="G364" s="463">
        <f t="shared" si="59"/>
        <v>0</v>
      </c>
      <c r="H364" s="463">
        <f t="shared" si="56"/>
        <v>0</v>
      </c>
      <c r="I364" s="463">
        <f t="shared" si="59"/>
        <v>0</v>
      </c>
      <c r="J364" s="463">
        <f t="shared" si="59"/>
        <v>0</v>
      </c>
      <c r="K364" s="463">
        <f t="shared" si="59"/>
        <v>0</v>
      </c>
      <c r="L364" s="463">
        <f t="shared" si="59"/>
        <v>0</v>
      </c>
      <c r="M364" s="463">
        <f t="shared" si="59"/>
        <v>0</v>
      </c>
      <c r="N364" s="463">
        <f t="shared" si="59"/>
        <v>0</v>
      </c>
      <c r="O364" s="463">
        <f t="shared" si="59"/>
        <v>0</v>
      </c>
      <c r="P364" s="463">
        <f t="shared" si="59"/>
        <v>0</v>
      </c>
      <c r="Q364" s="463">
        <f t="shared" si="59"/>
        <v>0</v>
      </c>
      <c r="R364" s="463">
        <f t="shared" si="59"/>
        <v>0</v>
      </c>
      <c r="S364" s="464"/>
    </row>
    <row r="365" spans="1:19" ht="12.75" hidden="1" thickBot="1">
      <c r="A365" s="24" t="s">
        <v>367</v>
      </c>
      <c r="B365" s="16" t="s">
        <v>1281</v>
      </c>
      <c r="C365" s="24" t="s">
        <v>399</v>
      </c>
      <c r="D365" s="463">
        <f t="shared" si="59"/>
        <v>0</v>
      </c>
      <c r="E365" s="463">
        <f t="shared" si="59"/>
        <v>0</v>
      </c>
      <c r="F365" s="463">
        <f t="shared" si="59"/>
        <v>0</v>
      </c>
      <c r="G365" s="463">
        <f t="shared" si="59"/>
        <v>0</v>
      </c>
      <c r="H365" s="463">
        <f t="shared" si="56"/>
        <v>0</v>
      </c>
      <c r="I365" s="463">
        <f t="shared" si="59"/>
        <v>0</v>
      </c>
      <c r="J365" s="463">
        <f t="shared" si="59"/>
        <v>0</v>
      </c>
      <c r="K365" s="463">
        <f t="shared" si="59"/>
        <v>0</v>
      </c>
      <c r="L365" s="463">
        <f t="shared" si="59"/>
        <v>0</v>
      </c>
      <c r="M365" s="463">
        <f t="shared" si="59"/>
        <v>0</v>
      </c>
      <c r="N365" s="463">
        <f t="shared" si="59"/>
        <v>0</v>
      </c>
      <c r="O365" s="463">
        <f t="shared" si="59"/>
        <v>0</v>
      </c>
      <c r="P365" s="463">
        <f t="shared" si="59"/>
        <v>0</v>
      </c>
      <c r="Q365" s="463">
        <f t="shared" si="59"/>
        <v>0</v>
      </c>
      <c r="R365" s="463">
        <f t="shared" si="59"/>
        <v>0</v>
      </c>
      <c r="S365" s="464"/>
    </row>
    <row r="366" spans="1:19" ht="12.75" thickBot="1">
      <c r="A366" s="24" t="s">
        <v>367</v>
      </c>
      <c r="B366" s="16" t="s">
        <v>1281</v>
      </c>
      <c r="C366" s="24" t="s">
        <v>400</v>
      </c>
      <c r="D366" s="463">
        <f t="shared" si="59"/>
        <v>361197</v>
      </c>
      <c r="E366" s="463">
        <f t="shared" si="59"/>
        <v>0</v>
      </c>
      <c r="F366" s="463">
        <f t="shared" si="59"/>
        <v>0</v>
      </c>
      <c r="G366" s="463">
        <f t="shared" si="59"/>
        <v>0</v>
      </c>
      <c r="H366" s="463">
        <f t="shared" si="56"/>
        <v>257447544</v>
      </c>
      <c r="I366" s="463">
        <f t="shared" si="59"/>
        <v>0</v>
      </c>
      <c r="J366" s="463">
        <f t="shared" si="59"/>
        <v>0</v>
      </c>
      <c r="K366" s="463">
        <f t="shared" si="59"/>
        <v>0</v>
      </c>
      <c r="L366" s="463">
        <f t="shared" si="59"/>
        <v>0</v>
      </c>
      <c r="M366" s="463">
        <f t="shared" si="59"/>
        <v>0</v>
      </c>
      <c r="N366" s="463">
        <f t="shared" si="59"/>
        <v>0</v>
      </c>
      <c r="O366" s="463">
        <f t="shared" si="59"/>
        <v>0</v>
      </c>
      <c r="P366" s="463">
        <f t="shared" si="59"/>
        <v>0</v>
      </c>
      <c r="Q366" s="463">
        <f t="shared" si="59"/>
        <v>0</v>
      </c>
      <c r="R366" s="463">
        <f t="shared" si="59"/>
        <v>0</v>
      </c>
      <c r="S366" s="464"/>
    </row>
    <row r="367" spans="1:19" ht="12.75" hidden="1" thickBot="1">
      <c r="A367" s="24" t="s">
        <v>367</v>
      </c>
      <c r="B367" s="16" t="s">
        <v>1281</v>
      </c>
      <c r="C367" s="24" t="s">
        <v>401</v>
      </c>
      <c r="D367" s="463">
        <f t="shared" si="59"/>
        <v>0</v>
      </c>
      <c r="E367" s="463">
        <f t="shared" si="59"/>
        <v>0</v>
      </c>
      <c r="F367" s="463">
        <f t="shared" si="59"/>
        <v>0</v>
      </c>
      <c r="G367" s="463">
        <f t="shared" si="59"/>
        <v>0</v>
      </c>
      <c r="H367" s="463">
        <f t="shared" si="56"/>
        <v>0</v>
      </c>
      <c r="I367" s="463">
        <f t="shared" si="59"/>
        <v>0</v>
      </c>
      <c r="J367" s="463">
        <f t="shared" si="59"/>
        <v>0</v>
      </c>
      <c r="K367" s="463">
        <f t="shared" si="59"/>
        <v>0</v>
      </c>
      <c r="L367" s="463">
        <f t="shared" si="59"/>
        <v>0</v>
      </c>
      <c r="M367" s="463">
        <f t="shared" si="59"/>
        <v>0</v>
      </c>
      <c r="N367" s="463">
        <f t="shared" si="59"/>
        <v>0</v>
      </c>
      <c r="O367" s="463">
        <f t="shared" si="59"/>
        <v>0</v>
      </c>
      <c r="P367" s="463">
        <f t="shared" si="59"/>
        <v>0</v>
      </c>
      <c r="Q367" s="463">
        <f t="shared" si="59"/>
        <v>0</v>
      </c>
      <c r="R367" s="463">
        <f t="shared" si="59"/>
        <v>0</v>
      </c>
      <c r="S367" s="464"/>
    </row>
    <row r="368" spans="1:19" ht="12.75" hidden="1" thickBot="1">
      <c r="A368" s="24" t="s">
        <v>367</v>
      </c>
      <c r="B368" s="16" t="s">
        <v>1281</v>
      </c>
      <c r="C368" s="24" t="s">
        <v>402</v>
      </c>
      <c r="D368" s="463">
        <f t="shared" si="59"/>
        <v>0</v>
      </c>
      <c r="E368" s="463">
        <f t="shared" si="59"/>
        <v>0</v>
      </c>
      <c r="F368" s="463">
        <f t="shared" si="59"/>
        <v>0</v>
      </c>
      <c r="G368" s="463">
        <f t="shared" si="59"/>
        <v>0</v>
      </c>
      <c r="H368" s="463">
        <f t="shared" si="56"/>
        <v>0</v>
      </c>
      <c r="I368" s="463">
        <f t="shared" si="59"/>
        <v>0</v>
      </c>
      <c r="J368" s="463">
        <f t="shared" si="59"/>
        <v>0</v>
      </c>
      <c r="K368" s="463">
        <f t="shared" si="59"/>
        <v>0</v>
      </c>
      <c r="L368" s="463">
        <f t="shared" si="59"/>
        <v>0</v>
      </c>
      <c r="M368" s="463">
        <f t="shared" si="59"/>
        <v>0</v>
      </c>
      <c r="N368" s="463">
        <f t="shared" si="59"/>
        <v>0</v>
      </c>
      <c r="O368" s="463">
        <f t="shared" si="59"/>
        <v>0</v>
      </c>
      <c r="P368" s="463">
        <f t="shared" si="59"/>
        <v>0</v>
      </c>
      <c r="Q368" s="463">
        <f t="shared" si="59"/>
        <v>0</v>
      </c>
      <c r="R368" s="463">
        <f t="shared" si="59"/>
        <v>0</v>
      </c>
      <c r="S368" s="464"/>
    </row>
    <row r="369" spans="1:19" ht="12.75" hidden="1" thickBot="1">
      <c r="A369" s="24" t="s">
        <v>367</v>
      </c>
      <c r="B369" s="16" t="s">
        <v>1281</v>
      </c>
      <c r="C369" s="24" t="s">
        <v>706</v>
      </c>
      <c r="D369" s="463">
        <f t="shared" si="59"/>
        <v>20</v>
      </c>
      <c r="E369" s="463">
        <f t="shared" si="59"/>
        <v>14974</v>
      </c>
      <c r="F369" s="463">
        <f t="shared" si="59"/>
        <v>8705</v>
      </c>
      <c r="G369" s="463">
        <f t="shared" si="59"/>
        <v>5454</v>
      </c>
      <c r="H369" s="463">
        <f t="shared" si="56"/>
        <v>29133</v>
      </c>
      <c r="I369" s="463">
        <f t="shared" si="59"/>
        <v>0</v>
      </c>
      <c r="J369" s="463">
        <f t="shared" si="59"/>
        <v>0</v>
      </c>
      <c r="K369" s="463">
        <f t="shared" si="59"/>
        <v>0</v>
      </c>
      <c r="L369" s="463">
        <f t="shared" si="59"/>
        <v>0</v>
      </c>
      <c r="M369" s="463">
        <f t="shared" si="59"/>
        <v>0</v>
      </c>
      <c r="N369" s="463">
        <f t="shared" si="59"/>
        <v>0</v>
      </c>
      <c r="O369" s="463">
        <f t="shared" si="59"/>
        <v>0</v>
      </c>
      <c r="P369" s="463">
        <f t="shared" si="59"/>
        <v>0</v>
      </c>
      <c r="Q369" s="463">
        <f t="shared" si="59"/>
        <v>0</v>
      </c>
      <c r="R369" s="463">
        <f t="shared" si="59"/>
        <v>0</v>
      </c>
      <c r="S369" s="464"/>
    </row>
    <row r="370" spans="1:19" ht="12.75" hidden="1" thickBot="1">
      <c r="A370" s="24" t="s">
        <v>367</v>
      </c>
      <c r="B370" s="16" t="s">
        <v>1281</v>
      </c>
      <c r="C370" s="24" t="s">
        <v>1230</v>
      </c>
      <c r="D370" s="463">
        <f t="shared" si="59"/>
        <v>0</v>
      </c>
      <c r="E370" s="463">
        <f t="shared" si="59"/>
        <v>0</v>
      </c>
      <c r="F370" s="463">
        <f t="shared" si="59"/>
        <v>0</v>
      </c>
      <c r="G370" s="463">
        <f t="shared" si="59"/>
        <v>0</v>
      </c>
      <c r="H370" s="463">
        <f t="shared" si="56"/>
        <v>0</v>
      </c>
      <c r="I370" s="463">
        <f t="shared" si="59"/>
        <v>0</v>
      </c>
      <c r="J370" s="463">
        <f t="shared" si="59"/>
        <v>0</v>
      </c>
      <c r="K370" s="463">
        <f t="shared" si="59"/>
        <v>0</v>
      </c>
      <c r="L370" s="463">
        <f t="shared" si="59"/>
        <v>0</v>
      </c>
      <c r="M370" s="463">
        <f t="shared" si="59"/>
        <v>0</v>
      </c>
      <c r="N370" s="463">
        <f t="shared" si="59"/>
        <v>0</v>
      </c>
      <c r="O370" s="463">
        <f t="shared" si="59"/>
        <v>0</v>
      </c>
      <c r="P370" s="463">
        <f t="shared" si="59"/>
        <v>0</v>
      </c>
      <c r="Q370" s="463">
        <f t="shared" si="59"/>
        <v>0</v>
      </c>
      <c r="R370" s="463">
        <f t="shared" si="59"/>
        <v>0</v>
      </c>
      <c r="S370" s="464"/>
    </row>
    <row r="371" spans="1:19" ht="12.75" hidden="1" thickBot="1">
      <c r="A371" s="24" t="s">
        <v>367</v>
      </c>
      <c r="B371" s="16" t="s">
        <v>1281</v>
      </c>
      <c r="C371" s="26" t="s">
        <v>7</v>
      </c>
      <c r="D371" s="27"/>
      <c r="E371" s="466"/>
      <c r="F371" s="466"/>
      <c r="G371" s="466"/>
      <c r="H371" s="27"/>
      <c r="I371" s="467"/>
      <c r="J371" s="467"/>
      <c r="K371" s="467"/>
      <c r="L371" s="466"/>
      <c r="M371" s="466"/>
      <c r="N371" s="467"/>
      <c r="O371" s="28"/>
      <c r="P371" s="467"/>
      <c r="Q371" s="467"/>
      <c r="R371" s="467"/>
      <c r="S371" s="466"/>
    </row>
    <row r="372" spans="1:19" ht="12.75" hidden="1" thickBot="1">
      <c r="A372" s="2" t="s">
        <v>367</v>
      </c>
      <c r="B372" s="1" t="s">
        <v>1282</v>
      </c>
      <c r="C372" s="2" t="s">
        <v>368</v>
      </c>
      <c r="D372" s="463">
        <f t="shared" ref="D372:R388" si="62">ROUND(SUMIFS(D$409:D$780,$B$409:$B$780,$B372,$C$409:$C$780,$C372),0)</f>
        <v>0</v>
      </c>
      <c r="E372" s="463">
        <f t="shared" si="62"/>
        <v>0</v>
      </c>
      <c r="F372" s="463">
        <f t="shared" si="62"/>
        <v>0</v>
      </c>
      <c r="G372" s="463">
        <f t="shared" si="62"/>
        <v>0</v>
      </c>
      <c r="H372" s="463">
        <f t="shared" ref="H372:H403" si="63">ROUND(SUMIFS(H$409:H$780,$B$409:$B$780,$B372,$C$409:$C$780,$C372)*1000,0)</f>
        <v>0</v>
      </c>
      <c r="I372" s="463">
        <f t="shared" si="62"/>
        <v>0</v>
      </c>
      <c r="J372" s="463">
        <f t="shared" si="62"/>
        <v>0</v>
      </c>
      <c r="K372" s="463">
        <f t="shared" si="62"/>
        <v>0</v>
      </c>
      <c r="L372" s="463">
        <f t="shared" si="62"/>
        <v>0</v>
      </c>
      <c r="M372" s="463">
        <f t="shared" si="62"/>
        <v>0</v>
      </c>
      <c r="N372" s="463">
        <f t="shared" si="62"/>
        <v>0</v>
      </c>
      <c r="O372" s="463">
        <f t="shared" si="62"/>
        <v>0</v>
      </c>
      <c r="P372" s="463">
        <f t="shared" si="62"/>
        <v>0</v>
      </c>
      <c r="Q372" s="463">
        <f t="shared" si="62"/>
        <v>0</v>
      </c>
      <c r="R372" s="463">
        <f t="shared" si="62"/>
        <v>0</v>
      </c>
      <c r="S372" s="464"/>
    </row>
    <row r="373" spans="1:19" ht="12.75" hidden="1" thickBot="1">
      <c r="A373" s="2" t="s">
        <v>367</v>
      </c>
      <c r="B373" s="1" t="s">
        <v>1282</v>
      </c>
      <c r="C373" s="2" t="s">
        <v>370</v>
      </c>
      <c r="D373" s="463">
        <f t="shared" si="62"/>
        <v>28209</v>
      </c>
      <c r="E373" s="463">
        <f t="shared" si="62"/>
        <v>0</v>
      </c>
      <c r="F373" s="463">
        <f t="shared" si="62"/>
        <v>0</v>
      </c>
      <c r="G373" s="463">
        <f t="shared" si="62"/>
        <v>0</v>
      </c>
      <c r="H373" s="463">
        <f t="shared" si="63"/>
        <v>30941036</v>
      </c>
      <c r="I373" s="463">
        <f t="shared" si="62"/>
        <v>0</v>
      </c>
      <c r="J373" s="463">
        <f t="shared" si="62"/>
        <v>0</v>
      </c>
      <c r="K373" s="463">
        <f t="shared" si="62"/>
        <v>0</v>
      </c>
      <c r="L373" s="463">
        <f t="shared" si="62"/>
        <v>0</v>
      </c>
      <c r="M373" s="463">
        <f t="shared" si="62"/>
        <v>0</v>
      </c>
      <c r="N373" s="463">
        <f t="shared" si="62"/>
        <v>0</v>
      </c>
      <c r="O373" s="463">
        <f t="shared" si="62"/>
        <v>0</v>
      </c>
      <c r="P373" s="463">
        <f t="shared" si="62"/>
        <v>0</v>
      </c>
      <c r="Q373" s="463">
        <f t="shared" si="62"/>
        <v>0</v>
      </c>
      <c r="R373" s="463">
        <f t="shared" si="62"/>
        <v>0</v>
      </c>
      <c r="S373" s="464"/>
    </row>
    <row r="374" spans="1:19" ht="12.75" hidden="1" thickBot="1">
      <c r="A374" s="2" t="s">
        <v>367</v>
      </c>
      <c r="B374" s="1" t="s">
        <v>1282</v>
      </c>
      <c r="C374" s="2" t="s">
        <v>371</v>
      </c>
      <c r="D374" s="463">
        <f t="shared" si="62"/>
        <v>0</v>
      </c>
      <c r="E374" s="463">
        <f t="shared" si="62"/>
        <v>0</v>
      </c>
      <c r="F374" s="463">
        <f t="shared" si="62"/>
        <v>0</v>
      </c>
      <c r="G374" s="463">
        <f t="shared" si="62"/>
        <v>0</v>
      </c>
      <c r="H374" s="463">
        <f t="shared" si="63"/>
        <v>0</v>
      </c>
      <c r="I374" s="463">
        <f t="shared" si="62"/>
        <v>0</v>
      </c>
      <c r="J374" s="463">
        <f t="shared" si="62"/>
        <v>0</v>
      </c>
      <c r="K374" s="463">
        <f t="shared" si="62"/>
        <v>0</v>
      </c>
      <c r="L374" s="463">
        <f t="shared" si="62"/>
        <v>0</v>
      </c>
      <c r="M374" s="463">
        <f t="shared" si="62"/>
        <v>0</v>
      </c>
      <c r="N374" s="463">
        <f t="shared" si="62"/>
        <v>0</v>
      </c>
      <c r="O374" s="463">
        <f t="shared" si="62"/>
        <v>0</v>
      </c>
      <c r="P374" s="463">
        <f t="shared" si="62"/>
        <v>0</v>
      </c>
      <c r="Q374" s="463">
        <f t="shared" si="62"/>
        <v>0</v>
      </c>
      <c r="R374" s="463">
        <f t="shared" si="62"/>
        <v>0</v>
      </c>
      <c r="S374" s="464"/>
    </row>
    <row r="375" spans="1:19" ht="12.75" hidden="1" thickBot="1">
      <c r="A375" s="2" t="s">
        <v>367</v>
      </c>
      <c r="B375" s="1" t="s">
        <v>1282</v>
      </c>
      <c r="C375" s="2" t="s">
        <v>372</v>
      </c>
      <c r="D375" s="463">
        <f t="shared" si="62"/>
        <v>0</v>
      </c>
      <c r="E375" s="463">
        <f t="shared" si="62"/>
        <v>0</v>
      </c>
      <c r="F375" s="463">
        <f t="shared" si="62"/>
        <v>0</v>
      </c>
      <c r="G375" s="463">
        <f t="shared" si="62"/>
        <v>0</v>
      </c>
      <c r="H375" s="463">
        <f t="shared" si="63"/>
        <v>0</v>
      </c>
      <c r="I375" s="463">
        <f t="shared" si="62"/>
        <v>0</v>
      </c>
      <c r="J375" s="463">
        <f t="shared" si="62"/>
        <v>0</v>
      </c>
      <c r="K375" s="463">
        <f t="shared" si="62"/>
        <v>0</v>
      </c>
      <c r="L375" s="463">
        <f t="shared" si="62"/>
        <v>0</v>
      </c>
      <c r="M375" s="463">
        <f t="shared" si="62"/>
        <v>0</v>
      </c>
      <c r="N375" s="463">
        <f t="shared" si="62"/>
        <v>0</v>
      </c>
      <c r="O375" s="463">
        <f t="shared" si="62"/>
        <v>0</v>
      </c>
      <c r="P375" s="463">
        <f t="shared" si="62"/>
        <v>0</v>
      </c>
      <c r="Q375" s="463">
        <f t="shared" si="62"/>
        <v>0</v>
      </c>
      <c r="R375" s="463">
        <f t="shared" si="62"/>
        <v>0</v>
      </c>
      <c r="S375" s="464"/>
    </row>
    <row r="376" spans="1:19" ht="12.75" hidden="1" thickBot="1">
      <c r="A376" s="2" t="s">
        <v>367</v>
      </c>
      <c r="B376" s="1" t="s">
        <v>1282</v>
      </c>
      <c r="C376" s="2" t="s">
        <v>374</v>
      </c>
      <c r="D376" s="463">
        <f t="shared" si="62"/>
        <v>0</v>
      </c>
      <c r="E376" s="463">
        <f t="shared" si="62"/>
        <v>0</v>
      </c>
      <c r="F376" s="463">
        <f t="shared" si="62"/>
        <v>0</v>
      </c>
      <c r="G376" s="463">
        <f t="shared" si="62"/>
        <v>0</v>
      </c>
      <c r="H376" s="463">
        <f t="shared" si="63"/>
        <v>0</v>
      </c>
      <c r="I376" s="463">
        <f t="shared" si="62"/>
        <v>0</v>
      </c>
      <c r="J376" s="463">
        <f t="shared" si="62"/>
        <v>0</v>
      </c>
      <c r="K376" s="463">
        <f t="shared" si="62"/>
        <v>0</v>
      </c>
      <c r="L376" s="463">
        <f t="shared" si="62"/>
        <v>0</v>
      </c>
      <c r="M376" s="463">
        <f t="shared" si="62"/>
        <v>0</v>
      </c>
      <c r="N376" s="463">
        <f t="shared" si="62"/>
        <v>0</v>
      </c>
      <c r="O376" s="463">
        <f t="shared" si="62"/>
        <v>0</v>
      </c>
      <c r="P376" s="463">
        <f t="shared" si="62"/>
        <v>0</v>
      </c>
      <c r="Q376" s="463">
        <f t="shared" si="62"/>
        <v>0</v>
      </c>
      <c r="R376" s="463">
        <f t="shared" si="62"/>
        <v>0</v>
      </c>
      <c r="S376" s="464"/>
    </row>
    <row r="377" spans="1:19" ht="12.75" hidden="1" thickBot="1">
      <c r="A377" s="2" t="s">
        <v>367</v>
      </c>
      <c r="B377" s="1" t="s">
        <v>1282</v>
      </c>
      <c r="C377" s="2" t="s">
        <v>375</v>
      </c>
      <c r="D377" s="463">
        <f t="shared" si="62"/>
        <v>2579</v>
      </c>
      <c r="E377" s="463">
        <f t="shared" si="62"/>
        <v>0</v>
      </c>
      <c r="F377" s="463">
        <f t="shared" si="62"/>
        <v>0</v>
      </c>
      <c r="G377" s="463">
        <f t="shared" si="62"/>
        <v>0</v>
      </c>
      <c r="H377" s="463">
        <f t="shared" si="63"/>
        <v>135751631</v>
      </c>
      <c r="I377" s="463">
        <f t="shared" si="62"/>
        <v>0</v>
      </c>
      <c r="J377" s="463">
        <f t="shared" si="62"/>
        <v>0</v>
      </c>
      <c r="K377" s="463">
        <f t="shared" si="62"/>
        <v>0</v>
      </c>
      <c r="L377" s="463">
        <f t="shared" si="62"/>
        <v>0</v>
      </c>
      <c r="M377" s="463">
        <f t="shared" si="62"/>
        <v>0</v>
      </c>
      <c r="N377" s="463">
        <f t="shared" si="62"/>
        <v>0</v>
      </c>
      <c r="O377" s="463">
        <f t="shared" si="62"/>
        <v>0</v>
      </c>
      <c r="P377" s="463">
        <f t="shared" ref="P377" si="64">R377</f>
        <v>333856</v>
      </c>
      <c r="Q377" s="463">
        <f t="shared" si="62"/>
        <v>0</v>
      </c>
      <c r="R377" s="463">
        <f t="shared" si="62"/>
        <v>333856</v>
      </c>
      <c r="S377" s="465"/>
    </row>
    <row r="378" spans="1:19" ht="12.75" hidden="1" thickBot="1">
      <c r="A378" s="2" t="s">
        <v>367</v>
      </c>
      <c r="B378" s="1" t="s">
        <v>1282</v>
      </c>
      <c r="C378" s="2" t="s">
        <v>376</v>
      </c>
      <c r="D378" s="463">
        <f t="shared" si="62"/>
        <v>52</v>
      </c>
      <c r="E378" s="463">
        <f t="shared" si="62"/>
        <v>0</v>
      </c>
      <c r="F378" s="463">
        <f t="shared" si="62"/>
        <v>0</v>
      </c>
      <c r="G378" s="463">
        <f t="shared" si="62"/>
        <v>0</v>
      </c>
      <c r="H378" s="463">
        <f t="shared" si="63"/>
        <v>11973010</v>
      </c>
      <c r="I378" s="463">
        <f t="shared" si="62"/>
        <v>0</v>
      </c>
      <c r="J378" s="463">
        <f t="shared" si="62"/>
        <v>0</v>
      </c>
      <c r="K378" s="463">
        <f t="shared" si="62"/>
        <v>0</v>
      </c>
      <c r="L378" s="463">
        <f t="shared" si="62"/>
        <v>0</v>
      </c>
      <c r="M378" s="463">
        <f t="shared" si="62"/>
        <v>0</v>
      </c>
      <c r="N378" s="463">
        <f t="shared" si="62"/>
        <v>0</v>
      </c>
      <c r="O378" s="463">
        <f t="shared" si="62"/>
        <v>0</v>
      </c>
      <c r="P378" s="463">
        <f t="shared" ref="P378" si="65">R378</f>
        <v>28734</v>
      </c>
      <c r="Q378" s="463">
        <f t="shared" si="62"/>
        <v>0</v>
      </c>
      <c r="R378" s="463">
        <f t="shared" si="62"/>
        <v>28734</v>
      </c>
      <c r="S378" s="465"/>
    </row>
    <row r="379" spans="1:19" ht="12.75" hidden="1" thickBot="1">
      <c r="A379" s="2" t="s">
        <v>367</v>
      </c>
      <c r="B379" s="1" t="s">
        <v>1282</v>
      </c>
      <c r="C379" s="2" t="s">
        <v>377</v>
      </c>
      <c r="D379" s="463">
        <f t="shared" si="62"/>
        <v>0</v>
      </c>
      <c r="E379" s="463">
        <f t="shared" si="62"/>
        <v>0</v>
      </c>
      <c r="F379" s="463">
        <f t="shared" si="62"/>
        <v>0</v>
      </c>
      <c r="G379" s="463">
        <f t="shared" si="62"/>
        <v>0</v>
      </c>
      <c r="H379" s="463">
        <f t="shared" si="63"/>
        <v>0</v>
      </c>
      <c r="I379" s="463">
        <f t="shared" si="62"/>
        <v>0</v>
      </c>
      <c r="J379" s="463">
        <f t="shared" si="62"/>
        <v>0</v>
      </c>
      <c r="K379" s="463">
        <f t="shared" si="62"/>
        <v>0</v>
      </c>
      <c r="L379" s="463">
        <f t="shared" si="62"/>
        <v>0</v>
      </c>
      <c r="M379" s="463">
        <f t="shared" si="62"/>
        <v>0</v>
      </c>
      <c r="N379" s="463">
        <f t="shared" si="62"/>
        <v>0</v>
      </c>
      <c r="O379" s="463">
        <f t="shared" si="62"/>
        <v>0</v>
      </c>
      <c r="P379" s="463">
        <f t="shared" si="62"/>
        <v>0</v>
      </c>
      <c r="Q379" s="463">
        <f t="shared" si="62"/>
        <v>0</v>
      </c>
      <c r="R379" s="463">
        <f t="shared" si="62"/>
        <v>0</v>
      </c>
      <c r="S379" s="465"/>
    </row>
    <row r="380" spans="1:19" ht="12.75" hidden="1" thickBot="1">
      <c r="A380" s="2" t="s">
        <v>367</v>
      </c>
      <c r="B380" s="1" t="s">
        <v>1282</v>
      </c>
      <c r="C380" s="2" t="s">
        <v>378</v>
      </c>
      <c r="D380" s="463">
        <f t="shared" si="62"/>
        <v>221</v>
      </c>
      <c r="E380" s="463">
        <f t="shared" si="62"/>
        <v>0</v>
      </c>
      <c r="F380" s="463">
        <f t="shared" si="62"/>
        <v>0</v>
      </c>
      <c r="G380" s="463">
        <f t="shared" si="62"/>
        <v>0</v>
      </c>
      <c r="H380" s="463">
        <f t="shared" si="63"/>
        <v>63933591</v>
      </c>
      <c r="I380" s="463">
        <f t="shared" si="62"/>
        <v>0</v>
      </c>
      <c r="J380" s="463">
        <f t="shared" si="62"/>
        <v>0</v>
      </c>
      <c r="K380" s="463">
        <f t="shared" si="62"/>
        <v>0</v>
      </c>
      <c r="L380" s="463">
        <f t="shared" si="62"/>
        <v>0</v>
      </c>
      <c r="M380" s="463">
        <f t="shared" si="62"/>
        <v>0</v>
      </c>
      <c r="N380" s="463">
        <f t="shared" si="62"/>
        <v>0</v>
      </c>
      <c r="O380" s="463">
        <f t="shared" si="62"/>
        <v>139785</v>
      </c>
      <c r="P380" s="463">
        <f t="shared" si="62"/>
        <v>130277</v>
      </c>
      <c r="Q380" s="463">
        <f t="shared" si="62"/>
        <v>127194</v>
      </c>
      <c r="R380" s="463">
        <f t="shared" si="62"/>
        <v>0</v>
      </c>
      <c r="S380" s="465"/>
    </row>
    <row r="381" spans="1:19" ht="12.75" hidden="1" thickBot="1">
      <c r="A381" s="2" t="s">
        <v>367</v>
      </c>
      <c r="B381" s="1" t="s">
        <v>1282</v>
      </c>
      <c r="C381" s="2" t="s">
        <v>379</v>
      </c>
      <c r="D381" s="463">
        <f t="shared" si="62"/>
        <v>39</v>
      </c>
      <c r="E381" s="463">
        <f t="shared" si="62"/>
        <v>0</v>
      </c>
      <c r="F381" s="463">
        <f t="shared" si="62"/>
        <v>0</v>
      </c>
      <c r="G381" s="463">
        <f t="shared" si="62"/>
        <v>0</v>
      </c>
      <c r="H381" s="463">
        <f t="shared" si="63"/>
        <v>29882690</v>
      </c>
      <c r="I381" s="463">
        <f t="shared" si="62"/>
        <v>0</v>
      </c>
      <c r="J381" s="463">
        <f t="shared" si="62"/>
        <v>0</v>
      </c>
      <c r="K381" s="463">
        <f t="shared" si="62"/>
        <v>0</v>
      </c>
      <c r="L381" s="463">
        <f t="shared" si="62"/>
        <v>0</v>
      </c>
      <c r="M381" s="463">
        <f t="shared" si="62"/>
        <v>0</v>
      </c>
      <c r="N381" s="463">
        <f t="shared" si="62"/>
        <v>0</v>
      </c>
      <c r="O381" s="463">
        <f t="shared" si="62"/>
        <v>72450</v>
      </c>
      <c r="P381" s="463">
        <f t="shared" si="62"/>
        <v>66090</v>
      </c>
      <c r="Q381" s="463">
        <f t="shared" si="62"/>
        <v>62924</v>
      </c>
      <c r="R381" s="463">
        <f t="shared" si="62"/>
        <v>0</v>
      </c>
      <c r="S381" s="464"/>
    </row>
    <row r="382" spans="1:19" ht="12.75" hidden="1" thickBot="1">
      <c r="A382" s="2" t="s">
        <v>367</v>
      </c>
      <c r="B382" s="1" t="s">
        <v>1282</v>
      </c>
      <c r="C382" s="2" t="s">
        <v>381</v>
      </c>
      <c r="D382" s="463">
        <f t="shared" si="62"/>
        <v>16380</v>
      </c>
      <c r="E382" s="463">
        <f t="shared" si="62"/>
        <v>0</v>
      </c>
      <c r="F382" s="463">
        <f t="shared" si="62"/>
        <v>0</v>
      </c>
      <c r="G382" s="463">
        <f t="shared" si="62"/>
        <v>0</v>
      </c>
      <c r="H382" s="463">
        <f t="shared" si="63"/>
        <v>78915468</v>
      </c>
      <c r="I382" s="463">
        <f t="shared" si="62"/>
        <v>0</v>
      </c>
      <c r="J382" s="463">
        <f t="shared" si="62"/>
        <v>0</v>
      </c>
      <c r="K382" s="463">
        <f t="shared" si="62"/>
        <v>0</v>
      </c>
      <c r="L382" s="463">
        <f t="shared" si="62"/>
        <v>0</v>
      </c>
      <c r="M382" s="463">
        <f t="shared" si="62"/>
        <v>0</v>
      </c>
      <c r="N382" s="463">
        <f t="shared" si="62"/>
        <v>0</v>
      </c>
      <c r="O382" s="463">
        <f>R382</f>
        <v>192223</v>
      </c>
      <c r="P382" s="463">
        <f t="shared" si="62"/>
        <v>0</v>
      </c>
      <c r="Q382" s="463">
        <f t="shared" si="62"/>
        <v>0</v>
      </c>
      <c r="R382" s="463">
        <f t="shared" si="62"/>
        <v>192223</v>
      </c>
      <c r="S382" s="464"/>
    </row>
    <row r="383" spans="1:19" ht="12.75" hidden="1" thickBot="1">
      <c r="A383" s="2" t="s">
        <v>367</v>
      </c>
      <c r="B383" s="1" t="s">
        <v>1282</v>
      </c>
      <c r="C383" s="2" t="s">
        <v>382</v>
      </c>
      <c r="D383" s="463">
        <f t="shared" si="62"/>
        <v>0</v>
      </c>
      <c r="E383" s="463">
        <f t="shared" si="62"/>
        <v>0</v>
      </c>
      <c r="F383" s="463">
        <f t="shared" si="62"/>
        <v>0</v>
      </c>
      <c r="G383" s="463">
        <f t="shared" si="62"/>
        <v>0</v>
      </c>
      <c r="H383" s="463">
        <f t="shared" si="63"/>
        <v>0</v>
      </c>
      <c r="I383" s="463">
        <f t="shared" si="62"/>
        <v>0</v>
      </c>
      <c r="J383" s="463">
        <f t="shared" si="62"/>
        <v>0</v>
      </c>
      <c r="K383" s="463">
        <f t="shared" si="62"/>
        <v>0</v>
      </c>
      <c r="L383" s="463">
        <f t="shared" si="62"/>
        <v>0</v>
      </c>
      <c r="M383" s="463">
        <f t="shared" si="62"/>
        <v>0</v>
      </c>
      <c r="N383" s="463">
        <f t="shared" si="62"/>
        <v>0</v>
      </c>
      <c r="O383" s="463">
        <f t="shared" si="62"/>
        <v>0</v>
      </c>
      <c r="P383" s="463">
        <f t="shared" si="62"/>
        <v>0</v>
      </c>
      <c r="Q383" s="463">
        <f t="shared" si="62"/>
        <v>0</v>
      </c>
      <c r="R383" s="463">
        <f t="shared" si="62"/>
        <v>0</v>
      </c>
      <c r="S383" s="464"/>
    </row>
    <row r="384" spans="1:19" ht="12.75" hidden="1" thickBot="1">
      <c r="A384" s="2" t="s">
        <v>367</v>
      </c>
      <c r="B384" s="1" t="s">
        <v>1282</v>
      </c>
      <c r="C384" s="2" t="s">
        <v>384</v>
      </c>
      <c r="D384" s="463">
        <f t="shared" si="62"/>
        <v>0</v>
      </c>
      <c r="E384" s="463">
        <f t="shared" si="62"/>
        <v>0</v>
      </c>
      <c r="F384" s="463">
        <f t="shared" si="62"/>
        <v>0</v>
      </c>
      <c r="G384" s="463">
        <f t="shared" si="62"/>
        <v>0</v>
      </c>
      <c r="H384" s="463">
        <f t="shared" si="63"/>
        <v>0</v>
      </c>
      <c r="I384" s="463">
        <f t="shared" si="62"/>
        <v>0</v>
      </c>
      <c r="J384" s="463">
        <f t="shared" si="62"/>
        <v>0</v>
      </c>
      <c r="K384" s="463">
        <f t="shared" si="62"/>
        <v>0</v>
      </c>
      <c r="L384" s="463">
        <f t="shared" si="62"/>
        <v>0</v>
      </c>
      <c r="M384" s="463">
        <f t="shared" si="62"/>
        <v>0</v>
      </c>
      <c r="N384" s="463">
        <f t="shared" si="62"/>
        <v>0</v>
      </c>
      <c r="O384" s="463">
        <f t="shared" si="62"/>
        <v>0</v>
      </c>
      <c r="P384" s="463">
        <f t="shared" si="62"/>
        <v>0</v>
      </c>
      <c r="Q384" s="463">
        <f t="shared" si="62"/>
        <v>0</v>
      </c>
      <c r="R384" s="463">
        <f t="shared" si="62"/>
        <v>0</v>
      </c>
      <c r="S384" s="464"/>
    </row>
    <row r="385" spans="1:19" ht="12.75" hidden="1" thickBot="1">
      <c r="A385" s="2" t="s">
        <v>367</v>
      </c>
      <c r="B385" s="1" t="s">
        <v>1282</v>
      </c>
      <c r="C385" s="2" t="s">
        <v>385</v>
      </c>
      <c r="D385" s="463">
        <f t="shared" si="62"/>
        <v>2</v>
      </c>
      <c r="E385" s="463">
        <f t="shared" si="62"/>
        <v>0</v>
      </c>
      <c r="F385" s="463">
        <f t="shared" si="62"/>
        <v>0</v>
      </c>
      <c r="G385" s="463">
        <f t="shared" si="62"/>
        <v>0</v>
      </c>
      <c r="H385" s="463">
        <f t="shared" si="63"/>
        <v>4790100</v>
      </c>
      <c r="I385" s="463">
        <f t="shared" si="62"/>
        <v>0</v>
      </c>
      <c r="J385" s="463">
        <f t="shared" si="62"/>
        <v>0</v>
      </c>
      <c r="K385" s="463">
        <f t="shared" si="62"/>
        <v>0</v>
      </c>
      <c r="L385" s="463">
        <f t="shared" si="62"/>
        <v>0</v>
      </c>
      <c r="M385" s="463">
        <f t="shared" si="62"/>
        <v>0</v>
      </c>
      <c r="N385" s="463">
        <f t="shared" si="62"/>
        <v>0</v>
      </c>
      <c r="O385" s="463">
        <f t="shared" si="62"/>
        <v>0</v>
      </c>
      <c r="P385" s="463">
        <f>R385</f>
        <v>9472</v>
      </c>
      <c r="Q385" s="463">
        <f t="shared" si="62"/>
        <v>0</v>
      </c>
      <c r="R385" s="463">
        <f t="shared" si="62"/>
        <v>9472</v>
      </c>
      <c r="S385" s="464"/>
    </row>
    <row r="386" spans="1:19" ht="12.75" hidden="1" thickBot="1">
      <c r="A386" s="2" t="s">
        <v>367</v>
      </c>
      <c r="B386" s="1" t="s">
        <v>1282</v>
      </c>
      <c r="C386" s="2" t="s">
        <v>1223</v>
      </c>
      <c r="D386" s="463">
        <f t="shared" si="62"/>
        <v>0</v>
      </c>
      <c r="E386" s="463">
        <f t="shared" si="62"/>
        <v>0</v>
      </c>
      <c r="F386" s="463">
        <f t="shared" si="62"/>
        <v>0</v>
      </c>
      <c r="G386" s="463">
        <f t="shared" si="62"/>
        <v>0</v>
      </c>
      <c r="H386" s="463">
        <f t="shared" si="63"/>
        <v>0</v>
      </c>
      <c r="I386" s="463">
        <f t="shared" si="62"/>
        <v>0</v>
      </c>
      <c r="J386" s="463">
        <f t="shared" si="62"/>
        <v>0</v>
      </c>
      <c r="K386" s="463">
        <f t="shared" si="62"/>
        <v>0</v>
      </c>
      <c r="L386" s="463">
        <f t="shared" si="62"/>
        <v>0</v>
      </c>
      <c r="M386" s="463">
        <f t="shared" si="62"/>
        <v>0</v>
      </c>
      <c r="N386" s="463">
        <f t="shared" si="62"/>
        <v>0</v>
      </c>
      <c r="O386" s="463">
        <f t="shared" si="62"/>
        <v>0</v>
      </c>
      <c r="P386" s="463">
        <f t="shared" si="62"/>
        <v>0</v>
      </c>
      <c r="Q386" s="463">
        <f t="shared" si="62"/>
        <v>0</v>
      </c>
      <c r="R386" s="463">
        <f t="shared" si="62"/>
        <v>0</v>
      </c>
      <c r="S386" s="464"/>
    </row>
    <row r="387" spans="1:19" ht="12.75" hidden="1" thickBot="1">
      <c r="A387" s="2" t="s">
        <v>367</v>
      </c>
      <c r="B387" s="1" t="s">
        <v>1282</v>
      </c>
      <c r="C387" s="2" t="s">
        <v>386</v>
      </c>
      <c r="D387" s="463">
        <f t="shared" si="62"/>
        <v>0</v>
      </c>
      <c r="E387" s="463">
        <f t="shared" si="62"/>
        <v>0</v>
      </c>
      <c r="F387" s="463">
        <f t="shared" si="62"/>
        <v>0</v>
      </c>
      <c r="G387" s="463">
        <f t="shared" si="62"/>
        <v>0</v>
      </c>
      <c r="H387" s="463">
        <f t="shared" si="63"/>
        <v>0</v>
      </c>
      <c r="I387" s="463">
        <f t="shared" si="62"/>
        <v>0</v>
      </c>
      <c r="J387" s="463">
        <f t="shared" si="62"/>
        <v>0</v>
      </c>
      <c r="K387" s="463">
        <f t="shared" si="62"/>
        <v>0</v>
      </c>
      <c r="L387" s="463">
        <f t="shared" si="62"/>
        <v>0</v>
      </c>
      <c r="M387" s="463">
        <f t="shared" si="62"/>
        <v>0</v>
      </c>
      <c r="N387" s="463">
        <f t="shared" si="62"/>
        <v>0</v>
      </c>
      <c r="O387" s="463">
        <f t="shared" si="62"/>
        <v>0</v>
      </c>
      <c r="P387" s="463">
        <f t="shared" si="62"/>
        <v>0</v>
      </c>
      <c r="Q387" s="463">
        <f t="shared" si="62"/>
        <v>0</v>
      </c>
      <c r="R387" s="463">
        <f t="shared" si="62"/>
        <v>0</v>
      </c>
      <c r="S387" s="464"/>
    </row>
    <row r="388" spans="1:19" ht="12.75" hidden="1" thickBot="1">
      <c r="A388" s="2" t="s">
        <v>367</v>
      </c>
      <c r="B388" s="1" t="s">
        <v>1282</v>
      </c>
      <c r="C388" s="2" t="s">
        <v>387</v>
      </c>
      <c r="D388" s="463">
        <f t="shared" si="62"/>
        <v>1</v>
      </c>
      <c r="E388" s="463">
        <f t="shared" si="62"/>
        <v>0</v>
      </c>
      <c r="F388" s="463">
        <f t="shared" si="62"/>
        <v>0</v>
      </c>
      <c r="G388" s="463">
        <f t="shared" si="62"/>
        <v>0</v>
      </c>
      <c r="H388" s="463">
        <f t="shared" si="63"/>
        <v>9529000</v>
      </c>
      <c r="I388" s="463">
        <f t="shared" si="62"/>
        <v>0</v>
      </c>
      <c r="J388" s="463">
        <f t="shared" si="62"/>
        <v>0</v>
      </c>
      <c r="K388" s="463">
        <f t="shared" si="62"/>
        <v>0</v>
      </c>
      <c r="L388" s="463">
        <f t="shared" si="62"/>
        <v>0</v>
      </c>
      <c r="M388" s="463">
        <f t="shared" si="62"/>
        <v>0</v>
      </c>
      <c r="N388" s="463">
        <f t="shared" si="62"/>
        <v>0</v>
      </c>
      <c r="O388" s="463">
        <f t="shared" si="62"/>
        <v>0</v>
      </c>
      <c r="P388" s="463">
        <f>R388</f>
        <v>12334</v>
      </c>
      <c r="Q388" s="463">
        <f t="shared" si="62"/>
        <v>0</v>
      </c>
      <c r="R388" s="463">
        <f t="shared" si="62"/>
        <v>12334</v>
      </c>
      <c r="S388" s="465"/>
    </row>
    <row r="389" spans="1:19" ht="12.75" hidden="1" thickBot="1">
      <c r="A389" s="2" t="s">
        <v>367</v>
      </c>
      <c r="B389" s="1" t="s">
        <v>1282</v>
      </c>
      <c r="C389" s="2" t="s">
        <v>388</v>
      </c>
      <c r="D389" s="463">
        <f t="shared" ref="D389:R403" si="66">ROUND(SUMIFS(D$409:D$780,$B$409:$B$780,$B389,$C$409:$C$780,$C389),0)</f>
        <v>12</v>
      </c>
      <c r="E389" s="463">
        <f t="shared" si="66"/>
        <v>0</v>
      </c>
      <c r="F389" s="463">
        <f t="shared" si="66"/>
        <v>0</v>
      </c>
      <c r="G389" s="463">
        <f t="shared" si="66"/>
        <v>0</v>
      </c>
      <c r="H389" s="463">
        <f t="shared" si="63"/>
        <v>76289433</v>
      </c>
      <c r="I389" s="463">
        <f t="shared" si="66"/>
        <v>0</v>
      </c>
      <c r="J389" s="463">
        <f t="shared" si="66"/>
        <v>0</v>
      </c>
      <c r="K389" s="463">
        <f t="shared" si="66"/>
        <v>0</v>
      </c>
      <c r="L389" s="463">
        <f t="shared" si="66"/>
        <v>0</v>
      </c>
      <c r="M389" s="463">
        <f t="shared" si="66"/>
        <v>0</v>
      </c>
      <c r="N389" s="463">
        <f t="shared" si="66"/>
        <v>0</v>
      </c>
      <c r="O389" s="463">
        <f t="shared" si="66"/>
        <v>155352</v>
      </c>
      <c r="P389" s="463">
        <f t="shared" si="66"/>
        <v>147641</v>
      </c>
      <c r="Q389" s="463">
        <f t="shared" si="66"/>
        <v>99948</v>
      </c>
      <c r="R389" s="463">
        <f t="shared" si="66"/>
        <v>0</v>
      </c>
      <c r="S389" s="464"/>
    </row>
    <row r="390" spans="1:19" ht="12.75" hidden="1" thickBot="1">
      <c r="A390" s="2" t="s">
        <v>367</v>
      </c>
      <c r="B390" s="1" t="s">
        <v>1282</v>
      </c>
      <c r="C390" s="2" t="s">
        <v>389</v>
      </c>
      <c r="D390" s="463">
        <f t="shared" si="66"/>
        <v>214</v>
      </c>
      <c r="E390" s="463">
        <f t="shared" si="66"/>
        <v>0</v>
      </c>
      <c r="F390" s="463">
        <f t="shared" si="66"/>
        <v>0</v>
      </c>
      <c r="G390" s="463">
        <f t="shared" si="66"/>
        <v>0</v>
      </c>
      <c r="H390" s="463">
        <f t="shared" si="63"/>
        <v>18982755</v>
      </c>
      <c r="I390" s="463">
        <f t="shared" si="66"/>
        <v>0</v>
      </c>
      <c r="J390" s="463">
        <f t="shared" si="66"/>
        <v>0</v>
      </c>
      <c r="K390" s="463">
        <f t="shared" si="66"/>
        <v>0</v>
      </c>
      <c r="L390" s="463">
        <f t="shared" si="66"/>
        <v>0</v>
      </c>
      <c r="M390" s="463">
        <f t="shared" si="66"/>
        <v>0</v>
      </c>
      <c r="N390" s="463">
        <f t="shared" si="66"/>
        <v>0</v>
      </c>
      <c r="O390" s="463">
        <f t="shared" si="66"/>
        <v>0</v>
      </c>
      <c r="P390" s="463">
        <f t="shared" ref="P390" si="67">R390</f>
        <v>59075</v>
      </c>
      <c r="Q390" s="463">
        <f t="shared" si="66"/>
        <v>0</v>
      </c>
      <c r="R390" s="463">
        <f t="shared" si="66"/>
        <v>59075</v>
      </c>
      <c r="S390" s="465"/>
    </row>
    <row r="391" spans="1:19" ht="12.75" hidden="1" thickBot="1">
      <c r="A391" s="2" t="s">
        <v>367</v>
      </c>
      <c r="B391" s="1" t="s">
        <v>1282</v>
      </c>
      <c r="C391" s="2" t="s">
        <v>390</v>
      </c>
      <c r="D391" s="463">
        <f t="shared" si="66"/>
        <v>21</v>
      </c>
      <c r="E391" s="463">
        <f t="shared" si="66"/>
        <v>0</v>
      </c>
      <c r="F391" s="463">
        <f t="shared" si="66"/>
        <v>0</v>
      </c>
      <c r="G391" s="463">
        <f t="shared" si="66"/>
        <v>0</v>
      </c>
      <c r="H391" s="463">
        <f t="shared" si="63"/>
        <v>1085432</v>
      </c>
      <c r="I391" s="463">
        <f t="shared" si="66"/>
        <v>0</v>
      </c>
      <c r="J391" s="463">
        <f t="shared" si="66"/>
        <v>0</v>
      </c>
      <c r="K391" s="463">
        <f t="shared" si="66"/>
        <v>0</v>
      </c>
      <c r="L391" s="463">
        <f t="shared" si="66"/>
        <v>0</v>
      </c>
      <c r="M391" s="463">
        <f t="shared" si="66"/>
        <v>0</v>
      </c>
      <c r="N391" s="463">
        <f t="shared" si="66"/>
        <v>0</v>
      </c>
      <c r="O391" s="463">
        <f t="shared" si="66"/>
        <v>0</v>
      </c>
      <c r="P391" s="463">
        <f t="shared" ref="P391" si="68">R391</f>
        <v>3901</v>
      </c>
      <c r="Q391" s="463">
        <f t="shared" si="66"/>
        <v>0</v>
      </c>
      <c r="R391" s="463">
        <f t="shared" si="66"/>
        <v>3901</v>
      </c>
      <c r="S391" s="465"/>
    </row>
    <row r="392" spans="1:19" ht="12.75" hidden="1" thickBot="1">
      <c r="A392" s="2" t="s">
        <v>367</v>
      </c>
      <c r="B392" s="1" t="s">
        <v>1282</v>
      </c>
      <c r="C392" s="2" t="s">
        <v>391</v>
      </c>
      <c r="D392" s="463">
        <f t="shared" si="66"/>
        <v>98</v>
      </c>
      <c r="E392" s="463">
        <f t="shared" si="66"/>
        <v>0</v>
      </c>
      <c r="F392" s="463">
        <f t="shared" si="66"/>
        <v>0</v>
      </c>
      <c r="G392" s="463">
        <f t="shared" si="66"/>
        <v>0</v>
      </c>
      <c r="H392" s="463">
        <f t="shared" si="63"/>
        <v>20700534</v>
      </c>
      <c r="I392" s="463">
        <f t="shared" si="66"/>
        <v>0</v>
      </c>
      <c r="J392" s="463">
        <f t="shared" si="66"/>
        <v>0</v>
      </c>
      <c r="K392" s="463">
        <f t="shared" si="66"/>
        <v>0</v>
      </c>
      <c r="L392" s="463">
        <f t="shared" si="66"/>
        <v>0</v>
      </c>
      <c r="M392" s="463">
        <f t="shared" si="66"/>
        <v>0</v>
      </c>
      <c r="N392" s="463">
        <f t="shared" si="66"/>
        <v>0</v>
      </c>
      <c r="O392" s="463">
        <f t="shared" si="66"/>
        <v>51840</v>
      </c>
      <c r="P392" s="463">
        <f t="shared" si="66"/>
        <v>48096</v>
      </c>
      <c r="Q392" s="463">
        <f t="shared" si="66"/>
        <v>46727</v>
      </c>
      <c r="R392" s="463">
        <f t="shared" si="66"/>
        <v>0</v>
      </c>
      <c r="S392" s="465"/>
    </row>
    <row r="393" spans="1:19" ht="12.75" hidden="1" thickBot="1">
      <c r="A393" s="2" t="s">
        <v>367</v>
      </c>
      <c r="B393" s="1" t="s">
        <v>1282</v>
      </c>
      <c r="C393" s="2" t="s">
        <v>392</v>
      </c>
      <c r="D393" s="463">
        <f t="shared" si="66"/>
        <v>70</v>
      </c>
      <c r="E393" s="463">
        <f t="shared" si="66"/>
        <v>0</v>
      </c>
      <c r="F393" s="463">
        <f t="shared" si="66"/>
        <v>0</v>
      </c>
      <c r="G393" s="463">
        <f t="shared" si="66"/>
        <v>0</v>
      </c>
      <c r="H393" s="463">
        <f t="shared" si="63"/>
        <v>136872012</v>
      </c>
      <c r="I393" s="463">
        <f t="shared" si="66"/>
        <v>0</v>
      </c>
      <c r="J393" s="463">
        <f t="shared" si="66"/>
        <v>0</v>
      </c>
      <c r="K393" s="463">
        <f t="shared" si="66"/>
        <v>0</v>
      </c>
      <c r="L393" s="463">
        <f t="shared" si="66"/>
        <v>0</v>
      </c>
      <c r="M393" s="463">
        <f t="shared" si="66"/>
        <v>0</v>
      </c>
      <c r="N393" s="463">
        <f t="shared" si="66"/>
        <v>0</v>
      </c>
      <c r="O393" s="463">
        <f t="shared" si="66"/>
        <v>333146</v>
      </c>
      <c r="P393" s="463">
        <f t="shared" si="66"/>
        <v>302451</v>
      </c>
      <c r="Q393" s="463">
        <f t="shared" si="66"/>
        <v>298433</v>
      </c>
      <c r="R393" s="463">
        <f t="shared" si="66"/>
        <v>0</v>
      </c>
      <c r="S393" s="464"/>
    </row>
    <row r="394" spans="1:19" ht="12.75" hidden="1" thickBot="1">
      <c r="A394" s="2" t="s">
        <v>367</v>
      </c>
      <c r="B394" s="1" t="s">
        <v>1282</v>
      </c>
      <c r="C394" s="2" t="s">
        <v>394</v>
      </c>
      <c r="D394" s="463">
        <f t="shared" si="66"/>
        <v>0</v>
      </c>
      <c r="E394" s="463">
        <f t="shared" si="66"/>
        <v>0</v>
      </c>
      <c r="F394" s="463">
        <f t="shared" si="66"/>
        <v>0</v>
      </c>
      <c r="G394" s="463">
        <f t="shared" si="66"/>
        <v>0</v>
      </c>
      <c r="H394" s="463">
        <f t="shared" si="63"/>
        <v>0</v>
      </c>
      <c r="I394" s="463">
        <f t="shared" si="66"/>
        <v>0</v>
      </c>
      <c r="J394" s="463">
        <f t="shared" si="66"/>
        <v>0</v>
      </c>
      <c r="K394" s="463">
        <f t="shared" si="66"/>
        <v>0</v>
      </c>
      <c r="L394" s="463">
        <f t="shared" si="66"/>
        <v>0</v>
      </c>
      <c r="M394" s="463">
        <f t="shared" si="66"/>
        <v>0</v>
      </c>
      <c r="N394" s="463">
        <f t="shared" si="66"/>
        <v>0</v>
      </c>
      <c r="O394" s="463">
        <f t="shared" si="66"/>
        <v>0</v>
      </c>
      <c r="P394" s="463">
        <f t="shared" si="66"/>
        <v>0</v>
      </c>
      <c r="Q394" s="463">
        <f t="shared" si="66"/>
        <v>0</v>
      </c>
      <c r="R394" s="463">
        <f t="shared" si="66"/>
        <v>0</v>
      </c>
      <c r="S394" s="464"/>
    </row>
    <row r="395" spans="1:19" ht="12.75" hidden="1" thickBot="1">
      <c r="A395" s="2" t="s">
        <v>367</v>
      </c>
      <c r="B395" s="1" t="s">
        <v>1282</v>
      </c>
      <c r="C395" s="2" t="s">
        <v>395</v>
      </c>
      <c r="D395" s="463">
        <f t="shared" si="66"/>
        <v>156</v>
      </c>
      <c r="E395" s="463">
        <f t="shared" si="66"/>
        <v>0</v>
      </c>
      <c r="F395" s="463">
        <f t="shared" si="66"/>
        <v>0</v>
      </c>
      <c r="G395" s="463">
        <f t="shared" si="66"/>
        <v>0</v>
      </c>
      <c r="H395" s="463">
        <f t="shared" si="63"/>
        <v>359458</v>
      </c>
      <c r="I395" s="463">
        <f t="shared" si="66"/>
        <v>0</v>
      </c>
      <c r="J395" s="463">
        <f t="shared" si="66"/>
        <v>0</v>
      </c>
      <c r="K395" s="463">
        <f t="shared" si="66"/>
        <v>0</v>
      </c>
      <c r="L395" s="463">
        <f t="shared" si="66"/>
        <v>0</v>
      </c>
      <c r="M395" s="463">
        <f t="shared" si="66"/>
        <v>0</v>
      </c>
      <c r="N395" s="463">
        <f t="shared" si="66"/>
        <v>0</v>
      </c>
      <c r="O395" s="463">
        <f t="shared" si="66"/>
        <v>0</v>
      </c>
      <c r="P395" s="463">
        <f t="shared" si="66"/>
        <v>0</v>
      </c>
      <c r="Q395" s="463">
        <f t="shared" si="66"/>
        <v>0</v>
      </c>
      <c r="R395" s="463">
        <f t="shared" si="66"/>
        <v>0</v>
      </c>
      <c r="S395" s="464"/>
    </row>
    <row r="396" spans="1:19" ht="12.75" hidden="1" thickBot="1">
      <c r="A396" s="2" t="s">
        <v>367</v>
      </c>
      <c r="B396" s="1" t="s">
        <v>1282</v>
      </c>
      <c r="C396" s="2" t="s">
        <v>396</v>
      </c>
      <c r="D396" s="463">
        <f t="shared" si="66"/>
        <v>0</v>
      </c>
      <c r="E396" s="463">
        <f t="shared" si="66"/>
        <v>0</v>
      </c>
      <c r="F396" s="463">
        <f t="shared" si="66"/>
        <v>0</v>
      </c>
      <c r="G396" s="463">
        <f t="shared" si="66"/>
        <v>0</v>
      </c>
      <c r="H396" s="463">
        <f t="shared" si="63"/>
        <v>0</v>
      </c>
      <c r="I396" s="463">
        <f t="shared" si="66"/>
        <v>0</v>
      </c>
      <c r="J396" s="463">
        <f t="shared" si="66"/>
        <v>0</v>
      </c>
      <c r="K396" s="463">
        <f t="shared" si="66"/>
        <v>0</v>
      </c>
      <c r="L396" s="463">
        <f t="shared" si="66"/>
        <v>0</v>
      </c>
      <c r="M396" s="463">
        <f t="shared" si="66"/>
        <v>0</v>
      </c>
      <c r="N396" s="463">
        <f t="shared" si="66"/>
        <v>0</v>
      </c>
      <c r="O396" s="463">
        <f t="shared" si="66"/>
        <v>0</v>
      </c>
      <c r="P396" s="463">
        <f t="shared" si="66"/>
        <v>0</v>
      </c>
      <c r="Q396" s="463">
        <f t="shared" si="66"/>
        <v>0</v>
      </c>
      <c r="R396" s="463">
        <f t="shared" si="66"/>
        <v>0</v>
      </c>
      <c r="S396" s="464"/>
    </row>
    <row r="397" spans="1:19" ht="12.75" hidden="1" thickBot="1">
      <c r="A397" s="2" t="s">
        <v>367</v>
      </c>
      <c r="B397" s="1" t="s">
        <v>1282</v>
      </c>
      <c r="C397" s="2" t="s">
        <v>397</v>
      </c>
      <c r="D397" s="463">
        <f t="shared" si="66"/>
        <v>905</v>
      </c>
      <c r="E397" s="463">
        <f t="shared" si="66"/>
        <v>0</v>
      </c>
      <c r="F397" s="463">
        <f t="shared" si="66"/>
        <v>0</v>
      </c>
      <c r="G397" s="463">
        <f t="shared" si="66"/>
        <v>0</v>
      </c>
      <c r="H397" s="463">
        <f t="shared" si="63"/>
        <v>295991</v>
      </c>
      <c r="I397" s="463">
        <f t="shared" si="66"/>
        <v>0</v>
      </c>
      <c r="J397" s="463">
        <f t="shared" si="66"/>
        <v>0</v>
      </c>
      <c r="K397" s="463">
        <f t="shared" si="66"/>
        <v>0</v>
      </c>
      <c r="L397" s="463">
        <f t="shared" si="66"/>
        <v>0</v>
      </c>
      <c r="M397" s="463">
        <f t="shared" si="66"/>
        <v>0</v>
      </c>
      <c r="N397" s="463">
        <f t="shared" si="66"/>
        <v>0</v>
      </c>
      <c r="O397" s="463">
        <f t="shared" si="66"/>
        <v>0</v>
      </c>
      <c r="P397" s="463">
        <f t="shared" si="66"/>
        <v>0</v>
      </c>
      <c r="Q397" s="463">
        <f t="shared" si="66"/>
        <v>0</v>
      </c>
      <c r="R397" s="463">
        <f t="shared" si="66"/>
        <v>0</v>
      </c>
      <c r="S397" s="464"/>
    </row>
    <row r="398" spans="1:19" ht="12.75" hidden="1" thickBot="1">
      <c r="A398" s="2" t="s">
        <v>367</v>
      </c>
      <c r="B398" s="1" t="s">
        <v>1282</v>
      </c>
      <c r="C398" s="2" t="s">
        <v>398</v>
      </c>
      <c r="D398" s="463">
        <f t="shared" si="66"/>
        <v>0</v>
      </c>
      <c r="E398" s="463">
        <f t="shared" si="66"/>
        <v>0</v>
      </c>
      <c r="F398" s="463">
        <f t="shared" si="66"/>
        <v>0</v>
      </c>
      <c r="G398" s="463">
        <f t="shared" si="66"/>
        <v>0</v>
      </c>
      <c r="H398" s="463">
        <f t="shared" si="63"/>
        <v>0</v>
      </c>
      <c r="I398" s="463">
        <f t="shared" si="66"/>
        <v>0</v>
      </c>
      <c r="J398" s="463">
        <f t="shared" si="66"/>
        <v>0</v>
      </c>
      <c r="K398" s="463">
        <f t="shared" si="66"/>
        <v>0</v>
      </c>
      <c r="L398" s="463">
        <f t="shared" si="66"/>
        <v>0</v>
      </c>
      <c r="M398" s="463">
        <f t="shared" si="66"/>
        <v>0</v>
      </c>
      <c r="N398" s="463">
        <f t="shared" si="66"/>
        <v>0</v>
      </c>
      <c r="O398" s="463">
        <f t="shared" si="66"/>
        <v>0</v>
      </c>
      <c r="P398" s="463">
        <f t="shared" si="66"/>
        <v>0</v>
      </c>
      <c r="Q398" s="463">
        <f t="shared" si="66"/>
        <v>0</v>
      </c>
      <c r="R398" s="463">
        <f t="shared" si="66"/>
        <v>0</v>
      </c>
      <c r="S398" s="464"/>
    </row>
    <row r="399" spans="1:19" ht="12.75" hidden="1" thickBot="1">
      <c r="A399" s="2" t="s">
        <v>367</v>
      </c>
      <c r="B399" s="1" t="s">
        <v>1282</v>
      </c>
      <c r="C399" s="2" t="s">
        <v>399</v>
      </c>
      <c r="D399" s="463">
        <f t="shared" si="66"/>
        <v>0</v>
      </c>
      <c r="E399" s="463">
        <f t="shared" si="66"/>
        <v>0</v>
      </c>
      <c r="F399" s="463">
        <f t="shared" si="66"/>
        <v>0</v>
      </c>
      <c r="G399" s="463">
        <f t="shared" si="66"/>
        <v>0</v>
      </c>
      <c r="H399" s="463">
        <f t="shared" si="63"/>
        <v>0</v>
      </c>
      <c r="I399" s="463">
        <f t="shared" si="66"/>
        <v>0</v>
      </c>
      <c r="J399" s="463">
        <f t="shared" si="66"/>
        <v>0</v>
      </c>
      <c r="K399" s="463">
        <f t="shared" si="66"/>
        <v>0</v>
      </c>
      <c r="L399" s="463">
        <f t="shared" si="66"/>
        <v>0</v>
      </c>
      <c r="M399" s="463">
        <f t="shared" si="66"/>
        <v>0</v>
      </c>
      <c r="N399" s="463">
        <f t="shared" si="66"/>
        <v>0</v>
      </c>
      <c r="O399" s="463">
        <f t="shared" si="66"/>
        <v>0</v>
      </c>
      <c r="P399" s="463">
        <f t="shared" si="66"/>
        <v>0</v>
      </c>
      <c r="Q399" s="463">
        <f t="shared" si="66"/>
        <v>0</v>
      </c>
      <c r="R399" s="463">
        <f t="shared" si="66"/>
        <v>0</v>
      </c>
      <c r="S399" s="464"/>
    </row>
    <row r="400" spans="1:19" ht="12.75" thickBot="1">
      <c r="A400" s="2" t="s">
        <v>367</v>
      </c>
      <c r="B400" s="1" t="s">
        <v>1282</v>
      </c>
      <c r="C400" s="2" t="s">
        <v>400</v>
      </c>
      <c r="D400" s="463">
        <f t="shared" si="66"/>
        <v>361403</v>
      </c>
      <c r="E400" s="463">
        <f t="shared" si="66"/>
        <v>0</v>
      </c>
      <c r="F400" s="463">
        <f t="shared" si="66"/>
        <v>0</v>
      </c>
      <c r="G400" s="463">
        <f t="shared" si="66"/>
        <v>0</v>
      </c>
      <c r="H400" s="463">
        <f t="shared" si="63"/>
        <v>335470235</v>
      </c>
      <c r="I400" s="463">
        <f t="shared" si="66"/>
        <v>0</v>
      </c>
      <c r="J400" s="463">
        <f t="shared" si="66"/>
        <v>0</v>
      </c>
      <c r="K400" s="463">
        <f t="shared" si="66"/>
        <v>0</v>
      </c>
      <c r="L400" s="463">
        <f t="shared" si="66"/>
        <v>0</v>
      </c>
      <c r="M400" s="463">
        <f t="shared" si="66"/>
        <v>0</v>
      </c>
      <c r="N400" s="463">
        <f t="shared" si="66"/>
        <v>0</v>
      </c>
      <c r="O400" s="463">
        <f t="shared" si="66"/>
        <v>0</v>
      </c>
      <c r="P400" s="463">
        <f t="shared" si="66"/>
        <v>0</v>
      </c>
      <c r="Q400" s="463">
        <f t="shared" si="66"/>
        <v>0</v>
      </c>
      <c r="R400" s="463">
        <f t="shared" si="66"/>
        <v>0</v>
      </c>
      <c r="S400" s="464"/>
    </row>
    <row r="401" spans="1:19" ht="12.75" hidden="1" thickBot="1">
      <c r="A401" s="2" t="s">
        <v>367</v>
      </c>
      <c r="B401" s="1" t="s">
        <v>1282</v>
      </c>
      <c r="C401" s="2" t="s">
        <v>401</v>
      </c>
      <c r="D401" s="463">
        <f t="shared" si="66"/>
        <v>0</v>
      </c>
      <c r="E401" s="463">
        <f t="shared" si="66"/>
        <v>0</v>
      </c>
      <c r="F401" s="463">
        <f t="shared" si="66"/>
        <v>0</v>
      </c>
      <c r="G401" s="463">
        <f t="shared" si="66"/>
        <v>0</v>
      </c>
      <c r="H401" s="463">
        <f t="shared" si="63"/>
        <v>0</v>
      </c>
      <c r="I401" s="463">
        <f t="shared" si="66"/>
        <v>0</v>
      </c>
      <c r="J401" s="463">
        <f t="shared" si="66"/>
        <v>0</v>
      </c>
      <c r="K401" s="463">
        <f t="shared" si="66"/>
        <v>0</v>
      </c>
      <c r="L401" s="463">
        <f t="shared" si="66"/>
        <v>0</v>
      </c>
      <c r="M401" s="463">
        <f t="shared" si="66"/>
        <v>0</v>
      </c>
      <c r="N401" s="463">
        <f t="shared" si="66"/>
        <v>0</v>
      </c>
      <c r="O401" s="463">
        <f t="shared" si="66"/>
        <v>0</v>
      </c>
      <c r="P401" s="463">
        <f t="shared" si="66"/>
        <v>0</v>
      </c>
      <c r="Q401" s="463">
        <f t="shared" si="66"/>
        <v>0</v>
      </c>
      <c r="R401" s="463">
        <f t="shared" si="66"/>
        <v>0</v>
      </c>
      <c r="S401" s="464"/>
    </row>
    <row r="402" spans="1:19" ht="12.75" hidden="1" thickBot="1">
      <c r="A402" s="2" t="s">
        <v>367</v>
      </c>
      <c r="B402" s="1" t="s">
        <v>1282</v>
      </c>
      <c r="C402" s="2" t="s">
        <v>402</v>
      </c>
      <c r="D402" s="463">
        <f t="shared" si="66"/>
        <v>0</v>
      </c>
      <c r="E402" s="463">
        <f t="shared" si="66"/>
        <v>0</v>
      </c>
      <c r="F402" s="463">
        <f t="shared" si="66"/>
        <v>0</v>
      </c>
      <c r="G402" s="463">
        <f t="shared" si="66"/>
        <v>0</v>
      </c>
      <c r="H402" s="463">
        <f t="shared" si="63"/>
        <v>0</v>
      </c>
      <c r="I402" s="463">
        <f t="shared" si="66"/>
        <v>0</v>
      </c>
      <c r="J402" s="463">
        <f t="shared" si="66"/>
        <v>0</v>
      </c>
      <c r="K402" s="463">
        <f t="shared" si="66"/>
        <v>0</v>
      </c>
      <c r="L402" s="463">
        <f t="shared" si="66"/>
        <v>0</v>
      </c>
      <c r="M402" s="463">
        <f t="shared" si="66"/>
        <v>0</v>
      </c>
      <c r="N402" s="463">
        <f t="shared" si="66"/>
        <v>0</v>
      </c>
      <c r="O402" s="463">
        <f t="shared" si="66"/>
        <v>0</v>
      </c>
      <c r="P402" s="463">
        <f t="shared" si="66"/>
        <v>0</v>
      </c>
      <c r="Q402" s="463">
        <f t="shared" si="66"/>
        <v>0</v>
      </c>
      <c r="R402" s="463">
        <f t="shared" si="66"/>
        <v>0</v>
      </c>
      <c r="S402" s="464"/>
    </row>
    <row r="403" spans="1:19" ht="12.75" hidden="1" thickBot="1">
      <c r="A403" s="2" t="s">
        <v>367</v>
      </c>
      <c r="B403" s="1" t="s">
        <v>1282</v>
      </c>
      <c r="C403" s="2" t="s">
        <v>706</v>
      </c>
      <c r="D403" s="463">
        <f t="shared" si="66"/>
        <v>20</v>
      </c>
      <c r="E403" s="463">
        <f t="shared" si="66"/>
        <v>12835</v>
      </c>
      <c r="F403" s="463">
        <f t="shared" si="66"/>
        <v>7619</v>
      </c>
      <c r="G403" s="463">
        <f t="shared" si="66"/>
        <v>5042</v>
      </c>
      <c r="H403" s="463">
        <f t="shared" si="63"/>
        <v>25496</v>
      </c>
      <c r="I403" s="463">
        <f t="shared" si="66"/>
        <v>0</v>
      </c>
      <c r="J403" s="463">
        <f t="shared" si="66"/>
        <v>0</v>
      </c>
      <c r="K403" s="463">
        <f t="shared" si="66"/>
        <v>0</v>
      </c>
      <c r="L403" s="463">
        <f t="shared" si="66"/>
        <v>0</v>
      </c>
      <c r="M403" s="463">
        <f t="shared" si="66"/>
        <v>0</v>
      </c>
      <c r="N403" s="463">
        <f t="shared" si="66"/>
        <v>0</v>
      </c>
      <c r="O403" s="463">
        <f t="shared" si="66"/>
        <v>0</v>
      </c>
      <c r="P403" s="463">
        <f t="shared" si="66"/>
        <v>0</v>
      </c>
      <c r="Q403" s="463">
        <f t="shared" si="66"/>
        <v>0</v>
      </c>
      <c r="R403" s="463">
        <f t="shared" si="66"/>
        <v>0</v>
      </c>
      <c r="S403" s="464"/>
    </row>
    <row r="404" spans="1:19" ht="12.75" hidden="1" thickBot="1">
      <c r="A404" s="2" t="s">
        <v>367</v>
      </c>
      <c r="B404" s="1" t="s">
        <v>1282</v>
      </c>
      <c r="C404" s="17" t="s">
        <v>7</v>
      </c>
      <c r="D404" s="7"/>
      <c r="E404" s="456"/>
      <c r="F404" s="456"/>
      <c r="G404" s="456"/>
      <c r="H404" s="7"/>
      <c r="I404" s="468"/>
      <c r="J404" s="468"/>
      <c r="K404" s="468"/>
      <c r="L404" s="456"/>
      <c r="M404" s="456"/>
      <c r="N404" s="468"/>
      <c r="O404" s="18"/>
      <c r="P404" s="468"/>
      <c r="Q404" s="468"/>
      <c r="R404" s="468"/>
      <c r="S404" s="466"/>
    </row>
    <row r="408" spans="1:19" ht="15.75" thickBot="1">
      <c r="A408" s="418" t="s">
        <v>1285</v>
      </c>
      <c r="B408" s="418" t="s">
        <v>1286</v>
      </c>
      <c r="C408" s="418"/>
      <c r="D408" s="418"/>
      <c r="E408" s="419"/>
      <c r="F408" s="471"/>
    </row>
    <row r="409" spans="1:19" ht="15.75" thickBot="1">
      <c r="A409" s="472">
        <v>2015</v>
      </c>
      <c r="B409" s="16" t="s">
        <v>1277</v>
      </c>
      <c r="C409" s="472" t="s">
        <v>1287</v>
      </c>
      <c r="D409" s="98">
        <v>429316.12959604198</v>
      </c>
      <c r="E409" s="417"/>
      <c r="H409" s="426">
        <v>564336.68699750979</v>
      </c>
    </row>
    <row r="410" spans="1:19" ht="15.75" thickBot="1">
      <c r="A410" s="472">
        <v>2015</v>
      </c>
      <c r="B410" s="1" t="s">
        <v>1278</v>
      </c>
      <c r="C410" s="472" t="s">
        <v>1287</v>
      </c>
      <c r="D410" s="98">
        <v>429507.87785149901</v>
      </c>
      <c r="E410" s="417"/>
      <c r="H410" s="426">
        <v>576729.20261726854</v>
      </c>
    </row>
    <row r="411" spans="1:19" ht="15.75" thickBot="1">
      <c r="A411" s="472">
        <v>2015</v>
      </c>
      <c r="B411" s="1" t="s">
        <v>1279</v>
      </c>
      <c r="C411" s="472" t="s">
        <v>1287</v>
      </c>
      <c r="D411" s="98">
        <v>429699.62597027601</v>
      </c>
      <c r="E411" s="417"/>
      <c r="H411" s="426">
        <v>450435.83977050241</v>
      </c>
    </row>
    <row r="412" spans="1:19" ht="15.75" thickBot="1">
      <c r="A412" s="472">
        <v>2015</v>
      </c>
      <c r="B412" s="1" t="s">
        <v>1280</v>
      </c>
      <c r="C412" s="472" t="s">
        <v>1287</v>
      </c>
      <c r="D412" s="98">
        <v>429891.37408905203</v>
      </c>
      <c r="E412" s="417"/>
      <c r="H412" s="426">
        <v>372875.40256277134</v>
      </c>
    </row>
    <row r="413" spans="1:19" ht="15.75" thickBot="1">
      <c r="A413" s="472">
        <v>2015</v>
      </c>
      <c r="B413" s="16" t="s">
        <v>1281</v>
      </c>
      <c r="C413" s="472" t="s">
        <v>1287</v>
      </c>
      <c r="D413" s="98">
        <v>430083.122344509</v>
      </c>
      <c r="E413" s="417"/>
      <c r="H413" s="426">
        <v>425779.17198477162</v>
      </c>
    </row>
    <row r="414" spans="1:19" ht="15.75" thickBot="1">
      <c r="A414" s="472">
        <v>2015</v>
      </c>
      <c r="B414" s="1" t="s">
        <v>1282</v>
      </c>
      <c r="C414" s="472" t="s">
        <v>1287</v>
      </c>
      <c r="D414" s="98">
        <v>430274.87046328501</v>
      </c>
      <c r="E414" s="417"/>
      <c r="H414" s="426">
        <v>619549.83317630424</v>
      </c>
    </row>
    <row r="415" spans="1:19" ht="15.75" thickBot="1">
      <c r="A415" s="472">
        <v>2016</v>
      </c>
      <c r="B415" s="1" t="s">
        <v>1271</v>
      </c>
      <c r="C415" s="472" t="s">
        <v>1287</v>
      </c>
      <c r="D415" s="98">
        <v>430275.12605356902</v>
      </c>
      <c r="E415" s="417"/>
      <c r="H415" s="426">
        <v>742967.90091727965</v>
      </c>
    </row>
    <row r="416" spans="1:19" ht="15.75" thickBot="1">
      <c r="A416" s="472">
        <v>2016</v>
      </c>
      <c r="B416" s="16" t="s">
        <v>1272</v>
      </c>
      <c r="C416" s="472" t="s">
        <v>1287</v>
      </c>
      <c r="D416" s="98">
        <v>430457.38178053399</v>
      </c>
      <c r="E416" s="417"/>
      <c r="H416" s="426">
        <v>640541.92295542953</v>
      </c>
    </row>
    <row r="417" spans="1:8" ht="15.75" thickBot="1">
      <c r="A417" s="472">
        <v>2016</v>
      </c>
      <c r="B417" s="1" t="s">
        <v>1273</v>
      </c>
      <c r="C417" s="472" t="s">
        <v>1287</v>
      </c>
      <c r="D417" s="98">
        <v>431003.637370818</v>
      </c>
      <c r="E417" s="417"/>
      <c r="H417" s="426">
        <v>556780.63464333676</v>
      </c>
    </row>
    <row r="418" spans="1:8" ht="15.75" thickBot="1">
      <c r="A418" s="472">
        <v>2016</v>
      </c>
      <c r="B418" s="1" t="s">
        <v>1274</v>
      </c>
      <c r="C418" s="472" t="s">
        <v>1287</v>
      </c>
      <c r="D418" s="98">
        <v>431185.89296110201</v>
      </c>
      <c r="E418" s="417"/>
      <c r="H418" s="426">
        <v>411416.35408052435</v>
      </c>
    </row>
    <row r="419" spans="1:8" ht="15.75" thickBot="1">
      <c r="A419" s="472">
        <v>2016</v>
      </c>
      <c r="B419" s="1" t="s">
        <v>1275</v>
      </c>
      <c r="C419" s="472" t="s">
        <v>1287</v>
      </c>
      <c r="D419" s="98">
        <v>431186.14868806698</v>
      </c>
      <c r="E419" s="417"/>
      <c r="H419" s="426">
        <v>369801.14065579476</v>
      </c>
    </row>
    <row r="420" spans="1:8" s="461" customFormat="1" ht="15.75" thickBot="1">
      <c r="A420" s="473">
        <v>2016</v>
      </c>
      <c r="B420" s="1" t="s">
        <v>1276</v>
      </c>
      <c r="C420" s="473" t="s">
        <v>1287</v>
      </c>
      <c r="D420" s="461">
        <v>431368.40427835099</v>
      </c>
      <c r="H420" s="430">
        <v>466274.25717022055</v>
      </c>
    </row>
    <row r="421" spans="1:8" ht="12.75" thickBot="1">
      <c r="B421" s="16" t="s">
        <v>1277</v>
      </c>
      <c r="C421" s="472" t="s">
        <v>1288</v>
      </c>
      <c r="D421" s="98">
        <v>63490.607886343161</v>
      </c>
      <c r="H421" s="474">
        <v>71183.679581085453</v>
      </c>
    </row>
    <row r="422" spans="1:8" ht="12.75" thickBot="1">
      <c r="B422" s="1" t="s">
        <v>1278</v>
      </c>
      <c r="C422" s="472" t="s">
        <v>1288</v>
      </c>
      <c r="D422" s="98">
        <v>63498.356297630933</v>
      </c>
      <c r="H422" s="474">
        <v>73848.581123839991</v>
      </c>
    </row>
    <row r="423" spans="1:8" ht="12.75" thickBot="1">
      <c r="B423" s="1" t="s">
        <v>1279</v>
      </c>
      <c r="C423" s="472" t="s">
        <v>1288</v>
      </c>
      <c r="D423" s="98">
        <v>63506.104708918705</v>
      </c>
      <c r="H423" s="474">
        <v>60603.647004374478</v>
      </c>
    </row>
    <row r="424" spans="1:8" ht="12.75" thickBot="1">
      <c r="B424" s="1" t="s">
        <v>1280</v>
      </c>
      <c r="C424" s="472" t="s">
        <v>1288</v>
      </c>
      <c r="D424" s="98">
        <v>63513.853120206477</v>
      </c>
      <c r="H424" s="474">
        <v>56367.33687203849</v>
      </c>
    </row>
    <row r="425" spans="1:8" ht="12.75" thickBot="1">
      <c r="B425" s="16" t="s">
        <v>1281</v>
      </c>
      <c r="C425" s="472" t="s">
        <v>1288</v>
      </c>
      <c r="D425" s="98">
        <v>63521.601531494241</v>
      </c>
      <c r="H425" s="474">
        <v>55344.548227952531</v>
      </c>
    </row>
    <row r="426" spans="1:8" ht="12.75" thickBot="1">
      <c r="B426" s="1" t="s">
        <v>1282</v>
      </c>
      <c r="C426" s="472" t="s">
        <v>1288</v>
      </c>
      <c r="D426" s="98">
        <v>63529.349942782013</v>
      </c>
      <c r="H426" s="474">
        <v>68970.769700121426</v>
      </c>
    </row>
    <row r="427" spans="1:8" ht="12.75" thickBot="1">
      <c r="B427" s="1" t="s">
        <v>1271</v>
      </c>
      <c r="C427" s="472" t="s">
        <v>1288</v>
      </c>
      <c r="D427" s="98">
        <v>63537.098354069785</v>
      </c>
      <c r="H427" s="474">
        <v>75764.743747698652</v>
      </c>
    </row>
    <row r="428" spans="1:8" ht="12.75" thickBot="1">
      <c r="B428" s="16" t="s">
        <v>1272</v>
      </c>
      <c r="C428" s="472" t="s">
        <v>1288</v>
      </c>
      <c r="D428" s="98">
        <v>63544.84676535755</v>
      </c>
      <c r="H428" s="474">
        <v>68222.048497787982</v>
      </c>
    </row>
    <row r="429" spans="1:8" ht="12.75" thickBot="1">
      <c r="B429" s="1" t="s">
        <v>1273</v>
      </c>
      <c r="C429" s="472" t="s">
        <v>1288</v>
      </c>
      <c r="D429" s="98">
        <v>63552.595176645322</v>
      </c>
      <c r="H429" s="474">
        <v>62577.001248189728</v>
      </c>
    </row>
    <row r="430" spans="1:8" ht="12.75" thickBot="1">
      <c r="B430" s="1" t="s">
        <v>1274</v>
      </c>
      <c r="C430" s="472" t="s">
        <v>1288</v>
      </c>
      <c r="D430" s="98">
        <v>63560.343587933094</v>
      </c>
      <c r="H430" s="474">
        <v>53952.630943829136</v>
      </c>
    </row>
    <row r="431" spans="1:8" ht="12.75" thickBot="1">
      <c r="B431" s="1" t="s">
        <v>1275</v>
      </c>
      <c r="C431" s="472" t="s">
        <v>1288</v>
      </c>
      <c r="D431" s="98">
        <v>63568.091999220866</v>
      </c>
      <c r="H431" s="474">
        <v>59224.022156726642</v>
      </c>
    </row>
    <row r="432" spans="1:8" ht="15.75" thickBot="1">
      <c r="B432" s="1" t="s">
        <v>1276</v>
      </c>
      <c r="C432" s="472" t="s">
        <v>1288</v>
      </c>
      <c r="D432" s="98">
        <v>63575.84041050863</v>
      </c>
      <c r="E432" s="420"/>
      <c r="F432" s="461"/>
      <c r="H432" s="474">
        <v>67544.146968495945</v>
      </c>
    </row>
    <row r="433" spans="2:49" ht="15.75" thickBot="1">
      <c r="B433" s="16" t="s">
        <v>1277</v>
      </c>
      <c r="C433" s="475" t="s">
        <v>1289</v>
      </c>
      <c r="D433" s="98">
        <v>18559.392113656839</v>
      </c>
      <c r="E433" s="417"/>
      <c r="H433" s="474">
        <v>104399.59949662816</v>
      </c>
      <c r="R433" s="98">
        <v>378298.75714964513</v>
      </c>
    </row>
    <row r="434" spans="2:49" ht="15.75" thickBot="1">
      <c r="B434" s="1" t="s">
        <v>1278</v>
      </c>
      <c r="C434" s="475" t="s">
        <v>1289</v>
      </c>
      <c r="D434" s="98">
        <v>18561.643702369067</v>
      </c>
      <c r="E434" s="417"/>
      <c r="H434" s="474">
        <v>108396.95181075994</v>
      </c>
      <c r="R434" s="98">
        <v>388708.8420671004</v>
      </c>
    </row>
    <row r="435" spans="2:49" ht="15.75" thickBot="1">
      <c r="B435" s="1" t="s">
        <v>1279</v>
      </c>
      <c r="C435" s="475" t="s">
        <v>1289</v>
      </c>
      <c r="D435" s="98">
        <v>18563.895291081299</v>
      </c>
      <c r="E435" s="417"/>
      <c r="H435" s="474">
        <v>88529.550631561709</v>
      </c>
      <c r="R435" s="98">
        <v>365688.07501973695</v>
      </c>
    </row>
    <row r="436" spans="2:49" ht="15.75" thickBot="1">
      <c r="B436" s="1" t="s">
        <v>1280</v>
      </c>
      <c r="C436" s="475" t="s">
        <v>1289</v>
      </c>
      <c r="D436" s="98">
        <v>18566.14687979353</v>
      </c>
      <c r="E436" s="417"/>
      <c r="H436" s="474">
        <v>82175.085433057728</v>
      </c>
      <c r="R436" s="98">
        <v>354291.87461990153</v>
      </c>
    </row>
    <row r="437" spans="2:49" ht="15.75" thickBot="1">
      <c r="B437" s="16" t="s">
        <v>1281</v>
      </c>
      <c r="C437" s="475" t="s">
        <v>1289</v>
      </c>
      <c r="D437" s="98">
        <v>18568.398468505759</v>
      </c>
      <c r="E437" s="417"/>
      <c r="H437" s="474">
        <v>80640.902466928776</v>
      </c>
      <c r="R437" s="98">
        <v>363606.36433044949</v>
      </c>
    </row>
    <row r="438" spans="2:49" ht="15.75" thickBot="1">
      <c r="B438" s="1" t="s">
        <v>1282</v>
      </c>
      <c r="C438" s="475" t="s">
        <v>1289</v>
      </c>
      <c r="D438" s="98">
        <v>18570.65005721799</v>
      </c>
      <c r="E438" s="417"/>
      <c r="H438" s="474">
        <v>101080.23467518212</v>
      </c>
      <c r="R438" s="98">
        <v>385177.80146398745</v>
      </c>
    </row>
    <row r="439" spans="2:49" ht="15.75" thickBot="1">
      <c r="B439" s="1" t="s">
        <v>1271</v>
      </c>
      <c r="C439" s="475" t="s">
        <v>1289</v>
      </c>
      <c r="D439" s="98">
        <v>18572.901645930218</v>
      </c>
      <c r="E439" s="417"/>
      <c r="H439" s="474">
        <v>111271.19574654794</v>
      </c>
      <c r="R439" s="98">
        <v>421326.15319491102</v>
      </c>
    </row>
    <row r="440" spans="2:49" ht="15.75" thickBot="1">
      <c r="B440" s="16" t="s">
        <v>1272</v>
      </c>
      <c r="C440" s="475" t="s">
        <v>1289</v>
      </c>
      <c r="D440" s="98">
        <v>18575.15323464245</v>
      </c>
      <c r="E440" s="417"/>
      <c r="H440" s="474">
        <v>99957.152871681945</v>
      </c>
      <c r="R440" s="98">
        <v>412610.93368839601</v>
      </c>
    </row>
    <row r="441" spans="2:49" ht="15.75" thickBot="1">
      <c r="B441" s="1" t="s">
        <v>1273</v>
      </c>
      <c r="C441" s="475" t="s">
        <v>1289</v>
      </c>
      <c r="D441" s="98">
        <v>18577.404823354678</v>
      </c>
      <c r="E441" s="417"/>
      <c r="H441" s="474">
        <v>91489.581997284578</v>
      </c>
      <c r="R441" s="98">
        <v>377207.19804086734</v>
      </c>
    </row>
    <row r="442" spans="2:49" ht="15.75" thickBot="1">
      <c r="B442" s="1" t="s">
        <v>1274</v>
      </c>
      <c r="C442" s="475" t="s">
        <v>1289</v>
      </c>
      <c r="D442" s="98">
        <v>18579.65641206691</v>
      </c>
      <c r="E442" s="417"/>
      <c r="H442" s="474">
        <v>78553.026540743696</v>
      </c>
      <c r="R442" s="98">
        <v>371834.457270346</v>
      </c>
    </row>
    <row r="443" spans="2:49" ht="15.75" thickBot="1">
      <c r="B443" s="1" t="s">
        <v>1275</v>
      </c>
      <c r="C443" s="475" t="s">
        <v>1289</v>
      </c>
      <c r="D443" s="98">
        <v>18581.908000779138</v>
      </c>
      <c r="E443" s="417"/>
      <c r="H443" s="474">
        <v>86460.113360089948</v>
      </c>
      <c r="R443" s="98">
        <v>363643.72144804656</v>
      </c>
    </row>
    <row r="444" spans="2:49" ht="15.75" thickBot="1">
      <c r="B444" s="1" t="s">
        <v>1276</v>
      </c>
      <c r="C444" s="475" t="s">
        <v>1289</v>
      </c>
      <c r="D444" s="98">
        <v>18584.15958949137</v>
      </c>
      <c r="E444" s="461"/>
      <c r="F444" s="421"/>
      <c r="G444" s="421"/>
      <c r="H444" s="474">
        <v>98940.300577743881</v>
      </c>
      <c r="I444" s="421"/>
      <c r="J444" s="422"/>
      <c r="K444" s="422"/>
      <c r="L444" s="422"/>
      <c r="M444" s="422"/>
      <c r="N444" s="421"/>
      <c r="O444" s="422"/>
      <c r="P444" s="422"/>
      <c r="Q444" s="422"/>
      <c r="R444" s="422">
        <v>370806.11108489922</v>
      </c>
      <c r="S444" s="422"/>
      <c r="T444" s="423"/>
      <c r="U444" s="422"/>
      <c r="V444" s="422"/>
      <c r="W444" s="422"/>
      <c r="X444" s="422"/>
      <c r="Y444" s="421"/>
      <c r="Z444" s="421"/>
      <c r="AA444" s="421"/>
      <c r="AB444" s="421"/>
      <c r="AC444" s="421"/>
      <c r="AD444" s="422"/>
      <c r="AE444" s="422"/>
      <c r="AF444" s="423"/>
      <c r="AG444" s="422"/>
      <c r="AH444" s="422"/>
      <c r="AI444" s="422"/>
      <c r="AJ444" s="422"/>
      <c r="AK444" s="422"/>
      <c r="AL444" s="422"/>
      <c r="AM444" s="422"/>
      <c r="AN444" s="422"/>
      <c r="AO444" s="422"/>
      <c r="AP444" s="422"/>
      <c r="AQ444" s="422"/>
      <c r="AR444" s="422"/>
      <c r="AS444" s="422"/>
      <c r="AT444" s="422"/>
      <c r="AU444" s="422"/>
      <c r="AV444" s="422"/>
      <c r="AW444" s="421"/>
    </row>
    <row r="445" spans="2:49" ht="12.75" thickBot="1">
      <c r="B445" s="16" t="s">
        <v>1277</v>
      </c>
      <c r="C445" s="475" t="s">
        <v>1290</v>
      </c>
      <c r="D445" s="98">
        <v>377</v>
      </c>
      <c r="H445" s="474">
        <v>629.05241014352657</v>
      </c>
    </row>
    <row r="446" spans="2:49" ht="12.75" thickBot="1">
      <c r="B446" s="1" t="s">
        <v>1278</v>
      </c>
      <c r="C446" s="475" t="s">
        <v>1290</v>
      </c>
      <c r="D446" s="98">
        <v>376</v>
      </c>
      <c r="H446" s="474">
        <v>629.51062435221911</v>
      </c>
    </row>
    <row r="447" spans="2:49" ht="12.75" thickBot="1">
      <c r="B447" s="1" t="s">
        <v>1279</v>
      </c>
      <c r="C447" s="475" t="s">
        <v>1290</v>
      </c>
      <c r="D447" s="98">
        <v>375</v>
      </c>
      <c r="H447" s="474">
        <v>520.80610084206035</v>
      </c>
    </row>
    <row r="448" spans="2:49" ht="12.75" thickBot="1">
      <c r="B448" s="1" t="s">
        <v>1280</v>
      </c>
      <c r="C448" s="475" t="s">
        <v>1290</v>
      </c>
      <c r="D448" s="98">
        <v>375</v>
      </c>
      <c r="H448" s="474">
        <v>560.79031958512701</v>
      </c>
    </row>
    <row r="449" spans="2:18" ht="12.75" thickBot="1">
      <c r="B449" s="16" t="s">
        <v>1281</v>
      </c>
      <c r="C449" s="475" t="s">
        <v>1290</v>
      </c>
      <c r="D449" s="98">
        <v>374</v>
      </c>
      <c r="H449" s="474">
        <v>645.70604281293436</v>
      </c>
    </row>
    <row r="450" spans="2:18" ht="12.75" thickBot="1">
      <c r="B450" s="1" t="s">
        <v>1282</v>
      </c>
      <c r="C450" s="475" t="s">
        <v>1290</v>
      </c>
      <c r="D450" s="98">
        <v>373</v>
      </c>
      <c r="H450" s="474">
        <v>744.78789771379957</v>
      </c>
    </row>
    <row r="451" spans="2:18" ht="12.75" thickBot="1">
      <c r="B451" s="1" t="s">
        <v>1271</v>
      </c>
      <c r="C451" s="475" t="s">
        <v>1290</v>
      </c>
      <c r="D451" s="98">
        <v>374</v>
      </c>
      <c r="H451" s="474">
        <v>784.3726157770999</v>
      </c>
    </row>
    <row r="452" spans="2:18" ht="12.75" thickBot="1">
      <c r="B452" s="16" t="s">
        <v>1272</v>
      </c>
      <c r="C452" s="475" t="s">
        <v>1290</v>
      </c>
      <c r="D452" s="98">
        <v>373</v>
      </c>
      <c r="H452" s="474">
        <v>719.70197762416501</v>
      </c>
    </row>
    <row r="453" spans="2:18" ht="12.75" thickBot="1">
      <c r="B453" s="1" t="s">
        <v>1273</v>
      </c>
      <c r="C453" s="475" t="s">
        <v>1290</v>
      </c>
      <c r="D453" s="98">
        <v>371</v>
      </c>
      <c r="H453" s="474">
        <v>688.33286427595021</v>
      </c>
    </row>
    <row r="454" spans="2:18" ht="12.75" thickBot="1">
      <c r="B454" s="1" t="s">
        <v>1274</v>
      </c>
      <c r="C454" s="475" t="s">
        <v>1290</v>
      </c>
      <c r="D454" s="98">
        <v>359</v>
      </c>
      <c r="H454" s="474">
        <v>567.97707321684402</v>
      </c>
    </row>
    <row r="455" spans="2:18" ht="12.75" thickBot="1">
      <c r="B455" s="1" t="s">
        <v>1275</v>
      </c>
      <c r="C455" s="475" t="s">
        <v>1290</v>
      </c>
      <c r="D455" s="98">
        <v>382</v>
      </c>
      <c r="H455" s="474">
        <v>643.62231282366065</v>
      </c>
    </row>
    <row r="456" spans="2:18" ht="12.75" thickBot="1">
      <c r="B456" s="1" t="s">
        <v>1276</v>
      </c>
      <c r="C456" s="475" t="s">
        <v>1290</v>
      </c>
      <c r="D456" s="98">
        <v>382</v>
      </c>
      <c r="H456" s="474">
        <v>632.03164811660861</v>
      </c>
    </row>
    <row r="457" spans="2:18" ht="12.75" thickBot="1">
      <c r="B457" s="16" t="s">
        <v>1277</v>
      </c>
      <c r="C457" s="475" t="s">
        <v>1291</v>
      </c>
      <c r="D457" s="98">
        <v>262</v>
      </c>
      <c r="H457" s="474">
        <v>11659.181086451392</v>
      </c>
      <c r="R457" s="98">
        <v>38479.325614795474</v>
      </c>
    </row>
    <row r="458" spans="2:18" ht="12.75" thickBot="1">
      <c r="B458" s="1" t="s">
        <v>1278</v>
      </c>
      <c r="C458" s="475" t="s">
        <v>1291</v>
      </c>
      <c r="D458" s="98">
        <v>261</v>
      </c>
      <c r="H458" s="474">
        <v>11667.673864397053</v>
      </c>
      <c r="R458" s="98">
        <v>44048.256146581669</v>
      </c>
    </row>
    <row r="459" spans="2:18" ht="12.75" thickBot="1">
      <c r="B459" s="1" t="s">
        <v>1279</v>
      </c>
      <c r="C459" s="475" t="s">
        <v>1291</v>
      </c>
      <c r="D459" s="98">
        <v>260</v>
      </c>
      <c r="H459" s="474">
        <v>9652.8882851920098</v>
      </c>
      <c r="R459" s="98">
        <v>39765.878281781886</v>
      </c>
    </row>
    <row r="460" spans="2:18" ht="12.75" thickBot="1">
      <c r="B460" s="1" t="s">
        <v>1280</v>
      </c>
      <c r="C460" s="475" t="s">
        <v>1291</v>
      </c>
      <c r="D460" s="98">
        <v>260</v>
      </c>
      <c r="H460" s="474">
        <v>10393.97637166692</v>
      </c>
      <c r="R460" s="98">
        <v>43428.978554507368</v>
      </c>
    </row>
    <row r="461" spans="2:18" ht="12.75" thickBot="1">
      <c r="B461" s="16" t="s">
        <v>1281</v>
      </c>
      <c r="C461" s="475" t="s">
        <v>1291</v>
      </c>
      <c r="D461" s="98">
        <v>260</v>
      </c>
      <c r="H461" s="474">
        <v>11967.848084477147</v>
      </c>
      <c r="R461" s="98">
        <v>54419.307094984259</v>
      </c>
    </row>
    <row r="462" spans="2:18" ht="12.75" thickBot="1">
      <c r="B462" s="1" t="s">
        <v>1282</v>
      </c>
      <c r="C462" s="475" t="s">
        <v>1291</v>
      </c>
      <c r="D462" s="98">
        <v>260</v>
      </c>
      <c r="H462" s="474">
        <v>13804.282171753139</v>
      </c>
      <c r="R462" s="98">
        <v>51812.189153795145</v>
      </c>
    </row>
    <row r="463" spans="2:18" ht="12.75" thickBot="1">
      <c r="B463" s="1" t="s">
        <v>1271</v>
      </c>
      <c r="C463" s="475" t="s">
        <v>1291</v>
      </c>
      <c r="D463" s="98">
        <v>260</v>
      </c>
      <c r="H463" s="474">
        <v>14537.965707042094</v>
      </c>
      <c r="R463" s="98">
        <v>55539.78940412173</v>
      </c>
    </row>
    <row r="464" spans="2:18" ht="12.75" thickBot="1">
      <c r="B464" s="16" t="s">
        <v>1272</v>
      </c>
      <c r="C464" s="475" t="s">
        <v>1291</v>
      </c>
      <c r="D464" s="98">
        <v>260</v>
      </c>
      <c r="H464" s="474">
        <v>13339.326819338916</v>
      </c>
      <c r="R464" s="98">
        <v>55250.911813746985</v>
      </c>
    </row>
    <row r="465" spans="2:18" ht="12.75" thickBot="1">
      <c r="B465" s="1" t="s">
        <v>1273</v>
      </c>
      <c r="C465" s="475" t="s">
        <v>1291</v>
      </c>
      <c r="D465" s="98">
        <v>257</v>
      </c>
      <c r="H465" s="474">
        <v>12757.915529674185</v>
      </c>
      <c r="R465" s="98">
        <v>54528.971165783572</v>
      </c>
    </row>
    <row r="466" spans="2:18" ht="12.75" thickBot="1">
      <c r="B466" s="1" t="s">
        <v>1274</v>
      </c>
      <c r="C466" s="475" t="s">
        <v>1291</v>
      </c>
      <c r="D466" s="98">
        <v>249</v>
      </c>
      <c r="H466" s="474">
        <v>10527.179361854627</v>
      </c>
      <c r="R466" s="98">
        <v>53728.555466617785</v>
      </c>
    </row>
    <row r="467" spans="2:18" ht="12.75" thickBot="1">
      <c r="B467" s="1" t="s">
        <v>1275</v>
      </c>
      <c r="C467" s="475" t="s">
        <v>1291</v>
      </c>
      <c r="D467" s="98">
        <v>266</v>
      </c>
      <c r="H467" s="474">
        <v>11929.227160547029</v>
      </c>
      <c r="R467" s="98">
        <v>49537.23250721881</v>
      </c>
    </row>
    <row r="468" spans="2:18" ht="12.75" thickBot="1">
      <c r="B468" s="1" t="s">
        <v>1276</v>
      </c>
      <c r="C468" s="475" t="s">
        <v>1291</v>
      </c>
      <c r="D468" s="98">
        <v>265</v>
      </c>
      <c r="H468" s="474">
        <v>11714.399816191049</v>
      </c>
      <c r="R468" s="98">
        <v>47328.539928741455</v>
      </c>
    </row>
    <row r="469" spans="2:18" ht="15.75" thickBot="1">
      <c r="B469" s="16" t="s">
        <v>1277</v>
      </c>
      <c r="C469" s="475" t="s">
        <v>1292</v>
      </c>
      <c r="D469" s="98">
        <v>52</v>
      </c>
      <c r="H469" s="426">
        <v>279512.04619050521</v>
      </c>
      <c r="O469" s="98">
        <v>560341.40522533562</v>
      </c>
      <c r="P469" s="98">
        <v>548515.05892135517</v>
      </c>
      <c r="Q469" s="98">
        <v>538935.5612195665</v>
      </c>
    </row>
    <row r="470" spans="2:18" ht="15.75" thickBot="1">
      <c r="B470" s="1" t="s">
        <v>1278</v>
      </c>
      <c r="C470" s="475" t="s">
        <v>1292</v>
      </c>
      <c r="D470" s="98">
        <v>52</v>
      </c>
      <c r="H470" s="426">
        <v>280193.45598146127</v>
      </c>
      <c r="O470" s="98">
        <v>563206.33418970206</v>
      </c>
      <c r="P470" s="98">
        <v>550094.81235046173</v>
      </c>
      <c r="Q470" s="98">
        <v>544359.17785695463</v>
      </c>
    </row>
    <row r="471" spans="2:18" ht="15.75" thickBot="1">
      <c r="B471" s="1" t="s">
        <v>1279</v>
      </c>
      <c r="C471" s="475" t="s">
        <v>1292</v>
      </c>
      <c r="D471" s="98">
        <v>52</v>
      </c>
      <c r="H471" s="426">
        <v>233921.55828558645</v>
      </c>
      <c r="O471" s="98">
        <v>532319.56058392569</v>
      </c>
      <c r="P471" s="98">
        <v>525566.29052392463</v>
      </c>
      <c r="Q471" s="98">
        <v>518603.47046647372</v>
      </c>
    </row>
    <row r="472" spans="2:18" ht="15.75" thickBot="1">
      <c r="B472" s="1" t="s">
        <v>1280</v>
      </c>
      <c r="C472" s="475" t="s">
        <v>1292</v>
      </c>
      <c r="D472" s="98">
        <v>52</v>
      </c>
      <c r="H472" s="426">
        <v>242601.16388451171</v>
      </c>
      <c r="O472" s="98">
        <v>537697.53900742903</v>
      </c>
      <c r="P472" s="98">
        <v>522820.23814476724</v>
      </c>
      <c r="Q472" s="98">
        <v>505851.97849206597</v>
      </c>
    </row>
    <row r="473" spans="2:18" ht="15.75" thickBot="1">
      <c r="B473" s="16" t="s">
        <v>1281</v>
      </c>
      <c r="C473" s="475" t="s">
        <v>1292</v>
      </c>
      <c r="D473" s="98">
        <v>52</v>
      </c>
      <c r="H473" s="426">
        <v>250340.51575590274</v>
      </c>
      <c r="O473" s="98">
        <v>513158.56739371747</v>
      </c>
      <c r="P473" s="98">
        <v>490650.98050690588</v>
      </c>
      <c r="Q473" s="98">
        <v>484533.30998436536</v>
      </c>
    </row>
    <row r="474" spans="2:18" ht="15.75" thickBot="1">
      <c r="B474" s="1" t="s">
        <v>1282</v>
      </c>
      <c r="C474" s="475" t="s">
        <v>1292</v>
      </c>
      <c r="D474" s="98">
        <v>52</v>
      </c>
      <c r="H474" s="426">
        <v>255284.57484359661</v>
      </c>
      <c r="O474" s="98">
        <v>517261.01572186564</v>
      </c>
      <c r="P474" s="98">
        <v>482638.43181873532</v>
      </c>
      <c r="Q474" s="98">
        <v>479025.85342933796</v>
      </c>
    </row>
    <row r="475" spans="2:18" ht="15.75" thickBot="1">
      <c r="B475" s="1" t="s">
        <v>1271</v>
      </c>
      <c r="C475" s="475" t="s">
        <v>1292</v>
      </c>
      <c r="D475" s="98">
        <v>52</v>
      </c>
      <c r="H475" s="426">
        <v>243518.26055967054</v>
      </c>
      <c r="O475" s="98">
        <v>498856.88548047352</v>
      </c>
      <c r="P475" s="98">
        <v>463847.29134552699</v>
      </c>
      <c r="Q475" s="98">
        <v>457226.81083682226</v>
      </c>
    </row>
    <row r="476" spans="2:18" ht="15.75" thickBot="1">
      <c r="B476" s="16" t="s">
        <v>1272</v>
      </c>
      <c r="C476" s="475" t="s">
        <v>1292</v>
      </c>
      <c r="D476" s="98">
        <v>52</v>
      </c>
      <c r="H476" s="426">
        <v>231780.49989802577</v>
      </c>
      <c r="O476" s="98">
        <v>519785.10543871985</v>
      </c>
      <c r="P476" s="98">
        <v>486707.46676314255</v>
      </c>
      <c r="Q476" s="98">
        <v>480301.26889376534</v>
      </c>
    </row>
    <row r="477" spans="2:18" ht="15.75" thickBot="1">
      <c r="B477" s="1" t="s">
        <v>1273</v>
      </c>
      <c r="C477" s="475" t="s">
        <v>1292</v>
      </c>
      <c r="D477" s="98">
        <v>52</v>
      </c>
      <c r="H477" s="426">
        <v>237299.34387560407</v>
      </c>
      <c r="O477" s="98">
        <v>520467.50035297225</v>
      </c>
      <c r="P477" s="98">
        <v>486706.06940649333</v>
      </c>
      <c r="Q477" s="98">
        <v>481057.50431142305</v>
      </c>
    </row>
    <row r="478" spans="2:18" ht="15.75" thickBot="1">
      <c r="B478" s="1" t="s">
        <v>1274</v>
      </c>
      <c r="C478" s="475" t="s">
        <v>1292</v>
      </c>
      <c r="D478" s="98">
        <v>52</v>
      </c>
      <c r="H478" s="426">
        <v>226428.62105821216</v>
      </c>
      <c r="O478" s="98">
        <v>512309.18930126756</v>
      </c>
      <c r="P478" s="98">
        <v>488087.08831121295</v>
      </c>
      <c r="Q478" s="98">
        <v>484789.02381057164</v>
      </c>
    </row>
    <row r="479" spans="2:18" ht="15.75" thickBot="1">
      <c r="B479" s="1" t="s">
        <v>1275</v>
      </c>
      <c r="C479" s="475" t="s">
        <v>1292</v>
      </c>
      <c r="D479" s="98">
        <v>52</v>
      </c>
      <c r="H479" s="426">
        <v>268486.93707944348</v>
      </c>
      <c r="O479" s="98">
        <v>511206.39920957515</v>
      </c>
      <c r="P479" s="98">
        <v>494009.59647062141</v>
      </c>
      <c r="Q479" s="98">
        <v>487846.6741762181</v>
      </c>
    </row>
    <row r="480" spans="2:18" ht="15.75" thickBot="1">
      <c r="B480" s="1" t="s">
        <v>1276</v>
      </c>
      <c r="C480" s="475" t="s">
        <v>1292</v>
      </c>
      <c r="D480" s="98">
        <v>52</v>
      </c>
      <c r="E480" s="421"/>
      <c r="F480" s="421"/>
      <c r="G480" s="422"/>
      <c r="H480" s="426">
        <v>279162.97456048708</v>
      </c>
      <c r="I480" s="424"/>
      <c r="J480" s="424"/>
      <c r="O480" s="98">
        <v>555460.6550987059</v>
      </c>
      <c r="P480" s="98">
        <v>531146.84292739548</v>
      </c>
      <c r="Q480" s="98">
        <v>525544.88687319274</v>
      </c>
    </row>
    <row r="481" spans="2:18" ht="15.75" thickBot="1">
      <c r="B481" s="16" t="s">
        <v>1277</v>
      </c>
      <c r="C481" s="475" t="s">
        <v>1293</v>
      </c>
      <c r="D481" s="98">
        <v>204</v>
      </c>
      <c r="H481" s="426">
        <v>22656.62337266338</v>
      </c>
      <c r="I481" s="425"/>
      <c r="J481" s="425"/>
      <c r="R481" s="98">
        <v>61569.12904899726</v>
      </c>
    </row>
    <row r="482" spans="2:18" ht="15.75" thickBot="1">
      <c r="B482" s="1" t="s">
        <v>1278</v>
      </c>
      <c r="C482" s="475" t="s">
        <v>1293</v>
      </c>
      <c r="D482" s="98">
        <v>202</v>
      </c>
      <c r="H482" s="426">
        <v>22727.623700520646</v>
      </c>
      <c r="I482" s="425"/>
      <c r="J482" s="425"/>
      <c r="R482" s="98">
        <v>62186.336939093017</v>
      </c>
    </row>
    <row r="483" spans="2:18" ht="15.75" thickBot="1">
      <c r="B483" s="1" t="s">
        <v>1279</v>
      </c>
      <c r="C483" s="475" t="s">
        <v>1293</v>
      </c>
      <c r="D483" s="98">
        <v>201</v>
      </c>
      <c r="H483" s="426">
        <v>17906.266639631009</v>
      </c>
      <c r="I483" s="425"/>
      <c r="J483" s="425"/>
      <c r="R483" s="98">
        <v>60266.782324743283</v>
      </c>
    </row>
    <row r="484" spans="2:18" ht="15.75" thickBot="1">
      <c r="B484" s="1" t="s">
        <v>1280</v>
      </c>
      <c r="C484" s="475" t="s">
        <v>1293</v>
      </c>
      <c r="D484" s="98">
        <v>199</v>
      </c>
      <c r="H484" s="426">
        <v>18810.648777038932</v>
      </c>
      <c r="I484" s="425"/>
      <c r="J484" s="425"/>
      <c r="R484" s="98">
        <v>55989.059402706058</v>
      </c>
    </row>
    <row r="485" spans="2:18" ht="15.75" thickBot="1">
      <c r="B485" s="16" t="s">
        <v>1281</v>
      </c>
      <c r="C485" s="475" t="s">
        <v>1293</v>
      </c>
      <c r="D485" s="98">
        <v>198</v>
      </c>
      <c r="H485" s="426">
        <v>19617.060025548566</v>
      </c>
      <c r="I485" s="425"/>
      <c r="J485" s="425"/>
      <c r="R485" s="98">
        <v>54524.584658645763</v>
      </c>
    </row>
    <row r="486" spans="2:18" ht="15.75" thickBot="1">
      <c r="B486" s="1" t="s">
        <v>1282</v>
      </c>
      <c r="C486" s="475" t="s">
        <v>1293</v>
      </c>
      <c r="D486" s="98">
        <v>196</v>
      </c>
      <c r="H486" s="426">
        <v>20132.212318384682</v>
      </c>
      <c r="I486" s="425"/>
      <c r="J486" s="425"/>
      <c r="R486" s="98">
        <v>54458.579324985985</v>
      </c>
    </row>
    <row r="487" spans="2:18" ht="15.75" thickBot="1">
      <c r="B487" s="1" t="s">
        <v>1271</v>
      </c>
      <c r="C487" s="475" t="s">
        <v>1293</v>
      </c>
      <c r="D487" s="98">
        <v>195</v>
      </c>
      <c r="H487" s="426">
        <v>18906.206788498868</v>
      </c>
      <c r="I487" s="425"/>
      <c r="J487" s="425"/>
      <c r="R487" s="98">
        <v>54537.026843015861</v>
      </c>
    </row>
    <row r="488" spans="2:18" ht="15.75" thickBot="1">
      <c r="B488" s="16" t="s">
        <v>1272</v>
      </c>
      <c r="C488" s="475" t="s">
        <v>1293</v>
      </c>
      <c r="D488" s="98">
        <v>195</v>
      </c>
      <c r="H488" s="426">
        <v>17683.176438263221</v>
      </c>
      <c r="I488" s="425"/>
      <c r="J488" s="425"/>
      <c r="R488" s="98">
        <v>54613.199488927261</v>
      </c>
    </row>
    <row r="489" spans="2:18" ht="15.75" thickBot="1">
      <c r="B489" s="1" t="s">
        <v>1273</v>
      </c>
      <c r="C489" s="475" t="s">
        <v>1293</v>
      </c>
      <c r="D489" s="98">
        <v>195</v>
      </c>
      <c r="H489" s="426">
        <v>18258.219146779968</v>
      </c>
      <c r="I489" s="425"/>
      <c r="J489" s="425"/>
      <c r="R489" s="98">
        <v>54710.616892422622</v>
      </c>
    </row>
    <row r="490" spans="2:18" ht="15.75" thickBot="1">
      <c r="B490" s="1" t="s">
        <v>1274</v>
      </c>
      <c r="C490" s="475" t="s">
        <v>1293</v>
      </c>
      <c r="D490" s="98">
        <v>195</v>
      </c>
      <c r="H490" s="426">
        <v>17125.530866798759</v>
      </c>
      <c r="I490" s="425"/>
      <c r="J490" s="425"/>
      <c r="R490" s="98">
        <v>55075.004353729499</v>
      </c>
    </row>
    <row r="491" spans="2:18" ht="15.75" thickBot="1">
      <c r="B491" s="1" t="s">
        <v>1275</v>
      </c>
      <c r="C491" s="475" t="s">
        <v>1293</v>
      </c>
      <c r="D491" s="98">
        <v>195</v>
      </c>
      <c r="H491" s="426">
        <v>21507.848623698745</v>
      </c>
      <c r="I491" s="425"/>
      <c r="J491" s="425"/>
      <c r="R491" s="98">
        <v>55893.053071998467</v>
      </c>
    </row>
    <row r="492" spans="2:18" ht="15.75" thickBot="1">
      <c r="B492" s="1" t="s">
        <v>1276</v>
      </c>
      <c r="C492" s="475" t="s">
        <v>1293</v>
      </c>
      <c r="D492" s="98">
        <v>195</v>
      </c>
      <c r="H492" s="426">
        <v>22620.251426580569</v>
      </c>
      <c r="I492" s="425"/>
      <c r="J492" s="425"/>
      <c r="R492" s="98">
        <v>58830.280965339756</v>
      </c>
    </row>
    <row r="493" spans="2:18" ht="15.75" thickBot="1">
      <c r="B493" s="16" t="s">
        <v>1277</v>
      </c>
      <c r="C493" s="475" t="s">
        <v>1294</v>
      </c>
      <c r="D493" s="98">
        <v>4710</v>
      </c>
      <c r="H493" s="426">
        <v>209548.84209416798</v>
      </c>
      <c r="R493" s="98">
        <v>679556.46383267397</v>
      </c>
    </row>
    <row r="494" spans="2:18" ht="15.75" thickBot="1">
      <c r="B494" s="1" t="s">
        <v>1278</v>
      </c>
      <c r="C494" s="475" t="s">
        <v>1294</v>
      </c>
      <c r="D494" s="98">
        <v>4700</v>
      </c>
      <c r="H494" s="426">
        <v>209413.4250227765</v>
      </c>
      <c r="R494" s="98">
        <v>683205.28571321885</v>
      </c>
    </row>
    <row r="495" spans="2:18" ht="15.75" thickBot="1">
      <c r="B495" s="1" t="s">
        <v>1279</v>
      </c>
      <c r="C495" s="475" t="s">
        <v>1294</v>
      </c>
      <c r="D495" s="98">
        <v>4690</v>
      </c>
      <c r="H495" s="426">
        <v>178051.43600918513</v>
      </c>
      <c r="R495" s="98">
        <v>684146.93717165105</v>
      </c>
    </row>
    <row r="496" spans="2:18" ht="15.75" thickBot="1">
      <c r="B496" s="1" t="s">
        <v>1280</v>
      </c>
      <c r="C496" s="475" t="s">
        <v>1294</v>
      </c>
      <c r="D496" s="98">
        <v>4680</v>
      </c>
      <c r="H496" s="426">
        <v>169242.34751242396</v>
      </c>
      <c r="R496" s="98">
        <v>565092.73331254278</v>
      </c>
    </row>
    <row r="497" spans="2:18" ht="15.75" thickBot="1">
      <c r="B497" s="16" t="s">
        <v>1281</v>
      </c>
      <c r="C497" s="475" t="s">
        <v>1294</v>
      </c>
      <c r="D497" s="98">
        <v>4670</v>
      </c>
      <c r="H497" s="426">
        <v>160821.9197469629</v>
      </c>
      <c r="R497" s="98">
        <v>508358.91736603208</v>
      </c>
    </row>
    <row r="498" spans="2:18" ht="15.75" thickBot="1">
      <c r="B498" s="1" t="s">
        <v>1282</v>
      </c>
      <c r="C498" s="475" t="s">
        <v>1294</v>
      </c>
      <c r="D498" s="98">
        <v>4660</v>
      </c>
      <c r="H498" s="426">
        <v>177385.98730882161</v>
      </c>
      <c r="R498" s="98">
        <v>548106.31325178512</v>
      </c>
    </row>
    <row r="499" spans="2:18" ht="15.75" thickBot="1">
      <c r="B499" s="1" t="s">
        <v>1271</v>
      </c>
      <c r="C499" s="475" t="s">
        <v>1294</v>
      </c>
      <c r="D499" s="98">
        <v>4650</v>
      </c>
      <c r="H499" s="426">
        <v>174767.46066400758</v>
      </c>
      <c r="R499" s="98">
        <v>568331.42212264787</v>
      </c>
    </row>
    <row r="500" spans="2:18" ht="15.75" thickBot="1">
      <c r="B500" s="16" t="s">
        <v>1272</v>
      </c>
      <c r="C500" s="475" t="s">
        <v>1294</v>
      </c>
      <c r="D500" s="98">
        <v>4640</v>
      </c>
      <c r="H500" s="426">
        <v>153360.98587915965</v>
      </c>
      <c r="R500" s="98">
        <v>526967.13232160313</v>
      </c>
    </row>
    <row r="501" spans="2:18" ht="15.75" thickBot="1">
      <c r="B501" s="1" t="s">
        <v>1273</v>
      </c>
      <c r="C501" s="475" t="s">
        <v>1294</v>
      </c>
      <c r="D501" s="98">
        <v>4630</v>
      </c>
      <c r="H501" s="426">
        <v>154898.62990464491</v>
      </c>
      <c r="R501" s="98">
        <v>519914.18001196493</v>
      </c>
    </row>
    <row r="502" spans="2:18" ht="15.75" thickBot="1">
      <c r="B502" s="1" t="s">
        <v>1274</v>
      </c>
      <c r="C502" s="475" t="s">
        <v>1294</v>
      </c>
      <c r="D502" s="98">
        <v>4620</v>
      </c>
      <c r="H502" s="426">
        <v>148653.38092463589</v>
      </c>
      <c r="R502" s="98">
        <v>527559.46190258116</v>
      </c>
    </row>
    <row r="503" spans="2:18" ht="15.75" thickBot="1">
      <c r="B503" s="1" t="s">
        <v>1275</v>
      </c>
      <c r="C503" s="475" t="s">
        <v>1294</v>
      </c>
      <c r="D503" s="98">
        <v>4615</v>
      </c>
      <c r="H503" s="426">
        <v>175977.35294685047</v>
      </c>
      <c r="R503" s="98">
        <v>549351.70245197322</v>
      </c>
    </row>
    <row r="504" spans="2:18" ht="15.75" thickBot="1">
      <c r="B504" s="1" t="s">
        <v>1276</v>
      </c>
      <c r="C504" s="475" t="s">
        <v>1294</v>
      </c>
      <c r="D504" s="98">
        <v>4610</v>
      </c>
      <c r="H504" s="426">
        <v>197280.18159612911</v>
      </c>
      <c r="R504" s="98">
        <v>616719.94434403244</v>
      </c>
    </row>
    <row r="505" spans="2:18" ht="15.75" thickBot="1">
      <c r="B505" s="16" t="s">
        <v>1277</v>
      </c>
      <c r="C505" s="475" t="s">
        <v>1295</v>
      </c>
      <c r="D505" s="98">
        <v>194</v>
      </c>
      <c r="H505" s="426">
        <v>116315.81918367799</v>
      </c>
      <c r="O505" s="98">
        <v>298883.09503415314</v>
      </c>
      <c r="P505" s="98">
        <v>286626.16346055281</v>
      </c>
      <c r="Q505" s="98">
        <v>280421.84886952193</v>
      </c>
    </row>
    <row r="506" spans="2:18" ht="15.75" thickBot="1">
      <c r="B506" s="1" t="s">
        <v>1278</v>
      </c>
      <c r="C506" s="475" t="s">
        <v>1295</v>
      </c>
      <c r="D506" s="98">
        <v>196</v>
      </c>
      <c r="H506" s="426">
        <v>116583.61349569976</v>
      </c>
      <c r="O506" s="98">
        <v>296541.96709062625</v>
      </c>
      <c r="P506" s="98">
        <v>283712.37949306745</v>
      </c>
      <c r="Q506" s="98">
        <v>275127.35784178786</v>
      </c>
    </row>
    <row r="507" spans="2:18" ht="15.75" thickBot="1">
      <c r="B507" s="1" t="s">
        <v>1279</v>
      </c>
      <c r="C507" s="475" t="s">
        <v>1295</v>
      </c>
      <c r="D507" s="98">
        <v>197</v>
      </c>
      <c r="H507" s="426">
        <v>98398.739762049474</v>
      </c>
      <c r="O507" s="98">
        <v>272896.96545422159</v>
      </c>
      <c r="P507" s="98">
        <v>262231.33361250552</v>
      </c>
      <c r="Q507" s="98">
        <v>252544.0545527795</v>
      </c>
    </row>
    <row r="508" spans="2:18" ht="15.75" thickBot="1">
      <c r="B508" s="1" t="s">
        <v>1280</v>
      </c>
      <c r="C508" s="475" t="s">
        <v>1295</v>
      </c>
      <c r="D508" s="98">
        <v>199</v>
      </c>
      <c r="H508" s="426">
        <v>101809.8281274271</v>
      </c>
      <c r="O508" s="98">
        <v>272350.45919941337</v>
      </c>
      <c r="P508" s="98">
        <v>262434.95653360384</v>
      </c>
      <c r="Q508" s="98">
        <v>254157.90076200388</v>
      </c>
    </row>
    <row r="509" spans="2:18" ht="15.75" thickBot="1">
      <c r="B509" s="16" t="s">
        <v>1281</v>
      </c>
      <c r="C509" s="475" t="s">
        <v>1295</v>
      </c>
      <c r="D509" s="98">
        <v>200</v>
      </c>
      <c r="H509" s="426">
        <v>104851.39641335633</v>
      </c>
      <c r="O509" s="98">
        <v>268873.68127344287</v>
      </c>
      <c r="P509" s="98">
        <v>257788.62862182281</v>
      </c>
      <c r="Q509" s="98">
        <v>253787.83871300635</v>
      </c>
    </row>
    <row r="510" spans="2:18" ht="15.75" thickBot="1">
      <c r="B510" s="1" t="s">
        <v>1282</v>
      </c>
      <c r="C510" s="475" t="s">
        <v>1295</v>
      </c>
      <c r="D510" s="98">
        <v>202</v>
      </c>
      <c r="H510" s="426">
        <v>106794.41355158437</v>
      </c>
      <c r="O510" s="98">
        <v>254407.40649555661</v>
      </c>
      <c r="P510" s="98">
        <v>244745.19159999123</v>
      </c>
      <c r="Q510" s="98">
        <v>241236.90578617735</v>
      </c>
    </row>
    <row r="511" spans="2:18" ht="15.75" thickBot="1">
      <c r="B511" s="1" t="s">
        <v>1271</v>
      </c>
      <c r="C511" s="475" t="s">
        <v>1295</v>
      </c>
      <c r="D511" s="98">
        <v>203</v>
      </c>
      <c r="H511" s="426">
        <v>102170.24747631414</v>
      </c>
      <c r="O511" s="98">
        <v>258077.9687202473</v>
      </c>
      <c r="P511" s="98">
        <v>245777.56228033255</v>
      </c>
      <c r="Q511" s="98">
        <v>241292.09162584605</v>
      </c>
    </row>
    <row r="512" spans="2:18" ht="15.75" thickBot="1">
      <c r="B512" s="16" t="s">
        <v>1272</v>
      </c>
      <c r="C512" s="475" t="s">
        <v>1295</v>
      </c>
      <c r="D512" s="98">
        <v>205</v>
      </c>
      <c r="H512" s="426">
        <v>97557.302985670336</v>
      </c>
      <c r="O512" s="98">
        <v>263568.31940477336</v>
      </c>
      <c r="P512" s="98">
        <v>249791.56331942926</v>
      </c>
      <c r="Q512" s="98">
        <v>246264.528017053</v>
      </c>
    </row>
    <row r="513" spans="2:17" ht="15.75" thickBot="1">
      <c r="B513" s="1" t="s">
        <v>1273</v>
      </c>
      <c r="C513" s="475" t="s">
        <v>1295</v>
      </c>
      <c r="D513" s="98">
        <v>206</v>
      </c>
      <c r="H513" s="426">
        <v>99726.21080846159</v>
      </c>
      <c r="O513" s="98">
        <v>260749.05397636528</v>
      </c>
      <c r="P513" s="98">
        <v>247848.81826284138</v>
      </c>
      <c r="Q513" s="98">
        <v>243450.31400601257</v>
      </c>
    </row>
    <row r="514" spans="2:17" ht="15.75" thickBot="1">
      <c r="B514" s="1" t="s">
        <v>1274</v>
      </c>
      <c r="C514" s="475" t="s">
        <v>1295</v>
      </c>
      <c r="D514" s="98">
        <v>208</v>
      </c>
      <c r="H514" s="426">
        <v>95454.012526751452</v>
      </c>
      <c r="O514" s="98">
        <v>278231.8358735654</v>
      </c>
      <c r="P514" s="98">
        <v>266025.47203130234</v>
      </c>
      <c r="Q514" s="98">
        <v>260650.57801461651</v>
      </c>
    </row>
    <row r="515" spans="2:17" ht="15.75" thickBot="1">
      <c r="B515" s="1" t="s">
        <v>1275</v>
      </c>
      <c r="C515" s="475" t="s">
        <v>1295</v>
      </c>
      <c r="D515" s="98">
        <v>209</v>
      </c>
      <c r="H515" s="426">
        <v>111982.94702870163</v>
      </c>
      <c r="O515" s="98">
        <v>271446.43220174668</v>
      </c>
      <c r="P515" s="98">
        <v>261290.04770344598</v>
      </c>
      <c r="Q515" s="98">
        <v>256589.69865708912</v>
      </c>
    </row>
    <row r="516" spans="2:17" ht="15.75" thickBot="1">
      <c r="B516" s="1" t="s">
        <v>1276</v>
      </c>
      <c r="C516" s="475" t="s">
        <v>1295</v>
      </c>
      <c r="D516" s="98">
        <v>211</v>
      </c>
      <c r="H516" s="426">
        <v>116178.63389774921</v>
      </c>
      <c r="O516" s="98">
        <v>279638.96864237601</v>
      </c>
      <c r="P516" s="98">
        <v>268078.41654824978</v>
      </c>
      <c r="Q516" s="98">
        <v>262859.06198958016</v>
      </c>
    </row>
    <row r="517" spans="2:17" ht="15.75" thickBot="1">
      <c r="B517" s="16" t="s">
        <v>1277</v>
      </c>
      <c r="C517" s="475" t="s">
        <v>1296</v>
      </c>
      <c r="D517" s="98">
        <v>461</v>
      </c>
      <c r="H517" s="426">
        <v>149714.8389770989</v>
      </c>
      <c r="O517" s="98">
        <v>361109.41266800952</v>
      </c>
      <c r="P517" s="98">
        <v>337141.32248322846</v>
      </c>
      <c r="Q517" s="98">
        <v>330578.73656516196</v>
      </c>
    </row>
    <row r="518" spans="2:17" ht="15.75" thickBot="1">
      <c r="B518" s="1" t="s">
        <v>1278</v>
      </c>
      <c r="C518" s="475" t="s">
        <v>1296</v>
      </c>
      <c r="D518" s="98">
        <v>462</v>
      </c>
      <c r="H518" s="426">
        <v>151711.80162118803</v>
      </c>
      <c r="O518" s="98">
        <v>367857.61876212055</v>
      </c>
      <c r="P518" s="98">
        <v>343441.62662138074</v>
      </c>
      <c r="Q518" s="98">
        <v>336756.40285248047</v>
      </c>
    </row>
    <row r="519" spans="2:17" ht="15.75" thickBot="1">
      <c r="B519" s="1" t="s">
        <v>1279</v>
      </c>
      <c r="C519" s="475" t="s">
        <v>1296</v>
      </c>
      <c r="D519" s="98">
        <v>463</v>
      </c>
      <c r="H519" s="426">
        <v>133838.23906568461</v>
      </c>
      <c r="O519" s="98">
        <v>373419.51732492255</v>
      </c>
      <c r="P519" s="98">
        <v>348634.36259335763</v>
      </c>
      <c r="Q519" s="98">
        <v>341848.06021530041</v>
      </c>
    </row>
    <row r="520" spans="2:17" ht="15.75" thickBot="1">
      <c r="B520" s="1" t="s">
        <v>1280</v>
      </c>
      <c r="C520" s="475" t="s">
        <v>1296</v>
      </c>
      <c r="D520" s="98">
        <v>464</v>
      </c>
      <c r="H520" s="426">
        <v>129968.3457005088</v>
      </c>
      <c r="O520" s="98">
        <v>324937.47249832854</v>
      </c>
      <c r="P520" s="98">
        <v>295953.36027439358</v>
      </c>
      <c r="Q520" s="98">
        <v>289324.01360318629</v>
      </c>
    </row>
    <row r="521" spans="2:17" ht="15.75" thickBot="1">
      <c r="B521" s="16" t="s">
        <v>1281</v>
      </c>
      <c r="C521" s="475" t="s">
        <v>1296</v>
      </c>
      <c r="D521" s="98">
        <v>465</v>
      </c>
      <c r="H521" s="426">
        <v>126203.04378615638</v>
      </c>
      <c r="O521" s="98">
        <v>300923.62004606653</v>
      </c>
      <c r="P521" s="98">
        <v>274081.52052708046</v>
      </c>
      <c r="Q521" s="98">
        <v>267942.10243072564</v>
      </c>
    </row>
    <row r="522" spans="2:17" ht="15.75" thickBot="1">
      <c r="B522" s="1" t="s">
        <v>1282</v>
      </c>
      <c r="C522" s="475" t="s">
        <v>1296</v>
      </c>
      <c r="D522" s="98">
        <v>466</v>
      </c>
      <c r="H522" s="426">
        <v>138941.02067399904</v>
      </c>
      <c r="O522" s="98">
        <v>325202.28388579714</v>
      </c>
      <c r="P522" s="98">
        <v>296194.55073900108</v>
      </c>
      <c r="Q522" s="98">
        <v>289559.80140839436</v>
      </c>
    </row>
    <row r="523" spans="2:17" ht="15.75" thickBot="1">
      <c r="B523" s="1" t="s">
        <v>1271</v>
      </c>
      <c r="C523" s="475" t="s">
        <v>1296</v>
      </c>
      <c r="D523" s="98">
        <v>467</v>
      </c>
      <c r="H523" s="426">
        <v>133726.08401632425</v>
      </c>
      <c r="O523" s="98">
        <v>326881.2753982892</v>
      </c>
      <c r="P523" s="98">
        <v>297723.7778120552</v>
      </c>
      <c r="Q523" s="98">
        <v>291054.77383944386</v>
      </c>
    </row>
    <row r="524" spans="2:17" ht="15.75" thickBot="1">
      <c r="B524" s="16" t="s">
        <v>1272</v>
      </c>
      <c r="C524" s="475" t="s">
        <v>1296</v>
      </c>
      <c r="D524" s="98">
        <v>468</v>
      </c>
      <c r="H524" s="426">
        <v>120135.69221724347</v>
      </c>
      <c r="O524" s="98">
        <v>307136.52359476621</v>
      </c>
      <c r="P524" s="98">
        <v>279740.23901270487</v>
      </c>
      <c r="Q524" s="98">
        <v>273474.06578668638</v>
      </c>
    </row>
    <row r="525" spans="2:17" ht="15.75" thickBot="1">
      <c r="B525" s="1" t="s">
        <v>1273</v>
      </c>
      <c r="C525" s="475" t="s">
        <v>1296</v>
      </c>
      <c r="D525" s="98">
        <v>469</v>
      </c>
      <c r="H525" s="426">
        <v>121409.59343030686</v>
      </c>
      <c r="O525" s="98">
        <v>304334.57402527158</v>
      </c>
      <c r="P525" s="98">
        <v>277188.22066888155</v>
      </c>
      <c r="Q525" s="98">
        <v>270979.21257961565</v>
      </c>
    </row>
    <row r="526" spans="2:17" ht="15.75" thickBot="1">
      <c r="B526" s="1" t="s">
        <v>1274</v>
      </c>
      <c r="C526" s="475" t="s">
        <v>1296</v>
      </c>
      <c r="D526" s="98">
        <v>470</v>
      </c>
      <c r="H526" s="426">
        <v>117607.49699989746</v>
      </c>
      <c r="O526" s="98">
        <v>308834.34325137269</v>
      </c>
      <c r="P526" s="98">
        <v>281286.61477739963</v>
      </c>
      <c r="Q526" s="98">
        <v>274985.80277918204</v>
      </c>
    </row>
    <row r="527" spans="2:17" ht="15.75" thickBot="1">
      <c r="B527" s="1" t="s">
        <v>1275</v>
      </c>
      <c r="C527" s="475" t="s">
        <v>1296</v>
      </c>
      <c r="D527" s="98">
        <v>471</v>
      </c>
      <c r="H527" s="426">
        <v>135748.32557448372</v>
      </c>
      <c r="O527" s="98">
        <v>316205.15247670509</v>
      </c>
      <c r="P527" s="98">
        <v>295217.51453213062</v>
      </c>
      <c r="Q527" s="98">
        <v>289470.99171088397</v>
      </c>
    </row>
    <row r="528" spans="2:17" ht="15.75" thickBot="1">
      <c r="B528" s="1" t="s">
        <v>1276</v>
      </c>
      <c r="C528" s="475" t="s">
        <v>1296</v>
      </c>
      <c r="D528" s="98">
        <v>472</v>
      </c>
      <c r="E528" s="421"/>
      <c r="F528" s="422"/>
      <c r="G528" s="427"/>
      <c r="H528" s="426">
        <v>150027.76549022656</v>
      </c>
      <c r="O528" s="98">
        <v>350156.54764489742</v>
      </c>
      <c r="P528" s="98">
        <v>326915.43728242599</v>
      </c>
      <c r="Q528" s="98">
        <v>320551.90216514596</v>
      </c>
    </row>
    <row r="529" spans="2:17" ht="15.75" thickBot="1">
      <c r="B529" s="16" t="s">
        <v>1277</v>
      </c>
      <c r="C529" s="475" t="s">
        <v>1297</v>
      </c>
      <c r="D529" s="98">
        <v>32</v>
      </c>
      <c r="G529" s="426"/>
      <c r="H529" s="426">
        <v>124179.78806386862</v>
      </c>
      <c r="O529" s="98">
        <v>303015.95203647082</v>
      </c>
      <c r="P529" s="98">
        <v>286021.98062904342</v>
      </c>
      <c r="Q529" s="98">
        <v>282760.10697236127</v>
      </c>
    </row>
    <row r="530" spans="2:17" ht="15.75" thickBot="1">
      <c r="B530" s="1" t="s">
        <v>1278</v>
      </c>
      <c r="C530" s="475" t="s">
        <v>1297</v>
      </c>
      <c r="D530" s="98">
        <v>32</v>
      </c>
      <c r="G530" s="426"/>
      <c r="H530" s="426">
        <v>138340.91870525325</v>
      </c>
      <c r="O530" s="98">
        <v>292761.3128740986</v>
      </c>
      <c r="P530" s="98">
        <v>277929.19499891426</v>
      </c>
      <c r="Q530" s="98">
        <v>277013.0010792648</v>
      </c>
    </row>
    <row r="531" spans="2:17" ht="15.75" thickBot="1">
      <c r="B531" s="1" t="s">
        <v>1279</v>
      </c>
      <c r="C531" s="475" t="s">
        <v>1297</v>
      </c>
      <c r="D531" s="98">
        <v>32</v>
      </c>
      <c r="G531" s="426"/>
      <c r="H531" s="426">
        <v>118627.72742739633</v>
      </c>
      <c r="O531" s="98">
        <v>303335.93530027539</v>
      </c>
      <c r="P531" s="98">
        <v>286770.12182486581</v>
      </c>
      <c r="Q531" s="98">
        <v>283053.22555020865</v>
      </c>
    </row>
    <row r="532" spans="2:17" ht="15.75" thickBot="1">
      <c r="B532" s="1" t="s">
        <v>1280</v>
      </c>
      <c r="C532" s="475" t="s">
        <v>1297</v>
      </c>
      <c r="D532" s="98">
        <v>32</v>
      </c>
      <c r="G532" s="426"/>
      <c r="H532" s="426">
        <v>127037.66740078342</v>
      </c>
      <c r="O532" s="98">
        <v>295166.35002704972</v>
      </c>
      <c r="P532" s="98">
        <v>285093.16988218762</v>
      </c>
      <c r="Q532" s="98">
        <v>280936.46001079009</v>
      </c>
    </row>
    <row r="533" spans="2:17" ht="15.75" thickBot="1">
      <c r="B533" s="16" t="s">
        <v>1281</v>
      </c>
      <c r="C533" s="475" t="s">
        <v>1297</v>
      </c>
      <c r="D533" s="98">
        <v>32</v>
      </c>
      <c r="G533" s="426"/>
      <c r="H533" s="426">
        <v>136559.53427873555</v>
      </c>
      <c r="O533" s="98">
        <v>301167.41503133258</v>
      </c>
      <c r="P533" s="98">
        <v>293807.68142536085</v>
      </c>
      <c r="Q533" s="98">
        <v>283168.84869375179</v>
      </c>
    </row>
    <row r="534" spans="2:17" ht="15.75" thickBot="1">
      <c r="B534" s="1" t="s">
        <v>1282</v>
      </c>
      <c r="C534" s="475" t="s">
        <v>1297</v>
      </c>
      <c r="D534" s="98">
        <v>32</v>
      </c>
      <c r="G534" s="426"/>
      <c r="H534" s="426">
        <v>143877.22330161318</v>
      </c>
      <c r="O534" s="98">
        <v>305100.75315947487</v>
      </c>
      <c r="P534" s="98">
        <v>298665.59966911457</v>
      </c>
      <c r="Q534" s="98">
        <v>292465.4293481377</v>
      </c>
    </row>
    <row r="535" spans="2:17" ht="15.75" thickBot="1">
      <c r="B535" s="1" t="s">
        <v>1271</v>
      </c>
      <c r="C535" s="475" t="s">
        <v>1297</v>
      </c>
      <c r="D535" s="98">
        <v>32</v>
      </c>
      <c r="G535" s="426"/>
      <c r="H535" s="426">
        <v>138414.53957859159</v>
      </c>
      <c r="O535" s="98">
        <v>307322.51672138652</v>
      </c>
      <c r="P535" s="98">
        <v>296170.30768978159</v>
      </c>
      <c r="Q535" s="98">
        <v>284455.32785144821</v>
      </c>
    </row>
    <row r="536" spans="2:17" ht="15.75" thickBot="1">
      <c r="B536" s="16" t="s">
        <v>1272</v>
      </c>
      <c r="C536" s="475" t="s">
        <v>1297</v>
      </c>
      <c r="D536" s="98">
        <v>32</v>
      </c>
      <c r="G536" s="426"/>
      <c r="H536" s="426">
        <v>130048.8318836425</v>
      </c>
      <c r="O536" s="98">
        <v>313851.82751069509</v>
      </c>
      <c r="P536" s="98">
        <v>298405.35898816219</v>
      </c>
      <c r="Q536" s="98">
        <v>290557.78999287769</v>
      </c>
    </row>
    <row r="537" spans="2:17" ht="15.75" thickBot="1">
      <c r="B537" s="1" t="s">
        <v>1273</v>
      </c>
      <c r="C537" s="475" t="s">
        <v>1297</v>
      </c>
      <c r="D537" s="98">
        <v>32</v>
      </c>
      <c r="G537" s="426"/>
      <c r="H537" s="426">
        <v>134527.23648975903</v>
      </c>
      <c r="O537" s="98">
        <v>301106.54211598623</v>
      </c>
      <c r="P537" s="98">
        <v>289470.46627535054</v>
      </c>
      <c r="Q537" s="98">
        <v>284157.75317857787</v>
      </c>
    </row>
    <row r="538" spans="2:17" ht="15.75" thickBot="1">
      <c r="B538" s="1" t="s">
        <v>1274</v>
      </c>
      <c r="C538" s="475" t="s">
        <v>1297</v>
      </c>
      <c r="D538" s="98">
        <v>32</v>
      </c>
      <c r="G538" s="426"/>
      <c r="H538" s="426">
        <v>125338.352808646</v>
      </c>
      <c r="O538" s="98">
        <v>306601.64710906835</v>
      </c>
      <c r="P538" s="98">
        <v>296919.47935844731</v>
      </c>
      <c r="Q538" s="98">
        <v>283380.76220885338</v>
      </c>
    </row>
    <row r="539" spans="2:17" ht="15.75" thickBot="1">
      <c r="B539" s="1" t="s">
        <v>1275</v>
      </c>
      <c r="C539" s="475" t="s">
        <v>1297</v>
      </c>
      <c r="D539" s="98">
        <v>32</v>
      </c>
      <c r="G539" s="426"/>
      <c r="H539" s="426">
        <v>145721.91942013506</v>
      </c>
      <c r="O539" s="98">
        <v>305164.43508259428</v>
      </c>
      <c r="P539" s="98">
        <v>297245.51100877021</v>
      </c>
      <c r="Q539" s="98">
        <v>289385.66096710658</v>
      </c>
    </row>
    <row r="540" spans="2:17" ht="15.75" thickBot="1">
      <c r="B540" s="1" t="s">
        <v>1276</v>
      </c>
      <c r="C540" s="475" t="s">
        <v>1297</v>
      </c>
      <c r="D540" s="98">
        <v>32</v>
      </c>
      <c r="G540" s="426"/>
      <c r="H540" s="426">
        <v>142956.52064234001</v>
      </c>
      <c r="O540" s="98">
        <v>317092.24799730122</v>
      </c>
      <c r="P540" s="98">
        <v>300623.03892578377</v>
      </c>
      <c r="Q540" s="98">
        <v>296312.25734930608</v>
      </c>
    </row>
    <row r="541" spans="2:17" ht="15.75" thickBot="1">
      <c r="B541" s="16" t="s">
        <v>1277</v>
      </c>
      <c r="C541" s="475" t="s">
        <v>1299</v>
      </c>
      <c r="G541" s="95"/>
      <c r="H541" s="426">
        <v>8.7129089367619699</v>
      </c>
    </row>
    <row r="542" spans="2:17" ht="15.75" thickBot="1">
      <c r="B542" s="1" t="s">
        <v>1278</v>
      </c>
      <c r="C542" s="475" t="s">
        <v>1299</v>
      </c>
      <c r="H542" s="426">
        <v>12.623058884353158</v>
      </c>
    </row>
    <row r="543" spans="2:17" ht="15.75" thickBot="1">
      <c r="B543" s="1" t="s">
        <v>1279</v>
      </c>
      <c r="C543" s="475" t="s">
        <v>1299</v>
      </c>
      <c r="H543" s="426">
        <v>12.72099464591358</v>
      </c>
    </row>
    <row r="544" spans="2:17" ht="15.75" thickBot="1">
      <c r="B544" s="1" t="s">
        <v>1280</v>
      </c>
      <c r="C544" s="475" t="s">
        <v>1299</v>
      </c>
      <c r="H544" s="426">
        <v>13.751980628865265</v>
      </c>
    </row>
    <row r="545" spans="2:8" ht="15.75" thickBot="1">
      <c r="B545" s="16" t="s">
        <v>1281</v>
      </c>
      <c r="C545" s="475" t="s">
        <v>1299</v>
      </c>
      <c r="H545" s="426">
        <v>16.078095556380777</v>
      </c>
    </row>
    <row r="546" spans="2:8" ht="15.75" thickBot="1">
      <c r="B546" s="1" t="s">
        <v>1282</v>
      </c>
      <c r="C546" s="475" t="s">
        <v>1299</v>
      </c>
      <c r="H546" s="426">
        <v>20.202880198346602</v>
      </c>
    </row>
    <row r="547" spans="2:8" ht="15.75" thickBot="1">
      <c r="B547" s="1" t="s">
        <v>1271</v>
      </c>
      <c r="C547" s="475" t="s">
        <v>1299</v>
      </c>
      <c r="H547" s="426">
        <v>20.881069214325571</v>
      </c>
    </row>
    <row r="548" spans="2:8" ht="15.75" thickBot="1">
      <c r="B548" s="16" t="s">
        <v>1272</v>
      </c>
      <c r="C548" s="475" t="s">
        <v>1299</v>
      </c>
      <c r="H548" s="426">
        <v>11.655830501868911</v>
      </c>
    </row>
    <row r="549" spans="2:8" ht="15.75" thickBot="1">
      <c r="B549" s="1" t="s">
        <v>1273</v>
      </c>
      <c r="C549" s="475" t="s">
        <v>1299</v>
      </c>
      <c r="H549" s="426">
        <v>12.796336904242718</v>
      </c>
    </row>
    <row r="550" spans="2:8" ht="15.75" thickBot="1">
      <c r="B550" s="1" t="s">
        <v>1274</v>
      </c>
      <c r="C550" s="475" t="s">
        <v>1299</v>
      </c>
      <c r="H550" s="426">
        <v>11.211319892421793</v>
      </c>
    </row>
    <row r="551" spans="2:8" ht="15.75" thickBot="1">
      <c r="B551" s="1" t="s">
        <v>1275</v>
      </c>
      <c r="C551" s="475" t="s">
        <v>1299</v>
      </c>
      <c r="H551" s="426">
        <v>12.931721218011743</v>
      </c>
    </row>
    <row r="552" spans="2:8" ht="15.75" thickBot="1">
      <c r="B552" s="1" t="s">
        <v>1276</v>
      </c>
      <c r="C552" s="475" t="s">
        <v>1299</v>
      </c>
      <c r="H552" s="426">
        <v>10.964648882415123</v>
      </c>
    </row>
    <row r="553" spans="2:8" ht="15.75" thickBot="1">
      <c r="B553" s="16" t="s">
        <v>1277</v>
      </c>
      <c r="C553" s="475" t="s">
        <v>1300</v>
      </c>
      <c r="D553" s="98">
        <v>747</v>
      </c>
      <c r="H553" s="426">
        <v>101.73262271996876</v>
      </c>
    </row>
    <row r="554" spans="2:8" ht="15.75" thickBot="1">
      <c r="B554" s="1" t="s">
        <v>1278</v>
      </c>
      <c r="C554" s="475" t="s">
        <v>1300</v>
      </c>
      <c r="D554" s="98">
        <v>747</v>
      </c>
      <c r="H554" s="426">
        <v>100.53387313219874</v>
      </c>
    </row>
    <row r="555" spans="2:8" ht="15.75" thickBot="1">
      <c r="B555" s="1" t="s">
        <v>1279</v>
      </c>
      <c r="C555" s="475" t="s">
        <v>1300</v>
      </c>
      <c r="D555" s="98">
        <v>747</v>
      </c>
      <c r="H555" s="426">
        <v>91.749947008687016</v>
      </c>
    </row>
    <row r="556" spans="2:8" ht="15.75" thickBot="1">
      <c r="B556" s="1" t="s">
        <v>1280</v>
      </c>
      <c r="C556" s="475" t="s">
        <v>1300</v>
      </c>
      <c r="D556" s="98">
        <v>747</v>
      </c>
      <c r="H556" s="426">
        <v>95.409823814101088</v>
      </c>
    </row>
    <row r="557" spans="2:8" ht="15.75" thickBot="1">
      <c r="B557" s="16" t="s">
        <v>1281</v>
      </c>
      <c r="C557" s="475" t="s">
        <v>1300</v>
      </c>
      <c r="D557" s="98">
        <v>747</v>
      </c>
      <c r="H557" s="426">
        <v>100.91028822697869</v>
      </c>
    </row>
    <row r="558" spans="2:8" ht="15.75" thickBot="1">
      <c r="B558" s="1" t="s">
        <v>1282</v>
      </c>
      <c r="C558" s="475" t="s">
        <v>1300</v>
      </c>
      <c r="D558" s="98">
        <v>747</v>
      </c>
      <c r="H558" s="426">
        <v>118.30184646870762</v>
      </c>
    </row>
    <row r="559" spans="2:8" ht="15.75" thickBot="1">
      <c r="B559" s="1" t="s">
        <v>1271</v>
      </c>
      <c r="C559" s="475" t="s">
        <v>1300</v>
      </c>
      <c r="D559" s="98">
        <v>747</v>
      </c>
      <c r="H559" s="426">
        <v>121.96558073065607</v>
      </c>
    </row>
    <row r="560" spans="2:8" ht="15.75" thickBot="1">
      <c r="B560" s="16" t="s">
        <v>1272</v>
      </c>
      <c r="C560" s="475" t="s">
        <v>1300</v>
      </c>
      <c r="D560" s="98">
        <v>747</v>
      </c>
      <c r="H560" s="426">
        <v>104.31216132330628</v>
      </c>
    </row>
    <row r="561" spans="2:27" ht="15.75" thickBot="1">
      <c r="B561" s="1" t="s">
        <v>1273</v>
      </c>
      <c r="C561" s="475" t="s">
        <v>1300</v>
      </c>
      <c r="D561" s="98">
        <v>747</v>
      </c>
      <c r="H561" s="426">
        <v>104.30947846876789</v>
      </c>
    </row>
    <row r="562" spans="2:27" ht="15.75" thickBot="1">
      <c r="B562" s="1" t="s">
        <v>1274</v>
      </c>
      <c r="C562" s="475" t="s">
        <v>1300</v>
      </c>
      <c r="D562" s="98">
        <v>747</v>
      </c>
      <c r="H562" s="426">
        <v>90.687102810327531</v>
      </c>
    </row>
    <row r="563" spans="2:27" ht="15.75" thickBot="1">
      <c r="B563" s="1" t="s">
        <v>1275</v>
      </c>
      <c r="C563" s="475" t="s">
        <v>1300</v>
      </c>
      <c r="D563" s="98">
        <v>747</v>
      </c>
      <c r="H563" s="426">
        <v>105.15141458091546</v>
      </c>
    </row>
    <row r="564" spans="2:27" ht="15.75" thickBot="1">
      <c r="B564" s="1" t="s">
        <v>1276</v>
      </c>
      <c r="C564" s="475" t="s">
        <v>1300</v>
      </c>
      <c r="D564" s="98">
        <v>747</v>
      </c>
      <c r="H564" s="426">
        <v>106.30311686940547</v>
      </c>
    </row>
    <row r="565" spans="2:27" ht="15.75" thickBot="1">
      <c r="B565" s="16" t="s">
        <v>1277</v>
      </c>
      <c r="C565" s="475" t="s">
        <v>1298</v>
      </c>
      <c r="D565" s="98">
        <v>1</v>
      </c>
      <c r="E565" s="422"/>
      <c r="F565" s="422"/>
      <c r="G565" s="423"/>
      <c r="H565" s="426">
        <v>44549.468970203568</v>
      </c>
      <c r="O565" s="98">
        <v>185157.6</v>
      </c>
      <c r="P565" s="98">
        <v>185157.6</v>
      </c>
      <c r="Q565" s="98">
        <v>101387.6</v>
      </c>
    </row>
    <row r="566" spans="2:27" ht="15.75" thickBot="1">
      <c r="B566" s="1" t="s">
        <v>1278</v>
      </c>
      <c r="C566" s="475" t="s">
        <v>1298</v>
      </c>
      <c r="D566" s="98">
        <v>1</v>
      </c>
      <c r="G566" s="417"/>
      <c r="H566" s="426">
        <v>46590.42742533984</v>
      </c>
      <c r="O566" s="98">
        <v>185157.6</v>
      </c>
      <c r="P566" s="98">
        <v>185157.6</v>
      </c>
      <c r="Q566" s="98">
        <v>101387.6</v>
      </c>
    </row>
    <row r="567" spans="2:27" ht="15.75" thickBot="1">
      <c r="B567" s="1" t="s">
        <v>1279</v>
      </c>
      <c r="C567" s="475" t="s">
        <v>1298</v>
      </c>
      <c r="D567" s="98">
        <v>1</v>
      </c>
      <c r="G567" s="417"/>
      <c r="H567" s="426">
        <v>45641.535759228333</v>
      </c>
      <c r="O567" s="98">
        <v>185157.6</v>
      </c>
      <c r="P567" s="98">
        <v>185157.6</v>
      </c>
      <c r="Q567" s="98">
        <v>101387.6</v>
      </c>
    </row>
    <row r="568" spans="2:27" ht="15.75" thickBot="1">
      <c r="B568" s="1" t="s">
        <v>1280</v>
      </c>
      <c r="C568" s="475" t="s">
        <v>1298</v>
      </c>
      <c r="D568" s="98">
        <v>1</v>
      </c>
      <c r="G568" s="417"/>
      <c r="H568" s="426">
        <v>45507.52425543344</v>
      </c>
      <c r="O568" s="98">
        <v>185157.6</v>
      </c>
      <c r="P568" s="98">
        <v>185157.6</v>
      </c>
      <c r="Q568" s="98">
        <v>101387.6</v>
      </c>
    </row>
    <row r="569" spans="2:27" ht="15.75" thickBot="1">
      <c r="B569" s="16" t="s">
        <v>1281</v>
      </c>
      <c r="C569" s="475" t="s">
        <v>1298</v>
      </c>
      <c r="D569" s="98">
        <v>1</v>
      </c>
      <c r="G569" s="417"/>
      <c r="H569" s="426">
        <v>44497.248263400274</v>
      </c>
      <c r="O569" s="98">
        <v>185157.6</v>
      </c>
      <c r="P569" s="98">
        <v>185157.6</v>
      </c>
      <c r="Q569" s="98">
        <v>101387.6</v>
      </c>
    </row>
    <row r="570" spans="2:27" ht="15.75" thickBot="1">
      <c r="B570" s="1" t="s">
        <v>1282</v>
      </c>
      <c r="C570" s="475" t="s">
        <v>1298</v>
      </c>
      <c r="D570" s="98">
        <v>1</v>
      </c>
      <c r="G570" s="417"/>
      <c r="H570" s="426">
        <v>48145.895395850552</v>
      </c>
      <c r="O570" s="98">
        <v>185157.6</v>
      </c>
      <c r="P570" s="98">
        <v>185157.6</v>
      </c>
      <c r="Q570" s="98">
        <v>101387.6</v>
      </c>
    </row>
    <row r="571" spans="2:27" ht="15.75" thickBot="1">
      <c r="B571" s="1" t="s">
        <v>1271</v>
      </c>
      <c r="C571" s="475" t="s">
        <v>1298</v>
      </c>
      <c r="D571" s="98">
        <v>1</v>
      </c>
      <c r="G571" s="417"/>
      <c r="H571" s="426">
        <v>48922.696088106532</v>
      </c>
      <c r="O571" s="98">
        <v>185157.6</v>
      </c>
      <c r="P571" s="98">
        <v>185157.6</v>
      </c>
      <c r="Q571" s="98">
        <v>101387.6</v>
      </c>
    </row>
    <row r="572" spans="2:27" ht="15.75" thickBot="1">
      <c r="B572" s="16" t="s">
        <v>1272</v>
      </c>
      <c r="C572" s="475" t="s">
        <v>1298</v>
      </c>
      <c r="D572" s="98">
        <v>1</v>
      </c>
      <c r="G572" s="417"/>
      <c r="H572" s="426">
        <v>46508.168692297637</v>
      </c>
      <c r="O572" s="98">
        <v>185157.6</v>
      </c>
      <c r="P572" s="98">
        <v>185157.6</v>
      </c>
      <c r="Q572" s="98">
        <v>101387.6</v>
      </c>
    </row>
    <row r="573" spans="2:27" ht="15.75" thickBot="1">
      <c r="B573" s="1" t="s">
        <v>1273</v>
      </c>
      <c r="C573" s="475" t="s">
        <v>1298</v>
      </c>
      <c r="D573" s="98">
        <v>1</v>
      </c>
      <c r="G573" s="417"/>
      <c r="H573" s="426">
        <v>48339.183654632048</v>
      </c>
      <c r="O573" s="98">
        <v>185157.6</v>
      </c>
      <c r="P573" s="98">
        <v>185157.6</v>
      </c>
      <c r="Q573" s="98">
        <v>101387.6</v>
      </c>
    </row>
    <row r="574" spans="2:27" ht="15.75" thickBot="1">
      <c r="B574" s="1" t="s">
        <v>1274</v>
      </c>
      <c r="C574" s="475" t="s">
        <v>1298</v>
      </c>
      <c r="D574" s="98">
        <v>1</v>
      </c>
      <c r="G574" s="417"/>
      <c r="H574" s="426">
        <v>47968.040843209907</v>
      </c>
      <c r="O574" s="98">
        <v>185157.6</v>
      </c>
      <c r="P574" s="98">
        <v>185157.6</v>
      </c>
      <c r="Q574" s="98">
        <v>101387.6</v>
      </c>
    </row>
    <row r="575" spans="2:27" ht="15.75" thickBot="1">
      <c r="B575" s="1" t="s">
        <v>1275</v>
      </c>
      <c r="C575" s="475" t="s">
        <v>1298</v>
      </c>
      <c r="D575" s="98">
        <v>1</v>
      </c>
      <c r="G575" s="417"/>
      <c r="H575" s="426">
        <v>48437.686864592841</v>
      </c>
      <c r="O575" s="98">
        <v>185157.6</v>
      </c>
      <c r="P575" s="98">
        <v>185157.6</v>
      </c>
      <c r="Q575" s="98">
        <v>101387.6</v>
      </c>
    </row>
    <row r="576" spans="2:27" ht="15.75" thickBot="1">
      <c r="B576" s="1" t="s">
        <v>1276</v>
      </c>
      <c r="C576" s="475" t="s">
        <v>1298</v>
      </c>
      <c r="D576" s="98">
        <v>1</v>
      </c>
      <c r="G576" s="417"/>
      <c r="H576" s="426">
        <v>45688.667155562805</v>
      </c>
      <c r="O576" s="98">
        <v>185157.6</v>
      </c>
      <c r="P576" s="98">
        <v>185157.6</v>
      </c>
      <c r="Q576" s="98">
        <v>101387.6</v>
      </c>
      <c r="W576" s="98" t="s">
        <v>1415</v>
      </c>
      <c r="X576" s="98" t="s">
        <v>641</v>
      </c>
      <c r="Y576" s="98" t="s">
        <v>1416</v>
      </c>
      <c r="AA576" s="98" t="s">
        <v>1417</v>
      </c>
    </row>
    <row r="577" spans="2:27" ht="15.75" thickBot="1">
      <c r="B577" s="16" t="s">
        <v>1277</v>
      </c>
      <c r="C577" s="475" t="s">
        <v>400</v>
      </c>
      <c r="D577" s="98">
        <f>Y577</f>
        <v>360372</v>
      </c>
      <c r="G577" s="417"/>
      <c r="H577" s="426">
        <f>AA577-H589</f>
        <v>517281.2803215856</v>
      </c>
      <c r="W577" s="98">
        <v>360392</v>
      </c>
      <c r="X577" s="98">
        <v>20</v>
      </c>
      <c r="Y577" s="98">
        <f>W577-X577</f>
        <v>360372</v>
      </c>
      <c r="AA577" s="676">
        <v>517311.36632158561</v>
      </c>
    </row>
    <row r="578" spans="2:27" ht="15.75" thickBot="1">
      <c r="B578" s="1" t="s">
        <v>1278</v>
      </c>
      <c r="C578" s="475" t="s">
        <v>400</v>
      </c>
      <c r="D578" s="98">
        <f t="shared" ref="D578:D588" si="69">Y578</f>
        <v>360578</v>
      </c>
      <c r="H578" s="426">
        <f t="shared" ref="H578:H588" si="70">AA578-H590</f>
        <v>516766.2386938</v>
      </c>
      <c r="W578" s="98">
        <v>360598</v>
      </c>
      <c r="X578" s="98">
        <v>20</v>
      </c>
      <c r="Y578" s="98">
        <f t="shared" ref="Y578:Y588" si="71">W578-X578</f>
        <v>360578</v>
      </c>
      <c r="AA578" s="676">
        <v>516787.6026938</v>
      </c>
    </row>
    <row r="579" spans="2:27" ht="15.75" thickBot="1">
      <c r="B579" s="1" t="s">
        <v>1279</v>
      </c>
      <c r="C579" s="475" t="s">
        <v>400</v>
      </c>
      <c r="D579" s="98">
        <f t="shared" si="69"/>
        <v>360785</v>
      </c>
      <c r="H579" s="426">
        <f t="shared" si="70"/>
        <v>387412.17569153267</v>
      </c>
      <c r="W579" s="98">
        <v>360805</v>
      </c>
      <c r="X579" s="98">
        <v>20</v>
      </c>
      <c r="Y579" s="98">
        <f t="shared" si="71"/>
        <v>360785</v>
      </c>
      <c r="AA579" s="676">
        <v>387432.16969153268</v>
      </c>
    </row>
    <row r="580" spans="2:27" ht="15.75" thickBot="1">
      <c r="B580" s="1" t="s">
        <v>1280</v>
      </c>
      <c r="C580" s="475" t="s">
        <v>400</v>
      </c>
      <c r="D580" s="98">
        <f t="shared" si="69"/>
        <v>360991</v>
      </c>
      <c r="H580" s="426">
        <f t="shared" si="70"/>
        <v>275093.95312404796</v>
      </c>
      <c r="W580" s="98">
        <v>361011</v>
      </c>
      <c r="X580" s="98">
        <v>20</v>
      </c>
      <c r="Y580" s="98">
        <f t="shared" si="71"/>
        <v>360991</v>
      </c>
      <c r="AA580" s="676">
        <v>275120.00512404798</v>
      </c>
    </row>
    <row r="581" spans="2:27" ht="15.75" thickBot="1">
      <c r="B581" s="16" t="s">
        <v>1281</v>
      </c>
      <c r="C581" s="475" t="s">
        <v>400</v>
      </c>
      <c r="D581" s="98">
        <f t="shared" si="69"/>
        <v>361197</v>
      </c>
      <c r="H581" s="426">
        <f t="shared" si="70"/>
        <v>257447.54403438434</v>
      </c>
      <c r="W581" s="98">
        <v>361217</v>
      </c>
      <c r="X581" s="98">
        <v>20</v>
      </c>
      <c r="Y581" s="98">
        <f t="shared" si="71"/>
        <v>361197</v>
      </c>
      <c r="AA581" s="676">
        <v>257476.67703438434</v>
      </c>
    </row>
    <row r="582" spans="2:27" ht="15.75" thickBot="1">
      <c r="B582" s="1" t="s">
        <v>1282</v>
      </c>
      <c r="C582" s="475" t="s">
        <v>400</v>
      </c>
      <c r="D582" s="98">
        <f t="shared" si="69"/>
        <v>361403</v>
      </c>
      <c r="H582" s="426">
        <f t="shared" si="70"/>
        <v>335470.23541950359</v>
      </c>
      <c r="W582" s="98">
        <v>361423</v>
      </c>
      <c r="X582" s="98">
        <v>20</v>
      </c>
      <c r="Y582" s="98">
        <f t="shared" si="71"/>
        <v>361403</v>
      </c>
      <c r="AA582" s="676">
        <v>335495.73141950357</v>
      </c>
    </row>
    <row r="583" spans="2:27" ht="15.75" thickBot="1">
      <c r="B583" s="1" t="s">
        <v>1271</v>
      </c>
      <c r="C583" s="475" t="s">
        <v>400</v>
      </c>
      <c r="D583" s="98">
        <f t="shared" si="69"/>
        <v>361605</v>
      </c>
      <c r="H583" s="426">
        <f t="shared" si="70"/>
        <v>375125.14913516951</v>
      </c>
      <c r="W583" s="98">
        <v>361625</v>
      </c>
      <c r="X583" s="98">
        <v>20</v>
      </c>
      <c r="Y583" s="98">
        <f t="shared" si="71"/>
        <v>361605</v>
      </c>
      <c r="AA583" s="676">
        <v>375149.15213516954</v>
      </c>
    </row>
    <row r="584" spans="2:27" ht="15.75" thickBot="1">
      <c r="B584" s="16" t="s">
        <v>1272</v>
      </c>
      <c r="C584" s="475" t="s">
        <v>400</v>
      </c>
      <c r="D584" s="98">
        <f t="shared" si="69"/>
        <v>361807</v>
      </c>
      <c r="H584" s="426">
        <f t="shared" si="70"/>
        <v>328309.83104486245</v>
      </c>
      <c r="W584" s="98">
        <v>361827</v>
      </c>
      <c r="X584" s="98">
        <v>20</v>
      </c>
      <c r="Y584" s="98">
        <f t="shared" si="71"/>
        <v>361807</v>
      </c>
      <c r="AA584" s="676">
        <v>328329.89304486243</v>
      </c>
    </row>
    <row r="585" spans="2:27" ht="15.75" thickBot="1">
      <c r="B585" s="1" t="s">
        <v>1273</v>
      </c>
      <c r="C585" s="475" t="s">
        <v>400</v>
      </c>
      <c r="D585" s="98">
        <f t="shared" si="69"/>
        <v>362009</v>
      </c>
      <c r="H585" s="426">
        <f t="shared" si="70"/>
        <v>309062.77860448236</v>
      </c>
      <c r="W585" s="98">
        <v>362029</v>
      </c>
      <c r="X585" s="98">
        <v>20</v>
      </c>
      <c r="Y585" s="98">
        <f t="shared" si="71"/>
        <v>362009</v>
      </c>
      <c r="AA585" s="676">
        <v>309085.71660448238</v>
      </c>
    </row>
    <row r="586" spans="2:27" ht="15.75" thickBot="1">
      <c r="B586" s="1" t="s">
        <v>1274</v>
      </c>
      <c r="C586" s="475" t="s">
        <v>400</v>
      </c>
      <c r="D586" s="98">
        <f t="shared" si="69"/>
        <v>362211</v>
      </c>
      <c r="H586" s="426">
        <f t="shared" si="70"/>
        <v>258316.93296314304</v>
      </c>
      <c r="W586" s="98">
        <v>362232</v>
      </c>
      <c r="X586" s="98">
        <v>21</v>
      </c>
      <c r="Y586" s="98">
        <f t="shared" si="71"/>
        <v>362211</v>
      </c>
      <c r="AA586" s="676">
        <v>258348.85696314304</v>
      </c>
    </row>
    <row r="587" spans="2:27" ht="15.75" thickBot="1">
      <c r="B587" s="1" t="s">
        <v>1275</v>
      </c>
      <c r="C587" s="475" t="s">
        <v>400</v>
      </c>
      <c r="D587" s="98">
        <f t="shared" si="69"/>
        <v>362413</v>
      </c>
      <c r="H587" s="426">
        <f t="shared" si="70"/>
        <v>295355.36658102105</v>
      </c>
      <c r="W587" s="98">
        <v>362434</v>
      </c>
      <c r="X587" s="98">
        <v>21</v>
      </c>
      <c r="Y587" s="98">
        <f t="shared" si="71"/>
        <v>362413</v>
      </c>
      <c r="AA587" s="676">
        <v>295395.53758102102</v>
      </c>
    </row>
    <row r="588" spans="2:27" ht="15.75" thickBot="1">
      <c r="B588" s="1" t="s">
        <v>1276</v>
      </c>
      <c r="C588" s="475" t="s">
        <v>400</v>
      </c>
      <c r="D588" s="98">
        <f t="shared" si="69"/>
        <v>362615</v>
      </c>
      <c r="F588" s="422"/>
      <c r="G588" s="422"/>
      <c r="H588" s="426">
        <f t="shared" si="70"/>
        <v>411072.62320476002</v>
      </c>
      <c r="W588" s="98">
        <v>362636</v>
      </c>
      <c r="X588" s="98">
        <v>21</v>
      </c>
      <c r="Y588" s="98">
        <f t="shared" si="71"/>
        <v>362615</v>
      </c>
      <c r="AA588" s="676">
        <v>411112.75320476003</v>
      </c>
    </row>
    <row r="589" spans="2:27" ht="15.75" thickBot="1">
      <c r="B589" s="16" t="s">
        <v>1277</v>
      </c>
      <c r="C589" s="475" t="s">
        <v>706</v>
      </c>
      <c r="D589" s="98">
        <f>X577</f>
        <v>20</v>
      </c>
      <c r="E589" s="130">
        <f>LEV!P66</f>
        <v>17747</v>
      </c>
      <c r="F589" s="130">
        <f>LEV!Q66</f>
        <v>6131</v>
      </c>
      <c r="G589" s="130">
        <f>LEV!R66</f>
        <v>6208</v>
      </c>
      <c r="H589" s="426">
        <f>LEV!S66/1000</f>
        <v>30.085999999999999</v>
      </c>
    </row>
    <row r="590" spans="2:27" ht="15.75" thickBot="1">
      <c r="B590" s="1" t="s">
        <v>1278</v>
      </c>
      <c r="C590" s="475" t="s">
        <v>706</v>
      </c>
      <c r="D590" s="98">
        <f t="shared" ref="D590:D600" si="72">X578</f>
        <v>20</v>
      </c>
      <c r="E590" s="130">
        <f>LEV!P67</f>
        <v>11960</v>
      </c>
      <c r="F590" s="130">
        <f>LEV!Q67</f>
        <v>5584</v>
      </c>
      <c r="G590" s="130">
        <f>LEV!R67</f>
        <v>3820</v>
      </c>
      <c r="H590" s="426">
        <f>LEV!S67/1000</f>
        <v>21.364000000000001</v>
      </c>
    </row>
    <row r="591" spans="2:27" ht="15.75" thickBot="1">
      <c r="B591" s="1" t="s">
        <v>1279</v>
      </c>
      <c r="C591" s="475" t="s">
        <v>706</v>
      </c>
      <c r="D591" s="98">
        <f t="shared" si="72"/>
        <v>20</v>
      </c>
      <c r="E591" s="130">
        <f>LEV!P68</f>
        <v>11196</v>
      </c>
      <c r="F591" s="130">
        <f>LEV!Q68</f>
        <v>5538</v>
      </c>
      <c r="G591" s="130">
        <f>LEV!R68</f>
        <v>3260</v>
      </c>
      <c r="H591" s="426">
        <f>LEV!S68/1000</f>
        <v>19.994</v>
      </c>
    </row>
    <row r="592" spans="2:27" ht="15.75" thickBot="1">
      <c r="B592" s="1" t="s">
        <v>1280</v>
      </c>
      <c r="C592" s="475" t="s">
        <v>706</v>
      </c>
      <c r="D592" s="98">
        <f t="shared" si="72"/>
        <v>20</v>
      </c>
      <c r="E592" s="130">
        <f>LEV!P69</f>
        <v>14140</v>
      </c>
      <c r="F592" s="130">
        <f>LEV!Q69</f>
        <v>7399</v>
      </c>
      <c r="G592" s="130">
        <f>LEV!R69</f>
        <v>4513</v>
      </c>
      <c r="H592" s="426">
        <f>LEV!S69/1000</f>
        <v>26.052</v>
      </c>
    </row>
    <row r="593" spans="2:8" ht="15.75" thickBot="1">
      <c r="B593" s="16" t="s">
        <v>1281</v>
      </c>
      <c r="C593" s="475" t="s">
        <v>706</v>
      </c>
      <c r="D593" s="98">
        <f t="shared" si="72"/>
        <v>20</v>
      </c>
      <c r="E593" s="130">
        <f>LEV!P70</f>
        <v>14974</v>
      </c>
      <c r="F593" s="130">
        <f>LEV!Q70</f>
        <v>8705</v>
      </c>
      <c r="G593" s="130">
        <f>LEV!R70</f>
        <v>5454</v>
      </c>
      <c r="H593" s="426">
        <f>LEV!S70/1000</f>
        <v>29.132999999999999</v>
      </c>
    </row>
    <row r="594" spans="2:8" ht="15.75" thickBot="1">
      <c r="B594" s="1" t="s">
        <v>1282</v>
      </c>
      <c r="C594" s="475" t="s">
        <v>706</v>
      </c>
      <c r="D594" s="98">
        <f t="shared" si="72"/>
        <v>20</v>
      </c>
      <c r="E594" s="130">
        <f>LEV!P71</f>
        <v>12835</v>
      </c>
      <c r="F594" s="130">
        <f>LEV!Q71</f>
        <v>7619</v>
      </c>
      <c r="G594" s="130">
        <f>LEV!R71</f>
        <v>5042</v>
      </c>
      <c r="H594" s="426">
        <f>LEV!S71/1000</f>
        <v>25.495999999999999</v>
      </c>
    </row>
    <row r="595" spans="2:8" ht="15.75" thickBot="1">
      <c r="B595" s="1" t="s">
        <v>1271</v>
      </c>
      <c r="C595" s="475" t="s">
        <v>706</v>
      </c>
      <c r="D595" s="98">
        <f t="shared" si="72"/>
        <v>20</v>
      </c>
      <c r="E595" s="130">
        <f>LEV!P72</f>
        <v>13171</v>
      </c>
      <c r="F595" s="130">
        <f>LEV!Q72</f>
        <v>6352</v>
      </c>
      <c r="G595" s="130">
        <f>LEV!R72</f>
        <v>4480</v>
      </c>
      <c r="H595" s="426">
        <f>LEV!S72/1000</f>
        <v>24.003</v>
      </c>
    </row>
    <row r="596" spans="2:8" ht="15.75" thickBot="1">
      <c r="B596" s="16" t="s">
        <v>1272</v>
      </c>
      <c r="C596" s="475" t="s">
        <v>706</v>
      </c>
      <c r="D596" s="98">
        <f t="shared" si="72"/>
        <v>20</v>
      </c>
      <c r="E596" s="130">
        <f>LEV!P73</f>
        <v>10967</v>
      </c>
      <c r="F596" s="130">
        <f>LEV!Q73</f>
        <v>5695</v>
      </c>
      <c r="G596" s="130">
        <f>LEV!R73</f>
        <v>3400</v>
      </c>
      <c r="H596" s="426">
        <f>LEV!S73/1000</f>
        <v>20.062000000000001</v>
      </c>
    </row>
    <row r="597" spans="2:8" ht="15.75" thickBot="1">
      <c r="B597" s="1" t="s">
        <v>1273</v>
      </c>
      <c r="C597" s="475" t="s">
        <v>706</v>
      </c>
      <c r="D597" s="98">
        <f t="shared" si="72"/>
        <v>20</v>
      </c>
      <c r="E597" s="130">
        <f>LEV!P74</f>
        <v>12824</v>
      </c>
      <c r="F597" s="130">
        <f>LEV!Q74</f>
        <v>6226</v>
      </c>
      <c r="G597" s="130">
        <f>LEV!R74</f>
        <v>3888</v>
      </c>
      <c r="H597" s="426">
        <f>LEV!S74/1000</f>
        <v>22.937999999999999</v>
      </c>
    </row>
    <row r="598" spans="2:8" ht="15.75" thickBot="1">
      <c r="B598" s="1" t="s">
        <v>1274</v>
      </c>
      <c r="C598" s="475" t="s">
        <v>706</v>
      </c>
      <c r="D598" s="98">
        <f t="shared" si="72"/>
        <v>21</v>
      </c>
      <c r="E598" s="130">
        <f>LEV!P75</f>
        <v>18583</v>
      </c>
      <c r="F598" s="130">
        <f>LEV!Q75</f>
        <v>6886</v>
      </c>
      <c r="G598" s="130">
        <f>LEV!R75</f>
        <v>6455</v>
      </c>
      <c r="H598" s="426">
        <f>LEV!S75/1000</f>
        <v>31.923999999999999</v>
      </c>
    </row>
    <row r="599" spans="2:8" ht="15.75" thickBot="1">
      <c r="B599" s="1" t="s">
        <v>1275</v>
      </c>
      <c r="C599" s="475" t="s">
        <v>706</v>
      </c>
      <c r="D599" s="98">
        <f t="shared" si="72"/>
        <v>21</v>
      </c>
      <c r="E599" s="130">
        <f>LEV!P76</f>
        <v>23432</v>
      </c>
      <c r="F599" s="130">
        <f>LEV!Q76</f>
        <v>8205</v>
      </c>
      <c r="G599" s="130">
        <f>LEV!R76</f>
        <v>8534</v>
      </c>
      <c r="H599" s="426">
        <f>LEV!S76/1000</f>
        <v>40.170999999999999</v>
      </c>
    </row>
    <row r="600" spans="2:8" ht="15.75" thickBot="1">
      <c r="B600" s="1" t="s">
        <v>1276</v>
      </c>
      <c r="C600" s="475" t="s">
        <v>706</v>
      </c>
      <c r="D600" s="98">
        <f t="shared" si="72"/>
        <v>21</v>
      </c>
      <c r="E600" s="130">
        <f>LEV!P77</f>
        <v>23293</v>
      </c>
      <c r="F600" s="130">
        <f>LEV!Q77</f>
        <v>8637</v>
      </c>
      <c r="G600" s="130">
        <f>LEV!R77</f>
        <v>8200</v>
      </c>
      <c r="H600" s="426">
        <f>LEV!S77/1000</f>
        <v>40.130000000000003</v>
      </c>
    </row>
    <row r="601" spans="2:8" ht="12.75" thickBot="1">
      <c r="B601" s="16" t="s">
        <v>1277</v>
      </c>
      <c r="C601" s="475" t="s">
        <v>370</v>
      </c>
      <c r="D601" s="98">
        <v>28155.718515514094</v>
      </c>
      <c r="H601" s="474">
        <v>40110.980620729155</v>
      </c>
    </row>
    <row r="602" spans="2:8" ht="12.75" thickBot="1">
      <c r="B602" s="1" t="s">
        <v>1278</v>
      </c>
      <c r="C602" s="475" t="s">
        <v>370</v>
      </c>
      <c r="D602" s="98">
        <v>28166.474188242184</v>
      </c>
      <c r="H602" s="474">
        <v>40346.50464380777</v>
      </c>
    </row>
    <row r="603" spans="2:8" ht="12.75" thickBot="1">
      <c r="B603" s="1" t="s">
        <v>1279</v>
      </c>
      <c r="C603" s="475" t="s">
        <v>370</v>
      </c>
      <c r="D603" s="98">
        <v>28177.229860970278</v>
      </c>
      <c r="H603" s="474">
        <v>32918.663173454355</v>
      </c>
    </row>
    <row r="604" spans="2:8" ht="12.75" thickBot="1">
      <c r="B604" s="1" t="s">
        <v>1280</v>
      </c>
      <c r="C604" s="475" t="s">
        <v>370</v>
      </c>
      <c r="D604" s="98">
        <v>28187.985533698367</v>
      </c>
      <c r="H604" s="474">
        <v>29801.686416290719</v>
      </c>
    </row>
    <row r="605" spans="2:8" ht="12.75" thickBot="1">
      <c r="B605" s="16" t="s">
        <v>1281</v>
      </c>
      <c r="C605" s="475" t="s">
        <v>370</v>
      </c>
      <c r="D605" s="98">
        <v>28198.741206426461</v>
      </c>
      <c r="H605" s="474">
        <v>29115.33919018575</v>
      </c>
    </row>
    <row r="606" spans="2:8" ht="12.75" thickBot="1">
      <c r="B606" s="1" t="s">
        <v>1282</v>
      </c>
      <c r="C606" s="475" t="s">
        <v>370</v>
      </c>
      <c r="D606" s="98">
        <v>28209.496879154554</v>
      </c>
      <c r="H606" s="474">
        <v>30941.035844625825</v>
      </c>
    </row>
    <row r="607" spans="2:8" ht="12.75" thickBot="1">
      <c r="B607" s="1" t="s">
        <v>1271</v>
      </c>
      <c r="C607" s="475" t="s">
        <v>370</v>
      </c>
      <c r="D607" s="98">
        <v>28220.252551882644</v>
      </c>
      <c r="H607" s="474">
        <v>31971.164133116858</v>
      </c>
    </row>
    <row r="608" spans="2:8" ht="12.75" thickBot="1">
      <c r="B608" s="16" t="s">
        <v>1272</v>
      </c>
      <c r="C608" s="475" t="s">
        <v>370</v>
      </c>
      <c r="D608" s="98">
        <v>28231.008224610738</v>
      </c>
      <c r="H608" s="474">
        <v>28606.751225367818</v>
      </c>
    </row>
    <row r="609" spans="2:18" ht="12.75" thickBot="1">
      <c r="B609" s="1" t="s">
        <v>1273</v>
      </c>
      <c r="C609" s="475" t="s">
        <v>370</v>
      </c>
      <c r="D609" s="98">
        <v>28241.763897338831</v>
      </c>
      <c r="H609" s="474">
        <v>29862.341049745861</v>
      </c>
    </row>
    <row r="610" spans="2:18" ht="12.75" thickBot="1">
      <c r="B610" s="1" t="s">
        <v>1274</v>
      </c>
      <c r="C610" s="475" t="s">
        <v>370</v>
      </c>
      <c r="D610" s="98">
        <v>28252.519570066921</v>
      </c>
      <c r="H610" s="474">
        <v>28238.91225680193</v>
      </c>
    </row>
    <row r="611" spans="2:18" ht="12.75" thickBot="1">
      <c r="B611" s="1" t="s">
        <v>1275</v>
      </c>
      <c r="C611" s="475" t="s">
        <v>370</v>
      </c>
      <c r="D611" s="98">
        <v>28263.275242795014</v>
      </c>
      <c r="H611" s="474">
        <v>31985.394915248296</v>
      </c>
    </row>
    <row r="612" spans="2:18" ht="12.75" thickBot="1">
      <c r="B612" s="1" t="s">
        <v>1276</v>
      </c>
      <c r="C612" s="475" t="s">
        <v>370</v>
      </c>
      <c r="D612" s="98">
        <v>28274.030915523104</v>
      </c>
      <c r="H612" s="474">
        <v>36031.760246286882</v>
      </c>
    </row>
    <row r="613" spans="2:18" ht="12.75" thickBot="1">
      <c r="B613" s="16" t="s">
        <v>1277</v>
      </c>
      <c r="C613" s="475" t="s">
        <v>381</v>
      </c>
      <c r="D613" s="98">
        <v>16348.281484485904</v>
      </c>
      <c r="H613" s="474">
        <v>102495.32634616065</v>
      </c>
      <c r="R613" s="98">
        <v>238335.38829164996</v>
      </c>
    </row>
    <row r="614" spans="2:18" ht="12.75" thickBot="1">
      <c r="B614" s="1" t="s">
        <v>1278</v>
      </c>
      <c r="C614" s="475" t="s">
        <v>381</v>
      </c>
      <c r="D614" s="98">
        <v>16354.525811757812</v>
      </c>
      <c r="H614" s="474">
        <v>103100.95954836281</v>
      </c>
      <c r="R614" s="98">
        <v>239618.59462688791</v>
      </c>
    </row>
    <row r="615" spans="2:18" ht="12.75" thickBot="1">
      <c r="B615" s="1" t="s">
        <v>1279</v>
      </c>
      <c r="C615" s="475" t="s">
        <v>381</v>
      </c>
      <c r="D615" s="98">
        <v>16360.770139029721</v>
      </c>
      <c r="H615" s="474">
        <v>84000.795767454038</v>
      </c>
      <c r="R615" s="98">
        <v>227085.82376883039</v>
      </c>
    </row>
    <row r="616" spans="2:18" ht="12.75" thickBot="1">
      <c r="B616" s="1" t="s">
        <v>1280</v>
      </c>
      <c r="C616" s="475" t="s">
        <v>381</v>
      </c>
      <c r="D616" s="98">
        <v>16367.014466301629</v>
      </c>
      <c r="H616" s="474">
        <v>75985.712677604693</v>
      </c>
      <c r="R616" s="98">
        <v>215611.85528763963</v>
      </c>
    </row>
    <row r="617" spans="2:18" ht="12.75" thickBot="1">
      <c r="B617" s="16" t="s">
        <v>1281</v>
      </c>
      <c r="C617" s="475" t="s">
        <v>381</v>
      </c>
      <c r="D617" s="98">
        <v>16373.258793573536</v>
      </c>
      <c r="H617" s="474">
        <v>74220.819810477638</v>
      </c>
      <c r="R617" s="98">
        <v>211285.86459214325</v>
      </c>
    </row>
    <row r="618" spans="2:18" ht="12.75" thickBot="1">
      <c r="B618" s="1" t="s">
        <v>1282</v>
      </c>
      <c r="C618" s="475" t="s">
        <v>381</v>
      </c>
      <c r="D618" s="98">
        <v>16379.503120845446</v>
      </c>
      <c r="H618" s="474">
        <v>78915.468350466399</v>
      </c>
      <c r="R618" s="98">
        <v>192223.27683001317</v>
      </c>
    </row>
    <row r="619" spans="2:18" ht="12.75" thickBot="1">
      <c r="B619" s="1" t="s">
        <v>1271</v>
      </c>
      <c r="C619" s="475" t="s">
        <v>381</v>
      </c>
      <c r="D619" s="98">
        <v>16385.747448117352</v>
      </c>
      <c r="H619" s="474">
        <v>81564.369663729056</v>
      </c>
      <c r="R619" s="98">
        <v>202711.11141043584</v>
      </c>
    </row>
    <row r="620" spans="2:18" ht="12.75" thickBot="1">
      <c r="B620" s="16" t="s">
        <v>1272</v>
      </c>
      <c r="C620" s="475" t="s">
        <v>381</v>
      </c>
      <c r="D620" s="98">
        <v>16391.991775389259</v>
      </c>
      <c r="H620" s="474">
        <v>72913.022186660091</v>
      </c>
      <c r="R620" s="98">
        <v>197213.16095520128</v>
      </c>
    </row>
    <row r="621" spans="2:18" ht="12.75" thickBot="1">
      <c r="B621" s="1" t="s">
        <v>1273</v>
      </c>
      <c r="C621" s="475" t="s">
        <v>381</v>
      </c>
      <c r="D621" s="98">
        <v>16398.236102661169</v>
      </c>
      <c r="H621" s="474">
        <v>76141.681735060774</v>
      </c>
      <c r="R621" s="98">
        <v>197201.13471773706</v>
      </c>
    </row>
    <row r="622" spans="2:18" ht="12.75" thickBot="1">
      <c r="B622" s="1" t="s">
        <v>1274</v>
      </c>
      <c r="C622" s="475" t="s">
        <v>381</v>
      </c>
      <c r="D622" s="98">
        <v>16404.480429933075</v>
      </c>
      <c r="H622" s="474">
        <v>71967.150553204949</v>
      </c>
      <c r="R622" s="98">
        <v>214874.7181046723</v>
      </c>
    </row>
    <row r="623" spans="2:18" ht="12.75" thickBot="1">
      <c r="B623" s="1" t="s">
        <v>1275</v>
      </c>
      <c r="C623" s="475" t="s">
        <v>381</v>
      </c>
      <c r="D623" s="98">
        <v>16410.724757204986</v>
      </c>
      <c r="H623" s="474">
        <v>81600.963103495611</v>
      </c>
      <c r="R623" s="98">
        <v>220978.501265514</v>
      </c>
    </row>
    <row r="624" spans="2:18" ht="12.75" thickBot="1">
      <c r="B624" s="1" t="s">
        <v>1276</v>
      </c>
      <c r="C624" s="475" t="s">
        <v>381</v>
      </c>
      <c r="D624" s="98">
        <v>16416.969084476892</v>
      </c>
      <c r="H624" s="474">
        <v>92005.902526166246</v>
      </c>
      <c r="R624" s="98">
        <v>216925.96502864064</v>
      </c>
    </row>
    <row r="625" spans="2:8" ht="15.75" thickBot="1">
      <c r="B625" s="16" t="s">
        <v>1277</v>
      </c>
      <c r="C625" s="475" t="s">
        <v>395</v>
      </c>
      <c r="D625" s="98">
        <v>156</v>
      </c>
      <c r="H625" s="426">
        <v>264.2880539140607</v>
      </c>
    </row>
    <row r="626" spans="2:8" ht="15.75" thickBot="1">
      <c r="B626" s="1" t="s">
        <v>1278</v>
      </c>
      <c r="C626" s="475" t="s">
        <v>395</v>
      </c>
      <c r="D626" s="98">
        <v>156</v>
      </c>
      <c r="H626" s="426">
        <v>258.895694522984</v>
      </c>
    </row>
    <row r="627" spans="2:8" ht="15.75" thickBot="1">
      <c r="B627" s="1" t="s">
        <v>1279</v>
      </c>
      <c r="C627" s="475" t="s">
        <v>395</v>
      </c>
      <c r="D627" s="98">
        <v>156</v>
      </c>
      <c r="H627" s="426">
        <v>238.22162171947591</v>
      </c>
    </row>
    <row r="628" spans="2:8" ht="15.75" thickBot="1">
      <c r="B628" s="1" t="s">
        <v>1280</v>
      </c>
      <c r="C628" s="475" t="s">
        <v>395</v>
      </c>
      <c r="D628" s="98">
        <v>156</v>
      </c>
      <c r="H628" s="426">
        <v>273.37172025554116</v>
      </c>
    </row>
    <row r="629" spans="2:8" ht="15.75" thickBot="1">
      <c r="B629" s="16" t="s">
        <v>1281</v>
      </c>
      <c r="C629" s="475" t="s">
        <v>395</v>
      </c>
      <c r="D629" s="98">
        <v>156</v>
      </c>
      <c r="H629" s="426">
        <v>314.5166453820741</v>
      </c>
    </row>
    <row r="630" spans="2:8" ht="15.75" thickBot="1">
      <c r="B630" s="1" t="s">
        <v>1282</v>
      </c>
      <c r="C630" s="475" t="s">
        <v>395</v>
      </c>
      <c r="D630" s="98">
        <v>156</v>
      </c>
      <c r="H630" s="426">
        <v>359.45832818764893</v>
      </c>
    </row>
    <row r="631" spans="2:8" ht="15.75" thickBot="1">
      <c r="B631" s="1" t="s">
        <v>1271</v>
      </c>
      <c r="C631" s="475" t="s">
        <v>395</v>
      </c>
      <c r="D631" s="98">
        <v>156</v>
      </c>
      <c r="H631" s="426">
        <v>358.27872373312096</v>
      </c>
    </row>
    <row r="632" spans="2:8" ht="15.75" thickBot="1">
      <c r="B632" s="16" t="s">
        <v>1272</v>
      </c>
      <c r="C632" s="475" t="s">
        <v>395</v>
      </c>
      <c r="D632" s="98">
        <v>156</v>
      </c>
      <c r="H632" s="426">
        <v>268.28697051121094</v>
      </c>
    </row>
    <row r="633" spans="2:8" ht="15.75" thickBot="1">
      <c r="B633" s="1" t="s">
        <v>1273</v>
      </c>
      <c r="C633" s="475" t="s">
        <v>395</v>
      </c>
      <c r="D633" s="98">
        <v>156</v>
      </c>
      <c r="H633" s="426">
        <v>246.82042770588157</v>
      </c>
    </row>
    <row r="634" spans="2:8" ht="15.75" thickBot="1">
      <c r="B634" s="1" t="s">
        <v>1274</v>
      </c>
      <c r="C634" s="475" t="s">
        <v>395</v>
      </c>
      <c r="D634" s="98">
        <v>156</v>
      </c>
      <c r="H634" s="426">
        <v>272.30406649460537</v>
      </c>
    </row>
    <row r="635" spans="2:8" ht="15.75" thickBot="1">
      <c r="B635" s="1" t="s">
        <v>1275</v>
      </c>
      <c r="C635" s="475" t="s">
        <v>395</v>
      </c>
      <c r="D635" s="98">
        <v>156</v>
      </c>
      <c r="H635" s="426">
        <v>306.98486850933438</v>
      </c>
    </row>
    <row r="636" spans="2:8" ht="15.75" thickBot="1">
      <c r="B636" s="1" t="s">
        <v>1276</v>
      </c>
      <c r="C636" s="475" t="s">
        <v>395</v>
      </c>
      <c r="D636" s="98">
        <v>156</v>
      </c>
      <c r="H636" s="426">
        <v>281.30950515140518</v>
      </c>
    </row>
    <row r="637" spans="2:8" ht="15.75" thickBot="1">
      <c r="B637" s="16" t="s">
        <v>1277</v>
      </c>
      <c r="C637" s="475" t="s">
        <v>397</v>
      </c>
      <c r="D637" s="98">
        <v>905</v>
      </c>
      <c r="F637" s="422"/>
      <c r="G637" s="422"/>
      <c r="H637" s="426">
        <v>256.93593121578107</v>
      </c>
    </row>
    <row r="638" spans="2:8" ht="15.75" thickBot="1">
      <c r="B638" s="1" t="s">
        <v>1278</v>
      </c>
      <c r="C638" s="475" t="s">
        <v>397</v>
      </c>
      <c r="D638" s="98">
        <v>905</v>
      </c>
      <c r="H638" s="426">
        <v>255.20105451214508</v>
      </c>
    </row>
    <row r="639" spans="2:8" ht="15.75" thickBot="1">
      <c r="B639" s="1" t="s">
        <v>1279</v>
      </c>
      <c r="C639" s="475" t="s">
        <v>397</v>
      </c>
      <c r="D639" s="98">
        <v>905</v>
      </c>
      <c r="H639" s="426">
        <v>223.41572142329866</v>
      </c>
    </row>
    <row r="640" spans="2:8" ht="15.75" thickBot="1">
      <c r="B640" s="1" t="s">
        <v>1280</v>
      </c>
      <c r="C640" s="475" t="s">
        <v>397</v>
      </c>
      <c r="D640" s="98">
        <v>905</v>
      </c>
      <c r="H640" s="426">
        <v>250.21709807304211</v>
      </c>
    </row>
    <row r="641" spans="2:17" ht="15.75" thickBot="1">
      <c r="B641" s="16" t="s">
        <v>1281</v>
      </c>
      <c r="C641" s="475" t="s">
        <v>397</v>
      </c>
      <c r="D641" s="98">
        <v>905</v>
      </c>
      <c r="H641" s="426">
        <v>269.91836039994041</v>
      </c>
    </row>
    <row r="642" spans="2:17" ht="15.75" thickBot="1">
      <c r="B642" s="1" t="s">
        <v>1282</v>
      </c>
      <c r="C642" s="475" t="s">
        <v>397</v>
      </c>
      <c r="D642" s="98">
        <v>905</v>
      </c>
      <c r="H642" s="426">
        <v>295.99081323219849</v>
      </c>
    </row>
    <row r="643" spans="2:17" ht="15.75" thickBot="1">
      <c r="B643" s="1" t="s">
        <v>1271</v>
      </c>
      <c r="C643" s="475" t="s">
        <v>397</v>
      </c>
      <c r="D643" s="98">
        <v>905</v>
      </c>
      <c r="H643" s="426">
        <v>289.22627398202656</v>
      </c>
    </row>
    <row r="644" spans="2:17" ht="15.75" thickBot="1">
      <c r="B644" s="16" t="s">
        <v>1272</v>
      </c>
      <c r="C644" s="475" t="s">
        <v>397</v>
      </c>
      <c r="D644" s="98">
        <v>905</v>
      </c>
      <c r="H644" s="426">
        <v>231.4864560113009</v>
      </c>
    </row>
    <row r="645" spans="2:17" ht="15.75" thickBot="1">
      <c r="B645" s="1" t="s">
        <v>1273</v>
      </c>
      <c r="C645" s="475" t="s">
        <v>397</v>
      </c>
      <c r="D645" s="98">
        <v>905</v>
      </c>
      <c r="H645" s="426">
        <v>237.75172913277822</v>
      </c>
    </row>
    <row r="646" spans="2:17" ht="15.75" thickBot="1">
      <c r="B646" s="1" t="s">
        <v>1274</v>
      </c>
      <c r="C646" s="475" t="s">
        <v>397</v>
      </c>
      <c r="D646" s="98">
        <v>905</v>
      </c>
      <c r="H646" s="426">
        <v>241.66082027053915</v>
      </c>
    </row>
    <row r="647" spans="2:17" ht="15.75" thickBot="1">
      <c r="B647" s="1" t="s">
        <v>1275</v>
      </c>
      <c r="C647" s="475" t="s">
        <v>397</v>
      </c>
      <c r="D647" s="98">
        <v>905</v>
      </c>
      <c r="H647" s="426">
        <v>274.25980498916562</v>
      </c>
    </row>
    <row r="648" spans="2:17" ht="15.75" thickBot="1">
      <c r="B648" s="1" t="s">
        <v>1276</v>
      </c>
      <c r="C648" s="475" t="s">
        <v>397</v>
      </c>
      <c r="D648" s="98">
        <v>905</v>
      </c>
      <c r="H648" s="426">
        <v>277.65860397619218</v>
      </c>
    </row>
    <row r="649" spans="2:17" ht="15.75" thickBot="1">
      <c r="B649" s="16" t="s">
        <v>1277</v>
      </c>
      <c r="C649" s="475" t="s">
        <v>388</v>
      </c>
      <c r="D649" s="98">
        <v>12</v>
      </c>
      <c r="H649" s="426">
        <v>71457.685549857837</v>
      </c>
      <c r="O649" s="98">
        <v>148470.77229784758</v>
      </c>
      <c r="P649" s="98">
        <v>144617.46967943848</v>
      </c>
      <c r="Q649" s="98">
        <v>91611.18242421918</v>
      </c>
    </row>
    <row r="650" spans="2:17" ht="15.75" thickBot="1">
      <c r="B650" s="1" t="s">
        <v>1278</v>
      </c>
      <c r="C650" s="475" t="s">
        <v>388</v>
      </c>
      <c r="D650" s="98">
        <v>12</v>
      </c>
      <c r="H650" s="426">
        <v>77369.757371949701</v>
      </c>
      <c r="O650" s="98">
        <v>158090.76551559471</v>
      </c>
      <c r="P650" s="98">
        <v>152482.84733311457</v>
      </c>
      <c r="Q650" s="98">
        <v>100355.55937952222</v>
      </c>
    </row>
    <row r="651" spans="2:17" ht="15.75" thickBot="1">
      <c r="B651" s="1" t="s">
        <v>1279</v>
      </c>
      <c r="C651" s="475" t="s">
        <v>388</v>
      </c>
      <c r="D651" s="98">
        <v>12</v>
      </c>
      <c r="H651" s="426">
        <v>64168.870259754745</v>
      </c>
      <c r="O651" s="98">
        <v>159695.81905067401</v>
      </c>
      <c r="P651" s="98">
        <v>155508.96994090034</v>
      </c>
      <c r="Q651" s="98">
        <v>97048.216942039508</v>
      </c>
    </row>
    <row r="652" spans="2:17" ht="15.75" thickBot="1">
      <c r="B652" s="1" t="s">
        <v>1280</v>
      </c>
      <c r="C652" s="475" t="s">
        <v>388</v>
      </c>
      <c r="D652" s="98">
        <v>12</v>
      </c>
      <c r="H652" s="426">
        <v>68882.846132680541</v>
      </c>
      <c r="O652" s="98">
        <v>163502.24616839769</v>
      </c>
      <c r="P652" s="98">
        <v>157323.40278910627</v>
      </c>
      <c r="Q652" s="98">
        <v>93632.256050971657</v>
      </c>
    </row>
    <row r="653" spans="2:17" ht="15.75" thickBot="1">
      <c r="B653" s="16" t="s">
        <v>1281</v>
      </c>
      <c r="C653" s="475" t="s">
        <v>388</v>
      </c>
      <c r="D653" s="98">
        <v>12</v>
      </c>
      <c r="H653" s="426">
        <v>71794.293787000614</v>
      </c>
      <c r="O653" s="98">
        <v>148974.99350695623</v>
      </c>
      <c r="P653" s="98">
        <v>144575.44755621307</v>
      </c>
      <c r="Q653" s="98">
        <v>93494.088334468892</v>
      </c>
    </row>
    <row r="654" spans="2:17" ht="15.75" thickBot="1">
      <c r="B654" s="1" t="s">
        <v>1282</v>
      </c>
      <c r="C654" s="475" t="s">
        <v>388</v>
      </c>
      <c r="D654" s="98">
        <v>12</v>
      </c>
      <c r="H654" s="426">
        <v>76289.432746767445</v>
      </c>
      <c r="O654" s="98">
        <v>155351.67840013851</v>
      </c>
      <c r="P654" s="98">
        <v>147640.81568749258</v>
      </c>
      <c r="Q654" s="98">
        <v>99948.185093187552</v>
      </c>
    </row>
    <row r="655" spans="2:17" ht="15.75" thickBot="1">
      <c r="B655" s="1" t="s">
        <v>1271</v>
      </c>
      <c r="C655" s="475" t="s">
        <v>388</v>
      </c>
      <c r="D655" s="98">
        <v>12</v>
      </c>
      <c r="H655" s="426">
        <v>68922.948911939398</v>
      </c>
      <c r="O655" s="98">
        <v>167001.90989531289</v>
      </c>
      <c r="P655" s="98">
        <v>151811.21008654367</v>
      </c>
      <c r="Q655" s="98">
        <v>93555.934576787549</v>
      </c>
    </row>
    <row r="656" spans="2:17" ht="15.75" thickBot="1">
      <c r="B656" s="16" t="s">
        <v>1272</v>
      </c>
      <c r="C656" s="475" t="s">
        <v>388</v>
      </c>
      <c r="D656" s="98">
        <v>12</v>
      </c>
      <c r="H656" s="426">
        <v>56255.08667656099</v>
      </c>
      <c r="O656" s="98">
        <v>157758.28645370138</v>
      </c>
      <c r="P656" s="98">
        <v>144483.83285628344</v>
      </c>
      <c r="Q656" s="98">
        <v>79385.998792199956</v>
      </c>
    </row>
    <row r="657" spans="2:18" ht="15.75" thickBot="1">
      <c r="B657" s="1" t="s">
        <v>1273</v>
      </c>
      <c r="C657" s="475" t="s">
        <v>388</v>
      </c>
      <c r="D657" s="98">
        <v>12</v>
      </c>
      <c r="H657" s="426">
        <v>68950.546189033252</v>
      </c>
      <c r="O657" s="98">
        <v>157141.01461896554</v>
      </c>
      <c r="P657" s="98">
        <v>151309.10064938298</v>
      </c>
      <c r="Q657" s="98">
        <v>92518.161171990054</v>
      </c>
    </row>
    <row r="658" spans="2:18" ht="15.75" thickBot="1">
      <c r="B658" s="1" t="s">
        <v>1274</v>
      </c>
      <c r="C658" s="475" t="s">
        <v>388</v>
      </c>
      <c r="D658" s="98">
        <v>12</v>
      </c>
      <c r="H658" s="426">
        <v>78019.986272892304</v>
      </c>
      <c r="O658" s="98">
        <v>171797.59733790279</v>
      </c>
      <c r="P658" s="98">
        <v>168988.37661631728</v>
      </c>
      <c r="Q658" s="98">
        <v>106853.20242639938</v>
      </c>
    </row>
    <row r="659" spans="2:18" ht="15.75" thickBot="1">
      <c r="B659" s="1" t="s">
        <v>1275</v>
      </c>
      <c r="C659" s="475" t="s">
        <v>388</v>
      </c>
      <c r="D659" s="98">
        <v>12</v>
      </c>
      <c r="H659" s="426">
        <v>88780.754691590075</v>
      </c>
      <c r="O659" s="98">
        <v>164839.52217747216</v>
      </c>
      <c r="P659" s="98">
        <v>163261.92714364841</v>
      </c>
      <c r="Q659" s="98">
        <v>105280.05147492346</v>
      </c>
    </row>
    <row r="660" spans="2:18" ht="15.75" thickBot="1">
      <c r="B660" s="1" t="s">
        <v>1276</v>
      </c>
      <c r="C660" s="475" t="s">
        <v>388</v>
      </c>
      <c r="D660" s="98">
        <v>12</v>
      </c>
      <c r="H660" s="426">
        <v>85948.776275067794</v>
      </c>
      <c r="O660" s="98">
        <v>165068.11834566511</v>
      </c>
      <c r="P660" s="98">
        <v>162432.47010003714</v>
      </c>
      <c r="Q660" s="98">
        <v>104436.47365958507</v>
      </c>
    </row>
    <row r="661" spans="2:18" ht="15.75" thickBot="1">
      <c r="B661" s="16" t="s">
        <v>1277</v>
      </c>
      <c r="C661" s="475" t="s">
        <v>376</v>
      </c>
      <c r="D661" s="98">
        <v>52</v>
      </c>
      <c r="H661" s="426">
        <v>14939.405914779942</v>
      </c>
      <c r="I661" s="422"/>
      <c r="R661" s="98">
        <v>35012.310954620436</v>
      </c>
    </row>
    <row r="662" spans="2:18" ht="15.75" thickBot="1">
      <c r="B662" s="1" t="s">
        <v>1278</v>
      </c>
      <c r="C662" s="475" t="s">
        <v>376</v>
      </c>
      <c r="D662" s="98">
        <v>52</v>
      </c>
      <c r="H662" s="426">
        <v>14885.241305093479</v>
      </c>
      <c r="R662" s="98">
        <v>35309.763101227101</v>
      </c>
    </row>
    <row r="663" spans="2:18" ht="15.75" thickBot="1">
      <c r="B663" s="1" t="s">
        <v>1279</v>
      </c>
      <c r="C663" s="475" t="s">
        <v>376</v>
      </c>
      <c r="D663" s="98">
        <v>52</v>
      </c>
      <c r="H663" s="426">
        <v>13180.844122808485</v>
      </c>
      <c r="R663" s="98">
        <v>36679.467034354479</v>
      </c>
    </row>
    <row r="664" spans="2:18" ht="15.75" thickBot="1">
      <c r="B664" s="1" t="s">
        <v>1280</v>
      </c>
      <c r="C664" s="475" t="s">
        <v>376</v>
      </c>
      <c r="D664" s="98">
        <v>52</v>
      </c>
      <c r="H664" s="426">
        <v>12153.894069492442</v>
      </c>
      <c r="R664" s="98">
        <v>30304.836367187392</v>
      </c>
    </row>
    <row r="665" spans="2:18" ht="15.75" thickBot="1">
      <c r="B665" s="16" t="s">
        <v>1281</v>
      </c>
      <c r="C665" s="475" t="s">
        <v>376</v>
      </c>
      <c r="D665" s="98">
        <v>52</v>
      </c>
      <c r="H665" s="426">
        <v>11303.433358320799</v>
      </c>
      <c r="R665" s="98">
        <v>26967.243929048298</v>
      </c>
    </row>
    <row r="666" spans="2:18" ht="15.75" thickBot="1">
      <c r="B666" s="1" t="s">
        <v>1282</v>
      </c>
      <c r="C666" s="475" t="s">
        <v>376</v>
      </c>
      <c r="D666" s="98">
        <v>52</v>
      </c>
      <c r="H666" s="426">
        <v>11973.010148997595</v>
      </c>
      <c r="R666" s="98">
        <v>28733.723468174892</v>
      </c>
    </row>
    <row r="667" spans="2:18" ht="15.75" thickBot="1">
      <c r="B667" s="1" t="s">
        <v>1271</v>
      </c>
      <c r="C667" s="475" t="s">
        <v>376</v>
      </c>
      <c r="D667" s="98">
        <v>52</v>
      </c>
      <c r="H667" s="426">
        <v>11527.513145984598</v>
      </c>
      <c r="R667" s="98">
        <v>28708.882566744876</v>
      </c>
    </row>
    <row r="668" spans="2:18" ht="15.75" thickBot="1">
      <c r="B668" s="16" t="s">
        <v>1272</v>
      </c>
      <c r="C668" s="475" t="s">
        <v>376</v>
      </c>
      <c r="D668" s="98">
        <v>52</v>
      </c>
      <c r="H668" s="426">
        <v>10127.682640680159</v>
      </c>
      <c r="R668" s="98">
        <v>26299.880811176277</v>
      </c>
    </row>
    <row r="669" spans="2:18" ht="15.75" thickBot="1">
      <c r="B669" s="1" t="s">
        <v>1273</v>
      </c>
      <c r="C669" s="475" t="s">
        <v>376</v>
      </c>
      <c r="D669" s="98">
        <v>52</v>
      </c>
      <c r="H669" s="426">
        <v>10824.709803622309</v>
      </c>
      <c r="R669" s="98">
        <v>26649.528805177739</v>
      </c>
    </row>
    <row r="670" spans="2:18" ht="15.75" thickBot="1">
      <c r="B670" s="1" t="s">
        <v>1274</v>
      </c>
      <c r="C670" s="475" t="s">
        <v>376</v>
      </c>
      <c r="D670" s="98">
        <v>52</v>
      </c>
      <c r="H670" s="426">
        <v>11224.431291304347</v>
      </c>
      <c r="R670" s="98">
        <v>28221.684843935291</v>
      </c>
    </row>
    <row r="671" spans="2:18" ht="15.75" thickBot="1">
      <c r="B671" s="1" t="s">
        <v>1275</v>
      </c>
      <c r="C671" s="475" t="s">
        <v>376</v>
      </c>
      <c r="D671" s="98">
        <v>52</v>
      </c>
      <c r="H671" s="426">
        <v>13088.103210917465</v>
      </c>
      <c r="R671" s="98">
        <v>28295.638534006815</v>
      </c>
    </row>
    <row r="672" spans="2:18" ht="15.75" thickBot="1">
      <c r="B672" s="1" t="s">
        <v>1276</v>
      </c>
      <c r="C672" s="475" t="s">
        <v>376</v>
      </c>
      <c r="D672" s="98">
        <v>52</v>
      </c>
      <c r="H672" s="426">
        <v>14473.038760524563</v>
      </c>
      <c r="R672" s="98">
        <v>32085.160160696349</v>
      </c>
    </row>
    <row r="673" spans="2:18" ht="15.75" thickBot="1">
      <c r="B673" s="16" t="s">
        <v>1277</v>
      </c>
      <c r="C673" s="475" t="s">
        <v>375</v>
      </c>
      <c r="D673" s="98">
        <v>2579</v>
      </c>
      <c r="H673" s="426">
        <v>168924.37801452717</v>
      </c>
      <c r="R673" s="98">
        <v>406609.28125735972</v>
      </c>
    </row>
    <row r="674" spans="2:18" ht="15.75" thickBot="1">
      <c r="B674" s="1" t="s">
        <v>1278</v>
      </c>
      <c r="C674" s="475" t="s">
        <v>375</v>
      </c>
      <c r="D674" s="98">
        <v>2579</v>
      </c>
      <c r="H674" s="426">
        <v>169566.98331133919</v>
      </c>
      <c r="R674" s="98">
        <v>412938.1055982961</v>
      </c>
    </row>
    <row r="675" spans="2:18" ht="15.75" thickBot="1">
      <c r="B675" s="1" t="s">
        <v>1279</v>
      </c>
      <c r="C675" s="475" t="s">
        <v>375</v>
      </c>
      <c r="D675" s="98">
        <v>2579</v>
      </c>
      <c r="H675" s="426">
        <v>143721.39061774054</v>
      </c>
      <c r="R675" s="98">
        <v>407882.49249422021</v>
      </c>
    </row>
    <row r="676" spans="2:18" ht="15.75" thickBot="1">
      <c r="B676" s="1" t="s">
        <v>1280</v>
      </c>
      <c r="C676" s="475" t="s">
        <v>375</v>
      </c>
      <c r="D676" s="98">
        <v>2579</v>
      </c>
      <c r="H676" s="426">
        <v>137270.48375007196</v>
      </c>
      <c r="R676" s="98">
        <v>350227.83822132717</v>
      </c>
    </row>
    <row r="677" spans="2:18" ht="15.75" thickBot="1">
      <c r="B677" s="16" t="s">
        <v>1281</v>
      </c>
      <c r="C677" s="475" t="s">
        <v>375</v>
      </c>
      <c r="D677" s="98">
        <v>2579</v>
      </c>
      <c r="H677" s="426">
        <v>129888.11855477258</v>
      </c>
      <c r="R677" s="98">
        <v>317513.90242238884</v>
      </c>
    </row>
    <row r="678" spans="2:18" ht="15.75" thickBot="1">
      <c r="B678" s="1" t="s">
        <v>1282</v>
      </c>
      <c r="C678" s="475" t="s">
        <v>375</v>
      </c>
      <c r="D678" s="98">
        <v>2579</v>
      </c>
      <c r="H678" s="426">
        <v>135751.63072900844</v>
      </c>
      <c r="R678" s="98">
        <v>333856.23663905152</v>
      </c>
    </row>
    <row r="679" spans="2:18" ht="15.75" thickBot="1">
      <c r="B679" s="1" t="s">
        <v>1271</v>
      </c>
      <c r="C679" s="475" t="s">
        <v>375</v>
      </c>
      <c r="D679" s="98">
        <v>2585</v>
      </c>
      <c r="H679" s="426">
        <v>134413.19376680738</v>
      </c>
      <c r="R679" s="98">
        <v>342390.27274795045</v>
      </c>
    </row>
    <row r="680" spans="2:18" ht="15.75" thickBot="1">
      <c r="B680" s="16" t="s">
        <v>1272</v>
      </c>
      <c r="C680" s="475" t="s">
        <v>375</v>
      </c>
      <c r="D680" s="98">
        <v>2585</v>
      </c>
      <c r="H680" s="426">
        <v>127422.85811673602</v>
      </c>
      <c r="R680" s="98">
        <v>337388.21076785406</v>
      </c>
    </row>
    <row r="681" spans="2:18" ht="15.75" thickBot="1">
      <c r="B681" s="1" t="s">
        <v>1273</v>
      </c>
      <c r="C681" s="475" t="s">
        <v>375</v>
      </c>
      <c r="D681" s="98">
        <v>2585</v>
      </c>
      <c r="H681" s="426">
        <v>130807.80659246906</v>
      </c>
      <c r="R681" s="98">
        <v>329382.95328027895</v>
      </c>
    </row>
    <row r="682" spans="2:18" ht="15.75" thickBot="1">
      <c r="B682" s="1" t="s">
        <v>1274</v>
      </c>
      <c r="C682" s="475" t="s">
        <v>375</v>
      </c>
      <c r="D682" s="98">
        <v>2585</v>
      </c>
      <c r="H682" s="426">
        <v>127586.68951255304</v>
      </c>
      <c r="R682" s="98">
        <v>327890.15020359476</v>
      </c>
    </row>
    <row r="683" spans="2:18" ht="15.75" thickBot="1">
      <c r="B683" s="1" t="s">
        <v>1275</v>
      </c>
      <c r="C683" s="475" t="s">
        <v>375</v>
      </c>
      <c r="D683" s="98">
        <v>2585</v>
      </c>
      <c r="H683" s="426">
        <v>151860.05635973223</v>
      </c>
      <c r="R683" s="98">
        <v>338103.87386495265</v>
      </c>
    </row>
    <row r="684" spans="2:18" ht="15.75" thickBot="1">
      <c r="B684" s="1" t="s">
        <v>1276</v>
      </c>
      <c r="C684" s="475" t="s">
        <v>375</v>
      </c>
      <c r="D684" s="98">
        <v>2585</v>
      </c>
      <c r="H684" s="426">
        <v>170619.42021890104</v>
      </c>
      <c r="I684" s="422"/>
      <c r="R684" s="98">
        <v>389230.57526001072</v>
      </c>
    </row>
    <row r="685" spans="2:18" ht="15.75" thickBot="1">
      <c r="B685" s="16" t="s">
        <v>1277</v>
      </c>
      <c r="C685" s="475" t="s">
        <v>379</v>
      </c>
      <c r="D685" s="98">
        <v>38</v>
      </c>
      <c r="H685" s="426">
        <v>36804.280467819881</v>
      </c>
      <c r="O685" s="98">
        <v>85062.363489381431</v>
      </c>
      <c r="P685" s="98">
        <v>77957.260872987448</v>
      </c>
      <c r="Q685" s="98">
        <v>76798.412805571512</v>
      </c>
    </row>
    <row r="686" spans="2:18" ht="15.75" thickBot="1">
      <c r="B686" s="1" t="s">
        <v>1278</v>
      </c>
      <c r="C686" s="475" t="s">
        <v>379</v>
      </c>
      <c r="D686" s="98">
        <v>38</v>
      </c>
      <c r="H686" s="426">
        <v>36677.896378551464</v>
      </c>
      <c r="O686" s="98">
        <v>83741.128181287189</v>
      </c>
      <c r="P686" s="98">
        <v>78985.069088043019</v>
      </c>
      <c r="Q686" s="98">
        <v>77872.981453778164</v>
      </c>
    </row>
    <row r="687" spans="2:18" ht="15.75" thickBot="1">
      <c r="B687" s="1" t="s">
        <v>1279</v>
      </c>
      <c r="C687" s="475" t="s">
        <v>379</v>
      </c>
      <c r="D687" s="98">
        <v>38</v>
      </c>
      <c r="H687" s="426">
        <v>32700.96961988648</v>
      </c>
      <c r="O687" s="98">
        <v>83487.808449771488</v>
      </c>
      <c r="P687" s="98">
        <v>81208.881854592211</v>
      </c>
      <c r="Q687" s="98">
        <v>80535.585103478501</v>
      </c>
    </row>
    <row r="688" spans="2:18" ht="15.75" thickBot="1">
      <c r="B688" s="1" t="s">
        <v>1280</v>
      </c>
      <c r="C688" s="475" t="s">
        <v>379</v>
      </c>
      <c r="D688" s="98">
        <v>39</v>
      </c>
      <c r="H688" s="426">
        <v>30304.752828815715</v>
      </c>
      <c r="O688" s="98">
        <v>74509.339324818968</v>
      </c>
      <c r="P688" s="98">
        <v>71650.222246114514</v>
      </c>
      <c r="Q688" s="98">
        <v>70634.172375169961</v>
      </c>
    </row>
    <row r="689" spans="2:17" ht="15.75" thickBot="1">
      <c r="B689" s="16" t="s">
        <v>1281</v>
      </c>
      <c r="C689" s="475" t="s">
        <v>379</v>
      </c>
      <c r="D689" s="98">
        <v>39</v>
      </c>
      <c r="H689" s="426">
        <v>28320.344502748543</v>
      </c>
      <c r="O689" s="98">
        <v>70145.62231285352</v>
      </c>
      <c r="P689" s="98">
        <v>65071.995278576687</v>
      </c>
      <c r="Q689" s="98">
        <v>63315.701254870044</v>
      </c>
    </row>
    <row r="690" spans="2:17" ht="15.75" thickBot="1">
      <c r="B690" s="1" t="s">
        <v>1282</v>
      </c>
      <c r="C690" s="475" t="s">
        <v>379</v>
      </c>
      <c r="D690" s="98">
        <v>39</v>
      </c>
      <c r="H690" s="426">
        <v>29882.690347661068</v>
      </c>
      <c r="O690" s="98">
        <v>72449.926015992518</v>
      </c>
      <c r="P690" s="98">
        <v>66089.770227961955</v>
      </c>
      <c r="Q690" s="98">
        <v>62923.654825835627</v>
      </c>
    </row>
    <row r="691" spans="2:17" ht="15.75" thickBot="1">
      <c r="B691" s="1" t="s">
        <v>1271</v>
      </c>
      <c r="C691" s="475" t="s">
        <v>379</v>
      </c>
      <c r="D691" s="98">
        <v>40</v>
      </c>
      <c r="H691" s="426">
        <v>28843.197340630722</v>
      </c>
      <c r="O691" s="98">
        <v>67143.341530059173</v>
      </c>
      <c r="P691" s="98">
        <v>59358.260141816769</v>
      </c>
      <c r="Q691" s="98">
        <v>57313.82841144019</v>
      </c>
    </row>
    <row r="692" spans="2:17" ht="15.75" thickBot="1">
      <c r="B692" s="16" t="s">
        <v>1272</v>
      </c>
      <c r="C692" s="475" t="s">
        <v>379</v>
      </c>
      <c r="D692" s="98">
        <v>40</v>
      </c>
      <c r="H692" s="426">
        <v>25576.926161587049</v>
      </c>
      <c r="O692" s="98">
        <v>65289.540479371986</v>
      </c>
      <c r="P692" s="98">
        <v>56700.86573116036</v>
      </c>
      <c r="Q692" s="98">
        <v>55318.053782952302</v>
      </c>
    </row>
    <row r="693" spans="2:17" ht="15.75" thickBot="1">
      <c r="B693" s="1" t="s">
        <v>1273</v>
      </c>
      <c r="C693" s="475" t="s">
        <v>379</v>
      </c>
      <c r="D693" s="98">
        <v>40</v>
      </c>
      <c r="H693" s="426">
        <v>27203.322875118723</v>
      </c>
      <c r="O693" s="98">
        <v>65971.151631763918</v>
      </c>
      <c r="P693" s="98">
        <v>59839.773652030497</v>
      </c>
      <c r="Q693" s="98">
        <v>58530.796184572486</v>
      </c>
    </row>
    <row r="694" spans="2:17" ht="15.75" thickBot="1">
      <c r="B694" s="1" t="s">
        <v>1274</v>
      </c>
      <c r="C694" s="475" t="s">
        <v>379</v>
      </c>
      <c r="D694" s="98">
        <v>41</v>
      </c>
      <c r="H694" s="426">
        <v>28136.00634637682</v>
      </c>
      <c r="O694" s="98">
        <v>68635.065220703036</v>
      </c>
      <c r="P694" s="98">
        <v>65177.833603560313</v>
      </c>
      <c r="Q694" s="98">
        <v>62041.228490243149</v>
      </c>
    </row>
    <row r="695" spans="2:17" ht="15.75" thickBot="1">
      <c r="B695" s="1" t="s">
        <v>1275</v>
      </c>
      <c r="C695" s="475" t="s">
        <v>379</v>
      </c>
      <c r="D695" s="98">
        <v>41</v>
      </c>
      <c r="H695" s="426">
        <v>32484.574158807412</v>
      </c>
      <c r="O695" s="98">
        <v>69867.930245098483</v>
      </c>
      <c r="P695" s="98">
        <v>65444.556179758685</v>
      </c>
      <c r="Q695" s="98">
        <v>64847.784690417924</v>
      </c>
    </row>
    <row r="696" spans="2:17" ht="15.75" thickBot="1">
      <c r="B696" s="1" t="s">
        <v>1276</v>
      </c>
      <c r="C696" s="475" t="s">
        <v>379</v>
      </c>
      <c r="D696" s="98">
        <v>41</v>
      </c>
      <c r="H696" s="426">
        <v>35716.090441223983</v>
      </c>
      <c r="O696" s="98">
        <v>80664.665207381084</v>
      </c>
      <c r="P696" s="98">
        <v>74590.154279044495</v>
      </c>
      <c r="Q696" s="98">
        <v>73984.138755977838</v>
      </c>
    </row>
    <row r="697" spans="2:17" ht="15.75" thickBot="1">
      <c r="B697" s="16" t="s">
        <v>1277</v>
      </c>
      <c r="C697" s="475" t="s">
        <v>378</v>
      </c>
      <c r="D697" s="98">
        <v>216</v>
      </c>
      <c r="H697" s="426">
        <v>76574.431030170672</v>
      </c>
      <c r="O697" s="98">
        <v>156986.23170945438</v>
      </c>
      <c r="P697" s="98">
        <v>152069.19103439106</v>
      </c>
      <c r="Q697" s="98">
        <v>150334.16410703011</v>
      </c>
    </row>
    <row r="698" spans="2:17" ht="15.75" thickBot="1">
      <c r="B698" s="1" t="s">
        <v>1278</v>
      </c>
      <c r="C698" s="475" t="s">
        <v>378</v>
      </c>
      <c r="D698" s="98">
        <v>217</v>
      </c>
      <c r="H698" s="426">
        <v>77456.014606641751</v>
      </c>
      <c r="O698" s="98">
        <v>162445.05296237452</v>
      </c>
      <c r="P698" s="98">
        <v>157887.72653504129</v>
      </c>
      <c r="Q698" s="98">
        <v>155706.44962387328</v>
      </c>
    </row>
    <row r="699" spans="2:17" ht="15.75" thickBot="1">
      <c r="B699" s="1" t="s">
        <v>1279</v>
      </c>
      <c r="C699" s="475" t="s">
        <v>378</v>
      </c>
      <c r="D699" s="98">
        <v>218</v>
      </c>
      <c r="H699" s="426">
        <v>66161.499418095773</v>
      </c>
      <c r="O699" s="98">
        <v>156168.78566089657</v>
      </c>
      <c r="P699" s="98">
        <v>151785.5092228798</v>
      </c>
      <c r="Q699" s="98">
        <v>149867.4276554609</v>
      </c>
    </row>
    <row r="700" spans="2:17" ht="15.75" thickBot="1">
      <c r="B700" s="1" t="s">
        <v>1280</v>
      </c>
      <c r="C700" s="475" t="s">
        <v>378</v>
      </c>
      <c r="D700" s="98">
        <v>219</v>
      </c>
      <c r="H700" s="426">
        <v>63676.678347613975</v>
      </c>
      <c r="O700" s="98">
        <v>143906.44334884384</v>
      </c>
      <c r="P700" s="98">
        <v>139177.73698578961</v>
      </c>
      <c r="Q700" s="98">
        <v>137188.86462125176</v>
      </c>
    </row>
    <row r="701" spans="2:17" ht="15.75" thickBot="1">
      <c r="B701" s="16" t="s">
        <v>1281</v>
      </c>
      <c r="C701" s="475" t="s">
        <v>378</v>
      </c>
      <c r="D701" s="98">
        <v>220</v>
      </c>
      <c r="H701" s="426">
        <v>60713.56350196433</v>
      </c>
      <c r="O701" s="98">
        <v>137837.98748231615</v>
      </c>
      <c r="P701" s="98">
        <v>130077.26396047787</v>
      </c>
      <c r="Q701" s="98">
        <v>125528.40919570944</v>
      </c>
    </row>
    <row r="702" spans="2:17" ht="15.75" thickBot="1">
      <c r="B702" s="1" t="s">
        <v>1282</v>
      </c>
      <c r="C702" s="475" t="s">
        <v>378</v>
      </c>
      <c r="D702" s="98">
        <v>221</v>
      </c>
      <c r="H702" s="426">
        <v>63933.590849028871</v>
      </c>
      <c r="O702" s="98">
        <v>139784.85464457909</v>
      </c>
      <c r="P702" s="98">
        <v>130276.5693747794</v>
      </c>
      <c r="Q702" s="98">
        <v>127193.95225092756</v>
      </c>
    </row>
    <row r="703" spans="2:17" ht="15.75" thickBot="1">
      <c r="B703" s="1" t="s">
        <v>1271</v>
      </c>
      <c r="C703" s="475" t="s">
        <v>378</v>
      </c>
      <c r="D703" s="98">
        <v>222</v>
      </c>
      <c r="H703" s="426">
        <v>58180.400526375284</v>
      </c>
      <c r="O703" s="98">
        <v>118759.18571119716</v>
      </c>
      <c r="P703" s="98">
        <v>109001.43911678538</v>
      </c>
      <c r="Q703" s="98">
        <v>106595.40426731382</v>
      </c>
    </row>
    <row r="704" spans="2:17" ht="15.75" thickBot="1">
      <c r="B704" s="16" t="s">
        <v>1272</v>
      </c>
      <c r="C704" s="475" t="s">
        <v>378</v>
      </c>
      <c r="D704" s="98">
        <v>223</v>
      </c>
      <c r="H704" s="426">
        <v>55589.071507973735</v>
      </c>
      <c r="O704" s="98">
        <v>135573.83499310981</v>
      </c>
      <c r="P704" s="98">
        <v>124531.00645336138</v>
      </c>
      <c r="Q704" s="98">
        <v>121966.74680013017</v>
      </c>
    </row>
    <row r="705" spans="2:18" ht="15.75" thickBot="1">
      <c r="B705" s="1" t="s">
        <v>1273</v>
      </c>
      <c r="C705" s="475" t="s">
        <v>378</v>
      </c>
      <c r="D705" s="98">
        <v>224</v>
      </c>
      <c r="H705" s="426">
        <v>57508.341723499034</v>
      </c>
      <c r="O705" s="98">
        <v>130299.93765103366</v>
      </c>
      <c r="P705" s="98">
        <v>120753.61598268333</v>
      </c>
      <c r="Q705" s="98">
        <v>117661.61611822926</v>
      </c>
    </row>
    <row r="706" spans="2:18" ht="15.75" thickBot="1">
      <c r="B706" s="1" t="s">
        <v>1274</v>
      </c>
      <c r="C706" s="475" t="s">
        <v>378</v>
      </c>
      <c r="D706" s="98">
        <v>225</v>
      </c>
      <c r="H706" s="426">
        <v>56529.298803758786</v>
      </c>
      <c r="O706" s="98">
        <v>138479.13169621569</v>
      </c>
      <c r="P706" s="98">
        <v>128047.85969253865</v>
      </c>
      <c r="Q706" s="98">
        <v>124669.01310609802</v>
      </c>
    </row>
    <row r="707" spans="2:18" ht="15.75" thickBot="1">
      <c r="B707" s="1" t="s">
        <v>1275</v>
      </c>
      <c r="C707" s="475" t="s">
        <v>378</v>
      </c>
      <c r="D707" s="98">
        <v>226</v>
      </c>
      <c r="H707" s="426">
        <v>67792.800969551739</v>
      </c>
      <c r="O707" s="98">
        <v>139943.83351288579</v>
      </c>
      <c r="P707" s="98">
        <v>132251.92050641935</v>
      </c>
      <c r="Q707" s="98">
        <v>130553.5861440653</v>
      </c>
    </row>
    <row r="708" spans="2:18" ht="15.75" thickBot="1">
      <c r="B708" s="1" t="s">
        <v>1276</v>
      </c>
      <c r="C708" s="475" t="s">
        <v>378</v>
      </c>
      <c r="D708" s="98">
        <v>227</v>
      </c>
      <c r="H708" s="426">
        <v>76748.015450108229</v>
      </c>
      <c r="O708" s="98">
        <v>155337.91462213706</v>
      </c>
      <c r="P708" s="98">
        <v>149375.32760851967</v>
      </c>
      <c r="Q708" s="98">
        <v>147578.86992107818</v>
      </c>
    </row>
    <row r="709" spans="2:18" ht="15.75" thickBot="1">
      <c r="B709" s="16" t="s">
        <v>1277</v>
      </c>
      <c r="C709" s="475" t="s">
        <v>390</v>
      </c>
      <c r="D709" s="98">
        <v>21</v>
      </c>
      <c r="H709" s="426">
        <v>1185.295480145649</v>
      </c>
      <c r="I709" s="422"/>
      <c r="R709" s="98">
        <v>4168.6487839504944</v>
      </c>
    </row>
    <row r="710" spans="2:18" ht="15.75" thickBot="1">
      <c r="B710" s="1" t="s">
        <v>1278</v>
      </c>
      <c r="C710" s="475" t="s">
        <v>390</v>
      </c>
      <c r="D710" s="98">
        <v>21</v>
      </c>
      <c r="H710" s="426">
        <v>1251.0828894341798</v>
      </c>
      <c r="R710" s="98">
        <v>4451.6951961023769</v>
      </c>
    </row>
    <row r="711" spans="2:18" ht="15.75" thickBot="1">
      <c r="B711" s="1" t="s">
        <v>1279</v>
      </c>
      <c r="C711" s="475" t="s">
        <v>390</v>
      </c>
      <c r="D711" s="98">
        <v>21</v>
      </c>
      <c r="H711" s="426">
        <v>1023.2181617170635</v>
      </c>
      <c r="R711" s="98">
        <v>4245.2233342039217</v>
      </c>
    </row>
    <row r="712" spans="2:18" ht="15.75" thickBot="1">
      <c r="B712" s="1" t="s">
        <v>1280</v>
      </c>
      <c r="C712" s="475" t="s">
        <v>390</v>
      </c>
      <c r="D712" s="98">
        <v>21</v>
      </c>
      <c r="H712" s="426">
        <v>1042.841168326348</v>
      </c>
      <c r="R712" s="98">
        <v>3888.6755314945894</v>
      </c>
    </row>
    <row r="713" spans="2:18" ht="15.75" thickBot="1">
      <c r="B713" s="16" t="s">
        <v>1281</v>
      </c>
      <c r="C713" s="475" t="s">
        <v>390</v>
      </c>
      <c r="D713" s="98">
        <v>21</v>
      </c>
      <c r="H713" s="426">
        <v>1056.8854732319937</v>
      </c>
      <c r="R713" s="98">
        <v>3775.6461618416056</v>
      </c>
    </row>
    <row r="714" spans="2:18" ht="15.75" thickBot="1">
      <c r="B714" s="1" t="s">
        <v>1282</v>
      </c>
      <c r="C714" s="475" t="s">
        <v>390</v>
      </c>
      <c r="D714" s="98">
        <v>21</v>
      </c>
      <c r="H714" s="426">
        <v>1085.4317478195251</v>
      </c>
      <c r="R714" s="98">
        <v>3901.0559773356863</v>
      </c>
    </row>
    <row r="715" spans="2:18" ht="15.75" thickBot="1">
      <c r="B715" s="1" t="s">
        <v>1271</v>
      </c>
      <c r="C715" s="475" t="s">
        <v>390</v>
      </c>
      <c r="D715" s="98">
        <v>21</v>
      </c>
      <c r="H715" s="426">
        <v>1034.319373758563</v>
      </c>
      <c r="R715" s="98">
        <v>3850.9049220921556</v>
      </c>
    </row>
    <row r="716" spans="2:18" ht="15.75" thickBot="1">
      <c r="B716" s="16" t="s">
        <v>1272</v>
      </c>
      <c r="C716" s="475" t="s">
        <v>390</v>
      </c>
      <c r="D716" s="98">
        <v>21</v>
      </c>
      <c r="H716" s="426">
        <v>963.92828197015808</v>
      </c>
      <c r="R716" s="98">
        <v>3731.0191978711932</v>
      </c>
    </row>
    <row r="717" spans="2:18" ht="15.75" thickBot="1">
      <c r="B717" s="1" t="s">
        <v>1273</v>
      </c>
      <c r="C717" s="475" t="s">
        <v>390</v>
      </c>
      <c r="D717" s="98">
        <v>21</v>
      </c>
      <c r="H717" s="426">
        <v>1034.8584455329715</v>
      </c>
      <c r="R717" s="98">
        <v>3808.6483452356183</v>
      </c>
    </row>
    <row r="718" spans="2:18" ht="15.75" thickBot="1">
      <c r="B718" s="1" t="s">
        <v>1274</v>
      </c>
      <c r="C718" s="475" t="s">
        <v>390</v>
      </c>
      <c r="D718" s="98">
        <v>21</v>
      </c>
      <c r="H718" s="426">
        <v>1038.1682354298866</v>
      </c>
      <c r="R718" s="98">
        <v>3899.8693299760662</v>
      </c>
    </row>
    <row r="719" spans="2:18" ht="15.75" thickBot="1">
      <c r="B719" s="1" t="s">
        <v>1275</v>
      </c>
      <c r="C719" s="475" t="s">
        <v>390</v>
      </c>
      <c r="D719" s="98">
        <v>21</v>
      </c>
      <c r="H719" s="426">
        <v>1232.7856597693733</v>
      </c>
      <c r="R719" s="98">
        <v>4009.7331944323118</v>
      </c>
    </row>
    <row r="720" spans="2:18" ht="15.75" thickBot="1">
      <c r="B720" s="1" t="s">
        <v>1276</v>
      </c>
      <c r="C720" s="475" t="s">
        <v>390</v>
      </c>
      <c r="D720" s="98">
        <v>21</v>
      </c>
      <c r="H720" s="426">
        <v>1298.2518561809027</v>
      </c>
      <c r="R720" s="98">
        <v>4326.8525904768921</v>
      </c>
    </row>
    <row r="721" spans="2:18" ht="15.75" thickBot="1">
      <c r="B721" s="16" t="s">
        <v>1277</v>
      </c>
      <c r="C721" s="475" t="s">
        <v>389</v>
      </c>
      <c r="D721" s="98">
        <v>216</v>
      </c>
      <c r="H721" s="426">
        <v>23496.230346075383</v>
      </c>
      <c r="R721" s="98">
        <v>71167.354607631103</v>
      </c>
    </row>
    <row r="722" spans="2:18" ht="15.75" thickBot="1">
      <c r="B722" s="1" t="s">
        <v>1278</v>
      </c>
      <c r="C722" s="475" t="s">
        <v>389</v>
      </c>
      <c r="D722" s="98">
        <v>216</v>
      </c>
      <c r="H722" s="426">
        <v>22942.934863731276</v>
      </c>
      <c r="R722" s="98">
        <v>70376.801606944937</v>
      </c>
    </row>
    <row r="723" spans="2:18" ht="15.75" thickBot="1">
      <c r="B723" s="1" t="s">
        <v>1279</v>
      </c>
      <c r="C723" s="475" t="s">
        <v>389</v>
      </c>
      <c r="D723" s="98">
        <v>215</v>
      </c>
      <c r="H723" s="426">
        <v>19657.594190646636</v>
      </c>
      <c r="R723" s="98">
        <v>71082.593438398777</v>
      </c>
    </row>
    <row r="724" spans="2:18" ht="15.75" thickBot="1">
      <c r="B724" s="1" t="s">
        <v>1280</v>
      </c>
      <c r="C724" s="475" t="s">
        <v>389</v>
      </c>
      <c r="D724" s="98">
        <v>215</v>
      </c>
      <c r="H724" s="426">
        <v>19399.423014964414</v>
      </c>
      <c r="R724" s="98">
        <v>62733.20407827395</v>
      </c>
    </row>
    <row r="725" spans="2:18" ht="15.75" thickBot="1">
      <c r="B725" s="16" t="s">
        <v>1281</v>
      </c>
      <c r="C725" s="475" t="s">
        <v>389</v>
      </c>
      <c r="D725" s="98">
        <v>214</v>
      </c>
      <c r="H725" s="426">
        <v>19146.671763139882</v>
      </c>
      <c r="R725" s="98">
        <v>59195.646139415061</v>
      </c>
    </row>
    <row r="726" spans="2:18" ht="15.75" thickBot="1">
      <c r="B726" s="1" t="s">
        <v>1282</v>
      </c>
      <c r="C726" s="475" t="s">
        <v>389</v>
      </c>
      <c r="D726" s="98">
        <v>214</v>
      </c>
      <c r="H726" s="426">
        <v>18982.754608259442</v>
      </c>
      <c r="R726" s="98">
        <v>59075.15957441576</v>
      </c>
    </row>
    <row r="727" spans="2:18" ht="15.75" thickBot="1">
      <c r="B727" s="1" t="s">
        <v>1271</v>
      </c>
      <c r="C727" s="475" t="s">
        <v>389</v>
      </c>
      <c r="D727" s="98">
        <v>213</v>
      </c>
      <c r="H727" s="426">
        <v>18274.284108158168</v>
      </c>
      <c r="R727" s="98">
        <v>59090.078308219883</v>
      </c>
    </row>
    <row r="728" spans="2:18" ht="15.75" thickBot="1">
      <c r="B728" s="16" t="s">
        <v>1272</v>
      </c>
      <c r="C728" s="475" t="s">
        <v>389</v>
      </c>
      <c r="D728" s="98">
        <v>213</v>
      </c>
      <c r="H728" s="426">
        <v>17230.018595064917</v>
      </c>
      <c r="R728" s="98">
        <v>58144.092106100623</v>
      </c>
    </row>
    <row r="729" spans="2:18" ht="15.75" thickBot="1">
      <c r="B729" s="1" t="s">
        <v>1273</v>
      </c>
      <c r="C729" s="475" t="s">
        <v>389</v>
      </c>
      <c r="D729" s="98">
        <v>212</v>
      </c>
      <c r="H729" s="426">
        <v>18186.183238583202</v>
      </c>
      <c r="R729" s="98">
        <v>58098.339581665772</v>
      </c>
    </row>
    <row r="730" spans="2:18" ht="15.75" thickBot="1">
      <c r="B730" s="1" t="s">
        <v>1274</v>
      </c>
      <c r="C730" s="475" t="s">
        <v>389</v>
      </c>
      <c r="D730" s="98">
        <v>212</v>
      </c>
      <c r="H730" s="426">
        <v>17964.057685010008</v>
      </c>
      <c r="R730" s="98">
        <v>58663.566011625815</v>
      </c>
    </row>
    <row r="731" spans="2:18" ht="15.75" thickBot="1">
      <c r="B731" s="1" t="s">
        <v>1275</v>
      </c>
      <c r="C731" s="475" t="s">
        <v>389</v>
      </c>
      <c r="D731" s="98">
        <v>211</v>
      </c>
      <c r="H731" s="426">
        <v>20979.803334816064</v>
      </c>
      <c r="R731" s="98">
        <v>58643.855860572054</v>
      </c>
    </row>
    <row r="732" spans="2:18" ht="15.75" thickBot="1">
      <c r="B732" s="1" t="s">
        <v>1276</v>
      </c>
      <c r="C732" s="475" t="s">
        <v>389</v>
      </c>
      <c r="D732" s="98">
        <v>211</v>
      </c>
      <c r="H732" s="426">
        <v>21823.097568450954</v>
      </c>
      <c r="R732" s="98">
        <v>62551.638696040129</v>
      </c>
    </row>
    <row r="733" spans="2:18" ht="15.75" thickBot="1">
      <c r="B733" s="16" t="s">
        <v>1277</v>
      </c>
      <c r="C733" s="475" t="s">
        <v>392</v>
      </c>
      <c r="D733" s="98">
        <v>68</v>
      </c>
      <c r="H733" s="426">
        <v>149464.74259643446</v>
      </c>
      <c r="I733" s="422"/>
      <c r="J733" s="428"/>
      <c r="K733" s="428"/>
      <c r="L733" s="429"/>
      <c r="O733" s="98">
        <v>355998.49498358078</v>
      </c>
      <c r="P733" s="98">
        <v>323197.40753407922</v>
      </c>
      <c r="Q733" s="98">
        <v>318904.11451893218</v>
      </c>
    </row>
    <row r="734" spans="2:18" ht="15.75" thickBot="1">
      <c r="B734" s="1" t="s">
        <v>1278</v>
      </c>
      <c r="C734" s="475" t="s">
        <v>392</v>
      </c>
      <c r="D734" s="98">
        <v>69</v>
      </c>
      <c r="H734" s="426">
        <v>157760.47843623397</v>
      </c>
      <c r="J734" s="151"/>
      <c r="K734" s="151"/>
      <c r="L734" s="429"/>
      <c r="O734" s="98">
        <v>380170.37943796802</v>
      </c>
      <c r="P734" s="98">
        <v>345142.13623646204</v>
      </c>
      <c r="Q734" s="98">
        <v>340557.33361059107</v>
      </c>
    </row>
    <row r="735" spans="2:18" ht="15.75" thickBot="1">
      <c r="B735" s="1" t="s">
        <v>1279</v>
      </c>
      <c r="C735" s="475" t="s">
        <v>392</v>
      </c>
      <c r="D735" s="98">
        <v>69</v>
      </c>
      <c r="H735" s="426">
        <v>129026.93186870599</v>
      </c>
      <c r="J735" s="151"/>
      <c r="K735" s="151"/>
      <c r="L735" s="429"/>
      <c r="O735" s="98">
        <v>362537.88605658722</v>
      </c>
      <c r="P735" s="98">
        <v>329134.27039004344</v>
      </c>
      <c r="Q735" s="98">
        <v>324762.11321560177</v>
      </c>
    </row>
    <row r="736" spans="2:18" ht="15.75" thickBot="1">
      <c r="B736" s="1" t="s">
        <v>1280</v>
      </c>
      <c r="C736" s="475" t="s">
        <v>392</v>
      </c>
      <c r="D736" s="98">
        <v>69</v>
      </c>
      <c r="H736" s="426">
        <v>131501.37615787555</v>
      </c>
      <c r="J736" s="151"/>
      <c r="K736" s="151"/>
      <c r="L736" s="429"/>
      <c r="O736" s="98">
        <v>332089.05533644755</v>
      </c>
      <c r="P736" s="98">
        <v>301490.94242696575</v>
      </c>
      <c r="Q736" s="98">
        <v>297485.99397416826</v>
      </c>
    </row>
    <row r="737" spans="2:17" ht="15.75" thickBot="1">
      <c r="B737" s="16" t="s">
        <v>1281</v>
      </c>
      <c r="C737" s="475" t="s">
        <v>392</v>
      </c>
      <c r="D737" s="98">
        <v>70</v>
      </c>
      <c r="H737" s="426">
        <v>133272.35095093746</v>
      </c>
      <c r="J737" s="151"/>
      <c r="K737" s="151"/>
      <c r="L737" s="429"/>
      <c r="O737" s="98">
        <v>322436.45863884978</v>
      </c>
      <c r="P737" s="98">
        <v>292727.71934429661</v>
      </c>
      <c r="Q737" s="98">
        <v>288839.17988357006</v>
      </c>
    </row>
    <row r="738" spans="2:17" ht="15.75" thickBot="1">
      <c r="B738" s="1" t="s">
        <v>1282</v>
      </c>
      <c r="C738" s="475" t="s">
        <v>392</v>
      </c>
      <c r="D738" s="98">
        <v>70</v>
      </c>
      <c r="H738" s="426">
        <v>136872.01167248868</v>
      </c>
      <c r="J738" s="151"/>
      <c r="K738" s="151"/>
      <c r="L738" s="429"/>
      <c r="O738" s="98">
        <v>333146.33320154966</v>
      </c>
      <c r="P738" s="98">
        <v>302450.80453273101</v>
      </c>
      <c r="Q738" s="98">
        <v>298433.10545391316</v>
      </c>
    </row>
    <row r="739" spans="2:17" ht="15.75" thickBot="1">
      <c r="B739" s="1" t="s">
        <v>1271</v>
      </c>
      <c r="C739" s="475" t="s">
        <v>392</v>
      </c>
      <c r="D739" s="98">
        <v>70</v>
      </c>
      <c r="H739" s="426">
        <v>130426.78517793083</v>
      </c>
      <c r="J739" s="151"/>
      <c r="K739" s="151"/>
      <c r="L739" s="429"/>
      <c r="O739" s="98">
        <v>328863.48254325654</v>
      </c>
      <c r="P739" s="98">
        <v>298562.56834881176</v>
      </c>
      <c r="Q739" s="98">
        <v>294596.51986142976</v>
      </c>
    </row>
    <row r="740" spans="2:17" ht="15.75" thickBot="1">
      <c r="B740" s="16" t="s">
        <v>1272</v>
      </c>
      <c r="C740" s="475" t="s">
        <v>392</v>
      </c>
      <c r="D740" s="98">
        <v>71</v>
      </c>
      <c r="H740" s="426">
        <v>121550.5289266684</v>
      </c>
      <c r="J740" s="151"/>
      <c r="K740" s="151"/>
      <c r="L740" s="429"/>
      <c r="O740" s="98">
        <v>318625.35992736334</v>
      </c>
      <c r="P740" s="98">
        <v>289267.76869628695</v>
      </c>
      <c r="Q740" s="98">
        <v>285425.19056323066</v>
      </c>
    </row>
    <row r="741" spans="2:17" ht="15.75" thickBot="1">
      <c r="B741" s="1" t="s">
        <v>1273</v>
      </c>
      <c r="C741" s="475" t="s">
        <v>392</v>
      </c>
      <c r="D741" s="98">
        <v>71</v>
      </c>
      <c r="H741" s="426">
        <v>130494.76166594803</v>
      </c>
      <c r="J741" s="151"/>
      <c r="K741" s="151"/>
      <c r="L741" s="429"/>
      <c r="O741" s="98">
        <v>325254.81255359406</v>
      </c>
      <c r="P741" s="98">
        <v>295286.3949892621</v>
      </c>
      <c r="Q741" s="98">
        <v>291363.86656693352</v>
      </c>
    </row>
    <row r="742" spans="2:17" ht="15.75" thickBot="1">
      <c r="B742" s="1" t="s">
        <v>1274</v>
      </c>
      <c r="C742" s="475" t="s">
        <v>392</v>
      </c>
      <c r="D742" s="98">
        <v>71</v>
      </c>
      <c r="H742" s="426">
        <v>130912.12333084691</v>
      </c>
      <c r="J742" s="151"/>
      <c r="K742" s="151"/>
      <c r="L742" s="429"/>
      <c r="O742" s="98">
        <v>333044.99468732235</v>
      </c>
      <c r="P742" s="98">
        <v>302358.80317445798</v>
      </c>
      <c r="Q742" s="98">
        <v>298342.32622422057</v>
      </c>
    </row>
    <row r="743" spans="2:17" ht="15.75" thickBot="1">
      <c r="B743" s="1" t="s">
        <v>1275</v>
      </c>
      <c r="C743" s="475" t="s">
        <v>392</v>
      </c>
      <c r="D743" s="98">
        <v>72</v>
      </c>
      <c r="H743" s="426">
        <v>155453.21348172479</v>
      </c>
      <c r="J743" s="151"/>
      <c r="K743" s="151"/>
      <c r="L743" s="429"/>
      <c r="O743" s="98">
        <v>342427.26036297355</v>
      </c>
      <c r="P743" s="98">
        <v>310876.60306938813</v>
      </c>
      <c r="Q743" s="98">
        <v>306746.97728212154</v>
      </c>
    </row>
    <row r="744" spans="2:17" ht="15.75" thickBot="1">
      <c r="B744" s="1" t="s">
        <v>1276</v>
      </c>
      <c r="C744" s="475" t="s">
        <v>392</v>
      </c>
      <c r="D744" s="98">
        <v>72</v>
      </c>
      <c r="H744" s="426">
        <v>163708.4446534614</v>
      </c>
      <c r="J744" s="151"/>
      <c r="K744" s="151"/>
      <c r="L744" s="429"/>
      <c r="O744" s="98">
        <v>369508.9440386577</v>
      </c>
      <c r="P744" s="98">
        <v>335463.02711043024</v>
      </c>
      <c r="Q744" s="98">
        <v>331006.79993298481</v>
      </c>
    </row>
    <row r="745" spans="2:17" ht="15.75" thickBot="1">
      <c r="B745" s="16" t="s">
        <v>1277</v>
      </c>
      <c r="C745" s="475" t="s">
        <v>391</v>
      </c>
      <c r="D745" s="98">
        <v>93</v>
      </c>
      <c r="H745" s="426">
        <v>23109.450547385324</v>
      </c>
      <c r="J745" s="151"/>
      <c r="K745" s="151"/>
      <c r="L745" s="429"/>
      <c r="O745" s="98">
        <v>55144.261074780305</v>
      </c>
      <c r="P745" s="98">
        <v>51571.522738157575</v>
      </c>
      <c r="Q745" s="98">
        <v>49889.699187456099</v>
      </c>
    </row>
    <row r="746" spans="2:17" ht="15.75" thickBot="1">
      <c r="B746" s="1" t="s">
        <v>1278</v>
      </c>
      <c r="C746" s="475" t="s">
        <v>391</v>
      </c>
      <c r="D746" s="98">
        <v>94</v>
      </c>
      <c r="H746" s="426">
        <v>23497.311452521713</v>
      </c>
      <c r="L746" s="429"/>
      <c r="O746" s="98">
        <v>57192.614796173912</v>
      </c>
      <c r="P746" s="98">
        <v>53980.205937806153</v>
      </c>
      <c r="Q746" s="98">
        <v>52025.148302127658</v>
      </c>
    </row>
    <row r="747" spans="2:17" ht="15.75" thickBot="1">
      <c r="B747" s="1" t="s">
        <v>1279</v>
      </c>
      <c r="C747" s="475" t="s">
        <v>391</v>
      </c>
      <c r="D747" s="98">
        <v>95</v>
      </c>
      <c r="H747" s="426">
        <v>20552.866415223216</v>
      </c>
      <c r="L747" s="429"/>
      <c r="O747" s="98">
        <v>54408.771805032884</v>
      </c>
      <c r="P747" s="98">
        <v>51469.027641312612</v>
      </c>
      <c r="Q747" s="98">
        <v>50101.783063139461</v>
      </c>
    </row>
    <row r="748" spans="2:17" ht="15.75" thickBot="1">
      <c r="B748" s="1" t="s">
        <v>1280</v>
      </c>
      <c r="C748" s="475" t="s">
        <v>391</v>
      </c>
      <c r="D748" s="98">
        <v>96</v>
      </c>
      <c r="H748" s="426">
        <v>20321.483763421296</v>
      </c>
      <c r="O748" s="98">
        <v>52058.861856101073</v>
      </c>
      <c r="P748" s="98">
        <v>47897.71868862438</v>
      </c>
      <c r="Q748" s="98">
        <v>46862.112698978905</v>
      </c>
    </row>
    <row r="749" spans="2:17" ht="15.75" thickBot="1">
      <c r="B749" s="16" t="s">
        <v>1281</v>
      </c>
      <c r="C749" s="475" t="s">
        <v>391</v>
      </c>
      <c r="D749" s="98">
        <v>97</v>
      </c>
      <c r="H749" s="426">
        <v>20853.450367048375</v>
      </c>
      <c r="O749" s="98">
        <v>53246.551905761145</v>
      </c>
      <c r="P749" s="98">
        <v>49958.163786983787</v>
      </c>
      <c r="Q749" s="98">
        <v>49046.130862501333</v>
      </c>
    </row>
    <row r="750" spans="2:17" ht="15.75" thickBot="1">
      <c r="B750" s="1" t="s">
        <v>1282</v>
      </c>
      <c r="C750" s="475" t="s">
        <v>391</v>
      </c>
      <c r="D750" s="98">
        <v>98</v>
      </c>
      <c r="H750" s="426">
        <v>20700.533814381415</v>
      </c>
      <c r="O750" s="98">
        <v>51840.466502393487</v>
      </c>
      <c r="P750" s="98">
        <v>48096.42662898064</v>
      </c>
      <c r="Q750" s="98">
        <v>46727.188821590491</v>
      </c>
    </row>
    <row r="751" spans="2:17" ht="15.75" thickBot="1">
      <c r="B751" s="1" t="s">
        <v>1271</v>
      </c>
      <c r="C751" s="475" t="s">
        <v>391</v>
      </c>
      <c r="D751" s="98">
        <v>99</v>
      </c>
      <c r="H751" s="426">
        <v>20040.158866850783</v>
      </c>
      <c r="O751" s="98">
        <v>50459.319756230158</v>
      </c>
      <c r="P751" s="98">
        <v>45580.847936315891</v>
      </c>
      <c r="Q751" s="98">
        <v>44967.338483356682</v>
      </c>
    </row>
    <row r="752" spans="2:17" ht="15.75" thickBot="1">
      <c r="B752" s="16" t="s">
        <v>1272</v>
      </c>
      <c r="C752" s="475" t="s">
        <v>391</v>
      </c>
      <c r="D752" s="98">
        <v>100</v>
      </c>
      <c r="H752" s="426">
        <v>19781.342356303285</v>
      </c>
      <c r="O752" s="98">
        <v>53949.459339981593</v>
      </c>
      <c r="P752" s="98">
        <v>49120.142004529494</v>
      </c>
      <c r="Q752" s="98">
        <v>48258.693879862716</v>
      </c>
    </row>
    <row r="753" spans="2:18" ht="15.75" thickBot="1">
      <c r="B753" s="1" t="s">
        <v>1273</v>
      </c>
      <c r="C753" s="475" t="s">
        <v>391</v>
      </c>
      <c r="D753" s="98">
        <v>100</v>
      </c>
      <c r="H753" s="426">
        <v>20709.792508216691</v>
      </c>
      <c r="O753" s="98">
        <v>53453.387608720157</v>
      </c>
      <c r="P753" s="98">
        <v>49486.503360009447</v>
      </c>
      <c r="Q753" s="98">
        <v>47392.319055230364</v>
      </c>
    </row>
    <row r="754" spans="2:18" ht="15.75" thickBot="1">
      <c r="B754" s="1" t="s">
        <v>1274</v>
      </c>
      <c r="C754" s="475" t="s">
        <v>391</v>
      </c>
      <c r="D754" s="98">
        <v>100</v>
      </c>
      <c r="H754" s="426">
        <v>20494.105277615872</v>
      </c>
      <c r="O754" s="98">
        <v>53481.281243353231</v>
      </c>
      <c r="P754" s="98">
        <v>50359.722685786568</v>
      </c>
      <c r="Q754" s="98">
        <v>48966.085735280183</v>
      </c>
    </row>
    <row r="755" spans="2:18" ht="15.75" thickBot="1">
      <c r="B755" s="1" t="s">
        <v>1275</v>
      </c>
      <c r="C755" s="475" t="s">
        <v>391</v>
      </c>
      <c r="D755" s="98">
        <v>100</v>
      </c>
      <c r="H755" s="426">
        <v>24315.210278770133</v>
      </c>
      <c r="O755" s="98">
        <v>55168.113191774013</v>
      </c>
      <c r="P755" s="98">
        <v>52123.56269550541</v>
      </c>
      <c r="Q755" s="98">
        <v>50849.195386709136</v>
      </c>
    </row>
    <row r="756" spans="2:18" ht="15.75" thickBot="1">
      <c r="B756" s="1" t="s">
        <v>1276</v>
      </c>
      <c r="C756" s="475" t="s">
        <v>391</v>
      </c>
      <c r="D756" s="98">
        <v>100</v>
      </c>
      <c r="H756" s="426">
        <v>25167.481402223999</v>
      </c>
      <c r="O756" s="98">
        <v>58439.052219322657</v>
      </c>
      <c r="P756" s="98">
        <v>54724.068416778638</v>
      </c>
      <c r="Q756" s="98">
        <v>52685.992795290513</v>
      </c>
    </row>
    <row r="757" spans="2:18" ht="15.75" thickBot="1">
      <c r="B757" s="16" t="s">
        <v>1277</v>
      </c>
      <c r="C757" s="475" t="s">
        <v>387</v>
      </c>
      <c r="D757" s="98">
        <v>1</v>
      </c>
      <c r="H757" s="426">
        <v>10990</v>
      </c>
      <c r="R757" s="98">
        <v>20596</v>
      </c>
    </row>
    <row r="758" spans="2:18" ht="15.75" thickBot="1">
      <c r="B758" s="1" t="s">
        <v>1278</v>
      </c>
      <c r="C758" s="475" t="s">
        <v>387</v>
      </c>
      <c r="D758" s="98">
        <v>1</v>
      </c>
      <c r="H758" s="426">
        <v>10824.2</v>
      </c>
      <c r="R758" s="98">
        <v>16552</v>
      </c>
    </row>
    <row r="759" spans="2:18" ht="15.75" thickBot="1">
      <c r="B759" s="1" t="s">
        <v>1279</v>
      </c>
      <c r="C759" s="475" t="s">
        <v>387</v>
      </c>
      <c r="D759" s="98">
        <v>1</v>
      </c>
      <c r="H759" s="426">
        <v>8540</v>
      </c>
      <c r="R759" s="98">
        <v>13654</v>
      </c>
    </row>
    <row r="760" spans="2:18" ht="15.75" thickBot="1">
      <c r="B760" s="1" t="s">
        <v>1280</v>
      </c>
      <c r="C760" s="475" t="s">
        <v>387</v>
      </c>
      <c r="D760" s="98">
        <v>1</v>
      </c>
      <c r="H760" s="426">
        <v>7093.2</v>
      </c>
      <c r="R760" s="98">
        <v>8332</v>
      </c>
    </row>
    <row r="761" spans="2:18" ht="15.75" thickBot="1">
      <c r="B761" s="16" t="s">
        <v>1281</v>
      </c>
      <c r="C761" s="475" t="s">
        <v>387</v>
      </c>
      <c r="D761" s="98">
        <v>1</v>
      </c>
      <c r="H761" s="426">
        <v>7436</v>
      </c>
      <c r="R761" s="98">
        <v>9520</v>
      </c>
    </row>
    <row r="762" spans="2:18" ht="15.75" thickBot="1">
      <c r="B762" s="1" t="s">
        <v>1282</v>
      </c>
      <c r="C762" s="475" t="s">
        <v>387</v>
      </c>
      <c r="D762" s="98">
        <v>1</v>
      </c>
      <c r="H762" s="426">
        <v>9529</v>
      </c>
      <c r="R762" s="98">
        <v>12334</v>
      </c>
    </row>
    <row r="763" spans="2:18" ht="15.75" thickBot="1">
      <c r="B763" s="1" t="s">
        <v>1271</v>
      </c>
      <c r="C763" s="475" t="s">
        <v>387</v>
      </c>
      <c r="D763" s="98">
        <v>1</v>
      </c>
      <c r="H763" s="426">
        <v>10975.5</v>
      </c>
      <c r="R763" s="98">
        <v>15562</v>
      </c>
    </row>
    <row r="764" spans="2:18" ht="15.75" thickBot="1">
      <c r="B764" s="16" t="s">
        <v>1272</v>
      </c>
      <c r="C764" s="475" t="s">
        <v>387</v>
      </c>
      <c r="D764" s="98">
        <v>1</v>
      </c>
      <c r="H764" s="426">
        <v>9522.5</v>
      </c>
      <c r="R764" s="98">
        <v>14314</v>
      </c>
    </row>
    <row r="765" spans="2:18" ht="15.75" thickBot="1">
      <c r="B765" s="1" t="s">
        <v>1273</v>
      </c>
      <c r="C765" s="475" t="s">
        <v>387</v>
      </c>
      <c r="D765" s="98">
        <v>1</v>
      </c>
      <c r="H765" s="426">
        <v>9371</v>
      </c>
      <c r="R765" s="98">
        <v>12754</v>
      </c>
    </row>
    <row r="766" spans="2:18" ht="15.75" thickBot="1">
      <c r="B766" s="1" t="s">
        <v>1274</v>
      </c>
      <c r="C766" s="475" t="s">
        <v>387</v>
      </c>
      <c r="D766" s="98">
        <v>1</v>
      </c>
      <c r="H766" s="426">
        <v>7236.5</v>
      </c>
      <c r="R766" s="98">
        <v>7072</v>
      </c>
    </row>
    <row r="767" spans="2:18" ht="15.75" thickBot="1">
      <c r="B767" s="1" t="s">
        <v>1275</v>
      </c>
      <c r="C767" s="475" t="s">
        <v>387</v>
      </c>
      <c r="D767" s="98">
        <v>1</v>
      </c>
      <c r="H767" s="426">
        <v>8289</v>
      </c>
      <c r="R767" s="98">
        <v>12946</v>
      </c>
    </row>
    <row r="768" spans="2:18" ht="15.75" thickBot="1">
      <c r="B768" s="1" t="s">
        <v>1276</v>
      </c>
      <c r="C768" s="475" t="s">
        <v>387</v>
      </c>
      <c r="D768" s="98">
        <v>1</v>
      </c>
      <c r="H768" s="426">
        <v>10068</v>
      </c>
      <c r="R768" s="98">
        <v>16030</v>
      </c>
    </row>
    <row r="769" spans="2:18" ht="15.75" thickBot="1">
      <c r="B769" s="16" t="s">
        <v>1277</v>
      </c>
      <c r="C769" s="475" t="s">
        <v>385</v>
      </c>
      <c r="D769" s="98">
        <v>2</v>
      </c>
      <c r="H769" s="426">
        <v>5252.4</v>
      </c>
      <c r="R769" s="98">
        <v>9450.2999999999993</v>
      </c>
    </row>
    <row r="770" spans="2:18" ht="15.75" thickBot="1">
      <c r="B770" s="1" t="s">
        <v>1278</v>
      </c>
      <c r="C770" s="475" t="s">
        <v>385</v>
      </c>
      <c r="D770" s="98">
        <v>2</v>
      </c>
      <c r="H770" s="426">
        <v>5119.5</v>
      </c>
      <c r="R770" s="98">
        <v>9450.2999999999993</v>
      </c>
    </row>
    <row r="771" spans="2:18" ht="15.75" thickBot="1">
      <c r="B771" s="1" t="s">
        <v>1279</v>
      </c>
      <c r="C771" s="475" t="s">
        <v>385</v>
      </c>
      <c r="D771" s="98">
        <v>2</v>
      </c>
      <c r="H771" s="426">
        <v>5318.1</v>
      </c>
      <c r="R771" s="98">
        <v>9450.2999999999993</v>
      </c>
    </row>
    <row r="772" spans="2:18" ht="15.75" thickBot="1">
      <c r="B772" s="1" t="s">
        <v>1280</v>
      </c>
      <c r="C772" s="475" t="s">
        <v>385</v>
      </c>
      <c r="D772" s="98">
        <v>2</v>
      </c>
      <c r="H772" s="426">
        <v>4450.8</v>
      </c>
      <c r="R772" s="98">
        <v>9450.2999999999993</v>
      </c>
    </row>
    <row r="773" spans="2:18" ht="15.75" thickBot="1">
      <c r="B773" s="16" t="s">
        <v>1281</v>
      </c>
      <c r="C773" s="475" t="s">
        <v>385</v>
      </c>
      <c r="D773" s="98">
        <v>2</v>
      </c>
      <c r="H773" s="426">
        <v>4366.8</v>
      </c>
      <c r="R773" s="98">
        <v>9450.2999999999993</v>
      </c>
    </row>
    <row r="774" spans="2:18" ht="15.75" thickBot="1">
      <c r="B774" s="1" t="s">
        <v>1282</v>
      </c>
      <c r="C774" s="475" t="s">
        <v>385</v>
      </c>
      <c r="D774" s="98">
        <v>2</v>
      </c>
      <c r="H774" s="426">
        <v>4790.1000000000004</v>
      </c>
      <c r="R774" s="98">
        <v>9471.9000000000015</v>
      </c>
    </row>
    <row r="775" spans="2:18" ht="15.75" thickBot="1">
      <c r="B775" s="1" t="s">
        <v>1271</v>
      </c>
      <c r="C775" s="475" t="s">
        <v>385</v>
      </c>
      <c r="D775" s="98">
        <v>2</v>
      </c>
      <c r="H775" s="426">
        <v>5498.8799999999992</v>
      </c>
      <c r="R775" s="98">
        <v>9307.1999999999989</v>
      </c>
    </row>
    <row r="776" spans="2:18" ht="15.75" thickBot="1">
      <c r="B776" s="16" t="s">
        <v>1272</v>
      </c>
      <c r="C776" s="475" t="s">
        <v>385</v>
      </c>
      <c r="D776" s="98">
        <v>2</v>
      </c>
      <c r="H776" s="426">
        <v>4744.8</v>
      </c>
      <c r="R776" s="98">
        <v>9307.1999999999989</v>
      </c>
    </row>
    <row r="777" spans="2:18" ht="15.75" thickBot="1">
      <c r="B777" s="1" t="s">
        <v>1273</v>
      </c>
      <c r="C777" s="475" t="s">
        <v>385</v>
      </c>
      <c r="D777" s="98">
        <v>2</v>
      </c>
      <c r="H777" s="426">
        <v>4351.2</v>
      </c>
      <c r="R777" s="98">
        <v>9307.1999999999989</v>
      </c>
    </row>
    <row r="778" spans="2:18" ht="15.75" thickBot="1">
      <c r="B778" s="1" t="s">
        <v>1274</v>
      </c>
      <c r="C778" s="475" t="s">
        <v>385</v>
      </c>
      <c r="D778" s="98">
        <v>2</v>
      </c>
      <c r="H778" s="426">
        <v>4414.32</v>
      </c>
      <c r="R778" s="98">
        <v>9307.1999999999989</v>
      </c>
    </row>
    <row r="779" spans="2:18" ht="15.75" thickBot="1">
      <c r="B779" s="1" t="s">
        <v>1275</v>
      </c>
      <c r="C779" s="475" t="s">
        <v>385</v>
      </c>
      <c r="D779" s="98">
        <v>2</v>
      </c>
      <c r="H779" s="426">
        <v>4343.3999999999996</v>
      </c>
      <c r="R779" s="98">
        <v>9429.0749999999989</v>
      </c>
    </row>
    <row r="780" spans="2:18" ht="15.75" thickBot="1">
      <c r="B780" s="1" t="s">
        <v>1276</v>
      </c>
      <c r="C780" s="475" t="s">
        <v>385</v>
      </c>
      <c r="D780" s="98">
        <v>2</v>
      </c>
      <c r="H780" s="426">
        <v>4921.8</v>
      </c>
      <c r="R780" s="98">
        <v>9434.9250000000011</v>
      </c>
    </row>
  </sheetData>
  <autoFilter ref="A1:O404">
    <filterColumn colId="2">
      <filters>
        <filter val="LGRSE511"/>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pageSetUpPr fitToPage="1"/>
  </sheetPr>
  <dimension ref="A1:Q47"/>
  <sheetViews>
    <sheetView view="pageBreakPreview" zoomScale="120" zoomScaleNormal="100" zoomScaleSheetLayoutView="120" workbookViewId="0">
      <selection activeCell="F19" sqref="F19"/>
    </sheetView>
  </sheetViews>
  <sheetFormatPr defaultRowHeight="12.75"/>
  <cols>
    <col min="1" max="1" width="8.1640625" style="159" customWidth="1"/>
    <col min="2" max="2" width="46.1640625" style="57" customWidth="1"/>
    <col min="3" max="3" width="17.6640625" style="57" customWidth="1"/>
    <col min="4" max="4" width="18.6640625" style="57" customWidth="1"/>
    <col min="5" max="5" width="18.1640625" style="57" customWidth="1"/>
    <col min="6" max="6" width="14.5" style="57" customWidth="1"/>
    <col min="7" max="7" width="9.33203125" style="57"/>
    <col min="8" max="8" width="15.83203125" style="57" bestFit="1" customWidth="1"/>
    <col min="9" max="9" width="16.5" style="58" bestFit="1" customWidth="1"/>
    <col min="10" max="10" width="13.1640625" style="57" customWidth="1"/>
    <col min="11" max="16384" width="9.33203125" style="57"/>
  </cols>
  <sheetData>
    <row r="1" spans="1:17">
      <c r="B1" s="416" t="s">
        <v>1283</v>
      </c>
      <c r="F1" s="715" t="s">
        <v>1530</v>
      </c>
    </row>
    <row r="2" spans="1:17">
      <c r="B2" s="154" t="s">
        <v>1251</v>
      </c>
      <c r="F2" s="715" t="s">
        <v>1509</v>
      </c>
    </row>
    <row r="3" spans="1:17">
      <c r="B3" s="154" t="s">
        <v>1248</v>
      </c>
      <c r="F3" s="153" t="s">
        <v>1528</v>
      </c>
    </row>
    <row r="4" spans="1:17">
      <c r="B4" s="155"/>
    </row>
    <row r="6" spans="1:17" s="156" customFormat="1" ht="39">
      <c r="A6" s="157"/>
      <c r="B6" s="159" t="s">
        <v>74</v>
      </c>
      <c r="C6" s="728" t="s">
        <v>1524</v>
      </c>
      <c r="D6" s="728" t="s">
        <v>1525</v>
      </c>
      <c r="E6" s="716" t="s">
        <v>1526</v>
      </c>
      <c r="F6" s="716" t="s">
        <v>1527</v>
      </c>
      <c r="I6" s="760" t="s">
        <v>1514</v>
      </c>
    </row>
    <row r="7" spans="1:17" s="156" customFormat="1" ht="15">
      <c r="A7" s="157"/>
      <c r="B7" s="704"/>
      <c r="C7" s="704"/>
      <c r="D7" s="704"/>
      <c r="E7" s="704"/>
      <c r="F7" s="704"/>
      <c r="I7" s="760" t="s">
        <v>1515</v>
      </c>
      <c r="J7" s="156" t="s">
        <v>1516</v>
      </c>
    </row>
    <row r="8" spans="1:17" ht="15" customHeight="1">
      <c r="A8" s="158"/>
      <c r="B8" s="161" t="s">
        <v>83</v>
      </c>
      <c r="C8" s="72">
        <f>'Sch M-2.2-E'!$E$7</f>
        <v>436027011</v>
      </c>
      <c r="D8" s="72">
        <f>'Sch M-2.2-E'!$H$7</f>
        <v>436283014</v>
      </c>
      <c r="E8" s="72">
        <f>D8-C8</f>
        <v>256003</v>
      </c>
      <c r="F8" s="717">
        <f>E8/C8</f>
        <v>5.8712647047455503E-4</v>
      </c>
      <c r="I8" s="61">
        <f>'Sch M-2.3-E pg 1-2'!C12</f>
        <v>436027011</v>
      </c>
      <c r="J8" s="718">
        <f t="shared" ref="J8:J21" si="0">C8-I8</f>
        <v>0</v>
      </c>
      <c r="K8" s="718"/>
      <c r="L8" s="718"/>
      <c r="M8" s="718"/>
      <c r="N8" s="718"/>
      <c r="O8" s="718"/>
      <c r="P8" s="718"/>
      <c r="Q8" s="718"/>
    </row>
    <row r="9" spans="1:17" ht="15" customHeight="1">
      <c r="A9" s="158"/>
      <c r="B9" s="161" t="s">
        <v>1533</v>
      </c>
      <c r="C9" s="72">
        <f>'Sch M-2.2-E'!$E$8</f>
        <v>31170</v>
      </c>
      <c r="D9" s="72">
        <f>'Sch M-2.2-E'!$H$8</f>
        <v>33998</v>
      </c>
      <c r="E9" s="72">
        <f>D9-C9</f>
        <v>2828</v>
      </c>
      <c r="F9" s="717">
        <f>E9/C9</f>
        <v>9.0728264356753283E-2</v>
      </c>
      <c r="I9" s="58">
        <f>'Sch M-2.3-E pg 1-2'!$C$13</f>
        <v>31169.603763409825</v>
      </c>
      <c r="J9" s="718">
        <f t="shared" si="0"/>
        <v>0.39623659017524915</v>
      </c>
      <c r="K9" s="718"/>
      <c r="L9" s="718"/>
      <c r="M9" s="718"/>
      <c r="N9" s="718"/>
      <c r="O9" s="718"/>
      <c r="P9" s="718"/>
      <c r="Q9" s="718"/>
    </row>
    <row r="10" spans="1:17" ht="15" customHeight="1">
      <c r="A10" s="158"/>
      <c r="B10" s="161" t="s">
        <v>85</v>
      </c>
      <c r="C10" s="72">
        <f>'Sch M-2.2-E'!$E$13</f>
        <v>154856602</v>
      </c>
      <c r="D10" s="72">
        <f>'Sch M-2.2-E'!$H$13</f>
        <v>154956644</v>
      </c>
      <c r="E10" s="72">
        <f t="shared" ref="E10:E27" si="1">D10-C10</f>
        <v>100042</v>
      </c>
      <c r="F10" s="717">
        <f t="shared" ref="F10:F28" si="2">E10/C10</f>
        <v>6.4602993161376487E-4</v>
      </c>
      <c r="I10" s="61">
        <f>'Sch M-2.3-E pg 1-2'!$C$19</f>
        <v>154856602</v>
      </c>
      <c r="J10" s="718">
        <f t="shared" si="0"/>
        <v>0</v>
      </c>
      <c r="K10" s="718"/>
      <c r="L10" s="718"/>
      <c r="M10" s="718"/>
      <c r="N10" s="718"/>
      <c r="O10" s="718"/>
      <c r="P10" s="718"/>
      <c r="Q10" s="718"/>
    </row>
    <row r="11" spans="1:17" ht="15" customHeight="1">
      <c r="A11" s="158"/>
      <c r="B11" s="161" t="s">
        <v>1249</v>
      </c>
      <c r="C11" s="72">
        <f>'Sch M-2.2-E'!$E$15</f>
        <v>179920400</v>
      </c>
      <c r="D11" s="72">
        <f>'Sch M-2.2-E'!$H$15</f>
        <v>180031154</v>
      </c>
      <c r="E11" s="72">
        <f t="shared" ref="E11" si="3">D11-C11</f>
        <v>110754</v>
      </c>
      <c r="F11" s="717">
        <f t="shared" si="2"/>
        <v>6.1557221971494057E-4</v>
      </c>
      <c r="I11" s="61">
        <f>'Sch M-2.3-E pg 1-2'!$C$22</f>
        <v>179920400</v>
      </c>
      <c r="J11" s="718">
        <f t="shared" si="0"/>
        <v>0</v>
      </c>
      <c r="K11" s="718"/>
      <c r="L11" s="718"/>
      <c r="M11" s="718"/>
      <c r="N11" s="718"/>
      <c r="O11" s="718"/>
      <c r="P11" s="718"/>
      <c r="Q11" s="718"/>
    </row>
    <row r="12" spans="1:17" ht="15" customHeight="1">
      <c r="A12" s="734"/>
      <c r="B12" s="161" t="s">
        <v>1541</v>
      </c>
      <c r="C12" s="72">
        <f>'Sch M-2.2-E'!$E$16</f>
        <v>13517486</v>
      </c>
      <c r="D12" s="72">
        <f>'Sch M-2.2-E'!$H$16</f>
        <v>13525683</v>
      </c>
      <c r="E12" s="72">
        <f>D12-C12</f>
        <v>8197</v>
      </c>
      <c r="F12" s="717">
        <f t="shared" si="2"/>
        <v>6.0639974030674048E-4</v>
      </c>
      <c r="I12" s="61">
        <f>'Sch M-2.3-E pg 1-2'!$C$23</f>
        <v>13517486</v>
      </c>
      <c r="J12" s="718">
        <f t="shared" si="0"/>
        <v>0</v>
      </c>
      <c r="K12" s="718"/>
      <c r="L12" s="718"/>
      <c r="M12" s="718"/>
      <c r="N12" s="718"/>
      <c r="O12" s="718"/>
      <c r="P12" s="718"/>
      <c r="Q12" s="718"/>
    </row>
    <row r="13" spans="1:17" ht="15" customHeight="1">
      <c r="A13" s="734"/>
      <c r="B13" s="161" t="s">
        <v>1542</v>
      </c>
      <c r="C13" s="72">
        <f>'Sch M-2.2-E'!$E$19</f>
        <v>86270519</v>
      </c>
      <c r="D13" s="72">
        <f>'Sch M-2.2-E'!$H$19</f>
        <v>86322329</v>
      </c>
      <c r="E13" s="72">
        <f>D13-C13</f>
        <v>51810</v>
      </c>
      <c r="F13" s="717">
        <f t="shared" si="2"/>
        <v>6.0055277979723294E-4</v>
      </c>
      <c r="I13" s="58">
        <f>'Sch M-2.3-E pg 1-2'!$C$26</f>
        <v>86249459</v>
      </c>
      <c r="J13" s="718">
        <f t="shared" si="0"/>
        <v>21060</v>
      </c>
      <c r="K13" s="718" t="s">
        <v>1512</v>
      </c>
      <c r="L13" s="718"/>
      <c r="M13" s="718"/>
      <c r="N13" s="718"/>
      <c r="O13" s="718"/>
      <c r="P13" s="718"/>
      <c r="Q13" s="718"/>
    </row>
    <row r="14" spans="1:17" ht="15" customHeight="1">
      <c r="A14" s="158"/>
      <c r="B14" s="161" t="s">
        <v>1511</v>
      </c>
      <c r="C14" s="72">
        <f>'Sch M-2.2-E'!$E$23</f>
        <v>153205443</v>
      </c>
      <c r="D14" s="72">
        <f>'Sch M-2.2-E'!$H$23</f>
        <v>153297616</v>
      </c>
      <c r="E14" s="72">
        <f t="shared" si="1"/>
        <v>92173</v>
      </c>
      <c r="F14" s="717">
        <f t="shared" si="2"/>
        <v>6.0163006088497786E-4</v>
      </c>
      <c r="I14" s="58">
        <f>'Sch M-2.3-E pg 1-2'!$C$31</f>
        <v>153205443</v>
      </c>
      <c r="J14" s="718">
        <f t="shared" si="0"/>
        <v>0</v>
      </c>
      <c r="K14" s="718"/>
      <c r="L14" s="718"/>
      <c r="M14" s="718"/>
      <c r="N14" s="718"/>
      <c r="O14" s="718"/>
      <c r="P14" s="718"/>
      <c r="Q14" s="718"/>
    </row>
    <row r="15" spans="1:17" ht="15" customHeight="1">
      <c r="A15" s="158"/>
      <c r="B15" s="161" t="s">
        <v>54</v>
      </c>
      <c r="C15" s="72">
        <f>'Sch M-2.2-E'!$E$25</f>
        <v>55631555</v>
      </c>
      <c r="D15" s="72">
        <f>'Sch M-2.2-E'!$H$25</f>
        <v>55667521</v>
      </c>
      <c r="E15" s="72">
        <f t="shared" si="1"/>
        <v>35966</v>
      </c>
      <c r="F15" s="717">
        <f t="shared" si="2"/>
        <v>6.465035895545253E-4</v>
      </c>
      <c r="I15" s="58">
        <f>'Sch M-2.3-E pg 1-2'!$C$33</f>
        <v>55631555</v>
      </c>
      <c r="J15" s="718">
        <f t="shared" si="0"/>
        <v>0</v>
      </c>
      <c r="K15" s="718"/>
      <c r="L15" s="718"/>
      <c r="M15" s="718"/>
      <c r="N15" s="718"/>
      <c r="O15" s="718"/>
      <c r="P15" s="718"/>
      <c r="Q15" s="718"/>
    </row>
    <row r="16" spans="1:17" ht="15" customHeight="1">
      <c r="A16" s="158"/>
      <c r="B16" s="161" t="s">
        <v>88</v>
      </c>
      <c r="C16" s="72">
        <v>0</v>
      </c>
      <c r="D16" s="72">
        <v>0</v>
      </c>
      <c r="E16" s="72">
        <f t="shared" si="1"/>
        <v>0</v>
      </c>
      <c r="F16" s="717">
        <v>0</v>
      </c>
      <c r="J16" s="718">
        <f t="shared" si="0"/>
        <v>0</v>
      </c>
      <c r="K16" s="718"/>
      <c r="L16" s="718"/>
      <c r="M16" s="718"/>
      <c r="N16" s="718"/>
      <c r="O16" s="718"/>
      <c r="P16" s="718"/>
      <c r="Q16" s="718"/>
    </row>
    <row r="17" spans="1:17" ht="15" customHeight="1">
      <c r="A17" s="158"/>
      <c r="B17" s="161" t="s">
        <v>423</v>
      </c>
      <c r="C17" s="72">
        <f>'Sch M-2.2-E'!$E$31</f>
        <v>252419</v>
      </c>
      <c r="D17" s="72">
        <f>'Sch M-2.2-E'!$H$31</f>
        <v>252557</v>
      </c>
      <c r="E17" s="72">
        <f t="shared" si="1"/>
        <v>138</v>
      </c>
      <c r="F17" s="717">
        <f t="shared" si="2"/>
        <v>5.467100337137854E-4</v>
      </c>
      <c r="I17" s="58">
        <f>'Sch M-2.3-E pg 1-2'!$C$40</f>
        <v>252419</v>
      </c>
      <c r="J17" s="718">
        <f t="shared" si="0"/>
        <v>0</v>
      </c>
      <c r="K17" s="718"/>
      <c r="L17" s="718"/>
      <c r="M17" s="718"/>
      <c r="N17" s="718"/>
      <c r="O17" s="718"/>
      <c r="P17" s="718"/>
      <c r="Q17" s="718"/>
    </row>
    <row r="18" spans="1:17" ht="15" customHeight="1">
      <c r="A18" s="158"/>
      <c r="B18" s="161" t="s">
        <v>55</v>
      </c>
      <c r="C18" s="72">
        <f>'Sch M-2.2-E'!$E$32</f>
        <v>300152</v>
      </c>
      <c r="D18" s="72">
        <f>'Sch M-2.2-E'!$H$32</f>
        <v>300352</v>
      </c>
      <c r="E18" s="72">
        <f t="shared" si="1"/>
        <v>200</v>
      </c>
      <c r="F18" s="717">
        <f t="shared" si="2"/>
        <v>6.6632905994296228E-4</v>
      </c>
      <c r="I18" s="58">
        <f>'Sch M-2.3-E pg 1-2'!$C$41</f>
        <v>300152</v>
      </c>
      <c r="J18" s="718">
        <f t="shared" si="0"/>
        <v>0</v>
      </c>
      <c r="K18" s="727"/>
      <c r="L18" s="718"/>
      <c r="M18" s="718"/>
      <c r="N18" s="718"/>
      <c r="O18" s="718"/>
      <c r="P18" s="718"/>
      <c r="Q18" s="718"/>
    </row>
    <row r="19" spans="1:17" ht="15" customHeight="1">
      <c r="A19" s="158"/>
      <c r="B19" s="161" t="s">
        <v>1474</v>
      </c>
      <c r="C19" s="72">
        <f>'Sch M-2.2-E'!$E$34</f>
        <v>18994751</v>
      </c>
      <c r="D19" s="72">
        <f>'Sch M-2.2-E'!$H$34</f>
        <v>19005390</v>
      </c>
      <c r="E19" s="72">
        <f t="shared" si="1"/>
        <v>10639</v>
      </c>
      <c r="F19" s="717">
        <f t="shared" si="2"/>
        <v>5.6010210399704637E-4</v>
      </c>
      <c r="I19" s="58">
        <f>'Sch M-2.3-E pg 1-2'!$C$43</f>
        <v>18994751</v>
      </c>
      <c r="J19" s="718">
        <f t="shared" si="0"/>
        <v>0</v>
      </c>
      <c r="K19" s="718"/>
      <c r="L19" s="718"/>
      <c r="M19" s="718"/>
      <c r="N19" s="718"/>
      <c r="O19" s="718"/>
      <c r="P19" s="718"/>
      <c r="Q19" s="718"/>
    </row>
    <row r="20" spans="1:17" ht="15" customHeight="1">
      <c r="A20" s="158"/>
      <c r="B20" s="161" t="s">
        <v>1250</v>
      </c>
      <c r="C20" s="72">
        <f>'Sch M-2.2-E'!$E$27</f>
        <v>-3438312</v>
      </c>
      <c r="D20" s="72">
        <f>'Sch M-2.2-E'!$H$27</f>
        <v>-3438312</v>
      </c>
      <c r="E20" s="72">
        <f t="shared" si="1"/>
        <v>0</v>
      </c>
      <c r="F20" s="717">
        <f t="shared" si="2"/>
        <v>0</v>
      </c>
      <c r="I20" s="58">
        <f>'Sch M-2.3-E pg 1-2'!$C$35</f>
        <v>-3438312</v>
      </c>
      <c r="J20" s="718">
        <f t="shared" si="0"/>
        <v>0</v>
      </c>
      <c r="K20" s="718"/>
      <c r="L20" s="718"/>
      <c r="M20" s="718"/>
      <c r="N20" s="718"/>
      <c r="O20" s="718"/>
      <c r="P20" s="718"/>
      <c r="Q20" s="718"/>
    </row>
    <row r="21" spans="1:17" ht="15" customHeight="1">
      <c r="A21" s="158"/>
      <c r="B21" s="161" t="s">
        <v>904</v>
      </c>
      <c r="C21" s="72">
        <f>'Sch M-2.2-E'!$E$29</f>
        <v>10889812</v>
      </c>
      <c r="D21" s="72">
        <f>'Sch M-2.2-E'!$H$29</f>
        <v>10897033.787999999</v>
      </c>
      <c r="E21" s="72">
        <f t="shared" si="1"/>
        <v>7221.7879999987781</v>
      </c>
      <c r="F21" s="717">
        <f t="shared" si="2"/>
        <v>6.6316920806335118E-4</v>
      </c>
      <c r="I21" s="58">
        <f>SUM('Sch M-2.3-E pg 1-2'!$C$37:$C$38)</f>
        <v>11038460</v>
      </c>
      <c r="J21" s="718">
        <f t="shared" si="0"/>
        <v>-148648</v>
      </c>
      <c r="K21" s="718" t="s">
        <v>1513</v>
      </c>
      <c r="L21" s="718"/>
      <c r="M21" s="718"/>
      <c r="N21" s="718"/>
      <c r="O21" s="718"/>
      <c r="P21" s="718"/>
      <c r="Q21" s="718"/>
    </row>
    <row r="22" spans="1:17" ht="15" customHeight="1">
      <c r="A22" s="158"/>
      <c r="B22" s="161" t="s">
        <v>1523</v>
      </c>
      <c r="C22" s="72">
        <f>SUM(C8:C21)</f>
        <v>1106459008</v>
      </c>
      <c r="D22" s="72">
        <f>SUM(D8:D21)</f>
        <v>1107134979.7880001</v>
      </c>
      <c r="E22" s="72">
        <f t="shared" ref="E22" si="4">D22-C22</f>
        <v>675971.78800010681</v>
      </c>
      <c r="F22" s="717">
        <f t="shared" ref="F22" si="5">E22/C22</f>
        <v>6.1093251816167309E-4</v>
      </c>
      <c r="H22" s="718" t="s">
        <v>1517</v>
      </c>
      <c r="I22" s="58">
        <f>SUM(I8:I21)</f>
        <v>1106586595.6037633</v>
      </c>
      <c r="J22" s="718">
        <f>SUM(J8:J21)</f>
        <v>-127587.60376340983</v>
      </c>
      <c r="K22" s="718" t="s">
        <v>1519</v>
      </c>
      <c r="L22" s="718"/>
      <c r="M22" s="718"/>
      <c r="N22" s="718"/>
      <c r="O22" s="718"/>
      <c r="P22" s="718"/>
      <c r="Q22" s="718"/>
    </row>
    <row r="23" spans="1:17" ht="15" customHeight="1">
      <c r="A23" s="158"/>
      <c r="B23" s="161" t="s">
        <v>1522</v>
      </c>
      <c r="C23" s="72"/>
      <c r="D23" s="72"/>
      <c r="E23" s="72"/>
      <c r="F23" s="678"/>
      <c r="H23" s="718" t="s">
        <v>1518</v>
      </c>
      <c r="I23" s="58">
        <f>SUM(C8:C21)</f>
        <v>1106459008</v>
      </c>
      <c r="J23" s="718">
        <f>I23-I22</f>
        <v>-127587.6037633419</v>
      </c>
      <c r="K23" s="718" t="s">
        <v>1520</v>
      </c>
      <c r="L23" s="718"/>
      <c r="M23" s="718"/>
      <c r="N23" s="718"/>
      <c r="O23" s="718"/>
      <c r="P23" s="718"/>
      <c r="Q23" s="718"/>
    </row>
    <row r="24" spans="1:17" ht="15" customHeight="1">
      <c r="A24" s="158"/>
      <c r="B24" s="247" t="s">
        <v>1475</v>
      </c>
      <c r="C24" s="72">
        <v>2474607</v>
      </c>
      <c r="D24" s="72">
        <f>C24</f>
        <v>2474607</v>
      </c>
      <c r="E24" s="72">
        <f t="shared" si="1"/>
        <v>0</v>
      </c>
      <c r="F24" s="719">
        <f t="shared" si="2"/>
        <v>0</v>
      </c>
    </row>
    <row r="25" spans="1:17" ht="15" customHeight="1">
      <c r="A25" s="158"/>
      <c r="B25" s="247" t="s">
        <v>1496</v>
      </c>
      <c r="C25" s="72">
        <v>2325202</v>
      </c>
      <c r="D25" s="72">
        <f t="shared" ref="D25:D27" si="6">C25</f>
        <v>2325202</v>
      </c>
      <c r="E25" s="72">
        <f t="shared" si="1"/>
        <v>0</v>
      </c>
      <c r="F25" s="719">
        <f t="shared" si="2"/>
        <v>0</v>
      </c>
      <c r="H25" s="161"/>
      <c r="I25" s="58" t="s">
        <v>1532</v>
      </c>
    </row>
    <row r="26" spans="1:17" ht="15" customHeight="1">
      <c r="A26" s="158"/>
      <c r="B26" s="247" t="s">
        <v>1521</v>
      </c>
      <c r="C26" s="72">
        <v>3744845</v>
      </c>
      <c r="D26" s="72">
        <f t="shared" si="6"/>
        <v>3744845</v>
      </c>
      <c r="E26" s="72">
        <f t="shared" si="1"/>
        <v>0</v>
      </c>
      <c r="F26" s="719">
        <f t="shared" si="2"/>
        <v>0</v>
      </c>
      <c r="H26" s="161"/>
    </row>
    <row r="27" spans="1:17" ht="18" customHeight="1">
      <c r="A27" s="158"/>
      <c r="B27" s="247" t="s">
        <v>1477</v>
      </c>
      <c r="C27" s="720">
        <v>6625945</v>
      </c>
      <c r="D27" s="720">
        <f t="shared" si="6"/>
        <v>6625945</v>
      </c>
      <c r="E27" s="720">
        <f t="shared" si="1"/>
        <v>0</v>
      </c>
      <c r="F27" s="719">
        <f t="shared" si="2"/>
        <v>0</v>
      </c>
    </row>
    <row r="28" spans="1:17" ht="15">
      <c r="A28" s="158"/>
      <c r="B28" s="60" t="s">
        <v>111</v>
      </c>
      <c r="C28" s="721">
        <f>SUM(C22:C27)</f>
        <v>1121629607</v>
      </c>
      <c r="D28" s="721">
        <f t="shared" ref="D28:E28" si="7">SUM(D22:D27)</f>
        <v>1122305578.7880001</v>
      </c>
      <c r="E28" s="721">
        <f t="shared" si="7"/>
        <v>675971.78800010681</v>
      </c>
      <c r="F28" s="717">
        <f t="shared" si="2"/>
        <v>6.0266935161253001E-4</v>
      </c>
    </row>
    <row r="29" spans="1:17">
      <c r="A29" s="158"/>
    </row>
    <row r="30" spans="1:17">
      <c r="B30" s="161"/>
    </row>
    <row r="31" spans="1:17">
      <c r="B31" s="161"/>
      <c r="C31" s="66"/>
      <c r="D31" s="66"/>
      <c r="E31" s="66"/>
    </row>
    <row r="32" spans="1:17">
      <c r="C32" s="66"/>
      <c r="D32" s="66"/>
      <c r="E32" s="66"/>
    </row>
    <row r="33" spans="2:9" s="57" customFormat="1">
      <c r="C33" s="66"/>
      <c r="D33" s="66"/>
      <c r="E33" s="66"/>
      <c r="I33" s="58"/>
    </row>
    <row r="34" spans="2:9" s="57" customFormat="1">
      <c r="B34" s="162"/>
      <c r="C34" s="66"/>
      <c r="D34" s="66"/>
      <c r="E34" s="66"/>
      <c r="I34" s="58"/>
    </row>
    <row r="35" spans="2:9" s="57" customFormat="1">
      <c r="E35" s="163"/>
      <c r="I35" s="58"/>
    </row>
    <row r="36" spans="2:9" s="57" customFormat="1">
      <c r="I36" s="58"/>
    </row>
    <row r="37" spans="2:9" s="57" customFormat="1">
      <c r="E37" s="163"/>
      <c r="I37" s="58"/>
    </row>
    <row r="38" spans="2:9" s="57" customFormat="1">
      <c r="I38" s="58"/>
    </row>
    <row r="39" spans="2:9" s="57" customFormat="1">
      <c r="E39" s="163"/>
      <c r="I39" s="58"/>
    </row>
    <row r="40" spans="2:9" s="57" customFormat="1">
      <c r="I40" s="58"/>
    </row>
    <row r="41" spans="2:9" s="57" customFormat="1">
      <c r="I41" s="58"/>
    </row>
    <row r="42" spans="2:9" s="57" customFormat="1">
      <c r="I42" s="58"/>
    </row>
    <row r="43" spans="2:9" s="57" customFormat="1">
      <c r="I43" s="58"/>
    </row>
    <row r="45" spans="2:9" s="57" customFormat="1">
      <c r="I45" s="58"/>
    </row>
    <row r="47" spans="2:9" s="57" customFormat="1">
      <c r="I47" s="58"/>
    </row>
  </sheetData>
  <printOptions horizontalCentered="1"/>
  <pageMargins left="0.75" right="0.57999999999999996" top="1.66" bottom="0.41" header="0.68" footer="0.32"/>
  <pageSetup scale="98" orientation="landscape" r:id="rId1"/>
  <headerFooter scaleWithDoc="0" alignWithMargins="0">
    <oddHeader>&amp;C&amp;"Calibri,Bold"&amp;12LOUISVILLE GAS AND ELECTRIC COMPANY&amp;8
&amp;11Case No. 2014-00372&amp;8
&amp;9Forecast Period Revenues At Current and Proposed  Rates
for the Twelve Months Ended June 30, 2016
Electric Operations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25"/>
  <sheetViews>
    <sheetView workbookViewId="0"/>
  </sheetViews>
  <sheetFormatPr defaultColWidth="9.33203125" defaultRowHeight="12"/>
  <cols>
    <col min="1" max="2" width="11.83203125" style="10" customWidth="1"/>
    <col min="3" max="3" width="13.5" style="10" customWidth="1"/>
    <col min="4" max="4" width="15.33203125" style="10" bestFit="1" customWidth="1"/>
    <col min="5" max="5" width="12.6640625" style="10" bestFit="1" customWidth="1"/>
    <col min="6" max="6" width="11.6640625" style="10" bestFit="1" customWidth="1"/>
    <col min="7" max="7" width="15.83203125" style="10" bestFit="1" customWidth="1"/>
    <col min="8" max="8" width="9.33203125" style="10"/>
    <col min="9" max="9" width="11.5" style="10" bestFit="1" customWidth="1"/>
    <col min="10" max="10" width="10.5" style="10" bestFit="1" customWidth="1"/>
    <col min="11" max="11" width="13" style="10" bestFit="1" customWidth="1"/>
    <col min="12" max="12" width="15" style="10" bestFit="1" customWidth="1"/>
    <col min="13" max="13" width="10.5" style="10" bestFit="1" customWidth="1"/>
    <col min="14" max="14" width="12" style="10" bestFit="1" customWidth="1"/>
    <col min="15" max="15" width="12.5" style="10" bestFit="1" customWidth="1"/>
    <col min="16" max="16384" width="9.33203125" style="10"/>
  </cols>
  <sheetData>
    <row r="1" spans="1:15" ht="12.75" thickBot="1">
      <c r="A1" s="2" t="s">
        <v>0</v>
      </c>
      <c r="B1" s="2"/>
      <c r="C1" s="2" t="s">
        <v>121</v>
      </c>
      <c r="D1" s="2" t="s">
        <v>122</v>
      </c>
      <c r="E1" s="2" t="s">
        <v>123</v>
      </c>
      <c r="F1" s="2" t="s">
        <v>124</v>
      </c>
      <c r="G1" s="2"/>
      <c r="H1" s="8" t="s">
        <v>125</v>
      </c>
      <c r="I1" s="9"/>
    </row>
    <row r="2" spans="1:15" ht="13.5" thickBot="1">
      <c r="A2" s="2"/>
      <c r="B2" s="2"/>
      <c r="C2" s="78"/>
      <c r="D2" s="7"/>
      <c r="E2" s="18"/>
      <c r="F2" s="7"/>
      <c r="G2" s="18"/>
      <c r="H2" s="42" t="s">
        <v>1115</v>
      </c>
      <c r="I2" s="41" t="s">
        <v>1114</v>
      </c>
      <c r="J2" s="41" t="s">
        <v>1112</v>
      </c>
      <c r="K2" s="41" t="s">
        <v>1113</v>
      </c>
      <c r="N2" s="42"/>
      <c r="O2" s="42"/>
    </row>
    <row r="3" spans="1:15" ht="12.75" thickBot="1">
      <c r="A3" s="1" t="s">
        <v>1271</v>
      </c>
      <c r="B3" s="1" t="s">
        <v>459</v>
      </c>
      <c r="C3" s="2" t="s">
        <v>126</v>
      </c>
      <c r="D3" s="4"/>
      <c r="E3" s="4"/>
      <c r="F3" s="3">
        <v>1675</v>
      </c>
      <c r="G3" s="11"/>
      <c r="H3" s="12">
        <f>SUMIF(PoleRates!$E$4:$E$131,"20140101"&amp;C3,PoleRates!$F$4:$F$131)</f>
        <v>2.06</v>
      </c>
      <c r="I3" s="13"/>
      <c r="J3" s="14">
        <v>1675</v>
      </c>
      <c r="K3" s="13">
        <f>H3*J3</f>
        <v>3450.5</v>
      </c>
      <c r="M3" s="10" t="s">
        <v>1305</v>
      </c>
      <c r="N3" s="43"/>
      <c r="O3" s="43"/>
    </row>
    <row r="4" spans="1:15" ht="12.75" thickBot="1">
      <c r="A4" s="1" t="s">
        <v>1271</v>
      </c>
      <c r="B4" s="1" t="s">
        <v>1197</v>
      </c>
      <c r="C4" s="2" t="s">
        <v>126</v>
      </c>
      <c r="D4" s="6"/>
      <c r="E4" s="6"/>
      <c r="F4" s="5">
        <v>5267</v>
      </c>
      <c r="G4" s="15"/>
      <c r="H4" s="12">
        <f>SUMIF(PoleRates!$E$4:$E$131,"20140101"&amp;C4,PoleRates!$F$4:$F$131)</f>
        <v>2.06</v>
      </c>
      <c r="I4" s="13"/>
      <c r="J4" s="14">
        <v>5267</v>
      </c>
      <c r="K4" s="13">
        <f t="shared" ref="K4:K51" si="0">H4*J4</f>
        <v>10850.02</v>
      </c>
      <c r="N4" s="43"/>
      <c r="O4" s="43"/>
    </row>
    <row r="5" spans="1:15" ht="12.75" thickBot="1">
      <c r="A5" s="1" t="s">
        <v>1271</v>
      </c>
      <c r="B5" s="1" t="s">
        <v>459</v>
      </c>
      <c r="C5" s="2" t="s">
        <v>127</v>
      </c>
      <c r="D5" s="4"/>
      <c r="E5" s="4"/>
      <c r="F5" s="3">
        <v>157</v>
      </c>
      <c r="G5" s="11"/>
      <c r="H5" s="12">
        <f>SUMIF(PoleRates!$E$4:$E$131,"20140101"&amp;C5,PoleRates!$F$4:$F$131)</f>
        <v>10.81</v>
      </c>
      <c r="I5" s="13"/>
      <c r="J5" s="14">
        <v>157</v>
      </c>
      <c r="K5" s="13">
        <f t="shared" si="0"/>
        <v>1697.17</v>
      </c>
      <c r="N5" s="43"/>
      <c r="O5" s="43"/>
    </row>
    <row r="6" spans="1:15" ht="12.75" thickBot="1">
      <c r="A6" s="1" t="s">
        <v>1271</v>
      </c>
      <c r="B6" s="1" t="s">
        <v>1197</v>
      </c>
      <c r="C6" s="2" t="s">
        <v>127</v>
      </c>
      <c r="D6" s="5"/>
      <c r="E6" s="15"/>
      <c r="F6" s="6" t="s">
        <v>1240</v>
      </c>
      <c r="G6" s="6"/>
      <c r="H6" s="12">
        <f>SUMIF(PoleRates!$E$4:$E$131,"20140101"&amp;C6,PoleRates!$F$4:$F$131)</f>
        <v>10.81</v>
      </c>
      <c r="I6" s="13"/>
      <c r="J6" s="14">
        <v>0</v>
      </c>
      <c r="K6" s="13">
        <f t="shared" si="0"/>
        <v>0</v>
      </c>
      <c r="N6" s="43"/>
      <c r="O6" s="43"/>
    </row>
    <row r="7" spans="1:15" ht="12.75" thickBot="1">
      <c r="A7" s="1" t="s">
        <v>1271</v>
      </c>
      <c r="B7" s="1" t="s">
        <v>459</v>
      </c>
      <c r="C7" s="2" t="s">
        <v>128</v>
      </c>
      <c r="D7" s="3"/>
      <c r="E7" s="11"/>
      <c r="F7" s="4" t="s">
        <v>786</v>
      </c>
      <c r="G7" s="4"/>
      <c r="H7" s="12">
        <f>SUMIF(PoleRates!$E$4:$E$131,"20140101"&amp;C7,PoleRates!$F$4:$F$131)</f>
        <v>12.9</v>
      </c>
      <c r="I7" s="13"/>
      <c r="J7" s="14">
        <v>277</v>
      </c>
      <c r="K7" s="13">
        <f t="shared" si="0"/>
        <v>3573.3</v>
      </c>
      <c r="N7" s="43"/>
      <c r="O7" s="43"/>
    </row>
    <row r="8" spans="1:15" ht="12.75" thickBot="1">
      <c r="A8" s="1" t="s">
        <v>1271</v>
      </c>
      <c r="B8" s="1" t="s">
        <v>1197</v>
      </c>
      <c r="C8" s="2" t="s">
        <v>128</v>
      </c>
      <c r="D8" s="5"/>
      <c r="E8" s="15"/>
      <c r="F8" s="6" t="s">
        <v>1241</v>
      </c>
      <c r="G8" s="6"/>
      <c r="H8" s="12">
        <f>SUMIF(PoleRates!$E$4:$E$131,"20140101"&amp;C8,PoleRates!$F$4:$F$131)</f>
        <v>12.9</v>
      </c>
      <c r="I8" s="13"/>
      <c r="J8" s="14">
        <v>3</v>
      </c>
      <c r="K8" s="13">
        <f t="shared" si="0"/>
        <v>38.700000000000003</v>
      </c>
      <c r="N8" s="43"/>
      <c r="O8" s="43"/>
    </row>
    <row r="9" spans="1:15" ht="12.75" thickBot="1">
      <c r="A9" s="1" t="s">
        <v>1271</v>
      </c>
      <c r="B9" s="1" t="s">
        <v>459</v>
      </c>
      <c r="C9" s="1" t="s">
        <v>129</v>
      </c>
      <c r="D9" s="3">
        <v>32</v>
      </c>
      <c r="E9" s="11"/>
      <c r="F9" s="4"/>
      <c r="G9" s="4"/>
      <c r="H9" s="12">
        <f>SUMIF(PoleRates!$E$4:$E$131,"20140101"&amp;C9,PoleRates!$F$4:$F$131)</f>
        <v>3.47</v>
      </c>
      <c r="I9" s="13"/>
      <c r="J9" s="14">
        <v>32</v>
      </c>
      <c r="K9" s="13">
        <f t="shared" si="0"/>
        <v>111.04</v>
      </c>
      <c r="N9" s="43"/>
      <c r="O9" s="43"/>
    </row>
    <row r="10" spans="1:15" ht="12.75" thickBot="1">
      <c r="A10" s="1" t="s">
        <v>1271</v>
      </c>
      <c r="B10" s="1" t="s">
        <v>1197</v>
      </c>
      <c r="C10" s="1" t="s">
        <v>129</v>
      </c>
      <c r="D10" s="5">
        <v>10</v>
      </c>
      <c r="E10" s="15"/>
      <c r="F10" s="6"/>
      <c r="G10" s="6"/>
      <c r="H10" s="12">
        <f>SUMIF(PoleRates!$E$4:$E$131,"20140101"&amp;C10,PoleRates!$F$4:$F$131)</f>
        <v>3.47</v>
      </c>
      <c r="I10" s="13"/>
      <c r="J10" s="14">
        <v>10</v>
      </c>
      <c r="K10" s="13">
        <f t="shared" si="0"/>
        <v>34.700000000000003</v>
      </c>
      <c r="N10" s="43"/>
      <c r="O10" s="43"/>
    </row>
    <row r="11" spans="1:15" ht="12.75" thickBot="1">
      <c r="A11" s="1" t="s">
        <v>1271</v>
      </c>
      <c r="B11" s="1" t="s">
        <v>459</v>
      </c>
      <c r="C11" s="2" t="s">
        <v>130</v>
      </c>
      <c r="D11" s="3">
        <v>175</v>
      </c>
      <c r="E11" s="11"/>
      <c r="F11" s="4"/>
      <c r="G11" s="4"/>
      <c r="H11" s="12">
        <f>SUMIF(PoleRates!$E$4:$E$131,"20140101"&amp;C11,PoleRates!$F$4:$F$131)</f>
        <v>3.73</v>
      </c>
      <c r="I11" s="13"/>
      <c r="J11" s="14">
        <v>175</v>
      </c>
      <c r="K11" s="13">
        <f t="shared" si="0"/>
        <v>652.75</v>
      </c>
      <c r="N11" s="43"/>
      <c r="O11" s="43"/>
    </row>
    <row r="12" spans="1:15" ht="12.75" thickBot="1">
      <c r="A12" s="1" t="s">
        <v>1271</v>
      </c>
      <c r="B12" s="1" t="s">
        <v>1197</v>
      </c>
      <c r="C12" s="2" t="s">
        <v>130</v>
      </c>
      <c r="D12" s="5">
        <v>3</v>
      </c>
      <c r="E12" s="15"/>
      <c r="F12" s="6"/>
      <c r="G12" s="6"/>
      <c r="H12" s="12">
        <f>SUMIF(PoleRates!$E$4:$E$131,"20140101"&amp;C12,PoleRates!$F$4:$F$131)</f>
        <v>3.73</v>
      </c>
      <c r="I12" s="13"/>
      <c r="J12" s="14">
        <v>3</v>
      </c>
      <c r="K12" s="13">
        <f t="shared" si="0"/>
        <v>11.19</v>
      </c>
      <c r="N12" s="43"/>
      <c r="O12" s="43"/>
    </row>
    <row r="13" spans="1:15" ht="12.75" thickBot="1">
      <c r="A13" s="1" t="s">
        <v>1271</v>
      </c>
      <c r="B13" s="1" t="s">
        <v>459</v>
      </c>
      <c r="C13" s="1" t="s">
        <v>134</v>
      </c>
      <c r="D13" s="4">
        <v>179</v>
      </c>
      <c r="E13" s="4"/>
      <c r="F13" s="3"/>
      <c r="G13" s="11"/>
      <c r="H13" s="12">
        <f>SUMIF(PoleRates!$E$4:$E$131,"20140101"&amp;C13,PoleRates!$F$4:$F$131)</f>
        <v>3.56</v>
      </c>
      <c r="I13" s="13"/>
      <c r="J13" s="14">
        <v>179</v>
      </c>
      <c r="K13" s="13">
        <f t="shared" si="0"/>
        <v>637.24</v>
      </c>
      <c r="N13" s="43"/>
      <c r="O13" s="43"/>
    </row>
    <row r="14" spans="1:15" ht="12.75" thickBot="1">
      <c r="A14" s="1" t="s">
        <v>1271</v>
      </c>
      <c r="B14" s="1" t="s">
        <v>1197</v>
      </c>
      <c r="C14" s="1" t="s">
        <v>134</v>
      </c>
      <c r="D14" s="4">
        <v>56</v>
      </c>
      <c r="E14" s="4"/>
      <c r="F14" s="3"/>
      <c r="G14" s="11"/>
      <c r="H14" s="12">
        <f>SUMIF(PoleRates!$E$4:$E$131,"20140101"&amp;C14,PoleRates!$F$4:$F$131)</f>
        <v>3.56</v>
      </c>
      <c r="I14" s="13"/>
      <c r="J14" s="14">
        <v>56</v>
      </c>
      <c r="K14" s="13">
        <f t="shared" si="0"/>
        <v>199.36</v>
      </c>
      <c r="N14" s="43"/>
      <c r="O14" s="43"/>
    </row>
    <row r="15" spans="1:15" ht="12.75" thickBot="1">
      <c r="A15" s="1" t="s">
        <v>1271</v>
      </c>
      <c r="B15" s="1" t="s">
        <v>459</v>
      </c>
      <c r="C15" s="1" t="s">
        <v>134</v>
      </c>
      <c r="D15" s="6">
        <v>53</v>
      </c>
      <c r="E15" s="6"/>
      <c r="F15" s="5"/>
      <c r="G15" s="15"/>
      <c r="H15" s="12">
        <f>SUMIF(PoleRates!$E$4:$E$131,"20140101"&amp;C15,PoleRates!$F$4:$F$131)</f>
        <v>3.56</v>
      </c>
      <c r="I15" s="13"/>
      <c r="J15" s="14">
        <v>53</v>
      </c>
      <c r="K15" s="13">
        <f t="shared" si="0"/>
        <v>188.68</v>
      </c>
      <c r="N15" s="43"/>
      <c r="O15" s="43"/>
    </row>
    <row r="16" spans="1:15" ht="12.75" thickBot="1">
      <c r="A16" s="1" t="s">
        <v>1271</v>
      </c>
      <c r="B16" s="1" t="s">
        <v>1197</v>
      </c>
      <c r="C16" s="1" t="s">
        <v>134</v>
      </c>
      <c r="D16" s="4">
        <v>112</v>
      </c>
      <c r="E16" s="4"/>
      <c r="F16" s="3"/>
      <c r="G16" s="11"/>
      <c r="H16" s="12">
        <f>SUMIF(PoleRates!$E$4:$E$131,"20140101"&amp;C16,PoleRates!$F$4:$F$131)</f>
        <v>3.56</v>
      </c>
      <c r="I16" s="13"/>
      <c r="J16" s="14">
        <v>112</v>
      </c>
      <c r="K16" s="13">
        <f t="shared" si="0"/>
        <v>398.72</v>
      </c>
      <c r="N16" s="43"/>
      <c r="O16" s="43"/>
    </row>
    <row r="17" spans="1:15" ht="12.75" thickBot="1">
      <c r="A17" s="1" t="s">
        <v>1271</v>
      </c>
      <c r="B17" s="1" t="s">
        <v>459</v>
      </c>
      <c r="C17" s="1" t="s">
        <v>129</v>
      </c>
      <c r="D17" s="5">
        <v>45</v>
      </c>
      <c r="E17" s="15"/>
      <c r="F17" s="6"/>
      <c r="G17" s="6"/>
      <c r="H17" s="12">
        <f>SUMIF(PoleRates!$E$4:$E$131,"20140101"&amp;C17,PoleRates!$F$4:$F$131)</f>
        <v>3.47</v>
      </c>
      <c r="I17" s="13"/>
      <c r="J17" s="14">
        <v>45</v>
      </c>
      <c r="K17" s="13">
        <f t="shared" si="0"/>
        <v>156.15</v>
      </c>
      <c r="N17" s="43"/>
      <c r="O17" s="43"/>
    </row>
    <row r="18" spans="1:15" ht="12.75" thickBot="1">
      <c r="A18" s="1" t="s">
        <v>1271</v>
      </c>
      <c r="B18" s="1" t="s">
        <v>1197</v>
      </c>
      <c r="C18" s="1" t="s">
        <v>129</v>
      </c>
      <c r="D18" s="3">
        <v>3</v>
      </c>
      <c r="E18" s="11"/>
      <c r="F18" s="4"/>
      <c r="G18" s="4"/>
      <c r="H18" s="12">
        <f>SUMIF(PoleRates!$E$4:$E$131,"20140101"&amp;C18,PoleRates!$F$4:$F$131)</f>
        <v>3.47</v>
      </c>
      <c r="I18" s="13"/>
      <c r="J18" s="14">
        <v>3</v>
      </c>
      <c r="K18" s="13">
        <f t="shared" si="0"/>
        <v>10.41</v>
      </c>
      <c r="N18" s="43"/>
      <c r="O18" s="43"/>
    </row>
    <row r="19" spans="1:15" ht="12.75" thickBot="1">
      <c r="A19" s="1" t="s">
        <v>1271</v>
      </c>
      <c r="B19" s="1" t="s">
        <v>459</v>
      </c>
      <c r="C19" s="1" t="s">
        <v>130</v>
      </c>
      <c r="D19" s="5">
        <v>20</v>
      </c>
      <c r="E19" s="15"/>
      <c r="F19" s="6"/>
      <c r="G19" s="6"/>
      <c r="H19" s="12">
        <f>SUMIF(PoleRates!$E$4:$E$131,"20140101"&amp;C19,PoleRates!$F$4:$F$131)</f>
        <v>3.73</v>
      </c>
      <c r="I19" s="13"/>
      <c r="J19" s="14">
        <v>20</v>
      </c>
      <c r="K19" s="13">
        <f t="shared" si="0"/>
        <v>74.599999999999994</v>
      </c>
      <c r="N19" s="43"/>
      <c r="O19" s="43"/>
    </row>
    <row r="20" spans="1:15" ht="12.75" thickBot="1">
      <c r="A20" s="1" t="s">
        <v>1271</v>
      </c>
      <c r="B20" s="1" t="s">
        <v>1197</v>
      </c>
      <c r="C20" s="1" t="s">
        <v>130</v>
      </c>
      <c r="D20" s="3">
        <v>66</v>
      </c>
      <c r="E20" s="11"/>
      <c r="F20" s="4"/>
      <c r="G20" s="4"/>
      <c r="H20" s="12">
        <f>SUMIF(PoleRates!$E$4:$E$131,"20140101"&amp;C20,PoleRates!$F$4:$F$131)</f>
        <v>3.73</v>
      </c>
      <c r="I20" s="13"/>
      <c r="J20" s="14">
        <v>66</v>
      </c>
      <c r="K20" s="13">
        <f t="shared" si="0"/>
        <v>246.18</v>
      </c>
      <c r="N20" s="43"/>
      <c r="O20" s="43"/>
    </row>
    <row r="21" spans="1:15" ht="12.75" thickBot="1">
      <c r="A21" s="1" t="s">
        <v>1271</v>
      </c>
      <c r="B21" s="1" t="s">
        <v>459</v>
      </c>
      <c r="C21" s="2" t="s">
        <v>134</v>
      </c>
      <c r="D21" s="5">
        <v>1</v>
      </c>
      <c r="E21" s="15"/>
      <c r="F21" s="6"/>
      <c r="G21" s="6"/>
      <c r="H21" s="12">
        <f>SUMIF(PoleRates!$E$4:$E$131,"20140101"&amp;C21,PoleRates!$F$4:$F$131)</f>
        <v>3.56</v>
      </c>
      <c r="I21" s="13"/>
      <c r="J21" s="14">
        <v>1</v>
      </c>
      <c r="K21" s="13">
        <f t="shared" si="0"/>
        <v>3.56</v>
      </c>
      <c r="N21" s="43"/>
      <c r="O21" s="43"/>
    </row>
    <row r="22" spans="1:15" ht="12.75" thickBot="1">
      <c r="A22" s="1" t="s">
        <v>1271</v>
      </c>
      <c r="B22" s="1" t="s">
        <v>1197</v>
      </c>
      <c r="C22" s="2" t="s">
        <v>134</v>
      </c>
      <c r="D22" s="3">
        <v>79</v>
      </c>
      <c r="E22" s="11"/>
      <c r="F22" s="4"/>
      <c r="G22" s="4"/>
      <c r="H22" s="12">
        <f>SUMIF(PoleRates!$E$4:$E$131,"20140101"&amp;C22,PoleRates!$F$4:$F$131)</f>
        <v>3.56</v>
      </c>
      <c r="I22" s="13"/>
      <c r="J22" s="14">
        <v>79</v>
      </c>
      <c r="K22" s="13">
        <f t="shared" si="0"/>
        <v>281.24</v>
      </c>
      <c r="N22" s="43"/>
      <c r="O22" s="43"/>
    </row>
    <row r="23" spans="1:15" ht="12.75" thickBot="1">
      <c r="A23" s="1" t="s">
        <v>1271</v>
      </c>
      <c r="B23" s="1" t="s">
        <v>459</v>
      </c>
      <c r="C23" s="1" t="s">
        <v>134</v>
      </c>
      <c r="D23" s="5">
        <v>6</v>
      </c>
      <c r="E23" s="15"/>
      <c r="F23" s="6"/>
      <c r="G23" s="6"/>
      <c r="H23" s="12">
        <f>SUMIF(PoleRates!$E$4:$E$131,"20140101"&amp;C23,PoleRates!$F$4:$F$131)</f>
        <v>3.56</v>
      </c>
      <c r="I23" s="13"/>
      <c r="J23" s="14">
        <v>6</v>
      </c>
      <c r="K23" s="13">
        <f t="shared" si="0"/>
        <v>21.36</v>
      </c>
      <c r="N23" s="43"/>
      <c r="O23" s="43"/>
    </row>
    <row r="24" spans="1:15" ht="12.75" thickBot="1">
      <c r="A24" s="1" t="s">
        <v>1271</v>
      </c>
      <c r="B24" s="1" t="s">
        <v>1197</v>
      </c>
      <c r="C24" s="1" t="s">
        <v>134</v>
      </c>
      <c r="D24" s="3">
        <v>60</v>
      </c>
      <c r="E24" s="11"/>
      <c r="F24" s="4"/>
      <c r="G24" s="4"/>
      <c r="H24" s="12">
        <f>SUMIF(PoleRates!$E$4:$E$131,"20140101"&amp;C24,PoleRates!$F$4:$F$131)</f>
        <v>3.56</v>
      </c>
      <c r="I24" s="13"/>
      <c r="J24" s="14">
        <v>60</v>
      </c>
      <c r="K24" s="13">
        <f t="shared" si="0"/>
        <v>213.6</v>
      </c>
      <c r="N24" s="43"/>
      <c r="O24" s="43"/>
    </row>
    <row r="25" spans="1:15" ht="12.75" thickBot="1">
      <c r="A25" s="1" t="s">
        <v>1271</v>
      </c>
      <c r="B25" s="1" t="s">
        <v>459</v>
      </c>
      <c r="C25" s="2" t="s">
        <v>136</v>
      </c>
      <c r="D25" s="5"/>
      <c r="E25" s="15"/>
      <c r="F25" s="6" t="s">
        <v>1242</v>
      </c>
      <c r="G25" s="6"/>
      <c r="H25" s="12">
        <f>SUMIF(PoleRates!$E$4:$E$131,"20140101"&amp;C25,PoleRates!$F$4:$F$131)</f>
        <v>11.31</v>
      </c>
      <c r="I25" s="13"/>
      <c r="J25" s="14">
        <v>37</v>
      </c>
      <c r="K25" s="13">
        <f t="shared" si="0"/>
        <v>418.47</v>
      </c>
      <c r="N25" s="43"/>
      <c r="O25" s="43"/>
    </row>
    <row r="26" spans="1:15" ht="12.75" thickBot="1">
      <c r="A26" s="1" t="s">
        <v>1271</v>
      </c>
      <c r="B26" s="1" t="s">
        <v>1197</v>
      </c>
      <c r="C26" s="2" t="s">
        <v>136</v>
      </c>
      <c r="D26" s="4"/>
      <c r="E26" s="4"/>
      <c r="F26" s="3">
        <v>425</v>
      </c>
      <c r="G26" s="11"/>
      <c r="H26" s="12">
        <f>SUMIF(PoleRates!$E$4:$E$131,"20140101"&amp;C26,PoleRates!$F$4:$F$131)</f>
        <v>11.31</v>
      </c>
      <c r="I26" s="13"/>
      <c r="J26" s="14">
        <v>425</v>
      </c>
      <c r="K26" s="13">
        <f t="shared" si="0"/>
        <v>4806.75</v>
      </c>
      <c r="N26" s="43"/>
      <c r="O26" s="43"/>
    </row>
    <row r="27" spans="1:15" ht="12.75" thickBot="1">
      <c r="A27" s="1" t="s">
        <v>1271</v>
      </c>
      <c r="B27" s="1"/>
      <c r="C27" s="17" t="s">
        <v>7</v>
      </c>
      <c r="D27" s="78"/>
      <c r="E27" s="7"/>
      <c r="F27" s="18"/>
      <c r="G27" s="7"/>
      <c r="H27" s="83"/>
      <c r="I27" s="84">
        <f>SUM(I3:I26)</f>
        <v>0</v>
      </c>
      <c r="J27" s="85">
        <f t="shared" ref="J27:K27" si="1">SUM(J3:J26)</f>
        <v>8741</v>
      </c>
      <c r="K27" s="84">
        <f t="shared" si="1"/>
        <v>28075.69000000001</v>
      </c>
    </row>
    <row r="28" spans="1:15" ht="12.75" thickBot="1">
      <c r="A28" s="1" t="s">
        <v>1272</v>
      </c>
      <c r="B28" s="1" t="s">
        <v>459</v>
      </c>
      <c r="C28" s="2" t="s">
        <v>126</v>
      </c>
      <c r="D28" s="4"/>
      <c r="E28" s="4"/>
      <c r="F28" s="3">
        <v>1660</v>
      </c>
      <c r="G28" s="11"/>
      <c r="H28" s="12">
        <f>SUMIF(PoleRates!$E$4:$E$131,"20140101"&amp;C28,PoleRates!$F$4:$F$131)</f>
        <v>2.06</v>
      </c>
      <c r="I28" s="13"/>
      <c r="J28" s="14">
        <v>1660</v>
      </c>
      <c r="K28" s="13">
        <f t="shared" si="0"/>
        <v>3419.6</v>
      </c>
      <c r="L28" s="86"/>
      <c r="M28" s="10" t="s">
        <v>1312</v>
      </c>
      <c r="N28" s="43"/>
      <c r="O28" s="43"/>
    </row>
    <row r="29" spans="1:15" ht="12.75" thickBot="1">
      <c r="A29" s="1" t="s">
        <v>1272</v>
      </c>
      <c r="B29" s="1" t="s">
        <v>1197</v>
      </c>
      <c r="C29" s="2" t="s">
        <v>126</v>
      </c>
      <c r="D29" s="6"/>
      <c r="E29" s="6"/>
      <c r="F29" s="5">
        <v>5182</v>
      </c>
      <c r="G29" s="15"/>
      <c r="H29" s="12">
        <f>SUMIF(PoleRates!$E$4:$E$131,"20140101"&amp;C29,PoleRates!$F$4:$F$131)</f>
        <v>2.06</v>
      </c>
      <c r="I29" s="13"/>
      <c r="J29" s="14">
        <v>5183</v>
      </c>
      <c r="K29" s="13">
        <f t="shared" si="0"/>
        <v>10676.98</v>
      </c>
      <c r="L29" s="86"/>
      <c r="N29" s="43"/>
      <c r="O29" s="43"/>
    </row>
    <row r="30" spans="1:15" ht="12.75" thickBot="1">
      <c r="A30" s="1" t="s">
        <v>1272</v>
      </c>
      <c r="B30" s="1" t="s">
        <v>459</v>
      </c>
      <c r="C30" s="2" t="s">
        <v>127</v>
      </c>
      <c r="D30" s="4"/>
      <c r="E30" s="4"/>
      <c r="F30" s="3">
        <v>157</v>
      </c>
      <c r="G30" s="11"/>
      <c r="H30" s="12">
        <f>SUMIF(PoleRates!$E$4:$E$131,"20140101"&amp;C30,PoleRates!$F$4:$F$131)</f>
        <v>10.81</v>
      </c>
      <c r="I30" s="13"/>
      <c r="J30" s="14">
        <v>157</v>
      </c>
      <c r="K30" s="13">
        <f t="shared" si="0"/>
        <v>1697.17</v>
      </c>
      <c r="L30" s="86"/>
      <c r="N30" s="43"/>
      <c r="O30" s="43"/>
    </row>
    <row r="31" spans="1:15" ht="12.75" thickBot="1">
      <c r="A31" s="1" t="s">
        <v>1272</v>
      </c>
      <c r="B31" s="1" t="s">
        <v>1197</v>
      </c>
      <c r="C31" s="2" t="s">
        <v>127</v>
      </c>
      <c r="D31" s="5"/>
      <c r="E31" s="15"/>
      <c r="F31" s="6">
        <v>0</v>
      </c>
      <c r="G31" s="6"/>
      <c r="H31" s="12">
        <f>SUMIF(PoleRates!$E$4:$E$131,"20140101"&amp;C31,PoleRates!$F$4:$F$131)</f>
        <v>10.81</v>
      </c>
      <c r="I31" s="13"/>
      <c r="J31" s="14">
        <v>0</v>
      </c>
      <c r="K31" s="13">
        <f t="shared" si="0"/>
        <v>0</v>
      </c>
      <c r="L31" s="86"/>
      <c r="N31" s="43"/>
      <c r="O31" s="43"/>
    </row>
    <row r="32" spans="1:15" ht="12.75" thickBot="1">
      <c r="A32" s="1" t="s">
        <v>1272</v>
      </c>
      <c r="B32" s="1" t="s">
        <v>459</v>
      </c>
      <c r="C32" s="2" t="s">
        <v>128</v>
      </c>
      <c r="D32" s="3"/>
      <c r="E32" s="11"/>
      <c r="F32" s="4" t="s">
        <v>786</v>
      </c>
      <c r="G32" s="4"/>
      <c r="H32" s="12">
        <f>SUMIF(PoleRates!$E$4:$E$131,"20140101"&amp;C32,PoleRates!$F$4:$F$131)</f>
        <v>12.9</v>
      </c>
      <c r="I32" s="13"/>
      <c r="J32" s="14">
        <v>277</v>
      </c>
      <c r="K32" s="13">
        <f t="shared" si="0"/>
        <v>3573.3</v>
      </c>
      <c r="L32" s="86"/>
      <c r="N32" s="43"/>
      <c r="O32" s="43"/>
    </row>
    <row r="33" spans="1:15" ht="12.75" thickBot="1">
      <c r="A33" s="1" t="s">
        <v>1272</v>
      </c>
      <c r="B33" s="1" t="s">
        <v>1197</v>
      </c>
      <c r="C33" s="2" t="s">
        <v>128</v>
      </c>
      <c r="D33" s="5"/>
      <c r="E33" s="15"/>
      <c r="F33" s="6" t="s">
        <v>1241</v>
      </c>
      <c r="G33" s="6"/>
      <c r="H33" s="12">
        <f>SUMIF(PoleRates!$E$4:$E$131,"20140101"&amp;C33,PoleRates!$F$4:$F$131)</f>
        <v>12.9</v>
      </c>
      <c r="I33" s="13"/>
      <c r="J33" s="14">
        <v>3</v>
      </c>
      <c r="K33" s="13">
        <f t="shared" si="0"/>
        <v>38.700000000000003</v>
      </c>
      <c r="L33" s="86"/>
      <c r="N33" s="43"/>
      <c r="O33" s="43"/>
    </row>
    <row r="34" spans="1:15" ht="12.75" thickBot="1">
      <c r="A34" s="1" t="s">
        <v>1272</v>
      </c>
      <c r="B34" s="1" t="s">
        <v>459</v>
      </c>
      <c r="C34" s="1" t="s">
        <v>129</v>
      </c>
      <c r="D34" s="3">
        <v>32</v>
      </c>
      <c r="E34" s="11"/>
      <c r="F34" s="4"/>
      <c r="G34" s="4"/>
      <c r="H34" s="12">
        <f>SUMIF(PoleRates!$E$4:$E$131,"20140101"&amp;C34,PoleRates!$F$4:$F$131)</f>
        <v>3.47</v>
      </c>
      <c r="I34" s="13"/>
      <c r="J34" s="14">
        <v>32</v>
      </c>
      <c r="K34" s="13">
        <f t="shared" si="0"/>
        <v>111.04</v>
      </c>
      <c r="L34" s="86"/>
      <c r="N34" s="43"/>
      <c r="O34" s="43"/>
    </row>
    <row r="35" spans="1:15" ht="12.75" thickBot="1">
      <c r="A35" s="1" t="s">
        <v>1272</v>
      </c>
      <c r="B35" s="1" t="s">
        <v>1197</v>
      </c>
      <c r="C35" s="1" t="s">
        <v>129</v>
      </c>
      <c r="D35" s="5">
        <v>10</v>
      </c>
      <c r="E35" s="15"/>
      <c r="F35" s="6"/>
      <c r="G35" s="6"/>
      <c r="H35" s="12">
        <f>SUMIF(PoleRates!$E$4:$E$131,"20140101"&amp;C35,PoleRates!$F$4:$F$131)</f>
        <v>3.47</v>
      </c>
      <c r="I35" s="13"/>
      <c r="J35" s="14">
        <v>10</v>
      </c>
      <c r="K35" s="13">
        <f t="shared" si="0"/>
        <v>34.700000000000003</v>
      </c>
      <c r="L35" s="86"/>
      <c r="N35" s="43"/>
      <c r="O35" s="43"/>
    </row>
    <row r="36" spans="1:15" ht="12.75" thickBot="1">
      <c r="A36" s="1" t="s">
        <v>1272</v>
      </c>
      <c r="B36" s="1" t="s">
        <v>459</v>
      </c>
      <c r="C36" s="2" t="s">
        <v>130</v>
      </c>
      <c r="D36" s="3">
        <v>175</v>
      </c>
      <c r="E36" s="11"/>
      <c r="F36" s="4"/>
      <c r="G36" s="4"/>
      <c r="H36" s="12">
        <f>SUMIF(PoleRates!$E$4:$E$131,"20140101"&amp;C36,PoleRates!$F$4:$F$131)</f>
        <v>3.73</v>
      </c>
      <c r="I36" s="13"/>
      <c r="J36" s="14">
        <v>175</v>
      </c>
      <c r="K36" s="13">
        <f t="shared" si="0"/>
        <v>652.75</v>
      </c>
      <c r="L36" s="86"/>
      <c r="N36" s="43"/>
      <c r="O36" s="43"/>
    </row>
    <row r="37" spans="1:15" ht="12.75" thickBot="1">
      <c r="A37" s="1" t="s">
        <v>1272</v>
      </c>
      <c r="B37" s="1" t="s">
        <v>1197</v>
      </c>
      <c r="C37" s="2" t="s">
        <v>130</v>
      </c>
      <c r="D37" s="5">
        <v>3</v>
      </c>
      <c r="E37" s="15"/>
      <c r="F37" s="6"/>
      <c r="G37" s="6"/>
      <c r="H37" s="12">
        <f>SUMIF(PoleRates!$E$4:$E$131,"20140101"&amp;C37,PoleRates!$F$4:$F$131)</f>
        <v>3.73</v>
      </c>
      <c r="I37" s="13"/>
      <c r="J37" s="14">
        <v>3</v>
      </c>
      <c r="K37" s="13">
        <f t="shared" si="0"/>
        <v>11.19</v>
      </c>
      <c r="L37" s="86"/>
      <c r="N37" s="43"/>
      <c r="O37" s="43"/>
    </row>
    <row r="38" spans="1:15" ht="12.75" thickBot="1">
      <c r="A38" s="1" t="s">
        <v>1272</v>
      </c>
      <c r="B38" s="1" t="s">
        <v>459</v>
      </c>
      <c r="C38" s="1" t="s">
        <v>134</v>
      </c>
      <c r="D38" s="4">
        <v>179</v>
      </c>
      <c r="E38" s="4"/>
      <c r="F38" s="3"/>
      <c r="G38" s="11"/>
      <c r="H38" s="12">
        <f>SUMIF(PoleRates!$E$4:$E$131,"20140101"&amp;C38,PoleRates!$F$4:$F$131)</f>
        <v>3.56</v>
      </c>
      <c r="I38" s="13"/>
      <c r="J38" s="14">
        <v>179</v>
      </c>
      <c r="K38" s="13">
        <f t="shared" si="0"/>
        <v>637.24</v>
      </c>
      <c r="L38" s="86"/>
      <c r="N38" s="43"/>
      <c r="O38" s="43"/>
    </row>
    <row r="39" spans="1:15" ht="12.75" thickBot="1">
      <c r="A39" s="1" t="s">
        <v>1272</v>
      </c>
      <c r="B39" s="1" t="s">
        <v>1197</v>
      </c>
      <c r="C39" s="1" t="s">
        <v>134</v>
      </c>
      <c r="D39" s="4">
        <v>56</v>
      </c>
      <c r="E39" s="4"/>
      <c r="F39" s="3"/>
      <c r="G39" s="11"/>
      <c r="H39" s="12">
        <f>SUMIF(PoleRates!$E$4:$E$131,"20140101"&amp;C39,PoleRates!$F$4:$F$131)</f>
        <v>3.56</v>
      </c>
      <c r="I39" s="13"/>
      <c r="J39" s="14">
        <v>56</v>
      </c>
      <c r="K39" s="13">
        <f t="shared" si="0"/>
        <v>199.36</v>
      </c>
      <c r="L39" s="86"/>
      <c r="N39" s="43"/>
      <c r="O39" s="43"/>
    </row>
    <row r="40" spans="1:15" ht="12.75" thickBot="1">
      <c r="A40" s="1" t="s">
        <v>1272</v>
      </c>
      <c r="B40" s="1" t="s">
        <v>459</v>
      </c>
      <c r="C40" s="1" t="s">
        <v>134</v>
      </c>
      <c r="D40" s="6">
        <v>53</v>
      </c>
      <c r="E40" s="6"/>
      <c r="F40" s="5"/>
      <c r="G40" s="15"/>
      <c r="H40" s="12">
        <f>SUMIF(PoleRates!$E$4:$E$131,"20140101"&amp;C40,PoleRates!$F$4:$F$131)</f>
        <v>3.56</v>
      </c>
      <c r="I40" s="13"/>
      <c r="J40" s="14">
        <v>53</v>
      </c>
      <c r="K40" s="13">
        <f t="shared" si="0"/>
        <v>188.68</v>
      </c>
      <c r="L40" s="86"/>
      <c r="N40" s="43"/>
      <c r="O40" s="43"/>
    </row>
    <row r="41" spans="1:15" ht="12.75" thickBot="1">
      <c r="A41" s="1" t="s">
        <v>1272</v>
      </c>
      <c r="B41" s="1" t="s">
        <v>1197</v>
      </c>
      <c r="C41" s="1" t="s">
        <v>134</v>
      </c>
      <c r="D41" s="4">
        <v>112</v>
      </c>
      <c r="E41" s="4"/>
      <c r="F41" s="3"/>
      <c r="G41" s="11"/>
      <c r="H41" s="12">
        <f>SUMIF(PoleRates!$E$4:$E$131,"20140101"&amp;C41,PoleRates!$F$4:$F$131)</f>
        <v>3.56</v>
      </c>
      <c r="I41" s="13"/>
      <c r="J41" s="14">
        <v>111</v>
      </c>
      <c r="K41" s="13">
        <f t="shared" si="0"/>
        <v>395.16</v>
      </c>
      <c r="L41" s="86"/>
      <c r="N41" s="43"/>
      <c r="O41" s="43"/>
    </row>
    <row r="42" spans="1:15" ht="12.75" thickBot="1">
      <c r="A42" s="1" t="s">
        <v>1272</v>
      </c>
      <c r="B42" s="1" t="s">
        <v>459</v>
      </c>
      <c r="C42" s="1" t="s">
        <v>129</v>
      </c>
      <c r="D42" s="5">
        <v>45</v>
      </c>
      <c r="E42" s="15"/>
      <c r="F42" s="6"/>
      <c r="G42" s="6"/>
      <c r="H42" s="12">
        <f>SUMIF(PoleRates!$E$4:$E$131,"20140101"&amp;C42,PoleRates!$F$4:$F$131)</f>
        <v>3.47</v>
      </c>
      <c r="I42" s="13"/>
      <c r="J42" s="14">
        <v>45</v>
      </c>
      <c r="K42" s="13">
        <f t="shared" si="0"/>
        <v>156.15</v>
      </c>
      <c r="L42" s="86"/>
      <c r="N42" s="43"/>
      <c r="O42" s="43"/>
    </row>
    <row r="43" spans="1:15" ht="12.75" thickBot="1">
      <c r="A43" s="1" t="s">
        <v>1272</v>
      </c>
      <c r="B43" s="1" t="s">
        <v>1197</v>
      </c>
      <c r="C43" s="1" t="s">
        <v>129</v>
      </c>
      <c r="D43" s="3">
        <v>3</v>
      </c>
      <c r="E43" s="11"/>
      <c r="F43" s="4"/>
      <c r="G43" s="4"/>
      <c r="H43" s="12">
        <f>SUMIF(PoleRates!$E$4:$E$131,"20140101"&amp;C43,PoleRates!$F$4:$F$131)</f>
        <v>3.47</v>
      </c>
      <c r="I43" s="13"/>
      <c r="J43" s="14">
        <v>3</v>
      </c>
      <c r="K43" s="13">
        <f t="shared" si="0"/>
        <v>10.41</v>
      </c>
      <c r="L43" s="86"/>
      <c r="N43" s="43"/>
      <c r="O43" s="43"/>
    </row>
    <row r="44" spans="1:15" ht="12.75" thickBot="1">
      <c r="A44" s="1" t="s">
        <v>1272</v>
      </c>
      <c r="B44" s="1" t="s">
        <v>459</v>
      </c>
      <c r="C44" s="1" t="s">
        <v>130</v>
      </c>
      <c r="D44" s="5">
        <v>20</v>
      </c>
      <c r="E44" s="15"/>
      <c r="F44" s="6"/>
      <c r="G44" s="6"/>
      <c r="H44" s="12">
        <f>SUMIF(PoleRates!$E$4:$E$131,"20140101"&amp;C44,PoleRates!$F$4:$F$131)</f>
        <v>3.73</v>
      </c>
      <c r="I44" s="13"/>
      <c r="J44" s="14">
        <v>20</v>
      </c>
      <c r="K44" s="13">
        <f t="shared" si="0"/>
        <v>74.599999999999994</v>
      </c>
      <c r="L44" s="86"/>
      <c r="N44" s="43"/>
      <c r="O44" s="43"/>
    </row>
    <row r="45" spans="1:15" ht="12.75" thickBot="1">
      <c r="A45" s="1" t="s">
        <v>1272</v>
      </c>
      <c r="B45" s="1" t="s">
        <v>1197</v>
      </c>
      <c r="C45" s="1" t="s">
        <v>130</v>
      </c>
      <c r="D45" s="3">
        <v>70</v>
      </c>
      <c r="E45" s="11"/>
      <c r="F45" s="4"/>
      <c r="G45" s="4"/>
      <c r="H45" s="12">
        <f>SUMIF(PoleRates!$E$4:$E$131,"20140101"&amp;C45,PoleRates!$F$4:$F$131)</f>
        <v>3.73</v>
      </c>
      <c r="I45" s="13"/>
      <c r="J45" s="14">
        <v>70</v>
      </c>
      <c r="K45" s="13">
        <f t="shared" si="0"/>
        <v>261.10000000000002</v>
      </c>
      <c r="L45" s="86"/>
      <c r="N45" s="43"/>
      <c r="O45" s="43"/>
    </row>
    <row r="46" spans="1:15" ht="12.75" thickBot="1">
      <c r="A46" s="1" t="s">
        <v>1272</v>
      </c>
      <c r="B46" s="1" t="s">
        <v>459</v>
      </c>
      <c r="C46" s="2" t="s">
        <v>134</v>
      </c>
      <c r="D46" s="5">
        <v>1</v>
      </c>
      <c r="E46" s="15"/>
      <c r="F46" s="6"/>
      <c r="G46" s="6"/>
      <c r="H46" s="12">
        <f>SUMIF(PoleRates!$E$4:$E$131,"20140101"&amp;C46,PoleRates!$F$4:$F$131)</f>
        <v>3.56</v>
      </c>
      <c r="I46" s="13"/>
      <c r="J46" s="14">
        <v>1</v>
      </c>
      <c r="K46" s="13">
        <f t="shared" si="0"/>
        <v>3.56</v>
      </c>
      <c r="L46" s="86"/>
      <c r="N46" s="43"/>
      <c r="O46" s="43"/>
    </row>
    <row r="47" spans="1:15" ht="12.75" thickBot="1">
      <c r="A47" s="1" t="s">
        <v>1272</v>
      </c>
      <c r="B47" s="1" t="s">
        <v>1197</v>
      </c>
      <c r="C47" s="2" t="s">
        <v>134</v>
      </c>
      <c r="D47" s="3">
        <v>79</v>
      </c>
      <c r="E47" s="11"/>
      <c r="F47" s="4"/>
      <c r="G47" s="4"/>
      <c r="H47" s="12">
        <f>SUMIF(PoleRates!$E$4:$E$131,"20140101"&amp;C47,PoleRates!$F$4:$F$131)</f>
        <v>3.56</v>
      </c>
      <c r="I47" s="13"/>
      <c r="J47" s="14">
        <v>79</v>
      </c>
      <c r="K47" s="13">
        <f t="shared" si="0"/>
        <v>281.24</v>
      </c>
      <c r="L47" s="86"/>
      <c r="N47" s="43"/>
      <c r="O47" s="43"/>
    </row>
    <row r="48" spans="1:15" ht="12.75" thickBot="1">
      <c r="A48" s="1" t="s">
        <v>1272</v>
      </c>
      <c r="B48" s="1" t="s">
        <v>459</v>
      </c>
      <c r="C48" s="1" t="s">
        <v>134</v>
      </c>
      <c r="D48" s="5">
        <v>6</v>
      </c>
      <c r="E48" s="15"/>
      <c r="F48" s="6"/>
      <c r="G48" s="6"/>
      <c r="H48" s="12">
        <f>SUMIF(PoleRates!$E$4:$E$131,"20140101"&amp;C48,PoleRates!$F$4:$F$131)</f>
        <v>3.56</v>
      </c>
      <c r="I48" s="13"/>
      <c r="J48" s="14">
        <v>6</v>
      </c>
      <c r="K48" s="13">
        <f t="shared" si="0"/>
        <v>21.36</v>
      </c>
      <c r="L48" s="86"/>
      <c r="N48" s="43"/>
      <c r="O48" s="43"/>
    </row>
    <row r="49" spans="1:15" ht="12.75" thickBot="1">
      <c r="A49" s="1" t="s">
        <v>1272</v>
      </c>
      <c r="B49" s="1" t="s">
        <v>1197</v>
      </c>
      <c r="C49" s="1" t="s">
        <v>134</v>
      </c>
      <c r="D49" s="3">
        <v>64</v>
      </c>
      <c r="E49" s="11"/>
      <c r="F49" s="4"/>
      <c r="G49" s="4"/>
      <c r="H49" s="12">
        <f>SUMIF(PoleRates!$E$4:$E$131,"20140101"&amp;C49,PoleRates!$F$4:$F$131)</f>
        <v>3.56</v>
      </c>
      <c r="I49" s="13"/>
      <c r="J49" s="14">
        <v>64</v>
      </c>
      <c r="K49" s="13">
        <f t="shared" si="0"/>
        <v>227.84</v>
      </c>
      <c r="L49" s="86"/>
      <c r="N49" s="43"/>
      <c r="O49" s="43"/>
    </row>
    <row r="50" spans="1:15" ht="12.75" thickBot="1">
      <c r="A50" s="1" t="s">
        <v>1272</v>
      </c>
      <c r="B50" s="1" t="s">
        <v>459</v>
      </c>
      <c r="C50" s="2" t="s">
        <v>136</v>
      </c>
      <c r="D50" s="5"/>
      <c r="E50" s="15"/>
      <c r="F50" s="6" t="s">
        <v>1246</v>
      </c>
      <c r="G50" s="6"/>
      <c r="H50" s="12">
        <f>SUMIF(PoleRates!$E$4:$E$131,"20140101"&amp;C50,PoleRates!$F$4:$F$131)</f>
        <v>11.31</v>
      </c>
      <c r="I50" s="13"/>
      <c r="J50" s="14">
        <v>36</v>
      </c>
      <c r="K50" s="13">
        <f t="shared" si="0"/>
        <v>407.16</v>
      </c>
      <c r="L50" s="86"/>
      <c r="N50" s="43"/>
      <c r="O50" s="43"/>
    </row>
    <row r="51" spans="1:15" ht="12.75" thickBot="1">
      <c r="A51" s="1" t="s">
        <v>1272</v>
      </c>
      <c r="B51" s="1" t="s">
        <v>1197</v>
      </c>
      <c r="C51" s="2" t="s">
        <v>136</v>
      </c>
      <c r="D51" s="4"/>
      <c r="E51" s="4"/>
      <c r="F51" s="3">
        <v>423</v>
      </c>
      <c r="G51" s="11"/>
      <c r="H51" s="12">
        <f>SUMIF(PoleRates!$E$4:$E$131,"20140101"&amp;C51,PoleRates!$F$4:$F$131)</f>
        <v>11.31</v>
      </c>
      <c r="I51" s="13"/>
      <c r="J51" s="14">
        <v>423</v>
      </c>
      <c r="K51" s="13">
        <f t="shared" si="0"/>
        <v>4784.13</v>
      </c>
      <c r="L51" s="86"/>
      <c r="N51" s="43"/>
      <c r="O51" s="43"/>
    </row>
    <row r="52" spans="1:15" ht="12.75" thickBot="1">
      <c r="A52" s="1" t="s">
        <v>1272</v>
      </c>
      <c r="B52" s="1"/>
      <c r="C52" s="17" t="s">
        <v>7</v>
      </c>
      <c r="D52" s="78"/>
      <c r="E52" s="7"/>
      <c r="F52" s="18"/>
      <c r="G52" s="7"/>
      <c r="H52" s="19"/>
      <c r="I52" s="84">
        <f>SUM(I28:I51)</f>
        <v>0</v>
      </c>
      <c r="J52" s="85">
        <f t="shared" ref="J52:K52" si="2">SUM(J28:J51)</f>
        <v>8646</v>
      </c>
      <c r="K52" s="84">
        <f t="shared" si="2"/>
        <v>27863.420000000006</v>
      </c>
      <c r="N52" s="43"/>
      <c r="O52" s="43"/>
    </row>
    <row r="53" spans="1:15" ht="12.75" thickBot="1">
      <c r="A53" s="1" t="s">
        <v>1273</v>
      </c>
      <c r="B53" s="1" t="s">
        <v>459</v>
      </c>
      <c r="C53" s="2" t="s">
        <v>126</v>
      </c>
      <c r="D53" s="4"/>
      <c r="E53" s="4"/>
      <c r="F53" s="3">
        <f>J53</f>
        <v>1654</v>
      </c>
      <c r="G53" s="11"/>
      <c r="H53" s="12">
        <f>SUMIF(PoleRates!$E$4:$E$131,"20140101"&amp;C53,PoleRates!$F$4:$F$131)</f>
        <v>2.06</v>
      </c>
      <c r="I53" s="13"/>
      <c r="J53" s="14">
        <v>1654</v>
      </c>
      <c r="K53" s="40">
        <f>H53*J53</f>
        <v>3407.2400000000002</v>
      </c>
      <c r="M53" s="499" t="s">
        <v>1317</v>
      </c>
      <c r="N53" s="43"/>
      <c r="O53" s="86"/>
    </row>
    <row r="54" spans="1:15" ht="12.75" thickBot="1">
      <c r="A54" s="1" t="s">
        <v>1273</v>
      </c>
      <c r="B54" s="1" t="s">
        <v>1197</v>
      </c>
      <c r="C54" s="2" t="s">
        <v>126</v>
      </c>
      <c r="D54" s="6"/>
      <c r="E54" s="6"/>
      <c r="F54" s="5">
        <f t="shared" ref="F54:F58" si="3">J54</f>
        <v>5204</v>
      </c>
      <c r="G54" s="15"/>
      <c r="H54" s="12">
        <f>SUMIF(PoleRates!$E$4:$E$131,"20140101"&amp;C54,PoleRates!$F$4:$F$131)</f>
        <v>2.06</v>
      </c>
      <c r="I54" s="13"/>
      <c r="J54" s="14">
        <v>5204</v>
      </c>
      <c r="K54" s="40">
        <f t="shared" ref="K54:K101" si="4">H54*J54</f>
        <v>10720.24</v>
      </c>
      <c r="N54" s="43"/>
      <c r="O54" s="86"/>
    </row>
    <row r="55" spans="1:15" ht="12.75" thickBot="1">
      <c r="A55" s="1" t="s">
        <v>1273</v>
      </c>
      <c r="B55" s="1" t="s">
        <v>459</v>
      </c>
      <c r="C55" s="2" t="s">
        <v>127</v>
      </c>
      <c r="D55" s="4"/>
      <c r="E55" s="4"/>
      <c r="F55" s="3">
        <f t="shared" si="3"/>
        <v>157</v>
      </c>
      <c r="G55" s="11"/>
      <c r="H55" s="12">
        <f>SUMIF(PoleRates!$E$4:$E$131,"20140101"&amp;C55,PoleRates!$F$4:$F$131)</f>
        <v>10.81</v>
      </c>
      <c r="I55" s="13"/>
      <c r="J55" s="14">
        <v>157</v>
      </c>
      <c r="K55" s="40">
        <f t="shared" si="4"/>
        <v>1697.17</v>
      </c>
      <c r="N55" s="43"/>
      <c r="O55" s="86"/>
    </row>
    <row r="56" spans="1:15" ht="12.75" thickBot="1">
      <c r="A56" s="1" t="s">
        <v>1273</v>
      </c>
      <c r="B56" s="1" t="s">
        <v>1197</v>
      </c>
      <c r="C56" s="2" t="s">
        <v>127</v>
      </c>
      <c r="D56" s="5"/>
      <c r="E56" s="15"/>
      <c r="F56" s="6">
        <f t="shared" si="3"/>
        <v>0</v>
      </c>
      <c r="G56" s="6"/>
      <c r="H56" s="12">
        <f>SUMIF(PoleRates!$E$4:$E$131,"20140101"&amp;C56,PoleRates!$F$4:$F$131)</f>
        <v>10.81</v>
      </c>
      <c r="I56" s="13"/>
      <c r="J56" s="14">
        <v>0</v>
      </c>
      <c r="K56" s="40">
        <f t="shared" si="4"/>
        <v>0</v>
      </c>
      <c r="N56" s="43"/>
      <c r="O56" s="86"/>
    </row>
    <row r="57" spans="1:15" ht="12.75" thickBot="1">
      <c r="A57" s="1" t="s">
        <v>1273</v>
      </c>
      <c r="B57" s="1" t="s">
        <v>459</v>
      </c>
      <c r="C57" s="2" t="s">
        <v>128</v>
      </c>
      <c r="D57" s="3"/>
      <c r="E57" s="11"/>
      <c r="F57" s="4">
        <f t="shared" si="3"/>
        <v>277</v>
      </c>
      <c r="G57" s="4"/>
      <c r="H57" s="12">
        <f>SUMIF(PoleRates!$E$4:$E$131,"20140101"&amp;C57,PoleRates!$F$4:$F$131)</f>
        <v>12.9</v>
      </c>
      <c r="I57" s="13"/>
      <c r="J57" s="14">
        <v>277</v>
      </c>
      <c r="K57" s="40">
        <f t="shared" si="4"/>
        <v>3573.3</v>
      </c>
      <c r="N57" s="43"/>
      <c r="O57" s="86"/>
    </row>
    <row r="58" spans="1:15" ht="12.75" thickBot="1">
      <c r="A58" s="1" t="s">
        <v>1273</v>
      </c>
      <c r="B58" s="1" t="s">
        <v>1197</v>
      </c>
      <c r="C58" s="2" t="s">
        <v>128</v>
      </c>
      <c r="D58" s="5"/>
      <c r="E58" s="15"/>
      <c r="F58" s="6">
        <f t="shared" si="3"/>
        <v>3</v>
      </c>
      <c r="G58" s="6"/>
      <c r="H58" s="12">
        <f>SUMIF(PoleRates!$E$4:$E$131,"20140101"&amp;C58,PoleRates!$F$4:$F$131)</f>
        <v>12.9</v>
      </c>
      <c r="I58" s="13"/>
      <c r="J58" s="14">
        <v>3</v>
      </c>
      <c r="K58" s="40">
        <f t="shared" si="4"/>
        <v>38.700000000000003</v>
      </c>
      <c r="N58" s="43"/>
      <c r="O58" s="86"/>
    </row>
    <row r="59" spans="1:15" ht="12.75" thickBot="1">
      <c r="A59" s="1" t="s">
        <v>1273</v>
      </c>
      <c r="B59" s="1" t="s">
        <v>459</v>
      </c>
      <c r="C59" s="1" t="s">
        <v>129</v>
      </c>
      <c r="D59" s="3">
        <f>J59</f>
        <v>32</v>
      </c>
      <c r="E59" s="11"/>
      <c r="F59" s="4"/>
      <c r="G59" s="4"/>
      <c r="H59" s="12">
        <f>SUMIF(PoleRates!$E$4:$E$131,"20140101"&amp;C59,PoleRates!$F$4:$F$131)</f>
        <v>3.47</v>
      </c>
      <c r="I59" s="13"/>
      <c r="J59" s="14">
        <v>32</v>
      </c>
      <c r="K59" s="40">
        <f t="shared" si="4"/>
        <v>111.04</v>
      </c>
      <c r="N59" s="43"/>
      <c r="O59" s="86"/>
    </row>
    <row r="60" spans="1:15" ht="12.75" thickBot="1">
      <c r="A60" s="1" t="s">
        <v>1273</v>
      </c>
      <c r="B60" s="1" t="s">
        <v>1197</v>
      </c>
      <c r="C60" s="1" t="s">
        <v>129</v>
      </c>
      <c r="D60" s="5">
        <f t="shared" ref="D60:D74" si="5">J60</f>
        <v>10</v>
      </c>
      <c r="E60" s="15"/>
      <c r="F60" s="6"/>
      <c r="G60" s="6"/>
      <c r="H60" s="12">
        <f>SUMIF(PoleRates!$E$4:$E$131,"20140101"&amp;C60,PoleRates!$F$4:$F$131)</f>
        <v>3.47</v>
      </c>
      <c r="I60" s="13"/>
      <c r="J60" s="14">
        <v>10</v>
      </c>
      <c r="K60" s="40">
        <f t="shared" si="4"/>
        <v>34.700000000000003</v>
      </c>
      <c r="N60" s="43"/>
      <c r="O60" s="86"/>
    </row>
    <row r="61" spans="1:15" ht="12.75" thickBot="1">
      <c r="A61" s="1" t="s">
        <v>1273</v>
      </c>
      <c r="B61" s="1" t="s">
        <v>459</v>
      </c>
      <c r="C61" s="2" t="s">
        <v>130</v>
      </c>
      <c r="D61" s="3">
        <f t="shared" si="5"/>
        <v>175</v>
      </c>
      <c r="E61" s="11"/>
      <c r="F61" s="4"/>
      <c r="G61" s="4"/>
      <c r="H61" s="12">
        <f>SUMIF(PoleRates!$E$4:$E$131,"20140101"&amp;C61,PoleRates!$F$4:$F$131)</f>
        <v>3.73</v>
      </c>
      <c r="I61" s="13"/>
      <c r="J61" s="14">
        <v>175</v>
      </c>
      <c r="K61" s="40">
        <f t="shared" si="4"/>
        <v>652.75</v>
      </c>
      <c r="N61" s="43"/>
      <c r="O61" s="86"/>
    </row>
    <row r="62" spans="1:15" ht="12.75" thickBot="1">
      <c r="A62" s="1" t="s">
        <v>1273</v>
      </c>
      <c r="B62" s="1" t="s">
        <v>1197</v>
      </c>
      <c r="C62" s="2" t="s">
        <v>130</v>
      </c>
      <c r="D62" s="5">
        <f t="shared" si="5"/>
        <v>3</v>
      </c>
      <c r="E62" s="15"/>
      <c r="F62" s="6"/>
      <c r="G62" s="6"/>
      <c r="H62" s="12">
        <f>SUMIF(PoleRates!$E$4:$E$131,"20140101"&amp;C62,PoleRates!$F$4:$F$131)</f>
        <v>3.73</v>
      </c>
      <c r="I62" s="13"/>
      <c r="J62" s="14">
        <v>3</v>
      </c>
      <c r="K62" s="40">
        <f t="shared" si="4"/>
        <v>11.19</v>
      </c>
      <c r="N62" s="43"/>
      <c r="O62" s="86"/>
    </row>
    <row r="63" spans="1:15" ht="12.75" thickBot="1">
      <c r="A63" s="1" t="s">
        <v>1273</v>
      </c>
      <c r="B63" s="1" t="s">
        <v>459</v>
      </c>
      <c r="C63" s="1" t="s">
        <v>134</v>
      </c>
      <c r="D63" s="4">
        <f t="shared" si="5"/>
        <v>179</v>
      </c>
      <c r="E63" s="4"/>
      <c r="F63" s="3"/>
      <c r="G63" s="11"/>
      <c r="H63" s="12">
        <f>SUMIF(PoleRates!$E$4:$E$131,"20140101"&amp;C63,PoleRates!$F$4:$F$131)</f>
        <v>3.56</v>
      </c>
      <c r="I63" s="13"/>
      <c r="J63" s="14">
        <v>179</v>
      </c>
      <c r="K63" s="40">
        <f t="shared" si="4"/>
        <v>637.24</v>
      </c>
      <c r="N63" s="43"/>
      <c r="O63" s="86"/>
    </row>
    <row r="64" spans="1:15" ht="12.75" thickBot="1">
      <c r="A64" s="1" t="s">
        <v>1273</v>
      </c>
      <c r="B64" s="1" t="s">
        <v>1197</v>
      </c>
      <c r="C64" s="1" t="s">
        <v>134</v>
      </c>
      <c r="D64" s="4">
        <f t="shared" si="5"/>
        <v>56</v>
      </c>
      <c r="E64" s="4"/>
      <c r="F64" s="3"/>
      <c r="G64" s="11"/>
      <c r="H64" s="12">
        <f>SUMIF(PoleRates!$E$4:$E$131,"20140101"&amp;C64,PoleRates!$F$4:$F$131)</f>
        <v>3.56</v>
      </c>
      <c r="I64" s="13"/>
      <c r="J64" s="14">
        <v>56</v>
      </c>
      <c r="K64" s="40">
        <f t="shared" si="4"/>
        <v>199.36</v>
      </c>
      <c r="N64" s="43"/>
      <c r="O64" s="86"/>
    </row>
    <row r="65" spans="1:15" ht="12.75" thickBot="1">
      <c r="A65" s="1" t="s">
        <v>1273</v>
      </c>
      <c r="B65" s="1" t="s">
        <v>459</v>
      </c>
      <c r="C65" s="1" t="s">
        <v>134</v>
      </c>
      <c r="D65" s="6">
        <f t="shared" si="5"/>
        <v>53</v>
      </c>
      <c r="E65" s="6"/>
      <c r="F65" s="5"/>
      <c r="G65" s="15"/>
      <c r="H65" s="12">
        <f>SUMIF(PoleRates!$E$4:$E$131,"20140101"&amp;C65,PoleRates!$F$4:$F$131)</f>
        <v>3.56</v>
      </c>
      <c r="I65" s="13"/>
      <c r="J65" s="14">
        <v>53</v>
      </c>
      <c r="K65" s="40">
        <f t="shared" si="4"/>
        <v>188.68</v>
      </c>
      <c r="N65" s="43"/>
      <c r="O65" s="86"/>
    </row>
    <row r="66" spans="1:15" ht="12.75" thickBot="1">
      <c r="A66" s="1" t="s">
        <v>1273</v>
      </c>
      <c r="B66" s="1" t="s">
        <v>1197</v>
      </c>
      <c r="C66" s="1" t="s">
        <v>134</v>
      </c>
      <c r="D66" s="4">
        <f t="shared" si="5"/>
        <v>112</v>
      </c>
      <c r="E66" s="4"/>
      <c r="F66" s="3"/>
      <c r="G66" s="11"/>
      <c r="H66" s="12">
        <f>SUMIF(PoleRates!$E$4:$E$131,"20140101"&amp;C66,PoleRates!$F$4:$F$131)</f>
        <v>3.56</v>
      </c>
      <c r="I66" s="13"/>
      <c r="J66" s="14">
        <v>112</v>
      </c>
      <c r="K66" s="40">
        <f t="shared" si="4"/>
        <v>398.72</v>
      </c>
      <c r="N66" s="43"/>
      <c r="O66" s="86"/>
    </row>
    <row r="67" spans="1:15" ht="12.75" thickBot="1">
      <c r="A67" s="1" t="s">
        <v>1273</v>
      </c>
      <c r="B67" s="1" t="s">
        <v>459</v>
      </c>
      <c r="C67" s="1" t="s">
        <v>129</v>
      </c>
      <c r="D67" s="5">
        <f t="shared" si="5"/>
        <v>45</v>
      </c>
      <c r="E67" s="15"/>
      <c r="F67" s="6"/>
      <c r="G67" s="6"/>
      <c r="H67" s="12">
        <f>SUMIF(PoleRates!$E$4:$E$131,"20140101"&amp;C67,PoleRates!$F$4:$F$131)</f>
        <v>3.47</v>
      </c>
      <c r="I67" s="13"/>
      <c r="J67" s="14">
        <v>45</v>
      </c>
      <c r="K67" s="40">
        <f t="shared" si="4"/>
        <v>156.15</v>
      </c>
      <c r="N67" s="43"/>
      <c r="O67" s="86"/>
    </row>
    <row r="68" spans="1:15" ht="12.75" thickBot="1">
      <c r="A68" s="1" t="s">
        <v>1273</v>
      </c>
      <c r="B68" s="1" t="s">
        <v>1197</v>
      </c>
      <c r="C68" s="1" t="s">
        <v>129</v>
      </c>
      <c r="D68" s="3">
        <f t="shared" si="5"/>
        <v>3</v>
      </c>
      <c r="E68" s="11"/>
      <c r="F68" s="4"/>
      <c r="G68" s="4"/>
      <c r="H68" s="12">
        <f>SUMIF(PoleRates!$E$4:$E$131,"20140101"&amp;C68,PoleRates!$F$4:$F$131)</f>
        <v>3.47</v>
      </c>
      <c r="I68" s="13"/>
      <c r="J68" s="14">
        <v>3</v>
      </c>
      <c r="K68" s="40">
        <f t="shared" si="4"/>
        <v>10.41</v>
      </c>
      <c r="N68" s="43"/>
      <c r="O68" s="86"/>
    </row>
    <row r="69" spans="1:15" ht="12.75" thickBot="1">
      <c r="A69" s="1" t="s">
        <v>1273</v>
      </c>
      <c r="B69" s="1" t="s">
        <v>459</v>
      </c>
      <c r="C69" s="1" t="s">
        <v>130</v>
      </c>
      <c r="D69" s="5">
        <f t="shared" si="5"/>
        <v>20</v>
      </c>
      <c r="E69" s="15"/>
      <c r="F69" s="6"/>
      <c r="G69" s="6"/>
      <c r="H69" s="12">
        <f>SUMIF(PoleRates!$E$4:$E$131,"20140101"&amp;C69,PoleRates!$F$4:$F$131)</f>
        <v>3.73</v>
      </c>
      <c r="I69" s="13"/>
      <c r="J69" s="14">
        <v>20</v>
      </c>
      <c r="K69" s="40">
        <f t="shared" si="4"/>
        <v>74.599999999999994</v>
      </c>
      <c r="N69" s="43"/>
      <c r="O69" s="86"/>
    </row>
    <row r="70" spans="1:15" ht="12.75" thickBot="1">
      <c r="A70" s="1" t="s">
        <v>1273</v>
      </c>
      <c r="B70" s="1" t="s">
        <v>1197</v>
      </c>
      <c r="C70" s="1" t="s">
        <v>130</v>
      </c>
      <c r="D70" s="3">
        <f t="shared" si="5"/>
        <v>70</v>
      </c>
      <c r="E70" s="11"/>
      <c r="F70" s="4"/>
      <c r="G70" s="4"/>
      <c r="H70" s="12">
        <f>SUMIF(PoleRates!$E$4:$E$131,"20140101"&amp;C70,PoleRates!$F$4:$F$131)</f>
        <v>3.73</v>
      </c>
      <c r="I70" s="13"/>
      <c r="J70" s="14">
        <v>70</v>
      </c>
      <c r="K70" s="40">
        <f t="shared" si="4"/>
        <v>261.10000000000002</v>
      </c>
      <c r="N70" s="43"/>
      <c r="O70" s="86"/>
    </row>
    <row r="71" spans="1:15" ht="12.75" thickBot="1">
      <c r="A71" s="1" t="s">
        <v>1273</v>
      </c>
      <c r="B71" s="1" t="s">
        <v>459</v>
      </c>
      <c r="C71" s="2" t="s">
        <v>134</v>
      </c>
      <c r="D71" s="5">
        <f t="shared" si="5"/>
        <v>1</v>
      </c>
      <c r="E71" s="15"/>
      <c r="F71" s="6"/>
      <c r="G71" s="6"/>
      <c r="H71" s="12">
        <f>SUMIF(PoleRates!$E$4:$E$131,"20140101"&amp;C71,PoleRates!$F$4:$F$131)</f>
        <v>3.56</v>
      </c>
      <c r="I71" s="13"/>
      <c r="J71" s="14">
        <v>1</v>
      </c>
      <c r="K71" s="40">
        <f t="shared" si="4"/>
        <v>3.56</v>
      </c>
      <c r="N71" s="43"/>
      <c r="O71" s="86"/>
    </row>
    <row r="72" spans="1:15" ht="12.75" thickBot="1">
      <c r="A72" s="1" t="s">
        <v>1273</v>
      </c>
      <c r="B72" s="1" t="s">
        <v>1197</v>
      </c>
      <c r="C72" s="2" t="s">
        <v>134</v>
      </c>
      <c r="D72" s="3">
        <f t="shared" si="5"/>
        <v>79</v>
      </c>
      <c r="E72" s="11"/>
      <c r="F72" s="4"/>
      <c r="G72" s="4"/>
      <c r="H72" s="12">
        <f>SUMIF(PoleRates!$E$4:$E$131,"20140101"&amp;C72,PoleRates!$F$4:$F$131)</f>
        <v>3.56</v>
      </c>
      <c r="I72" s="13"/>
      <c r="J72" s="14">
        <v>79</v>
      </c>
      <c r="K72" s="40">
        <f t="shared" si="4"/>
        <v>281.24</v>
      </c>
      <c r="N72" s="43"/>
      <c r="O72" s="86"/>
    </row>
    <row r="73" spans="1:15" ht="12.75" thickBot="1">
      <c r="A73" s="1" t="s">
        <v>1273</v>
      </c>
      <c r="B73" s="1" t="s">
        <v>459</v>
      </c>
      <c r="C73" s="1" t="s">
        <v>134</v>
      </c>
      <c r="D73" s="5">
        <f t="shared" si="5"/>
        <v>6</v>
      </c>
      <c r="E73" s="15"/>
      <c r="F73" s="6"/>
      <c r="G73" s="6"/>
      <c r="H73" s="12">
        <f>SUMIF(PoleRates!$E$4:$E$131,"20140101"&amp;C73,PoleRates!$F$4:$F$131)</f>
        <v>3.56</v>
      </c>
      <c r="I73" s="13"/>
      <c r="J73" s="14">
        <v>6</v>
      </c>
      <c r="K73" s="40">
        <f t="shared" si="4"/>
        <v>21.36</v>
      </c>
      <c r="N73" s="43"/>
      <c r="O73" s="86"/>
    </row>
    <row r="74" spans="1:15" ht="12.75" thickBot="1">
      <c r="A74" s="1" t="s">
        <v>1273</v>
      </c>
      <c r="B74" s="1" t="s">
        <v>1197</v>
      </c>
      <c r="C74" s="1" t="s">
        <v>134</v>
      </c>
      <c r="D74" s="3">
        <f t="shared" si="5"/>
        <v>60</v>
      </c>
      <c r="E74" s="11"/>
      <c r="F74" s="4"/>
      <c r="G74" s="4"/>
      <c r="H74" s="12">
        <f>SUMIF(PoleRates!$E$4:$E$131,"20140101"&amp;C74,PoleRates!$F$4:$F$131)</f>
        <v>3.56</v>
      </c>
      <c r="I74" s="13"/>
      <c r="J74" s="14">
        <v>60</v>
      </c>
      <c r="K74" s="40">
        <f t="shared" si="4"/>
        <v>213.6</v>
      </c>
      <c r="N74" s="43"/>
      <c r="O74" s="86"/>
    </row>
    <row r="75" spans="1:15" ht="12.75" thickBot="1">
      <c r="A75" s="1" t="s">
        <v>1273</v>
      </c>
      <c r="B75" s="1" t="s">
        <v>459</v>
      </c>
      <c r="C75" s="2" t="s">
        <v>136</v>
      </c>
      <c r="D75" s="5"/>
      <c r="E75" s="15"/>
      <c r="F75" s="6">
        <f t="shared" ref="F75:F76" si="6">J75</f>
        <v>36</v>
      </c>
      <c r="G75" s="6"/>
      <c r="H75" s="12">
        <f>SUMIF(PoleRates!$E$4:$E$131,"20140101"&amp;C75,PoleRates!$F$4:$F$131)</f>
        <v>11.31</v>
      </c>
      <c r="I75" s="13"/>
      <c r="J75" s="14">
        <v>36</v>
      </c>
      <c r="K75" s="40">
        <f t="shared" si="4"/>
        <v>407.16</v>
      </c>
      <c r="N75" s="43"/>
      <c r="O75" s="86"/>
    </row>
    <row r="76" spans="1:15" ht="12.75" thickBot="1">
      <c r="A76" s="1" t="s">
        <v>1273</v>
      </c>
      <c r="B76" s="1" t="s">
        <v>1197</v>
      </c>
      <c r="C76" s="2" t="s">
        <v>136</v>
      </c>
      <c r="D76" s="4"/>
      <c r="E76" s="4"/>
      <c r="F76" s="3">
        <f t="shared" si="6"/>
        <v>420</v>
      </c>
      <c r="G76" s="11"/>
      <c r="H76" s="12">
        <f>SUMIF(PoleRates!$E$4:$E$131,"20140101"&amp;C76,PoleRates!$F$4:$F$131)</f>
        <v>11.31</v>
      </c>
      <c r="I76" s="13"/>
      <c r="J76" s="14">
        <v>420</v>
      </c>
      <c r="K76" s="40">
        <f t="shared" si="4"/>
        <v>4750.2</v>
      </c>
      <c r="N76" s="43"/>
      <c r="O76" s="86"/>
    </row>
    <row r="77" spans="1:15" ht="12.75" thickBot="1">
      <c r="A77" s="1" t="s">
        <v>1273</v>
      </c>
      <c r="B77" s="1"/>
      <c r="C77" s="17" t="s">
        <v>7</v>
      </c>
      <c r="D77" s="7"/>
      <c r="E77" s="18"/>
      <c r="F77" s="7"/>
      <c r="G77" s="18"/>
      <c r="H77" s="19"/>
      <c r="I77" s="85"/>
      <c r="J77" s="500">
        <v>8655</v>
      </c>
      <c r="K77" s="501">
        <f>SUM(K53:K76)</f>
        <v>27849.710000000006</v>
      </c>
      <c r="O77" s="86"/>
    </row>
    <row r="78" spans="1:15" ht="12.75" thickBot="1">
      <c r="A78" s="1" t="s">
        <v>1274</v>
      </c>
      <c r="B78" s="1" t="s">
        <v>459</v>
      </c>
      <c r="C78" s="2" t="s">
        <v>126</v>
      </c>
      <c r="D78" s="4"/>
      <c r="E78" s="4"/>
      <c r="F78" s="3">
        <f>J78</f>
        <v>1622</v>
      </c>
      <c r="G78" s="11"/>
      <c r="H78" s="12">
        <f>SUMIF(PoleRates!$E$4:$E$131,"20140101"&amp;C78,PoleRates!$F$4:$F$131)</f>
        <v>2.06</v>
      </c>
      <c r="I78" s="13"/>
      <c r="J78" s="14">
        <v>1622</v>
      </c>
      <c r="K78" s="40">
        <f t="shared" si="4"/>
        <v>3341.32</v>
      </c>
      <c r="M78" s="499" t="s">
        <v>1318</v>
      </c>
      <c r="N78" s="43"/>
      <c r="O78" s="43"/>
    </row>
    <row r="79" spans="1:15" ht="12.75" thickBot="1">
      <c r="A79" s="1" t="s">
        <v>1274</v>
      </c>
      <c r="B79" s="1" t="s">
        <v>1197</v>
      </c>
      <c r="C79" s="2" t="s">
        <v>126</v>
      </c>
      <c r="D79" s="6"/>
      <c r="E79" s="6"/>
      <c r="F79" s="5">
        <f t="shared" ref="F79:F83" si="7">J79</f>
        <v>5141</v>
      </c>
      <c r="G79" s="15"/>
      <c r="H79" s="12">
        <f>SUMIF(PoleRates!$E$4:$E$131,"20140101"&amp;C79,PoleRates!$F$4:$F$131)</f>
        <v>2.06</v>
      </c>
      <c r="I79" s="13"/>
      <c r="J79" s="14">
        <v>5141</v>
      </c>
      <c r="K79" s="40">
        <f t="shared" si="4"/>
        <v>10590.460000000001</v>
      </c>
      <c r="N79" s="43"/>
      <c r="O79" s="43"/>
    </row>
    <row r="80" spans="1:15" ht="12.75" thickBot="1">
      <c r="A80" s="1" t="s">
        <v>1274</v>
      </c>
      <c r="B80" s="1" t="s">
        <v>459</v>
      </c>
      <c r="C80" s="2" t="s">
        <v>127</v>
      </c>
      <c r="D80" s="4"/>
      <c r="E80" s="4"/>
      <c r="F80" s="3">
        <f t="shared" si="7"/>
        <v>157</v>
      </c>
      <c r="G80" s="11"/>
      <c r="H80" s="12">
        <f>SUMIF(PoleRates!$E$4:$E$131,"20140101"&amp;C80,PoleRates!$F$4:$F$131)</f>
        <v>10.81</v>
      </c>
      <c r="I80" s="13"/>
      <c r="J80" s="14">
        <v>157</v>
      </c>
      <c r="K80" s="40">
        <f t="shared" si="4"/>
        <v>1697.17</v>
      </c>
      <c r="N80" s="43"/>
      <c r="O80" s="43"/>
    </row>
    <row r="81" spans="1:15" ht="12.75" thickBot="1">
      <c r="A81" s="1" t="s">
        <v>1274</v>
      </c>
      <c r="B81" s="1" t="s">
        <v>1197</v>
      </c>
      <c r="C81" s="2" t="s">
        <v>127</v>
      </c>
      <c r="D81" s="5"/>
      <c r="E81" s="15"/>
      <c r="F81" s="6">
        <f t="shared" si="7"/>
        <v>0</v>
      </c>
      <c r="G81" s="6"/>
      <c r="H81" s="12">
        <f>SUMIF(PoleRates!$E$4:$E$131,"20140101"&amp;C81,PoleRates!$F$4:$F$131)</f>
        <v>10.81</v>
      </c>
      <c r="I81" s="13"/>
      <c r="J81" s="14">
        <v>0</v>
      </c>
      <c r="K81" s="40">
        <f t="shared" si="4"/>
        <v>0</v>
      </c>
      <c r="N81" s="43"/>
      <c r="O81" s="43"/>
    </row>
    <row r="82" spans="1:15" ht="12.75" thickBot="1">
      <c r="A82" s="1" t="s">
        <v>1274</v>
      </c>
      <c r="B82" s="1" t="s">
        <v>459</v>
      </c>
      <c r="C82" s="2" t="s">
        <v>128</v>
      </c>
      <c r="D82" s="3"/>
      <c r="E82" s="11"/>
      <c r="F82" s="4">
        <f t="shared" si="7"/>
        <v>277</v>
      </c>
      <c r="G82" s="4"/>
      <c r="H82" s="12">
        <f>SUMIF(PoleRates!$E$4:$E$131,"20140101"&amp;C82,PoleRates!$F$4:$F$131)</f>
        <v>12.9</v>
      </c>
      <c r="I82" s="13"/>
      <c r="J82" s="14">
        <v>277</v>
      </c>
      <c r="K82" s="40">
        <f t="shared" si="4"/>
        <v>3573.3</v>
      </c>
      <c r="N82" s="43"/>
      <c r="O82" s="43"/>
    </row>
    <row r="83" spans="1:15" ht="12.75" thickBot="1">
      <c r="A83" s="1" t="s">
        <v>1274</v>
      </c>
      <c r="B83" s="1" t="s">
        <v>1197</v>
      </c>
      <c r="C83" s="2" t="s">
        <v>128</v>
      </c>
      <c r="D83" s="5"/>
      <c r="E83" s="15"/>
      <c r="F83" s="6">
        <f t="shared" si="7"/>
        <v>3</v>
      </c>
      <c r="G83" s="6"/>
      <c r="H83" s="12">
        <f>SUMIF(PoleRates!$E$4:$E$131,"20140101"&amp;C83,PoleRates!$F$4:$F$131)</f>
        <v>12.9</v>
      </c>
      <c r="I83" s="13"/>
      <c r="J83" s="14">
        <v>3</v>
      </c>
      <c r="K83" s="40">
        <f t="shared" si="4"/>
        <v>38.700000000000003</v>
      </c>
      <c r="N83" s="43"/>
      <c r="O83" s="43"/>
    </row>
    <row r="84" spans="1:15" ht="12.75" thickBot="1">
      <c r="A84" s="1" t="s">
        <v>1274</v>
      </c>
      <c r="B84" s="1" t="s">
        <v>459</v>
      </c>
      <c r="C84" s="1" t="s">
        <v>129</v>
      </c>
      <c r="D84" s="3">
        <f>J84</f>
        <v>32</v>
      </c>
      <c r="E84" s="11"/>
      <c r="F84" s="4"/>
      <c r="G84" s="4"/>
      <c r="H84" s="12">
        <f>SUMIF(PoleRates!$E$4:$E$131,"20140101"&amp;C84,PoleRates!$F$4:$F$131)</f>
        <v>3.47</v>
      </c>
      <c r="I84" s="13"/>
      <c r="J84" s="14">
        <v>32</v>
      </c>
      <c r="K84" s="40">
        <f t="shared" si="4"/>
        <v>111.04</v>
      </c>
      <c r="N84" s="43"/>
      <c r="O84" s="43"/>
    </row>
    <row r="85" spans="1:15" ht="12.75" thickBot="1">
      <c r="A85" s="1" t="s">
        <v>1274</v>
      </c>
      <c r="B85" s="1" t="s">
        <v>1197</v>
      </c>
      <c r="C85" s="1" t="s">
        <v>129</v>
      </c>
      <c r="D85" s="5">
        <f t="shared" ref="D85:D99" si="8">J85</f>
        <v>10</v>
      </c>
      <c r="E85" s="15"/>
      <c r="F85" s="6"/>
      <c r="G85" s="6"/>
      <c r="H85" s="12">
        <f>SUMIF(PoleRates!$E$4:$E$131,"20140101"&amp;C85,PoleRates!$F$4:$F$131)</f>
        <v>3.47</v>
      </c>
      <c r="I85" s="13"/>
      <c r="J85" s="14">
        <v>10</v>
      </c>
      <c r="K85" s="40">
        <f t="shared" si="4"/>
        <v>34.700000000000003</v>
      </c>
      <c r="N85" s="43"/>
      <c r="O85" s="43"/>
    </row>
    <row r="86" spans="1:15" ht="12.75" thickBot="1">
      <c r="A86" s="1" t="s">
        <v>1274</v>
      </c>
      <c r="B86" s="1" t="s">
        <v>459</v>
      </c>
      <c r="C86" s="2" t="s">
        <v>130</v>
      </c>
      <c r="D86" s="3">
        <f t="shared" si="8"/>
        <v>175</v>
      </c>
      <c r="E86" s="11"/>
      <c r="F86" s="4"/>
      <c r="G86" s="4"/>
      <c r="H86" s="12">
        <f>SUMIF(PoleRates!$E$4:$E$131,"20140101"&amp;C86,PoleRates!$F$4:$F$131)</f>
        <v>3.73</v>
      </c>
      <c r="I86" s="13"/>
      <c r="J86" s="14">
        <v>175</v>
      </c>
      <c r="K86" s="40">
        <f t="shared" si="4"/>
        <v>652.75</v>
      </c>
      <c r="N86" s="43"/>
      <c r="O86" s="43"/>
    </row>
    <row r="87" spans="1:15" ht="12.75" thickBot="1">
      <c r="A87" s="1" t="s">
        <v>1274</v>
      </c>
      <c r="B87" s="1" t="s">
        <v>1197</v>
      </c>
      <c r="C87" s="2" t="s">
        <v>130</v>
      </c>
      <c r="D87" s="5">
        <f t="shared" si="8"/>
        <v>3</v>
      </c>
      <c r="E87" s="15"/>
      <c r="F87" s="6"/>
      <c r="G87" s="6"/>
      <c r="H87" s="12">
        <f>SUMIF(PoleRates!$E$4:$E$131,"20140101"&amp;C87,PoleRates!$F$4:$F$131)</f>
        <v>3.73</v>
      </c>
      <c r="I87" s="13"/>
      <c r="J87" s="14">
        <v>3</v>
      </c>
      <c r="K87" s="40">
        <f t="shared" si="4"/>
        <v>11.19</v>
      </c>
      <c r="N87" s="43"/>
      <c r="O87" s="43"/>
    </row>
    <row r="88" spans="1:15" ht="12.75" thickBot="1">
      <c r="A88" s="1" t="s">
        <v>1274</v>
      </c>
      <c r="B88" s="1" t="s">
        <v>459</v>
      </c>
      <c r="C88" s="1" t="s">
        <v>134</v>
      </c>
      <c r="D88" s="4">
        <f t="shared" si="8"/>
        <v>179</v>
      </c>
      <c r="E88" s="4"/>
      <c r="F88" s="3"/>
      <c r="G88" s="11"/>
      <c r="H88" s="12">
        <f>SUMIF(PoleRates!$E$4:$E$131,"20140101"&amp;C88,PoleRates!$F$4:$F$131)</f>
        <v>3.56</v>
      </c>
      <c r="I88" s="13"/>
      <c r="J88" s="14">
        <v>179</v>
      </c>
      <c r="K88" s="40">
        <f t="shared" si="4"/>
        <v>637.24</v>
      </c>
      <c r="N88" s="43"/>
      <c r="O88" s="43"/>
    </row>
    <row r="89" spans="1:15" ht="12.75" thickBot="1">
      <c r="A89" s="1" t="s">
        <v>1274</v>
      </c>
      <c r="B89" s="1" t="s">
        <v>1197</v>
      </c>
      <c r="C89" s="1" t="s">
        <v>134</v>
      </c>
      <c r="D89" s="4">
        <f t="shared" si="8"/>
        <v>66</v>
      </c>
      <c r="E89" s="4"/>
      <c r="F89" s="3"/>
      <c r="G89" s="11"/>
      <c r="H89" s="12">
        <f>SUMIF(PoleRates!$E$4:$E$131,"20140101"&amp;C89,PoleRates!$F$4:$F$131)</f>
        <v>3.56</v>
      </c>
      <c r="I89" s="13"/>
      <c r="J89" s="14">
        <v>66</v>
      </c>
      <c r="K89" s="40">
        <f t="shared" si="4"/>
        <v>234.96</v>
      </c>
      <c r="N89" s="43"/>
      <c r="O89" s="43"/>
    </row>
    <row r="90" spans="1:15" ht="12.75" thickBot="1">
      <c r="A90" s="1" t="s">
        <v>1274</v>
      </c>
      <c r="B90" s="1" t="s">
        <v>459</v>
      </c>
      <c r="C90" s="1" t="s">
        <v>134</v>
      </c>
      <c r="D90" s="6">
        <f t="shared" si="8"/>
        <v>53</v>
      </c>
      <c r="E90" s="6"/>
      <c r="F90" s="5"/>
      <c r="G90" s="15"/>
      <c r="H90" s="12">
        <f>SUMIF(PoleRates!$E$4:$E$131,"20140101"&amp;C90,PoleRates!$F$4:$F$131)</f>
        <v>3.56</v>
      </c>
      <c r="I90" s="13"/>
      <c r="J90" s="14">
        <v>53</v>
      </c>
      <c r="K90" s="40">
        <f t="shared" si="4"/>
        <v>188.68</v>
      </c>
      <c r="N90" s="43"/>
      <c r="O90" s="43"/>
    </row>
    <row r="91" spans="1:15" ht="12.75" thickBot="1">
      <c r="A91" s="1" t="s">
        <v>1274</v>
      </c>
      <c r="B91" s="1" t="s">
        <v>1197</v>
      </c>
      <c r="C91" s="1" t="s">
        <v>134</v>
      </c>
      <c r="D91" s="4">
        <f t="shared" si="8"/>
        <v>112</v>
      </c>
      <c r="E91" s="4"/>
      <c r="F91" s="3"/>
      <c r="G91" s="11"/>
      <c r="H91" s="12">
        <f>SUMIF(PoleRates!$E$4:$E$131,"20140101"&amp;C91,PoleRates!$F$4:$F$131)</f>
        <v>3.56</v>
      </c>
      <c r="I91" s="13"/>
      <c r="J91" s="14">
        <v>112</v>
      </c>
      <c r="K91" s="40">
        <f t="shared" si="4"/>
        <v>398.72</v>
      </c>
      <c r="N91" s="43"/>
      <c r="O91" s="43"/>
    </row>
    <row r="92" spans="1:15" ht="12.75" thickBot="1">
      <c r="A92" s="1" t="s">
        <v>1274</v>
      </c>
      <c r="B92" s="1" t="s">
        <v>459</v>
      </c>
      <c r="C92" s="1" t="s">
        <v>129</v>
      </c>
      <c r="D92" s="5">
        <f t="shared" si="8"/>
        <v>45</v>
      </c>
      <c r="E92" s="15"/>
      <c r="F92" s="6"/>
      <c r="G92" s="6"/>
      <c r="H92" s="12">
        <f>SUMIF(PoleRates!$E$4:$E$131,"20140101"&amp;C92,PoleRates!$F$4:$F$131)</f>
        <v>3.47</v>
      </c>
      <c r="I92" s="13"/>
      <c r="J92" s="14">
        <v>45</v>
      </c>
      <c r="K92" s="40">
        <f t="shared" si="4"/>
        <v>156.15</v>
      </c>
      <c r="N92" s="43"/>
      <c r="O92" s="43"/>
    </row>
    <row r="93" spans="1:15" ht="12.75" thickBot="1">
      <c r="A93" s="1" t="s">
        <v>1274</v>
      </c>
      <c r="B93" s="1" t="s">
        <v>1197</v>
      </c>
      <c r="C93" s="1" t="s">
        <v>129</v>
      </c>
      <c r="D93" s="3">
        <f t="shared" si="8"/>
        <v>3</v>
      </c>
      <c r="E93" s="11"/>
      <c r="F93" s="4"/>
      <c r="G93" s="4"/>
      <c r="H93" s="12">
        <f>SUMIF(PoleRates!$E$4:$E$131,"20140101"&amp;C93,PoleRates!$F$4:$F$131)</f>
        <v>3.47</v>
      </c>
      <c r="I93" s="13"/>
      <c r="J93" s="14">
        <v>3</v>
      </c>
      <c r="K93" s="40">
        <f t="shared" si="4"/>
        <v>10.41</v>
      </c>
      <c r="N93" s="43"/>
      <c r="O93" s="43"/>
    </row>
    <row r="94" spans="1:15" ht="12.75" thickBot="1">
      <c r="A94" s="1" t="s">
        <v>1274</v>
      </c>
      <c r="B94" s="1" t="s">
        <v>459</v>
      </c>
      <c r="C94" s="2" t="s">
        <v>130</v>
      </c>
      <c r="D94" s="5">
        <f t="shared" si="8"/>
        <v>20</v>
      </c>
      <c r="E94" s="15"/>
      <c r="F94" s="6"/>
      <c r="G94" s="6"/>
      <c r="H94" s="12">
        <f>SUMIF(PoleRates!$E$4:$E$131,"20140101"&amp;C94,PoleRates!$F$4:$F$131)</f>
        <v>3.73</v>
      </c>
      <c r="I94" s="13"/>
      <c r="J94" s="14">
        <v>20</v>
      </c>
      <c r="K94" s="40">
        <f t="shared" si="4"/>
        <v>74.599999999999994</v>
      </c>
      <c r="N94" s="43"/>
      <c r="O94" s="43"/>
    </row>
    <row r="95" spans="1:15" ht="12.75" thickBot="1">
      <c r="A95" s="1" t="s">
        <v>1274</v>
      </c>
      <c r="B95" s="1" t="s">
        <v>1197</v>
      </c>
      <c r="C95" s="2" t="s">
        <v>130</v>
      </c>
      <c r="D95" s="3">
        <f t="shared" si="8"/>
        <v>70</v>
      </c>
      <c r="E95" s="11"/>
      <c r="F95" s="4"/>
      <c r="G95" s="4"/>
      <c r="H95" s="12">
        <f>SUMIF(PoleRates!$E$4:$E$131,"20140101"&amp;C95,PoleRates!$F$4:$F$131)</f>
        <v>3.73</v>
      </c>
      <c r="I95" s="13"/>
      <c r="J95" s="14">
        <v>70</v>
      </c>
      <c r="K95" s="40">
        <f t="shared" si="4"/>
        <v>261.10000000000002</v>
      </c>
      <c r="N95" s="43"/>
      <c r="O95" s="43"/>
    </row>
    <row r="96" spans="1:15" ht="12.75" thickBot="1">
      <c r="A96" s="1" t="s">
        <v>1274</v>
      </c>
      <c r="B96" s="1" t="s">
        <v>459</v>
      </c>
      <c r="C96" s="2" t="s">
        <v>134</v>
      </c>
      <c r="D96" s="5">
        <f t="shared" si="8"/>
        <v>1</v>
      </c>
      <c r="E96" s="15"/>
      <c r="F96" s="6"/>
      <c r="G96" s="6"/>
      <c r="H96" s="12">
        <f>SUMIF(PoleRates!$E$4:$E$131,"20140101"&amp;C96,PoleRates!$F$4:$F$131)</f>
        <v>3.56</v>
      </c>
      <c r="I96" s="13"/>
      <c r="J96" s="14">
        <v>1</v>
      </c>
      <c r="K96" s="40">
        <f t="shared" si="4"/>
        <v>3.56</v>
      </c>
      <c r="N96" s="43"/>
      <c r="O96" s="43"/>
    </row>
    <row r="97" spans="1:15" ht="12.75" thickBot="1">
      <c r="A97" s="1" t="s">
        <v>1274</v>
      </c>
      <c r="B97" s="1" t="s">
        <v>1197</v>
      </c>
      <c r="C97" s="2" t="s">
        <v>134</v>
      </c>
      <c r="D97" s="3">
        <f t="shared" si="8"/>
        <v>79</v>
      </c>
      <c r="E97" s="11"/>
      <c r="F97" s="4"/>
      <c r="G97" s="4"/>
      <c r="H97" s="12">
        <f>SUMIF(PoleRates!$E$4:$E$131,"20140101"&amp;C97,PoleRates!$F$4:$F$131)</f>
        <v>3.56</v>
      </c>
      <c r="I97" s="13"/>
      <c r="J97" s="14">
        <v>79</v>
      </c>
      <c r="K97" s="40">
        <f t="shared" si="4"/>
        <v>281.24</v>
      </c>
      <c r="N97" s="43"/>
      <c r="O97" s="43"/>
    </row>
    <row r="98" spans="1:15" ht="12.75" thickBot="1">
      <c r="A98" s="1" t="s">
        <v>1274</v>
      </c>
      <c r="B98" s="1" t="s">
        <v>459</v>
      </c>
      <c r="C98" s="1" t="s">
        <v>134</v>
      </c>
      <c r="D98" s="5">
        <f t="shared" si="8"/>
        <v>6</v>
      </c>
      <c r="E98" s="15"/>
      <c r="F98" s="6"/>
      <c r="G98" s="6"/>
      <c r="H98" s="12">
        <f>SUMIF(PoleRates!$E$4:$E$131,"20140101"&amp;C98,PoleRates!$F$4:$F$131)</f>
        <v>3.56</v>
      </c>
      <c r="I98" s="13"/>
      <c r="J98" s="14">
        <v>6</v>
      </c>
      <c r="K98" s="40">
        <f t="shared" si="4"/>
        <v>21.36</v>
      </c>
      <c r="N98" s="43"/>
      <c r="O98" s="43"/>
    </row>
    <row r="99" spans="1:15" ht="12.75" thickBot="1">
      <c r="A99" s="1" t="s">
        <v>1274</v>
      </c>
      <c r="B99" s="1" t="s">
        <v>1197</v>
      </c>
      <c r="C99" s="1" t="s">
        <v>134</v>
      </c>
      <c r="D99" s="3">
        <f t="shared" si="8"/>
        <v>60</v>
      </c>
      <c r="E99" s="11"/>
      <c r="F99" s="4"/>
      <c r="G99" s="4"/>
      <c r="H99" s="12">
        <f>SUMIF(PoleRates!$E$4:$E$131,"20140101"&amp;C99,PoleRates!$F$4:$F$131)</f>
        <v>3.56</v>
      </c>
      <c r="I99" s="13"/>
      <c r="J99" s="14">
        <v>60</v>
      </c>
      <c r="K99" s="40">
        <f t="shared" si="4"/>
        <v>213.6</v>
      </c>
      <c r="N99" s="43"/>
      <c r="O99" s="43"/>
    </row>
    <row r="100" spans="1:15" ht="12.75" thickBot="1">
      <c r="A100" s="1" t="s">
        <v>1274</v>
      </c>
      <c r="B100" s="1" t="s">
        <v>459</v>
      </c>
      <c r="C100" s="2" t="s">
        <v>136</v>
      </c>
      <c r="D100" s="5"/>
      <c r="E100" s="15"/>
      <c r="F100" s="6">
        <f t="shared" ref="F100:F101" si="9">J100</f>
        <v>35</v>
      </c>
      <c r="G100" s="6"/>
      <c r="H100" s="12">
        <f>SUMIF(PoleRates!$E$4:$E$131,"20140101"&amp;C100,PoleRates!$F$4:$F$131)</f>
        <v>11.31</v>
      </c>
      <c r="I100" s="13"/>
      <c r="J100" s="14">
        <v>35</v>
      </c>
      <c r="K100" s="40">
        <f t="shared" si="4"/>
        <v>395.85</v>
      </c>
      <c r="N100" s="43"/>
      <c r="O100" s="43"/>
    </row>
    <row r="101" spans="1:15" ht="12.75" thickBot="1">
      <c r="A101" s="1" t="s">
        <v>1274</v>
      </c>
      <c r="B101" s="1" t="s">
        <v>1197</v>
      </c>
      <c r="C101" s="2" t="s">
        <v>136</v>
      </c>
      <c r="D101" s="4"/>
      <c r="E101" s="4"/>
      <c r="F101" s="3">
        <f t="shared" si="9"/>
        <v>418</v>
      </c>
      <c r="G101" s="11"/>
      <c r="H101" s="12">
        <f>SUMIF(PoleRates!$E$4:$E$131,"20140101"&amp;C101,PoleRates!$F$4:$F$131)</f>
        <v>11.31</v>
      </c>
      <c r="I101" s="13"/>
      <c r="J101" s="14">
        <v>418</v>
      </c>
      <c r="K101" s="40">
        <f t="shared" si="4"/>
        <v>4727.58</v>
      </c>
      <c r="N101" s="43"/>
      <c r="O101" s="43"/>
    </row>
    <row r="102" spans="1:15" ht="12.75" thickBot="1">
      <c r="A102" s="1" t="s">
        <v>1274</v>
      </c>
      <c r="B102" s="1"/>
      <c r="C102" s="17" t="s">
        <v>7</v>
      </c>
      <c r="D102" s="7"/>
      <c r="E102" s="18"/>
      <c r="F102" s="7"/>
      <c r="G102" s="18"/>
      <c r="H102" s="19"/>
      <c r="I102" s="13"/>
      <c r="J102" s="10">
        <v>8567</v>
      </c>
      <c r="K102" s="40">
        <f>SUM(K78:K101)</f>
        <v>27655.68</v>
      </c>
    </row>
    <row r="103" spans="1:15" ht="13.5" thickBot="1">
      <c r="A103" s="2" t="s">
        <v>0</v>
      </c>
      <c r="B103" s="2"/>
      <c r="C103" s="78"/>
      <c r="D103" s="7"/>
      <c r="E103" s="18"/>
      <c r="F103" s="7"/>
      <c r="G103" s="18"/>
      <c r="H103" s="42"/>
      <c r="I103" s="41"/>
      <c r="J103" s="41"/>
      <c r="K103" s="41"/>
      <c r="N103" s="42"/>
      <c r="O103" s="42"/>
    </row>
    <row r="104" spans="1:15" ht="12.75" thickBot="1">
      <c r="A104" s="1" t="s">
        <v>1275</v>
      </c>
      <c r="B104" s="1" t="s">
        <v>459</v>
      </c>
      <c r="C104" s="2" t="s">
        <v>126</v>
      </c>
      <c r="D104" s="4"/>
      <c r="E104" s="4"/>
      <c r="F104" s="3">
        <f>J104</f>
        <v>1655</v>
      </c>
      <c r="G104" s="11"/>
      <c r="H104" s="12">
        <f>SUMIF(PoleRates!$E$4:$E$131,"20140101"&amp;C104,PoleRates!$F$4:$F$131)</f>
        <v>2.06</v>
      </c>
      <c r="I104" s="13"/>
      <c r="J104" s="14">
        <v>1655</v>
      </c>
      <c r="K104" s="40">
        <f t="shared" ref="K104:K127" si="10">H104*J104</f>
        <v>3409.3</v>
      </c>
      <c r="M104" s="10" t="s">
        <v>1320</v>
      </c>
    </row>
    <row r="105" spans="1:15" ht="12.75" thickBot="1">
      <c r="A105" s="1" t="s">
        <v>1275</v>
      </c>
      <c r="B105" s="1" t="s">
        <v>1197</v>
      </c>
      <c r="C105" s="2" t="s">
        <v>126</v>
      </c>
      <c r="D105" s="6"/>
      <c r="E105" s="6"/>
      <c r="F105" s="5">
        <f t="shared" ref="F105:F109" si="11">J105</f>
        <v>5230</v>
      </c>
      <c r="G105" s="15"/>
      <c r="H105" s="12">
        <f>SUMIF(PoleRates!$E$4:$E$131,"20140101"&amp;C105,PoleRates!$F$4:$F$131)</f>
        <v>2.06</v>
      </c>
      <c r="I105" s="13"/>
      <c r="J105" s="14">
        <v>5230</v>
      </c>
      <c r="K105" s="40">
        <f t="shared" si="10"/>
        <v>10773.800000000001</v>
      </c>
    </row>
    <row r="106" spans="1:15" ht="12.75" thickBot="1">
      <c r="A106" s="1" t="s">
        <v>1275</v>
      </c>
      <c r="B106" s="1" t="s">
        <v>459</v>
      </c>
      <c r="C106" s="2" t="s">
        <v>127</v>
      </c>
      <c r="D106" s="4"/>
      <c r="E106" s="4"/>
      <c r="F106" s="3">
        <f t="shared" si="11"/>
        <v>157</v>
      </c>
      <c r="G106" s="11"/>
      <c r="H106" s="12">
        <f>SUMIF(PoleRates!$E$4:$E$131,"20140101"&amp;C106,PoleRates!$F$4:$F$131)</f>
        <v>10.81</v>
      </c>
      <c r="I106" s="13"/>
      <c r="J106" s="14">
        <v>157</v>
      </c>
      <c r="K106" s="40">
        <f t="shared" si="10"/>
        <v>1697.17</v>
      </c>
    </row>
    <row r="107" spans="1:15" ht="12.75" thickBot="1">
      <c r="A107" s="1" t="s">
        <v>1275</v>
      </c>
      <c r="B107" s="1" t="s">
        <v>1197</v>
      </c>
      <c r="C107" s="2" t="s">
        <v>127</v>
      </c>
      <c r="D107" s="5"/>
      <c r="E107" s="15"/>
      <c r="F107" s="6">
        <f t="shared" si="11"/>
        <v>0</v>
      </c>
      <c r="G107" s="6"/>
      <c r="H107" s="12">
        <f>SUMIF(PoleRates!$E$4:$E$131,"20140101"&amp;C107,PoleRates!$F$4:$F$131)</f>
        <v>10.81</v>
      </c>
      <c r="I107" s="13"/>
      <c r="J107" s="14">
        <v>0</v>
      </c>
      <c r="K107" s="40">
        <f t="shared" si="10"/>
        <v>0</v>
      </c>
    </row>
    <row r="108" spans="1:15" ht="12.75" thickBot="1">
      <c r="A108" s="1" t="s">
        <v>1275</v>
      </c>
      <c r="B108" s="1" t="s">
        <v>459</v>
      </c>
      <c r="C108" s="2" t="s">
        <v>128</v>
      </c>
      <c r="D108" s="3"/>
      <c r="E108" s="11"/>
      <c r="F108" s="4">
        <f t="shared" si="11"/>
        <v>277</v>
      </c>
      <c r="G108" s="4"/>
      <c r="H108" s="12">
        <f>SUMIF(PoleRates!$E$4:$E$131,"20140101"&amp;C108,PoleRates!$F$4:$F$131)</f>
        <v>12.9</v>
      </c>
      <c r="I108" s="13"/>
      <c r="J108" s="14">
        <v>277</v>
      </c>
      <c r="K108" s="40">
        <f t="shared" si="10"/>
        <v>3573.3</v>
      </c>
    </row>
    <row r="109" spans="1:15" ht="12.75" thickBot="1">
      <c r="A109" s="1" t="s">
        <v>1275</v>
      </c>
      <c r="B109" s="1" t="s">
        <v>1197</v>
      </c>
      <c r="C109" s="2" t="s">
        <v>128</v>
      </c>
      <c r="D109" s="5"/>
      <c r="E109" s="15"/>
      <c r="F109" s="6">
        <f t="shared" si="11"/>
        <v>3</v>
      </c>
      <c r="G109" s="6"/>
      <c r="H109" s="12">
        <f>SUMIF(PoleRates!$E$4:$E$131,"20140101"&amp;C109,PoleRates!$F$4:$F$131)</f>
        <v>12.9</v>
      </c>
      <c r="I109" s="13"/>
      <c r="J109" s="14">
        <v>3</v>
      </c>
      <c r="K109" s="40">
        <f t="shared" si="10"/>
        <v>38.700000000000003</v>
      </c>
    </row>
    <row r="110" spans="1:15" ht="12.75" thickBot="1">
      <c r="A110" s="1" t="s">
        <v>1275</v>
      </c>
      <c r="B110" s="1" t="s">
        <v>459</v>
      </c>
      <c r="C110" s="1" t="s">
        <v>129</v>
      </c>
      <c r="D110" s="3">
        <f>J110</f>
        <v>32</v>
      </c>
      <c r="E110" s="11"/>
      <c r="F110" s="4"/>
      <c r="G110" s="4"/>
      <c r="H110" s="12">
        <f>SUMIF(PoleRates!$E$4:$E$131,"20140101"&amp;C110,PoleRates!$F$4:$F$131)</f>
        <v>3.47</v>
      </c>
      <c r="I110" s="13"/>
      <c r="J110" s="14">
        <v>32</v>
      </c>
      <c r="K110" s="40">
        <f t="shared" si="10"/>
        <v>111.04</v>
      </c>
    </row>
    <row r="111" spans="1:15" ht="12.75" thickBot="1">
      <c r="A111" s="1" t="s">
        <v>1275</v>
      </c>
      <c r="B111" s="1" t="s">
        <v>1197</v>
      </c>
      <c r="C111" s="1" t="s">
        <v>129</v>
      </c>
      <c r="D111" s="5">
        <f t="shared" ref="D111:D125" si="12">J111</f>
        <v>10</v>
      </c>
      <c r="E111" s="15"/>
      <c r="F111" s="6"/>
      <c r="G111" s="6"/>
      <c r="H111" s="12">
        <f>SUMIF(PoleRates!$E$4:$E$131,"20140101"&amp;C111,PoleRates!$F$4:$F$131)</f>
        <v>3.47</v>
      </c>
      <c r="I111" s="13"/>
      <c r="J111" s="14">
        <v>10</v>
      </c>
      <c r="K111" s="40">
        <f t="shared" si="10"/>
        <v>34.700000000000003</v>
      </c>
    </row>
    <row r="112" spans="1:15" ht="12.75" thickBot="1">
      <c r="A112" s="1" t="s">
        <v>1275</v>
      </c>
      <c r="B112" s="1" t="s">
        <v>459</v>
      </c>
      <c r="C112" s="2" t="s">
        <v>130</v>
      </c>
      <c r="D112" s="3">
        <f t="shared" si="12"/>
        <v>175</v>
      </c>
      <c r="E112" s="11"/>
      <c r="F112" s="4"/>
      <c r="G112" s="4"/>
      <c r="H112" s="12">
        <f>SUMIF(PoleRates!$E$4:$E$131,"20140101"&amp;C112,PoleRates!$F$4:$F$131)</f>
        <v>3.73</v>
      </c>
      <c r="I112" s="13"/>
      <c r="J112" s="14">
        <v>175</v>
      </c>
      <c r="K112" s="40">
        <f t="shared" si="10"/>
        <v>652.75</v>
      </c>
    </row>
    <row r="113" spans="1:11" ht="12.75" thickBot="1">
      <c r="A113" s="1" t="s">
        <v>1275</v>
      </c>
      <c r="B113" s="1" t="s">
        <v>1197</v>
      </c>
      <c r="C113" s="2" t="s">
        <v>130</v>
      </c>
      <c r="D113" s="5">
        <f t="shared" si="12"/>
        <v>3</v>
      </c>
      <c r="E113" s="15"/>
      <c r="F113" s="6"/>
      <c r="G113" s="6"/>
      <c r="H113" s="12">
        <f>SUMIF(PoleRates!$E$4:$E$131,"20140101"&amp;C113,PoleRates!$F$4:$F$131)</f>
        <v>3.73</v>
      </c>
      <c r="I113" s="13"/>
      <c r="J113" s="14">
        <v>3</v>
      </c>
      <c r="K113" s="40">
        <f t="shared" si="10"/>
        <v>11.19</v>
      </c>
    </row>
    <row r="114" spans="1:11" ht="12.75" thickBot="1">
      <c r="A114" s="1" t="s">
        <v>1275</v>
      </c>
      <c r="B114" s="1" t="s">
        <v>459</v>
      </c>
      <c r="C114" s="1" t="s">
        <v>134</v>
      </c>
      <c r="D114" s="4">
        <f t="shared" si="12"/>
        <v>179</v>
      </c>
      <c r="E114" s="4"/>
      <c r="F114" s="3"/>
      <c r="G114" s="11"/>
      <c r="H114" s="12">
        <f>SUMIF(PoleRates!$E$4:$E$131,"20140101"&amp;C114,PoleRates!$F$4:$F$131)</f>
        <v>3.56</v>
      </c>
      <c r="I114" s="13"/>
      <c r="J114" s="14">
        <v>179</v>
      </c>
      <c r="K114" s="40">
        <f t="shared" si="10"/>
        <v>637.24</v>
      </c>
    </row>
    <row r="115" spans="1:11" ht="12.75" thickBot="1">
      <c r="A115" s="1" t="s">
        <v>1275</v>
      </c>
      <c r="B115" s="1" t="s">
        <v>1197</v>
      </c>
      <c r="C115" s="1" t="s">
        <v>134</v>
      </c>
      <c r="D115" s="4">
        <f t="shared" si="12"/>
        <v>56</v>
      </c>
      <c r="E115" s="4"/>
      <c r="F115" s="3"/>
      <c r="G115" s="11"/>
      <c r="H115" s="12">
        <f>SUMIF(PoleRates!$E$4:$E$131,"20140101"&amp;C115,PoleRates!$F$4:$F$131)</f>
        <v>3.56</v>
      </c>
      <c r="I115" s="13"/>
      <c r="J115" s="14">
        <v>56</v>
      </c>
      <c r="K115" s="40">
        <f t="shared" si="10"/>
        <v>199.36</v>
      </c>
    </row>
    <row r="116" spans="1:11" ht="12.75" thickBot="1">
      <c r="A116" s="1" t="s">
        <v>1275</v>
      </c>
      <c r="B116" s="1" t="s">
        <v>459</v>
      </c>
      <c r="C116" s="1" t="s">
        <v>134</v>
      </c>
      <c r="D116" s="6">
        <f t="shared" si="12"/>
        <v>53</v>
      </c>
      <c r="E116" s="6"/>
      <c r="F116" s="5"/>
      <c r="G116" s="15"/>
      <c r="H116" s="12">
        <f>SUMIF(PoleRates!$E$4:$E$131,"20140101"&amp;C116,PoleRates!$F$4:$F$131)</f>
        <v>3.56</v>
      </c>
      <c r="I116" s="13"/>
      <c r="J116" s="14">
        <v>53</v>
      </c>
      <c r="K116" s="40">
        <f t="shared" si="10"/>
        <v>188.68</v>
      </c>
    </row>
    <row r="117" spans="1:11" ht="12.75" thickBot="1">
      <c r="A117" s="1" t="s">
        <v>1275</v>
      </c>
      <c r="B117" s="1" t="s">
        <v>1197</v>
      </c>
      <c r="C117" s="1" t="s">
        <v>134</v>
      </c>
      <c r="D117" s="4">
        <f t="shared" si="12"/>
        <v>112</v>
      </c>
      <c r="E117" s="4"/>
      <c r="F117" s="3"/>
      <c r="G117" s="11"/>
      <c r="H117" s="12">
        <f>SUMIF(PoleRates!$E$4:$E$131,"20140101"&amp;C117,PoleRates!$F$4:$F$131)</f>
        <v>3.56</v>
      </c>
      <c r="I117" s="13"/>
      <c r="J117" s="14">
        <v>112</v>
      </c>
      <c r="K117" s="40">
        <f t="shared" si="10"/>
        <v>398.72</v>
      </c>
    </row>
    <row r="118" spans="1:11" ht="12.75" thickBot="1">
      <c r="A118" s="1" t="s">
        <v>1275</v>
      </c>
      <c r="B118" s="1" t="s">
        <v>459</v>
      </c>
      <c r="C118" s="1" t="s">
        <v>129</v>
      </c>
      <c r="D118" s="5">
        <f t="shared" si="12"/>
        <v>45</v>
      </c>
      <c r="E118" s="15"/>
      <c r="F118" s="6"/>
      <c r="G118" s="6"/>
      <c r="H118" s="12">
        <f>SUMIF(PoleRates!$E$4:$E$131,"20140101"&amp;C118,PoleRates!$F$4:$F$131)</f>
        <v>3.47</v>
      </c>
      <c r="I118" s="13"/>
      <c r="J118" s="14">
        <v>45</v>
      </c>
      <c r="K118" s="40">
        <f t="shared" si="10"/>
        <v>156.15</v>
      </c>
    </row>
    <row r="119" spans="1:11" ht="12.75" thickBot="1">
      <c r="A119" s="1" t="s">
        <v>1275</v>
      </c>
      <c r="B119" s="1" t="s">
        <v>1197</v>
      </c>
      <c r="C119" s="1" t="s">
        <v>129</v>
      </c>
      <c r="D119" s="3">
        <f t="shared" si="12"/>
        <v>3</v>
      </c>
      <c r="E119" s="11"/>
      <c r="F119" s="4"/>
      <c r="G119" s="4"/>
      <c r="H119" s="12">
        <f>SUMIF(PoleRates!$E$4:$E$131,"20140101"&amp;C119,PoleRates!$F$4:$F$131)</f>
        <v>3.47</v>
      </c>
      <c r="I119" s="13"/>
      <c r="J119" s="14">
        <v>3</v>
      </c>
      <c r="K119" s="40">
        <f t="shared" si="10"/>
        <v>10.41</v>
      </c>
    </row>
    <row r="120" spans="1:11" ht="12.75" thickBot="1">
      <c r="A120" s="1" t="s">
        <v>1275</v>
      </c>
      <c r="B120" s="1" t="s">
        <v>459</v>
      </c>
      <c r="C120" s="2" t="s">
        <v>130</v>
      </c>
      <c r="D120" s="5">
        <f t="shared" si="12"/>
        <v>20</v>
      </c>
      <c r="E120" s="15"/>
      <c r="F120" s="6"/>
      <c r="G120" s="6"/>
      <c r="H120" s="12">
        <f>SUMIF(PoleRates!$E$4:$E$131,"20140101"&amp;C120,PoleRates!$F$4:$F$131)</f>
        <v>3.73</v>
      </c>
      <c r="I120" s="13"/>
      <c r="J120" s="14">
        <v>20</v>
      </c>
      <c r="K120" s="40">
        <f t="shared" si="10"/>
        <v>74.599999999999994</v>
      </c>
    </row>
    <row r="121" spans="1:11" ht="12.75" thickBot="1">
      <c r="A121" s="1" t="s">
        <v>1275</v>
      </c>
      <c r="B121" s="1" t="s">
        <v>1197</v>
      </c>
      <c r="C121" s="2" t="s">
        <v>130</v>
      </c>
      <c r="D121" s="3">
        <f t="shared" si="12"/>
        <v>68</v>
      </c>
      <c r="E121" s="11"/>
      <c r="F121" s="4"/>
      <c r="G121" s="4"/>
      <c r="H121" s="12">
        <f>SUMIF(PoleRates!$E$4:$E$131,"20140101"&amp;C121,PoleRates!$F$4:$F$131)</f>
        <v>3.73</v>
      </c>
      <c r="I121" s="13"/>
      <c r="J121" s="14">
        <v>68</v>
      </c>
      <c r="K121" s="40">
        <f t="shared" si="10"/>
        <v>253.64</v>
      </c>
    </row>
    <row r="122" spans="1:11" ht="12.75" thickBot="1">
      <c r="A122" s="1" t="s">
        <v>1275</v>
      </c>
      <c r="B122" s="1" t="s">
        <v>459</v>
      </c>
      <c r="C122" s="2" t="s">
        <v>134</v>
      </c>
      <c r="D122" s="5">
        <f t="shared" si="12"/>
        <v>1</v>
      </c>
      <c r="E122" s="15"/>
      <c r="F122" s="6"/>
      <c r="G122" s="6"/>
      <c r="H122" s="12">
        <f>SUMIF(PoleRates!$E$4:$E$131,"20140101"&amp;C122,PoleRates!$F$4:$F$131)</f>
        <v>3.56</v>
      </c>
      <c r="I122" s="13"/>
      <c r="J122" s="14">
        <v>1</v>
      </c>
      <c r="K122" s="40">
        <f t="shared" si="10"/>
        <v>3.56</v>
      </c>
    </row>
    <row r="123" spans="1:11" ht="12.75" thickBot="1">
      <c r="A123" s="1" t="s">
        <v>1275</v>
      </c>
      <c r="B123" s="1" t="s">
        <v>1197</v>
      </c>
      <c r="C123" s="2" t="s">
        <v>134</v>
      </c>
      <c r="D123" s="3">
        <f t="shared" si="12"/>
        <v>79</v>
      </c>
      <c r="E123" s="11"/>
      <c r="F123" s="4"/>
      <c r="G123" s="4"/>
      <c r="H123" s="12">
        <f>SUMIF(PoleRates!$E$4:$E$131,"20140101"&amp;C123,PoleRates!$F$4:$F$131)</f>
        <v>3.56</v>
      </c>
      <c r="I123" s="13"/>
      <c r="J123" s="14">
        <v>79</v>
      </c>
      <c r="K123" s="40">
        <f t="shared" si="10"/>
        <v>281.24</v>
      </c>
    </row>
    <row r="124" spans="1:11" ht="12.75" thickBot="1">
      <c r="A124" s="1" t="s">
        <v>1275</v>
      </c>
      <c r="B124" s="1" t="s">
        <v>459</v>
      </c>
      <c r="C124" s="1" t="s">
        <v>134</v>
      </c>
      <c r="D124" s="5">
        <f t="shared" si="12"/>
        <v>6</v>
      </c>
      <c r="E124" s="15"/>
      <c r="F124" s="6"/>
      <c r="G124" s="6"/>
      <c r="H124" s="12">
        <f>SUMIF(PoleRates!$E$4:$E$131,"20140101"&amp;C124,PoleRates!$F$4:$F$131)</f>
        <v>3.56</v>
      </c>
      <c r="I124" s="13"/>
      <c r="J124" s="14">
        <v>6</v>
      </c>
      <c r="K124" s="40">
        <f t="shared" si="10"/>
        <v>21.36</v>
      </c>
    </row>
    <row r="125" spans="1:11" ht="12.75" thickBot="1">
      <c r="A125" s="1" t="s">
        <v>1275</v>
      </c>
      <c r="B125" s="1" t="s">
        <v>1197</v>
      </c>
      <c r="C125" s="1" t="s">
        <v>134</v>
      </c>
      <c r="D125" s="3">
        <f t="shared" si="12"/>
        <v>60</v>
      </c>
      <c r="E125" s="11"/>
      <c r="F125" s="4"/>
      <c r="G125" s="4"/>
      <c r="H125" s="12">
        <f>SUMIF(PoleRates!$E$4:$E$131,"20140101"&amp;C125,PoleRates!$F$4:$F$131)</f>
        <v>3.56</v>
      </c>
      <c r="I125" s="13"/>
      <c r="J125" s="14">
        <v>60</v>
      </c>
      <c r="K125" s="40">
        <f t="shared" si="10"/>
        <v>213.6</v>
      </c>
    </row>
    <row r="126" spans="1:11" ht="12.75" thickBot="1">
      <c r="A126" s="1" t="s">
        <v>1275</v>
      </c>
      <c r="B126" s="1" t="s">
        <v>459</v>
      </c>
      <c r="C126" s="2" t="s">
        <v>136</v>
      </c>
      <c r="D126" s="5"/>
      <c r="E126" s="15"/>
      <c r="F126" s="6">
        <f t="shared" ref="F126:F127" si="13">J126</f>
        <v>37</v>
      </c>
      <c r="G126" s="6"/>
      <c r="H126" s="12">
        <f>SUMIF(PoleRates!$E$4:$E$131,"20140101"&amp;C126,PoleRates!$F$4:$F$131)</f>
        <v>11.31</v>
      </c>
      <c r="I126" s="13"/>
      <c r="J126" s="14">
        <v>37</v>
      </c>
      <c r="K126" s="40">
        <f t="shared" si="10"/>
        <v>418.47</v>
      </c>
    </row>
    <row r="127" spans="1:11" ht="12.75" thickBot="1">
      <c r="A127" s="1" t="s">
        <v>1275</v>
      </c>
      <c r="B127" s="1" t="s">
        <v>1197</v>
      </c>
      <c r="C127" s="2" t="s">
        <v>136</v>
      </c>
      <c r="D127" s="4"/>
      <c r="E127" s="4"/>
      <c r="F127" s="3">
        <f t="shared" si="13"/>
        <v>421</v>
      </c>
      <c r="G127" s="11"/>
      <c r="H127" s="12">
        <f>SUMIF(PoleRates!$E$4:$E$131,"20140101"&amp;C127,PoleRates!$F$4:$F$131)</f>
        <v>11.31</v>
      </c>
      <c r="I127" s="13"/>
      <c r="J127" s="14">
        <v>421</v>
      </c>
      <c r="K127" s="40">
        <f t="shared" si="10"/>
        <v>4761.51</v>
      </c>
    </row>
    <row r="128" spans="1:11" ht="12.75" thickBot="1">
      <c r="A128" s="1" t="s">
        <v>1275</v>
      </c>
      <c r="B128" s="1"/>
      <c r="C128" s="17" t="s">
        <v>7</v>
      </c>
      <c r="D128" s="7"/>
      <c r="E128" s="18"/>
      <c r="F128" s="7"/>
      <c r="G128" s="18"/>
      <c r="H128" s="19"/>
      <c r="I128" s="13"/>
      <c r="K128" s="40">
        <f>SUM(K104:K127)</f>
        <v>27920.490000000013</v>
      </c>
    </row>
    <row r="129" spans="1:13" ht="12.75" thickBot="1">
      <c r="A129" s="2" t="s">
        <v>0</v>
      </c>
      <c r="B129" s="2"/>
      <c r="C129" s="2" t="s">
        <v>121</v>
      </c>
      <c r="D129" s="2" t="s">
        <v>122</v>
      </c>
      <c r="E129" s="2" t="s">
        <v>123</v>
      </c>
      <c r="F129" s="2" t="s">
        <v>124</v>
      </c>
      <c r="G129" s="2"/>
      <c r="H129" s="8"/>
      <c r="I129" s="13"/>
    </row>
    <row r="130" spans="1:13" ht="12.75" thickBot="1">
      <c r="A130" s="1" t="s">
        <v>1284</v>
      </c>
      <c r="B130" s="1" t="s">
        <v>459</v>
      </c>
      <c r="C130" s="2" t="s">
        <v>126</v>
      </c>
      <c r="D130" s="4"/>
      <c r="E130" s="4"/>
      <c r="F130" s="3">
        <f>J130</f>
        <v>1627</v>
      </c>
      <c r="G130" s="11"/>
      <c r="H130" s="12">
        <f>SUMIF(PoleRates!$E$4:$E$131,"20140101"&amp;C130,PoleRates!$F$4:$F$131)</f>
        <v>2.06</v>
      </c>
      <c r="I130" s="13"/>
      <c r="J130" s="14">
        <v>1627</v>
      </c>
      <c r="K130" s="40">
        <f t="shared" ref="K130:K153" si="14">H130*J130</f>
        <v>3351.62</v>
      </c>
      <c r="M130" s="10" t="s">
        <v>1319</v>
      </c>
    </row>
    <row r="131" spans="1:13" ht="12.75" thickBot="1">
      <c r="A131" s="1" t="s">
        <v>1284</v>
      </c>
      <c r="B131" s="1" t="s">
        <v>1197</v>
      </c>
      <c r="C131" s="2" t="s">
        <v>126</v>
      </c>
      <c r="D131" s="6"/>
      <c r="E131" s="6"/>
      <c r="F131" s="5">
        <f t="shared" ref="F131:F135" si="15">J131</f>
        <v>5212</v>
      </c>
      <c r="G131" s="15"/>
      <c r="H131" s="12">
        <f>SUMIF(PoleRates!$E$4:$E$131,"20140101"&amp;C131,PoleRates!$F$4:$F$131)</f>
        <v>2.06</v>
      </c>
      <c r="I131" s="13"/>
      <c r="J131" s="14">
        <v>5212</v>
      </c>
      <c r="K131" s="40">
        <f t="shared" si="14"/>
        <v>10736.720000000001</v>
      </c>
    </row>
    <row r="132" spans="1:13" ht="12.75" thickBot="1">
      <c r="A132" s="1" t="s">
        <v>1284</v>
      </c>
      <c r="B132" s="1" t="s">
        <v>459</v>
      </c>
      <c r="C132" s="2" t="s">
        <v>127</v>
      </c>
      <c r="D132" s="4"/>
      <c r="E132" s="4"/>
      <c r="F132" s="3">
        <f t="shared" si="15"/>
        <v>155</v>
      </c>
      <c r="G132" s="11"/>
      <c r="H132" s="12">
        <f>SUMIF(PoleRates!$E$4:$E$131,"20140101"&amp;C132,PoleRates!$F$4:$F$131)</f>
        <v>10.81</v>
      </c>
      <c r="I132" s="13"/>
      <c r="J132" s="14">
        <v>155</v>
      </c>
      <c r="K132" s="40">
        <f t="shared" si="14"/>
        <v>1675.5500000000002</v>
      </c>
    </row>
    <row r="133" spans="1:13" ht="12.75" thickBot="1">
      <c r="A133" s="1" t="s">
        <v>1284</v>
      </c>
      <c r="B133" s="1" t="s">
        <v>1197</v>
      </c>
      <c r="C133" s="2" t="s">
        <v>127</v>
      </c>
      <c r="D133" s="5"/>
      <c r="E133" s="15"/>
      <c r="F133" s="6">
        <f t="shared" si="15"/>
        <v>0</v>
      </c>
      <c r="G133" s="6"/>
      <c r="H133" s="12">
        <f>SUMIF(PoleRates!$E$4:$E$131,"20140101"&amp;C133,PoleRates!$F$4:$F$131)</f>
        <v>10.81</v>
      </c>
      <c r="I133" s="13"/>
      <c r="J133" s="14">
        <v>0</v>
      </c>
      <c r="K133" s="40">
        <f t="shared" si="14"/>
        <v>0</v>
      </c>
    </row>
    <row r="134" spans="1:13" ht="12.75" thickBot="1">
      <c r="A134" s="1" t="s">
        <v>1284</v>
      </c>
      <c r="B134" s="1" t="s">
        <v>459</v>
      </c>
      <c r="C134" s="2" t="s">
        <v>128</v>
      </c>
      <c r="D134" s="3"/>
      <c r="E134" s="11"/>
      <c r="F134" s="4">
        <f t="shared" si="15"/>
        <v>277</v>
      </c>
      <c r="G134" s="4"/>
      <c r="H134" s="12">
        <f>SUMIF(PoleRates!$E$4:$E$131,"20140101"&amp;C134,PoleRates!$F$4:$F$131)</f>
        <v>12.9</v>
      </c>
      <c r="I134" s="13"/>
      <c r="J134" s="14">
        <v>277</v>
      </c>
      <c r="K134" s="40">
        <f t="shared" si="14"/>
        <v>3573.3</v>
      </c>
    </row>
    <row r="135" spans="1:13" ht="12.75" thickBot="1">
      <c r="A135" s="1" t="s">
        <v>1284</v>
      </c>
      <c r="B135" s="1" t="s">
        <v>1197</v>
      </c>
      <c r="C135" s="2" t="s">
        <v>128</v>
      </c>
      <c r="D135" s="5"/>
      <c r="E135" s="15"/>
      <c r="F135" s="6">
        <f t="shared" si="15"/>
        <v>3</v>
      </c>
      <c r="G135" s="6"/>
      <c r="H135" s="12">
        <f>SUMIF(PoleRates!$E$4:$E$131,"20140101"&amp;C135,PoleRates!$F$4:$F$131)</f>
        <v>12.9</v>
      </c>
      <c r="I135" s="13"/>
      <c r="J135" s="14">
        <v>3</v>
      </c>
      <c r="K135" s="40">
        <f t="shared" si="14"/>
        <v>38.700000000000003</v>
      </c>
    </row>
    <row r="136" spans="1:13" ht="12.75" thickBot="1">
      <c r="A136" s="1" t="s">
        <v>1284</v>
      </c>
      <c r="B136" s="1" t="s">
        <v>459</v>
      </c>
      <c r="C136" s="1" t="s">
        <v>129</v>
      </c>
      <c r="D136" s="3">
        <f>J136</f>
        <v>30</v>
      </c>
      <c r="E136" s="11"/>
      <c r="F136" s="4"/>
      <c r="G136" s="4"/>
      <c r="H136" s="12">
        <f>SUMIF(PoleRates!$E$4:$E$131,"20140101"&amp;C136,PoleRates!$F$4:$F$131)</f>
        <v>3.47</v>
      </c>
      <c r="I136" s="13"/>
      <c r="J136" s="14">
        <v>30</v>
      </c>
      <c r="K136" s="40">
        <f t="shared" si="14"/>
        <v>104.10000000000001</v>
      </c>
    </row>
    <row r="137" spans="1:13" ht="12.75" thickBot="1">
      <c r="A137" s="1" t="s">
        <v>1284</v>
      </c>
      <c r="B137" s="1" t="s">
        <v>1197</v>
      </c>
      <c r="C137" s="1" t="s">
        <v>129</v>
      </c>
      <c r="D137" s="5">
        <f t="shared" ref="D137:D151" si="16">J137</f>
        <v>10</v>
      </c>
      <c r="E137" s="15"/>
      <c r="F137" s="6"/>
      <c r="G137" s="6"/>
      <c r="H137" s="12">
        <f>SUMIF(PoleRates!$E$4:$E$131,"20140101"&amp;C137,PoleRates!$F$4:$F$131)</f>
        <v>3.47</v>
      </c>
      <c r="I137" s="13"/>
      <c r="J137" s="14">
        <v>10</v>
      </c>
      <c r="K137" s="40">
        <f t="shared" si="14"/>
        <v>34.700000000000003</v>
      </c>
    </row>
    <row r="138" spans="1:13" ht="12.75" thickBot="1">
      <c r="A138" s="1" t="s">
        <v>1284</v>
      </c>
      <c r="B138" s="1" t="s">
        <v>459</v>
      </c>
      <c r="C138" s="2" t="s">
        <v>130</v>
      </c>
      <c r="D138" s="3">
        <f t="shared" si="16"/>
        <v>175</v>
      </c>
      <c r="E138" s="11"/>
      <c r="F138" s="4"/>
      <c r="G138" s="4"/>
      <c r="H138" s="12">
        <f>SUMIF(PoleRates!$E$4:$E$131,"20140101"&amp;C138,PoleRates!$F$4:$F$131)</f>
        <v>3.73</v>
      </c>
      <c r="I138" s="13"/>
      <c r="J138" s="14">
        <v>175</v>
      </c>
      <c r="K138" s="40">
        <f t="shared" si="14"/>
        <v>652.75</v>
      </c>
    </row>
    <row r="139" spans="1:13" ht="12.75" thickBot="1">
      <c r="A139" s="1" t="s">
        <v>1284</v>
      </c>
      <c r="B139" s="1" t="s">
        <v>1197</v>
      </c>
      <c r="C139" s="2" t="s">
        <v>130</v>
      </c>
      <c r="D139" s="5">
        <f t="shared" si="16"/>
        <v>3</v>
      </c>
      <c r="E139" s="15"/>
      <c r="F139" s="6"/>
      <c r="G139" s="6"/>
      <c r="H139" s="12">
        <f>SUMIF(PoleRates!$E$4:$E$131,"20140101"&amp;C139,PoleRates!$F$4:$F$131)</f>
        <v>3.73</v>
      </c>
      <c r="I139" s="13"/>
      <c r="J139" s="14">
        <v>3</v>
      </c>
      <c r="K139" s="40">
        <f t="shared" si="14"/>
        <v>11.19</v>
      </c>
    </row>
    <row r="140" spans="1:13" ht="12.75" thickBot="1">
      <c r="A140" s="1" t="s">
        <v>1284</v>
      </c>
      <c r="B140" s="1" t="s">
        <v>459</v>
      </c>
      <c r="C140" s="1" t="s">
        <v>134</v>
      </c>
      <c r="D140" s="4">
        <f t="shared" si="16"/>
        <v>179</v>
      </c>
      <c r="E140" s="4"/>
      <c r="F140" s="3"/>
      <c r="G140" s="11"/>
      <c r="H140" s="12">
        <f>SUMIF(PoleRates!$E$4:$E$131,"20140101"&amp;C140,PoleRates!$F$4:$F$131)</f>
        <v>3.56</v>
      </c>
      <c r="I140" s="13"/>
      <c r="J140" s="14">
        <v>179</v>
      </c>
      <c r="K140" s="40">
        <f t="shared" si="14"/>
        <v>637.24</v>
      </c>
    </row>
    <row r="141" spans="1:13" ht="12.75" thickBot="1">
      <c r="A141" s="1" t="s">
        <v>1284</v>
      </c>
      <c r="B141" s="1" t="s">
        <v>1197</v>
      </c>
      <c r="C141" s="1" t="s">
        <v>134</v>
      </c>
      <c r="D141" s="4">
        <f t="shared" si="16"/>
        <v>56</v>
      </c>
      <c r="E141" s="4"/>
      <c r="F141" s="3"/>
      <c r="G141" s="11"/>
      <c r="H141" s="12">
        <f>SUMIF(PoleRates!$E$4:$E$131,"20140101"&amp;C141,PoleRates!$F$4:$F$131)</f>
        <v>3.56</v>
      </c>
      <c r="I141" s="13"/>
      <c r="J141" s="14">
        <v>56</v>
      </c>
      <c r="K141" s="40">
        <f t="shared" si="14"/>
        <v>199.36</v>
      </c>
    </row>
    <row r="142" spans="1:13" ht="12.75" thickBot="1">
      <c r="A142" s="1" t="s">
        <v>1284</v>
      </c>
      <c r="B142" s="1" t="s">
        <v>459</v>
      </c>
      <c r="C142" s="1" t="s">
        <v>134</v>
      </c>
      <c r="D142" s="6">
        <f t="shared" si="16"/>
        <v>53</v>
      </c>
      <c r="E142" s="6"/>
      <c r="F142" s="5"/>
      <c r="G142" s="15"/>
      <c r="H142" s="12">
        <f>SUMIF(PoleRates!$E$4:$E$131,"20140101"&amp;C142,PoleRates!$F$4:$F$131)</f>
        <v>3.56</v>
      </c>
      <c r="I142" s="13"/>
      <c r="J142" s="14">
        <v>53</v>
      </c>
      <c r="K142" s="40">
        <f t="shared" si="14"/>
        <v>188.68</v>
      </c>
    </row>
    <row r="143" spans="1:13" ht="12.75" thickBot="1">
      <c r="A143" s="1" t="s">
        <v>1284</v>
      </c>
      <c r="B143" s="1" t="s">
        <v>1197</v>
      </c>
      <c r="C143" s="1" t="s">
        <v>134</v>
      </c>
      <c r="D143" s="4">
        <f t="shared" si="16"/>
        <v>112</v>
      </c>
      <c r="E143" s="4"/>
      <c r="F143" s="3"/>
      <c r="G143" s="11"/>
      <c r="H143" s="12">
        <f>SUMIF(PoleRates!$E$4:$E$131,"20140101"&amp;C143,PoleRates!$F$4:$F$131)</f>
        <v>3.56</v>
      </c>
      <c r="I143" s="13"/>
      <c r="J143" s="14">
        <v>112</v>
      </c>
      <c r="K143" s="40">
        <f t="shared" si="14"/>
        <v>398.72</v>
      </c>
    </row>
    <row r="144" spans="1:13" ht="12.75" thickBot="1">
      <c r="A144" s="1" t="s">
        <v>1284</v>
      </c>
      <c r="B144" s="1" t="s">
        <v>459</v>
      </c>
      <c r="C144" s="1" t="s">
        <v>129</v>
      </c>
      <c r="D144" s="5">
        <f t="shared" si="16"/>
        <v>45</v>
      </c>
      <c r="E144" s="15"/>
      <c r="F144" s="6"/>
      <c r="G144" s="6"/>
      <c r="H144" s="12">
        <f>SUMIF(PoleRates!$E$4:$E$131,"20140101"&amp;C144,PoleRates!$F$4:$F$131)</f>
        <v>3.47</v>
      </c>
      <c r="I144" s="13"/>
      <c r="J144" s="14">
        <v>45</v>
      </c>
      <c r="K144" s="40">
        <f t="shared" si="14"/>
        <v>156.15</v>
      </c>
    </row>
    <row r="145" spans="1:16" ht="12.75" thickBot="1">
      <c r="A145" s="1" t="s">
        <v>1284</v>
      </c>
      <c r="B145" s="1" t="s">
        <v>1197</v>
      </c>
      <c r="C145" s="1" t="s">
        <v>129</v>
      </c>
      <c r="D145" s="3">
        <f t="shared" si="16"/>
        <v>3</v>
      </c>
      <c r="E145" s="11"/>
      <c r="F145" s="4"/>
      <c r="G145" s="4"/>
      <c r="H145" s="12">
        <f>SUMIF(PoleRates!$E$4:$E$131,"20140101"&amp;C145,PoleRates!$F$4:$F$131)</f>
        <v>3.47</v>
      </c>
      <c r="I145" s="13"/>
      <c r="J145" s="14">
        <v>3</v>
      </c>
      <c r="K145" s="40">
        <f t="shared" si="14"/>
        <v>10.41</v>
      </c>
    </row>
    <row r="146" spans="1:16" ht="12.75" thickBot="1">
      <c r="A146" s="1" t="s">
        <v>1284</v>
      </c>
      <c r="B146" s="1" t="s">
        <v>459</v>
      </c>
      <c r="C146" s="2" t="s">
        <v>130</v>
      </c>
      <c r="D146" s="5">
        <f t="shared" si="16"/>
        <v>20</v>
      </c>
      <c r="E146" s="15"/>
      <c r="F146" s="6"/>
      <c r="G146" s="6"/>
      <c r="H146" s="12">
        <f>SUMIF(PoleRates!$E$4:$E$131,"20140101"&amp;C146,PoleRates!$F$4:$F$131)</f>
        <v>3.73</v>
      </c>
      <c r="I146" s="13"/>
      <c r="J146" s="14">
        <v>20</v>
      </c>
      <c r="K146" s="40">
        <f t="shared" si="14"/>
        <v>74.599999999999994</v>
      </c>
    </row>
    <row r="147" spans="1:16" ht="12.75" thickBot="1">
      <c r="A147" s="1" t="s">
        <v>1284</v>
      </c>
      <c r="B147" s="1" t="s">
        <v>1197</v>
      </c>
      <c r="C147" s="2" t="s">
        <v>130</v>
      </c>
      <c r="D147" s="3">
        <f t="shared" si="16"/>
        <v>72</v>
      </c>
      <c r="E147" s="11"/>
      <c r="F147" s="4"/>
      <c r="G147" s="4"/>
      <c r="H147" s="12">
        <f>SUMIF(PoleRates!$E$4:$E$131,"20140101"&amp;C147,PoleRates!$F$4:$F$131)</f>
        <v>3.73</v>
      </c>
      <c r="I147" s="13"/>
      <c r="J147" s="14">
        <v>72</v>
      </c>
      <c r="K147" s="40">
        <f t="shared" si="14"/>
        <v>268.56</v>
      </c>
    </row>
    <row r="148" spans="1:16" ht="12.75" thickBot="1">
      <c r="A148" s="1" t="s">
        <v>1284</v>
      </c>
      <c r="B148" s="1" t="s">
        <v>459</v>
      </c>
      <c r="C148" s="2" t="s">
        <v>134</v>
      </c>
      <c r="D148" s="5">
        <f t="shared" si="16"/>
        <v>1</v>
      </c>
      <c r="E148" s="15"/>
      <c r="F148" s="6"/>
      <c r="G148" s="6"/>
      <c r="H148" s="12">
        <f>SUMIF(PoleRates!$E$4:$E$131,"20140101"&amp;C148,PoleRates!$F$4:$F$131)</f>
        <v>3.56</v>
      </c>
      <c r="I148" s="13"/>
      <c r="J148" s="14">
        <v>1</v>
      </c>
      <c r="K148" s="40">
        <f t="shared" si="14"/>
        <v>3.56</v>
      </c>
    </row>
    <row r="149" spans="1:16" ht="12.75" thickBot="1">
      <c r="A149" s="1" t="s">
        <v>1284</v>
      </c>
      <c r="B149" s="1" t="s">
        <v>1197</v>
      </c>
      <c r="C149" s="2" t="s">
        <v>134</v>
      </c>
      <c r="D149" s="3">
        <f t="shared" si="16"/>
        <v>79</v>
      </c>
      <c r="E149" s="11"/>
      <c r="F149" s="4"/>
      <c r="G149" s="4"/>
      <c r="H149" s="12">
        <f>SUMIF(PoleRates!$E$4:$E$131,"20140101"&amp;C149,PoleRates!$F$4:$F$131)</f>
        <v>3.56</v>
      </c>
      <c r="I149" s="13"/>
      <c r="J149" s="14">
        <v>79</v>
      </c>
      <c r="K149" s="40">
        <f t="shared" si="14"/>
        <v>281.24</v>
      </c>
    </row>
    <row r="150" spans="1:16" ht="12.75" thickBot="1">
      <c r="A150" s="1" t="s">
        <v>1284</v>
      </c>
      <c r="B150" s="1" t="s">
        <v>459</v>
      </c>
      <c r="C150" s="1" t="s">
        <v>134</v>
      </c>
      <c r="D150" s="5">
        <f t="shared" si="16"/>
        <v>6</v>
      </c>
      <c r="E150" s="15"/>
      <c r="F150" s="6"/>
      <c r="G150" s="6"/>
      <c r="H150" s="12">
        <f>SUMIF(PoleRates!$E$4:$E$131,"20140101"&amp;C150,PoleRates!$F$4:$F$131)</f>
        <v>3.56</v>
      </c>
      <c r="I150" s="13"/>
      <c r="J150" s="14">
        <v>6</v>
      </c>
      <c r="K150" s="40">
        <f t="shared" si="14"/>
        <v>21.36</v>
      </c>
    </row>
    <row r="151" spans="1:16" ht="12.75" thickBot="1">
      <c r="A151" s="1" t="s">
        <v>1284</v>
      </c>
      <c r="B151" s="1" t="s">
        <v>1197</v>
      </c>
      <c r="C151" s="1" t="s">
        <v>134</v>
      </c>
      <c r="D151" s="3">
        <f t="shared" si="16"/>
        <v>60</v>
      </c>
      <c r="E151" s="11"/>
      <c r="F151" s="4"/>
      <c r="G151" s="4"/>
      <c r="H151" s="12">
        <f>SUMIF(PoleRates!$E$4:$E$131,"20140101"&amp;C151,PoleRates!$F$4:$F$131)</f>
        <v>3.56</v>
      </c>
      <c r="I151" s="13"/>
      <c r="J151" s="14">
        <v>60</v>
      </c>
      <c r="K151" s="40">
        <f t="shared" si="14"/>
        <v>213.6</v>
      </c>
    </row>
    <row r="152" spans="1:16" ht="12.75" thickBot="1">
      <c r="A152" s="1" t="s">
        <v>1284</v>
      </c>
      <c r="B152" s="1" t="s">
        <v>459</v>
      </c>
      <c r="C152" s="2" t="s">
        <v>136</v>
      </c>
      <c r="D152" s="5"/>
      <c r="E152" s="15"/>
      <c r="F152" s="6">
        <f t="shared" ref="F152:F153" si="17">J152</f>
        <v>36</v>
      </c>
      <c r="G152" s="6"/>
      <c r="H152" s="12">
        <f>SUMIF(PoleRates!$E$4:$E$131,"20140101"&amp;C152,PoleRates!$F$4:$F$131)</f>
        <v>11.31</v>
      </c>
      <c r="I152" s="13"/>
      <c r="J152" s="14">
        <v>36</v>
      </c>
      <c r="K152" s="40">
        <f t="shared" si="14"/>
        <v>407.16</v>
      </c>
    </row>
    <row r="153" spans="1:16" ht="12.75" thickBot="1">
      <c r="A153" s="1" t="s">
        <v>1284</v>
      </c>
      <c r="B153" s="1" t="s">
        <v>1197</v>
      </c>
      <c r="C153" s="2" t="s">
        <v>136</v>
      </c>
      <c r="D153" s="4"/>
      <c r="E153" s="4"/>
      <c r="F153" s="3">
        <f t="shared" si="17"/>
        <v>416</v>
      </c>
      <c r="G153" s="11"/>
      <c r="H153" s="12">
        <f>SUMIF(PoleRates!$E$4:$E$131,"20140101"&amp;C153,PoleRates!$F$4:$F$131)</f>
        <v>11.31</v>
      </c>
      <c r="I153" s="13"/>
      <c r="J153" s="14">
        <v>416</v>
      </c>
      <c r="K153" s="40">
        <f t="shared" si="14"/>
        <v>4704.96</v>
      </c>
    </row>
    <row r="154" spans="1:16" ht="12.75" thickBot="1">
      <c r="A154" s="1" t="s">
        <v>1284</v>
      </c>
      <c r="B154" s="20"/>
      <c r="C154" s="21" t="s">
        <v>7</v>
      </c>
      <c r="D154" s="22"/>
      <c r="E154" s="22"/>
      <c r="F154" s="22"/>
      <c r="G154" s="22"/>
      <c r="H154" s="23"/>
      <c r="I154" s="13"/>
      <c r="K154" s="40">
        <f>SUM(K130:K153)</f>
        <v>27744.230000000003</v>
      </c>
    </row>
    <row r="155" spans="1:16" ht="23.25" thickBot="1">
      <c r="A155" s="24" t="s">
        <v>0</v>
      </c>
      <c r="B155" s="24"/>
      <c r="C155" s="24" t="s">
        <v>121</v>
      </c>
      <c r="D155" s="24" t="s">
        <v>122</v>
      </c>
      <c r="E155" s="24" t="s">
        <v>123</v>
      </c>
      <c r="F155" s="24" t="s">
        <v>124</v>
      </c>
      <c r="G155" s="24" t="s">
        <v>787</v>
      </c>
      <c r="H155" s="12"/>
      <c r="I155" s="25"/>
      <c r="J155" s="14"/>
    </row>
    <row r="156" spans="1:16" ht="12.75" customHeight="1" thickBot="1">
      <c r="A156" s="16" t="s">
        <v>1277</v>
      </c>
      <c r="B156" s="1" t="s">
        <v>459</v>
      </c>
      <c r="C156" s="2" t="s">
        <v>126</v>
      </c>
      <c r="D156" s="4"/>
      <c r="E156" s="4"/>
      <c r="F156" s="3">
        <f>J156</f>
        <v>1627</v>
      </c>
      <c r="G156" s="11"/>
      <c r="H156" s="12">
        <f>SUMIF(PoleRates!$E$4:$E$131,"20140101"&amp;C156,PoleRates!$F$4:$F$131)</f>
        <v>2.06</v>
      </c>
      <c r="I156" s="87"/>
      <c r="J156" s="44">
        <v>1627</v>
      </c>
      <c r="K156" s="40">
        <f t="shared" ref="K156:K179" si="18">H156*J156</f>
        <v>3351.62</v>
      </c>
      <c r="L156" s="86"/>
      <c r="N156" s="86"/>
      <c r="O156" s="86"/>
      <c r="P156" s="86"/>
    </row>
    <row r="157" spans="1:16" ht="12.75" thickBot="1">
      <c r="A157" s="16" t="s">
        <v>1277</v>
      </c>
      <c r="B157" s="1" t="s">
        <v>1197</v>
      </c>
      <c r="C157" s="2" t="s">
        <v>126</v>
      </c>
      <c r="D157" s="6"/>
      <c r="E157" s="6"/>
      <c r="F157" s="5">
        <f t="shared" ref="F157:F161" si="19">J157</f>
        <v>5224</v>
      </c>
      <c r="G157" s="15"/>
      <c r="H157" s="12">
        <f>SUMIF(PoleRates!$E$4:$E$131,"20140101"&amp;C157,PoleRates!$F$4:$F$131)</f>
        <v>2.06</v>
      </c>
      <c r="I157" s="87"/>
      <c r="J157" s="44">
        <v>5224</v>
      </c>
      <c r="K157" s="40">
        <f t="shared" si="18"/>
        <v>10761.44</v>
      </c>
      <c r="L157" s="86"/>
      <c r="N157" s="86"/>
      <c r="O157" s="86"/>
      <c r="P157" s="86"/>
    </row>
    <row r="158" spans="1:16" ht="12.75" thickBot="1">
      <c r="A158" s="16" t="s">
        <v>1277</v>
      </c>
      <c r="B158" s="1" t="s">
        <v>459</v>
      </c>
      <c r="C158" s="2" t="s">
        <v>127</v>
      </c>
      <c r="D158" s="4"/>
      <c r="E158" s="4"/>
      <c r="F158" s="3">
        <f t="shared" si="19"/>
        <v>155</v>
      </c>
      <c r="G158" s="11"/>
      <c r="H158" s="12">
        <f>SUMIF(PoleRates!$E$4:$E$131,"20140101"&amp;C158,PoleRates!$F$4:$F$131)</f>
        <v>10.81</v>
      </c>
      <c r="I158" s="87"/>
      <c r="J158" s="44">
        <v>155</v>
      </c>
      <c r="K158" s="40">
        <f t="shared" si="18"/>
        <v>1675.5500000000002</v>
      </c>
      <c r="L158" s="86"/>
      <c r="N158" s="86"/>
      <c r="O158" s="86"/>
      <c r="P158" s="86"/>
    </row>
    <row r="159" spans="1:16" ht="12.75" thickBot="1">
      <c r="A159" s="16" t="s">
        <v>1277</v>
      </c>
      <c r="B159" s="1" t="s">
        <v>1197</v>
      </c>
      <c r="C159" s="2" t="s">
        <v>127</v>
      </c>
      <c r="D159" s="5"/>
      <c r="E159" s="15"/>
      <c r="F159" s="6">
        <f t="shared" si="19"/>
        <v>0</v>
      </c>
      <c r="G159" s="6"/>
      <c r="H159" s="12">
        <f>SUMIF(PoleRates!$E$4:$E$131,"20140101"&amp;C159,PoleRates!$F$4:$F$131)</f>
        <v>10.81</v>
      </c>
      <c r="I159" s="87"/>
      <c r="J159" s="44">
        <v>0</v>
      </c>
      <c r="K159" s="40">
        <f t="shared" si="18"/>
        <v>0</v>
      </c>
      <c r="L159" s="86"/>
      <c r="N159" s="86"/>
      <c r="O159" s="86"/>
      <c r="P159" s="86"/>
    </row>
    <row r="160" spans="1:16" ht="12.75" thickBot="1">
      <c r="A160" s="16" t="s">
        <v>1277</v>
      </c>
      <c r="B160" s="1" t="s">
        <v>459</v>
      </c>
      <c r="C160" s="2" t="s">
        <v>128</v>
      </c>
      <c r="D160" s="3"/>
      <c r="E160" s="11"/>
      <c r="F160" s="4">
        <f t="shared" si="19"/>
        <v>277</v>
      </c>
      <c r="G160" s="4"/>
      <c r="H160" s="12">
        <f>SUMIF(PoleRates!$E$4:$E$131,"20140101"&amp;C160,PoleRates!$F$4:$F$131)</f>
        <v>12.9</v>
      </c>
      <c r="I160" s="87"/>
      <c r="J160" s="44">
        <v>277</v>
      </c>
      <c r="K160" s="40">
        <f t="shared" si="18"/>
        <v>3573.3</v>
      </c>
      <c r="L160" s="86"/>
      <c r="N160" s="86"/>
      <c r="O160" s="86"/>
      <c r="P160" s="86"/>
    </row>
    <row r="161" spans="1:16" ht="12.75" thickBot="1">
      <c r="A161" s="16" t="s">
        <v>1277</v>
      </c>
      <c r="B161" s="1" t="s">
        <v>1197</v>
      </c>
      <c r="C161" s="2" t="s">
        <v>128</v>
      </c>
      <c r="D161" s="5"/>
      <c r="E161" s="15"/>
      <c r="F161" s="6">
        <f t="shared" si="19"/>
        <v>3</v>
      </c>
      <c r="G161" s="6"/>
      <c r="H161" s="12">
        <f>SUMIF(PoleRates!$E$4:$E$131,"20140101"&amp;C161,PoleRates!$F$4:$F$131)</f>
        <v>12.9</v>
      </c>
      <c r="I161" s="87"/>
      <c r="J161" s="44">
        <v>3</v>
      </c>
      <c r="K161" s="40">
        <f t="shared" si="18"/>
        <v>38.700000000000003</v>
      </c>
      <c r="L161" s="86"/>
      <c r="N161" s="86"/>
      <c r="O161" s="86"/>
      <c r="P161" s="86"/>
    </row>
    <row r="162" spans="1:16" ht="12.75" thickBot="1">
      <c r="A162" s="16" t="s">
        <v>1277</v>
      </c>
      <c r="B162" s="1" t="s">
        <v>459</v>
      </c>
      <c r="C162" s="1" t="s">
        <v>129</v>
      </c>
      <c r="D162" s="3">
        <f>J162</f>
        <v>30</v>
      </c>
      <c r="E162" s="11"/>
      <c r="F162" s="4"/>
      <c r="G162" s="4"/>
      <c r="H162" s="12">
        <f>SUMIF(PoleRates!$E$4:$E$131,"20140101"&amp;C162,PoleRates!$F$4:$F$131)</f>
        <v>3.47</v>
      </c>
      <c r="I162" s="87"/>
      <c r="J162" s="44">
        <v>30</v>
      </c>
      <c r="K162" s="40">
        <f t="shared" si="18"/>
        <v>104.10000000000001</v>
      </c>
      <c r="L162" s="86"/>
      <c r="N162" s="86"/>
      <c r="O162" s="86"/>
      <c r="P162" s="86"/>
    </row>
    <row r="163" spans="1:16" ht="12.75" thickBot="1">
      <c r="A163" s="16" t="s">
        <v>1277</v>
      </c>
      <c r="B163" s="1" t="s">
        <v>1197</v>
      </c>
      <c r="C163" s="1" t="s">
        <v>129</v>
      </c>
      <c r="D163" s="5">
        <f t="shared" ref="D163:D177" si="20">J163</f>
        <v>10</v>
      </c>
      <c r="E163" s="15"/>
      <c r="F163" s="6"/>
      <c r="G163" s="6"/>
      <c r="H163" s="12">
        <f>SUMIF(PoleRates!$E$4:$E$131,"20140101"&amp;C163,PoleRates!$F$4:$F$131)</f>
        <v>3.47</v>
      </c>
      <c r="I163" s="87"/>
      <c r="J163" s="44">
        <v>10</v>
      </c>
      <c r="K163" s="40">
        <f t="shared" si="18"/>
        <v>34.700000000000003</v>
      </c>
      <c r="L163" s="86"/>
      <c r="N163" s="86"/>
      <c r="O163" s="86"/>
      <c r="P163" s="86"/>
    </row>
    <row r="164" spans="1:16" ht="12.75" thickBot="1">
      <c r="A164" s="16" t="s">
        <v>1277</v>
      </c>
      <c r="B164" s="1" t="s">
        <v>459</v>
      </c>
      <c r="C164" s="2" t="s">
        <v>130</v>
      </c>
      <c r="D164" s="3">
        <f t="shared" si="20"/>
        <v>175</v>
      </c>
      <c r="E164" s="11"/>
      <c r="F164" s="4"/>
      <c r="G164" s="4"/>
      <c r="H164" s="12">
        <f>SUMIF(PoleRates!$E$4:$E$131,"20140101"&amp;C164,PoleRates!$F$4:$F$131)</f>
        <v>3.73</v>
      </c>
      <c r="I164" s="87"/>
      <c r="J164" s="44">
        <v>175</v>
      </c>
      <c r="K164" s="40">
        <f t="shared" si="18"/>
        <v>652.75</v>
      </c>
      <c r="L164" s="86"/>
      <c r="N164" s="86"/>
      <c r="O164" s="86"/>
      <c r="P164" s="86"/>
    </row>
    <row r="165" spans="1:16" ht="12.75" thickBot="1">
      <c r="A165" s="16" t="s">
        <v>1277</v>
      </c>
      <c r="B165" s="1" t="s">
        <v>1197</v>
      </c>
      <c r="C165" s="2" t="s">
        <v>130</v>
      </c>
      <c r="D165" s="5">
        <f t="shared" si="20"/>
        <v>3</v>
      </c>
      <c r="E165" s="15"/>
      <c r="F165" s="6"/>
      <c r="G165" s="6"/>
      <c r="H165" s="12">
        <f>SUMIF(PoleRates!$E$4:$E$131,"20140101"&amp;C165,PoleRates!$F$4:$F$131)</f>
        <v>3.73</v>
      </c>
      <c r="I165" s="87"/>
      <c r="J165" s="44">
        <v>3</v>
      </c>
      <c r="K165" s="40">
        <f t="shared" si="18"/>
        <v>11.19</v>
      </c>
      <c r="L165" s="86"/>
      <c r="N165" s="86"/>
      <c r="O165" s="86"/>
      <c r="P165" s="86"/>
    </row>
    <row r="166" spans="1:16" ht="12.75" thickBot="1">
      <c r="A166" s="16" t="s">
        <v>1277</v>
      </c>
      <c r="B166" s="1" t="s">
        <v>459</v>
      </c>
      <c r="C166" s="1" t="s">
        <v>134</v>
      </c>
      <c r="D166" s="4">
        <f t="shared" si="20"/>
        <v>179</v>
      </c>
      <c r="E166" s="4"/>
      <c r="F166" s="3"/>
      <c r="G166" s="11"/>
      <c r="H166" s="12">
        <f>SUMIF(PoleRates!$E$4:$E$131,"20140101"&amp;C166,PoleRates!$F$4:$F$131)</f>
        <v>3.56</v>
      </c>
      <c r="I166" s="87"/>
      <c r="J166" s="44">
        <v>179</v>
      </c>
      <c r="K166" s="40">
        <f t="shared" si="18"/>
        <v>637.24</v>
      </c>
      <c r="L166" s="86"/>
      <c r="N166" s="86"/>
      <c r="O166" s="86"/>
      <c r="P166" s="86"/>
    </row>
    <row r="167" spans="1:16" ht="12.75" thickBot="1">
      <c r="A167" s="16" t="s">
        <v>1277</v>
      </c>
      <c r="B167" s="1" t="s">
        <v>1197</v>
      </c>
      <c r="C167" s="1" t="s">
        <v>134</v>
      </c>
      <c r="D167" s="4">
        <f t="shared" si="20"/>
        <v>56</v>
      </c>
      <c r="E167" s="4"/>
      <c r="F167" s="3"/>
      <c r="G167" s="11"/>
      <c r="H167" s="12">
        <f>SUMIF(PoleRates!$E$4:$E$131,"20140101"&amp;C167,PoleRates!$F$4:$F$131)</f>
        <v>3.56</v>
      </c>
      <c r="I167" s="87"/>
      <c r="J167" s="44">
        <v>56</v>
      </c>
      <c r="K167" s="40">
        <f t="shared" si="18"/>
        <v>199.36</v>
      </c>
      <c r="L167" s="86"/>
      <c r="N167" s="86"/>
      <c r="O167" s="86"/>
      <c r="P167" s="86"/>
    </row>
    <row r="168" spans="1:16" ht="12.75" thickBot="1">
      <c r="A168" s="16" t="s">
        <v>1277</v>
      </c>
      <c r="B168" s="1" t="s">
        <v>459</v>
      </c>
      <c r="C168" s="1" t="s">
        <v>134</v>
      </c>
      <c r="D168" s="6">
        <f t="shared" si="20"/>
        <v>53</v>
      </c>
      <c r="E168" s="6"/>
      <c r="F168" s="5"/>
      <c r="G168" s="15"/>
      <c r="H168" s="12">
        <f>SUMIF(PoleRates!$E$4:$E$131,"20140101"&amp;C168,PoleRates!$F$4:$F$131)</f>
        <v>3.56</v>
      </c>
      <c r="I168" s="87"/>
      <c r="J168" s="44">
        <v>53</v>
      </c>
      <c r="K168" s="40">
        <f t="shared" si="18"/>
        <v>188.68</v>
      </c>
      <c r="L168" s="86"/>
      <c r="N168" s="86"/>
      <c r="O168" s="86"/>
      <c r="P168" s="86"/>
    </row>
    <row r="169" spans="1:16" ht="12.75" customHeight="1" thickBot="1">
      <c r="A169" s="16" t="s">
        <v>1277</v>
      </c>
      <c r="B169" s="1" t="s">
        <v>1197</v>
      </c>
      <c r="C169" s="1" t="s">
        <v>134</v>
      </c>
      <c r="D169" s="4">
        <f t="shared" si="20"/>
        <v>112</v>
      </c>
      <c r="E169" s="4"/>
      <c r="F169" s="3"/>
      <c r="G169" s="11"/>
      <c r="H169" s="12">
        <f>SUMIF(PoleRates!$E$4:$E$131,"20140101"&amp;C169,PoleRates!$F$4:$F$131)</f>
        <v>3.56</v>
      </c>
      <c r="I169" s="87"/>
      <c r="J169" s="44">
        <v>112</v>
      </c>
      <c r="K169" s="40">
        <f t="shared" si="18"/>
        <v>398.72</v>
      </c>
      <c r="L169" s="86"/>
      <c r="N169" s="86"/>
      <c r="O169" s="86"/>
      <c r="P169" s="86"/>
    </row>
    <row r="170" spans="1:16" ht="12.75" thickBot="1">
      <c r="A170" s="16" t="s">
        <v>1277</v>
      </c>
      <c r="B170" s="1" t="s">
        <v>459</v>
      </c>
      <c r="C170" s="1" t="s">
        <v>129</v>
      </c>
      <c r="D170" s="5">
        <f t="shared" si="20"/>
        <v>45</v>
      </c>
      <c r="E170" s="15"/>
      <c r="F170" s="6"/>
      <c r="G170" s="6"/>
      <c r="H170" s="12">
        <f>SUMIF(PoleRates!$E$4:$E$131,"20140101"&amp;C170,PoleRates!$F$4:$F$131)</f>
        <v>3.47</v>
      </c>
      <c r="I170" s="87"/>
      <c r="J170" s="44">
        <v>45</v>
      </c>
      <c r="K170" s="40">
        <f t="shared" si="18"/>
        <v>156.15</v>
      </c>
      <c r="L170" s="86"/>
      <c r="N170" s="86"/>
      <c r="O170" s="86"/>
      <c r="P170" s="86"/>
    </row>
    <row r="171" spans="1:16" ht="12.75" thickBot="1">
      <c r="A171" s="16" t="s">
        <v>1277</v>
      </c>
      <c r="B171" s="1" t="s">
        <v>1197</v>
      </c>
      <c r="C171" s="1" t="s">
        <v>129</v>
      </c>
      <c r="D171" s="3">
        <f t="shared" si="20"/>
        <v>3</v>
      </c>
      <c r="E171" s="11"/>
      <c r="F171" s="4"/>
      <c r="G171" s="4"/>
      <c r="H171" s="12">
        <f>SUMIF(PoleRates!$E$4:$E$131,"20140101"&amp;C171,PoleRates!$F$4:$F$131)</f>
        <v>3.47</v>
      </c>
      <c r="I171" s="87"/>
      <c r="J171" s="44">
        <v>3</v>
      </c>
      <c r="K171" s="40">
        <f t="shared" si="18"/>
        <v>10.41</v>
      </c>
      <c r="L171" s="86"/>
      <c r="N171" s="86"/>
      <c r="O171" s="86"/>
      <c r="P171" s="86"/>
    </row>
    <row r="172" spans="1:16" ht="12.75" thickBot="1">
      <c r="A172" s="16" t="s">
        <v>1277</v>
      </c>
      <c r="B172" s="1" t="s">
        <v>459</v>
      </c>
      <c r="C172" s="2" t="s">
        <v>130</v>
      </c>
      <c r="D172" s="5">
        <f t="shared" si="20"/>
        <v>20</v>
      </c>
      <c r="E172" s="15"/>
      <c r="F172" s="6"/>
      <c r="G172" s="6"/>
      <c r="H172" s="12">
        <f>SUMIF(PoleRates!$E$4:$E$131,"20140101"&amp;C172,PoleRates!$F$4:$F$131)</f>
        <v>3.73</v>
      </c>
      <c r="I172" s="87"/>
      <c r="J172" s="44">
        <v>20</v>
      </c>
      <c r="K172" s="40">
        <f t="shared" si="18"/>
        <v>74.599999999999994</v>
      </c>
      <c r="L172" s="86"/>
      <c r="N172" s="86"/>
      <c r="O172" s="86"/>
      <c r="P172" s="86"/>
    </row>
    <row r="173" spans="1:16" ht="12.75" thickBot="1">
      <c r="A173" s="16" t="s">
        <v>1277</v>
      </c>
      <c r="B173" s="1" t="s">
        <v>1197</v>
      </c>
      <c r="C173" s="2" t="s">
        <v>130</v>
      </c>
      <c r="D173" s="3">
        <f t="shared" si="20"/>
        <v>70</v>
      </c>
      <c r="E173" s="11"/>
      <c r="F173" s="4"/>
      <c r="G173" s="4"/>
      <c r="H173" s="12">
        <f>SUMIF(PoleRates!$E$4:$E$131,"20140101"&amp;C173,PoleRates!$F$4:$F$131)</f>
        <v>3.73</v>
      </c>
      <c r="I173" s="87"/>
      <c r="J173" s="44">
        <v>70</v>
      </c>
      <c r="K173" s="40">
        <f t="shared" si="18"/>
        <v>261.10000000000002</v>
      </c>
      <c r="L173" s="86"/>
      <c r="N173" s="86"/>
      <c r="O173" s="86"/>
      <c r="P173" s="86"/>
    </row>
    <row r="174" spans="1:16" ht="12.75" thickBot="1">
      <c r="A174" s="16" t="s">
        <v>1277</v>
      </c>
      <c r="B174" s="1" t="s">
        <v>459</v>
      </c>
      <c r="C174" s="2" t="s">
        <v>134</v>
      </c>
      <c r="D174" s="5">
        <f t="shared" si="20"/>
        <v>1</v>
      </c>
      <c r="E174" s="15"/>
      <c r="F174" s="6"/>
      <c r="G174" s="6"/>
      <c r="H174" s="12">
        <f>SUMIF(PoleRates!$E$4:$E$131,"20140101"&amp;C174,PoleRates!$F$4:$F$131)</f>
        <v>3.56</v>
      </c>
      <c r="I174" s="87"/>
      <c r="J174" s="44">
        <v>1</v>
      </c>
      <c r="K174" s="40">
        <f t="shared" si="18"/>
        <v>3.56</v>
      </c>
      <c r="L174" s="86"/>
      <c r="N174" s="86"/>
      <c r="O174" s="86"/>
      <c r="P174" s="86"/>
    </row>
    <row r="175" spans="1:16" ht="12.75" thickBot="1">
      <c r="A175" s="16" t="s">
        <v>1277</v>
      </c>
      <c r="B175" s="1" t="s">
        <v>1197</v>
      </c>
      <c r="C175" s="2" t="s">
        <v>134</v>
      </c>
      <c r="D175" s="3">
        <f t="shared" si="20"/>
        <v>83</v>
      </c>
      <c r="E175" s="11"/>
      <c r="F175" s="4"/>
      <c r="G175" s="4"/>
      <c r="H175" s="12">
        <f>SUMIF(PoleRates!$E$4:$E$131,"20140101"&amp;C175,PoleRates!$F$4:$F$131)</f>
        <v>3.56</v>
      </c>
      <c r="I175" s="87"/>
      <c r="J175" s="44">
        <v>83</v>
      </c>
      <c r="K175" s="40">
        <f t="shared" si="18"/>
        <v>295.48</v>
      </c>
      <c r="L175" s="86"/>
      <c r="N175" s="86"/>
      <c r="O175" s="86"/>
      <c r="P175" s="86"/>
    </row>
    <row r="176" spans="1:16" ht="12.75" thickBot="1">
      <c r="A176" s="16" t="s">
        <v>1277</v>
      </c>
      <c r="B176" s="1" t="s">
        <v>459</v>
      </c>
      <c r="C176" s="1" t="s">
        <v>134</v>
      </c>
      <c r="D176" s="5">
        <f t="shared" si="20"/>
        <v>6</v>
      </c>
      <c r="E176" s="15"/>
      <c r="F176" s="6"/>
      <c r="G176" s="6"/>
      <c r="H176" s="12">
        <f>SUMIF(PoleRates!$E$4:$E$131,"20140101"&amp;C176,PoleRates!$F$4:$F$131)</f>
        <v>3.56</v>
      </c>
      <c r="I176" s="87"/>
      <c r="J176" s="44">
        <v>6</v>
      </c>
      <c r="K176" s="40">
        <f t="shared" si="18"/>
        <v>21.36</v>
      </c>
      <c r="L176" s="86"/>
      <c r="N176" s="86"/>
      <c r="O176" s="86"/>
      <c r="P176" s="86"/>
    </row>
    <row r="177" spans="1:16" ht="12.75" thickBot="1">
      <c r="A177" s="16" t="s">
        <v>1277</v>
      </c>
      <c r="B177" s="1" t="s">
        <v>1197</v>
      </c>
      <c r="C177" s="1" t="s">
        <v>134</v>
      </c>
      <c r="D177" s="3">
        <f t="shared" si="20"/>
        <v>60</v>
      </c>
      <c r="E177" s="11"/>
      <c r="F177" s="4"/>
      <c r="G177" s="4"/>
      <c r="H177" s="12">
        <f>SUMIF(PoleRates!$E$4:$E$131,"20140101"&amp;C177,PoleRates!$F$4:$F$131)</f>
        <v>3.56</v>
      </c>
      <c r="I177" s="87"/>
      <c r="J177" s="44">
        <v>60</v>
      </c>
      <c r="K177" s="40">
        <f t="shared" si="18"/>
        <v>213.6</v>
      </c>
      <c r="L177" s="86"/>
      <c r="N177" s="86"/>
      <c r="O177" s="86"/>
      <c r="P177" s="86"/>
    </row>
    <row r="178" spans="1:16" ht="12.75" thickBot="1">
      <c r="A178" s="16" t="s">
        <v>1277</v>
      </c>
      <c r="B178" s="1" t="s">
        <v>459</v>
      </c>
      <c r="C178" s="2" t="s">
        <v>136</v>
      </c>
      <c r="D178" s="5"/>
      <c r="E178" s="15"/>
      <c r="F178" s="6">
        <f t="shared" ref="F178:F179" si="21">J178</f>
        <v>37</v>
      </c>
      <c r="G178" s="6"/>
      <c r="H178" s="12">
        <f>SUMIF(PoleRates!$E$4:$E$131,"20140101"&amp;C178,PoleRates!$F$4:$F$131)</f>
        <v>11.31</v>
      </c>
      <c r="I178" s="87"/>
      <c r="J178" s="44">
        <v>37</v>
      </c>
      <c r="K178" s="40">
        <f t="shared" si="18"/>
        <v>418.47</v>
      </c>
      <c r="L178" s="86"/>
      <c r="N178" s="86"/>
      <c r="O178" s="86"/>
      <c r="P178" s="86"/>
    </row>
    <row r="179" spans="1:16" ht="12.75" thickBot="1">
      <c r="A179" s="16" t="s">
        <v>1277</v>
      </c>
      <c r="B179" s="1" t="s">
        <v>1197</v>
      </c>
      <c r="C179" s="2" t="s">
        <v>136</v>
      </c>
      <c r="D179" s="4"/>
      <c r="E179" s="4"/>
      <c r="F179" s="3">
        <f t="shared" si="21"/>
        <v>420</v>
      </c>
      <c r="G179" s="11"/>
      <c r="H179" s="12">
        <f>SUMIF(PoleRates!$E$4:$E$131,"20140101"&amp;C179,PoleRates!$F$4:$F$131)</f>
        <v>11.31</v>
      </c>
      <c r="I179" s="87"/>
      <c r="J179" s="44">
        <v>420</v>
      </c>
      <c r="K179" s="40">
        <f t="shared" si="18"/>
        <v>4750.2</v>
      </c>
      <c r="L179" s="86"/>
      <c r="N179" s="86"/>
      <c r="O179" s="86"/>
      <c r="P179" s="86"/>
    </row>
    <row r="180" spans="1:16" ht="12.75" thickBot="1">
      <c r="A180" s="16" t="s">
        <v>1277</v>
      </c>
      <c r="B180" s="16"/>
      <c r="C180" s="26" t="s">
        <v>7</v>
      </c>
      <c r="D180" s="27"/>
      <c r="E180" s="28"/>
      <c r="F180" s="27"/>
      <c r="G180" s="28"/>
      <c r="H180" s="23"/>
      <c r="I180" s="13"/>
      <c r="K180" s="40">
        <f>SUM(K156:K179)</f>
        <v>27832.280000000002</v>
      </c>
    </row>
    <row r="181" spans="1:16" ht="12.75" thickBot="1">
      <c r="A181" s="2" t="s">
        <v>0</v>
      </c>
      <c r="B181" s="2"/>
      <c r="C181" s="2" t="s">
        <v>121</v>
      </c>
      <c r="D181" s="2" t="s">
        <v>122</v>
      </c>
      <c r="E181" s="2" t="s">
        <v>123</v>
      </c>
      <c r="F181" s="2" t="s">
        <v>124</v>
      </c>
      <c r="G181" s="2" t="s">
        <v>787</v>
      </c>
      <c r="H181" s="12"/>
      <c r="I181" s="25"/>
      <c r="J181" s="14"/>
    </row>
    <row r="182" spans="1:16" ht="12.75" thickBot="1">
      <c r="A182" s="1" t="s">
        <v>1278</v>
      </c>
      <c r="B182" s="1" t="s">
        <v>459</v>
      </c>
      <c r="C182" s="2" t="s">
        <v>126</v>
      </c>
      <c r="D182" s="4"/>
      <c r="E182" s="4"/>
      <c r="F182" s="3">
        <f>J182</f>
        <v>1635</v>
      </c>
      <c r="G182" s="11"/>
      <c r="H182" s="12">
        <f>SUMIF(PoleRates!$E$4:$E$131,"20140101"&amp;C182,PoleRates!$F$4:$F$131)</f>
        <v>2.06</v>
      </c>
      <c r="I182" s="87"/>
      <c r="J182" s="44">
        <v>1635</v>
      </c>
      <c r="K182" s="40">
        <f t="shared" ref="K182:K205" si="22">H182*J182</f>
        <v>3368.1</v>
      </c>
      <c r="L182" s="86"/>
      <c r="N182" s="86"/>
      <c r="O182" s="86"/>
      <c r="P182" s="86"/>
    </row>
    <row r="183" spans="1:16" ht="12.75" thickBot="1">
      <c r="A183" s="1" t="s">
        <v>1278</v>
      </c>
      <c r="B183" s="1" t="s">
        <v>1197</v>
      </c>
      <c r="C183" s="2" t="s">
        <v>126</v>
      </c>
      <c r="D183" s="6"/>
      <c r="E183" s="6"/>
      <c r="F183" s="5">
        <f t="shared" ref="F183:F187" si="23">J183</f>
        <v>5150</v>
      </c>
      <c r="G183" s="15"/>
      <c r="H183" s="12">
        <f>SUMIF(PoleRates!$E$4:$E$131,"20140101"&amp;C183,PoleRates!$F$4:$F$131)</f>
        <v>2.06</v>
      </c>
      <c r="I183" s="87"/>
      <c r="J183" s="44">
        <v>5150</v>
      </c>
      <c r="K183" s="40">
        <f t="shared" si="22"/>
        <v>10609</v>
      </c>
      <c r="L183" s="86"/>
      <c r="N183" s="86"/>
      <c r="O183" s="86"/>
      <c r="P183" s="86"/>
    </row>
    <row r="184" spans="1:16" ht="12.75" thickBot="1">
      <c r="A184" s="1" t="s">
        <v>1278</v>
      </c>
      <c r="B184" s="1" t="s">
        <v>459</v>
      </c>
      <c r="C184" s="2" t="s">
        <v>127</v>
      </c>
      <c r="D184" s="4"/>
      <c r="E184" s="4"/>
      <c r="F184" s="3">
        <f t="shared" si="23"/>
        <v>155</v>
      </c>
      <c r="G184" s="11"/>
      <c r="H184" s="12">
        <f>SUMIF(PoleRates!$E$4:$E$131,"20140101"&amp;C184,PoleRates!$F$4:$F$131)</f>
        <v>10.81</v>
      </c>
      <c r="I184" s="87"/>
      <c r="J184" s="44">
        <v>155</v>
      </c>
      <c r="K184" s="40">
        <f t="shared" si="22"/>
        <v>1675.5500000000002</v>
      </c>
      <c r="L184" s="86"/>
      <c r="N184" s="86"/>
      <c r="O184" s="86"/>
      <c r="P184" s="86"/>
    </row>
    <row r="185" spans="1:16" ht="12.75" thickBot="1">
      <c r="A185" s="1" t="s">
        <v>1278</v>
      </c>
      <c r="B185" s="1" t="s">
        <v>1197</v>
      </c>
      <c r="C185" s="2" t="s">
        <v>127</v>
      </c>
      <c r="D185" s="5"/>
      <c r="E185" s="15"/>
      <c r="F185" s="6">
        <f t="shared" si="23"/>
        <v>0</v>
      </c>
      <c r="G185" s="6"/>
      <c r="H185" s="12">
        <f>SUMIF(PoleRates!$E$4:$E$131,"20140101"&amp;C185,PoleRates!$F$4:$F$131)</f>
        <v>10.81</v>
      </c>
      <c r="I185" s="87"/>
      <c r="J185" s="44">
        <v>0</v>
      </c>
      <c r="K185" s="40">
        <f t="shared" si="22"/>
        <v>0</v>
      </c>
      <c r="L185" s="86"/>
      <c r="N185" s="86"/>
      <c r="O185" s="86"/>
      <c r="P185" s="86"/>
    </row>
    <row r="186" spans="1:16" ht="12.75" thickBot="1">
      <c r="A186" s="1" t="s">
        <v>1278</v>
      </c>
      <c r="B186" s="1" t="s">
        <v>459</v>
      </c>
      <c r="C186" s="2" t="s">
        <v>128</v>
      </c>
      <c r="D186" s="3"/>
      <c r="E186" s="11"/>
      <c r="F186" s="4">
        <f t="shared" si="23"/>
        <v>277</v>
      </c>
      <c r="G186" s="4"/>
      <c r="H186" s="12">
        <f>SUMIF(PoleRates!$E$4:$E$131,"20140101"&amp;C186,PoleRates!$F$4:$F$131)</f>
        <v>12.9</v>
      </c>
      <c r="I186" s="87"/>
      <c r="J186" s="44">
        <v>277</v>
      </c>
      <c r="K186" s="40">
        <f t="shared" si="22"/>
        <v>3573.3</v>
      </c>
      <c r="L186" s="86"/>
      <c r="N186" s="86"/>
      <c r="O186" s="86"/>
      <c r="P186" s="86"/>
    </row>
    <row r="187" spans="1:16" ht="12.75" thickBot="1">
      <c r="A187" s="1" t="s">
        <v>1278</v>
      </c>
      <c r="B187" s="1" t="s">
        <v>1197</v>
      </c>
      <c r="C187" s="2" t="s">
        <v>128</v>
      </c>
      <c r="D187" s="5"/>
      <c r="E187" s="15"/>
      <c r="F187" s="6">
        <f t="shared" si="23"/>
        <v>3</v>
      </c>
      <c r="G187" s="6"/>
      <c r="H187" s="12">
        <f>SUMIF(PoleRates!$E$4:$E$131,"20140101"&amp;C187,PoleRates!$F$4:$F$131)</f>
        <v>12.9</v>
      </c>
      <c r="I187" s="87"/>
      <c r="J187" s="44">
        <v>3</v>
      </c>
      <c r="K187" s="40">
        <f t="shared" si="22"/>
        <v>38.700000000000003</v>
      </c>
      <c r="L187" s="86"/>
      <c r="N187" s="86"/>
      <c r="O187" s="86"/>
      <c r="P187" s="86"/>
    </row>
    <row r="188" spans="1:16" ht="12.75" thickBot="1">
      <c r="A188" s="1" t="s">
        <v>1278</v>
      </c>
      <c r="B188" s="1" t="s">
        <v>459</v>
      </c>
      <c r="C188" s="1" t="s">
        <v>129</v>
      </c>
      <c r="D188" s="3">
        <f>J188</f>
        <v>30</v>
      </c>
      <c r="E188" s="11"/>
      <c r="F188" s="4"/>
      <c r="G188" s="4"/>
      <c r="H188" s="12">
        <f>SUMIF(PoleRates!$E$4:$E$131,"20140101"&amp;C188,PoleRates!$F$4:$F$131)</f>
        <v>3.47</v>
      </c>
      <c r="I188" s="87"/>
      <c r="J188" s="44">
        <v>30</v>
      </c>
      <c r="K188" s="40">
        <f t="shared" si="22"/>
        <v>104.10000000000001</v>
      </c>
      <c r="L188" s="86"/>
      <c r="N188" s="86"/>
      <c r="O188" s="86"/>
      <c r="P188" s="86"/>
    </row>
    <row r="189" spans="1:16" ht="12.75" thickBot="1">
      <c r="A189" s="1" t="s">
        <v>1278</v>
      </c>
      <c r="B189" s="1" t="s">
        <v>1197</v>
      </c>
      <c r="C189" s="1" t="s">
        <v>129</v>
      </c>
      <c r="D189" s="5">
        <f t="shared" ref="D189:D203" si="24">J189</f>
        <v>10</v>
      </c>
      <c r="E189" s="15"/>
      <c r="F189" s="6"/>
      <c r="G189" s="6"/>
      <c r="H189" s="12">
        <f>SUMIF(PoleRates!$E$4:$E$131,"20140101"&amp;C189,PoleRates!$F$4:$F$131)</f>
        <v>3.47</v>
      </c>
      <c r="I189" s="87"/>
      <c r="J189" s="44">
        <v>10</v>
      </c>
      <c r="K189" s="40">
        <f t="shared" si="22"/>
        <v>34.700000000000003</v>
      </c>
      <c r="L189" s="86"/>
      <c r="N189" s="86"/>
      <c r="O189" s="86"/>
      <c r="P189" s="86"/>
    </row>
    <row r="190" spans="1:16" ht="12.75" thickBot="1">
      <c r="A190" s="1" t="s">
        <v>1278</v>
      </c>
      <c r="B190" s="1" t="s">
        <v>459</v>
      </c>
      <c r="C190" s="2" t="s">
        <v>130</v>
      </c>
      <c r="D190" s="3">
        <f t="shared" si="24"/>
        <v>175</v>
      </c>
      <c r="E190" s="11"/>
      <c r="F190" s="4"/>
      <c r="G190" s="4"/>
      <c r="H190" s="12">
        <f>SUMIF(PoleRates!$E$4:$E$131,"20140101"&amp;C190,PoleRates!$F$4:$F$131)</f>
        <v>3.73</v>
      </c>
      <c r="I190" s="87"/>
      <c r="J190" s="44">
        <v>175</v>
      </c>
      <c r="K190" s="40">
        <f t="shared" si="22"/>
        <v>652.75</v>
      </c>
      <c r="L190" s="86"/>
      <c r="N190" s="86"/>
      <c r="O190" s="86"/>
      <c r="P190" s="86"/>
    </row>
    <row r="191" spans="1:16" ht="12.75" thickBot="1">
      <c r="A191" s="1" t="s">
        <v>1278</v>
      </c>
      <c r="B191" s="1" t="s">
        <v>1197</v>
      </c>
      <c r="C191" s="2" t="s">
        <v>130</v>
      </c>
      <c r="D191" s="5">
        <f t="shared" si="24"/>
        <v>3</v>
      </c>
      <c r="E191" s="15"/>
      <c r="F191" s="6"/>
      <c r="G191" s="6"/>
      <c r="H191" s="12">
        <f>SUMIF(PoleRates!$E$4:$E$131,"20140101"&amp;C191,PoleRates!$F$4:$F$131)</f>
        <v>3.73</v>
      </c>
      <c r="I191" s="87"/>
      <c r="J191" s="44">
        <v>3</v>
      </c>
      <c r="K191" s="40">
        <f t="shared" si="22"/>
        <v>11.19</v>
      </c>
      <c r="L191" s="86"/>
      <c r="N191" s="86"/>
      <c r="O191" s="86"/>
      <c r="P191" s="86"/>
    </row>
    <row r="192" spans="1:16" ht="12.75" thickBot="1">
      <c r="A192" s="1" t="s">
        <v>1278</v>
      </c>
      <c r="B192" s="1" t="s">
        <v>459</v>
      </c>
      <c r="C192" s="1" t="s">
        <v>134</v>
      </c>
      <c r="D192" s="4">
        <f t="shared" si="24"/>
        <v>179</v>
      </c>
      <c r="E192" s="4"/>
      <c r="F192" s="3"/>
      <c r="G192" s="11"/>
      <c r="H192" s="12">
        <f>SUMIF(PoleRates!$E$4:$E$131,"20140101"&amp;C192,PoleRates!$F$4:$F$131)</f>
        <v>3.56</v>
      </c>
      <c r="I192" s="87"/>
      <c r="J192" s="44">
        <v>179</v>
      </c>
      <c r="K192" s="40">
        <f t="shared" si="22"/>
        <v>637.24</v>
      </c>
      <c r="L192" s="86"/>
      <c r="N192" s="86"/>
      <c r="O192" s="86"/>
      <c r="P192" s="86"/>
    </row>
    <row r="193" spans="1:16" ht="12.75" thickBot="1">
      <c r="A193" s="1" t="s">
        <v>1278</v>
      </c>
      <c r="B193" s="1" t="s">
        <v>1197</v>
      </c>
      <c r="C193" s="1" t="s">
        <v>134</v>
      </c>
      <c r="D193" s="4">
        <f t="shared" si="24"/>
        <v>56</v>
      </c>
      <c r="E193" s="4"/>
      <c r="F193" s="3"/>
      <c r="G193" s="11"/>
      <c r="H193" s="12">
        <f>SUMIF(PoleRates!$E$4:$E$131,"20140101"&amp;C193,PoleRates!$F$4:$F$131)</f>
        <v>3.56</v>
      </c>
      <c r="I193" s="87"/>
      <c r="J193" s="44">
        <v>56</v>
      </c>
      <c r="K193" s="40">
        <f t="shared" si="22"/>
        <v>199.36</v>
      </c>
      <c r="L193" s="86"/>
      <c r="N193" s="86"/>
      <c r="O193" s="86"/>
      <c r="P193" s="86"/>
    </row>
    <row r="194" spans="1:16" ht="12.75" thickBot="1">
      <c r="A194" s="1" t="s">
        <v>1278</v>
      </c>
      <c r="B194" s="1" t="s">
        <v>459</v>
      </c>
      <c r="C194" s="1" t="s">
        <v>134</v>
      </c>
      <c r="D194" s="6">
        <f t="shared" si="24"/>
        <v>53</v>
      </c>
      <c r="E194" s="6"/>
      <c r="F194" s="5"/>
      <c r="G194" s="15"/>
      <c r="H194" s="12">
        <f>SUMIF(PoleRates!$E$4:$E$131,"20140101"&amp;C194,PoleRates!$F$4:$F$131)</f>
        <v>3.56</v>
      </c>
      <c r="I194" s="87"/>
      <c r="J194" s="44">
        <v>53</v>
      </c>
      <c r="K194" s="40">
        <f t="shared" si="22"/>
        <v>188.68</v>
      </c>
      <c r="L194" s="86"/>
      <c r="N194" s="86"/>
      <c r="O194" s="86"/>
      <c r="P194" s="86"/>
    </row>
    <row r="195" spans="1:16" ht="12.75" thickBot="1">
      <c r="A195" s="1" t="s">
        <v>1278</v>
      </c>
      <c r="B195" s="1" t="s">
        <v>1197</v>
      </c>
      <c r="C195" s="1" t="s">
        <v>134</v>
      </c>
      <c r="D195" s="4">
        <f t="shared" si="24"/>
        <v>112</v>
      </c>
      <c r="E195" s="4"/>
      <c r="F195" s="3"/>
      <c r="G195" s="11"/>
      <c r="H195" s="12">
        <f>SUMIF(PoleRates!$E$4:$E$131,"20140101"&amp;C195,PoleRates!$F$4:$F$131)</f>
        <v>3.56</v>
      </c>
      <c r="I195" s="87"/>
      <c r="J195" s="44">
        <v>112</v>
      </c>
      <c r="K195" s="40">
        <f t="shared" si="22"/>
        <v>398.72</v>
      </c>
      <c r="L195" s="86"/>
      <c r="N195" s="86"/>
      <c r="O195" s="86"/>
      <c r="P195" s="86"/>
    </row>
    <row r="196" spans="1:16" ht="12.75" thickBot="1">
      <c r="A196" s="1" t="s">
        <v>1278</v>
      </c>
      <c r="B196" s="1" t="s">
        <v>459</v>
      </c>
      <c r="C196" s="1" t="s">
        <v>129</v>
      </c>
      <c r="D196" s="5">
        <f t="shared" si="24"/>
        <v>45</v>
      </c>
      <c r="E196" s="15"/>
      <c r="F196" s="6"/>
      <c r="G196" s="6"/>
      <c r="H196" s="12">
        <f>SUMIF(PoleRates!$E$4:$E$131,"20140101"&amp;C196,PoleRates!$F$4:$F$131)</f>
        <v>3.47</v>
      </c>
      <c r="I196" s="87"/>
      <c r="J196" s="44">
        <v>45</v>
      </c>
      <c r="K196" s="40">
        <f t="shared" si="22"/>
        <v>156.15</v>
      </c>
      <c r="L196" s="86"/>
      <c r="N196" s="86"/>
      <c r="O196" s="86"/>
      <c r="P196" s="86"/>
    </row>
    <row r="197" spans="1:16" ht="12.75" thickBot="1">
      <c r="A197" s="1" t="s">
        <v>1278</v>
      </c>
      <c r="B197" s="1" t="s">
        <v>1197</v>
      </c>
      <c r="C197" s="1" t="s">
        <v>129</v>
      </c>
      <c r="D197" s="3">
        <f t="shared" si="24"/>
        <v>3</v>
      </c>
      <c r="E197" s="11"/>
      <c r="F197" s="4"/>
      <c r="G197" s="4"/>
      <c r="H197" s="12">
        <f>SUMIF(PoleRates!$E$4:$E$131,"20140101"&amp;C197,PoleRates!$F$4:$F$131)</f>
        <v>3.47</v>
      </c>
      <c r="I197" s="87"/>
      <c r="J197" s="44">
        <v>3</v>
      </c>
      <c r="K197" s="40">
        <f t="shared" si="22"/>
        <v>10.41</v>
      </c>
      <c r="L197" s="86"/>
      <c r="N197" s="86"/>
      <c r="O197" s="86"/>
      <c r="P197" s="86"/>
    </row>
    <row r="198" spans="1:16" ht="12.75" thickBot="1">
      <c r="A198" s="1" t="s">
        <v>1278</v>
      </c>
      <c r="B198" s="1" t="s">
        <v>459</v>
      </c>
      <c r="C198" s="2" t="s">
        <v>130</v>
      </c>
      <c r="D198" s="5">
        <f t="shared" si="24"/>
        <v>20</v>
      </c>
      <c r="E198" s="15"/>
      <c r="F198" s="6"/>
      <c r="G198" s="6"/>
      <c r="H198" s="12">
        <f>SUMIF(PoleRates!$E$4:$E$131,"20140101"&amp;C198,PoleRates!$F$4:$F$131)</f>
        <v>3.73</v>
      </c>
      <c r="I198" s="87"/>
      <c r="J198" s="44">
        <v>20</v>
      </c>
      <c r="K198" s="40">
        <f t="shared" si="22"/>
        <v>74.599999999999994</v>
      </c>
      <c r="L198" s="86"/>
      <c r="N198" s="86"/>
      <c r="O198" s="86"/>
      <c r="P198" s="86"/>
    </row>
    <row r="199" spans="1:16" ht="12.75" thickBot="1">
      <c r="A199" s="1" t="s">
        <v>1278</v>
      </c>
      <c r="B199" s="1" t="s">
        <v>1197</v>
      </c>
      <c r="C199" s="2" t="s">
        <v>130</v>
      </c>
      <c r="D199" s="3">
        <f t="shared" si="24"/>
        <v>70</v>
      </c>
      <c r="E199" s="11"/>
      <c r="F199" s="4"/>
      <c r="G199" s="4"/>
      <c r="H199" s="12">
        <f>SUMIF(PoleRates!$E$4:$E$131,"20140101"&amp;C199,PoleRates!$F$4:$F$131)</f>
        <v>3.73</v>
      </c>
      <c r="I199" s="87"/>
      <c r="J199" s="44">
        <v>70</v>
      </c>
      <c r="K199" s="40">
        <f t="shared" si="22"/>
        <v>261.10000000000002</v>
      </c>
      <c r="L199" s="86"/>
      <c r="N199" s="86"/>
      <c r="O199" s="86"/>
      <c r="P199" s="86"/>
    </row>
    <row r="200" spans="1:16" ht="12.75" thickBot="1">
      <c r="A200" s="1" t="s">
        <v>1278</v>
      </c>
      <c r="B200" s="1" t="s">
        <v>459</v>
      </c>
      <c r="C200" s="2" t="s">
        <v>134</v>
      </c>
      <c r="D200" s="5">
        <f t="shared" si="24"/>
        <v>1</v>
      </c>
      <c r="E200" s="15"/>
      <c r="F200" s="6"/>
      <c r="G200" s="6"/>
      <c r="H200" s="12">
        <f>SUMIF(PoleRates!$E$4:$E$131,"20140101"&amp;C200,PoleRates!$F$4:$F$131)</f>
        <v>3.56</v>
      </c>
      <c r="I200" s="87"/>
      <c r="J200" s="44">
        <v>1</v>
      </c>
      <c r="K200" s="40">
        <f t="shared" si="22"/>
        <v>3.56</v>
      </c>
      <c r="L200" s="86"/>
      <c r="N200" s="86"/>
      <c r="O200" s="86"/>
      <c r="P200" s="86"/>
    </row>
    <row r="201" spans="1:16" ht="12.75" thickBot="1">
      <c r="A201" s="1" t="s">
        <v>1278</v>
      </c>
      <c r="B201" s="1" t="s">
        <v>1197</v>
      </c>
      <c r="C201" s="2" t="s">
        <v>134</v>
      </c>
      <c r="D201" s="3">
        <f t="shared" si="24"/>
        <v>72</v>
      </c>
      <c r="E201" s="11"/>
      <c r="F201" s="4"/>
      <c r="G201" s="4"/>
      <c r="H201" s="12">
        <f>SUMIF(PoleRates!$E$4:$E$131,"20140101"&amp;C201,PoleRates!$F$4:$F$131)</f>
        <v>3.56</v>
      </c>
      <c r="I201" s="87"/>
      <c r="J201" s="44">
        <v>72</v>
      </c>
      <c r="K201" s="40">
        <f t="shared" si="22"/>
        <v>256.32</v>
      </c>
      <c r="L201" s="86"/>
      <c r="N201" s="86"/>
      <c r="O201" s="86"/>
      <c r="P201" s="86"/>
    </row>
    <row r="202" spans="1:16" ht="12.75" thickBot="1">
      <c r="A202" s="1" t="s">
        <v>1278</v>
      </c>
      <c r="B202" s="1" t="s">
        <v>459</v>
      </c>
      <c r="C202" s="1" t="s">
        <v>134</v>
      </c>
      <c r="D202" s="5">
        <f t="shared" si="24"/>
        <v>6</v>
      </c>
      <c r="E202" s="15"/>
      <c r="F202" s="6"/>
      <c r="G202" s="6"/>
      <c r="H202" s="12">
        <f>SUMIF(PoleRates!$E$4:$E$131,"20140101"&amp;C202,PoleRates!$F$4:$F$131)</f>
        <v>3.56</v>
      </c>
      <c r="I202" s="87"/>
      <c r="J202" s="44">
        <v>6</v>
      </c>
      <c r="K202" s="40">
        <f t="shared" si="22"/>
        <v>21.36</v>
      </c>
      <c r="L202" s="86"/>
      <c r="N202" s="86"/>
      <c r="O202" s="86"/>
      <c r="P202" s="86"/>
    </row>
    <row r="203" spans="1:16" ht="12.75" thickBot="1">
      <c r="A203" s="1" t="s">
        <v>1278</v>
      </c>
      <c r="B203" s="1" t="s">
        <v>1197</v>
      </c>
      <c r="C203" s="1" t="s">
        <v>134</v>
      </c>
      <c r="D203" s="3">
        <f t="shared" si="24"/>
        <v>60</v>
      </c>
      <c r="E203" s="11"/>
      <c r="F203" s="4"/>
      <c r="G203" s="4"/>
      <c r="H203" s="12">
        <f>SUMIF(PoleRates!$E$4:$E$131,"20140101"&amp;C203,PoleRates!$F$4:$F$131)</f>
        <v>3.56</v>
      </c>
      <c r="I203" s="87"/>
      <c r="J203" s="44">
        <v>60</v>
      </c>
      <c r="K203" s="40">
        <f t="shared" si="22"/>
        <v>213.6</v>
      </c>
      <c r="L203" s="86"/>
      <c r="N203" s="86"/>
      <c r="O203" s="86"/>
      <c r="P203" s="86"/>
    </row>
    <row r="204" spans="1:16" ht="12.75" thickBot="1">
      <c r="A204" s="1" t="s">
        <v>1278</v>
      </c>
      <c r="B204" s="1" t="s">
        <v>459</v>
      </c>
      <c r="C204" s="2" t="s">
        <v>136</v>
      </c>
      <c r="D204" s="5"/>
      <c r="E204" s="15"/>
      <c r="F204" s="6">
        <f t="shared" ref="F204:F205" si="25">J204</f>
        <v>37</v>
      </c>
      <c r="G204" s="6"/>
      <c r="H204" s="12">
        <f>SUMIF(PoleRates!$E$4:$E$131,"20140101"&amp;C204,PoleRates!$F$4:$F$131)</f>
        <v>11.31</v>
      </c>
      <c r="I204" s="87"/>
      <c r="J204" s="44">
        <v>37</v>
      </c>
      <c r="K204" s="40">
        <f t="shared" si="22"/>
        <v>418.47</v>
      </c>
      <c r="L204" s="86"/>
      <c r="N204" s="86"/>
      <c r="O204" s="86"/>
      <c r="P204" s="86"/>
    </row>
    <row r="205" spans="1:16" ht="12.75" thickBot="1">
      <c r="A205" s="1" t="s">
        <v>1278</v>
      </c>
      <c r="B205" s="1" t="s">
        <v>1197</v>
      </c>
      <c r="C205" s="2" t="s">
        <v>136</v>
      </c>
      <c r="D205" s="4"/>
      <c r="E205" s="4"/>
      <c r="F205" s="3">
        <f t="shared" si="25"/>
        <v>409</v>
      </c>
      <c r="G205" s="11"/>
      <c r="H205" s="12">
        <f>SUMIF(PoleRates!$E$4:$E$131,"20140101"&amp;C205,PoleRates!$F$4:$F$131)</f>
        <v>11.31</v>
      </c>
      <c r="I205" s="87"/>
      <c r="J205" s="44">
        <v>409</v>
      </c>
      <c r="K205" s="40">
        <f t="shared" si="22"/>
        <v>4625.79</v>
      </c>
      <c r="L205" s="86"/>
      <c r="N205" s="86"/>
      <c r="O205" s="86"/>
      <c r="P205" s="86"/>
    </row>
    <row r="206" spans="1:16" ht="12.75" thickBot="1">
      <c r="A206" s="1" t="s">
        <v>1278</v>
      </c>
      <c r="B206" s="1"/>
      <c r="C206" s="17" t="s">
        <v>7</v>
      </c>
      <c r="D206" s="7"/>
      <c r="E206" s="18"/>
      <c r="F206" s="7"/>
      <c r="G206" s="18"/>
      <c r="H206" s="23"/>
      <c r="I206" s="13"/>
      <c r="K206" s="40">
        <f>SUM(K182:K205)</f>
        <v>27532.750000000004</v>
      </c>
    </row>
    <row r="207" spans="1:16" ht="15.75" thickBot="1">
      <c r="A207" s="1" t="s">
        <v>1279</v>
      </c>
      <c r="B207" s="1" t="s">
        <v>459</v>
      </c>
      <c r="C207" s="2" t="s">
        <v>126</v>
      </c>
      <c r="D207" s="4"/>
      <c r="E207" s="4"/>
      <c r="F207" s="3">
        <v>1723</v>
      </c>
      <c r="G207" s="11"/>
      <c r="H207" s="12">
        <f>SUMIF(PoleRates!$E$4:$E$131,"20140101"&amp;C207,PoleRates!$F$4:$F$131)</f>
        <v>2.06</v>
      </c>
      <c r="I207" s="88"/>
      <c r="J207" s="89">
        <v>1723</v>
      </c>
      <c r="K207" s="88">
        <f>J207*H207</f>
        <v>3549.38</v>
      </c>
      <c r="M207" s="10" t="s">
        <v>1313</v>
      </c>
      <c r="N207" s="90"/>
      <c r="O207" s="86"/>
    </row>
    <row r="208" spans="1:16" ht="15.75" thickBot="1">
      <c r="A208" s="1" t="s">
        <v>1279</v>
      </c>
      <c r="B208" s="1" t="s">
        <v>1197</v>
      </c>
      <c r="C208" s="2" t="s">
        <v>126</v>
      </c>
      <c r="D208" s="6"/>
      <c r="E208" s="6"/>
      <c r="F208" s="5">
        <v>5243</v>
      </c>
      <c r="G208" s="15"/>
      <c r="H208" s="12">
        <f>SUMIF(PoleRates!$E$4:$E$131,"20140101"&amp;C208,PoleRates!$F$4:$F$131)</f>
        <v>2.06</v>
      </c>
      <c r="I208" s="88"/>
      <c r="J208" s="89">
        <v>5243</v>
      </c>
      <c r="K208" s="88">
        <f t="shared" ref="K208:K230" si="26">J208*H208</f>
        <v>10800.58</v>
      </c>
      <c r="N208" s="90"/>
      <c r="O208" s="86"/>
    </row>
    <row r="209" spans="1:15" ht="15.75" thickBot="1">
      <c r="A209" s="1" t="s">
        <v>1279</v>
      </c>
      <c r="B209" s="1" t="s">
        <v>459</v>
      </c>
      <c r="C209" s="2" t="s">
        <v>127</v>
      </c>
      <c r="D209" s="4"/>
      <c r="E209" s="4"/>
      <c r="F209" s="3">
        <v>157</v>
      </c>
      <c r="G209" s="11"/>
      <c r="H209" s="12">
        <f>SUMIF(PoleRates!$E$4:$E$131,"20140101"&amp;C209,PoleRates!$F$4:$F$131)</f>
        <v>10.81</v>
      </c>
      <c r="I209" s="88"/>
      <c r="J209" s="89">
        <v>157</v>
      </c>
      <c r="K209" s="88">
        <f t="shared" si="26"/>
        <v>1697.17</v>
      </c>
      <c r="N209" s="90"/>
      <c r="O209" s="86"/>
    </row>
    <row r="210" spans="1:15" ht="15.75" thickBot="1">
      <c r="A210" s="1" t="s">
        <v>1279</v>
      </c>
      <c r="B210" s="1" t="s">
        <v>1197</v>
      </c>
      <c r="C210" s="2" t="s">
        <v>127</v>
      </c>
      <c r="D210" s="5"/>
      <c r="E210" s="15"/>
      <c r="F210" s="6">
        <v>0</v>
      </c>
      <c r="G210" s="6"/>
      <c r="H210" s="12">
        <f>SUMIF(PoleRates!$E$4:$E$131,"20140101"&amp;C210,PoleRates!$F$4:$F$131)</f>
        <v>10.81</v>
      </c>
      <c r="I210" s="88"/>
      <c r="J210" s="89">
        <v>0</v>
      </c>
      <c r="K210" s="88">
        <f t="shared" si="26"/>
        <v>0</v>
      </c>
      <c r="N210" s="90"/>
      <c r="O210" s="86"/>
    </row>
    <row r="211" spans="1:15" ht="15.75" thickBot="1">
      <c r="A211" s="1" t="s">
        <v>1279</v>
      </c>
      <c r="B211" s="1" t="s">
        <v>459</v>
      </c>
      <c r="C211" s="2" t="s">
        <v>128</v>
      </c>
      <c r="D211" s="3"/>
      <c r="E211" s="11"/>
      <c r="F211" s="4" t="s">
        <v>786</v>
      </c>
      <c r="G211" s="4"/>
      <c r="H211" s="12">
        <f>SUMIF(PoleRates!$E$4:$E$131,"20140101"&amp;C211,PoleRates!$F$4:$F$131)</f>
        <v>12.9</v>
      </c>
      <c r="I211" s="88"/>
      <c r="J211" s="89">
        <v>277</v>
      </c>
      <c r="K211" s="88">
        <f t="shared" si="26"/>
        <v>3573.3</v>
      </c>
      <c r="N211" s="90"/>
      <c r="O211" s="86"/>
    </row>
    <row r="212" spans="1:15" ht="15.75" thickBot="1">
      <c r="A212" s="1" t="s">
        <v>1279</v>
      </c>
      <c r="B212" s="1" t="s">
        <v>1197</v>
      </c>
      <c r="C212" s="2" t="s">
        <v>128</v>
      </c>
      <c r="D212" s="5"/>
      <c r="E212" s="15"/>
      <c r="F212" s="6">
        <v>3</v>
      </c>
      <c r="G212" s="6"/>
      <c r="H212" s="12">
        <f>SUMIF(PoleRates!$E$4:$E$131,"20140101"&amp;C212,PoleRates!$F$4:$F$131)</f>
        <v>12.9</v>
      </c>
      <c r="I212" s="88"/>
      <c r="J212" s="89">
        <v>3</v>
      </c>
      <c r="K212" s="88">
        <f t="shared" si="26"/>
        <v>38.700000000000003</v>
      </c>
      <c r="N212" s="90"/>
      <c r="O212" s="86"/>
    </row>
    <row r="213" spans="1:15" ht="15.75" thickBot="1">
      <c r="A213" s="1" t="s">
        <v>1279</v>
      </c>
      <c r="B213" s="1" t="s">
        <v>459</v>
      </c>
      <c r="C213" s="1" t="s">
        <v>129</v>
      </c>
      <c r="D213" s="3">
        <v>32</v>
      </c>
      <c r="E213" s="11"/>
      <c r="F213" s="4"/>
      <c r="G213" s="4"/>
      <c r="H213" s="12">
        <f>SUMIF(PoleRates!$E$4:$E$131,"20140101"&amp;C213,PoleRates!$F$4:$F$131)</f>
        <v>3.47</v>
      </c>
      <c r="I213" s="88"/>
      <c r="J213" s="89">
        <v>32</v>
      </c>
      <c r="K213" s="88">
        <f t="shared" si="26"/>
        <v>111.04</v>
      </c>
      <c r="N213" s="90"/>
      <c r="O213" s="86"/>
    </row>
    <row r="214" spans="1:15" ht="15.75" thickBot="1">
      <c r="A214" s="1" t="s">
        <v>1279</v>
      </c>
      <c r="B214" s="1" t="s">
        <v>1197</v>
      </c>
      <c r="C214" s="1" t="s">
        <v>129</v>
      </c>
      <c r="D214" s="5">
        <v>10</v>
      </c>
      <c r="E214" s="15"/>
      <c r="F214" s="6"/>
      <c r="G214" s="6"/>
      <c r="H214" s="12">
        <f>SUMIF(PoleRates!$E$4:$E$131,"20140101"&amp;C214,PoleRates!$F$4:$F$131)</f>
        <v>3.47</v>
      </c>
      <c r="I214" s="88"/>
      <c r="J214" s="89">
        <v>10</v>
      </c>
      <c r="K214" s="88">
        <f t="shared" si="26"/>
        <v>34.700000000000003</v>
      </c>
      <c r="N214" s="90"/>
      <c r="O214" s="86"/>
    </row>
    <row r="215" spans="1:15" ht="15.75" thickBot="1">
      <c r="A215" s="1" t="s">
        <v>1279</v>
      </c>
      <c r="B215" s="1" t="s">
        <v>459</v>
      </c>
      <c r="C215" s="2" t="s">
        <v>130</v>
      </c>
      <c r="D215" s="3">
        <v>175</v>
      </c>
      <c r="E215" s="11"/>
      <c r="F215" s="4"/>
      <c r="G215" s="4"/>
      <c r="H215" s="12">
        <f>SUMIF(PoleRates!$E$4:$E$131,"20140101"&amp;C215,PoleRates!$F$4:$F$131)</f>
        <v>3.73</v>
      </c>
      <c r="I215" s="88"/>
      <c r="J215" s="89">
        <v>175</v>
      </c>
      <c r="K215" s="88">
        <f t="shared" si="26"/>
        <v>652.75</v>
      </c>
      <c r="N215" s="90"/>
      <c r="O215" s="86"/>
    </row>
    <row r="216" spans="1:15" ht="15.75" thickBot="1">
      <c r="A216" s="1" t="s">
        <v>1279</v>
      </c>
      <c r="B216" s="1" t="s">
        <v>1197</v>
      </c>
      <c r="C216" s="2" t="s">
        <v>130</v>
      </c>
      <c r="D216" s="5">
        <v>3</v>
      </c>
      <c r="E216" s="15"/>
      <c r="F216" s="6"/>
      <c r="G216" s="6"/>
      <c r="H216" s="12">
        <f>SUMIF(PoleRates!$E$4:$E$131,"20140101"&amp;C216,PoleRates!$F$4:$F$131)</f>
        <v>3.73</v>
      </c>
      <c r="I216" s="88"/>
      <c r="J216" s="89">
        <v>3</v>
      </c>
      <c r="K216" s="88">
        <f t="shared" si="26"/>
        <v>11.19</v>
      </c>
      <c r="N216" s="90"/>
      <c r="O216" s="86"/>
    </row>
    <row r="217" spans="1:15" ht="15.75" thickBot="1">
      <c r="A217" s="1" t="s">
        <v>1279</v>
      </c>
      <c r="B217" s="1" t="s">
        <v>459</v>
      </c>
      <c r="C217" s="2" t="s">
        <v>134</v>
      </c>
      <c r="D217" s="4">
        <v>179</v>
      </c>
      <c r="E217" s="4"/>
      <c r="F217" s="3"/>
      <c r="G217" s="11"/>
      <c r="H217" s="12">
        <f>SUMIF(PoleRates!$E$4:$E$131,"20140101"&amp;C217,PoleRates!$F$4:$F$131)</f>
        <v>3.56</v>
      </c>
      <c r="I217" s="88"/>
      <c r="J217" s="89">
        <v>179</v>
      </c>
      <c r="K217" s="88">
        <f t="shared" si="26"/>
        <v>637.24</v>
      </c>
      <c r="N217" s="90"/>
      <c r="O217" s="86"/>
    </row>
    <row r="218" spans="1:15" ht="15.75" thickBot="1">
      <c r="A218" s="1" t="s">
        <v>1279</v>
      </c>
      <c r="B218" s="1" t="s">
        <v>1197</v>
      </c>
      <c r="C218" s="2" t="s">
        <v>134</v>
      </c>
      <c r="D218" s="4">
        <v>56</v>
      </c>
      <c r="E218" s="4"/>
      <c r="F218" s="3"/>
      <c r="G218" s="11"/>
      <c r="H218" s="12">
        <f>SUMIF(PoleRates!$E$4:$E$131,"20140101"&amp;C218,PoleRates!$F$4:$F$131)</f>
        <v>3.56</v>
      </c>
      <c r="I218" s="88"/>
      <c r="J218" s="89">
        <v>56</v>
      </c>
      <c r="K218" s="88">
        <f t="shared" si="26"/>
        <v>199.36</v>
      </c>
      <c r="N218" s="90"/>
      <c r="O218" s="86"/>
    </row>
    <row r="219" spans="1:15" ht="15.75" thickBot="1">
      <c r="A219" s="1" t="s">
        <v>1279</v>
      </c>
      <c r="B219" s="1" t="s">
        <v>459</v>
      </c>
      <c r="C219" s="2" t="s">
        <v>134</v>
      </c>
      <c r="D219" s="6">
        <v>53</v>
      </c>
      <c r="E219" s="6"/>
      <c r="F219" s="5"/>
      <c r="G219" s="15"/>
      <c r="H219" s="12">
        <f>SUMIF(PoleRates!$E$4:$E$131,"20140101"&amp;C219,PoleRates!$F$4:$F$131)</f>
        <v>3.56</v>
      </c>
      <c r="I219" s="88"/>
      <c r="J219" s="89">
        <v>53</v>
      </c>
      <c r="K219" s="88">
        <f t="shared" si="26"/>
        <v>188.68</v>
      </c>
      <c r="N219" s="90"/>
      <c r="O219" s="86"/>
    </row>
    <row r="220" spans="1:15" ht="15.75" thickBot="1">
      <c r="A220" s="1" t="s">
        <v>1279</v>
      </c>
      <c r="B220" s="1" t="s">
        <v>1197</v>
      </c>
      <c r="C220" s="2" t="s">
        <v>134</v>
      </c>
      <c r="D220" s="4">
        <v>112</v>
      </c>
      <c r="E220" s="4"/>
      <c r="F220" s="3"/>
      <c r="G220" s="11"/>
      <c r="H220" s="12">
        <f>SUMIF(PoleRates!$E$4:$E$131,"20140101"&amp;C220,PoleRates!$F$4:$F$131)</f>
        <v>3.56</v>
      </c>
      <c r="I220" s="88"/>
      <c r="J220" s="89">
        <v>112</v>
      </c>
      <c r="K220" s="88">
        <f t="shared" si="26"/>
        <v>398.72</v>
      </c>
      <c r="N220" s="90"/>
      <c r="O220" s="86"/>
    </row>
    <row r="221" spans="1:15" ht="15.75" thickBot="1">
      <c r="A221" s="1" t="s">
        <v>1279</v>
      </c>
      <c r="B221" s="1" t="s">
        <v>459</v>
      </c>
      <c r="C221" s="2" t="s">
        <v>134</v>
      </c>
      <c r="D221" s="5">
        <v>45</v>
      </c>
      <c r="E221" s="15"/>
      <c r="F221" s="6"/>
      <c r="G221" s="6"/>
      <c r="H221" s="12">
        <f>SUMIF(PoleRates!$E$4:$E$131,"20140101"&amp;C221,PoleRates!$F$4:$F$131)</f>
        <v>3.56</v>
      </c>
      <c r="I221" s="88"/>
      <c r="J221" s="89">
        <v>45</v>
      </c>
      <c r="K221" s="88">
        <f t="shared" si="26"/>
        <v>160.19999999999999</v>
      </c>
      <c r="N221" s="90"/>
      <c r="O221" s="86"/>
    </row>
    <row r="222" spans="1:15" ht="15.75" thickBot="1">
      <c r="A222" s="1" t="s">
        <v>1279</v>
      </c>
      <c r="B222" s="1" t="s">
        <v>1197</v>
      </c>
      <c r="C222" s="2" t="s">
        <v>134</v>
      </c>
      <c r="D222" s="3">
        <v>3</v>
      </c>
      <c r="E222" s="11"/>
      <c r="F222" s="4"/>
      <c r="G222" s="4"/>
      <c r="H222" s="12">
        <f>SUMIF(PoleRates!$E$4:$E$131,"20140101"&amp;C222,PoleRates!$F$4:$F$131)</f>
        <v>3.56</v>
      </c>
      <c r="I222" s="88"/>
      <c r="J222" s="89">
        <v>3</v>
      </c>
      <c r="K222" s="88">
        <f t="shared" si="26"/>
        <v>10.68</v>
      </c>
      <c r="N222" s="90"/>
      <c r="O222" s="86"/>
    </row>
    <row r="223" spans="1:15" ht="15.75" thickBot="1">
      <c r="A223" s="1" t="s">
        <v>1279</v>
      </c>
      <c r="B223" s="1" t="s">
        <v>459</v>
      </c>
      <c r="C223" s="2" t="s">
        <v>134</v>
      </c>
      <c r="D223" s="5">
        <v>20</v>
      </c>
      <c r="E223" s="15"/>
      <c r="F223" s="6"/>
      <c r="G223" s="6"/>
      <c r="H223" s="12">
        <f>SUMIF(PoleRates!$E$4:$E$131,"20140101"&amp;C223,PoleRates!$F$4:$F$131)</f>
        <v>3.56</v>
      </c>
      <c r="I223" s="88"/>
      <c r="J223" s="89">
        <v>20</v>
      </c>
      <c r="K223" s="88">
        <f t="shared" si="26"/>
        <v>71.2</v>
      </c>
      <c r="N223" s="90"/>
      <c r="O223" s="86"/>
    </row>
    <row r="224" spans="1:15" ht="15.75" thickBot="1">
      <c r="A224" s="1" t="s">
        <v>1279</v>
      </c>
      <c r="B224" s="1" t="s">
        <v>1197</v>
      </c>
      <c r="C224" s="2" t="s">
        <v>134</v>
      </c>
      <c r="D224" s="3">
        <v>70</v>
      </c>
      <c r="E224" s="11"/>
      <c r="F224" s="4"/>
      <c r="G224" s="4"/>
      <c r="H224" s="12">
        <f>SUMIF(PoleRates!$E$4:$E$131,"20140101"&amp;C224,PoleRates!$F$4:$F$131)</f>
        <v>3.56</v>
      </c>
      <c r="I224" s="88"/>
      <c r="J224" s="89">
        <v>70</v>
      </c>
      <c r="K224" s="88">
        <f t="shared" si="26"/>
        <v>249.20000000000002</v>
      </c>
      <c r="N224" s="90"/>
      <c r="O224" s="86"/>
    </row>
    <row r="225" spans="1:15" ht="15.75" thickBot="1">
      <c r="A225" s="1" t="s">
        <v>1279</v>
      </c>
      <c r="B225" s="1" t="s">
        <v>459</v>
      </c>
      <c r="C225" s="1" t="s">
        <v>134</v>
      </c>
      <c r="D225" s="5">
        <v>1</v>
      </c>
      <c r="E225" s="15"/>
      <c r="F225" s="6"/>
      <c r="G225" s="6"/>
      <c r="H225" s="12">
        <f>SUMIF(PoleRates!$E$4:$E$131,"20140101"&amp;C225,PoleRates!$F$4:$F$131)</f>
        <v>3.56</v>
      </c>
      <c r="I225" s="88"/>
      <c r="J225" s="89">
        <v>1</v>
      </c>
      <c r="K225" s="88">
        <f t="shared" si="26"/>
        <v>3.56</v>
      </c>
      <c r="N225" s="90"/>
      <c r="O225" s="86"/>
    </row>
    <row r="226" spans="1:15" ht="15.75" thickBot="1">
      <c r="A226" s="1" t="s">
        <v>1279</v>
      </c>
      <c r="B226" s="1" t="s">
        <v>1197</v>
      </c>
      <c r="C226" s="1" t="s">
        <v>134</v>
      </c>
      <c r="D226" s="3">
        <v>64</v>
      </c>
      <c r="E226" s="11"/>
      <c r="F226" s="4"/>
      <c r="G226" s="4"/>
      <c r="H226" s="12">
        <f>SUMIF(PoleRates!$E$4:$E$131,"20140101"&amp;C226,PoleRates!$F$4:$F$131)</f>
        <v>3.56</v>
      </c>
      <c r="I226" s="88"/>
      <c r="J226" s="89">
        <v>64</v>
      </c>
      <c r="K226" s="88">
        <f t="shared" si="26"/>
        <v>227.84</v>
      </c>
      <c r="N226" s="90"/>
      <c r="O226" s="86"/>
    </row>
    <row r="227" spans="1:15" ht="15.75" thickBot="1">
      <c r="A227" s="1" t="s">
        <v>1279</v>
      </c>
      <c r="B227" s="1" t="s">
        <v>459</v>
      </c>
      <c r="C227" s="2" t="s">
        <v>134</v>
      </c>
      <c r="D227" s="5">
        <v>6</v>
      </c>
      <c r="E227" s="15"/>
      <c r="F227" s="6"/>
      <c r="G227" s="6"/>
      <c r="H227" s="12">
        <f>SUMIF(PoleRates!$E$4:$E$131,"20140101"&amp;C227,PoleRates!$F$4:$F$131)</f>
        <v>3.56</v>
      </c>
      <c r="I227" s="88"/>
      <c r="J227" s="89">
        <v>6</v>
      </c>
      <c r="K227" s="88">
        <f t="shared" si="26"/>
        <v>21.36</v>
      </c>
      <c r="N227" s="90"/>
      <c r="O227" s="86"/>
    </row>
    <row r="228" spans="1:15" ht="15.75" thickBot="1">
      <c r="A228" s="1" t="s">
        <v>1279</v>
      </c>
      <c r="B228" s="1" t="s">
        <v>1197</v>
      </c>
      <c r="C228" s="2" t="s">
        <v>134</v>
      </c>
      <c r="D228" s="3">
        <v>60</v>
      </c>
      <c r="E228" s="11"/>
      <c r="F228" s="4"/>
      <c r="G228" s="4"/>
      <c r="H228" s="12">
        <f>SUMIF(PoleRates!$E$4:$E$131,"20140101"&amp;C228,PoleRates!$F$4:$F$131)</f>
        <v>3.56</v>
      </c>
      <c r="I228" s="88"/>
      <c r="J228" s="89">
        <v>60</v>
      </c>
      <c r="K228" s="88">
        <f t="shared" si="26"/>
        <v>213.6</v>
      </c>
      <c r="N228" s="90"/>
      <c r="O228" s="86"/>
    </row>
    <row r="229" spans="1:15" ht="15.75" thickBot="1">
      <c r="A229" s="1" t="s">
        <v>1279</v>
      </c>
      <c r="B229" s="1" t="s">
        <v>459</v>
      </c>
      <c r="C229" s="2" t="s">
        <v>136</v>
      </c>
      <c r="D229" s="5"/>
      <c r="E229" s="15"/>
      <c r="F229" s="6">
        <v>37</v>
      </c>
      <c r="G229" s="6"/>
      <c r="H229" s="12">
        <f>SUMIF(PoleRates!$E$4:$E$131,"20140101"&amp;C229,PoleRates!$F$4:$F$131)</f>
        <v>11.31</v>
      </c>
      <c r="I229" s="88"/>
      <c r="J229" s="89">
        <v>37</v>
      </c>
      <c r="K229" s="88">
        <f t="shared" si="26"/>
        <v>418.47</v>
      </c>
      <c r="N229" s="90"/>
      <c r="O229" s="86"/>
    </row>
    <row r="230" spans="1:15" ht="15.75" thickBot="1">
      <c r="A230" s="1" t="s">
        <v>1279</v>
      </c>
      <c r="B230" s="1" t="s">
        <v>1197</v>
      </c>
      <c r="C230" s="2" t="s">
        <v>136</v>
      </c>
      <c r="D230" s="4"/>
      <c r="E230" s="4"/>
      <c r="F230" s="3">
        <v>432</v>
      </c>
      <c r="G230" s="11"/>
      <c r="H230" s="12">
        <f>SUMIF(PoleRates!$E$4:$E$131,"20140101"&amp;C230,PoleRates!$F$4:$F$131)</f>
        <v>11.31</v>
      </c>
      <c r="I230" s="91"/>
      <c r="J230" s="92">
        <v>432</v>
      </c>
      <c r="K230" s="91">
        <f t="shared" si="26"/>
        <v>4885.92</v>
      </c>
      <c r="N230" s="93"/>
      <c r="O230" s="86"/>
    </row>
    <row r="231" spans="1:15" ht="12.75" thickBot="1">
      <c r="A231" s="1" t="s">
        <v>1279</v>
      </c>
      <c r="B231" s="1"/>
      <c r="C231" s="17" t="s">
        <v>7</v>
      </c>
      <c r="D231" s="7"/>
      <c r="E231" s="18"/>
      <c r="F231" s="7"/>
      <c r="G231" s="18"/>
      <c r="H231" s="19"/>
      <c r="I231" s="498"/>
      <c r="K231" s="86">
        <f>SUM(K207:K230)</f>
        <v>28154.840000000011</v>
      </c>
    </row>
    <row r="232" spans="1:15" ht="12.75" thickBot="1">
      <c r="A232" s="1" t="s">
        <v>1280</v>
      </c>
      <c r="B232" s="1" t="s">
        <v>459</v>
      </c>
      <c r="C232" s="2" t="s">
        <v>126</v>
      </c>
      <c r="D232" s="4"/>
      <c r="E232" s="4"/>
      <c r="F232" s="3">
        <f t="shared" ref="F232:F237" si="27">J232</f>
        <v>1702</v>
      </c>
      <c r="G232" s="11"/>
      <c r="H232" s="12">
        <f>SUMIF(PoleRates!$E$4:$E$131,"20140101"&amp;C232,PoleRates!$F$4:$F$131)</f>
        <v>2.06</v>
      </c>
      <c r="I232" s="87"/>
      <c r="J232" s="44">
        <v>1702</v>
      </c>
      <c r="K232" s="86">
        <f>H232*J232</f>
        <v>3506.12</v>
      </c>
      <c r="M232" s="10" t="s">
        <v>1314</v>
      </c>
      <c r="N232" s="86"/>
      <c r="O232" s="86"/>
    </row>
    <row r="233" spans="1:15" ht="12.75" thickBot="1">
      <c r="A233" s="1" t="s">
        <v>1280</v>
      </c>
      <c r="B233" s="1" t="s">
        <v>1197</v>
      </c>
      <c r="C233" s="2" t="s">
        <v>126</v>
      </c>
      <c r="D233" s="6"/>
      <c r="E233" s="6"/>
      <c r="F233" s="5">
        <f t="shared" si="27"/>
        <v>5261</v>
      </c>
      <c r="G233" s="15"/>
      <c r="H233" s="12">
        <f>SUMIF(PoleRates!$E$4:$E$131,"20140101"&amp;C233,PoleRates!$F$4:$F$131)</f>
        <v>2.06</v>
      </c>
      <c r="I233" s="87"/>
      <c r="J233" s="44">
        <v>5261</v>
      </c>
      <c r="K233" s="86">
        <f t="shared" ref="K233:K255" si="28">H233*J233</f>
        <v>10837.66</v>
      </c>
      <c r="N233" s="86"/>
      <c r="O233" s="86"/>
    </row>
    <row r="234" spans="1:15" ht="12.75" thickBot="1">
      <c r="A234" s="1" t="s">
        <v>1280</v>
      </c>
      <c r="B234" s="1" t="s">
        <v>459</v>
      </c>
      <c r="C234" s="2" t="s">
        <v>127</v>
      </c>
      <c r="D234" s="4"/>
      <c r="E234" s="4"/>
      <c r="F234" s="3">
        <f t="shared" si="27"/>
        <v>157</v>
      </c>
      <c r="G234" s="11"/>
      <c r="H234" s="12">
        <f>SUMIF(PoleRates!$E$4:$E$131,"20140101"&amp;C234,PoleRates!$F$4:$F$131)</f>
        <v>10.81</v>
      </c>
      <c r="I234" s="87"/>
      <c r="J234" s="44">
        <v>157</v>
      </c>
      <c r="K234" s="86">
        <f t="shared" si="28"/>
        <v>1697.17</v>
      </c>
      <c r="N234" s="86"/>
      <c r="O234" s="86"/>
    </row>
    <row r="235" spans="1:15" ht="12.75" thickBot="1">
      <c r="A235" s="1" t="s">
        <v>1280</v>
      </c>
      <c r="B235" s="1" t="s">
        <v>1197</v>
      </c>
      <c r="C235" s="2" t="s">
        <v>127</v>
      </c>
      <c r="D235" s="5"/>
      <c r="E235" s="15"/>
      <c r="F235" s="6">
        <f t="shared" si="27"/>
        <v>0</v>
      </c>
      <c r="G235" s="6"/>
      <c r="H235" s="12">
        <f>SUMIF(PoleRates!$E$4:$E$131,"20140101"&amp;C235,PoleRates!$F$4:$F$131)</f>
        <v>10.81</v>
      </c>
      <c r="I235" s="87"/>
      <c r="J235" s="44">
        <v>0</v>
      </c>
      <c r="K235" s="86">
        <f t="shared" si="28"/>
        <v>0</v>
      </c>
      <c r="N235" s="86"/>
      <c r="O235" s="86"/>
    </row>
    <row r="236" spans="1:15" ht="12.75" thickBot="1">
      <c r="A236" s="1" t="s">
        <v>1280</v>
      </c>
      <c r="B236" s="1" t="s">
        <v>459</v>
      </c>
      <c r="C236" s="2" t="s">
        <v>128</v>
      </c>
      <c r="D236" s="3"/>
      <c r="E236" s="11"/>
      <c r="F236" s="4">
        <f t="shared" si="27"/>
        <v>277</v>
      </c>
      <c r="G236" s="4"/>
      <c r="H236" s="12">
        <f>SUMIF(PoleRates!$E$4:$E$131,"20140101"&amp;C236,PoleRates!$F$4:$F$131)</f>
        <v>12.9</v>
      </c>
      <c r="I236" s="87"/>
      <c r="J236" s="44">
        <v>277</v>
      </c>
      <c r="K236" s="86">
        <f t="shared" si="28"/>
        <v>3573.3</v>
      </c>
      <c r="N236" s="86"/>
      <c r="O236" s="86"/>
    </row>
    <row r="237" spans="1:15" ht="12.75" customHeight="1" thickBot="1">
      <c r="A237" s="1" t="s">
        <v>1280</v>
      </c>
      <c r="B237" s="1" t="s">
        <v>1197</v>
      </c>
      <c r="C237" s="2" t="s">
        <v>128</v>
      </c>
      <c r="D237" s="5"/>
      <c r="E237" s="15"/>
      <c r="F237" s="6">
        <f t="shared" si="27"/>
        <v>3</v>
      </c>
      <c r="G237" s="6"/>
      <c r="H237" s="12">
        <f>SUMIF(PoleRates!$E$4:$E$131,"20140101"&amp;C237,PoleRates!$F$4:$F$131)</f>
        <v>12.9</v>
      </c>
      <c r="I237" s="87"/>
      <c r="J237" s="44">
        <v>3</v>
      </c>
      <c r="K237" s="86">
        <f t="shared" si="28"/>
        <v>38.700000000000003</v>
      </c>
      <c r="N237" s="86"/>
      <c r="O237" s="86"/>
    </row>
    <row r="238" spans="1:15" ht="12.75" thickBot="1">
      <c r="A238" s="1" t="s">
        <v>1280</v>
      </c>
      <c r="B238" s="1" t="s">
        <v>459</v>
      </c>
      <c r="C238" s="2" t="s">
        <v>129</v>
      </c>
      <c r="D238" s="3">
        <f>J238</f>
        <v>32</v>
      </c>
      <c r="E238" s="11"/>
      <c r="F238" s="4"/>
      <c r="G238" s="4"/>
      <c r="H238" s="12">
        <f>SUMIF(PoleRates!$E$4:$E$131,"20140101"&amp;C238,PoleRates!$F$4:$F$131)</f>
        <v>3.47</v>
      </c>
      <c r="I238" s="87"/>
      <c r="J238" s="44">
        <v>32</v>
      </c>
      <c r="K238" s="86">
        <f t="shared" si="28"/>
        <v>111.04</v>
      </c>
      <c r="N238" s="86"/>
      <c r="O238" s="86"/>
    </row>
    <row r="239" spans="1:15" ht="12.75" thickBot="1">
      <c r="A239" s="1" t="s">
        <v>1280</v>
      </c>
      <c r="B239" s="1" t="s">
        <v>1197</v>
      </c>
      <c r="C239" s="2" t="s">
        <v>129</v>
      </c>
      <c r="D239" s="5">
        <f t="shared" ref="D239:D253" si="29">J239</f>
        <v>10</v>
      </c>
      <c r="E239" s="15"/>
      <c r="F239" s="6"/>
      <c r="G239" s="6"/>
      <c r="H239" s="12">
        <f>SUMIF(PoleRates!$E$4:$E$131,"20140101"&amp;C239,PoleRates!$F$4:$F$131)</f>
        <v>3.47</v>
      </c>
      <c r="I239" s="87"/>
      <c r="J239" s="44">
        <v>10</v>
      </c>
      <c r="K239" s="86">
        <f t="shared" si="28"/>
        <v>34.700000000000003</v>
      </c>
      <c r="N239" s="86"/>
      <c r="O239" s="86"/>
    </row>
    <row r="240" spans="1:15" ht="12.75" thickBot="1">
      <c r="A240" s="1" t="s">
        <v>1280</v>
      </c>
      <c r="B240" s="1" t="s">
        <v>459</v>
      </c>
      <c r="C240" s="2" t="s">
        <v>130</v>
      </c>
      <c r="D240" s="3">
        <f t="shared" si="29"/>
        <v>175</v>
      </c>
      <c r="E240" s="11"/>
      <c r="F240" s="4"/>
      <c r="G240" s="4"/>
      <c r="H240" s="12">
        <f>SUMIF(PoleRates!$E$4:$E$131,"20140101"&amp;C240,PoleRates!$F$4:$F$131)</f>
        <v>3.73</v>
      </c>
      <c r="I240" s="87"/>
      <c r="J240" s="44">
        <v>175</v>
      </c>
      <c r="K240" s="86">
        <f t="shared" si="28"/>
        <v>652.75</v>
      </c>
      <c r="N240" s="86"/>
      <c r="O240" s="86"/>
    </row>
    <row r="241" spans="1:15" ht="12.75" thickBot="1">
      <c r="A241" s="1" t="s">
        <v>1280</v>
      </c>
      <c r="B241" s="1" t="s">
        <v>1197</v>
      </c>
      <c r="C241" s="2" t="s">
        <v>130</v>
      </c>
      <c r="D241" s="5">
        <f t="shared" si="29"/>
        <v>3</v>
      </c>
      <c r="E241" s="15"/>
      <c r="F241" s="6"/>
      <c r="G241" s="6"/>
      <c r="H241" s="12">
        <f>SUMIF(PoleRates!$E$4:$E$131,"20140101"&amp;C241,PoleRates!$F$4:$F$131)</f>
        <v>3.73</v>
      </c>
      <c r="I241" s="87"/>
      <c r="J241" s="44">
        <v>3</v>
      </c>
      <c r="K241" s="86">
        <f t="shared" si="28"/>
        <v>11.19</v>
      </c>
      <c r="N241" s="86"/>
      <c r="O241" s="86"/>
    </row>
    <row r="242" spans="1:15" ht="12.75" thickBot="1">
      <c r="A242" s="1" t="s">
        <v>1280</v>
      </c>
      <c r="B242" s="1" t="s">
        <v>459</v>
      </c>
      <c r="C242" s="2" t="s">
        <v>134</v>
      </c>
      <c r="D242" s="4">
        <f t="shared" si="29"/>
        <v>179</v>
      </c>
      <c r="E242" s="4"/>
      <c r="F242" s="3"/>
      <c r="G242" s="11"/>
      <c r="H242" s="12">
        <f>SUMIF(PoleRates!$E$4:$E$131,"20140101"&amp;C242,PoleRates!$F$4:$F$131)</f>
        <v>3.56</v>
      </c>
      <c r="I242" s="87"/>
      <c r="J242" s="44">
        <v>179</v>
      </c>
      <c r="K242" s="86">
        <f t="shared" si="28"/>
        <v>637.24</v>
      </c>
      <c r="N242" s="86"/>
      <c r="O242" s="86"/>
    </row>
    <row r="243" spans="1:15" ht="12.75" thickBot="1">
      <c r="A243" s="1" t="s">
        <v>1280</v>
      </c>
      <c r="B243" s="1" t="s">
        <v>1197</v>
      </c>
      <c r="C243" s="2" t="s">
        <v>134</v>
      </c>
      <c r="D243" s="4">
        <f t="shared" si="29"/>
        <v>56</v>
      </c>
      <c r="E243" s="4"/>
      <c r="F243" s="3"/>
      <c r="G243" s="11"/>
      <c r="H243" s="12">
        <f>SUMIF(PoleRates!$E$4:$E$131,"20140101"&amp;C243,PoleRates!$F$4:$F$131)</f>
        <v>3.56</v>
      </c>
      <c r="I243" s="87"/>
      <c r="J243" s="44">
        <v>56</v>
      </c>
      <c r="K243" s="86">
        <f t="shared" si="28"/>
        <v>199.36</v>
      </c>
      <c r="N243" s="86"/>
      <c r="O243" s="86"/>
    </row>
    <row r="244" spans="1:15" ht="12.75" thickBot="1">
      <c r="A244" s="1" t="s">
        <v>1280</v>
      </c>
      <c r="B244" s="1" t="s">
        <v>459</v>
      </c>
      <c r="C244" s="2" t="s">
        <v>134</v>
      </c>
      <c r="D244" s="6">
        <f t="shared" si="29"/>
        <v>53</v>
      </c>
      <c r="E244" s="6"/>
      <c r="F244" s="5"/>
      <c r="G244" s="15"/>
      <c r="H244" s="12">
        <f>SUMIF(PoleRates!$E$4:$E$131,"20140101"&amp;C244,PoleRates!$F$4:$F$131)</f>
        <v>3.56</v>
      </c>
      <c r="I244" s="87"/>
      <c r="J244" s="44">
        <v>53</v>
      </c>
      <c r="K244" s="86">
        <f t="shared" si="28"/>
        <v>188.68</v>
      </c>
      <c r="N244" s="86"/>
      <c r="O244" s="86"/>
    </row>
    <row r="245" spans="1:15" ht="12.75" thickBot="1">
      <c r="A245" s="1" t="s">
        <v>1280</v>
      </c>
      <c r="B245" s="1" t="s">
        <v>1197</v>
      </c>
      <c r="C245" s="2" t="s">
        <v>134</v>
      </c>
      <c r="D245" s="4">
        <f t="shared" si="29"/>
        <v>132</v>
      </c>
      <c r="E245" s="4"/>
      <c r="F245" s="3"/>
      <c r="G245" s="11"/>
      <c r="H245" s="12">
        <f>SUMIF(PoleRates!$E$4:$E$131,"20140101"&amp;C245,PoleRates!$F$4:$F$131)</f>
        <v>3.56</v>
      </c>
      <c r="I245" s="87"/>
      <c r="J245" s="44">
        <v>132</v>
      </c>
      <c r="K245" s="86">
        <f t="shared" si="28"/>
        <v>469.92</v>
      </c>
      <c r="N245" s="86"/>
      <c r="O245" s="86"/>
    </row>
    <row r="246" spans="1:15" ht="12.75" thickBot="1">
      <c r="A246" s="1" t="s">
        <v>1280</v>
      </c>
      <c r="B246" s="1" t="s">
        <v>459</v>
      </c>
      <c r="C246" s="2" t="s">
        <v>134</v>
      </c>
      <c r="D246" s="5">
        <f t="shared" si="29"/>
        <v>45</v>
      </c>
      <c r="E246" s="15"/>
      <c r="F246" s="6"/>
      <c r="G246" s="6"/>
      <c r="H246" s="12">
        <f>SUMIF(PoleRates!$E$4:$E$131,"20140101"&amp;C246,PoleRates!$F$4:$F$131)</f>
        <v>3.56</v>
      </c>
      <c r="I246" s="87"/>
      <c r="J246" s="44">
        <v>45</v>
      </c>
      <c r="K246" s="86">
        <f t="shared" si="28"/>
        <v>160.19999999999999</v>
      </c>
      <c r="N246" s="86"/>
      <c r="O246" s="86"/>
    </row>
    <row r="247" spans="1:15" ht="12.75" thickBot="1">
      <c r="A247" s="1" t="s">
        <v>1280</v>
      </c>
      <c r="B247" s="1" t="s">
        <v>1197</v>
      </c>
      <c r="C247" s="2" t="s">
        <v>134</v>
      </c>
      <c r="D247" s="3">
        <f t="shared" si="29"/>
        <v>3</v>
      </c>
      <c r="E247" s="11"/>
      <c r="F247" s="4"/>
      <c r="G247" s="4"/>
      <c r="H247" s="12">
        <f>SUMIF(PoleRates!$E$4:$E$131,"20140101"&amp;C247,PoleRates!$F$4:$F$131)</f>
        <v>3.56</v>
      </c>
      <c r="I247" s="87"/>
      <c r="J247" s="44">
        <v>3</v>
      </c>
      <c r="K247" s="86">
        <f t="shared" si="28"/>
        <v>10.68</v>
      </c>
      <c r="N247" s="86"/>
      <c r="O247" s="86"/>
    </row>
    <row r="248" spans="1:15" ht="12.75" thickBot="1">
      <c r="A248" s="1" t="s">
        <v>1280</v>
      </c>
      <c r="B248" s="1" t="s">
        <v>459</v>
      </c>
      <c r="C248" s="2" t="s">
        <v>134</v>
      </c>
      <c r="D248" s="5">
        <f t="shared" si="29"/>
        <v>20</v>
      </c>
      <c r="E248" s="15"/>
      <c r="F248" s="6"/>
      <c r="G248" s="6"/>
      <c r="H248" s="12">
        <f>SUMIF(PoleRates!$E$4:$E$131,"20140101"&amp;C248,PoleRates!$F$4:$F$131)</f>
        <v>3.56</v>
      </c>
      <c r="I248" s="87"/>
      <c r="J248" s="44">
        <v>20</v>
      </c>
      <c r="K248" s="86">
        <f t="shared" si="28"/>
        <v>71.2</v>
      </c>
      <c r="N248" s="86"/>
      <c r="O248" s="86"/>
    </row>
    <row r="249" spans="1:15" ht="12.75" thickBot="1">
      <c r="A249" s="1" t="s">
        <v>1280</v>
      </c>
      <c r="B249" s="1" t="s">
        <v>1197</v>
      </c>
      <c r="C249" s="2" t="s">
        <v>134</v>
      </c>
      <c r="D249" s="3">
        <f t="shared" si="29"/>
        <v>70</v>
      </c>
      <c r="E249" s="11"/>
      <c r="F249" s="4"/>
      <c r="G249" s="4"/>
      <c r="H249" s="12">
        <f>SUMIF(PoleRates!$E$4:$E$131,"20140101"&amp;C249,PoleRates!$F$4:$F$131)</f>
        <v>3.56</v>
      </c>
      <c r="I249" s="87"/>
      <c r="J249" s="44">
        <v>70</v>
      </c>
      <c r="K249" s="86">
        <f t="shared" si="28"/>
        <v>249.20000000000002</v>
      </c>
      <c r="N249" s="86"/>
      <c r="O249" s="86"/>
    </row>
    <row r="250" spans="1:15" ht="12.75" customHeight="1" thickBot="1">
      <c r="A250" s="1" t="s">
        <v>1280</v>
      </c>
      <c r="B250" s="1" t="s">
        <v>459</v>
      </c>
      <c r="C250" s="2" t="s">
        <v>134</v>
      </c>
      <c r="D250" s="5">
        <f t="shared" si="29"/>
        <v>1</v>
      </c>
      <c r="E250" s="15"/>
      <c r="F250" s="6"/>
      <c r="G250" s="6"/>
      <c r="H250" s="12">
        <f>SUMIF(PoleRates!$E$4:$E$131,"20140101"&amp;C250,PoleRates!$F$4:$F$131)</f>
        <v>3.56</v>
      </c>
      <c r="I250" s="87"/>
      <c r="J250" s="44">
        <v>1</v>
      </c>
      <c r="K250" s="86">
        <f t="shared" si="28"/>
        <v>3.56</v>
      </c>
      <c r="N250" s="86"/>
      <c r="O250" s="86"/>
    </row>
    <row r="251" spans="1:15" ht="12.75" thickBot="1">
      <c r="A251" s="1" t="s">
        <v>1280</v>
      </c>
      <c r="B251" s="1" t="s">
        <v>1197</v>
      </c>
      <c r="C251" s="2" t="s">
        <v>134</v>
      </c>
      <c r="D251" s="3">
        <f t="shared" si="29"/>
        <v>231</v>
      </c>
      <c r="E251" s="11"/>
      <c r="F251" s="4"/>
      <c r="G251" s="4"/>
      <c r="H251" s="12">
        <f>SUMIF(PoleRates!$E$4:$E$131,"20140101"&amp;C251,PoleRates!$F$4:$F$131)</f>
        <v>3.56</v>
      </c>
      <c r="I251" s="87"/>
      <c r="J251" s="44">
        <v>231</v>
      </c>
      <c r="K251" s="86">
        <f t="shared" si="28"/>
        <v>822.36</v>
      </c>
      <c r="N251" s="86"/>
      <c r="O251" s="86"/>
    </row>
    <row r="252" spans="1:15" ht="12.75" thickBot="1">
      <c r="A252" s="1" t="s">
        <v>1280</v>
      </c>
      <c r="B252" s="1" t="s">
        <v>459</v>
      </c>
      <c r="C252" s="2" t="s">
        <v>134</v>
      </c>
      <c r="D252" s="5">
        <f t="shared" si="29"/>
        <v>6</v>
      </c>
      <c r="E252" s="15"/>
      <c r="F252" s="6"/>
      <c r="G252" s="6"/>
      <c r="H252" s="12">
        <f>SUMIF(PoleRates!$E$4:$E$131,"20140101"&amp;C252,PoleRates!$F$4:$F$131)</f>
        <v>3.56</v>
      </c>
      <c r="I252" s="87"/>
      <c r="J252" s="44">
        <v>6</v>
      </c>
      <c r="K252" s="86">
        <f t="shared" si="28"/>
        <v>21.36</v>
      </c>
      <c r="N252" s="86"/>
      <c r="O252" s="86"/>
    </row>
    <row r="253" spans="1:15" ht="12.75" thickBot="1">
      <c r="A253" s="1" t="s">
        <v>1280</v>
      </c>
      <c r="B253" s="1" t="s">
        <v>1197</v>
      </c>
      <c r="C253" s="2" t="s">
        <v>134</v>
      </c>
      <c r="D253" s="3">
        <f t="shared" si="29"/>
        <v>60</v>
      </c>
      <c r="E253" s="11"/>
      <c r="F253" s="4"/>
      <c r="G253" s="4"/>
      <c r="H253" s="12">
        <f>SUMIF(PoleRates!$E$4:$E$131,"20140101"&amp;C253,PoleRates!$F$4:$F$131)</f>
        <v>3.56</v>
      </c>
      <c r="I253" s="87"/>
      <c r="J253" s="44">
        <v>60</v>
      </c>
      <c r="K253" s="86">
        <f t="shared" si="28"/>
        <v>213.6</v>
      </c>
      <c r="N253" s="86"/>
      <c r="O253" s="86"/>
    </row>
    <row r="254" spans="1:15" ht="12.75" thickBot="1">
      <c r="A254" s="1" t="s">
        <v>1280</v>
      </c>
      <c r="B254" s="1" t="s">
        <v>459</v>
      </c>
      <c r="C254" s="2" t="s">
        <v>136</v>
      </c>
      <c r="D254" s="5"/>
      <c r="E254" s="15"/>
      <c r="F254" s="6">
        <f>J254</f>
        <v>39</v>
      </c>
      <c r="G254" s="6"/>
      <c r="H254" s="12">
        <f>SUMIF(PoleRates!$E$4:$E$131,"20140101"&amp;C254,PoleRates!$F$4:$F$131)</f>
        <v>11.31</v>
      </c>
      <c r="I254" s="87"/>
      <c r="J254" s="44">
        <v>39</v>
      </c>
      <c r="K254" s="86">
        <f t="shared" si="28"/>
        <v>441.09000000000003</v>
      </c>
      <c r="N254" s="86"/>
      <c r="O254" s="86"/>
    </row>
    <row r="255" spans="1:15" ht="12.75" thickBot="1">
      <c r="A255" s="1" t="s">
        <v>1280</v>
      </c>
      <c r="B255" s="1" t="s">
        <v>1197</v>
      </c>
      <c r="C255" s="2" t="s">
        <v>136</v>
      </c>
      <c r="D255" s="4"/>
      <c r="E255" s="4"/>
      <c r="F255" s="3">
        <f>J255</f>
        <v>432</v>
      </c>
      <c r="G255" s="11"/>
      <c r="H255" s="12">
        <f>SUMIF(PoleRates!$E$4:$E$131,"20140101"&amp;C255,PoleRates!$F$4:$F$131)</f>
        <v>11.31</v>
      </c>
      <c r="I255" s="87"/>
      <c r="J255" s="44">
        <v>432</v>
      </c>
      <c r="K255" s="86">
        <f t="shared" si="28"/>
        <v>4885.92</v>
      </c>
      <c r="N255" s="86"/>
      <c r="O255" s="86"/>
    </row>
    <row r="256" spans="1:15" ht="12.75" thickBot="1">
      <c r="A256" s="1" t="s">
        <v>1280</v>
      </c>
      <c r="B256" s="1"/>
      <c r="C256" s="26" t="s">
        <v>7</v>
      </c>
      <c r="D256" s="27"/>
      <c r="E256" s="28"/>
      <c r="F256" s="27"/>
      <c r="G256" s="28"/>
      <c r="H256" s="29"/>
      <c r="I256" s="13"/>
      <c r="K256" s="86">
        <f>SUM(K232:K255)</f>
        <v>28837.000000000007</v>
      </c>
    </row>
    <row r="257" spans="1:15" ht="12.75" thickBot="1">
      <c r="A257" s="1" t="s">
        <v>1281</v>
      </c>
      <c r="B257" s="1" t="s">
        <v>459</v>
      </c>
      <c r="C257" s="2" t="s">
        <v>126</v>
      </c>
      <c r="D257" s="4"/>
      <c r="E257" s="4"/>
      <c r="F257" s="3">
        <f t="shared" ref="F257:F262" si="30">J257</f>
        <v>1686</v>
      </c>
      <c r="G257" s="11"/>
      <c r="H257" s="12">
        <f>SUMIF(PoleRates!$E$4:$E$131,"20140101"&amp;C257,PoleRates!$F$4:$F$131)</f>
        <v>2.06</v>
      </c>
      <c r="I257" s="87"/>
      <c r="J257" s="44">
        <v>1686</v>
      </c>
      <c r="K257" s="86">
        <f>H257*J257</f>
        <v>3473.1600000000003</v>
      </c>
      <c r="M257" s="10" t="s">
        <v>1315</v>
      </c>
      <c r="N257" s="86"/>
      <c r="O257" s="86"/>
    </row>
    <row r="258" spans="1:15" ht="12.75" thickBot="1">
      <c r="A258" s="1" t="s">
        <v>1281</v>
      </c>
      <c r="B258" s="1" t="s">
        <v>1197</v>
      </c>
      <c r="C258" s="2" t="s">
        <v>126</v>
      </c>
      <c r="D258" s="6"/>
      <c r="E258" s="6"/>
      <c r="F258" s="5">
        <f t="shared" si="30"/>
        <v>5194</v>
      </c>
      <c r="G258" s="15"/>
      <c r="H258" s="12">
        <f>SUMIF(PoleRates!$E$4:$E$131,"20140101"&amp;C258,PoleRates!$F$4:$F$131)</f>
        <v>2.06</v>
      </c>
      <c r="I258" s="87"/>
      <c r="J258" s="44">
        <v>5194</v>
      </c>
      <c r="K258" s="86">
        <f t="shared" ref="K258:K280" si="31">H258*J258</f>
        <v>10699.64</v>
      </c>
      <c r="N258" s="86"/>
      <c r="O258" s="86"/>
    </row>
    <row r="259" spans="1:15" ht="12.75" thickBot="1">
      <c r="A259" s="1" t="s">
        <v>1281</v>
      </c>
      <c r="B259" s="1" t="s">
        <v>459</v>
      </c>
      <c r="C259" s="2" t="s">
        <v>127</v>
      </c>
      <c r="D259" s="4"/>
      <c r="E259" s="4"/>
      <c r="F259" s="3">
        <f t="shared" si="30"/>
        <v>157</v>
      </c>
      <c r="G259" s="11"/>
      <c r="H259" s="12">
        <f>SUMIF(PoleRates!$E$4:$E$131,"20140101"&amp;C259,PoleRates!$F$4:$F$131)</f>
        <v>10.81</v>
      </c>
      <c r="I259" s="87"/>
      <c r="J259" s="44">
        <v>157</v>
      </c>
      <c r="K259" s="86">
        <f t="shared" si="31"/>
        <v>1697.17</v>
      </c>
      <c r="N259" s="86"/>
      <c r="O259" s="86"/>
    </row>
    <row r="260" spans="1:15" ht="12.75" thickBot="1">
      <c r="A260" s="1" t="s">
        <v>1281</v>
      </c>
      <c r="B260" s="1" t="s">
        <v>1197</v>
      </c>
      <c r="C260" s="2" t="s">
        <v>127</v>
      </c>
      <c r="D260" s="5"/>
      <c r="E260" s="15"/>
      <c r="F260" s="6">
        <f t="shared" si="30"/>
        <v>0</v>
      </c>
      <c r="G260" s="6"/>
      <c r="H260" s="12">
        <f>SUMIF(PoleRates!$E$4:$E$131,"20140101"&amp;C260,PoleRates!$F$4:$F$131)</f>
        <v>10.81</v>
      </c>
      <c r="I260" s="87"/>
      <c r="J260" s="44">
        <v>0</v>
      </c>
      <c r="K260" s="86">
        <f t="shared" si="31"/>
        <v>0</v>
      </c>
      <c r="N260" s="86"/>
      <c r="O260" s="86"/>
    </row>
    <row r="261" spans="1:15" ht="12.75" thickBot="1">
      <c r="A261" s="1" t="s">
        <v>1281</v>
      </c>
      <c r="B261" s="1" t="s">
        <v>459</v>
      </c>
      <c r="C261" s="2" t="s">
        <v>128</v>
      </c>
      <c r="D261" s="3"/>
      <c r="E261" s="11"/>
      <c r="F261" s="4">
        <f t="shared" si="30"/>
        <v>277</v>
      </c>
      <c r="G261" s="4"/>
      <c r="H261" s="12">
        <f>SUMIF(PoleRates!$E$4:$E$131,"20140101"&amp;C261,PoleRates!$F$4:$F$131)</f>
        <v>12.9</v>
      </c>
      <c r="I261" s="87"/>
      <c r="J261" s="44">
        <v>277</v>
      </c>
      <c r="K261" s="86">
        <f t="shared" si="31"/>
        <v>3573.3</v>
      </c>
      <c r="N261" s="86"/>
      <c r="O261" s="86"/>
    </row>
    <row r="262" spans="1:15" ht="12.75" thickBot="1">
      <c r="A262" s="1" t="s">
        <v>1281</v>
      </c>
      <c r="B262" s="1" t="s">
        <v>1197</v>
      </c>
      <c r="C262" s="2" t="s">
        <v>128</v>
      </c>
      <c r="D262" s="5"/>
      <c r="E262" s="15"/>
      <c r="F262" s="6">
        <f t="shared" si="30"/>
        <v>3</v>
      </c>
      <c r="G262" s="6"/>
      <c r="H262" s="12">
        <f>SUMIF(PoleRates!$E$4:$E$131,"20140101"&amp;C262,PoleRates!$F$4:$F$131)</f>
        <v>12.9</v>
      </c>
      <c r="I262" s="87"/>
      <c r="J262" s="44">
        <v>3</v>
      </c>
      <c r="K262" s="86">
        <f t="shared" si="31"/>
        <v>38.700000000000003</v>
      </c>
      <c r="N262" s="86"/>
      <c r="O262" s="86"/>
    </row>
    <row r="263" spans="1:15" ht="12.75" thickBot="1">
      <c r="A263" s="1" t="s">
        <v>1281</v>
      </c>
      <c r="B263" s="1" t="s">
        <v>459</v>
      </c>
      <c r="C263" s="2" t="s">
        <v>129</v>
      </c>
      <c r="D263" s="3">
        <f>J263</f>
        <v>32</v>
      </c>
      <c r="E263" s="11"/>
      <c r="F263" s="4"/>
      <c r="G263" s="4"/>
      <c r="H263" s="12">
        <f>SUMIF(PoleRates!$E$4:$E$131,"20140101"&amp;C263,PoleRates!$F$4:$F$131)</f>
        <v>3.47</v>
      </c>
      <c r="I263" s="87"/>
      <c r="J263" s="44">
        <v>32</v>
      </c>
      <c r="K263" s="86">
        <f t="shared" si="31"/>
        <v>111.04</v>
      </c>
      <c r="N263" s="86"/>
      <c r="O263" s="86"/>
    </row>
    <row r="264" spans="1:15" ht="12.75" thickBot="1">
      <c r="A264" s="1" t="s">
        <v>1281</v>
      </c>
      <c r="B264" s="1" t="s">
        <v>1197</v>
      </c>
      <c r="C264" s="2" t="s">
        <v>129</v>
      </c>
      <c r="D264" s="5">
        <f t="shared" ref="D264:D278" si="32">J264</f>
        <v>10</v>
      </c>
      <c r="E264" s="15"/>
      <c r="F264" s="6"/>
      <c r="G264" s="6"/>
      <c r="H264" s="12">
        <f>SUMIF(PoleRates!$E$4:$E$131,"20140101"&amp;C264,PoleRates!$F$4:$F$131)</f>
        <v>3.47</v>
      </c>
      <c r="I264" s="87"/>
      <c r="J264" s="44">
        <v>10</v>
      </c>
      <c r="K264" s="86">
        <f t="shared" si="31"/>
        <v>34.700000000000003</v>
      </c>
      <c r="N264" s="86"/>
      <c r="O264" s="86"/>
    </row>
    <row r="265" spans="1:15" ht="12.75" thickBot="1">
      <c r="A265" s="1" t="s">
        <v>1281</v>
      </c>
      <c r="B265" s="1" t="s">
        <v>459</v>
      </c>
      <c r="C265" s="2" t="s">
        <v>130</v>
      </c>
      <c r="D265" s="3">
        <f t="shared" si="32"/>
        <v>175</v>
      </c>
      <c r="E265" s="11"/>
      <c r="F265" s="4"/>
      <c r="G265" s="4"/>
      <c r="H265" s="12">
        <f>SUMIF(PoleRates!$E$4:$E$131,"20140101"&amp;C265,PoleRates!$F$4:$F$131)</f>
        <v>3.73</v>
      </c>
      <c r="I265" s="87"/>
      <c r="J265" s="44">
        <v>175</v>
      </c>
      <c r="K265" s="86">
        <f t="shared" si="31"/>
        <v>652.75</v>
      </c>
      <c r="N265" s="86"/>
      <c r="O265" s="86"/>
    </row>
    <row r="266" spans="1:15" ht="12.75" thickBot="1">
      <c r="A266" s="1" t="s">
        <v>1281</v>
      </c>
      <c r="B266" s="1" t="s">
        <v>1197</v>
      </c>
      <c r="C266" s="2" t="s">
        <v>130</v>
      </c>
      <c r="D266" s="5">
        <f t="shared" si="32"/>
        <v>3</v>
      </c>
      <c r="E266" s="15"/>
      <c r="F266" s="6"/>
      <c r="G266" s="6"/>
      <c r="H266" s="12">
        <f>SUMIF(PoleRates!$E$4:$E$131,"20140101"&amp;C266,PoleRates!$F$4:$F$131)</f>
        <v>3.73</v>
      </c>
      <c r="I266" s="87"/>
      <c r="J266" s="44">
        <v>3</v>
      </c>
      <c r="K266" s="86">
        <f t="shared" si="31"/>
        <v>11.19</v>
      </c>
      <c r="N266" s="86"/>
      <c r="O266" s="86"/>
    </row>
    <row r="267" spans="1:15" ht="12.75" thickBot="1">
      <c r="A267" s="1" t="s">
        <v>1281</v>
      </c>
      <c r="B267" s="1" t="s">
        <v>459</v>
      </c>
      <c r="C267" s="2" t="s">
        <v>134</v>
      </c>
      <c r="D267" s="4">
        <f t="shared" si="32"/>
        <v>179</v>
      </c>
      <c r="E267" s="4"/>
      <c r="F267" s="3"/>
      <c r="G267" s="11"/>
      <c r="H267" s="12">
        <f>SUMIF(PoleRates!$E$4:$E$131,"20140101"&amp;C267,PoleRates!$F$4:$F$131)</f>
        <v>3.56</v>
      </c>
      <c r="I267" s="87"/>
      <c r="J267" s="44">
        <v>179</v>
      </c>
      <c r="K267" s="86">
        <f t="shared" si="31"/>
        <v>637.24</v>
      </c>
      <c r="N267" s="86"/>
      <c r="O267" s="86"/>
    </row>
    <row r="268" spans="1:15" ht="12.75" thickBot="1">
      <c r="A268" s="1" t="s">
        <v>1281</v>
      </c>
      <c r="B268" s="1" t="s">
        <v>1197</v>
      </c>
      <c r="C268" s="2" t="s">
        <v>134</v>
      </c>
      <c r="D268" s="4">
        <f t="shared" si="32"/>
        <v>56</v>
      </c>
      <c r="E268" s="4"/>
      <c r="F268" s="3"/>
      <c r="G268" s="11"/>
      <c r="H268" s="12">
        <f>SUMIF(PoleRates!$E$4:$E$131,"20140101"&amp;C268,PoleRates!$F$4:$F$131)</f>
        <v>3.56</v>
      </c>
      <c r="I268" s="87"/>
      <c r="J268" s="44">
        <v>56</v>
      </c>
      <c r="K268" s="86">
        <f t="shared" si="31"/>
        <v>199.36</v>
      </c>
      <c r="N268" s="86"/>
      <c r="O268" s="86"/>
    </row>
    <row r="269" spans="1:15" ht="12.75" thickBot="1">
      <c r="A269" s="1" t="s">
        <v>1281</v>
      </c>
      <c r="B269" s="1" t="s">
        <v>459</v>
      </c>
      <c r="C269" s="2" t="s">
        <v>134</v>
      </c>
      <c r="D269" s="6">
        <f t="shared" si="32"/>
        <v>53</v>
      </c>
      <c r="E269" s="6"/>
      <c r="F269" s="5"/>
      <c r="G269" s="15"/>
      <c r="H269" s="12">
        <f>SUMIF(PoleRates!$E$4:$E$131,"20140101"&amp;C269,PoleRates!$F$4:$F$131)</f>
        <v>3.56</v>
      </c>
      <c r="I269" s="87"/>
      <c r="J269" s="44">
        <v>53</v>
      </c>
      <c r="K269" s="86">
        <f t="shared" si="31"/>
        <v>188.68</v>
      </c>
      <c r="N269" s="86"/>
      <c r="O269" s="86"/>
    </row>
    <row r="270" spans="1:15" ht="12.75" thickBot="1">
      <c r="A270" s="1" t="s">
        <v>1281</v>
      </c>
      <c r="B270" s="1" t="s">
        <v>1197</v>
      </c>
      <c r="C270" s="2" t="s">
        <v>134</v>
      </c>
      <c r="D270" s="4">
        <f t="shared" si="32"/>
        <v>92</v>
      </c>
      <c r="E270" s="4"/>
      <c r="F270" s="3"/>
      <c r="G270" s="11"/>
      <c r="H270" s="12">
        <f>SUMIF(PoleRates!$E$4:$E$131,"20140101"&amp;C270,PoleRates!$F$4:$F$131)</f>
        <v>3.56</v>
      </c>
      <c r="I270" s="87"/>
      <c r="J270" s="44">
        <v>92</v>
      </c>
      <c r="K270" s="86">
        <f t="shared" si="31"/>
        <v>327.52</v>
      </c>
      <c r="N270" s="86"/>
      <c r="O270" s="86"/>
    </row>
    <row r="271" spans="1:15" ht="12.75" thickBot="1">
      <c r="A271" s="1" t="s">
        <v>1281</v>
      </c>
      <c r="B271" s="1" t="s">
        <v>459</v>
      </c>
      <c r="C271" s="2" t="s">
        <v>134</v>
      </c>
      <c r="D271" s="5">
        <f t="shared" si="32"/>
        <v>45</v>
      </c>
      <c r="E271" s="15"/>
      <c r="F271" s="6"/>
      <c r="G271" s="6"/>
      <c r="H271" s="12">
        <f>SUMIF(PoleRates!$E$4:$E$131,"20140101"&amp;C271,PoleRates!$F$4:$F$131)</f>
        <v>3.56</v>
      </c>
      <c r="I271" s="87"/>
      <c r="J271" s="44">
        <v>45</v>
      </c>
      <c r="K271" s="86">
        <f t="shared" si="31"/>
        <v>160.19999999999999</v>
      </c>
      <c r="N271" s="86"/>
      <c r="O271" s="86"/>
    </row>
    <row r="272" spans="1:15" ht="12.75" thickBot="1">
      <c r="A272" s="1" t="s">
        <v>1281</v>
      </c>
      <c r="B272" s="1" t="s">
        <v>1197</v>
      </c>
      <c r="C272" s="2" t="s">
        <v>134</v>
      </c>
      <c r="D272" s="3">
        <f t="shared" si="32"/>
        <v>3</v>
      </c>
      <c r="E272" s="11"/>
      <c r="F272" s="4"/>
      <c r="G272" s="4"/>
      <c r="H272" s="12">
        <f>SUMIF(PoleRates!$E$4:$E$131,"20140101"&amp;C272,PoleRates!$F$4:$F$131)</f>
        <v>3.56</v>
      </c>
      <c r="I272" s="87"/>
      <c r="J272" s="44">
        <v>3</v>
      </c>
      <c r="K272" s="86">
        <f t="shared" si="31"/>
        <v>10.68</v>
      </c>
      <c r="N272" s="86"/>
      <c r="O272" s="86"/>
    </row>
    <row r="273" spans="1:15" ht="12.75" thickBot="1">
      <c r="A273" s="1" t="s">
        <v>1281</v>
      </c>
      <c r="B273" s="1" t="s">
        <v>459</v>
      </c>
      <c r="C273" s="2" t="s">
        <v>134</v>
      </c>
      <c r="D273" s="5">
        <f t="shared" si="32"/>
        <v>20</v>
      </c>
      <c r="E273" s="15"/>
      <c r="F273" s="6"/>
      <c r="G273" s="6"/>
      <c r="H273" s="12">
        <f>SUMIF(PoleRates!$E$4:$E$131,"20140101"&amp;C273,PoleRates!$F$4:$F$131)</f>
        <v>3.56</v>
      </c>
      <c r="I273" s="87"/>
      <c r="J273" s="44">
        <v>20</v>
      </c>
      <c r="K273" s="86">
        <f t="shared" si="31"/>
        <v>71.2</v>
      </c>
      <c r="N273" s="86"/>
      <c r="O273" s="86"/>
    </row>
    <row r="274" spans="1:15" ht="12.75" thickBot="1">
      <c r="A274" s="1" t="s">
        <v>1281</v>
      </c>
      <c r="B274" s="1" t="s">
        <v>1197</v>
      </c>
      <c r="C274" s="2" t="s">
        <v>134</v>
      </c>
      <c r="D274" s="3">
        <f t="shared" si="32"/>
        <v>70</v>
      </c>
      <c r="E274" s="11"/>
      <c r="F274" s="4"/>
      <c r="G274" s="4"/>
      <c r="H274" s="12">
        <f>SUMIF(PoleRates!$E$4:$E$131,"20140101"&amp;C274,PoleRates!$F$4:$F$131)</f>
        <v>3.56</v>
      </c>
      <c r="I274" s="87"/>
      <c r="J274" s="44">
        <v>70</v>
      </c>
      <c r="K274" s="86">
        <f t="shared" si="31"/>
        <v>249.20000000000002</v>
      </c>
      <c r="N274" s="86"/>
      <c r="O274" s="86"/>
    </row>
    <row r="275" spans="1:15" ht="12.75" thickBot="1">
      <c r="A275" s="1" t="s">
        <v>1281</v>
      </c>
      <c r="B275" s="1" t="s">
        <v>459</v>
      </c>
      <c r="C275" s="2" t="s">
        <v>134</v>
      </c>
      <c r="D275" s="5">
        <f t="shared" si="32"/>
        <v>1</v>
      </c>
      <c r="E275" s="15"/>
      <c r="F275" s="6"/>
      <c r="G275" s="6"/>
      <c r="H275" s="12">
        <f>SUMIF(PoleRates!$E$4:$E$131,"20140101"&amp;C275,PoleRates!$F$4:$F$131)</f>
        <v>3.56</v>
      </c>
      <c r="I275" s="87"/>
      <c r="J275" s="44">
        <v>1</v>
      </c>
      <c r="K275" s="86">
        <f t="shared" si="31"/>
        <v>3.56</v>
      </c>
      <c r="N275" s="86"/>
      <c r="O275" s="86"/>
    </row>
    <row r="276" spans="1:15" ht="12.75" thickBot="1">
      <c r="A276" s="1" t="s">
        <v>1281</v>
      </c>
      <c r="B276" s="1" t="s">
        <v>1197</v>
      </c>
      <c r="C276" s="2" t="s">
        <v>134</v>
      </c>
      <c r="D276" s="3">
        <f t="shared" si="32"/>
        <v>79</v>
      </c>
      <c r="E276" s="11"/>
      <c r="F276" s="4"/>
      <c r="G276" s="4"/>
      <c r="H276" s="12">
        <f>SUMIF(PoleRates!$E$4:$E$131,"20140101"&amp;C276,PoleRates!$F$4:$F$131)</f>
        <v>3.56</v>
      </c>
      <c r="I276" s="87"/>
      <c r="J276" s="44">
        <v>79</v>
      </c>
      <c r="K276" s="86">
        <f t="shared" si="31"/>
        <v>281.24</v>
      </c>
      <c r="N276" s="86"/>
      <c r="O276" s="86"/>
    </row>
    <row r="277" spans="1:15" ht="12.75" thickBot="1">
      <c r="A277" s="1" t="s">
        <v>1281</v>
      </c>
      <c r="B277" s="1" t="s">
        <v>459</v>
      </c>
      <c r="C277" s="2" t="s">
        <v>134</v>
      </c>
      <c r="D277" s="5">
        <f t="shared" si="32"/>
        <v>6</v>
      </c>
      <c r="E277" s="15"/>
      <c r="F277" s="6"/>
      <c r="G277" s="6"/>
      <c r="H277" s="12">
        <f>SUMIF(PoleRates!$E$4:$E$131,"20140101"&amp;C277,PoleRates!$F$4:$F$131)</f>
        <v>3.56</v>
      </c>
      <c r="I277" s="87"/>
      <c r="J277" s="44">
        <v>6</v>
      </c>
      <c r="K277" s="86">
        <f t="shared" si="31"/>
        <v>21.36</v>
      </c>
      <c r="N277" s="86"/>
      <c r="O277" s="86"/>
    </row>
    <row r="278" spans="1:15" ht="12.75" thickBot="1">
      <c r="A278" s="1" t="s">
        <v>1281</v>
      </c>
      <c r="B278" s="1" t="s">
        <v>1197</v>
      </c>
      <c r="C278" s="2" t="s">
        <v>134</v>
      </c>
      <c r="D278" s="3">
        <f t="shared" si="32"/>
        <v>60</v>
      </c>
      <c r="E278" s="11"/>
      <c r="F278" s="4"/>
      <c r="G278" s="4"/>
      <c r="H278" s="12">
        <f>SUMIF(PoleRates!$E$4:$E$131,"20140101"&amp;C278,PoleRates!$F$4:$F$131)</f>
        <v>3.56</v>
      </c>
      <c r="I278" s="87"/>
      <c r="J278" s="44">
        <v>60</v>
      </c>
      <c r="K278" s="86">
        <f t="shared" si="31"/>
        <v>213.6</v>
      </c>
      <c r="N278" s="86"/>
      <c r="O278" s="86"/>
    </row>
    <row r="279" spans="1:15" ht="12.75" thickBot="1">
      <c r="A279" s="1" t="s">
        <v>1281</v>
      </c>
      <c r="B279" s="1" t="s">
        <v>459</v>
      </c>
      <c r="C279" s="2" t="s">
        <v>136</v>
      </c>
      <c r="D279" s="5"/>
      <c r="E279" s="15"/>
      <c r="F279" s="6">
        <f>J279</f>
        <v>37</v>
      </c>
      <c r="G279" s="6"/>
      <c r="H279" s="12">
        <f>SUMIF(PoleRates!$E$4:$E$131,"20140101"&amp;C279,PoleRates!$F$4:$F$131)</f>
        <v>11.31</v>
      </c>
      <c r="I279" s="87"/>
      <c r="J279" s="44">
        <v>37</v>
      </c>
      <c r="K279" s="86">
        <f t="shared" si="31"/>
        <v>418.47</v>
      </c>
      <c r="N279" s="86"/>
      <c r="O279" s="86"/>
    </row>
    <row r="280" spans="1:15" ht="12.75" thickBot="1">
      <c r="A280" s="1" t="s">
        <v>1281</v>
      </c>
      <c r="B280" s="1" t="s">
        <v>1197</v>
      </c>
      <c r="C280" s="2" t="s">
        <v>136</v>
      </c>
      <c r="D280" s="4"/>
      <c r="E280" s="4"/>
      <c r="F280" s="3">
        <f>J280</f>
        <v>426</v>
      </c>
      <c r="G280" s="11"/>
      <c r="H280" s="12">
        <f>SUMIF(PoleRates!$E$4:$E$131,"20140101"&amp;C280,PoleRates!$F$4:$F$131)</f>
        <v>11.31</v>
      </c>
      <c r="I280" s="87"/>
      <c r="J280" s="44">
        <v>426</v>
      </c>
      <c r="K280" s="86">
        <f t="shared" si="31"/>
        <v>4818.0600000000004</v>
      </c>
      <c r="N280" s="86"/>
      <c r="O280" s="86"/>
    </row>
    <row r="281" spans="1:15" ht="12.75" thickBot="1">
      <c r="A281" s="1" t="s">
        <v>1281</v>
      </c>
      <c r="B281" s="1"/>
      <c r="C281" s="17" t="s">
        <v>7</v>
      </c>
      <c r="D281" s="7"/>
      <c r="E281" s="18"/>
      <c r="F281" s="7"/>
      <c r="G281" s="18"/>
      <c r="H281" s="19"/>
      <c r="I281" s="13"/>
      <c r="K281" s="86">
        <f>SUM(K257:K280)</f>
        <v>27892.020000000011</v>
      </c>
    </row>
    <row r="282" spans="1:15" ht="12.75" thickBot="1">
      <c r="A282" s="1" t="s">
        <v>1282</v>
      </c>
      <c r="B282" s="1" t="s">
        <v>459</v>
      </c>
      <c r="C282" s="2" t="s">
        <v>126</v>
      </c>
      <c r="D282" s="4"/>
      <c r="E282" s="4"/>
      <c r="F282" s="3">
        <f t="shared" ref="F282:F287" si="33">J282</f>
        <v>1677</v>
      </c>
      <c r="G282" s="11"/>
      <c r="H282" s="12">
        <f>SUMIF(PoleRates!$E$4:$E$131,"20140101"&amp;C282,PoleRates!$F$4:$F$131)</f>
        <v>2.06</v>
      </c>
      <c r="I282" s="87"/>
      <c r="J282" s="44">
        <v>1677</v>
      </c>
      <c r="K282" s="86">
        <f>H282*J282</f>
        <v>3454.62</v>
      </c>
      <c r="M282" s="10" t="s">
        <v>1316</v>
      </c>
      <c r="N282" s="86"/>
      <c r="O282" s="86"/>
    </row>
    <row r="283" spans="1:15" ht="12.75" thickBot="1">
      <c r="A283" s="1" t="s">
        <v>1282</v>
      </c>
      <c r="B283" s="1" t="s">
        <v>1197</v>
      </c>
      <c r="C283" s="2" t="s">
        <v>126</v>
      </c>
      <c r="D283" s="6"/>
      <c r="E283" s="6"/>
      <c r="F283" s="5">
        <f t="shared" si="33"/>
        <v>5238</v>
      </c>
      <c r="G283" s="15"/>
      <c r="H283" s="12">
        <f>SUMIF(PoleRates!$E$4:$E$131,"20140101"&amp;C283,PoleRates!$F$4:$F$131)</f>
        <v>2.06</v>
      </c>
      <c r="I283" s="87"/>
      <c r="J283" s="44">
        <v>5238</v>
      </c>
      <c r="K283" s="86">
        <f t="shared" ref="K283:K305" si="34">H283*J283</f>
        <v>10790.28</v>
      </c>
      <c r="N283" s="86"/>
      <c r="O283" s="86"/>
    </row>
    <row r="284" spans="1:15" ht="12.75" thickBot="1">
      <c r="A284" s="1" t="s">
        <v>1282</v>
      </c>
      <c r="B284" s="1" t="s">
        <v>459</v>
      </c>
      <c r="C284" s="2" t="s">
        <v>127</v>
      </c>
      <c r="D284" s="4"/>
      <c r="E284" s="4"/>
      <c r="F284" s="3">
        <f t="shared" si="33"/>
        <v>157</v>
      </c>
      <c r="G284" s="11"/>
      <c r="H284" s="12">
        <f>SUMIF(PoleRates!$E$4:$E$131,"20140101"&amp;C284,PoleRates!$F$4:$F$131)</f>
        <v>10.81</v>
      </c>
      <c r="I284" s="87"/>
      <c r="J284" s="44">
        <v>157</v>
      </c>
      <c r="K284" s="86">
        <f t="shared" si="34"/>
        <v>1697.17</v>
      </c>
      <c r="N284" s="86"/>
      <c r="O284" s="86"/>
    </row>
    <row r="285" spans="1:15" ht="12.75" thickBot="1">
      <c r="A285" s="1" t="s">
        <v>1282</v>
      </c>
      <c r="B285" s="1" t="s">
        <v>1197</v>
      </c>
      <c r="C285" s="2" t="s">
        <v>127</v>
      </c>
      <c r="D285" s="5"/>
      <c r="E285" s="15"/>
      <c r="F285" s="6">
        <f t="shared" si="33"/>
        <v>0</v>
      </c>
      <c r="G285" s="6"/>
      <c r="H285" s="12">
        <f>SUMIF(PoleRates!$E$4:$E$131,"20140101"&amp;C285,PoleRates!$F$4:$F$131)</f>
        <v>10.81</v>
      </c>
      <c r="I285" s="87"/>
      <c r="J285" s="44">
        <v>0</v>
      </c>
      <c r="K285" s="86">
        <f t="shared" si="34"/>
        <v>0</v>
      </c>
      <c r="N285" s="86"/>
      <c r="O285" s="86"/>
    </row>
    <row r="286" spans="1:15" ht="12.75" thickBot="1">
      <c r="A286" s="1" t="s">
        <v>1282</v>
      </c>
      <c r="B286" s="1" t="s">
        <v>459</v>
      </c>
      <c r="C286" s="2" t="s">
        <v>128</v>
      </c>
      <c r="D286" s="3"/>
      <c r="E286" s="11"/>
      <c r="F286" s="4">
        <f t="shared" si="33"/>
        <v>277</v>
      </c>
      <c r="G286" s="4"/>
      <c r="H286" s="12">
        <f>SUMIF(PoleRates!$E$4:$E$131,"20140101"&amp;C286,PoleRates!$F$4:$F$131)</f>
        <v>12.9</v>
      </c>
      <c r="I286" s="87"/>
      <c r="J286" s="44">
        <v>277</v>
      </c>
      <c r="K286" s="86">
        <f t="shared" si="34"/>
        <v>3573.3</v>
      </c>
      <c r="N286" s="86"/>
      <c r="O286" s="86"/>
    </row>
    <row r="287" spans="1:15" ht="12.75" thickBot="1">
      <c r="A287" s="1" t="s">
        <v>1282</v>
      </c>
      <c r="B287" s="1" t="s">
        <v>1197</v>
      </c>
      <c r="C287" s="2" t="s">
        <v>128</v>
      </c>
      <c r="D287" s="5"/>
      <c r="E287" s="15"/>
      <c r="F287" s="6">
        <f t="shared" si="33"/>
        <v>3</v>
      </c>
      <c r="G287" s="6"/>
      <c r="H287" s="12">
        <f>SUMIF(PoleRates!$E$4:$E$131,"20140101"&amp;C287,PoleRates!$F$4:$F$131)</f>
        <v>12.9</v>
      </c>
      <c r="I287" s="87"/>
      <c r="J287" s="44">
        <v>3</v>
      </c>
      <c r="K287" s="86">
        <f t="shared" si="34"/>
        <v>38.700000000000003</v>
      </c>
      <c r="N287" s="86"/>
      <c r="O287" s="86"/>
    </row>
    <row r="288" spans="1:15" ht="12.75" thickBot="1">
      <c r="A288" s="1" t="s">
        <v>1282</v>
      </c>
      <c r="B288" s="1" t="s">
        <v>459</v>
      </c>
      <c r="C288" s="1" t="s">
        <v>129</v>
      </c>
      <c r="D288" s="3">
        <f>J288</f>
        <v>32</v>
      </c>
      <c r="E288" s="11"/>
      <c r="F288" s="4"/>
      <c r="G288" s="4"/>
      <c r="H288" s="12">
        <f>SUMIF(PoleRates!$E$4:$E$131,"20140101"&amp;C288,PoleRates!$F$4:$F$131)</f>
        <v>3.47</v>
      </c>
      <c r="I288" s="87"/>
      <c r="J288" s="44">
        <v>32</v>
      </c>
      <c r="K288" s="86">
        <f t="shared" si="34"/>
        <v>111.04</v>
      </c>
      <c r="N288" s="86"/>
      <c r="O288" s="86"/>
    </row>
    <row r="289" spans="1:15" ht="12.75" thickBot="1">
      <c r="A289" s="1" t="s">
        <v>1282</v>
      </c>
      <c r="B289" s="1" t="s">
        <v>1197</v>
      </c>
      <c r="C289" s="1" t="s">
        <v>129</v>
      </c>
      <c r="D289" s="5">
        <f t="shared" ref="D289:D303" si="35">J289</f>
        <v>10</v>
      </c>
      <c r="E289" s="15"/>
      <c r="F289" s="6"/>
      <c r="G289" s="6"/>
      <c r="H289" s="12">
        <f>SUMIF(PoleRates!$E$4:$E$131,"20140101"&amp;C289,PoleRates!$F$4:$F$131)</f>
        <v>3.47</v>
      </c>
      <c r="I289" s="87"/>
      <c r="J289" s="44">
        <v>10</v>
      </c>
      <c r="K289" s="86">
        <f t="shared" si="34"/>
        <v>34.700000000000003</v>
      </c>
      <c r="N289" s="86"/>
      <c r="O289" s="86"/>
    </row>
    <row r="290" spans="1:15" ht="12.75" thickBot="1">
      <c r="A290" s="1" t="s">
        <v>1282</v>
      </c>
      <c r="B290" s="1" t="s">
        <v>459</v>
      </c>
      <c r="C290" s="2" t="s">
        <v>130</v>
      </c>
      <c r="D290" s="3">
        <f t="shared" si="35"/>
        <v>175</v>
      </c>
      <c r="E290" s="11"/>
      <c r="F290" s="4"/>
      <c r="G290" s="4"/>
      <c r="H290" s="12">
        <f>SUMIF(PoleRates!$E$4:$E$131,"20140101"&amp;C290,PoleRates!$F$4:$F$131)</f>
        <v>3.73</v>
      </c>
      <c r="I290" s="87"/>
      <c r="J290" s="44">
        <v>175</v>
      </c>
      <c r="K290" s="86">
        <f t="shared" si="34"/>
        <v>652.75</v>
      </c>
      <c r="N290" s="86"/>
      <c r="O290" s="86"/>
    </row>
    <row r="291" spans="1:15" ht="12.75" thickBot="1">
      <c r="A291" s="1" t="s">
        <v>1282</v>
      </c>
      <c r="B291" s="1" t="s">
        <v>1197</v>
      </c>
      <c r="C291" s="2" t="s">
        <v>130</v>
      </c>
      <c r="D291" s="5">
        <f t="shared" si="35"/>
        <v>3</v>
      </c>
      <c r="E291" s="15"/>
      <c r="F291" s="6"/>
      <c r="G291" s="6"/>
      <c r="H291" s="12">
        <f>SUMIF(PoleRates!$E$4:$E$131,"20140101"&amp;C291,PoleRates!$F$4:$F$131)</f>
        <v>3.73</v>
      </c>
      <c r="I291" s="87"/>
      <c r="J291" s="44">
        <v>3</v>
      </c>
      <c r="K291" s="86">
        <f t="shared" si="34"/>
        <v>11.19</v>
      </c>
      <c r="N291" s="86"/>
      <c r="O291" s="86"/>
    </row>
    <row r="292" spans="1:15" ht="12.75" thickBot="1">
      <c r="A292" s="1" t="s">
        <v>1282</v>
      </c>
      <c r="B292" s="1" t="s">
        <v>459</v>
      </c>
      <c r="C292" s="1" t="s">
        <v>134</v>
      </c>
      <c r="D292" s="4">
        <f t="shared" si="35"/>
        <v>179</v>
      </c>
      <c r="E292" s="4"/>
      <c r="F292" s="3"/>
      <c r="G292" s="11"/>
      <c r="H292" s="12">
        <f>SUMIF(PoleRates!$E$4:$E$131,"20140101"&amp;C292,PoleRates!$F$4:$F$131)</f>
        <v>3.56</v>
      </c>
      <c r="I292" s="87"/>
      <c r="J292" s="44">
        <v>179</v>
      </c>
      <c r="K292" s="86">
        <f t="shared" si="34"/>
        <v>637.24</v>
      </c>
      <c r="N292" s="86"/>
      <c r="O292" s="86"/>
    </row>
    <row r="293" spans="1:15" ht="12.75" thickBot="1">
      <c r="A293" s="1" t="s">
        <v>1282</v>
      </c>
      <c r="B293" s="1" t="s">
        <v>1197</v>
      </c>
      <c r="C293" s="1" t="s">
        <v>134</v>
      </c>
      <c r="D293" s="4">
        <f t="shared" si="35"/>
        <v>56</v>
      </c>
      <c r="E293" s="4"/>
      <c r="F293" s="3"/>
      <c r="G293" s="11"/>
      <c r="H293" s="12">
        <f>SUMIF(PoleRates!$E$4:$E$131,"20140101"&amp;C293,PoleRates!$F$4:$F$131)</f>
        <v>3.56</v>
      </c>
      <c r="I293" s="87"/>
      <c r="J293" s="44">
        <v>56</v>
      </c>
      <c r="K293" s="86">
        <f t="shared" si="34"/>
        <v>199.36</v>
      </c>
      <c r="N293" s="86"/>
      <c r="O293" s="86"/>
    </row>
    <row r="294" spans="1:15" ht="12.75" thickBot="1">
      <c r="A294" s="1" t="s">
        <v>1282</v>
      </c>
      <c r="B294" s="1" t="s">
        <v>459</v>
      </c>
      <c r="C294" s="1" t="s">
        <v>134</v>
      </c>
      <c r="D294" s="6">
        <f t="shared" si="35"/>
        <v>53</v>
      </c>
      <c r="E294" s="6"/>
      <c r="F294" s="5"/>
      <c r="G294" s="15"/>
      <c r="H294" s="12">
        <f>SUMIF(PoleRates!$E$4:$E$131,"20140101"&amp;C294,PoleRates!$F$4:$F$131)</f>
        <v>3.56</v>
      </c>
      <c r="I294" s="87"/>
      <c r="J294" s="44">
        <v>53</v>
      </c>
      <c r="K294" s="86">
        <f t="shared" si="34"/>
        <v>188.68</v>
      </c>
      <c r="N294" s="86"/>
      <c r="O294" s="86"/>
    </row>
    <row r="295" spans="1:15" ht="12.75" thickBot="1">
      <c r="A295" s="1" t="s">
        <v>1282</v>
      </c>
      <c r="B295" s="1" t="s">
        <v>1197</v>
      </c>
      <c r="C295" s="1" t="s">
        <v>134</v>
      </c>
      <c r="D295" s="4">
        <f t="shared" si="35"/>
        <v>112</v>
      </c>
      <c r="E295" s="4"/>
      <c r="F295" s="3"/>
      <c r="G295" s="11"/>
      <c r="H295" s="12">
        <f>SUMIF(PoleRates!$E$4:$E$131,"20140101"&amp;C295,PoleRates!$F$4:$F$131)</f>
        <v>3.56</v>
      </c>
      <c r="I295" s="87"/>
      <c r="J295" s="44">
        <v>112</v>
      </c>
      <c r="K295" s="86">
        <f t="shared" si="34"/>
        <v>398.72</v>
      </c>
      <c r="N295" s="86"/>
      <c r="O295" s="86"/>
    </row>
    <row r="296" spans="1:15" ht="12.75" thickBot="1">
      <c r="A296" s="1" t="s">
        <v>1282</v>
      </c>
      <c r="B296" s="1" t="s">
        <v>459</v>
      </c>
      <c r="C296" s="1" t="s">
        <v>129</v>
      </c>
      <c r="D296" s="5">
        <f t="shared" si="35"/>
        <v>45</v>
      </c>
      <c r="E296" s="15"/>
      <c r="F296" s="6"/>
      <c r="G296" s="6"/>
      <c r="H296" s="12">
        <f>SUMIF(PoleRates!$E$4:$E$131,"20140101"&amp;C296,PoleRates!$F$4:$F$131)</f>
        <v>3.47</v>
      </c>
      <c r="I296" s="87"/>
      <c r="J296" s="44">
        <v>45</v>
      </c>
      <c r="K296" s="86">
        <f t="shared" si="34"/>
        <v>156.15</v>
      </c>
      <c r="N296" s="86"/>
      <c r="O296" s="86"/>
    </row>
    <row r="297" spans="1:15" ht="12.75" thickBot="1">
      <c r="A297" s="1" t="s">
        <v>1282</v>
      </c>
      <c r="B297" s="1" t="s">
        <v>1197</v>
      </c>
      <c r="C297" s="1" t="s">
        <v>129</v>
      </c>
      <c r="D297" s="3">
        <f t="shared" si="35"/>
        <v>3</v>
      </c>
      <c r="E297" s="11"/>
      <c r="F297" s="4"/>
      <c r="G297" s="4"/>
      <c r="H297" s="12">
        <f>SUMIF(PoleRates!$E$4:$E$131,"20140101"&amp;C297,PoleRates!$F$4:$F$131)</f>
        <v>3.47</v>
      </c>
      <c r="I297" s="87"/>
      <c r="J297" s="44">
        <v>3</v>
      </c>
      <c r="K297" s="86">
        <f t="shared" si="34"/>
        <v>10.41</v>
      </c>
      <c r="N297" s="86"/>
      <c r="O297" s="86"/>
    </row>
    <row r="298" spans="1:15" ht="12.75" thickBot="1">
      <c r="A298" s="1" t="s">
        <v>1282</v>
      </c>
      <c r="B298" s="1" t="s">
        <v>459</v>
      </c>
      <c r="C298" s="2" t="s">
        <v>130</v>
      </c>
      <c r="D298" s="5">
        <f t="shared" si="35"/>
        <v>20</v>
      </c>
      <c r="E298" s="15"/>
      <c r="F298" s="6"/>
      <c r="G298" s="6"/>
      <c r="H298" s="12">
        <f>SUMIF(PoleRates!$E$4:$E$131,"20140101"&amp;C298,PoleRates!$F$4:$F$131)</f>
        <v>3.73</v>
      </c>
      <c r="I298" s="87"/>
      <c r="J298" s="44">
        <v>20</v>
      </c>
      <c r="K298" s="86">
        <f t="shared" si="34"/>
        <v>74.599999999999994</v>
      </c>
      <c r="N298" s="86"/>
      <c r="O298" s="86"/>
    </row>
    <row r="299" spans="1:15" ht="12.75" thickBot="1">
      <c r="A299" s="1" t="s">
        <v>1282</v>
      </c>
      <c r="B299" s="1" t="s">
        <v>1197</v>
      </c>
      <c r="C299" s="2" t="s">
        <v>130</v>
      </c>
      <c r="D299" s="3">
        <f t="shared" si="35"/>
        <v>70</v>
      </c>
      <c r="E299" s="11"/>
      <c r="F299" s="4"/>
      <c r="G299" s="4"/>
      <c r="H299" s="12">
        <f>SUMIF(PoleRates!$E$4:$E$131,"20140101"&amp;C299,PoleRates!$F$4:$F$131)</f>
        <v>3.73</v>
      </c>
      <c r="I299" s="87"/>
      <c r="J299" s="44">
        <v>70</v>
      </c>
      <c r="K299" s="86">
        <f t="shared" si="34"/>
        <v>261.10000000000002</v>
      </c>
      <c r="N299" s="86"/>
      <c r="O299" s="86"/>
    </row>
    <row r="300" spans="1:15" ht="12.75" thickBot="1">
      <c r="A300" s="1" t="s">
        <v>1282</v>
      </c>
      <c r="B300" s="1" t="s">
        <v>459</v>
      </c>
      <c r="C300" s="2" t="s">
        <v>134</v>
      </c>
      <c r="D300" s="5">
        <f t="shared" si="35"/>
        <v>1</v>
      </c>
      <c r="E300" s="15"/>
      <c r="F300" s="6"/>
      <c r="G300" s="6"/>
      <c r="H300" s="12">
        <f>SUMIF(PoleRates!$E$4:$E$131,"20140101"&amp;C300,PoleRates!$F$4:$F$131)</f>
        <v>3.56</v>
      </c>
      <c r="I300" s="87"/>
      <c r="J300" s="44">
        <v>1</v>
      </c>
      <c r="K300" s="86">
        <f t="shared" si="34"/>
        <v>3.56</v>
      </c>
      <c r="N300" s="86"/>
      <c r="O300" s="86"/>
    </row>
    <row r="301" spans="1:15" ht="12.75" thickBot="1">
      <c r="A301" s="1" t="s">
        <v>1282</v>
      </c>
      <c r="B301" s="1" t="s">
        <v>1197</v>
      </c>
      <c r="C301" s="2" t="s">
        <v>134</v>
      </c>
      <c r="D301" s="3">
        <f t="shared" si="35"/>
        <v>79</v>
      </c>
      <c r="E301" s="11"/>
      <c r="F301" s="4"/>
      <c r="G301" s="4"/>
      <c r="H301" s="12">
        <f>SUMIF(PoleRates!$E$4:$E$131,"20140101"&amp;C301,PoleRates!$F$4:$F$131)</f>
        <v>3.56</v>
      </c>
      <c r="I301" s="87"/>
      <c r="J301" s="44">
        <v>79</v>
      </c>
      <c r="K301" s="86">
        <f t="shared" si="34"/>
        <v>281.24</v>
      </c>
      <c r="N301" s="86"/>
      <c r="O301" s="86"/>
    </row>
    <row r="302" spans="1:15" ht="12.75" thickBot="1">
      <c r="A302" s="1" t="s">
        <v>1282</v>
      </c>
      <c r="B302" s="1" t="s">
        <v>459</v>
      </c>
      <c r="C302" s="1" t="s">
        <v>134</v>
      </c>
      <c r="D302" s="5">
        <f t="shared" si="35"/>
        <v>6</v>
      </c>
      <c r="E302" s="15"/>
      <c r="F302" s="6"/>
      <c r="G302" s="6"/>
      <c r="H302" s="12">
        <f>SUMIF(PoleRates!$E$4:$E$131,"20140101"&amp;C302,PoleRates!$F$4:$F$131)</f>
        <v>3.56</v>
      </c>
      <c r="I302" s="87"/>
      <c r="J302" s="44">
        <v>6</v>
      </c>
      <c r="K302" s="86">
        <f t="shared" si="34"/>
        <v>21.36</v>
      </c>
      <c r="N302" s="86"/>
      <c r="O302" s="86"/>
    </row>
    <row r="303" spans="1:15" ht="12.75" thickBot="1">
      <c r="A303" s="1" t="s">
        <v>1282</v>
      </c>
      <c r="B303" s="1" t="s">
        <v>1197</v>
      </c>
      <c r="C303" s="1" t="s">
        <v>134</v>
      </c>
      <c r="D303" s="3">
        <f t="shared" si="35"/>
        <v>60</v>
      </c>
      <c r="E303" s="11"/>
      <c r="F303" s="4"/>
      <c r="G303" s="4"/>
      <c r="H303" s="12">
        <f>SUMIF(PoleRates!$E$4:$E$131,"20140101"&amp;C303,PoleRates!$F$4:$F$131)</f>
        <v>3.56</v>
      </c>
      <c r="I303" s="87"/>
      <c r="J303" s="44">
        <v>60</v>
      </c>
      <c r="K303" s="86">
        <f t="shared" si="34"/>
        <v>213.6</v>
      </c>
      <c r="N303" s="86"/>
      <c r="O303" s="86"/>
    </row>
    <row r="304" spans="1:15" ht="12.75" thickBot="1">
      <c r="A304" s="1" t="s">
        <v>1282</v>
      </c>
      <c r="B304" s="1" t="s">
        <v>459</v>
      </c>
      <c r="C304" s="2" t="s">
        <v>136</v>
      </c>
      <c r="D304" s="5"/>
      <c r="E304" s="15"/>
      <c r="F304" s="6">
        <f>J304</f>
        <v>37</v>
      </c>
      <c r="G304" s="6"/>
      <c r="H304" s="12">
        <f>SUMIF(PoleRates!$E$4:$E$131,"20140101"&amp;C304,PoleRates!$F$4:$F$131)</f>
        <v>11.31</v>
      </c>
      <c r="I304" s="87"/>
      <c r="J304" s="44">
        <v>37</v>
      </c>
      <c r="K304" s="86">
        <f t="shared" si="34"/>
        <v>418.47</v>
      </c>
      <c r="N304" s="86"/>
      <c r="O304" s="86"/>
    </row>
    <row r="305" spans="1:15" ht="12.75" thickBot="1">
      <c r="A305" s="1" t="s">
        <v>1282</v>
      </c>
      <c r="B305" s="1" t="s">
        <v>1197</v>
      </c>
      <c r="C305" s="2" t="s">
        <v>136</v>
      </c>
      <c r="D305" s="4"/>
      <c r="E305" s="4"/>
      <c r="F305" s="3">
        <f>J305</f>
        <v>431</v>
      </c>
      <c r="G305" s="11"/>
      <c r="H305" s="12">
        <f>SUMIF(PoleRates!$E$4:$E$131,"20140101"&amp;C305,PoleRates!$F$4:$F$131)</f>
        <v>11.31</v>
      </c>
      <c r="I305" s="87"/>
      <c r="J305" s="44">
        <v>431</v>
      </c>
      <c r="K305" s="86">
        <f t="shared" si="34"/>
        <v>4874.6100000000006</v>
      </c>
      <c r="N305" s="86"/>
      <c r="O305" s="86"/>
    </row>
    <row r="306" spans="1:15" ht="12.75" thickBot="1">
      <c r="A306" s="1" t="s">
        <v>1282</v>
      </c>
      <c r="B306" s="55"/>
      <c r="C306" s="30" t="s">
        <v>7</v>
      </c>
      <c r="D306" s="31"/>
      <c r="E306" s="31"/>
      <c r="F306" s="31"/>
      <c r="G306" s="31"/>
      <c r="H306" s="32"/>
      <c r="I306" s="13"/>
      <c r="K306" s="86">
        <f>SUM(K282:K305)</f>
        <v>28102.850000000009</v>
      </c>
    </row>
    <row r="307" spans="1:15">
      <c r="A307" s="35"/>
      <c r="B307" s="35"/>
      <c r="C307" s="33"/>
      <c r="D307" s="33"/>
      <c r="E307" s="34"/>
      <c r="F307" s="34"/>
      <c r="G307" s="34"/>
      <c r="H307" s="34"/>
    </row>
    <row r="308" spans="1:15">
      <c r="A308" s="35"/>
      <c r="B308" s="35"/>
      <c r="C308" s="33"/>
      <c r="D308" s="33"/>
      <c r="E308" s="34"/>
      <c r="F308" s="34"/>
      <c r="G308" s="34"/>
      <c r="H308" s="36"/>
    </row>
    <row r="309" spans="1:15">
      <c r="A309" s="35"/>
      <c r="B309" s="35"/>
      <c r="C309" s="33"/>
      <c r="D309" s="33"/>
      <c r="E309" s="34"/>
      <c r="F309" s="34"/>
      <c r="G309" s="34"/>
      <c r="H309" s="34"/>
    </row>
    <row r="310" spans="1:15">
      <c r="A310" s="35"/>
      <c r="B310" s="35"/>
      <c r="C310" s="33"/>
      <c r="D310" s="33"/>
      <c r="E310" s="34"/>
      <c r="F310" s="34"/>
      <c r="G310" s="34"/>
      <c r="H310" s="34"/>
    </row>
    <row r="311" spans="1:15">
      <c r="A311" s="35"/>
      <c r="B311" s="35"/>
      <c r="C311" s="33"/>
      <c r="D311" s="33"/>
      <c r="E311" s="34"/>
      <c r="F311" s="34"/>
      <c r="G311" s="34"/>
      <c r="H311" s="34"/>
    </row>
    <row r="312" spans="1:15">
      <c r="A312" s="35"/>
      <c r="B312" s="35"/>
      <c r="C312" s="33"/>
      <c r="D312" s="33"/>
      <c r="E312" s="34"/>
      <c r="F312" s="36"/>
      <c r="G312" s="34"/>
      <c r="H312" s="34"/>
    </row>
    <row r="313" spans="1:15">
      <c r="A313" s="35"/>
      <c r="B313" s="35"/>
      <c r="C313" s="33"/>
      <c r="D313" s="33"/>
      <c r="E313" s="34"/>
      <c r="F313" s="36"/>
      <c r="G313" s="34"/>
      <c r="H313" s="34"/>
    </row>
    <row r="314" spans="1:15">
      <c r="A314" s="35"/>
      <c r="B314" s="35"/>
      <c r="C314" s="33"/>
      <c r="D314" s="33"/>
      <c r="E314" s="34"/>
      <c r="F314" s="34"/>
      <c r="G314" s="34"/>
      <c r="H314" s="34"/>
    </row>
    <row r="315" spans="1:15">
      <c r="A315" s="35"/>
      <c r="B315" s="35"/>
      <c r="C315" s="33"/>
      <c r="D315" s="33"/>
      <c r="E315" s="34"/>
      <c r="F315" s="34"/>
      <c r="G315" s="34"/>
      <c r="H315" s="36"/>
    </row>
    <row r="316" spans="1:15">
      <c r="A316" s="35"/>
      <c r="B316" s="35"/>
      <c r="C316" s="33"/>
      <c r="D316" s="33"/>
      <c r="E316" s="34"/>
      <c r="F316" s="36"/>
      <c r="G316" s="34"/>
      <c r="H316" s="34"/>
    </row>
    <row r="317" spans="1:15">
      <c r="A317" s="35"/>
      <c r="B317" s="35"/>
      <c r="C317" s="33"/>
      <c r="D317" s="33"/>
      <c r="E317" s="34"/>
      <c r="F317" s="36"/>
      <c r="G317" s="36"/>
      <c r="H317" s="36"/>
    </row>
    <row r="318" spans="1:15">
      <c r="A318" s="35"/>
      <c r="B318" s="35"/>
      <c r="C318" s="33"/>
      <c r="D318" s="33"/>
      <c r="E318" s="34"/>
      <c r="F318" s="36"/>
      <c r="G318" s="36"/>
      <c r="H318" s="36"/>
    </row>
    <row r="319" spans="1:15">
      <c r="A319" s="35"/>
      <c r="B319" s="35"/>
      <c r="C319" s="33"/>
      <c r="D319" s="33"/>
      <c r="E319" s="34"/>
      <c r="F319" s="36"/>
      <c r="G319" s="36"/>
      <c r="H319" s="36"/>
    </row>
    <row r="320" spans="1:15">
      <c r="A320" s="35"/>
      <c r="B320" s="35"/>
      <c r="C320" s="33"/>
      <c r="D320" s="33"/>
      <c r="E320" s="34"/>
      <c r="F320" s="34"/>
      <c r="G320" s="34"/>
      <c r="H320" s="34"/>
    </row>
    <row r="321" spans="1:8">
      <c r="A321" s="35"/>
      <c r="B321" s="35"/>
      <c r="C321" s="33"/>
      <c r="D321" s="33"/>
      <c r="E321" s="34"/>
      <c r="F321" s="34"/>
      <c r="G321" s="34"/>
      <c r="H321" s="34"/>
    </row>
    <row r="322" spans="1:8">
      <c r="A322" s="35"/>
      <c r="B322" s="35"/>
      <c r="C322" s="33"/>
      <c r="D322" s="33"/>
      <c r="E322" s="34"/>
      <c r="F322" s="34"/>
      <c r="G322" s="34"/>
      <c r="H322" s="34"/>
    </row>
    <row r="323" spans="1:8">
      <c r="A323" s="35"/>
      <c r="B323" s="35"/>
      <c r="C323" s="33"/>
      <c r="D323" s="33"/>
      <c r="E323" s="34"/>
      <c r="F323" s="34"/>
      <c r="G323" s="34"/>
      <c r="H323" s="34"/>
    </row>
    <row r="324" spans="1:8">
      <c r="A324" s="35"/>
      <c r="B324" s="35"/>
      <c r="C324" s="33"/>
      <c r="D324" s="33"/>
      <c r="E324" s="34"/>
      <c r="F324" s="34"/>
      <c r="G324" s="34"/>
      <c r="H324" s="34"/>
    </row>
    <row r="325" spans="1:8">
      <c r="A325" s="35"/>
      <c r="B325" s="35"/>
      <c r="C325" s="37"/>
      <c r="D325" s="37"/>
      <c r="E325" s="34"/>
      <c r="F325" s="34"/>
      <c r="G325" s="34"/>
      <c r="H325" s="34"/>
    </row>
    <row r="326" spans="1:8">
      <c r="A326" s="38"/>
      <c r="B326" s="38"/>
      <c r="C326" s="38"/>
      <c r="D326" s="36"/>
      <c r="E326" s="33"/>
      <c r="F326" s="33"/>
      <c r="G326" s="33"/>
      <c r="H326" s="33"/>
    </row>
    <row r="327" spans="1:8">
      <c r="A327" s="33"/>
      <c r="B327" s="33"/>
      <c r="C327" s="33"/>
      <c r="D327" s="39"/>
      <c r="E327" s="36"/>
      <c r="F327" s="36"/>
      <c r="G327" s="36"/>
      <c r="H327" s="36"/>
    </row>
    <row r="328" spans="1:8">
      <c r="A328" s="33"/>
      <c r="B328" s="33"/>
      <c r="C328" s="33"/>
      <c r="D328" s="33"/>
      <c r="E328" s="34"/>
      <c r="F328" s="36"/>
      <c r="G328" s="34"/>
      <c r="H328" s="34"/>
    </row>
    <row r="329" spans="1:8">
      <c r="A329" s="33"/>
      <c r="B329" s="33"/>
      <c r="C329" s="33"/>
      <c r="D329" s="33"/>
      <c r="E329" s="34"/>
      <c r="F329" s="34"/>
      <c r="G329" s="34"/>
      <c r="H329" s="34"/>
    </row>
    <row r="330" spans="1:8">
      <c r="A330" s="33"/>
      <c r="B330" s="33"/>
      <c r="C330" s="33"/>
      <c r="D330" s="33"/>
      <c r="E330" s="34"/>
      <c r="F330" s="34"/>
      <c r="G330" s="34"/>
      <c r="H330" s="34"/>
    </row>
    <row r="331" spans="1:8">
      <c r="A331" s="33"/>
      <c r="B331" s="33"/>
      <c r="C331" s="33"/>
      <c r="D331" s="33"/>
      <c r="E331" s="34"/>
      <c r="F331" s="36"/>
      <c r="G331" s="34"/>
      <c r="H331" s="34"/>
    </row>
    <row r="332" spans="1:8">
      <c r="A332" s="33"/>
      <c r="B332" s="33"/>
      <c r="C332" s="33"/>
      <c r="D332" s="33"/>
      <c r="E332" s="34"/>
      <c r="F332" s="34"/>
      <c r="G332" s="34"/>
      <c r="H332" s="34"/>
    </row>
    <row r="333" spans="1:8">
      <c r="A333" s="33"/>
      <c r="B333" s="33"/>
      <c r="C333" s="33"/>
      <c r="D333" s="33"/>
      <c r="E333" s="34"/>
      <c r="F333" s="34"/>
      <c r="G333" s="34"/>
      <c r="H333" s="34"/>
    </row>
    <row r="334" spans="1:8">
      <c r="A334" s="33"/>
      <c r="B334" s="33"/>
      <c r="C334" s="33"/>
      <c r="D334" s="33"/>
      <c r="E334" s="34"/>
      <c r="F334" s="34"/>
      <c r="G334" s="34"/>
      <c r="H334" s="34"/>
    </row>
    <row r="335" spans="1:8">
      <c r="A335" s="33"/>
      <c r="B335" s="33"/>
      <c r="C335" s="33"/>
      <c r="D335" s="33"/>
      <c r="E335" s="34"/>
      <c r="F335" s="34"/>
      <c r="G335" s="34"/>
      <c r="H335" s="34"/>
    </row>
    <row r="336" spans="1:8">
      <c r="A336" s="33"/>
      <c r="B336" s="33"/>
      <c r="C336" s="33"/>
      <c r="D336" s="33"/>
      <c r="E336" s="34"/>
      <c r="F336" s="34"/>
      <c r="G336" s="34"/>
      <c r="H336" s="36"/>
    </row>
    <row r="337" spans="1:8">
      <c r="A337" s="33"/>
      <c r="B337" s="33"/>
      <c r="C337" s="33"/>
      <c r="D337" s="33"/>
      <c r="E337" s="34"/>
      <c r="F337" s="34"/>
      <c r="G337" s="34"/>
      <c r="H337" s="34"/>
    </row>
    <row r="338" spans="1:8">
      <c r="A338" s="33"/>
      <c r="B338" s="33"/>
      <c r="C338" s="33"/>
      <c r="D338" s="33"/>
      <c r="E338" s="34"/>
      <c r="F338" s="34"/>
      <c r="G338" s="34"/>
      <c r="H338" s="34"/>
    </row>
    <row r="339" spans="1:8">
      <c r="A339" s="33"/>
      <c r="B339" s="33"/>
      <c r="C339" s="33"/>
      <c r="D339" s="33"/>
      <c r="E339" s="34"/>
      <c r="F339" s="34"/>
      <c r="G339" s="34"/>
      <c r="H339" s="34"/>
    </row>
    <row r="340" spans="1:8">
      <c r="A340" s="33"/>
      <c r="B340" s="33"/>
      <c r="C340" s="33"/>
      <c r="D340" s="33"/>
      <c r="E340" s="34"/>
      <c r="F340" s="36"/>
      <c r="G340" s="34"/>
      <c r="H340" s="34"/>
    </row>
    <row r="341" spans="1:8">
      <c r="A341" s="33"/>
      <c r="B341" s="33"/>
      <c r="C341" s="33"/>
      <c r="D341" s="33"/>
      <c r="E341" s="34"/>
      <c r="F341" s="36"/>
      <c r="G341" s="34"/>
      <c r="H341" s="34"/>
    </row>
    <row r="342" spans="1:8">
      <c r="A342" s="33"/>
      <c r="B342" s="33"/>
      <c r="C342" s="33"/>
      <c r="D342" s="33"/>
      <c r="E342" s="34"/>
      <c r="F342" s="34"/>
      <c r="G342" s="34"/>
      <c r="H342" s="34"/>
    </row>
    <row r="343" spans="1:8">
      <c r="A343" s="33"/>
      <c r="B343" s="33"/>
      <c r="C343" s="33"/>
      <c r="D343" s="33"/>
      <c r="E343" s="34"/>
      <c r="F343" s="34"/>
      <c r="G343" s="34"/>
      <c r="H343" s="36"/>
    </row>
    <row r="344" spans="1:8">
      <c r="A344" s="33"/>
      <c r="B344" s="33"/>
      <c r="C344" s="33"/>
      <c r="D344" s="33"/>
      <c r="E344" s="34"/>
      <c r="F344" s="36"/>
      <c r="G344" s="34"/>
      <c r="H344" s="34"/>
    </row>
    <row r="345" spans="1:8">
      <c r="A345" s="33"/>
      <c r="B345" s="33"/>
      <c r="C345" s="33"/>
      <c r="D345" s="33"/>
      <c r="E345" s="34"/>
      <c r="F345" s="36"/>
      <c r="G345" s="36"/>
      <c r="H345" s="36"/>
    </row>
    <row r="346" spans="1:8">
      <c r="A346" s="33"/>
      <c r="B346" s="33"/>
      <c r="C346" s="33"/>
      <c r="D346" s="33"/>
      <c r="E346" s="34"/>
      <c r="F346" s="36"/>
      <c r="G346" s="36"/>
      <c r="H346" s="36"/>
    </row>
    <row r="347" spans="1:8">
      <c r="A347" s="33"/>
      <c r="B347" s="33"/>
      <c r="C347" s="33"/>
      <c r="D347" s="33"/>
      <c r="E347" s="34"/>
      <c r="F347" s="36"/>
      <c r="G347" s="36"/>
      <c r="H347" s="36"/>
    </row>
    <row r="348" spans="1:8">
      <c r="A348" s="33"/>
      <c r="B348" s="33"/>
      <c r="C348" s="33"/>
      <c r="D348" s="33"/>
      <c r="E348" s="34"/>
      <c r="F348" s="34"/>
      <c r="G348" s="34"/>
      <c r="H348" s="34"/>
    </row>
    <row r="349" spans="1:8">
      <c r="A349" s="33"/>
      <c r="B349" s="33"/>
      <c r="C349" s="33"/>
      <c r="D349" s="33"/>
      <c r="E349" s="34"/>
      <c r="F349" s="34"/>
      <c r="G349" s="34"/>
      <c r="H349" s="34"/>
    </row>
    <row r="350" spans="1:8">
      <c r="A350" s="33"/>
      <c r="B350" s="33"/>
      <c r="C350" s="33"/>
      <c r="D350" s="33"/>
      <c r="E350" s="34"/>
      <c r="F350" s="34"/>
      <c r="G350" s="34"/>
      <c r="H350" s="34"/>
    </row>
    <row r="351" spans="1:8">
      <c r="A351" s="33"/>
      <c r="B351" s="33"/>
      <c r="C351" s="33"/>
      <c r="D351" s="33"/>
      <c r="E351" s="34"/>
      <c r="F351" s="34"/>
      <c r="G351" s="34"/>
      <c r="H351" s="34"/>
    </row>
    <row r="352" spans="1:8">
      <c r="A352" s="33"/>
      <c r="B352" s="33"/>
      <c r="C352" s="33"/>
      <c r="D352" s="33"/>
      <c r="E352" s="34"/>
      <c r="F352" s="34"/>
      <c r="G352" s="34"/>
      <c r="H352" s="34"/>
    </row>
    <row r="353" spans="1:8">
      <c r="A353" s="33"/>
      <c r="B353" s="33"/>
      <c r="C353" s="37"/>
      <c r="D353" s="37"/>
      <c r="E353" s="34"/>
      <c r="F353" s="34"/>
      <c r="G353" s="34"/>
      <c r="H353" s="34"/>
    </row>
    <row r="354" spans="1:8">
      <c r="A354" s="38"/>
      <c r="B354" s="38"/>
      <c r="C354" s="38"/>
      <c r="D354" s="36"/>
      <c r="E354" s="33"/>
      <c r="F354" s="33"/>
      <c r="G354" s="33"/>
      <c r="H354" s="33"/>
    </row>
    <row r="355" spans="1:8">
      <c r="A355" s="33"/>
      <c r="B355" s="33"/>
      <c r="C355" s="33"/>
      <c r="D355" s="39"/>
      <c r="E355" s="36"/>
      <c r="F355" s="36"/>
      <c r="G355" s="36"/>
      <c r="H355" s="36"/>
    </row>
    <row r="356" spans="1:8">
      <c r="A356" s="33"/>
      <c r="B356" s="33"/>
      <c r="C356" s="33"/>
      <c r="D356" s="33"/>
      <c r="E356" s="34"/>
      <c r="F356" s="36"/>
      <c r="G356" s="34"/>
      <c r="H356" s="34"/>
    </row>
    <row r="357" spans="1:8">
      <c r="A357" s="33"/>
      <c r="B357" s="33"/>
      <c r="C357" s="33"/>
      <c r="D357" s="33"/>
      <c r="E357" s="34"/>
      <c r="F357" s="34"/>
      <c r="G357" s="34"/>
      <c r="H357" s="34"/>
    </row>
    <row r="358" spans="1:8">
      <c r="A358" s="33"/>
      <c r="B358" s="33"/>
      <c r="C358" s="33"/>
      <c r="D358" s="33"/>
      <c r="E358" s="34"/>
      <c r="F358" s="34"/>
      <c r="G358" s="34"/>
      <c r="H358" s="34"/>
    </row>
    <row r="359" spans="1:8">
      <c r="A359" s="33"/>
      <c r="B359" s="33"/>
      <c r="C359" s="33"/>
      <c r="D359" s="33"/>
      <c r="E359" s="34"/>
      <c r="F359" s="36"/>
      <c r="G359" s="34"/>
      <c r="H359" s="34"/>
    </row>
    <row r="360" spans="1:8">
      <c r="A360" s="33"/>
      <c r="B360" s="33"/>
      <c r="C360" s="33"/>
      <c r="D360" s="33"/>
      <c r="E360" s="34"/>
      <c r="F360" s="34"/>
      <c r="G360" s="34"/>
      <c r="H360" s="34"/>
    </row>
    <row r="361" spans="1:8">
      <c r="A361" s="33"/>
      <c r="B361" s="33"/>
      <c r="C361" s="33"/>
      <c r="D361" s="33"/>
      <c r="E361" s="34"/>
      <c r="F361" s="34"/>
      <c r="G361" s="34"/>
      <c r="H361" s="34"/>
    </row>
    <row r="362" spans="1:8">
      <c r="A362" s="33"/>
      <c r="B362" s="33"/>
      <c r="C362" s="33"/>
      <c r="D362" s="33"/>
      <c r="E362" s="34"/>
      <c r="F362" s="34"/>
      <c r="G362" s="34"/>
      <c r="H362" s="34"/>
    </row>
    <row r="363" spans="1:8">
      <c r="A363" s="33"/>
      <c r="B363" s="33"/>
      <c r="C363" s="33"/>
      <c r="D363" s="33"/>
      <c r="E363" s="34"/>
      <c r="F363" s="34"/>
      <c r="G363" s="34"/>
      <c r="H363" s="34"/>
    </row>
    <row r="364" spans="1:8">
      <c r="A364" s="33"/>
      <c r="B364" s="33"/>
      <c r="C364" s="33"/>
      <c r="D364" s="33"/>
      <c r="E364" s="34"/>
      <c r="F364" s="34"/>
      <c r="G364" s="34"/>
      <c r="H364" s="36"/>
    </row>
    <row r="365" spans="1:8">
      <c r="A365" s="33"/>
      <c r="B365" s="33"/>
      <c r="C365" s="33"/>
      <c r="D365" s="33"/>
      <c r="E365" s="34"/>
      <c r="F365" s="34"/>
      <c r="G365" s="34"/>
      <c r="H365" s="34"/>
    </row>
    <row r="366" spans="1:8">
      <c r="A366" s="33"/>
      <c r="B366" s="33"/>
      <c r="C366" s="33"/>
      <c r="D366" s="33"/>
      <c r="E366" s="34"/>
      <c r="F366" s="34"/>
      <c r="G366" s="34"/>
      <c r="H366" s="34"/>
    </row>
    <row r="367" spans="1:8">
      <c r="A367" s="33"/>
      <c r="B367" s="33"/>
      <c r="C367" s="33"/>
      <c r="D367" s="33"/>
      <c r="E367" s="34"/>
      <c r="F367" s="34"/>
      <c r="G367" s="34"/>
      <c r="H367" s="34"/>
    </row>
    <row r="368" spans="1:8">
      <c r="A368" s="33"/>
      <c r="B368" s="33"/>
      <c r="C368" s="33"/>
      <c r="D368" s="33"/>
      <c r="E368" s="34"/>
      <c r="F368" s="36"/>
      <c r="G368" s="34"/>
      <c r="H368" s="34"/>
    </row>
    <row r="369" spans="1:8">
      <c r="A369" s="33"/>
      <c r="B369" s="33"/>
      <c r="C369" s="33"/>
      <c r="D369" s="33"/>
      <c r="E369" s="34"/>
      <c r="F369" s="36"/>
      <c r="G369" s="34"/>
      <c r="H369" s="34"/>
    </row>
    <row r="370" spans="1:8">
      <c r="A370" s="33"/>
      <c r="B370" s="33"/>
      <c r="C370" s="33"/>
      <c r="D370" s="33"/>
      <c r="E370" s="34"/>
      <c r="F370" s="34"/>
      <c r="G370" s="34"/>
      <c r="H370" s="34"/>
    </row>
    <row r="371" spans="1:8">
      <c r="A371" s="33"/>
      <c r="B371" s="33"/>
      <c r="C371" s="33"/>
      <c r="D371" s="33"/>
      <c r="E371" s="34"/>
      <c r="F371" s="34"/>
      <c r="G371" s="34"/>
      <c r="H371" s="36"/>
    </row>
    <row r="372" spans="1:8">
      <c r="A372" s="33"/>
      <c r="B372" s="33"/>
      <c r="C372" s="33"/>
      <c r="D372" s="33"/>
      <c r="E372" s="34"/>
      <c r="F372" s="36"/>
      <c r="G372" s="34"/>
      <c r="H372" s="34"/>
    </row>
    <row r="373" spans="1:8">
      <c r="A373" s="33"/>
      <c r="B373" s="33"/>
      <c r="C373" s="33"/>
      <c r="D373" s="33"/>
      <c r="E373" s="34"/>
      <c r="F373" s="36"/>
      <c r="G373" s="36"/>
      <c r="H373" s="36"/>
    </row>
    <row r="374" spans="1:8">
      <c r="A374" s="33"/>
      <c r="B374" s="33"/>
      <c r="C374" s="33"/>
      <c r="D374" s="33"/>
      <c r="E374" s="34"/>
      <c r="F374" s="36"/>
      <c r="G374" s="36"/>
      <c r="H374" s="36"/>
    </row>
    <row r="375" spans="1:8">
      <c r="A375" s="33"/>
      <c r="B375" s="33"/>
      <c r="C375" s="33"/>
      <c r="D375" s="33"/>
      <c r="E375" s="34"/>
      <c r="F375" s="36"/>
      <c r="G375" s="36"/>
      <c r="H375" s="36"/>
    </row>
    <row r="376" spans="1:8">
      <c r="A376" s="33"/>
      <c r="B376" s="33"/>
      <c r="C376" s="33"/>
      <c r="D376" s="33"/>
      <c r="E376" s="34"/>
      <c r="F376" s="34"/>
      <c r="G376" s="34"/>
      <c r="H376" s="34"/>
    </row>
    <row r="377" spans="1:8">
      <c r="A377" s="33"/>
      <c r="B377" s="33"/>
      <c r="C377" s="33"/>
      <c r="D377" s="33"/>
      <c r="E377" s="34"/>
      <c r="F377" s="34"/>
      <c r="G377" s="34"/>
      <c r="H377" s="34"/>
    </row>
    <row r="378" spans="1:8">
      <c r="A378" s="33"/>
      <c r="B378" s="33"/>
      <c r="C378" s="33"/>
      <c r="D378" s="33"/>
      <c r="E378" s="34"/>
      <c r="F378" s="34"/>
      <c r="G378" s="34"/>
      <c r="H378" s="34"/>
    </row>
    <row r="379" spans="1:8">
      <c r="A379" s="33"/>
      <c r="B379" s="33"/>
      <c r="C379" s="33"/>
      <c r="D379" s="33"/>
      <c r="E379" s="34"/>
      <c r="F379" s="34"/>
      <c r="G379" s="34"/>
      <c r="H379" s="34"/>
    </row>
    <row r="380" spans="1:8">
      <c r="A380" s="33"/>
      <c r="B380" s="33"/>
      <c r="C380" s="33"/>
      <c r="D380" s="33"/>
      <c r="E380" s="34"/>
      <c r="F380" s="34"/>
      <c r="G380" s="34"/>
      <c r="H380" s="34"/>
    </row>
    <row r="381" spans="1:8">
      <c r="A381" s="33"/>
      <c r="B381" s="33"/>
      <c r="C381" s="37"/>
      <c r="D381" s="37"/>
      <c r="E381" s="34"/>
      <c r="F381" s="34"/>
      <c r="G381" s="34"/>
      <c r="H381" s="34"/>
    </row>
    <row r="382" spans="1:8">
      <c r="A382" s="38"/>
      <c r="B382" s="38"/>
      <c r="C382" s="38"/>
      <c r="D382" s="36"/>
      <c r="E382" s="33"/>
      <c r="F382" s="33"/>
      <c r="G382" s="33"/>
      <c r="H382" s="33"/>
    </row>
    <row r="383" spans="1:8">
      <c r="A383" s="33"/>
      <c r="B383" s="33"/>
      <c r="C383" s="33"/>
      <c r="D383" s="39"/>
      <c r="E383" s="36"/>
      <c r="F383" s="36"/>
      <c r="G383" s="36"/>
      <c r="H383" s="36"/>
    </row>
    <row r="384" spans="1:8">
      <c r="A384" s="33"/>
      <c r="B384" s="33"/>
      <c r="C384" s="33"/>
      <c r="D384" s="33"/>
      <c r="E384" s="34"/>
      <c r="F384" s="36"/>
      <c r="G384" s="34"/>
      <c r="H384" s="34"/>
    </row>
    <row r="385" spans="1:8">
      <c r="A385" s="33"/>
      <c r="B385" s="33"/>
      <c r="C385" s="33"/>
      <c r="D385" s="33"/>
      <c r="E385" s="34"/>
      <c r="F385" s="34"/>
      <c r="G385" s="34"/>
      <c r="H385" s="34"/>
    </row>
    <row r="386" spans="1:8">
      <c r="A386" s="33"/>
      <c r="B386" s="33"/>
      <c r="C386" s="33"/>
      <c r="D386" s="33"/>
      <c r="E386" s="34"/>
      <c r="F386" s="34"/>
      <c r="G386" s="34"/>
      <c r="H386" s="34"/>
    </row>
    <row r="387" spans="1:8">
      <c r="A387" s="33"/>
      <c r="B387" s="33"/>
      <c r="C387" s="33"/>
      <c r="D387" s="33"/>
      <c r="E387" s="34"/>
      <c r="F387" s="36"/>
      <c r="G387" s="34"/>
      <c r="H387" s="34"/>
    </row>
    <row r="388" spans="1:8">
      <c r="A388" s="33"/>
      <c r="B388" s="33"/>
      <c r="C388" s="33"/>
      <c r="D388" s="33"/>
      <c r="E388" s="34"/>
      <c r="F388" s="34"/>
      <c r="G388" s="34"/>
      <c r="H388" s="34"/>
    </row>
    <row r="389" spans="1:8">
      <c r="A389" s="33"/>
      <c r="B389" s="33"/>
      <c r="C389" s="33"/>
      <c r="D389" s="33"/>
      <c r="E389" s="34"/>
      <c r="F389" s="34"/>
      <c r="G389" s="34"/>
      <c r="H389" s="34"/>
    </row>
    <row r="390" spans="1:8">
      <c r="A390" s="33"/>
      <c r="B390" s="33"/>
      <c r="C390" s="33"/>
      <c r="D390" s="33"/>
      <c r="E390" s="34"/>
      <c r="F390" s="34"/>
      <c r="G390" s="34"/>
      <c r="H390" s="34"/>
    </row>
    <row r="391" spans="1:8">
      <c r="A391" s="33"/>
      <c r="B391" s="33"/>
      <c r="C391" s="33"/>
      <c r="D391" s="33"/>
      <c r="E391" s="34"/>
      <c r="F391" s="34"/>
      <c r="G391" s="34"/>
      <c r="H391" s="34"/>
    </row>
    <row r="392" spans="1:8">
      <c r="A392" s="33"/>
      <c r="B392" s="33"/>
      <c r="C392" s="33"/>
      <c r="D392" s="33"/>
      <c r="E392" s="34"/>
      <c r="F392" s="34"/>
      <c r="G392" s="34"/>
      <c r="H392" s="36"/>
    </row>
    <row r="393" spans="1:8">
      <c r="A393" s="33"/>
      <c r="B393" s="33"/>
      <c r="C393" s="33"/>
      <c r="D393" s="33"/>
      <c r="E393" s="34"/>
      <c r="F393" s="34"/>
      <c r="G393" s="34"/>
      <c r="H393" s="34"/>
    </row>
    <row r="394" spans="1:8">
      <c r="A394" s="33"/>
      <c r="B394" s="33"/>
      <c r="C394" s="33"/>
      <c r="D394" s="33"/>
      <c r="E394" s="34"/>
      <c r="F394" s="34"/>
      <c r="G394" s="34"/>
      <c r="H394" s="34"/>
    </row>
    <row r="395" spans="1:8">
      <c r="A395" s="33"/>
      <c r="B395" s="33"/>
      <c r="C395" s="33"/>
      <c r="D395" s="33"/>
      <c r="E395" s="34"/>
      <c r="F395" s="34"/>
      <c r="G395" s="34"/>
      <c r="H395" s="34"/>
    </row>
    <row r="396" spans="1:8">
      <c r="A396" s="33"/>
      <c r="B396" s="33"/>
      <c r="C396" s="33"/>
      <c r="D396" s="33"/>
      <c r="E396" s="34"/>
      <c r="F396" s="34"/>
      <c r="G396" s="34"/>
      <c r="H396" s="34"/>
    </row>
    <row r="397" spans="1:8">
      <c r="A397" s="33"/>
      <c r="B397" s="33"/>
      <c r="C397" s="33"/>
      <c r="D397" s="33"/>
      <c r="E397" s="34"/>
      <c r="F397" s="34"/>
      <c r="G397" s="34"/>
      <c r="H397" s="36"/>
    </row>
    <row r="398" spans="1:8">
      <c r="A398" s="33"/>
      <c r="B398" s="33"/>
      <c r="C398" s="33"/>
      <c r="D398" s="33"/>
      <c r="E398" s="34"/>
      <c r="F398" s="36"/>
      <c r="G398" s="34"/>
      <c r="H398" s="34"/>
    </row>
    <row r="399" spans="1:8">
      <c r="A399" s="33"/>
      <c r="B399" s="33"/>
      <c r="C399" s="33"/>
      <c r="D399" s="33"/>
      <c r="E399" s="34"/>
      <c r="F399" s="34"/>
      <c r="G399" s="34"/>
      <c r="H399" s="34"/>
    </row>
    <row r="400" spans="1:8">
      <c r="A400" s="33"/>
      <c r="B400" s="33"/>
      <c r="C400" s="33"/>
      <c r="D400" s="33"/>
      <c r="E400" s="34"/>
      <c r="F400" s="34"/>
      <c r="G400" s="34"/>
      <c r="H400" s="36"/>
    </row>
    <row r="401" spans="1:8">
      <c r="A401" s="33"/>
      <c r="B401" s="33"/>
      <c r="C401" s="33"/>
      <c r="D401" s="33"/>
      <c r="E401" s="34"/>
      <c r="F401" s="36"/>
      <c r="G401" s="34"/>
      <c r="H401" s="34"/>
    </row>
    <row r="402" spans="1:8">
      <c r="A402" s="33"/>
      <c r="B402" s="33"/>
      <c r="C402" s="33"/>
      <c r="D402" s="33"/>
      <c r="E402" s="34"/>
      <c r="F402" s="36"/>
      <c r="G402" s="36"/>
      <c r="H402" s="36"/>
    </row>
    <row r="403" spans="1:8">
      <c r="A403" s="33"/>
      <c r="B403" s="33"/>
      <c r="C403" s="33"/>
      <c r="D403" s="33"/>
      <c r="E403" s="34"/>
      <c r="F403" s="36"/>
      <c r="G403" s="36"/>
      <c r="H403" s="36"/>
    </row>
    <row r="404" spans="1:8">
      <c r="A404" s="33"/>
      <c r="B404" s="33"/>
      <c r="C404" s="33"/>
      <c r="D404" s="33"/>
      <c r="E404" s="34"/>
      <c r="F404" s="36"/>
      <c r="G404" s="36"/>
      <c r="H404" s="36"/>
    </row>
    <row r="405" spans="1:8">
      <c r="A405" s="33"/>
      <c r="B405" s="33"/>
      <c r="C405" s="33"/>
      <c r="D405" s="33"/>
      <c r="E405" s="34"/>
      <c r="F405" s="34"/>
      <c r="G405" s="34"/>
      <c r="H405" s="34"/>
    </row>
    <row r="406" spans="1:8">
      <c r="A406" s="33"/>
      <c r="B406" s="33"/>
      <c r="C406" s="33"/>
      <c r="D406" s="33"/>
      <c r="E406" s="34"/>
      <c r="F406" s="34"/>
      <c r="G406" s="34"/>
      <c r="H406" s="34"/>
    </row>
    <row r="407" spans="1:8">
      <c r="A407" s="33"/>
      <c r="B407" s="33"/>
      <c r="C407" s="33"/>
      <c r="D407" s="33"/>
      <c r="E407" s="34"/>
      <c r="F407" s="34"/>
      <c r="G407" s="34"/>
      <c r="H407" s="34"/>
    </row>
    <row r="408" spans="1:8">
      <c r="A408" s="33"/>
      <c r="B408" s="33"/>
      <c r="C408" s="33"/>
      <c r="D408" s="33"/>
      <c r="E408" s="34"/>
      <c r="F408" s="34"/>
      <c r="G408" s="34"/>
      <c r="H408" s="34"/>
    </row>
    <row r="409" spans="1:8">
      <c r="A409" s="33"/>
      <c r="B409" s="33"/>
      <c r="C409" s="33"/>
      <c r="D409" s="33"/>
      <c r="E409" s="34"/>
      <c r="F409" s="34"/>
      <c r="G409" s="34"/>
      <c r="H409" s="34"/>
    </row>
    <row r="410" spans="1:8">
      <c r="A410" s="33"/>
      <c r="B410" s="33"/>
      <c r="C410" s="37"/>
      <c r="D410" s="37"/>
      <c r="E410" s="34"/>
      <c r="F410" s="34"/>
      <c r="G410" s="34"/>
      <c r="H410" s="34"/>
    </row>
    <row r="411" spans="1:8">
      <c r="A411" s="38"/>
      <c r="B411" s="38"/>
      <c r="C411" s="38"/>
      <c r="D411" s="36"/>
      <c r="E411" s="33"/>
      <c r="F411" s="33"/>
      <c r="G411" s="33"/>
      <c r="H411" s="33"/>
    </row>
    <row r="412" spans="1:8">
      <c r="A412" s="33"/>
      <c r="B412" s="33"/>
      <c r="C412" s="33"/>
      <c r="D412" s="39"/>
      <c r="E412" s="36"/>
      <c r="F412" s="36"/>
      <c r="G412" s="36"/>
      <c r="H412" s="36"/>
    </row>
    <row r="413" spans="1:8">
      <c r="A413" s="33"/>
      <c r="B413" s="33"/>
      <c r="C413" s="33"/>
      <c r="D413" s="33"/>
      <c r="E413" s="34"/>
      <c r="F413" s="36"/>
      <c r="G413" s="34"/>
      <c r="H413" s="34"/>
    </row>
    <row r="414" spans="1:8">
      <c r="A414" s="33"/>
      <c r="B414" s="33"/>
      <c r="C414" s="33"/>
      <c r="D414" s="33"/>
      <c r="E414" s="34"/>
      <c r="F414" s="34"/>
      <c r="G414" s="34"/>
      <c r="H414" s="34"/>
    </row>
    <row r="415" spans="1:8">
      <c r="A415" s="33"/>
      <c r="B415" s="33"/>
      <c r="C415" s="33"/>
      <c r="D415" s="33"/>
      <c r="E415" s="34"/>
      <c r="F415" s="34"/>
      <c r="G415" s="34"/>
      <c r="H415" s="34"/>
    </row>
    <row r="416" spans="1:8">
      <c r="A416" s="33"/>
      <c r="B416" s="33"/>
      <c r="C416" s="33"/>
      <c r="D416" s="33"/>
      <c r="E416" s="34"/>
      <c r="F416" s="34"/>
      <c r="G416" s="34"/>
      <c r="H416" s="34"/>
    </row>
    <row r="417" spans="1:8">
      <c r="A417" s="33"/>
      <c r="B417" s="33"/>
      <c r="C417" s="33"/>
      <c r="D417" s="33"/>
      <c r="E417" s="34"/>
      <c r="F417" s="34"/>
      <c r="G417" s="34"/>
      <c r="H417" s="34"/>
    </row>
    <row r="418" spans="1:8">
      <c r="A418" s="33"/>
      <c r="B418" s="33"/>
      <c r="C418" s="33"/>
      <c r="D418" s="33"/>
      <c r="E418" s="34"/>
      <c r="F418" s="34"/>
      <c r="G418" s="34"/>
      <c r="H418" s="34"/>
    </row>
    <row r="419" spans="1:8">
      <c r="A419" s="33"/>
      <c r="B419" s="33"/>
      <c r="C419" s="33"/>
      <c r="D419" s="33"/>
      <c r="E419" s="34"/>
      <c r="F419" s="34"/>
      <c r="G419" s="34"/>
      <c r="H419" s="34"/>
    </row>
    <row r="420" spans="1:8">
      <c r="A420" s="33"/>
      <c r="B420" s="33"/>
      <c r="C420" s="33"/>
      <c r="D420" s="33"/>
      <c r="E420" s="34"/>
      <c r="F420" s="34"/>
      <c r="G420" s="34"/>
      <c r="H420" s="34"/>
    </row>
    <row r="421" spans="1:8">
      <c r="A421" s="33"/>
      <c r="B421" s="33"/>
      <c r="C421" s="33"/>
      <c r="D421" s="33"/>
      <c r="E421" s="34"/>
      <c r="F421" s="34"/>
      <c r="G421" s="34"/>
      <c r="H421" s="36"/>
    </row>
    <row r="422" spans="1:8">
      <c r="A422" s="33"/>
      <c r="B422" s="33"/>
      <c r="C422" s="33"/>
      <c r="D422" s="33"/>
      <c r="E422" s="34"/>
      <c r="F422" s="34"/>
      <c r="G422" s="34"/>
      <c r="H422" s="34"/>
    </row>
    <row r="423" spans="1:8">
      <c r="A423" s="33"/>
      <c r="B423" s="33"/>
      <c r="C423" s="33"/>
      <c r="D423" s="33"/>
      <c r="E423" s="34"/>
      <c r="F423" s="34"/>
      <c r="G423" s="34"/>
      <c r="H423" s="34"/>
    </row>
    <row r="424" spans="1:8">
      <c r="A424" s="33"/>
      <c r="B424" s="33"/>
      <c r="C424" s="33"/>
      <c r="D424" s="33"/>
      <c r="E424" s="34"/>
      <c r="F424" s="34"/>
      <c r="G424" s="34"/>
      <c r="H424" s="34"/>
    </row>
    <row r="425" spans="1:8">
      <c r="A425" s="33"/>
      <c r="B425" s="33"/>
      <c r="C425" s="33"/>
      <c r="D425" s="33"/>
      <c r="E425" s="34"/>
      <c r="F425" s="34"/>
      <c r="G425" s="34"/>
      <c r="H425" s="34"/>
    </row>
    <row r="426" spans="1:8">
      <c r="A426" s="33"/>
      <c r="B426" s="33"/>
      <c r="C426" s="33"/>
      <c r="D426" s="33"/>
      <c r="E426" s="34"/>
      <c r="F426" s="34"/>
      <c r="G426" s="34"/>
      <c r="H426" s="36"/>
    </row>
    <row r="427" spans="1:8">
      <c r="A427" s="33"/>
      <c r="B427" s="33"/>
      <c r="C427" s="33"/>
      <c r="D427" s="33"/>
      <c r="E427" s="34"/>
      <c r="F427" s="36"/>
      <c r="G427" s="34"/>
      <c r="H427" s="34"/>
    </row>
    <row r="428" spans="1:8">
      <c r="A428" s="33"/>
      <c r="B428" s="33"/>
      <c r="C428" s="33"/>
      <c r="D428" s="33"/>
      <c r="E428" s="34"/>
      <c r="F428" s="34"/>
      <c r="G428" s="34"/>
      <c r="H428" s="34"/>
    </row>
    <row r="429" spans="1:8">
      <c r="A429" s="33"/>
      <c r="B429" s="33"/>
      <c r="C429" s="33"/>
      <c r="D429" s="33"/>
      <c r="E429" s="34"/>
      <c r="F429" s="34"/>
      <c r="G429" s="34"/>
      <c r="H429" s="36"/>
    </row>
    <row r="430" spans="1:8">
      <c r="A430" s="33"/>
      <c r="B430" s="33"/>
      <c r="C430" s="33"/>
      <c r="D430" s="33"/>
      <c r="E430" s="34"/>
      <c r="F430" s="36"/>
      <c r="G430" s="34"/>
      <c r="H430" s="34"/>
    </row>
    <row r="431" spans="1:8">
      <c r="A431" s="33"/>
      <c r="B431" s="33"/>
      <c r="C431" s="33"/>
      <c r="D431" s="33"/>
      <c r="E431" s="34"/>
      <c r="F431" s="36"/>
      <c r="G431" s="36"/>
      <c r="H431" s="36"/>
    </row>
    <row r="432" spans="1:8">
      <c r="A432" s="33"/>
      <c r="B432" s="33"/>
      <c r="C432" s="33"/>
      <c r="D432" s="33"/>
      <c r="E432" s="34"/>
      <c r="F432" s="36"/>
      <c r="G432" s="36"/>
      <c r="H432" s="36"/>
    </row>
    <row r="433" spans="1:8">
      <c r="A433" s="33"/>
      <c r="B433" s="33"/>
      <c r="C433" s="33"/>
      <c r="D433" s="33"/>
      <c r="E433" s="34"/>
      <c r="F433" s="36"/>
      <c r="G433" s="36"/>
      <c r="H433" s="36"/>
    </row>
    <row r="434" spans="1:8">
      <c r="A434" s="33"/>
      <c r="B434" s="33"/>
      <c r="C434" s="33"/>
      <c r="D434" s="33"/>
      <c r="E434" s="34"/>
      <c r="F434" s="34"/>
      <c r="G434" s="34"/>
      <c r="H434" s="34"/>
    </row>
    <row r="435" spans="1:8">
      <c r="A435" s="33"/>
      <c r="B435" s="33"/>
      <c r="C435" s="33"/>
      <c r="D435" s="33"/>
      <c r="E435" s="34"/>
      <c r="F435" s="34"/>
      <c r="G435" s="34"/>
      <c r="H435" s="34"/>
    </row>
    <row r="436" spans="1:8">
      <c r="A436" s="33"/>
      <c r="B436" s="33"/>
      <c r="C436" s="33"/>
      <c r="D436" s="33"/>
      <c r="E436" s="34"/>
      <c r="F436" s="34"/>
      <c r="G436" s="34"/>
      <c r="H436" s="34"/>
    </row>
    <row r="437" spans="1:8">
      <c r="A437" s="33"/>
      <c r="B437" s="33"/>
      <c r="C437" s="33"/>
      <c r="D437" s="33"/>
      <c r="E437" s="34"/>
      <c r="F437" s="34"/>
      <c r="G437" s="34"/>
      <c r="H437" s="34"/>
    </row>
    <row r="438" spans="1:8">
      <c r="A438" s="33"/>
      <c r="B438" s="33"/>
      <c r="C438" s="33"/>
      <c r="D438" s="33"/>
      <c r="E438" s="34"/>
      <c r="F438" s="34"/>
      <c r="G438" s="34"/>
      <c r="H438" s="34"/>
    </row>
    <row r="439" spans="1:8">
      <c r="A439" s="33"/>
      <c r="B439" s="33"/>
      <c r="C439" s="37"/>
      <c r="D439" s="37"/>
      <c r="E439" s="34"/>
      <c r="F439" s="34"/>
      <c r="G439" s="34"/>
      <c r="H439" s="34"/>
    </row>
    <row r="440" spans="1:8">
      <c r="A440" s="33"/>
      <c r="B440" s="33"/>
      <c r="C440" s="33"/>
      <c r="D440" s="33"/>
      <c r="E440" s="34"/>
      <c r="F440" s="34"/>
      <c r="G440" s="34"/>
      <c r="H440" s="36"/>
    </row>
    <row r="441" spans="1:8">
      <c r="A441" s="33"/>
      <c r="B441" s="33"/>
      <c r="C441" s="33"/>
      <c r="D441" s="33"/>
      <c r="E441" s="34"/>
      <c r="F441" s="34"/>
      <c r="G441" s="34"/>
      <c r="H441" s="34"/>
    </row>
    <row r="442" spans="1:8">
      <c r="A442" s="33"/>
      <c r="B442" s="33"/>
      <c r="C442" s="33"/>
      <c r="D442" s="33"/>
      <c r="E442" s="34"/>
      <c r="F442" s="34"/>
      <c r="G442" s="34"/>
      <c r="H442" s="34"/>
    </row>
    <row r="443" spans="1:8">
      <c r="A443" s="33"/>
      <c r="B443" s="33"/>
      <c r="C443" s="33"/>
      <c r="D443" s="33"/>
      <c r="E443" s="34"/>
      <c r="F443" s="34"/>
      <c r="G443" s="34"/>
      <c r="H443" s="36"/>
    </row>
    <row r="444" spans="1:8">
      <c r="A444" s="33"/>
      <c r="B444" s="33"/>
      <c r="C444" s="33"/>
      <c r="D444" s="33"/>
      <c r="E444" s="34"/>
      <c r="F444" s="34"/>
      <c r="G444" s="34"/>
      <c r="H444" s="34"/>
    </row>
    <row r="445" spans="1:8">
      <c r="A445" s="33"/>
      <c r="B445" s="33"/>
      <c r="C445" s="33"/>
      <c r="D445" s="33"/>
      <c r="E445" s="34"/>
      <c r="F445" s="34"/>
      <c r="G445" s="34"/>
      <c r="H445" s="34"/>
    </row>
    <row r="446" spans="1:8">
      <c r="A446" s="33"/>
      <c r="B446" s="33"/>
      <c r="C446" s="33"/>
      <c r="D446" s="33"/>
      <c r="E446" s="34"/>
      <c r="F446" s="34"/>
      <c r="G446" s="34"/>
      <c r="H446" s="34"/>
    </row>
    <row r="447" spans="1:8">
      <c r="A447" s="33"/>
      <c r="B447" s="33"/>
      <c r="C447" s="33"/>
      <c r="D447" s="33"/>
      <c r="E447" s="34"/>
      <c r="F447" s="34"/>
      <c r="G447" s="34"/>
      <c r="H447" s="34"/>
    </row>
    <row r="448" spans="1:8">
      <c r="A448" s="33"/>
      <c r="B448" s="33"/>
      <c r="C448" s="33"/>
      <c r="D448" s="33"/>
      <c r="E448" s="34"/>
      <c r="F448" s="34"/>
      <c r="G448" s="34"/>
      <c r="H448" s="36"/>
    </row>
    <row r="449" spans="1:8">
      <c r="A449" s="33"/>
      <c r="B449" s="33"/>
      <c r="C449" s="33"/>
      <c r="D449" s="33"/>
      <c r="E449" s="34"/>
      <c r="F449" s="34"/>
      <c r="G449" s="34"/>
      <c r="H449" s="34"/>
    </row>
    <row r="450" spans="1:8">
      <c r="A450" s="33"/>
      <c r="B450" s="33"/>
      <c r="C450" s="33"/>
      <c r="D450" s="33"/>
      <c r="E450" s="34"/>
      <c r="F450" s="34"/>
      <c r="G450" s="34"/>
      <c r="H450" s="36"/>
    </row>
    <row r="451" spans="1:8">
      <c r="A451" s="33"/>
      <c r="B451" s="33"/>
      <c r="C451" s="33"/>
      <c r="D451" s="33"/>
      <c r="E451" s="34"/>
      <c r="F451" s="34"/>
      <c r="G451" s="34"/>
      <c r="H451" s="34"/>
    </row>
    <row r="452" spans="1:8">
      <c r="A452" s="33"/>
      <c r="B452" s="33"/>
      <c r="C452" s="33"/>
      <c r="D452" s="33"/>
      <c r="E452" s="34"/>
      <c r="F452" s="34"/>
      <c r="G452" s="34"/>
      <c r="H452" s="34"/>
    </row>
    <row r="453" spans="1:8">
      <c r="A453" s="33"/>
      <c r="B453" s="33"/>
      <c r="C453" s="33"/>
      <c r="D453" s="33"/>
      <c r="E453" s="34"/>
      <c r="F453" s="34"/>
      <c r="G453" s="34"/>
      <c r="H453" s="36"/>
    </row>
    <row r="454" spans="1:8">
      <c r="A454" s="33"/>
      <c r="B454" s="33"/>
      <c r="C454" s="33"/>
      <c r="D454" s="33"/>
      <c r="E454" s="34"/>
      <c r="F454" s="34"/>
      <c r="G454" s="34"/>
      <c r="H454" s="36"/>
    </row>
    <row r="455" spans="1:8">
      <c r="A455" s="33"/>
      <c r="B455" s="33"/>
      <c r="C455" s="33"/>
      <c r="D455" s="33"/>
      <c r="E455" s="34"/>
      <c r="F455" s="34"/>
      <c r="G455" s="34"/>
      <c r="H455" s="36"/>
    </row>
    <row r="456" spans="1:8">
      <c r="A456" s="33"/>
      <c r="B456" s="33"/>
      <c r="C456" s="33"/>
      <c r="D456" s="33"/>
      <c r="E456" s="34"/>
      <c r="F456" s="36"/>
      <c r="G456" s="34"/>
      <c r="H456" s="34"/>
    </row>
    <row r="457" spans="1:8">
      <c r="A457" s="33"/>
      <c r="B457" s="33"/>
      <c r="C457" s="33"/>
      <c r="D457" s="33"/>
      <c r="E457" s="34"/>
      <c r="F457" s="34"/>
      <c r="G457" s="34"/>
      <c r="H457" s="34"/>
    </row>
    <row r="458" spans="1:8">
      <c r="A458" s="33"/>
      <c r="B458" s="33"/>
      <c r="C458" s="33"/>
      <c r="D458" s="33"/>
      <c r="E458" s="34"/>
      <c r="F458" s="34"/>
      <c r="G458" s="34"/>
      <c r="H458" s="36"/>
    </row>
    <row r="459" spans="1:8">
      <c r="A459" s="33"/>
      <c r="B459" s="33"/>
      <c r="C459" s="33"/>
      <c r="D459" s="33"/>
      <c r="E459" s="34"/>
      <c r="F459" s="36"/>
      <c r="G459" s="34"/>
      <c r="H459" s="36"/>
    </row>
    <row r="460" spans="1:8">
      <c r="A460" s="33"/>
      <c r="B460" s="33"/>
      <c r="C460" s="33"/>
      <c r="D460" s="33"/>
      <c r="E460" s="34"/>
      <c r="F460" s="36"/>
      <c r="G460" s="36"/>
      <c r="H460" s="36"/>
    </row>
    <row r="461" spans="1:8">
      <c r="A461" s="33"/>
      <c r="B461" s="33"/>
      <c r="C461" s="33"/>
      <c r="D461" s="33"/>
      <c r="E461" s="34"/>
      <c r="F461" s="36"/>
      <c r="G461" s="36"/>
      <c r="H461" s="36"/>
    </row>
    <row r="462" spans="1:8">
      <c r="A462" s="33"/>
      <c r="B462" s="33"/>
      <c r="C462" s="33"/>
      <c r="D462" s="33"/>
      <c r="E462" s="34"/>
      <c r="F462" s="36"/>
      <c r="G462" s="36"/>
      <c r="H462" s="36"/>
    </row>
    <row r="463" spans="1:8">
      <c r="A463" s="33"/>
      <c r="B463" s="33"/>
      <c r="C463" s="33"/>
      <c r="D463" s="33"/>
      <c r="E463" s="34"/>
      <c r="F463" s="34"/>
      <c r="G463" s="34"/>
      <c r="H463" s="34"/>
    </row>
    <row r="464" spans="1:8">
      <c r="A464" s="33"/>
      <c r="B464" s="33"/>
      <c r="C464" s="33"/>
      <c r="D464" s="33"/>
      <c r="E464" s="34"/>
      <c r="F464" s="34"/>
      <c r="G464" s="34"/>
      <c r="H464" s="34"/>
    </row>
    <row r="465" spans="1:8">
      <c r="A465" s="33"/>
      <c r="B465" s="33"/>
      <c r="C465" s="33"/>
      <c r="D465" s="33"/>
      <c r="E465" s="34"/>
      <c r="F465" s="34"/>
      <c r="G465" s="34"/>
      <c r="H465" s="36"/>
    </row>
    <row r="466" spans="1:8">
      <c r="A466" s="33"/>
      <c r="B466" s="33"/>
      <c r="C466" s="33"/>
      <c r="D466" s="33"/>
      <c r="E466" s="34"/>
      <c r="F466" s="34"/>
      <c r="G466" s="34"/>
      <c r="H466" s="36"/>
    </row>
    <row r="467" spans="1:8">
      <c r="A467" s="33"/>
      <c r="B467" s="33"/>
      <c r="C467" s="33"/>
      <c r="D467" s="33"/>
      <c r="E467" s="34"/>
      <c r="F467" s="34"/>
      <c r="G467" s="34"/>
      <c r="H467" s="36"/>
    </row>
    <row r="468" spans="1:8">
      <c r="A468" s="33"/>
      <c r="B468" s="33"/>
      <c r="C468" s="37"/>
      <c r="D468" s="37"/>
      <c r="E468" s="34"/>
      <c r="F468" s="34"/>
      <c r="G468" s="34"/>
      <c r="H468" s="34"/>
    </row>
    <row r="469" spans="1:8">
      <c r="A469" s="33"/>
      <c r="B469" s="33"/>
      <c r="C469" s="33"/>
      <c r="D469" s="33"/>
      <c r="E469" s="34"/>
      <c r="F469" s="34"/>
      <c r="G469" s="34"/>
      <c r="H469" s="36"/>
    </row>
    <row r="470" spans="1:8">
      <c r="A470" s="33"/>
      <c r="B470" s="33"/>
      <c r="C470" s="33"/>
      <c r="D470" s="33"/>
      <c r="E470" s="34"/>
      <c r="F470" s="34"/>
      <c r="G470" s="34"/>
      <c r="H470" s="36"/>
    </row>
    <row r="471" spans="1:8">
      <c r="A471" s="33"/>
      <c r="B471" s="33"/>
      <c r="C471" s="33"/>
      <c r="D471" s="33"/>
      <c r="E471" s="34"/>
      <c r="F471" s="34"/>
      <c r="G471" s="34"/>
      <c r="H471" s="34"/>
    </row>
    <row r="472" spans="1:8">
      <c r="A472" s="33"/>
      <c r="B472" s="33"/>
      <c r="C472" s="33"/>
      <c r="D472" s="33"/>
      <c r="E472" s="34"/>
      <c r="F472" s="34"/>
      <c r="G472" s="34"/>
      <c r="H472" s="36"/>
    </row>
    <row r="473" spans="1:8">
      <c r="A473" s="33"/>
      <c r="B473" s="33"/>
      <c r="C473" s="33"/>
      <c r="D473" s="33"/>
      <c r="E473" s="34"/>
      <c r="F473" s="34"/>
      <c r="G473" s="34"/>
      <c r="H473" s="36"/>
    </row>
    <row r="474" spans="1:8">
      <c r="A474" s="33"/>
      <c r="B474" s="33"/>
      <c r="C474" s="33"/>
      <c r="D474" s="33"/>
      <c r="E474" s="34"/>
      <c r="F474" s="34"/>
      <c r="G474" s="34"/>
      <c r="H474" s="34"/>
    </row>
    <row r="475" spans="1:8">
      <c r="A475" s="33"/>
      <c r="B475" s="33"/>
      <c r="C475" s="33"/>
      <c r="D475" s="33"/>
      <c r="E475" s="34"/>
      <c r="F475" s="34"/>
      <c r="G475" s="34"/>
      <c r="H475" s="36"/>
    </row>
    <row r="476" spans="1:8">
      <c r="A476" s="33"/>
      <c r="B476" s="33"/>
      <c r="C476" s="33"/>
      <c r="D476" s="33"/>
      <c r="E476" s="34"/>
      <c r="F476" s="34"/>
      <c r="G476" s="34"/>
      <c r="H476" s="36"/>
    </row>
    <row r="477" spans="1:8">
      <c r="A477" s="33"/>
      <c r="B477" s="33"/>
      <c r="C477" s="33"/>
      <c r="D477" s="33"/>
      <c r="E477" s="34"/>
      <c r="F477" s="34"/>
      <c r="G477" s="34"/>
      <c r="H477" s="36"/>
    </row>
    <row r="478" spans="1:8">
      <c r="A478" s="33"/>
      <c r="B478" s="33"/>
      <c r="C478" s="33"/>
      <c r="D478" s="33"/>
      <c r="E478" s="34"/>
      <c r="F478" s="34"/>
      <c r="G478" s="34"/>
      <c r="H478" s="34"/>
    </row>
    <row r="479" spans="1:8">
      <c r="A479" s="33"/>
      <c r="B479" s="33"/>
      <c r="C479" s="33"/>
      <c r="D479" s="33"/>
      <c r="E479" s="34"/>
      <c r="F479" s="34"/>
      <c r="G479" s="34"/>
      <c r="H479" s="36"/>
    </row>
    <row r="480" spans="1:8">
      <c r="A480" s="33"/>
      <c r="B480" s="33"/>
      <c r="C480" s="33"/>
      <c r="D480" s="33"/>
      <c r="E480" s="34"/>
      <c r="F480" s="34"/>
      <c r="G480" s="34"/>
      <c r="H480" s="34"/>
    </row>
    <row r="481" spans="1:8">
      <c r="A481" s="33"/>
      <c r="B481" s="33"/>
      <c r="C481" s="33"/>
      <c r="D481" s="33"/>
      <c r="E481" s="34"/>
      <c r="F481" s="34"/>
      <c r="G481" s="34"/>
      <c r="H481" s="36"/>
    </row>
    <row r="482" spans="1:8">
      <c r="A482" s="33"/>
      <c r="B482" s="33"/>
      <c r="C482" s="33"/>
      <c r="D482" s="33"/>
      <c r="E482" s="34"/>
      <c r="F482" s="34"/>
      <c r="G482" s="34"/>
      <c r="H482" s="36"/>
    </row>
    <row r="483" spans="1:8">
      <c r="A483" s="33"/>
      <c r="B483" s="33"/>
      <c r="C483" s="33"/>
      <c r="D483" s="33"/>
      <c r="E483" s="34"/>
      <c r="F483" s="34"/>
      <c r="G483" s="34"/>
      <c r="H483" s="36"/>
    </row>
    <row r="484" spans="1:8">
      <c r="A484" s="33"/>
      <c r="B484" s="33"/>
      <c r="C484" s="33"/>
      <c r="D484" s="33"/>
      <c r="E484" s="34"/>
      <c r="F484" s="34"/>
      <c r="G484" s="34"/>
      <c r="H484" s="36"/>
    </row>
    <row r="485" spans="1:8">
      <c r="A485" s="33"/>
      <c r="B485" s="33"/>
      <c r="C485" s="33"/>
      <c r="D485" s="33"/>
      <c r="E485" s="34"/>
      <c r="F485" s="36"/>
      <c r="G485" s="34"/>
      <c r="H485" s="34"/>
    </row>
    <row r="486" spans="1:8">
      <c r="A486" s="33"/>
      <c r="B486" s="33"/>
      <c r="C486" s="33"/>
      <c r="D486" s="33"/>
      <c r="E486" s="34"/>
      <c r="F486" s="34"/>
      <c r="G486" s="34"/>
      <c r="H486" s="36"/>
    </row>
    <row r="487" spans="1:8">
      <c r="A487" s="33"/>
      <c r="B487" s="33"/>
      <c r="C487" s="33"/>
      <c r="D487" s="33"/>
      <c r="E487" s="34"/>
      <c r="F487" s="34"/>
      <c r="G487" s="34"/>
      <c r="H487" s="36"/>
    </row>
    <row r="488" spans="1:8">
      <c r="A488" s="33"/>
      <c r="B488" s="33"/>
      <c r="C488" s="33"/>
      <c r="D488" s="33"/>
      <c r="E488" s="34"/>
      <c r="F488" s="36"/>
      <c r="G488" s="34"/>
      <c r="H488" s="36"/>
    </row>
    <row r="489" spans="1:8">
      <c r="A489" s="33"/>
      <c r="B489" s="33"/>
      <c r="C489" s="33"/>
      <c r="D489" s="33"/>
      <c r="E489" s="34"/>
      <c r="F489" s="36"/>
      <c r="G489" s="36"/>
      <c r="H489" s="36"/>
    </row>
    <row r="490" spans="1:8">
      <c r="A490" s="33"/>
      <c r="B490" s="33"/>
      <c r="C490" s="33"/>
      <c r="D490" s="33"/>
      <c r="E490" s="34"/>
      <c r="F490" s="36"/>
      <c r="G490" s="36"/>
      <c r="H490" s="36"/>
    </row>
    <row r="491" spans="1:8">
      <c r="A491" s="33"/>
      <c r="B491" s="33"/>
      <c r="C491" s="33"/>
      <c r="D491" s="33"/>
      <c r="E491" s="34"/>
      <c r="F491" s="36"/>
      <c r="G491" s="36"/>
      <c r="H491" s="36"/>
    </row>
    <row r="492" spans="1:8">
      <c r="A492" s="33"/>
      <c r="B492" s="33"/>
      <c r="C492" s="33"/>
      <c r="D492" s="33"/>
      <c r="E492" s="34"/>
      <c r="F492" s="34"/>
      <c r="G492" s="34"/>
      <c r="H492" s="34"/>
    </row>
    <row r="493" spans="1:8">
      <c r="A493" s="33"/>
      <c r="B493" s="33"/>
      <c r="C493" s="33"/>
      <c r="D493" s="33"/>
      <c r="E493" s="34"/>
      <c r="F493" s="34"/>
      <c r="G493" s="34"/>
      <c r="H493" s="34"/>
    </row>
    <row r="494" spans="1:8">
      <c r="A494" s="33"/>
      <c r="B494" s="33"/>
      <c r="C494" s="33"/>
      <c r="D494" s="33"/>
      <c r="E494" s="34"/>
      <c r="F494" s="34"/>
      <c r="G494" s="34"/>
      <c r="H494" s="36"/>
    </row>
    <row r="495" spans="1:8">
      <c r="A495" s="33"/>
      <c r="B495" s="33"/>
      <c r="C495" s="33"/>
      <c r="D495" s="33"/>
      <c r="E495" s="34"/>
      <c r="F495" s="34"/>
      <c r="G495" s="34"/>
      <c r="H495" s="36"/>
    </row>
    <row r="496" spans="1:8">
      <c r="A496" s="33"/>
      <c r="B496" s="33"/>
      <c r="C496" s="33"/>
      <c r="D496" s="33"/>
      <c r="E496" s="34"/>
      <c r="F496" s="34"/>
      <c r="G496" s="34"/>
      <c r="H496" s="36"/>
    </row>
    <row r="497" spans="1:8">
      <c r="A497" s="33"/>
      <c r="B497" s="33"/>
      <c r="C497" s="37"/>
      <c r="D497" s="37"/>
      <c r="E497" s="34"/>
      <c r="F497" s="34"/>
      <c r="G497" s="34"/>
      <c r="H497" s="34"/>
    </row>
    <row r="498" spans="1:8">
      <c r="A498" s="33"/>
      <c r="B498" s="33"/>
      <c r="C498" s="33"/>
      <c r="D498" s="33"/>
      <c r="E498" s="34"/>
      <c r="F498" s="34"/>
      <c r="G498" s="34"/>
      <c r="H498" s="36"/>
    </row>
    <row r="499" spans="1:8" ht="12.75" customHeight="1">
      <c r="A499" s="33"/>
      <c r="B499" s="33"/>
      <c r="C499" s="33"/>
      <c r="D499" s="33"/>
      <c r="E499" s="34"/>
      <c r="F499" s="34"/>
      <c r="G499" s="34"/>
      <c r="H499" s="34"/>
    </row>
    <row r="500" spans="1:8">
      <c r="A500" s="33"/>
      <c r="B500" s="33"/>
      <c r="C500" s="33"/>
      <c r="D500" s="33"/>
      <c r="E500" s="34"/>
      <c r="F500" s="34"/>
      <c r="G500" s="34"/>
      <c r="H500" s="34"/>
    </row>
    <row r="501" spans="1:8">
      <c r="A501" s="33"/>
      <c r="B501" s="33"/>
      <c r="C501" s="33"/>
      <c r="D501" s="33"/>
      <c r="E501" s="34"/>
      <c r="F501" s="34"/>
      <c r="G501" s="34"/>
      <c r="H501" s="34"/>
    </row>
    <row r="502" spans="1:8">
      <c r="A502" s="33"/>
      <c r="B502" s="33"/>
      <c r="C502" s="33"/>
      <c r="D502" s="33"/>
      <c r="E502" s="34"/>
      <c r="F502" s="34"/>
      <c r="G502" s="34"/>
      <c r="H502" s="34"/>
    </row>
    <row r="503" spans="1:8">
      <c r="A503" s="33"/>
      <c r="B503" s="33"/>
      <c r="C503" s="33"/>
      <c r="D503" s="33"/>
      <c r="E503" s="34"/>
      <c r="F503" s="34"/>
      <c r="G503" s="34"/>
      <c r="H503" s="34"/>
    </row>
    <row r="504" spans="1:8">
      <c r="A504" s="33"/>
      <c r="B504" s="33"/>
      <c r="C504" s="33"/>
      <c r="D504" s="33"/>
      <c r="E504" s="34"/>
      <c r="F504" s="34"/>
      <c r="G504" s="34"/>
      <c r="H504" s="36"/>
    </row>
    <row r="505" spans="1:8">
      <c r="A505" s="33"/>
      <c r="B505" s="33"/>
      <c r="C505" s="33"/>
      <c r="D505" s="33"/>
      <c r="E505" s="34"/>
      <c r="F505" s="34"/>
      <c r="G505" s="34"/>
      <c r="H505" s="36"/>
    </row>
    <row r="506" spans="1:8">
      <c r="A506" s="33"/>
      <c r="B506" s="33"/>
      <c r="C506" s="33"/>
      <c r="D506" s="33"/>
      <c r="E506" s="34"/>
      <c r="F506" s="34"/>
      <c r="G506" s="34"/>
      <c r="H506" s="36"/>
    </row>
    <row r="507" spans="1:8">
      <c r="A507" s="33"/>
      <c r="B507" s="33"/>
      <c r="C507" s="33"/>
      <c r="D507" s="33"/>
      <c r="E507" s="34"/>
      <c r="F507" s="34"/>
      <c r="G507" s="34"/>
      <c r="H507" s="34"/>
    </row>
    <row r="508" spans="1:8">
      <c r="A508" s="33"/>
      <c r="B508" s="33"/>
      <c r="C508" s="33"/>
      <c r="D508" s="33"/>
      <c r="E508" s="34"/>
      <c r="F508" s="34"/>
      <c r="G508" s="34"/>
      <c r="H508" s="36"/>
    </row>
    <row r="509" spans="1:8">
      <c r="A509" s="33"/>
      <c r="B509" s="33"/>
      <c r="C509" s="33"/>
      <c r="D509" s="33"/>
      <c r="E509" s="34"/>
      <c r="F509" s="34"/>
      <c r="G509" s="34"/>
      <c r="H509" s="34"/>
    </row>
    <row r="510" spans="1:8">
      <c r="A510" s="33"/>
      <c r="B510" s="33"/>
      <c r="C510" s="33"/>
      <c r="D510" s="33"/>
      <c r="E510" s="34"/>
      <c r="F510" s="34"/>
      <c r="G510" s="34"/>
      <c r="H510" s="36"/>
    </row>
    <row r="511" spans="1:8">
      <c r="A511" s="33"/>
      <c r="B511" s="33"/>
      <c r="C511" s="33"/>
      <c r="D511" s="33"/>
      <c r="E511" s="34"/>
      <c r="F511" s="34"/>
      <c r="G511" s="34"/>
      <c r="H511" s="36"/>
    </row>
    <row r="512" spans="1:8">
      <c r="A512" s="33"/>
      <c r="B512" s="33"/>
      <c r="C512" s="33"/>
      <c r="D512" s="33"/>
      <c r="E512" s="34"/>
      <c r="F512" s="34"/>
      <c r="G512" s="34"/>
      <c r="H512" s="36"/>
    </row>
    <row r="513" spans="1:8">
      <c r="A513" s="33"/>
      <c r="B513" s="33"/>
      <c r="C513" s="33"/>
      <c r="D513" s="33"/>
      <c r="E513" s="34"/>
      <c r="F513" s="36"/>
      <c r="G513" s="34"/>
      <c r="H513" s="36"/>
    </row>
    <row r="514" spans="1:8">
      <c r="A514" s="33"/>
      <c r="B514" s="33"/>
      <c r="C514" s="33"/>
      <c r="D514" s="33"/>
      <c r="E514" s="34"/>
      <c r="F514" s="34"/>
      <c r="G514" s="34"/>
      <c r="H514" s="36"/>
    </row>
    <row r="515" spans="1:8">
      <c r="A515" s="33"/>
      <c r="B515" s="33"/>
      <c r="C515" s="33"/>
      <c r="D515" s="33"/>
      <c r="E515" s="34"/>
      <c r="F515" s="34"/>
      <c r="G515" s="34"/>
      <c r="H515" s="36"/>
    </row>
    <row r="516" spans="1:8">
      <c r="A516" s="33"/>
      <c r="B516" s="33"/>
      <c r="C516" s="33"/>
      <c r="D516" s="33"/>
      <c r="E516" s="34"/>
      <c r="F516" s="36"/>
      <c r="G516" s="34"/>
      <c r="H516" s="36"/>
    </row>
    <row r="517" spans="1:8">
      <c r="A517" s="33"/>
      <c r="B517" s="33"/>
      <c r="C517" s="33"/>
      <c r="D517" s="33"/>
      <c r="E517" s="34"/>
      <c r="F517" s="36"/>
      <c r="G517" s="36"/>
      <c r="H517" s="36"/>
    </row>
    <row r="518" spans="1:8">
      <c r="A518" s="33"/>
      <c r="B518" s="33"/>
      <c r="C518" s="33"/>
      <c r="D518" s="33"/>
      <c r="E518" s="34"/>
      <c r="F518" s="36"/>
      <c r="G518" s="36"/>
      <c r="H518" s="36"/>
    </row>
    <row r="519" spans="1:8">
      <c r="A519" s="33"/>
      <c r="B519" s="33"/>
      <c r="C519" s="33"/>
      <c r="D519" s="33"/>
      <c r="E519" s="34"/>
      <c r="F519" s="36"/>
      <c r="G519" s="36"/>
      <c r="H519" s="36"/>
    </row>
    <row r="520" spans="1:8">
      <c r="A520" s="33"/>
      <c r="B520" s="33"/>
      <c r="C520" s="33"/>
      <c r="D520" s="33"/>
      <c r="E520" s="34"/>
      <c r="F520" s="34"/>
      <c r="G520" s="34"/>
      <c r="H520" s="34"/>
    </row>
    <row r="521" spans="1:8">
      <c r="A521" s="33"/>
      <c r="B521" s="33"/>
      <c r="C521" s="33"/>
      <c r="D521" s="33"/>
      <c r="E521" s="34"/>
      <c r="F521" s="34"/>
      <c r="G521" s="34"/>
      <c r="H521" s="34"/>
    </row>
    <row r="522" spans="1:8">
      <c r="A522" s="33"/>
      <c r="B522" s="33"/>
      <c r="C522" s="33"/>
      <c r="D522" s="33"/>
      <c r="E522" s="34"/>
      <c r="F522" s="34"/>
      <c r="G522" s="34"/>
      <c r="H522" s="36"/>
    </row>
    <row r="523" spans="1:8">
      <c r="A523" s="33"/>
      <c r="B523" s="33"/>
      <c r="C523" s="33"/>
      <c r="D523" s="33"/>
      <c r="E523" s="34"/>
      <c r="F523" s="34"/>
      <c r="G523" s="34"/>
      <c r="H523" s="36"/>
    </row>
    <row r="524" spans="1:8">
      <c r="A524" s="33"/>
      <c r="B524" s="33"/>
      <c r="C524" s="33"/>
      <c r="D524" s="33"/>
      <c r="E524" s="34"/>
      <c r="F524" s="34"/>
      <c r="G524" s="34"/>
      <c r="H524" s="36"/>
    </row>
    <row r="525" spans="1:8">
      <c r="A525" s="33"/>
      <c r="B525" s="33"/>
      <c r="C525" s="37"/>
      <c r="D525" s="37"/>
      <c r="E525" s="34"/>
      <c r="F525" s="34"/>
      <c r="G525" s="34"/>
      <c r="H525" s="34"/>
    </row>
  </sheetData>
  <autoFilter ref="A1:J307"/>
  <sortState ref="C39:C52">
    <sortCondition ref="C39:C52"/>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858"/>
  <sheetViews>
    <sheetView workbookViewId="0"/>
  </sheetViews>
  <sheetFormatPr defaultColWidth="11.33203125" defaultRowHeight="12"/>
  <cols>
    <col min="1" max="4" width="11.33203125" style="47"/>
    <col min="5" max="5" width="13.83203125" style="47" bestFit="1" customWidth="1"/>
    <col min="6" max="6" width="19.6640625" style="47" customWidth="1"/>
    <col min="8" max="8" width="13.83203125" style="47" bestFit="1" customWidth="1"/>
    <col min="9" max="9" width="12.1640625" style="47" bestFit="1" customWidth="1"/>
    <col min="10" max="10" width="12.83203125" style="47" bestFit="1" customWidth="1"/>
    <col min="11" max="11" width="19.6640625" style="47" bestFit="1" customWidth="1"/>
    <col min="13" max="13" width="14.1640625" style="47" bestFit="1" customWidth="1"/>
    <col min="14" max="14" width="17.6640625" style="47" bestFit="1" customWidth="1"/>
    <col min="15" max="15" width="15.83203125" style="47" bestFit="1" customWidth="1"/>
    <col min="16" max="16" width="13.5" style="47" bestFit="1" customWidth="1"/>
    <col min="17" max="17" width="15" style="47" bestFit="1" customWidth="1"/>
    <col min="18" max="16384" width="11.33203125" style="47"/>
  </cols>
  <sheetData>
    <row r="1" spans="1:16" ht="12.75" thickBot="1">
      <c r="A1" s="45" t="s">
        <v>0</v>
      </c>
      <c r="B1" s="45" t="s">
        <v>4</v>
      </c>
      <c r="C1" s="45" t="s">
        <v>60</v>
      </c>
      <c r="D1" s="52"/>
      <c r="E1" s="46" t="s">
        <v>125</v>
      </c>
      <c r="F1" s="479" t="s">
        <v>1303</v>
      </c>
      <c r="H1" s="46" t="s">
        <v>1301</v>
      </c>
      <c r="I1" s="46" t="s">
        <v>1302</v>
      </c>
      <c r="J1" s="46"/>
      <c r="K1" s="479"/>
      <c r="M1" s="53"/>
      <c r="N1" s="479"/>
      <c r="O1" s="480"/>
      <c r="P1" s="480"/>
    </row>
    <row r="2" spans="1:16" ht="12.75" thickBot="1">
      <c r="A2" s="45" t="s">
        <v>0</v>
      </c>
      <c r="B2" s="45" t="s">
        <v>4</v>
      </c>
      <c r="C2" s="481"/>
      <c r="D2" s="480"/>
      <c r="E2" s="480"/>
      <c r="F2" s="480"/>
      <c r="H2" s="480"/>
      <c r="I2" s="480"/>
      <c r="J2" s="480"/>
      <c r="K2" s="480"/>
      <c r="M2" s="480"/>
      <c r="N2" s="480"/>
      <c r="O2" s="480"/>
      <c r="P2" s="480"/>
    </row>
    <row r="3" spans="1:16" ht="12.75" thickBot="1">
      <c r="A3" s="48" t="s">
        <v>1271</v>
      </c>
      <c r="B3" s="2" t="s">
        <v>342</v>
      </c>
      <c r="C3" s="482">
        <v>79</v>
      </c>
      <c r="D3" s="483"/>
      <c r="E3" s="485">
        <v>8.14</v>
      </c>
      <c r="F3" s="190">
        <f t="shared" ref="F3:F34" si="0">C3*E3</f>
        <v>643.06000000000006</v>
      </c>
      <c r="H3" s="486">
        <f>F3/$M$8*$M$9</f>
        <v>-4.7666788098893749E-5</v>
      </c>
      <c r="I3" s="486">
        <f>ROUND((F3+H3)/E3,0)</f>
        <v>79</v>
      </c>
      <c r="J3" s="480"/>
      <c r="K3" s="487">
        <f>$M$9/E3</f>
        <v>-1.3513513468892407E-2</v>
      </c>
      <c r="M3" s="488">
        <f>'12MonLights'!$K$76</f>
        <v>1560295</v>
      </c>
      <c r="N3" s="480" t="s">
        <v>1304</v>
      </c>
      <c r="O3" s="480"/>
      <c r="P3" s="480" t="s">
        <v>1305</v>
      </c>
    </row>
    <row r="4" spans="1:16" ht="12.75" thickBot="1">
      <c r="A4" s="48" t="s">
        <v>1271</v>
      </c>
      <c r="B4" s="2" t="s">
        <v>213</v>
      </c>
      <c r="C4" s="482">
        <v>3887</v>
      </c>
      <c r="D4" s="483"/>
      <c r="E4" s="485">
        <v>10.959999999999999</v>
      </c>
      <c r="F4" s="190">
        <f t="shared" si="0"/>
        <v>42601.52</v>
      </c>
      <c r="H4" s="486">
        <f t="shared" ref="H4:H67" si="1">F4/$M$8*$M$9</f>
        <v>-3.1578353909911729E-3</v>
      </c>
      <c r="I4" s="486">
        <f t="shared" ref="I4:I67" si="2">ROUND((F4+H4)/E4,0)</f>
        <v>3887</v>
      </c>
      <c r="J4" s="480"/>
      <c r="K4" s="487">
        <f t="shared" ref="K4:K67" si="3">$M$9/E4</f>
        <v>-1.0036496317224836E-2</v>
      </c>
      <c r="M4" s="488">
        <f>-M16</f>
        <v>-48238.59</v>
      </c>
      <c r="N4" s="489" t="s">
        <v>1306</v>
      </c>
      <c r="O4" s="480"/>
      <c r="P4" s="480"/>
    </row>
    <row r="5" spans="1:16" ht="12.75" thickBot="1">
      <c r="A5" s="48" t="s">
        <v>1271</v>
      </c>
      <c r="B5" s="2" t="s">
        <v>214</v>
      </c>
      <c r="C5" s="482">
        <v>3853</v>
      </c>
      <c r="D5" s="483"/>
      <c r="E5" s="485">
        <v>13.510000000000002</v>
      </c>
      <c r="F5" s="190">
        <f t="shared" si="0"/>
        <v>52054.030000000006</v>
      </c>
      <c r="H5" s="486">
        <f t="shared" si="1"/>
        <v>-3.8585021890701621E-3</v>
      </c>
      <c r="I5" s="486">
        <f t="shared" si="2"/>
        <v>3853</v>
      </c>
      <c r="J5" s="480"/>
      <c r="K5" s="487">
        <f t="shared" si="3"/>
        <v>-8.1421169235221455E-3</v>
      </c>
      <c r="M5" s="490">
        <f>M3+M4</f>
        <v>1512056.41</v>
      </c>
      <c r="N5" s="491" t="s">
        <v>1307</v>
      </c>
      <c r="O5" s="480"/>
      <c r="P5" s="480"/>
    </row>
    <row r="6" spans="1:16" ht="12.75" thickBot="1">
      <c r="A6" s="48" t="s">
        <v>1271</v>
      </c>
      <c r="B6" s="2" t="s">
        <v>215</v>
      </c>
      <c r="C6" s="482">
        <v>97</v>
      </c>
      <c r="D6" s="483"/>
      <c r="E6" s="485">
        <v>12.450000000000001</v>
      </c>
      <c r="F6" s="190">
        <f t="shared" si="0"/>
        <v>1207.6500000000001</v>
      </c>
      <c r="H6" s="486">
        <f t="shared" si="1"/>
        <v>-8.9516991645614773E-5</v>
      </c>
      <c r="I6" s="486">
        <f t="shared" si="2"/>
        <v>97</v>
      </c>
      <c r="J6" s="480"/>
      <c r="K6" s="487">
        <f t="shared" si="3"/>
        <v>-8.8353413362878865E-3</v>
      </c>
      <c r="M6" s="490">
        <f>'1051'!$K$27</f>
        <v>28075.69000000001</v>
      </c>
      <c r="N6" s="492" t="s">
        <v>1308</v>
      </c>
      <c r="O6" s="480"/>
      <c r="P6" s="480"/>
    </row>
    <row r="7" spans="1:16" ht="12.75" thickBot="1">
      <c r="A7" s="48" t="s">
        <v>1271</v>
      </c>
      <c r="B7" s="2" t="s">
        <v>216</v>
      </c>
      <c r="C7" s="482">
        <v>767</v>
      </c>
      <c r="D7" s="483"/>
      <c r="E7" s="484">
        <v>15.54</v>
      </c>
      <c r="F7" s="190">
        <f t="shared" si="0"/>
        <v>11919.179999999998</v>
      </c>
      <c r="H7" s="486">
        <f t="shared" si="1"/>
        <v>-8.8350857987213064E-4</v>
      </c>
      <c r="I7" s="486">
        <f t="shared" si="2"/>
        <v>767</v>
      </c>
      <c r="J7" s="480"/>
      <c r="K7" s="487">
        <f t="shared" si="3"/>
        <v>-7.0785070551341181E-3</v>
      </c>
      <c r="M7" s="490">
        <f>M5-M6</f>
        <v>1483980.72</v>
      </c>
      <c r="N7" s="492" t="s">
        <v>1309</v>
      </c>
      <c r="O7" s="480"/>
      <c r="P7" s="480"/>
    </row>
    <row r="8" spans="1:16" ht="12.75" thickBot="1">
      <c r="A8" s="48" t="s">
        <v>1271</v>
      </c>
      <c r="B8" s="2" t="s">
        <v>217</v>
      </c>
      <c r="C8" s="482">
        <v>1414</v>
      </c>
      <c r="D8" s="483"/>
      <c r="E8" s="484">
        <v>14.24</v>
      </c>
      <c r="F8" s="190">
        <f t="shared" si="0"/>
        <v>20135.36</v>
      </c>
      <c r="H8" s="486">
        <f t="shared" si="1"/>
        <v>-1.4925324828397679E-3</v>
      </c>
      <c r="I8" s="486">
        <f t="shared" si="2"/>
        <v>1414</v>
      </c>
      <c r="J8" s="480"/>
      <c r="K8" s="487">
        <f t="shared" si="3"/>
        <v>-7.7247190756168675E-3</v>
      </c>
      <c r="M8" s="490">
        <f>SUM(F3:F72)</f>
        <v>1483980.8299999996</v>
      </c>
      <c r="N8" s="491" t="s">
        <v>1323</v>
      </c>
      <c r="O8" s="480"/>
      <c r="P8" s="480"/>
    </row>
    <row r="9" spans="1:16" ht="12.75" thickBot="1">
      <c r="A9" s="48" t="s">
        <v>1271</v>
      </c>
      <c r="B9" s="2" t="s">
        <v>344</v>
      </c>
      <c r="C9" s="482">
        <v>45</v>
      </c>
      <c r="D9" s="483"/>
      <c r="E9" s="484">
        <v>27.69</v>
      </c>
      <c r="F9" s="190">
        <f t="shared" si="0"/>
        <v>1246.05</v>
      </c>
      <c r="H9" s="486">
        <f t="shared" si="1"/>
        <v>-9.2363389591370242E-5</v>
      </c>
      <c r="I9" s="486">
        <f t="shared" si="2"/>
        <v>45</v>
      </c>
      <c r="J9" s="480"/>
      <c r="K9" s="487">
        <f t="shared" si="3"/>
        <v>-3.9725532552106965E-3</v>
      </c>
      <c r="M9" s="490">
        <f>M7-M8</f>
        <v>-0.1099999996367842</v>
      </c>
      <c r="N9" s="492"/>
      <c r="O9" s="480"/>
      <c r="P9" s="480"/>
    </row>
    <row r="10" spans="1:16" ht="12.75" thickBot="1">
      <c r="A10" s="48" t="s">
        <v>1271</v>
      </c>
      <c r="B10" s="135" t="s">
        <v>218</v>
      </c>
      <c r="C10" s="482">
        <v>365</v>
      </c>
      <c r="D10" s="483"/>
      <c r="E10" s="484">
        <v>28.89</v>
      </c>
      <c r="F10" s="190">
        <f t="shared" si="0"/>
        <v>10544.85</v>
      </c>
      <c r="H10" s="486">
        <f t="shared" si="1"/>
        <v>-7.8163644214322107E-4</v>
      </c>
      <c r="I10" s="486">
        <f t="shared" si="2"/>
        <v>365</v>
      </c>
      <c r="J10" s="480"/>
      <c r="K10" s="487">
        <f t="shared" si="3"/>
        <v>-3.8075458510482586E-3</v>
      </c>
      <c r="M10" s="490"/>
      <c r="N10" s="492"/>
      <c r="O10" s="480"/>
      <c r="P10" s="480"/>
    </row>
    <row r="11" spans="1:16" ht="12.75" thickBot="1">
      <c r="A11" s="48" t="s">
        <v>1271</v>
      </c>
      <c r="B11" s="2" t="s">
        <v>223</v>
      </c>
      <c r="C11" s="482">
        <v>4021</v>
      </c>
      <c r="D11" s="483"/>
      <c r="E11" s="484">
        <v>9.57</v>
      </c>
      <c r="F11" s="190">
        <f t="shared" si="0"/>
        <v>38480.97</v>
      </c>
      <c r="H11" s="486">
        <f t="shared" si="1"/>
        <v>-2.8523998426739144E-3</v>
      </c>
      <c r="I11" s="486">
        <f t="shared" si="2"/>
        <v>4021</v>
      </c>
      <c r="J11" s="480"/>
      <c r="K11" s="487">
        <f t="shared" si="3"/>
        <v>-1.1494252835609634E-2</v>
      </c>
      <c r="M11" s="490"/>
      <c r="N11" s="492"/>
      <c r="O11" s="480"/>
      <c r="P11" s="480"/>
    </row>
    <row r="12" spans="1:16" ht="12.75" thickBot="1">
      <c r="A12" s="48" t="s">
        <v>1271</v>
      </c>
      <c r="B12" s="2" t="s">
        <v>231</v>
      </c>
      <c r="C12" s="482">
        <v>2034</v>
      </c>
      <c r="D12" s="483"/>
      <c r="E12" s="484">
        <v>27.34</v>
      </c>
      <c r="F12" s="190">
        <f t="shared" si="0"/>
        <v>55609.56</v>
      </c>
      <c r="H12" s="486">
        <f t="shared" si="1"/>
        <v>-4.1220556601137028E-3</v>
      </c>
      <c r="I12" s="486">
        <f t="shared" si="2"/>
        <v>2034</v>
      </c>
      <c r="J12" s="480"/>
      <c r="K12" s="487">
        <f t="shared" si="3"/>
        <v>-4.0234089113673809E-3</v>
      </c>
      <c r="M12" s="493"/>
      <c r="N12" s="492"/>
      <c r="O12" s="480"/>
      <c r="P12" s="480"/>
    </row>
    <row r="13" spans="1:16" ht="12.75" thickBot="1">
      <c r="A13" s="48" t="s">
        <v>1271</v>
      </c>
      <c r="B13" s="2" t="s">
        <v>232</v>
      </c>
      <c r="C13" s="482">
        <v>2265</v>
      </c>
      <c r="D13" s="483"/>
      <c r="E13" s="484">
        <v>31.4</v>
      </c>
      <c r="F13" s="190">
        <f t="shared" si="0"/>
        <v>71121</v>
      </c>
      <c r="H13" s="486">
        <f t="shared" si="1"/>
        <v>-5.2718403203144684E-3</v>
      </c>
      <c r="I13" s="486">
        <f t="shared" si="2"/>
        <v>2265</v>
      </c>
      <c r="J13" s="480"/>
      <c r="K13" s="487">
        <f t="shared" si="3"/>
        <v>-3.5031847018084142E-3</v>
      </c>
      <c r="M13" s="492"/>
      <c r="N13" s="494"/>
      <c r="O13" s="480"/>
      <c r="P13" s="480"/>
    </row>
    <row r="14" spans="1:16" ht="12.75" thickBot="1">
      <c r="A14" s="48" t="s">
        <v>1271</v>
      </c>
      <c r="B14" s="2" t="s">
        <v>234</v>
      </c>
      <c r="C14" s="482">
        <v>16883</v>
      </c>
      <c r="D14" s="483"/>
      <c r="E14" s="484">
        <v>17.189999999999998</v>
      </c>
      <c r="F14" s="190">
        <f t="shared" si="0"/>
        <v>290218.76999999996</v>
      </c>
      <c r="H14" s="486">
        <f t="shared" si="1"/>
        <v>-2.1512450800720898E-2</v>
      </c>
      <c r="I14" s="486">
        <f t="shared" si="2"/>
        <v>16883</v>
      </c>
      <c r="J14" s="480"/>
      <c r="K14" s="487">
        <f t="shared" si="3"/>
        <v>-6.3990692051648758E-3</v>
      </c>
      <c r="M14" s="492">
        <f>'12MonResults'!$AD$32</f>
        <v>23148.41</v>
      </c>
      <c r="N14" s="494" t="s">
        <v>17</v>
      </c>
      <c r="O14" s="480" t="s">
        <v>1311</v>
      </c>
      <c r="P14" s="480"/>
    </row>
    <row r="15" spans="1:16" ht="12.75" thickBot="1">
      <c r="A15" s="48" t="s">
        <v>1271</v>
      </c>
      <c r="B15" s="2" t="s">
        <v>353</v>
      </c>
      <c r="C15" s="482">
        <v>520</v>
      </c>
      <c r="D15" s="483"/>
      <c r="E15" s="484">
        <v>24.89</v>
      </c>
      <c r="F15" s="190">
        <f t="shared" si="0"/>
        <v>12942.800000000001</v>
      </c>
      <c r="H15" s="486">
        <f t="shared" si="1"/>
        <v>-9.5938435761260552E-4</v>
      </c>
      <c r="I15" s="486">
        <f t="shared" si="2"/>
        <v>520</v>
      </c>
      <c r="J15" s="480"/>
      <c r="K15" s="487">
        <f t="shared" si="3"/>
        <v>-4.4194455458732096E-3</v>
      </c>
      <c r="M15" s="492">
        <f>'12MonResults'!$AD$34</f>
        <v>25090.18</v>
      </c>
      <c r="N15" s="494" t="s">
        <v>18</v>
      </c>
      <c r="O15" s="480"/>
      <c r="P15" s="480"/>
    </row>
    <row r="16" spans="1:16" ht="12.75" thickBot="1">
      <c r="A16" s="48" t="s">
        <v>1271</v>
      </c>
      <c r="B16" s="2" t="s">
        <v>235</v>
      </c>
      <c r="C16" s="482">
        <v>1329</v>
      </c>
      <c r="D16" s="483"/>
      <c r="E16" s="484">
        <v>14.17</v>
      </c>
      <c r="F16" s="190">
        <f t="shared" si="0"/>
        <v>18831.93</v>
      </c>
      <c r="H16" s="486">
        <f t="shared" si="1"/>
        <v>-1.3959158038179954E-3</v>
      </c>
      <c r="I16" s="486">
        <f t="shared" si="2"/>
        <v>1329</v>
      </c>
      <c r="J16" s="480"/>
      <c r="K16" s="487">
        <f t="shared" si="3"/>
        <v>-7.7628792968796184E-3</v>
      </c>
      <c r="M16" s="492">
        <f>M14+M15</f>
        <v>48238.59</v>
      </c>
      <c r="N16" s="494"/>
      <c r="O16" s="480"/>
      <c r="P16" s="480"/>
    </row>
    <row r="17" spans="1:16" ht="12.75" thickBot="1">
      <c r="A17" s="48" t="s">
        <v>1271</v>
      </c>
      <c r="B17" s="2" t="s">
        <v>236</v>
      </c>
      <c r="C17" s="486">
        <v>2276</v>
      </c>
      <c r="D17" s="486"/>
      <c r="E17" s="485">
        <v>22.15</v>
      </c>
      <c r="F17" s="190">
        <f t="shared" si="0"/>
        <v>50413.399999999994</v>
      </c>
      <c r="H17" s="486">
        <f t="shared" si="1"/>
        <v>-3.7368905780872236E-3</v>
      </c>
      <c r="I17" s="486">
        <f t="shared" si="2"/>
        <v>2276</v>
      </c>
      <c r="J17" s="480"/>
      <c r="K17" s="487">
        <f t="shared" si="3"/>
        <v>-4.9661399384552688E-3</v>
      </c>
      <c r="M17" s="82"/>
      <c r="N17" s="495"/>
      <c r="O17" s="480"/>
      <c r="P17" s="480"/>
    </row>
    <row r="18" spans="1:16" ht="12.75" thickBot="1">
      <c r="A18" s="48" t="s">
        <v>1271</v>
      </c>
      <c r="B18" s="2" t="s">
        <v>354</v>
      </c>
      <c r="C18" s="486">
        <v>17</v>
      </c>
      <c r="D18" s="486"/>
      <c r="E18" s="485">
        <v>72.550000000000011</v>
      </c>
      <c r="F18" s="190">
        <f t="shared" si="0"/>
        <v>1233.3500000000001</v>
      </c>
      <c r="H18" s="486">
        <f t="shared" si="1"/>
        <v>-9.1422002770768837E-5</v>
      </c>
      <c r="I18" s="486">
        <f t="shared" si="2"/>
        <v>17</v>
      </c>
      <c r="J18" s="480"/>
      <c r="K18" s="487">
        <f t="shared" si="3"/>
        <v>-1.5161957220783484E-3</v>
      </c>
      <c r="M18" s="82"/>
      <c r="N18" s="495"/>
      <c r="O18" s="480"/>
      <c r="P18" s="480"/>
    </row>
    <row r="19" spans="1:16" ht="12.75" thickBot="1">
      <c r="A19" s="48" t="s">
        <v>1271</v>
      </c>
      <c r="B19" s="2" t="s">
        <v>355</v>
      </c>
      <c r="C19" s="486">
        <v>11</v>
      </c>
      <c r="D19" s="486"/>
      <c r="E19" s="485">
        <v>41.43</v>
      </c>
      <c r="F19" s="190">
        <f t="shared" si="0"/>
        <v>455.73</v>
      </c>
      <c r="H19" s="486">
        <f t="shared" si="1"/>
        <v>-3.378096187029025E-5</v>
      </c>
      <c r="I19" s="486">
        <f t="shared" si="2"/>
        <v>11</v>
      </c>
      <c r="J19" s="480"/>
      <c r="K19" s="487">
        <f t="shared" si="3"/>
        <v>-2.6550808505137386E-3</v>
      </c>
      <c r="M19" s="82"/>
      <c r="N19" s="495"/>
      <c r="O19" s="480"/>
      <c r="P19" s="480"/>
    </row>
    <row r="20" spans="1:16" ht="12.75" thickBot="1">
      <c r="A20" s="48" t="s">
        <v>1271</v>
      </c>
      <c r="B20" s="2" t="s">
        <v>359</v>
      </c>
      <c r="C20" s="486">
        <v>45</v>
      </c>
      <c r="D20" s="486"/>
      <c r="E20" s="485">
        <v>19.38</v>
      </c>
      <c r="F20" s="190">
        <f t="shared" si="0"/>
        <v>872.09999999999991</v>
      </c>
      <c r="H20" s="486">
        <f t="shared" si="1"/>
        <v>-6.4644365846181122E-5</v>
      </c>
      <c r="I20" s="486">
        <f t="shared" si="2"/>
        <v>45</v>
      </c>
      <c r="J20" s="480"/>
      <c r="K20" s="487">
        <f t="shared" si="3"/>
        <v>-5.6759545736214763E-3</v>
      </c>
      <c r="M20" s="82"/>
      <c r="N20" s="495"/>
      <c r="O20" s="480"/>
      <c r="P20" s="480"/>
    </row>
    <row r="21" spans="1:16" ht="12.75" thickBot="1">
      <c r="A21" s="48" t="s">
        <v>1271</v>
      </c>
      <c r="B21" s="2" t="s">
        <v>356</v>
      </c>
      <c r="C21" s="486">
        <v>243</v>
      </c>
      <c r="D21" s="486"/>
      <c r="E21" s="485">
        <v>20.349999999999998</v>
      </c>
      <c r="F21" s="190">
        <f t="shared" si="0"/>
        <v>4945.0499999999993</v>
      </c>
      <c r="H21" s="486">
        <f t="shared" si="1"/>
        <v>-3.6655156670984746E-4</v>
      </c>
      <c r="I21" s="486">
        <f t="shared" si="2"/>
        <v>243</v>
      </c>
      <c r="J21" s="480"/>
      <c r="K21" s="487">
        <f t="shared" si="3"/>
        <v>-5.4054053875569634E-3</v>
      </c>
      <c r="M21" s="82"/>
      <c r="N21" s="495"/>
      <c r="O21" s="480"/>
      <c r="P21" s="480"/>
    </row>
    <row r="22" spans="1:16" ht="12.75" thickBot="1">
      <c r="A22" s="48" t="s">
        <v>1271</v>
      </c>
      <c r="B22" s="135" t="s">
        <v>357</v>
      </c>
      <c r="C22" s="486">
        <v>104</v>
      </c>
      <c r="D22" s="486"/>
      <c r="E22" s="485">
        <v>19.53</v>
      </c>
      <c r="F22" s="190">
        <f t="shared" si="0"/>
        <v>2031.1200000000001</v>
      </c>
      <c r="H22" s="486">
        <f t="shared" si="1"/>
        <v>-1.50556661343304E-4</v>
      </c>
      <c r="I22" s="486">
        <f t="shared" si="2"/>
        <v>104</v>
      </c>
      <c r="J22" s="480"/>
      <c r="K22" s="487">
        <f t="shared" si="3"/>
        <v>-5.6323604524723091E-3</v>
      </c>
      <c r="M22" s="82"/>
      <c r="N22" s="495"/>
      <c r="O22" s="480"/>
      <c r="P22" s="480"/>
    </row>
    <row r="23" spans="1:16" ht="12.75" thickBot="1">
      <c r="A23" s="48" t="s">
        <v>1271</v>
      </c>
      <c r="B23" s="2" t="s">
        <v>358</v>
      </c>
      <c r="C23" s="486">
        <v>81</v>
      </c>
      <c r="D23" s="486"/>
      <c r="E23" s="485">
        <v>20.819999999999997</v>
      </c>
      <c r="F23" s="190">
        <f t="shared" si="0"/>
        <v>1686.4199999999998</v>
      </c>
      <c r="H23" s="486">
        <f t="shared" si="1"/>
        <v>-1.250057922833583E-4</v>
      </c>
      <c r="I23" s="486">
        <f t="shared" si="2"/>
        <v>81</v>
      </c>
      <c r="J23" s="480"/>
      <c r="K23" s="487">
        <f t="shared" si="3"/>
        <v>-5.2833813466274838E-3</v>
      </c>
      <c r="M23" s="82"/>
      <c r="N23" s="495"/>
      <c r="O23" s="480"/>
      <c r="P23" s="480"/>
    </row>
    <row r="24" spans="1:16" ht="12.75" thickBot="1">
      <c r="A24" s="48" t="s">
        <v>1271</v>
      </c>
      <c r="B24" s="2" t="s">
        <v>250</v>
      </c>
      <c r="C24" s="486">
        <v>550</v>
      </c>
      <c r="D24" s="486"/>
      <c r="E24" s="485">
        <v>19.2</v>
      </c>
      <c r="F24" s="190">
        <f t="shared" si="0"/>
        <v>10560</v>
      </c>
      <c r="H24" s="486">
        <f t="shared" si="1"/>
        <v>-7.8275943508275742E-4</v>
      </c>
      <c r="I24" s="486">
        <f t="shared" si="2"/>
        <v>550</v>
      </c>
      <c r="J24" s="480"/>
      <c r="K24" s="487">
        <f t="shared" si="3"/>
        <v>-5.7291666477491772E-3</v>
      </c>
      <c r="M24" s="82"/>
      <c r="N24" s="495"/>
      <c r="O24" s="480"/>
      <c r="P24" s="480"/>
    </row>
    <row r="25" spans="1:16" ht="12.75" thickBot="1">
      <c r="A25" s="48" t="s">
        <v>1271</v>
      </c>
      <c r="B25" s="2" t="s">
        <v>251</v>
      </c>
      <c r="C25" s="486">
        <v>527</v>
      </c>
      <c r="D25" s="486"/>
      <c r="E25" s="485">
        <v>22.949999999999996</v>
      </c>
      <c r="F25" s="190">
        <f t="shared" si="0"/>
        <v>12094.649999999998</v>
      </c>
      <c r="H25" s="486">
        <f t="shared" si="1"/>
        <v>-8.9651528423519589E-4</v>
      </c>
      <c r="I25" s="486">
        <f t="shared" si="2"/>
        <v>527</v>
      </c>
      <c r="J25" s="480"/>
      <c r="K25" s="487">
        <f t="shared" si="3"/>
        <v>-4.7930283066136914E-3</v>
      </c>
      <c r="M25" s="82"/>
      <c r="N25" s="495"/>
      <c r="O25" s="480"/>
      <c r="P25" s="480"/>
    </row>
    <row r="26" spans="1:16" ht="12.75" thickBot="1">
      <c r="A26" s="48" t="s">
        <v>1271</v>
      </c>
      <c r="B26" s="2" t="s">
        <v>254</v>
      </c>
      <c r="C26" s="486">
        <v>53</v>
      </c>
      <c r="D26" s="486"/>
      <c r="E26" s="485">
        <v>17.419999999999998</v>
      </c>
      <c r="F26" s="190">
        <f t="shared" si="0"/>
        <v>923.25999999999988</v>
      </c>
      <c r="H26" s="486">
        <f t="shared" si="1"/>
        <v>-6.8436598109328266E-5</v>
      </c>
      <c r="I26" s="486">
        <f t="shared" si="2"/>
        <v>53</v>
      </c>
      <c r="J26" s="480"/>
      <c r="K26" s="487">
        <f t="shared" si="3"/>
        <v>-6.3145809205961082E-3</v>
      </c>
      <c r="M26" s="82"/>
      <c r="N26" s="495"/>
      <c r="O26" s="480"/>
      <c r="P26" s="480"/>
    </row>
    <row r="27" spans="1:16" ht="12.75" thickBot="1">
      <c r="A27" s="48" t="s">
        <v>1271</v>
      </c>
      <c r="B27" s="2" t="s">
        <v>260</v>
      </c>
      <c r="C27" s="486">
        <v>39</v>
      </c>
      <c r="D27" s="486"/>
      <c r="E27" s="485">
        <v>13.12</v>
      </c>
      <c r="F27" s="190">
        <f t="shared" si="0"/>
        <v>511.67999999999995</v>
      </c>
      <c r="H27" s="486">
        <f t="shared" si="1"/>
        <v>-3.7928252627191783E-5</v>
      </c>
      <c r="I27" s="486">
        <f t="shared" si="2"/>
        <v>39</v>
      </c>
      <c r="J27" s="480"/>
      <c r="K27" s="487">
        <f t="shared" si="3"/>
        <v>-8.3841463137792841E-3</v>
      </c>
      <c r="M27" s="82"/>
      <c r="N27" s="495"/>
      <c r="O27" s="480"/>
      <c r="P27" s="480"/>
    </row>
    <row r="28" spans="1:16" ht="12.75" thickBot="1">
      <c r="A28" s="48" t="s">
        <v>1271</v>
      </c>
      <c r="B28" s="135" t="s">
        <v>262</v>
      </c>
      <c r="C28" s="486">
        <v>17</v>
      </c>
      <c r="D28" s="486"/>
      <c r="E28" s="485">
        <v>9.0200000000000014</v>
      </c>
      <c r="F28" s="190">
        <f t="shared" si="0"/>
        <v>153.34000000000003</v>
      </c>
      <c r="H28" s="486">
        <f t="shared" si="1"/>
        <v>-1.1366319296930876E-5</v>
      </c>
      <c r="I28" s="486">
        <f t="shared" si="2"/>
        <v>17</v>
      </c>
      <c r="J28" s="480"/>
      <c r="K28" s="487">
        <f t="shared" si="3"/>
        <v>-1.2195121910951684E-2</v>
      </c>
      <c r="M28" s="82"/>
      <c r="N28" s="495"/>
      <c r="O28" s="480"/>
      <c r="P28" s="480"/>
    </row>
    <row r="29" spans="1:16" ht="12.75" thickBot="1">
      <c r="A29" s="48" t="s">
        <v>1271</v>
      </c>
      <c r="B29" s="2" t="s">
        <v>340</v>
      </c>
      <c r="C29" s="486">
        <v>32</v>
      </c>
      <c r="D29" s="486"/>
      <c r="E29" s="485">
        <v>23.89</v>
      </c>
      <c r="F29" s="190">
        <f t="shared" si="0"/>
        <v>764.48</v>
      </c>
      <c r="H29" s="486">
        <f t="shared" si="1"/>
        <v>-5.6667039103415382E-5</v>
      </c>
      <c r="I29" s="486">
        <f t="shared" si="2"/>
        <v>32</v>
      </c>
      <c r="J29" s="480"/>
      <c r="K29" s="487">
        <f t="shared" si="3"/>
        <v>-4.6044369877264206E-3</v>
      </c>
      <c r="M29" s="82"/>
      <c r="N29" s="495"/>
      <c r="O29" s="480"/>
      <c r="P29" s="480"/>
    </row>
    <row r="30" spans="1:16" ht="12.75" thickBot="1">
      <c r="A30" s="48" t="s">
        <v>1271</v>
      </c>
      <c r="B30" s="2" t="s">
        <v>692</v>
      </c>
      <c r="C30" s="486">
        <v>4</v>
      </c>
      <c r="D30" s="486"/>
      <c r="E30" s="485">
        <v>24.9</v>
      </c>
      <c r="F30" s="190">
        <f t="shared" si="0"/>
        <v>99.6</v>
      </c>
      <c r="H30" s="486">
        <f t="shared" si="1"/>
        <v>-7.3828446718032801E-6</v>
      </c>
      <c r="I30" s="486">
        <f t="shared" si="2"/>
        <v>4</v>
      </c>
      <c r="J30" s="480"/>
      <c r="K30" s="487">
        <f t="shared" si="3"/>
        <v>-4.4176706681439441E-3</v>
      </c>
      <c r="M30" s="82"/>
      <c r="N30" s="495"/>
      <c r="O30" s="480"/>
      <c r="P30" s="480"/>
    </row>
    <row r="31" spans="1:16" ht="12.75" thickBot="1">
      <c r="A31" s="48" t="s">
        <v>1271</v>
      </c>
      <c r="B31" s="2" t="s">
        <v>292</v>
      </c>
      <c r="C31" s="486">
        <v>222</v>
      </c>
      <c r="D31" s="486"/>
      <c r="E31" s="485">
        <v>19.79</v>
      </c>
      <c r="F31" s="190">
        <f t="shared" si="0"/>
        <v>4393.38</v>
      </c>
      <c r="H31" s="486">
        <f t="shared" si="1"/>
        <v>-3.2565905747195879E-4</v>
      </c>
      <c r="I31" s="486">
        <f t="shared" si="2"/>
        <v>222</v>
      </c>
      <c r="J31" s="480"/>
      <c r="K31" s="487">
        <f t="shared" si="3"/>
        <v>-5.5583627911462456E-3</v>
      </c>
      <c r="M31" s="82"/>
      <c r="N31" s="495"/>
      <c r="O31" s="480"/>
      <c r="P31" s="480"/>
    </row>
    <row r="32" spans="1:16" ht="12.75" thickBot="1">
      <c r="A32" s="48" t="s">
        <v>1271</v>
      </c>
      <c r="B32" s="2" t="s">
        <v>293</v>
      </c>
      <c r="C32" s="486">
        <v>2037</v>
      </c>
      <c r="D32" s="486"/>
      <c r="E32" s="485">
        <v>20.49</v>
      </c>
      <c r="F32" s="190">
        <f t="shared" si="0"/>
        <v>41738.129999999997</v>
      </c>
      <c r="H32" s="486">
        <f t="shared" si="1"/>
        <v>-3.0938366534290422E-3</v>
      </c>
      <c r="I32" s="486">
        <f t="shared" si="2"/>
        <v>2037</v>
      </c>
      <c r="J32" s="480"/>
      <c r="K32" s="487">
        <f t="shared" si="3"/>
        <v>-5.3684724078469593E-3</v>
      </c>
      <c r="M32" s="82"/>
      <c r="N32" s="495"/>
      <c r="O32" s="480"/>
      <c r="P32" s="480"/>
    </row>
    <row r="33" spans="1:16" ht="12.75" thickBot="1">
      <c r="A33" s="48" t="s">
        <v>1271</v>
      </c>
      <c r="B33" s="135" t="s">
        <v>295</v>
      </c>
      <c r="C33" s="486">
        <v>31</v>
      </c>
      <c r="D33" s="486"/>
      <c r="E33" s="485">
        <v>20.18</v>
      </c>
      <c r="F33" s="190">
        <f t="shared" si="0"/>
        <v>625.58000000000004</v>
      </c>
      <c r="H33" s="486">
        <f t="shared" si="1"/>
        <v>-4.6371084034002976E-5</v>
      </c>
      <c r="I33" s="486">
        <f t="shared" si="2"/>
        <v>31</v>
      </c>
      <c r="J33" s="480"/>
      <c r="K33" s="487">
        <f t="shared" si="3"/>
        <v>-5.450941508264826E-3</v>
      </c>
      <c r="M33" s="82"/>
      <c r="N33" s="495"/>
      <c r="O33" s="480"/>
      <c r="P33" s="480"/>
    </row>
    <row r="34" spans="1:16" ht="12.75" thickBot="1">
      <c r="A34" s="48" t="s">
        <v>1271</v>
      </c>
      <c r="B34" s="2" t="s">
        <v>296</v>
      </c>
      <c r="C34" s="486">
        <v>1810</v>
      </c>
      <c r="D34" s="486"/>
      <c r="E34" s="485">
        <v>22.56</v>
      </c>
      <c r="F34" s="190">
        <f t="shared" si="0"/>
        <v>40833.599999999999</v>
      </c>
      <c r="H34" s="486">
        <f t="shared" si="1"/>
        <v>-3.0267884155677346E-3</v>
      </c>
      <c r="I34" s="486">
        <f t="shared" si="2"/>
        <v>1810</v>
      </c>
      <c r="J34" s="480"/>
      <c r="K34" s="487">
        <f t="shared" si="3"/>
        <v>-4.875886508722704E-3</v>
      </c>
      <c r="M34" s="82"/>
      <c r="N34" s="495"/>
      <c r="O34" s="480"/>
      <c r="P34" s="480"/>
    </row>
    <row r="35" spans="1:16" ht="12.75" thickBot="1">
      <c r="A35" s="48" t="s">
        <v>1271</v>
      </c>
      <c r="B35" s="2" t="s">
        <v>297</v>
      </c>
      <c r="C35" s="486">
        <v>35</v>
      </c>
      <c r="D35" s="486"/>
      <c r="E35" s="485">
        <v>23.68</v>
      </c>
      <c r="F35" s="190">
        <f t="shared" ref="F35:F66" si="4">C35*E35</f>
        <v>828.8</v>
      </c>
      <c r="H35" s="486">
        <f t="shared" si="1"/>
        <v>-6.1434755662555812E-5</v>
      </c>
      <c r="I35" s="486">
        <f t="shared" si="2"/>
        <v>35</v>
      </c>
      <c r="J35" s="480"/>
      <c r="K35" s="487">
        <f t="shared" si="3"/>
        <v>-4.6452702549317649E-3</v>
      </c>
      <c r="M35" s="82"/>
      <c r="N35" s="495"/>
      <c r="O35" s="480"/>
      <c r="P35" s="480"/>
    </row>
    <row r="36" spans="1:16" ht="12.75" thickBot="1">
      <c r="A36" s="48" t="s">
        <v>1271</v>
      </c>
      <c r="B36" s="2" t="s">
        <v>299</v>
      </c>
      <c r="C36" s="486">
        <v>111</v>
      </c>
      <c r="D36" s="486"/>
      <c r="E36" s="485">
        <v>24.77</v>
      </c>
      <c r="F36" s="190">
        <f t="shared" si="4"/>
        <v>2749.47</v>
      </c>
      <c r="H36" s="486">
        <f t="shared" si="1"/>
        <v>-2.0380431666448758E-4</v>
      </c>
      <c r="I36" s="486">
        <f t="shared" si="2"/>
        <v>111</v>
      </c>
      <c r="J36" s="480"/>
      <c r="K36" s="487">
        <f t="shared" si="3"/>
        <v>-4.4408558593776425E-3</v>
      </c>
      <c r="M36" s="82"/>
      <c r="N36" s="495"/>
      <c r="O36" s="480"/>
      <c r="P36" s="480"/>
    </row>
    <row r="37" spans="1:16" ht="12.75" thickBot="1">
      <c r="A37" s="48" t="s">
        <v>1271</v>
      </c>
      <c r="B37" s="2" t="s">
        <v>300</v>
      </c>
      <c r="C37" s="486">
        <v>47</v>
      </c>
      <c r="D37" s="486"/>
      <c r="E37" s="485">
        <v>29.889999999999997</v>
      </c>
      <c r="F37" s="190">
        <f t="shared" si="4"/>
        <v>1404.83</v>
      </c>
      <c r="H37" s="486">
        <f t="shared" si="1"/>
        <v>-1.0413294859728315E-4</v>
      </c>
      <c r="I37" s="486">
        <f t="shared" si="2"/>
        <v>47</v>
      </c>
      <c r="J37" s="480"/>
      <c r="K37" s="487">
        <f t="shared" si="3"/>
        <v>-3.6801605766739447E-3</v>
      </c>
      <c r="M37" s="82"/>
      <c r="N37" s="495"/>
      <c r="O37" s="480"/>
      <c r="P37" s="480"/>
    </row>
    <row r="38" spans="1:16" ht="12.75" thickBot="1">
      <c r="A38" s="48" t="s">
        <v>1271</v>
      </c>
      <c r="B38" s="2" t="s">
        <v>301</v>
      </c>
      <c r="C38" s="486">
        <v>176</v>
      </c>
      <c r="D38" s="486"/>
      <c r="E38" s="485">
        <v>32.860000000000007</v>
      </c>
      <c r="F38" s="190">
        <f t="shared" si="4"/>
        <v>5783.3600000000015</v>
      </c>
      <c r="H38" s="486">
        <f t="shared" si="1"/>
        <v>-4.2869125061365692E-4</v>
      </c>
      <c r="I38" s="486">
        <f t="shared" si="2"/>
        <v>176</v>
      </c>
      <c r="J38" s="480"/>
      <c r="K38" s="487">
        <f t="shared" si="3"/>
        <v>-3.347534985903353E-3</v>
      </c>
      <c r="M38" s="82"/>
      <c r="N38" s="495"/>
      <c r="O38" s="480"/>
      <c r="P38" s="480"/>
    </row>
    <row r="39" spans="1:16" ht="12.75" thickBot="1">
      <c r="A39" s="48" t="s">
        <v>1271</v>
      </c>
      <c r="B39" s="2" t="s">
        <v>302</v>
      </c>
      <c r="C39" s="486">
        <v>355</v>
      </c>
      <c r="D39" s="486"/>
      <c r="E39" s="485">
        <v>38.389999999999993</v>
      </c>
      <c r="F39" s="190">
        <f t="shared" si="4"/>
        <v>13628.449999999997</v>
      </c>
      <c r="H39" s="486">
        <f t="shared" si="1"/>
        <v>-1.0102081271831063E-3</v>
      </c>
      <c r="I39" s="486">
        <f t="shared" si="2"/>
        <v>355</v>
      </c>
      <c r="J39" s="480"/>
      <c r="K39" s="487">
        <f t="shared" si="3"/>
        <v>-2.8653295034327744E-3</v>
      </c>
      <c r="M39" s="82"/>
      <c r="N39" s="495"/>
      <c r="O39" s="480"/>
      <c r="P39" s="480"/>
    </row>
    <row r="40" spans="1:16" ht="12.75" thickBot="1">
      <c r="A40" s="48" t="s">
        <v>1271</v>
      </c>
      <c r="B40" s="135" t="s">
        <v>303</v>
      </c>
      <c r="C40" s="486">
        <v>17</v>
      </c>
      <c r="D40" s="486"/>
      <c r="E40" s="485">
        <v>26.349999999999998</v>
      </c>
      <c r="F40" s="190">
        <f t="shared" si="4"/>
        <v>447.95</v>
      </c>
      <c r="H40" s="486">
        <f t="shared" si="1"/>
        <v>-3.3204269786488745E-5</v>
      </c>
      <c r="I40" s="486">
        <f t="shared" si="2"/>
        <v>17</v>
      </c>
      <c r="J40" s="480"/>
      <c r="K40" s="487">
        <f t="shared" si="3"/>
        <v>-4.1745730412441825E-3</v>
      </c>
      <c r="M40" s="82"/>
      <c r="N40" s="495"/>
      <c r="O40" s="480"/>
      <c r="P40" s="480"/>
    </row>
    <row r="41" spans="1:16" ht="12.75" thickBot="1">
      <c r="A41" s="48" t="s">
        <v>1271</v>
      </c>
      <c r="B41" s="2" t="s">
        <v>304</v>
      </c>
      <c r="C41" s="486">
        <v>385</v>
      </c>
      <c r="D41" s="486"/>
      <c r="E41" s="485">
        <v>28.45</v>
      </c>
      <c r="F41" s="190">
        <f t="shared" si="4"/>
        <v>10953.25</v>
      </c>
      <c r="H41" s="486">
        <f t="shared" si="1"/>
        <v>-8.1190907029547472E-4</v>
      </c>
      <c r="I41" s="486">
        <f t="shared" si="2"/>
        <v>385</v>
      </c>
      <c r="J41" s="480"/>
      <c r="K41" s="487">
        <f t="shared" si="3"/>
        <v>-3.866432324667283E-3</v>
      </c>
      <c r="M41" s="82"/>
      <c r="N41" s="495"/>
      <c r="O41" s="480"/>
      <c r="P41" s="480"/>
    </row>
    <row r="42" spans="1:16" ht="12.75" thickBot="1">
      <c r="A42" s="48" t="s">
        <v>1271</v>
      </c>
      <c r="B42" s="2" t="s">
        <v>305</v>
      </c>
      <c r="C42" s="486">
        <v>34</v>
      </c>
      <c r="D42" s="486"/>
      <c r="E42" s="485">
        <v>34.029999999999994</v>
      </c>
      <c r="F42" s="190">
        <f t="shared" si="4"/>
        <v>1157.0199999999998</v>
      </c>
      <c r="H42" s="486">
        <f t="shared" si="1"/>
        <v>-8.5764045604114751E-5</v>
      </c>
      <c r="I42" s="486">
        <f t="shared" si="2"/>
        <v>34</v>
      </c>
      <c r="J42" s="480"/>
      <c r="K42" s="487">
        <f t="shared" si="3"/>
        <v>-3.2324419523004472E-3</v>
      </c>
      <c r="M42" s="82"/>
      <c r="N42" s="495"/>
      <c r="O42" s="480"/>
      <c r="P42" s="480"/>
    </row>
    <row r="43" spans="1:16" ht="12.75" thickBot="1">
      <c r="A43" s="48" t="s">
        <v>1271</v>
      </c>
      <c r="B43" s="2" t="s">
        <v>306</v>
      </c>
      <c r="C43" s="486">
        <v>40</v>
      </c>
      <c r="D43" s="486"/>
      <c r="E43" s="485">
        <v>33.22</v>
      </c>
      <c r="F43" s="190">
        <f t="shared" si="4"/>
        <v>1328.8</v>
      </c>
      <c r="H43" s="486">
        <f t="shared" si="1"/>
        <v>-9.8497228914580301E-5</v>
      </c>
      <c r="I43" s="486">
        <f t="shared" si="2"/>
        <v>40</v>
      </c>
      <c r="J43" s="480"/>
      <c r="K43" s="487">
        <f t="shared" si="3"/>
        <v>-3.3112582672120468E-3</v>
      </c>
      <c r="M43" s="82"/>
      <c r="N43" s="495"/>
      <c r="O43" s="480"/>
      <c r="P43" s="480"/>
    </row>
    <row r="44" spans="1:16" ht="12.75" thickBot="1">
      <c r="A44" s="48" t="s">
        <v>1271</v>
      </c>
      <c r="B44" s="2" t="s">
        <v>307</v>
      </c>
      <c r="C44" s="486">
        <v>52</v>
      </c>
      <c r="D44" s="486"/>
      <c r="E44" s="485">
        <v>35.199999999999996</v>
      </c>
      <c r="F44" s="190">
        <f t="shared" si="4"/>
        <v>1830.3999999999999</v>
      </c>
      <c r="H44" s="486">
        <f t="shared" si="1"/>
        <v>-1.3567830208101127E-4</v>
      </c>
      <c r="I44" s="486">
        <f t="shared" si="2"/>
        <v>52</v>
      </c>
      <c r="J44" s="480"/>
      <c r="K44" s="487">
        <f t="shared" si="3"/>
        <v>-3.1249999896813697E-3</v>
      </c>
      <c r="M44" s="82"/>
      <c r="N44" s="495"/>
      <c r="O44" s="480"/>
      <c r="P44" s="480"/>
    </row>
    <row r="45" spans="1:16" ht="12.75" thickBot="1">
      <c r="A45" s="48" t="s">
        <v>1271</v>
      </c>
      <c r="B45" s="2" t="s">
        <v>308</v>
      </c>
      <c r="C45" s="486">
        <v>205</v>
      </c>
      <c r="D45" s="486"/>
      <c r="E45" s="485">
        <v>34.090000000000003</v>
      </c>
      <c r="F45" s="190">
        <f t="shared" si="4"/>
        <v>6988.4500000000007</v>
      </c>
      <c r="H45" s="486">
        <f t="shared" si="1"/>
        <v>-5.1801848239622125E-4</v>
      </c>
      <c r="I45" s="486">
        <f t="shared" si="2"/>
        <v>205</v>
      </c>
      <c r="J45" s="480"/>
      <c r="K45" s="487">
        <f t="shared" si="3"/>
        <v>-3.2267527027510759E-3</v>
      </c>
      <c r="M45" s="82"/>
      <c r="N45" s="495"/>
      <c r="O45" s="480"/>
      <c r="P45" s="480"/>
    </row>
    <row r="46" spans="1:16" ht="12.75" thickBot="1">
      <c r="A46" s="48" t="s">
        <v>1271</v>
      </c>
      <c r="B46" s="2" t="s">
        <v>309</v>
      </c>
      <c r="C46" s="486">
        <v>190</v>
      </c>
      <c r="D46" s="486"/>
      <c r="E46" s="485">
        <v>36.07</v>
      </c>
      <c r="F46" s="190">
        <f t="shared" si="4"/>
        <v>6853.3</v>
      </c>
      <c r="H46" s="486">
        <f t="shared" si="1"/>
        <v>-5.0800049587619903E-4</v>
      </c>
      <c r="I46" s="486">
        <f t="shared" si="2"/>
        <v>190</v>
      </c>
      <c r="J46" s="480"/>
      <c r="K46" s="487">
        <f t="shared" si="3"/>
        <v>-3.0496257176818461E-3</v>
      </c>
      <c r="M46" s="82"/>
      <c r="N46" s="495"/>
      <c r="O46" s="480"/>
      <c r="P46" s="480"/>
    </row>
    <row r="47" spans="1:16" ht="12.75" thickBot="1">
      <c r="A47" s="48" t="s">
        <v>1271</v>
      </c>
      <c r="B47" s="135" t="s">
        <v>310</v>
      </c>
      <c r="C47" s="486">
        <v>13</v>
      </c>
      <c r="D47" s="486"/>
      <c r="E47" s="485">
        <v>32.26</v>
      </c>
      <c r="F47" s="190">
        <f t="shared" si="4"/>
        <v>419.38</v>
      </c>
      <c r="H47" s="486">
        <f t="shared" si="1"/>
        <v>-3.1086520064868069E-5</v>
      </c>
      <c r="I47" s="486">
        <f t="shared" si="2"/>
        <v>13</v>
      </c>
      <c r="J47" s="480"/>
      <c r="K47" s="487">
        <f t="shared" si="3"/>
        <v>-3.4097954010162495E-3</v>
      </c>
      <c r="M47" s="82"/>
      <c r="N47" s="495"/>
      <c r="O47" s="480"/>
      <c r="P47" s="480"/>
    </row>
    <row r="48" spans="1:16" ht="12.75" thickBot="1">
      <c r="A48" s="48" t="s">
        <v>1271</v>
      </c>
      <c r="B48" s="2" t="s">
        <v>311</v>
      </c>
      <c r="C48" s="486">
        <v>44</v>
      </c>
      <c r="D48" s="486"/>
      <c r="E48" s="485">
        <v>32.93</v>
      </c>
      <c r="F48" s="190">
        <f t="shared" si="4"/>
        <v>1448.92</v>
      </c>
      <c r="H48" s="486">
        <f t="shared" si="1"/>
        <v>-1.0740111748864667E-4</v>
      </c>
      <c r="I48" s="486">
        <f t="shared" si="2"/>
        <v>44</v>
      </c>
      <c r="J48" s="480"/>
      <c r="K48" s="487">
        <f t="shared" si="3"/>
        <v>-3.340419059726213E-3</v>
      </c>
      <c r="M48" s="82"/>
      <c r="N48" s="495"/>
      <c r="O48" s="480"/>
      <c r="P48" s="480"/>
    </row>
    <row r="49" spans="1:16" ht="12.75" thickBot="1">
      <c r="A49" s="48" t="s">
        <v>1271</v>
      </c>
      <c r="B49" s="2" t="s">
        <v>339</v>
      </c>
      <c r="C49" s="486">
        <v>10</v>
      </c>
      <c r="D49" s="486"/>
      <c r="E49" s="485">
        <v>34.330000000000005</v>
      </c>
      <c r="F49" s="190">
        <f t="shared" si="4"/>
        <v>343.30000000000007</v>
      </c>
      <c r="H49" s="486">
        <f t="shared" si="1"/>
        <v>-2.5447094134840025E-5</v>
      </c>
      <c r="I49" s="486">
        <f t="shared" si="2"/>
        <v>10</v>
      </c>
      <c r="J49" s="480"/>
      <c r="K49" s="487">
        <f t="shared" si="3"/>
        <v>-3.2041945714181234E-3</v>
      </c>
      <c r="M49" s="82"/>
      <c r="N49" s="495"/>
      <c r="O49" s="480"/>
      <c r="P49" s="480"/>
    </row>
    <row r="50" spans="1:16" ht="12.75" thickBot="1">
      <c r="A50" s="48" t="s">
        <v>1271</v>
      </c>
      <c r="B50" s="2" t="s">
        <v>312</v>
      </c>
      <c r="C50" s="486">
        <v>188</v>
      </c>
      <c r="D50" s="486"/>
      <c r="E50" s="485">
        <v>34.99</v>
      </c>
      <c r="F50" s="190">
        <f t="shared" si="4"/>
        <v>6578.1200000000008</v>
      </c>
      <c r="H50" s="486">
        <f t="shared" si="1"/>
        <v>-4.8760279309721487E-4</v>
      </c>
      <c r="I50" s="486">
        <f t="shared" si="2"/>
        <v>188</v>
      </c>
      <c r="J50" s="480"/>
      <c r="K50" s="487">
        <f t="shared" si="3"/>
        <v>-3.1437553482933462E-3</v>
      </c>
      <c r="M50" s="82"/>
      <c r="N50" s="495"/>
      <c r="O50" s="480"/>
      <c r="P50" s="480"/>
    </row>
    <row r="51" spans="1:16" ht="12.75" thickBot="1">
      <c r="A51" s="48" t="s">
        <v>1271</v>
      </c>
      <c r="B51" s="2" t="s">
        <v>688</v>
      </c>
      <c r="C51" s="486">
        <v>2</v>
      </c>
      <c r="D51" s="486"/>
      <c r="E51" s="485">
        <v>18.279999999999998</v>
      </c>
      <c r="F51" s="190">
        <f t="shared" si="4"/>
        <v>36.559999999999995</v>
      </c>
      <c r="H51" s="486">
        <f t="shared" si="1"/>
        <v>-2.7100080441880306E-6</v>
      </c>
      <c r="I51" s="486">
        <f t="shared" si="2"/>
        <v>2</v>
      </c>
      <c r="J51" s="480"/>
      <c r="K51" s="487">
        <f t="shared" si="3"/>
        <v>-6.0175054505899458E-3</v>
      </c>
      <c r="M51" s="82"/>
      <c r="N51" s="495"/>
      <c r="O51" s="480"/>
      <c r="P51" s="480"/>
    </row>
    <row r="52" spans="1:16" ht="12.75" thickBot="1">
      <c r="A52" s="48" t="s">
        <v>1271</v>
      </c>
      <c r="B52" s="2" t="s">
        <v>341</v>
      </c>
      <c r="C52" s="486">
        <v>14</v>
      </c>
      <c r="D52" s="486"/>
      <c r="E52" s="485">
        <v>22.32</v>
      </c>
      <c r="F52" s="190">
        <f t="shared" si="4"/>
        <v>312.48</v>
      </c>
      <c r="H52" s="486">
        <f t="shared" si="1"/>
        <v>-2.3162563283585231E-5</v>
      </c>
      <c r="I52" s="486">
        <f t="shared" si="2"/>
        <v>14</v>
      </c>
      <c r="J52" s="480"/>
      <c r="K52" s="487">
        <f t="shared" si="3"/>
        <v>-4.92831539591327E-3</v>
      </c>
      <c r="M52" s="82"/>
      <c r="N52" s="495"/>
      <c r="O52" s="480"/>
      <c r="P52" s="480"/>
    </row>
    <row r="53" spans="1:16" ht="12.75" thickBot="1">
      <c r="A53" s="48" t="s">
        <v>1271</v>
      </c>
      <c r="B53" s="2" t="s">
        <v>317</v>
      </c>
      <c r="C53" s="486">
        <v>6373</v>
      </c>
      <c r="D53" s="486"/>
      <c r="E53" s="485">
        <v>12.82</v>
      </c>
      <c r="F53" s="190">
        <f t="shared" si="4"/>
        <v>81701.86</v>
      </c>
      <c r="H53" s="486">
        <f t="shared" si="1"/>
        <v>-6.0561460017813E-3</v>
      </c>
      <c r="I53" s="486">
        <f t="shared" si="2"/>
        <v>6373</v>
      </c>
      <c r="J53" s="480"/>
      <c r="K53" s="487">
        <f t="shared" si="3"/>
        <v>-8.5803431853965825E-3</v>
      </c>
      <c r="M53" s="82"/>
      <c r="N53" s="495"/>
      <c r="O53" s="480"/>
      <c r="P53" s="480"/>
    </row>
    <row r="54" spans="1:16" ht="12.75" thickBot="1">
      <c r="A54" s="48" t="s">
        <v>1271</v>
      </c>
      <c r="B54" s="2" t="s">
        <v>318</v>
      </c>
      <c r="C54" s="486">
        <f>8954-1</f>
        <v>8953</v>
      </c>
      <c r="D54" s="486"/>
      <c r="E54" s="485">
        <v>15.08</v>
      </c>
      <c r="F54" s="190">
        <f t="shared" si="4"/>
        <v>135011.24</v>
      </c>
      <c r="H54" s="486">
        <f t="shared" si="1"/>
        <v>-1.0007700942445319E-2</v>
      </c>
      <c r="I54" s="486">
        <f t="shared" si="2"/>
        <v>8953</v>
      </c>
      <c r="J54" s="480"/>
      <c r="K54" s="487">
        <f t="shared" si="3"/>
        <v>-7.2944296841368833E-3</v>
      </c>
      <c r="M54" s="82"/>
      <c r="N54" s="495"/>
      <c r="O54" s="480"/>
      <c r="P54" s="480"/>
    </row>
    <row r="55" spans="1:16" ht="12.75" thickBot="1">
      <c r="A55" s="48" t="s">
        <v>1271</v>
      </c>
      <c r="B55" s="2" t="s">
        <v>319</v>
      </c>
      <c r="C55" s="486">
        <v>5659</v>
      </c>
      <c r="D55" s="486"/>
      <c r="E55" s="485">
        <v>17.38</v>
      </c>
      <c r="F55" s="190">
        <f t="shared" si="4"/>
        <v>98353.42</v>
      </c>
      <c r="H55" s="486">
        <f t="shared" si="1"/>
        <v>-7.2904419959902633E-3</v>
      </c>
      <c r="I55" s="486">
        <f t="shared" si="2"/>
        <v>5659</v>
      </c>
      <c r="J55" s="480"/>
      <c r="K55" s="487">
        <f t="shared" si="3"/>
        <v>-6.3291139031521407E-3</v>
      </c>
      <c r="M55" s="82"/>
      <c r="N55" s="495"/>
      <c r="O55" s="480"/>
      <c r="P55" s="480"/>
    </row>
    <row r="56" spans="1:16" ht="12.75" thickBot="1">
      <c r="A56" s="48" t="s">
        <v>1271</v>
      </c>
      <c r="B56" s="135" t="s">
        <v>320</v>
      </c>
      <c r="C56" s="486">
        <v>412</v>
      </c>
      <c r="D56" s="486"/>
      <c r="E56" s="485">
        <v>13.77</v>
      </c>
      <c r="F56" s="190">
        <f t="shared" si="4"/>
        <v>5673.24</v>
      </c>
      <c r="H56" s="486">
        <f t="shared" si="1"/>
        <v>-4.2052861150463093E-4</v>
      </c>
      <c r="I56" s="486">
        <f t="shared" si="2"/>
        <v>412</v>
      </c>
      <c r="J56" s="480"/>
      <c r="K56" s="487">
        <f t="shared" si="3"/>
        <v>-7.9883805110228176E-3</v>
      </c>
      <c r="M56" s="82"/>
      <c r="N56" s="495"/>
      <c r="O56" s="480"/>
      <c r="P56" s="480"/>
    </row>
    <row r="57" spans="1:16" ht="12.75" thickBot="1">
      <c r="A57" s="48" t="s">
        <v>1271</v>
      </c>
      <c r="B57" s="2" t="s">
        <v>321</v>
      </c>
      <c r="C57" s="486">
        <v>12971</v>
      </c>
      <c r="D57" s="486"/>
      <c r="E57" s="485">
        <v>18.21</v>
      </c>
      <c r="F57" s="190">
        <f t="shared" si="4"/>
        <v>236201.91</v>
      </c>
      <c r="H57" s="486">
        <f t="shared" si="1"/>
        <v>-1.7508453942904196E-2</v>
      </c>
      <c r="I57" s="486">
        <f t="shared" si="2"/>
        <v>12971</v>
      </c>
      <c r="J57" s="480"/>
      <c r="K57" s="487">
        <f t="shared" si="3"/>
        <v>-6.0406369926844696E-3</v>
      </c>
      <c r="M57" s="82"/>
      <c r="N57" s="495"/>
      <c r="O57" s="480"/>
      <c r="P57" s="480"/>
    </row>
    <row r="58" spans="1:16" ht="12.75" thickBot="1">
      <c r="A58" s="48" t="s">
        <v>1271</v>
      </c>
      <c r="B58" s="2" t="s">
        <v>322</v>
      </c>
      <c r="C58" s="486">
        <v>3281</v>
      </c>
      <c r="D58" s="486"/>
      <c r="E58" s="485">
        <v>10.86</v>
      </c>
      <c r="F58" s="190">
        <f t="shared" si="4"/>
        <v>35631.659999999996</v>
      </c>
      <c r="H58" s="486">
        <f t="shared" si="1"/>
        <v>-2.6411948913504621E-3</v>
      </c>
      <c r="I58" s="486">
        <f t="shared" si="2"/>
        <v>3281</v>
      </c>
      <c r="J58" s="480"/>
      <c r="K58" s="487">
        <f t="shared" si="3"/>
        <v>-1.0128913410385286E-2</v>
      </c>
      <c r="M58" s="82"/>
      <c r="N58" s="495"/>
      <c r="O58" s="480"/>
      <c r="P58" s="480"/>
    </row>
    <row r="59" spans="1:16" ht="12.75" thickBot="1">
      <c r="A59" s="48" t="s">
        <v>1271</v>
      </c>
      <c r="B59" s="2" t="s">
        <v>323</v>
      </c>
      <c r="C59" s="486">
        <v>5</v>
      </c>
      <c r="D59" s="486"/>
      <c r="E59" s="485">
        <v>11.13</v>
      </c>
      <c r="F59" s="190">
        <f t="shared" si="4"/>
        <v>55.650000000000006</v>
      </c>
      <c r="H59" s="486">
        <f t="shared" si="1"/>
        <v>-4.1250532729503274E-6</v>
      </c>
      <c r="I59" s="486">
        <f t="shared" si="2"/>
        <v>5</v>
      </c>
      <c r="J59" s="480"/>
      <c r="K59" s="487">
        <f t="shared" si="3"/>
        <v>-9.8831985298099001E-3</v>
      </c>
      <c r="M59" s="82"/>
      <c r="N59" s="495"/>
      <c r="O59" s="480"/>
      <c r="P59" s="480"/>
    </row>
    <row r="60" spans="1:16" ht="12.75" thickBot="1">
      <c r="A60" s="48" t="s">
        <v>1271</v>
      </c>
      <c r="B60" s="2" t="s">
        <v>328</v>
      </c>
      <c r="C60" s="486">
        <v>22</v>
      </c>
      <c r="D60" s="486"/>
      <c r="E60" s="485">
        <v>12.79</v>
      </c>
      <c r="F60" s="190">
        <f t="shared" si="4"/>
        <v>281.38</v>
      </c>
      <c r="H60" s="486">
        <f t="shared" si="1"/>
        <v>-2.0857277447309305E-5</v>
      </c>
      <c r="I60" s="486">
        <f t="shared" si="2"/>
        <v>22</v>
      </c>
      <c r="J60" s="480"/>
      <c r="K60" s="487">
        <f t="shared" si="3"/>
        <v>-8.6004690880988437E-3</v>
      </c>
      <c r="M60" s="82"/>
      <c r="N60" s="495"/>
      <c r="O60" s="480"/>
      <c r="P60" s="480"/>
    </row>
    <row r="61" spans="1:16" ht="12.75" thickBot="1">
      <c r="A61" s="48" t="s">
        <v>1271</v>
      </c>
      <c r="B61" s="135" t="s">
        <v>329</v>
      </c>
      <c r="C61" s="486">
        <v>2</v>
      </c>
      <c r="D61" s="486"/>
      <c r="E61" s="485">
        <v>15.07</v>
      </c>
      <c r="F61" s="190">
        <f t="shared" si="4"/>
        <v>30.14</v>
      </c>
      <c r="H61" s="486">
        <f t="shared" si="1"/>
        <v>-2.2341258876320368E-6</v>
      </c>
      <c r="I61" s="486">
        <f t="shared" si="2"/>
        <v>2</v>
      </c>
      <c r="J61" s="480"/>
      <c r="K61" s="487">
        <f t="shared" si="3"/>
        <v>-7.2992700488907891E-3</v>
      </c>
      <c r="M61" s="82"/>
      <c r="N61" s="495"/>
      <c r="O61" s="480"/>
      <c r="P61" s="480"/>
    </row>
    <row r="62" spans="1:16" ht="12.75" thickBot="1">
      <c r="A62" s="48" t="s">
        <v>1271</v>
      </c>
      <c r="B62" s="2" t="s">
        <v>330</v>
      </c>
      <c r="C62" s="486">
        <v>294</v>
      </c>
      <c r="D62" s="486"/>
      <c r="E62" s="485">
        <v>18.68</v>
      </c>
      <c r="F62" s="190">
        <f t="shared" si="4"/>
        <v>5491.92</v>
      </c>
      <c r="H62" s="486">
        <f t="shared" si="1"/>
        <v>-4.0708827620451678E-4</v>
      </c>
      <c r="I62" s="486">
        <f t="shared" si="2"/>
        <v>294</v>
      </c>
      <c r="J62" s="480"/>
      <c r="K62" s="487">
        <f t="shared" si="3"/>
        <v>-5.8886509441533298E-3</v>
      </c>
      <c r="M62" s="82"/>
      <c r="N62" s="495"/>
      <c r="O62" s="480"/>
      <c r="P62" s="480"/>
    </row>
    <row r="63" spans="1:16" ht="12.75" thickBot="1">
      <c r="A63" s="48" t="s">
        <v>1271</v>
      </c>
      <c r="B63" s="2" t="s">
        <v>331</v>
      </c>
      <c r="C63" s="486">
        <v>53</v>
      </c>
      <c r="D63" s="486"/>
      <c r="E63" s="485">
        <v>20.970000000000002</v>
      </c>
      <c r="F63" s="190">
        <f t="shared" si="4"/>
        <v>1111.4100000000001</v>
      </c>
      <c r="H63" s="486">
        <f t="shared" si="1"/>
        <v>-8.2383206794065094E-5</v>
      </c>
      <c r="I63" s="486">
        <f t="shared" si="2"/>
        <v>53</v>
      </c>
      <c r="J63" s="480"/>
      <c r="K63" s="487">
        <f t="shared" si="3"/>
        <v>-5.2455889192553262E-3</v>
      </c>
      <c r="M63" s="82"/>
      <c r="N63" s="495"/>
      <c r="O63" s="480"/>
      <c r="P63" s="480"/>
    </row>
    <row r="64" spans="1:16" ht="12.75" thickBot="1">
      <c r="A64" s="48" t="s">
        <v>1271</v>
      </c>
      <c r="B64" s="2" t="s">
        <v>332</v>
      </c>
      <c r="C64" s="486">
        <v>2</v>
      </c>
      <c r="D64" s="486"/>
      <c r="E64" s="485">
        <v>28.42</v>
      </c>
      <c r="F64" s="190">
        <f t="shared" si="4"/>
        <v>56.84</v>
      </c>
      <c r="H64" s="486">
        <f t="shared" si="1"/>
        <v>-4.2132619592901449E-6</v>
      </c>
      <c r="I64" s="486">
        <f t="shared" si="2"/>
        <v>2</v>
      </c>
      <c r="J64" s="480"/>
      <c r="K64" s="487">
        <f t="shared" si="3"/>
        <v>-3.8705137099501827E-3</v>
      </c>
      <c r="M64" s="82"/>
      <c r="N64" s="495"/>
      <c r="O64" s="480"/>
      <c r="P64" s="480"/>
    </row>
    <row r="65" spans="1:16" ht="12.75" thickBot="1">
      <c r="A65" s="48" t="s">
        <v>1271</v>
      </c>
      <c r="B65" s="2" t="s">
        <v>333</v>
      </c>
      <c r="C65" s="486">
        <v>363</v>
      </c>
      <c r="D65" s="486"/>
      <c r="E65" s="485">
        <v>39.6</v>
      </c>
      <c r="F65" s="190">
        <f t="shared" si="4"/>
        <v>14374.800000000001</v>
      </c>
      <c r="H65" s="486">
        <f t="shared" si="1"/>
        <v>-1.0655312810064037E-3</v>
      </c>
      <c r="I65" s="486">
        <f t="shared" si="2"/>
        <v>363</v>
      </c>
      <c r="J65" s="480"/>
      <c r="K65" s="487">
        <f t="shared" si="3"/>
        <v>-2.7777777686056613E-3</v>
      </c>
      <c r="M65" s="82"/>
      <c r="N65" s="495"/>
      <c r="O65" s="480"/>
      <c r="P65" s="480"/>
    </row>
    <row r="66" spans="1:16" ht="12.75" thickBot="1">
      <c r="A66" s="48" t="s">
        <v>1271</v>
      </c>
      <c r="B66" s="2" t="s">
        <v>334</v>
      </c>
      <c r="C66" s="486">
        <v>60</v>
      </c>
      <c r="D66" s="486"/>
      <c r="E66" s="485">
        <v>42.78</v>
      </c>
      <c r="F66" s="190">
        <f t="shared" si="4"/>
        <v>2566.8000000000002</v>
      </c>
      <c r="H66" s="486">
        <f t="shared" si="1"/>
        <v>-1.9026391268659297E-4</v>
      </c>
      <c r="I66" s="486">
        <f t="shared" si="2"/>
        <v>60</v>
      </c>
      <c r="J66" s="480"/>
      <c r="K66" s="487">
        <f t="shared" si="3"/>
        <v>-2.5712949891721409E-3</v>
      </c>
      <c r="M66" s="82"/>
      <c r="N66" s="495"/>
      <c r="O66" s="480"/>
      <c r="P66" s="480"/>
    </row>
    <row r="67" spans="1:16" ht="12.75" thickBot="1">
      <c r="A67" s="48" t="s">
        <v>1271</v>
      </c>
      <c r="B67" s="2" t="s">
        <v>618</v>
      </c>
      <c r="C67" s="486">
        <v>0</v>
      </c>
      <c r="D67" s="486"/>
      <c r="E67" s="485">
        <v>14.06</v>
      </c>
      <c r="F67" s="190">
        <f t="shared" ref="F67:F72" si="5">C67*E67</f>
        <v>0</v>
      </c>
      <c r="H67" s="486">
        <f t="shared" si="1"/>
        <v>0</v>
      </c>
      <c r="I67" s="486">
        <f t="shared" si="2"/>
        <v>0</v>
      </c>
      <c r="J67" s="480"/>
      <c r="K67" s="487">
        <f t="shared" si="3"/>
        <v>-7.8236130609377098E-3</v>
      </c>
      <c r="M67" s="82"/>
      <c r="N67" s="495"/>
      <c r="O67" s="480"/>
      <c r="P67" s="480"/>
    </row>
    <row r="68" spans="1:16" ht="12.75" thickBot="1">
      <c r="A68" s="48" t="s">
        <v>1271</v>
      </c>
      <c r="B68" s="2" t="s">
        <v>620</v>
      </c>
      <c r="C68" s="486">
        <v>18</v>
      </c>
      <c r="D68" s="486"/>
      <c r="E68" s="485">
        <v>23.83</v>
      </c>
      <c r="F68" s="190">
        <f t="shared" si="5"/>
        <v>428.93999999999994</v>
      </c>
      <c r="H68" s="486">
        <f t="shared" ref="H68:H72" si="6">F68/$M$8*$M$9</f>
        <v>-3.1795154553446772E-5</v>
      </c>
      <c r="I68" s="486">
        <f t="shared" ref="I68:I72" si="7">ROUND((F68+H68)/E68,0)</f>
        <v>18</v>
      </c>
      <c r="J68" s="480"/>
      <c r="K68" s="487">
        <f t="shared" ref="K68:K72" si="8">$M$9/E68</f>
        <v>-4.6160301987739913E-3</v>
      </c>
      <c r="M68" s="82"/>
      <c r="N68" s="495"/>
      <c r="O68" s="480"/>
      <c r="P68" s="480"/>
    </row>
    <row r="69" spans="1:16" ht="12.75" thickBot="1">
      <c r="A69" s="48" t="s">
        <v>1271</v>
      </c>
      <c r="B69" s="2" t="s">
        <v>360</v>
      </c>
      <c r="C69" s="486">
        <v>4</v>
      </c>
      <c r="D69" s="486"/>
      <c r="E69" s="485">
        <v>20.46</v>
      </c>
      <c r="F69" s="190">
        <f t="shared" si="5"/>
        <v>81.84</v>
      </c>
      <c r="H69" s="486">
        <f t="shared" si="6"/>
        <v>-6.0663856218913695E-6</v>
      </c>
      <c r="I69" s="486">
        <f t="shared" si="7"/>
        <v>4</v>
      </c>
      <c r="J69" s="480"/>
      <c r="K69" s="487">
        <f t="shared" si="8"/>
        <v>-5.3763440682690223E-3</v>
      </c>
      <c r="M69" s="82"/>
      <c r="N69" s="495"/>
      <c r="O69" s="480"/>
      <c r="P69" s="480"/>
    </row>
    <row r="70" spans="1:16" ht="12.75" thickBot="1">
      <c r="A70" s="48" t="s">
        <v>1271</v>
      </c>
      <c r="B70" s="2" t="s">
        <v>335</v>
      </c>
      <c r="C70" s="486">
        <v>39</v>
      </c>
      <c r="D70" s="486"/>
      <c r="E70" s="485">
        <v>30.21</v>
      </c>
      <c r="F70" s="190">
        <f t="shared" si="5"/>
        <v>1178.19</v>
      </c>
      <c r="H70" s="486">
        <f t="shared" si="6"/>
        <v>-8.7333270721605478E-5</v>
      </c>
      <c r="I70" s="486">
        <f t="shared" si="7"/>
        <v>39</v>
      </c>
      <c r="J70" s="480"/>
      <c r="K70" s="487">
        <f t="shared" si="8"/>
        <v>-3.6411784057194369E-3</v>
      </c>
      <c r="M70" s="82"/>
      <c r="N70" s="495"/>
      <c r="O70" s="480"/>
      <c r="P70" s="480"/>
    </row>
    <row r="71" spans="1:16" ht="12.75" thickBot="1">
      <c r="A71" s="48" t="s">
        <v>1271</v>
      </c>
      <c r="B71" s="135" t="s">
        <v>336</v>
      </c>
      <c r="C71" s="486">
        <v>2</v>
      </c>
      <c r="D71" s="486"/>
      <c r="E71" s="485">
        <v>42.56</v>
      </c>
      <c r="F71" s="190">
        <f t="shared" si="5"/>
        <v>85.12</v>
      </c>
      <c r="H71" s="486">
        <f t="shared" si="6"/>
        <v>-6.3095154464246513E-6</v>
      </c>
      <c r="I71" s="486">
        <f t="shared" si="7"/>
        <v>2</v>
      </c>
      <c r="J71" s="480"/>
      <c r="K71" s="487">
        <f t="shared" si="8"/>
        <v>-2.5845864576312075E-3</v>
      </c>
      <c r="M71" s="82"/>
      <c r="N71" s="495"/>
      <c r="O71" s="480"/>
      <c r="P71" s="480"/>
    </row>
    <row r="72" spans="1:16" ht="12.75" thickBot="1">
      <c r="A72" s="48" t="s">
        <v>1271</v>
      </c>
      <c r="B72" s="2" t="s">
        <v>337</v>
      </c>
      <c r="C72" s="486">
        <v>13</v>
      </c>
      <c r="D72" s="486"/>
      <c r="E72" s="485">
        <v>52.31</v>
      </c>
      <c r="F72" s="190">
        <f t="shared" si="5"/>
        <v>680.03</v>
      </c>
      <c r="H72" s="486">
        <f t="shared" si="6"/>
        <v>-5.0407187371148437E-5</v>
      </c>
      <c r="I72" s="486">
        <f t="shared" si="7"/>
        <v>13</v>
      </c>
      <c r="J72" s="480"/>
      <c r="K72" s="487">
        <f t="shared" si="8"/>
        <v>-2.1028483968033684E-3</v>
      </c>
      <c r="M72" s="82"/>
      <c r="N72" s="495"/>
      <c r="O72" s="480"/>
      <c r="P72" s="480"/>
    </row>
    <row r="73" spans="1:16" ht="12.75" thickBot="1">
      <c r="A73" s="48" t="s">
        <v>1271</v>
      </c>
      <c r="B73" s="2"/>
      <c r="C73" s="486"/>
      <c r="D73" s="486"/>
      <c r="E73" s="485"/>
      <c r="F73" s="480"/>
      <c r="H73" s="486"/>
      <c r="I73" s="486"/>
      <c r="J73" s="486"/>
      <c r="K73" s="480"/>
      <c r="M73" s="82"/>
      <c r="N73" s="495"/>
      <c r="O73" s="480"/>
      <c r="P73" s="480"/>
    </row>
    <row r="74" spans="1:16" ht="12.75" thickBot="1">
      <c r="A74" s="48" t="s">
        <v>1271</v>
      </c>
      <c r="B74" s="2"/>
      <c r="C74" s="486"/>
      <c r="D74" s="486"/>
      <c r="E74" s="485"/>
      <c r="F74" s="480"/>
      <c r="H74" s="486"/>
      <c r="I74" s="486"/>
      <c r="J74" s="486"/>
      <c r="K74" s="480"/>
      <c r="M74" s="49"/>
      <c r="N74" s="480"/>
      <c r="O74" s="480"/>
      <c r="P74" s="480"/>
    </row>
    <row r="75" spans="1:16" ht="12.75" thickBot="1">
      <c r="A75" s="51"/>
      <c r="B75" s="50" t="s">
        <v>7</v>
      </c>
      <c r="C75" s="496"/>
      <c r="D75" s="496"/>
      <c r="E75" s="496"/>
      <c r="F75" s="479"/>
      <c r="H75" s="496"/>
      <c r="I75" s="496"/>
      <c r="J75" s="496"/>
      <c r="K75" s="479"/>
      <c r="M75" s="53"/>
      <c r="N75" s="479"/>
      <c r="O75" s="480"/>
      <c r="P75" s="480"/>
    </row>
    <row r="76" spans="1:16" ht="12.75" thickBot="1">
      <c r="A76" s="81" t="s">
        <v>1272</v>
      </c>
      <c r="B76" s="2" t="s">
        <v>342</v>
      </c>
      <c r="C76" s="497">
        <v>79</v>
      </c>
      <c r="D76" s="497"/>
      <c r="E76" s="495">
        <v>8.14</v>
      </c>
      <c r="F76" s="190">
        <f t="shared" ref="F76:F107" si="9">C76*E76</f>
        <v>643.06000000000006</v>
      </c>
      <c r="H76" s="486">
        <f>F76/$M$81*$M$82</f>
        <v>1.0445652668670748E-4</v>
      </c>
      <c r="I76" s="486">
        <f>ROUND((F76+H76)/E76,0)</f>
        <v>79</v>
      </c>
      <c r="J76" s="480"/>
      <c r="K76" s="487">
        <f>$M$82/E76</f>
        <v>2.9484029511488624E-2</v>
      </c>
      <c r="M76" s="488">
        <f>'12MonLights'!$K$149</f>
        <v>1543365</v>
      </c>
      <c r="N76" s="480" t="s">
        <v>1304</v>
      </c>
      <c r="O76" s="480"/>
      <c r="P76" s="480" t="s">
        <v>1312</v>
      </c>
    </row>
    <row r="77" spans="1:16" ht="12.75" thickBot="1">
      <c r="A77" s="81" t="s">
        <v>1272</v>
      </c>
      <c r="B77" s="2" t="s">
        <v>213</v>
      </c>
      <c r="C77" s="497">
        <v>3863</v>
      </c>
      <c r="D77" s="497"/>
      <c r="E77" s="495">
        <v>10.959999999999999</v>
      </c>
      <c r="F77" s="190">
        <f t="shared" si="9"/>
        <v>42338.479999999996</v>
      </c>
      <c r="H77" s="486">
        <f t="shared" ref="H77:H140" si="10">F77/$M$81*$M$82</f>
        <v>6.8773218144413117E-3</v>
      </c>
      <c r="I77" s="486">
        <f t="shared" ref="I77:I140" si="11">ROUND((F77+H77)/E77,0)</f>
        <v>3863</v>
      </c>
      <c r="J77" s="480"/>
      <c r="K77" s="487">
        <f t="shared" ref="K77:K140" si="12">$M$82/E77</f>
        <v>2.1897810239372029E-2</v>
      </c>
      <c r="M77" s="488">
        <f>-M89</f>
        <v>-38002.47</v>
      </c>
      <c r="N77" s="489" t="s">
        <v>1306</v>
      </c>
      <c r="O77" s="480"/>
      <c r="P77" s="480"/>
    </row>
    <row r="78" spans="1:16" ht="12.75" thickBot="1">
      <c r="A78" s="81" t="s">
        <v>1272</v>
      </c>
      <c r="B78" s="2" t="s">
        <v>214</v>
      </c>
      <c r="C78" s="497">
        <v>3839</v>
      </c>
      <c r="D78" s="497"/>
      <c r="E78" s="495">
        <v>13.510000000000002</v>
      </c>
      <c r="F78" s="190">
        <f t="shared" si="9"/>
        <v>51864.890000000007</v>
      </c>
      <c r="H78" s="486">
        <f t="shared" si="10"/>
        <v>8.4247601567321063E-3</v>
      </c>
      <c r="I78" s="486">
        <f t="shared" si="11"/>
        <v>3839</v>
      </c>
      <c r="J78" s="480"/>
      <c r="K78" s="487">
        <f t="shared" si="12"/>
        <v>1.7764618817432819E-2</v>
      </c>
      <c r="M78" s="490">
        <f>M76+M77</f>
        <v>1505362.53</v>
      </c>
      <c r="N78" s="491" t="s">
        <v>1307</v>
      </c>
      <c r="O78" s="480"/>
      <c r="P78" s="480"/>
    </row>
    <row r="79" spans="1:16" ht="12.75" thickBot="1">
      <c r="A79" s="81" t="s">
        <v>1272</v>
      </c>
      <c r="B79" s="2" t="s">
        <v>215</v>
      </c>
      <c r="C79" s="497">
        <v>98</v>
      </c>
      <c r="D79" s="497"/>
      <c r="E79" s="495">
        <v>12.450000000000001</v>
      </c>
      <c r="F79" s="190">
        <f t="shared" si="9"/>
        <v>1220.1000000000001</v>
      </c>
      <c r="H79" s="486">
        <f t="shared" si="10"/>
        <v>1.9818898424789566E-4</v>
      </c>
      <c r="I79" s="486">
        <f t="shared" si="11"/>
        <v>98</v>
      </c>
      <c r="J79" s="480"/>
      <c r="K79" s="487">
        <f t="shared" si="12"/>
        <v>1.9277108451688143E-2</v>
      </c>
      <c r="M79" s="490">
        <f>'1051'!$K$52</f>
        <v>27863.420000000006</v>
      </c>
      <c r="N79" s="492" t="s">
        <v>1308</v>
      </c>
      <c r="O79" s="480"/>
      <c r="P79" s="480"/>
    </row>
    <row r="80" spans="1:16" ht="12.75" thickBot="1">
      <c r="A80" s="81" t="s">
        <v>1272</v>
      </c>
      <c r="B80" s="2" t="s">
        <v>216</v>
      </c>
      <c r="C80" s="497">
        <v>754</v>
      </c>
      <c r="D80" s="497"/>
      <c r="E80" s="495">
        <v>15.54</v>
      </c>
      <c r="F80" s="190">
        <f t="shared" si="9"/>
        <v>11717.16</v>
      </c>
      <c r="H80" s="486">
        <f t="shared" si="10"/>
        <v>1.9032964828047481E-3</v>
      </c>
      <c r="I80" s="486">
        <f t="shared" si="11"/>
        <v>754</v>
      </c>
      <c r="J80" s="480"/>
      <c r="K80" s="487">
        <f t="shared" si="12"/>
        <v>1.5444015458398805E-2</v>
      </c>
      <c r="M80" s="490">
        <f>M78-M79</f>
        <v>1477499.11</v>
      </c>
      <c r="N80" s="492" t="s">
        <v>1309</v>
      </c>
      <c r="O80" s="480"/>
      <c r="P80" s="480"/>
    </row>
    <row r="81" spans="1:16" ht="12.75" thickBot="1">
      <c r="A81" s="81" t="s">
        <v>1272</v>
      </c>
      <c r="B81" s="2" t="s">
        <v>217</v>
      </c>
      <c r="C81" s="497">
        <v>1413</v>
      </c>
      <c r="D81" s="497"/>
      <c r="E81" s="495">
        <v>14.24</v>
      </c>
      <c r="F81" s="190">
        <f t="shared" si="9"/>
        <v>20121.12</v>
      </c>
      <c r="H81" s="486">
        <f t="shared" si="10"/>
        <v>3.2684077819277258E-3</v>
      </c>
      <c r="I81" s="486">
        <f t="shared" si="11"/>
        <v>1413</v>
      </c>
      <c r="J81" s="480"/>
      <c r="K81" s="487">
        <f t="shared" si="12"/>
        <v>1.685393259996611E-2</v>
      </c>
      <c r="M81" s="490">
        <f>SUM(F76:F146)</f>
        <v>1477498.8699999999</v>
      </c>
      <c r="N81" s="491" t="s">
        <v>1323</v>
      </c>
      <c r="O81" s="480"/>
      <c r="P81" s="480"/>
    </row>
    <row r="82" spans="1:16" ht="12.75" thickBot="1">
      <c r="A82" s="81" t="s">
        <v>1272</v>
      </c>
      <c r="B82" s="2" t="s">
        <v>344</v>
      </c>
      <c r="C82" s="497">
        <v>45</v>
      </c>
      <c r="D82" s="497"/>
      <c r="E82" s="495">
        <v>27.69</v>
      </c>
      <c r="F82" s="190">
        <f t="shared" si="9"/>
        <v>1246.05</v>
      </c>
      <c r="H82" s="486">
        <f t="shared" si="10"/>
        <v>2.024042159020493E-4</v>
      </c>
      <c r="I82" s="486">
        <f t="shared" si="11"/>
        <v>45</v>
      </c>
      <c r="J82" s="480"/>
      <c r="K82" s="487">
        <f t="shared" si="12"/>
        <v>8.6673889571512244E-3</v>
      </c>
      <c r="M82" s="490">
        <f>M80-M81</f>
        <v>0.24000000022351742</v>
      </c>
      <c r="N82" s="492"/>
      <c r="O82" s="480"/>
      <c r="P82" s="480"/>
    </row>
    <row r="83" spans="1:16" ht="12.75" thickBot="1">
      <c r="A83" s="81" t="s">
        <v>1272</v>
      </c>
      <c r="B83" s="135" t="s">
        <v>218</v>
      </c>
      <c r="C83" s="497">
        <v>356</v>
      </c>
      <c r="D83" s="497"/>
      <c r="E83" s="495">
        <v>28.89</v>
      </c>
      <c r="F83" s="190">
        <f t="shared" si="9"/>
        <v>10284.84</v>
      </c>
      <c r="H83" s="486">
        <f t="shared" si="10"/>
        <v>1.6706351878961782E-3</v>
      </c>
      <c r="I83" s="486">
        <f t="shared" si="11"/>
        <v>356</v>
      </c>
      <c r="J83" s="480"/>
      <c r="K83" s="487">
        <f t="shared" si="12"/>
        <v>8.3073728010909457E-3</v>
      </c>
      <c r="M83" s="490"/>
      <c r="N83" s="492"/>
      <c r="O83" s="480"/>
      <c r="P83" s="480"/>
    </row>
    <row r="84" spans="1:16" ht="12.75" thickBot="1">
      <c r="A84" s="81" t="s">
        <v>1272</v>
      </c>
      <c r="B84" s="2" t="s">
        <v>223</v>
      </c>
      <c r="C84" s="497">
        <v>4021</v>
      </c>
      <c r="D84" s="497"/>
      <c r="E84" s="495">
        <v>9.57</v>
      </c>
      <c r="F84" s="190">
        <f t="shared" si="9"/>
        <v>38480.97</v>
      </c>
      <c r="H84" s="486">
        <f t="shared" si="10"/>
        <v>6.2507207254927834E-3</v>
      </c>
      <c r="I84" s="486">
        <f t="shared" si="11"/>
        <v>4021</v>
      </c>
      <c r="J84" s="480"/>
      <c r="K84" s="487">
        <f t="shared" si="12"/>
        <v>2.5078369929312165E-2</v>
      </c>
      <c r="M84" s="490"/>
      <c r="N84" s="492"/>
      <c r="O84" s="480"/>
      <c r="P84" s="480"/>
    </row>
    <row r="85" spans="1:16" ht="12.75" thickBot="1">
      <c r="A85" s="81" t="s">
        <v>1272</v>
      </c>
      <c r="B85" s="2" t="s">
        <v>231</v>
      </c>
      <c r="C85" s="497">
        <v>1931</v>
      </c>
      <c r="D85" s="497"/>
      <c r="E85" s="495">
        <v>27.34</v>
      </c>
      <c r="F85" s="190">
        <f t="shared" si="9"/>
        <v>52793.54</v>
      </c>
      <c r="H85" s="486">
        <f t="shared" si="10"/>
        <v>8.5756069727486676E-3</v>
      </c>
      <c r="I85" s="486">
        <f t="shared" si="11"/>
        <v>1931</v>
      </c>
      <c r="J85" s="480"/>
      <c r="K85" s="487">
        <f t="shared" si="12"/>
        <v>8.7783467528718875E-3</v>
      </c>
      <c r="M85" s="493"/>
      <c r="N85" s="492"/>
      <c r="O85" s="480"/>
      <c r="P85" s="480"/>
    </row>
    <row r="86" spans="1:16" ht="12.75" thickBot="1">
      <c r="A86" s="81" t="s">
        <v>1272</v>
      </c>
      <c r="B86" s="2" t="s">
        <v>232</v>
      </c>
      <c r="C86" s="497">
        <v>2230</v>
      </c>
      <c r="D86" s="497"/>
      <c r="E86" s="495">
        <v>31.4</v>
      </c>
      <c r="F86" s="190">
        <f t="shared" si="9"/>
        <v>70022</v>
      </c>
      <c r="H86" s="486">
        <f t="shared" si="10"/>
        <v>1.1374140689292803E-2</v>
      </c>
      <c r="I86" s="486">
        <f t="shared" si="11"/>
        <v>2230</v>
      </c>
      <c r="J86" s="480"/>
      <c r="K86" s="487">
        <f t="shared" si="12"/>
        <v>7.6433121090292173E-3</v>
      </c>
      <c r="M86" s="492"/>
      <c r="N86" s="494"/>
      <c r="O86" s="480"/>
      <c r="P86" s="480"/>
    </row>
    <row r="87" spans="1:16" ht="12.75" thickBot="1">
      <c r="A87" s="81" t="s">
        <v>1272</v>
      </c>
      <c r="B87" s="2" t="s">
        <v>234</v>
      </c>
      <c r="C87" s="497">
        <v>16906</v>
      </c>
      <c r="D87" s="497"/>
      <c r="E87" s="495">
        <v>17.189999999999998</v>
      </c>
      <c r="F87" s="190">
        <f t="shared" si="9"/>
        <v>290614.13999999996</v>
      </c>
      <c r="H87" s="486">
        <f t="shared" si="10"/>
        <v>4.720639391416747E-2</v>
      </c>
      <c r="I87" s="486">
        <f t="shared" si="11"/>
        <v>16906</v>
      </c>
      <c r="J87" s="480"/>
      <c r="K87" s="487">
        <f t="shared" si="12"/>
        <v>1.3961605597644994E-2</v>
      </c>
      <c r="M87" s="492">
        <f>'12MonResults'!$AD$70</f>
        <v>17334.02</v>
      </c>
      <c r="N87" s="494" t="s">
        <v>17</v>
      </c>
      <c r="O87" s="480" t="s">
        <v>1311</v>
      </c>
      <c r="P87" s="480"/>
    </row>
    <row r="88" spans="1:16" ht="12.75" thickBot="1">
      <c r="A88" s="81" t="s">
        <v>1272</v>
      </c>
      <c r="B88" s="2" t="s">
        <v>353</v>
      </c>
      <c r="C88" s="497">
        <v>522</v>
      </c>
      <c r="D88" s="497"/>
      <c r="E88" s="495">
        <v>24.89</v>
      </c>
      <c r="F88" s="190">
        <f t="shared" si="9"/>
        <v>12992.58</v>
      </c>
      <c r="H88" s="486">
        <f t="shared" si="10"/>
        <v>2.1104714637812673E-3</v>
      </c>
      <c r="I88" s="486">
        <f t="shared" si="11"/>
        <v>522</v>
      </c>
      <c r="J88" s="480"/>
      <c r="K88" s="487">
        <f t="shared" si="12"/>
        <v>9.6424266863606826E-3</v>
      </c>
      <c r="M88" s="492">
        <f>'12MonResults'!$AD$72</f>
        <v>20668.45</v>
      </c>
      <c r="N88" s="494" t="s">
        <v>18</v>
      </c>
      <c r="O88" s="480"/>
      <c r="P88" s="480"/>
    </row>
    <row r="89" spans="1:16" ht="12.75" thickBot="1">
      <c r="A89" s="81" t="s">
        <v>1272</v>
      </c>
      <c r="B89" s="135" t="s">
        <v>235</v>
      </c>
      <c r="C89" s="497">
        <v>1334</v>
      </c>
      <c r="D89" s="497"/>
      <c r="E89" s="495">
        <v>14.17</v>
      </c>
      <c r="F89" s="190">
        <f t="shared" si="9"/>
        <v>18902.78</v>
      </c>
      <c r="H89" s="486">
        <f t="shared" si="10"/>
        <v>3.0705046862236187E-3</v>
      </c>
      <c r="I89" s="486">
        <f t="shared" si="11"/>
        <v>1334</v>
      </c>
      <c r="J89" s="480"/>
      <c r="K89" s="487">
        <f t="shared" si="12"/>
        <v>1.6937191264891842E-2</v>
      </c>
      <c r="M89" s="492">
        <f>M87+M88</f>
        <v>38002.47</v>
      </c>
      <c r="N89" s="494"/>
      <c r="O89" s="480"/>
      <c r="P89" s="480"/>
    </row>
    <row r="90" spans="1:16" ht="12.75" thickBot="1">
      <c r="A90" s="81" t="s">
        <v>1272</v>
      </c>
      <c r="B90" s="2" t="s">
        <v>236</v>
      </c>
      <c r="C90" s="497">
        <v>2275</v>
      </c>
      <c r="D90" s="497"/>
      <c r="E90" s="495">
        <v>22.15</v>
      </c>
      <c r="F90" s="190">
        <f t="shared" si="9"/>
        <v>50391.25</v>
      </c>
      <c r="H90" s="486">
        <f t="shared" si="10"/>
        <v>8.1853869785114101E-3</v>
      </c>
      <c r="I90" s="486">
        <f t="shared" si="11"/>
        <v>2275</v>
      </c>
      <c r="J90" s="480"/>
      <c r="K90" s="487">
        <f t="shared" si="12"/>
        <v>1.0835214457043676E-2</v>
      </c>
      <c r="M90" s="82"/>
      <c r="N90" s="495"/>
      <c r="O90" s="480"/>
      <c r="P90" s="480"/>
    </row>
    <row r="91" spans="1:16" ht="12.75" thickBot="1">
      <c r="A91" s="81" t="s">
        <v>1272</v>
      </c>
      <c r="B91" s="2" t="s">
        <v>354</v>
      </c>
      <c r="C91" s="497">
        <v>17</v>
      </c>
      <c r="D91" s="497"/>
      <c r="E91" s="495">
        <v>72.550000000000011</v>
      </c>
      <c r="F91" s="190">
        <f t="shared" si="9"/>
        <v>1233.3500000000001</v>
      </c>
      <c r="H91" s="486">
        <f t="shared" si="10"/>
        <v>2.0034127015993943E-4</v>
      </c>
      <c r="I91" s="486">
        <f t="shared" si="11"/>
        <v>17</v>
      </c>
      <c r="J91" s="480"/>
      <c r="K91" s="487">
        <f t="shared" si="12"/>
        <v>3.308063407629461E-3</v>
      </c>
      <c r="M91" s="82"/>
      <c r="N91" s="495"/>
      <c r="O91" s="480"/>
      <c r="P91" s="480"/>
    </row>
    <row r="92" spans="1:16" ht="12.75" thickBot="1">
      <c r="A92" s="81" t="s">
        <v>1272</v>
      </c>
      <c r="B92" s="2" t="s">
        <v>355</v>
      </c>
      <c r="C92" s="497">
        <v>11</v>
      </c>
      <c r="D92" s="497"/>
      <c r="E92" s="495">
        <v>41.43</v>
      </c>
      <c r="F92" s="190">
        <f t="shared" si="9"/>
        <v>455.73</v>
      </c>
      <c r="H92" s="486">
        <f t="shared" si="10"/>
        <v>7.4027264807223568E-5</v>
      </c>
      <c r="I92" s="486">
        <f t="shared" si="11"/>
        <v>11</v>
      </c>
      <c r="J92" s="480"/>
      <c r="K92" s="487">
        <f t="shared" si="12"/>
        <v>5.7929036983711659E-3</v>
      </c>
      <c r="M92" s="82"/>
      <c r="N92" s="495"/>
      <c r="O92" s="480"/>
      <c r="P92" s="480"/>
    </row>
    <row r="93" spans="1:16" ht="12.75" thickBot="1">
      <c r="A93" s="81" t="s">
        <v>1272</v>
      </c>
      <c r="B93" s="2" t="s">
        <v>359</v>
      </c>
      <c r="C93" s="497">
        <v>45</v>
      </c>
      <c r="D93" s="497"/>
      <c r="E93" s="495">
        <v>19.38</v>
      </c>
      <c r="F93" s="190">
        <f t="shared" si="9"/>
        <v>872.09999999999991</v>
      </c>
      <c r="H93" s="486">
        <f t="shared" si="10"/>
        <v>1.4166102218063256E-4</v>
      </c>
      <c r="I93" s="486">
        <f t="shared" si="11"/>
        <v>45</v>
      </c>
      <c r="J93" s="480"/>
      <c r="K93" s="487">
        <f t="shared" si="12"/>
        <v>1.2383900940325977E-2</v>
      </c>
      <c r="M93" s="82"/>
      <c r="N93" s="495"/>
      <c r="O93" s="480"/>
      <c r="P93" s="480"/>
    </row>
    <row r="94" spans="1:16" ht="12.75" thickBot="1">
      <c r="A94" s="81" t="s">
        <v>1272</v>
      </c>
      <c r="B94" s="2" t="s">
        <v>356</v>
      </c>
      <c r="C94" s="497">
        <v>243</v>
      </c>
      <c r="D94" s="497"/>
      <c r="E94" s="495">
        <v>20.349999999999998</v>
      </c>
      <c r="F94" s="190">
        <f t="shared" si="9"/>
        <v>4945.0499999999993</v>
      </c>
      <c r="H94" s="486">
        <f t="shared" si="10"/>
        <v>8.032574678756301E-4</v>
      </c>
      <c r="I94" s="486">
        <f t="shared" si="11"/>
        <v>243</v>
      </c>
      <c r="J94" s="480"/>
      <c r="K94" s="487">
        <f t="shared" si="12"/>
        <v>1.1793611804595452E-2</v>
      </c>
      <c r="M94" s="82"/>
      <c r="N94" s="495"/>
      <c r="O94" s="480"/>
      <c r="P94" s="480"/>
    </row>
    <row r="95" spans="1:16" ht="12.75" thickBot="1">
      <c r="A95" s="81" t="s">
        <v>1272</v>
      </c>
      <c r="B95" s="135" t="s">
        <v>357</v>
      </c>
      <c r="C95" s="497">
        <v>104</v>
      </c>
      <c r="D95" s="497"/>
      <c r="E95" s="495">
        <v>19.53</v>
      </c>
      <c r="F95" s="190">
        <f t="shared" si="9"/>
        <v>2031.1200000000001</v>
      </c>
      <c r="H95" s="486">
        <f t="shared" si="10"/>
        <v>3.2992837446568795E-4</v>
      </c>
      <c r="I95" s="486">
        <f t="shared" si="11"/>
        <v>104</v>
      </c>
      <c r="J95" s="480"/>
      <c r="K95" s="487">
        <f t="shared" si="12"/>
        <v>1.2288786493779694E-2</v>
      </c>
      <c r="M95" s="82"/>
      <c r="N95" s="495"/>
      <c r="O95" s="480"/>
      <c r="P95" s="480"/>
    </row>
    <row r="96" spans="1:16" ht="12.75" thickBot="1">
      <c r="A96" s="81" t="s">
        <v>1272</v>
      </c>
      <c r="B96" s="2" t="s">
        <v>358</v>
      </c>
      <c r="C96" s="497">
        <v>81</v>
      </c>
      <c r="D96" s="497"/>
      <c r="E96" s="495">
        <v>20.819999999999997</v>
      </c>
      <c r="F96" s="190">
        <f t="shared" si="9"/>
        <v>1686.4199999999998</v>
      </c>
      <c r="H96" s="486">
        <f t="shared" si="10"/>
        <v>2.7393645341802813E-4</v>
      </c>
      <c r="I96" s="486">
        <f t="shared" si="11"/>
        <v>81</v>
      </c>
      <c r="J96" s="480"/>
      <c r="K96" s="487">
        <f t="shared" si="12"/>
        <v>1.1527377532349541E-2</v>
      </c>
      <c r="M96" s="82"/>
      <c r="N96" s="495"/>
      <c r="O96" s="480"/>
      <c r="P96" s="480"/>
    </row>
    <row r="97" spans="1:16" ht="12.75" thickBot="1">
      <c r="A97" s="81" t="s">
        <v>1272</v>
      </c>
      <c r="B97" s="2" t="s">
        <v>250</v>
      </c>
      <c r="C97" s="497">
        <v>546</v>
      </c>
      <c r="D97" s="497"/>
      <c r="E97" s="495">
        <v>19.2</v>
      </c>
      <c r="F97" s="190">
        <f t="shared" si="9"/>
        <v>10483.199999999999</v>
      </c>
      <c r="H97" s="486">
        <f t="shared" si="10"/>
        <v>1.702856126274518E-3</v>
      </c>
      <c r="I97" s="486">
        <f t="shared" si="11"/>
        <v>546</v>
      </c>
      <c r="J97" s="480"/>
      <c r="K97" s="487">
        <f t="shared" si="12"/>
        <v>1.2500000011641532E-2</v>
      </c>
      <c r="M97" s="82"/>
      <c r="N97" s="495"/>
      <c r="O97" s="480"/>
      <c r="P97" s="480"/>
    </row>
    <row r="98" spans="1:16" ht="12.75" thickBot="1">
      <c r="A98" s="81" t="s">
        <v>1272</v>
      </c>
      <c r="B98" s="2" t="s">
        <v>251</v>
      </c>
      <c r="C98" s="497">
        <v>516</v>
      </c>
      <c r="D98" s="497"/>
      <c r="E98" s="495">
        <v>22.949999999999996</v>
      </c>
      <c r="F98" s="190">
        <f t="shared" si="9"/>
        <v>11842.199999999997</v>
      </c>
      <c r="H98" s="486">
        <f t="shared" si="10"/>
        <v>1.9236075643475367E-3</v>
      </c>
      <c r="I98" s="486">
        <f t="shared" si="11"/>
        <v>516</v>
      </c>
      <c r="J98" s="480"/>
      <c r="K98" s="487">
        <f t="shared" si="12"/>
        <v>1.0457516349608604E-2</v>
      </c>
      <c r="M98" s="82"/>
      <c r="N98" s="495"/>
      <c r="O98" s="480"/>
      <c r="P98" s="480"/>
    </row>
    <row r="99" spans="1:16" ht="12.75" thickBot="1">
      <c r="A99" s="81" t="s">
        <v>1272</v>
      </c>
      <c r="B99" s="2" t="s">
        <v>254</v>
      </c>
      <c r="C99" s="497">
        <v>53</v>
      </c>
      <c r="D99" s="497"/>
      <c r="E99" s="495">
        <v>17.419999999999998</v>
      </c>
      <c r="F99" s="190">
        <f t="shared" si="9"/>
        <v>923.25999999999988</v>
      </c>
      <c r="H99" s="486">
        <f t="shared" si="10"/>
        <v>1.4997128235121065E-4</v>
      </c>
      <c r="I99" s="486">
        <f t="shared" si="11"/>
        <v>53</v>
      </c>
      <c r="J99" s="480"/>
      <c r="K99" s="487">
        <f t="shared" si="12"/>
        <v>1.3777267521441873E-2</v>
      </c>
      <c r="M99" s="82"/>
      <c r="N99" s="495"/>
      <c r="O99" s="480"/>
      <c r="P99" s="480"/>
    </row>
    <row r="100" spans="1:16" ht="12.75" thickBot="1">
      <c r="A100" s="81" t="s">
        <v>1272</v>
      </c>
      <c r="B100" s="135" t="s">
        <v>260</v>
      </c>
      <c r="C100" s="497">
        <v>39</v>
      </c>
      <c r="D100" s="497"/>
      <c r="E100" s="495">
        <v>13.12</v>
      </c>
      <c r="F100" s="190">
        <f t="shared" si="9"/>
        <v>511.67999999999995</v>
      </c>
      <c r="H100" s="486">
        <f t="shared" si="10"/>
        <v>8.3115596639589574E-5</v>
      </c>
      <c r="I100" s="486">
        <f t="shared" si="11"/>
        <v>39</v>
      </c>
      <c r="J100" s="480"/>
      <c r="K100" s="487">
        <f t="shared" si="12"/>
        <v>1.8292682943865657E-2</v>
      </c>
      <c r="M100" s="82"/>
      <c r="N100" s="495"/>
      <c r="O100" s="480"/>
      <c r="P100" s="480"/>
    </row>
    <row r="101" spans="1:16" ht="12.75" thickBot="1">
      <c r="A101" s="81" t="s">
        <v>1272</v>
      </c>
      <c r="B101" s="2" t="s">
        <v>262</v>
      </c>
      <c r="C101" s="497">
        <v>17</v>
      </c>
      <c r="D101" s="497"/>
      <c r="E101" s="495">
        <v>9.0200000000000014</v>
      </c>
      <c r="F101" s="190">
        <f t="shared" si="9"/>
        <v>153.34000000000003</v>
      </c>
      <c r="H101" s="486">
        <f t="shared" si="10"/>
        <v>2.4908039377569316E-5</v>
      </c>
      <c r="I101" s="486">
        <f t="shared" si="11"/>
        <v>17</v>
      </c>
      <c r="J101" s="480"/>
      <c r="K101" s="487">
        <f t="shared" si="12"/>
        <v>2.6607538827440953E-2</v>
      </c>
      <c r="M101" s="82"/>
      <c r="N101" s="495"/>
      <c r="O101" s="480"/>
      <c r="P101" s="480"/>
    </row>
    <row r="102" spans="1:16" ht="12.75" thickBot="1">
      <c r="A102" s="81" t="s">
        <v>1272</v>
      </c>
      <c r="B102" s="2" t="s">
        <v>340</v>
      </c>
      <c r="C102" s="497">
        <v>33</v>
      </c>
      <c r="D102" s="497"/>
      <c r="E102" s="495">
        <v>23.89</v>
      </c>
      <c r="F102" s="190">
        <f t="shared" si="9"/>
        <v>788.37</v>
      </c>
      <c r="H102" s="486">
        <f t="shared" si="10"/>
        <v>1.2806019958324196E-4</v>
      </c>
      <c r="I102" s="486">
        <f t="shared" si="11"/>
        <v>33</v>
      </c>
      <c r="J102" s="480"/>
      <c r="K102" s="487">
        <f t="shared" si="12"/>
        <v>1.0046044379385409E-2</v>
      </c>
      <c r="M102" s="82"/>
      <c r="N102" s="495"/>
      <c r="O102" s="480"/>
      <c r="P102" s="480"/>
    </row>
    <row r="103" spans="1:16" ht="12.75" thickBot="1">
      <c r="A103" s="81" t="s">
        <v>1272</v>
      </c>
      <c r="B103" s="2" t="s">
        <v>692</v>
      </c>
      <c r="C103" s="497">
        <v>4</v>
      </c>
      <c r="D103" s="497"/>
      <c r="E103" s="495">
        <v>24.9</v>
      </c>
      <c r="F103" s="190">
        <f t="shared" si="9"/>
        <v>99.6</v>
      </c>
      <c r="H103" s="486">
        <f t="shared" si="10"/>
        <v>1.6178692591664951E-5</v>
      </c>
      <c r="I103" s="486">
        <f t="shared" si="11"/>
        <v>4</v>
      </c>
      <c r="J103" s="480"/>
      <c r="K103" s="487">
        <f t="shared" si="12"/>
        <v>9.6385542258440732E-3</v>
      </c>
      <c r="M103" s="82"/>
      <c r="N103" s="495"/>
      <c r="O103" s="480"/>
      <c r="P103" s="480"/>
    </row>
    <row r="104" spans="1:16" ht="12.75" thickBot="1">
      <c r="A104" s="81" t="s">
        <v>1272</v>
      </c>
      <c r="B104" s="2" t="s">
        <v>292</v>
      </c>
      <c r="C104" s="497">
        <v>223</v>
      </c>
      <c r="D104" s="497"/>
      <c r="E104" s="495">
        <v>19.79</v>
      </c>
      <c r="F104" s="190">
        <f t="shared" si="9"/>
        <v>4413.17</v>
      </c>
      <c r="H104" s="486">
        <f t="shared" si="10"/>
        <v>7.1686065044937767E-4</v>
      </c>
      <c r="I104" s="486">
        <f t="shared" si="11"/>
        <v>223</v>
      </c>
      <c r="J104" s="480"/>
      <c r="K104" s="487">
        <f t="shared" si="12"/>
        <v>1.2127337050203003E-2</v>
      </c>
      <c r="M104" s="82"/>
      <c r="N104" s="495"/>
      <c r="O104" s="480"/>
      <c r="P104" s="480"/>
    </row>
    <row r="105" spans="1:16" ht="12.75" thickBot="1">
      <c r="A105" s="81" t="s">
        <v>1272</v>
      </c>
      <c r="B105" s="135" t="s">
        <v>293</v>
      </c>
      <c r="C105" s="497">
        <v>2038</v>
      </c>
      <c r="D105" s="497"/>
      <c r="E105" s="495">
        <v>20.49</v>
      </c>
      <c r="F105" s="190">
        <f t="shared" si="9"/>
        <v>41758.619999999995</v>
      </c>
      <c r="H105" s="486">
        <f t="shared" si="10"/>
        <v>6.7831312854633712E-3</v>
      </c>
      <c r="I105" s="486">
        <f t="shared" si="11"/>
        <v>2038</v>
      </c>
      <c r="J105" s="480"/>
      <c r="K105" s="487">
        <f t="shared" si="12"/>
        <v>1.1713030757614321E-2</v>
      </c>
      <c r="M105" s="82"/>
      <c r="N105" s="495"/>
      <c r="O105" s="480"/>
      <c r="P105" s="480"/>
    </row>
    <row r="106" spans="1:16" ht="12.75" thickBot="1">
      <c r="A106" s="81" t="s">
        <v>1272</v>
      </c>
      <c r="B106" s="2" t="s">
        <v>295</v>
      </c>
      <c r="C106" s="497">
        <v>32</v>
      </c>
      <c r="D106" s="497"/>
      <c r="E106" s="495">
        <v>20.18</v>
      </c>
      <c r="F106" s="190">
        <f t="shared" si="9"/>
        <v>645.76</v>
      </c>
      <c r="H106" s="486">
        <f t="shared" si="10"/>
        <v>1.0489510570274657E-4</v>
      </c>
      <c r="I106" s="486">
        <f t="shared" si="11"/>
        <v>32</v>
      </c>
      <c r="J106" s="480"/>
      <c r="K106" s="487">
        <f t="shared" si="12"/>
        <v>1.1892963341105917E-2</v>
      </c>
      <c r="M106" s="82"/>
      <c r="N106" s="495"/>
      <c r="O106" s="480"/>
      <c r="P106" s="480"/>
    </row>
    <row r="107" spans="1:16" ht="12.75" thickBot="1">
      <c r="A107" s="81" t="s">
        <v>1272</v>
      </c>
      <c r="B107" s="2" t="s">
        <v>296</v>
      </c>
      <c r="C107" s="497">
        <v>1811</v>
      </c>
      <c r="D107" s="497"/>
      <c r="E107" s="495">
        <v>22.56</v>
      </c>
      <c r="F107" s="190">
        <f t="shared" si="9"/>
        <v>40856.159999999996</v>
      </c>
      <c r="H107" s="486">
        <f t="shared" si="10"/>
        <v>6.6365386859023887E-3</v>
      </c>
      <c r="I107" s="486">
        <f t="shared" si="11"/>
        <v>1811</v>
      </c>
      <c r="J107" s="480"/>
      <c r="K107" s="487">
        <f t="shared" si="12"/>
        <v>1.0638297882248113E-2</v>
      </c>
      <c r="M107" s="82"/>
      <c r="N107" s="495"/>
      <c r="O107" s="480"/>
      <c r="P107" s="480"/>
    </row>
    <row r="108" spans="1:16" ht="12.75" thickBot="1">
      <c r="A108" s="81" t="s">
        <v>1272</v>
      </c>
      <c r="B108" s="2" t="s">
        <v>297</v>
      </c>
      <c r="C108" s="497">
        <v>35</v>
      </c>
      <c r="D108" s="497"/>
      <c r="E108" s="495">
        <v>23.68</v>
      </c>
      <c r="F108" s="190">
        <f t="shared" ref="F108:F139" si="13">C108*E108</f>
        <v>828.8</v>
      </c>
      <c r="H108" s="486">
        <f t="shared" si="10"/>
        <v>1.3462751425674608E-4</v>
      </c>
      <c r="I108" s="486">
        <f t="shared" si="11"/>
        <v>35</v>
      </c>
      <c r="J108" s="480"/>
      <c r="K108" s="487">
        <f t="shared" si="12"/>
        <v>1.0135135144574215E-2</v>
      </c>
      <c r="M108" s="82"/>
      <c r="N108" s="495"/>
      <c r="O108" s="480"/>
      <c r="P108" s="480"/>
    </row>
    <row r="109" spans="1:16" ht="12.75" thickBot="1">
      <c r="A109" s="81" t="s">
        <v>1272</v>
      </c>
      <c r="B109" s="2" t="s">
        <v>299</v>
      </c>
      <c r="C109" s="497">
        <v>111</v>
      </c>
      <c r="D109" s="497"/>
      <c r="E109" s="495">
        <v>24.77</v>
      </c>
      <c r="F109" s="190">
        <f t="shared" si="13"/>
        <v>2749.47</v>
      </c>
      <c r="H109" s="486">
        <f t="shared" si="10"/>
        <v>4.4661475823298222E-4</v>
      </c>
      <c r="I109" s="486">
        <f t="shared" si="11"/>
        <v>111</v>
      </c>
      <c r="J109" s="480"/>
      <c r="K109" s="487">
        <f t="shared" si="12"/>
        <v>9.6891400978408333E-3</v>
      </c>
      <c r="M109" s="82"/>
      <c r="N109" s="495"/>
      <c r="O109" s="480"/>
      <c r="P109" s="480"/>
    </row>
    <row r="110" spans="1:16" ht="12.75" thickBot="1">
      <c r="A110" s="81" t="s">
        <v>1272</v>
      </c>
      <c r="B110" s="2" t="s">
        <v>300</v>
      </c>
      <c r="C110" s="497">
        <v>53</v>
      </c>
      <c r="D110" s="497"/>
      <c r="E110" s="495">
        <v>29.889999999999997</v>
      </c>
      <c r="F110" s="190">
        <f t="shared" si="13"/>
        <v>1584.1699999999998</v>
      </c>
      <c r="H110" s="486">
        <f t="shared" si="10"/>
        <v>2.5732730364395445E-4</v>
      </c>
      <c r="I110" s="486">
        <f t="shared" si="11"/>
        <v>53</v>
      </c>
      <c r="J110" s="480"/>
      <c r="K110" s="487">
        <f t="shared" si="12"/>
        <v>8.0294412921886067E-3</v>
      </c>
      <c r="M110" s="82"/>
      <c r="N110" s="495"/>
      <c r="O110" s="480"/>
      <c r="P110" s="480"/>
    </row>
    <row r="111" spans="1:16" ht="12.75" thickBot="1">
      <c r="A111" s="81" t="s">
        <v>1272</v>
      </c>
      <c r="B111" s="2" t="s">
        <v>301</v>
      </c>
      <c r="C111" s="497">
        <v>176</v>
      </c>
      <c r="D111" s="497"/>
      <c r="E111" s="495">
        <v>32.860000000000007</v>
      </c>
      <c r="F111" s="190">
        <f t="shared" si="13"/>
        <v>5783.3600000000015</v>
      </c>
      <c r="H111" s="486">
        <f t="shared" si="10"/>
        <v>9.3942975488886971E-4</v>
      </c>
      <c r="I111" s="486">
        <f t="shared" si="11"/>
        <v>176</v>
      </c>
      <c r="J111" s="480"/>
      <c r="K111" s="487">
        <f t="shared" si="12"/>
        <v>7.3037127274350995E-3</v>
      </c>
      <c r="M111" s="82"/>
      <c r="N111" s="495"/>
      <c r="O111" s="480"/>
      <c r="P111" s="480"/>
    </row>
    <row r="112" spans="1:16" ht="12.75" thickBot="1">
      <c r="A112" s="81" t="s">
        <v>1272</v>
      </c>
      <c r="B112" s="135" t="s">
        <v>302</v>
      </c>
      <c r="C112" s="497">
        <v>363</v>
      </c>
      <c r="D112" s="497"/>
      <c r="E112" s="495">
        <v>38.389999999999993</v>
      </c>
      <c r="F112" s="190">
        <f t="shared" si="13"/>
        <v>13935.569999999998</v>
      </c>
      <c r="H112" s="486">
        <f t="shared" si="10"/>
        <v>2.2636476216830151E-3</v>
      </c>
      <c r="I112" s="486">
        <f t="shared" si="11"/>
        <v>363</v>
      </c>
      <c r="J112" s="480"/>
      <c r="K112" s="487">
        <f t="shared" si="12"/>
        <v>6.2516280339546095E-3</v>
      </c>
      <c r="M112" s="82"/>
      <c r="N112" s="495"/>
      <c r="O112" s="480"/>
      <c r="P112" s="480"/>
    </row>
    <row r="113" spans="1:16" ht="12.75" thickBot="1">
      <c r="A113" s="81" t="s">
        <v>1272</v>
      </c>
      <c r="B113" s="2" t="s">
        <v>303</v>
      </c>
      <c r="C113" s="497">
        <v>17</v>
      </c>
      <c r="D113" s="497"/>
      <c r="E113" s="495">
        <v>26.349999999999998</v>
      </c>
      <c r="F113" s="190">
        <f t="shared" si="13"/>
        <v>447.95</v>
      </c>
      <c r="H113" s="486">
        <f t="shared" si="10"/>
        <v>7.2763507494340505E-5</v>
      </c>
      <c r="I113" s="486">
        <f t="shared" si="11"/>
        <v>17</v>
      </c>
      <c r="J113" s="480"/>
      <c r="K113" s="487">
        <f t="shared" si="12"/>
        <v>9.1081594012720098E-3</v>
      </c>
      <c r="M113" s="82"/>
      <c r="N113" s="495"/>
      <c r="O113" s="480"/>
      <c r="P113" s="480"/>
    </row>
    <row r="114" spans="1:16" ht="12.75" thickBot="1">
      <c r="A114" s="81" t="s">
        <v>1272</v>
      </c>
      <c r="B114" s="2" t="s">
        <v>304</v>
      </c>
      <c r="C114" s="497">
        <v>405</v>
      </c>
      <c r="D114" s="497"/>
      <c r="E114" s="495">
        <v>28.45</v>
      </c>
      <c r="F114" s="190">
        <f t="shared" si="13"/>
        <v>11522.25</v>
      </c>
      <c r="H114" s="486">
        <f t="shared" si="10"/>
        <v>1.8716359509469026E-3</v>
      </c>
      <c r="I114" s="486">
        <f t="shared" si="11"/>
        <v>405</v>
      </c>
      <c r="J114" s="480"/>
      <c r="K114" s="487">
        <f t="shared" si="12"/>
        <v>8.4358523804399805E-3</v>
      </c>
      <c r="M114" s="82"/>
      <c r="N114" s="495"/>
      <c r="O114" s="480"/>
      <c r="P114" s="480"/>
    </row>
    <row r="115" spans="1:16" ht="12.75" thickBot="1">
      <c r="A115" s="81" t="s">
        <v>1272</v>
      </c>
      <c r="B115" s="2" t="s">
        <v>305</v>
      </c>
      <c r="C115" s="497">
        <v>34</v>
      </c>
      <c r="D115" s="497"/>
      <c r="E115" s="495">
        <v>34.029999999999994</v>
      </c>
      <c r="F115" s="190">
        <f t="shared" si="13"/>
        <v>1157.0199999999998</v>
      </c>
      <c r="H115" s="486">
        <f t="shared" si="10"/>
        <v>1.8794247893984115E-4</v>
      </c>
      <c r="I115" s="486">
        <f t="shared" si="11"/>
        <v>34</v>
      </c>
      <c r="J115" s="480"/>
      <c r="K115" s="487">
        <f t="shared" si="12"/>
        <v>7.05260065305664E-3</v>
      </c>
      <c r="M115" s="82"/>
      <c r="N115" s="495"/>
      <c r="O115" s="480"/>
      <c r="P115" s="480"/>
    </row>
    <row r="116" spans="1:16" ht="12.75" thickBot="1">
      <c r="A116" s="81" t="s">
        <v>1272</v>
      </c>
      <c r="B116" s="2" t="s">
        <v>306</v>
      </c>
      <c r="C116" s="497">
        <v>40</v>
      </c>
      <c r="D116" s="497"/>
      <c r="E116" s="495">
        <v>33.22</v>
      </c>
      <c r="F116" s="190">
        <f t="shared" si="13"/>
        <v>1328.8</v>
      </c>
      <c r="H116" s="486">
        <f t="shared" si="10"/>
        <v>2.1584585056028498E-4</v>
      </c>
      <c r="I116" s="486">
        <f t="shared" si="11"/>
        <v>40</v>
      </c>
      <c r="J116" s="480"/>
      <c r="K116" s="487">
        <f t="shared" si="12"/>
        <v>7.2245635226826435E-3</v>
      </c>
      <c r="M116" s="82"/>
      <c r="N116" s="495"/>
      <c r="O116" s="480"/>
      <c r="P116" s="480"/>
    </row>
    <row r="117" spans="1:16" ht="12.75" thickBot="1">
      <c r="A117" s="81" t="s">
        <v>1272</v>
      </c>
      <c r="B117" s="2" t="s">
        <v>307</v>
      </c>
      <c r="C117" s="497">
        <v>52</v>
      </c>
      <c r="D117" s="497"/>
      <c r="E117" s="495">
        <v>35.199999999999996</v>
      </c>
      <c r="F117" s="190">
        <f t="shared" si="13"/>
        <v>1830.3999999999999</v>
      </c>
      <c r="H117" s="486">
        <f t="shared" si="10"/>
        <v>2.9732408553999519E-4</v>
      </c>
      <c r="I117" s="486">
        <f t="shared" si="11"/>
        <v>52</v>
      </c>
      <c r="J117" s="480"/>
      <c r="K117" s="487">
        <f t="shared" si="12"/>
        <v>6.8181818245317454E-3</v>
      </c>
      <c r="M117" s="82"/>
      <c r="N117" s="495"/>
      <c r="O117" s="480"/>
      <c r="P117" s="480"/>
    </row>
    <row r="118" spans="1:16" ht="12.75" thickBot="1">
      <c r="A118" s="81" t="s">
        <v>1272</v>
      </c>
      <c r="B118" s="2" t="s">
        <v>308</v>
      </c>
      <c r="C118" s="497">
        <v>205</v>
      </c>
      <c r="D118" s="497"/>
      <c r="E118" s="495">
        <v>34.090000000000003</v>
      </c>
      <c r="F118" s="190">
        <f t="shared" si="13"/>
        <v>6988.4500000000007</v>
      </c>
      <c r="H118" s="486">
        <f t="shared" si="10"/>
        <v>1.135180564680933E-3</v>
      </c>
      <c r="I118" s="486">
        <f t="shared" si="11"/>
        <v>205</v>
      </c>
      <c r="J118" s="480"/>
      <c r="K118" s="487">
        <f t="shared" si="12"/>
        <v>7.0401877448963745E-3</v>
      </c>
      <c r="M118" s="82"/>
      <c r="N118" s="495"/>
      <c r="O118" s="480"/>
      <c r="P118" s="480"/>
    </row>
    <row r="119" spans="1:16" ht="12.75" thickBot="1">
      <c r="A119" s="81" t="s">
        <v>1272</v>
      </c>
      <c r="B119" s="135" t="s">
        <v>309</v>
      </c>
      <c r="C119" s="497">
        <v>194</v>
      </c>
      <c r="D119" s="497"/>
      <c r="E119" s="495">
        <v>36.07</v>
      </c>
      <c r="F119" s="190">
        <f t="shared" si="13"/>
        <v>6997.58</v>
      </c>
      <c r="H119" s="486">
        <f t="shared" si="10"/>
        <v>1.1366636115018357E-3</v>
      </c>
      <c r="I119" s="486">
        <f t="shared" si="11"/>
        <v>194</v>
      </c>
      <c r="J119" s="480"/>
      <c r="K119" s="487">
        <f t="shared" si="12"/>
        <v>6.6537288667457006E-3</v>
      </c>
      <c r="M119" s="82"/>
      <c r="N119" s="495"/>
      <c r="O119" s="480"/>
      <c r="P119" s="480"/>
    </row>
    <row r="120" spans="1:16" ht="12.75" thickBot="1">
      <c r="A120" s="81" t="s">
        <v>1272</v>
      </c>
      <c r="B120" s="2" t="s">
        <v>310</v>
      </c>
      <c r="C120" s="497">
        <v>13</v>
      </c>
      <c r="D120" s="497"/>
      <c r="E120" s="495">
        <v>32.26</v>
      </c>
      <c r="F120" s="190">
        <f t="shared" si="13"/>
        <v>419.38</v>
      </c>
      <c r="H120" s="486">
        <f t="shared" si="10"/>
        <v>6.8122691757956292E-5</v>
      </c>
      <c r="I120" s="486">
        <f t="shared" si="11"/>
        <v>13</v>
      </c>
      <c r="J120" s="480"/>
      <c r="K120" s="487">
        <f t="shared" si="12"/>
        <v>7.4395536337110175E-3</v>
      </c>
      <c r="M120" s="82"/>
      <c r="N120" s="495"/>
      <c r="O120" s="480"/>
      <c r="P120" s="480"/>
    </row>
    <row r="121" spans="1:16" ht="12.75" thickBot="1">
      <c r="A121" s="81" t="s">
        <v>1272</v>
      </c>
      <c r="B121" s="2" t="s">
        <v>311</v>
      </c>
      <c r="C121" s="497">
        <v>44</v>
      </c>
      <c r="D121" s="497"/>
      <c r="E121" s="495">
        <v>32.93</v>
      </c>
      <c r="F121" s="190">
        <f t="shared" si="13"/>
        <v>1448.92</v>
      </c>
      <c r="H121" s="486">
        <f t="shared" si="10"/>
        <v>2.3535774367384722E-4</v>
      </c>
      <c r="I121" s="486">
        <f t="shared" si="11"/>
        <v>44</v>
      </c>
      <c r="J121" s="480"/>
      <c r="K121" s="487">
        <f t="shared" si="12"/>
        <v>7.2881870702556154E-3</v>
      </c>
      <c r="M121" s="82"/>
      <c r="N121" s="495"/>
      <c r="O121" s="480"/>
      <c r="P121" s="480"/>
    </row>
    <row r="122" spans="1:16" ht="12.75" thickBot="1">
      <c r="A122" s="81" t="s">
        <v>1272</v>
      </c>
      <c r="B122" s="2" t="s">
        <v>339</v>
      </c>
      <c r="C122" s="497">
        <v>10</v>
      </c>
      <c r="D122" s="497"/>
      <c r="E122" s="495">
        <v>34.330000000000005</v>
      </c>
      <c r="F122" s="190">
        <f t="shared" si="13"/>
        <v>343.30000000000007</v>
      </c>
      <c r="H122" s="486">
        <f t="shared" si="10"/>
        <v>5.5764509706009824E-5</v>
      </c>
      <c r="I122" s="486">
        <f t="shared" si="11"/>
        <v>10</v>
      </c>
      <c r="J122" s="480"/>
      <c r="K122" s="487">
        <f t="shared" si="12"/>
        <v>6.9909700035979431E-3</v>
      </c>
      <c r="M122" s="82"/>
      <c r="N122" s="495"/>
      <c r="O122" s="480"/>
      <c r="P122" s="480"/>
    </row>
    <row r="123" spans="1:16" ht="12.75" thickBot="1">
      <c r="A123" s="81" t="s">
        <v>1272</v>
      </c>
      <c r="B123" s="2" t="s">
        <v>312</v>
      </c>
      <c r="C123" s="497">
        <v>192</v>
      </c>
      <c r="D123" s="497"/>
      <c r="E123" s="495">
        <v>34.99</v>
      </c>
      <c r="F123" s="190">
        <f t="shared" si="13"/>
        <v>6718.08</v>
      </c>
      <c r="H123" s="486">
        <f t="shared" si="10"/>
        <v>1.0912625615081574E-3</v>
      </c>
      <c r="I123" s="486">
        <f t="shared" si="11"/>
        <v>192</v>
      </c>
      <c r="J123" s="480"/>
      <c r="K123" s="487">
        <f t="shared" si="12"/>
        <v>6.8591026071311064E-3</v>
      </c>
      <c r="M123" s="82"/>
      <c r="N123" s="495"/>
      <c r="O123" s="480"/>
      <c r="P123" s="480"/>
    </row>
    <row r="124" spans="1:16" ht="12.75" thickBot="1">
      <c r="A124" s="81" t="s">
        <v>1272</v>
      </c>
      <c r="B124" s="2" t="s">
        <v>687</v>
      </c>
      <c r="C124" s="497">
        <v>0</v>
      </c>
      <c r="D124" s="497"/>
      <c r="E124" s="495">
        <v>16.459999999999997</v>
      </c>
      <c r="F124" s="190">
        <f t="shared" si="13"/>
        <v>0</v>
      </c>
      <c r="H124" s="486">
        <f t="shared" si="10"/>
        <v>0</v>
      </c>
      <c r="I124" s="486">
        <f t="shared" si="11"/>
        <v>0</v>
      </c>
      <c r="J124" s="480"/>
      <c r="K124" s="487">
        <f t="shared" si="12"/>
        <v>1.4580801957686358E-2</v>
      </c>
      <c r="M124" s="82"/>
      <c r="N124" s="495"/>
      <c r="O124" s="480"/>
      <c r="P124" s="480"/>
    </row>
    <row r="125" spans="1:16" ht="12.75" thickBot="1">
      <c r="A125" s="81" t="s">
        <v>1272</v>
      </c>
      <c r="B125" s="2" t="s">
        <v>688</v>
      </c>
      <c r="C125" s="497">
        <f>2+2</f>
        <v>4</v>
      </c>
      <c r="D125" s="497"/>
      <c r="E125" s="495">
        <v>18.279999999999998</v>
      </c>
      <c r="F125" s="190">
        <f t="shared" si="13"/>
        <v>73.11999999999999</v>
      </c>
      <c r="H125" s="486">
        <f t="shared" si="10"/>
        <v>1.1877369501029529E-5</v>
      </c>
      <c r="I125" s="486">
        <f t="shared" si="11"/>
        <v>4</v>
      </c>
      <c r="J125" s="480"/>
      <c r="K125" s="487">
        <f t="shared" si="12"/>
        <v>1.3129102856866382E-2</v>
      </c>
      <c r="M125" s="82"/>
      <c r="N125" s="495"/>
      <c r="O125" s="480"/>
      <c r="P125" s="480"/>
    </row>
    <row r="126" spans="1:16" ht="12.75" thickBot="1">
      <c r="A126" s="81" t="s">
        <v>1272</v>
      </c>
      <c r="B126" s="2" t="s">
        <v>341</v>
      </c>
      <c r="C126" s="497">
        <v>12</v>
      </c>
      <c r="D126" s="497"/>
      <c r="E126" s="495">
        <v>22.32</v>
      </c>
      <c r="F126" s="190">
        <f t="shared" si="13"/>
        <v>267.84000000000003</v>
      </c>
      <c r="H126" s="486">
        <f t="shared" si="10"/>
        <v>4.3507038391079732E-5</v>
      </c>
      <c r="I126" s="486">
        <f t="shared" si="11"/>
        <v>12</v>
      </c>
      <c r="J126" s="480"/>
      <c r="K126" s="487">
        <f t="shared" si="12"/>
        <v>1.0752688182057232E-2</v>
      </c>
      <c r="M126" s="82"/>
      <c r="N126" s="495"/>
      <c r="O126" s="480"/>
      <c r="P126" s="480"/>
    </row>
    <row r="127" spans="1:16" ht="12.75" thickBot="1">
      <c r="A127" s="81" t="s">
        <v>1272</v>
      </c>
      <c r="B127" s="2" t="s">
        <v>317</v>
      </c>
      <c r="C127" s="497">
        <v>6384</v>
      </c>
      <c r="D127" s="497"/>
      <c r="E127" s="495">
        <v>12.82</v>
      </c>
      <c r="F127" s="190">
        <f t="shared" si="13"/>
        <v>81842.880000000005</v>
      </c>
      <c r="H127" s="486">
        <f t="shared" si="10"/>
        <v>1.3294285103780357E-2</v>
      </c>
      <c r="I127" s="486">
        <f t="shared" si="11"/>
        <v>6384</v>
      </c>
      <c r="J127" s="480"/>
      <c r="K127" s="487">
        <f t="shared" si="12"/>
        <v>1.8720748847388252E-2</v>
      </c>
      <c r="M127" s="82"/>
      <c r="N127" s="495"/>
      <c r="O127" s="480"/>
      <c r="P127" s="480"/>
    </row>
    <row r="128" spans="1:16" ht="12.75" thickBot="1">
      <c r="A128" s="81" t="s">
        <v>1272</v>
      </c>
      <c r="B128" s="135" t="s">
        <v>318</v>
      </c>
      <c r="C128" s="497">
        <v>9001</v>
      </c>
      <c r="D128" s="497"/>
      <c r="E128" s="495">
        <v>15.08</v>
      </c>
      <c r="F128" s="190">
        <f t="shared" si="13"/>
        <v>135735.07999999999</v>
      </c>
      <c r="H128" s="486">
        <f t="shared" si="10"/>
        <v>2.2048354751255515E-2</v>
      </c>
      <c r="I128" s="486">
        <f t="shared" si="11"/>
        <v>9001</v>
      </c>
      <c r="J128" s="480"/>
      <c r="K128" s="487">
        <f t="shared" si="12"/>
        <v>1.5915119378217334E-2</v>
      </c>
      <c r="M128" s="82"/>
      <c r="N128" s="495"/>
      <c r="O128" s="480"/>
      <c r="P128" s="480"/>
    </row>
    <row r="129" spans="1:16" ht="12.75" thickBot="1">
      <c r="A129" s="81" t="s">
        <v>1272</v>
      </c>
      <c r="B129" s="2" t="s">
        <v>319</v>
      </c>
      <c r="C129" s="497">
        <v>5514</v>
      </c>
      <c r="D129" s="497"/>
      <c r="E129" s="495">
        <v>17.38</v>
      </c>
      <c r="F129" s="190">
        <f t="shared" si="13"/>
        <v>95833.319999999992</v>
      </c>
      <c r="H129" s="486">
        <f t="shared" si="10"/>
        <v>1.5566845625689321E-2</v>
      </c>
      <c r="I129" s="486">
        <f t="shared" si="11"/>
        <v>5514</v>
      </c>
      <c r="J129" s="480"/>
      <c r="K129" s="487">
        <f t="shared" si="12"/>
        <v>1.3808975847152901E-2</v>
      </c>
      <c r="M129" s="82"/>
      <c r="N129" s="495"/>
      <c r="O129" s="480"/>
      <c r="P129" s="480"/>
    </row>
    <row r="130" spans="1:16" ht="12.75" thickBot="1">
      <c r="A130" s="81" t="s">
        <v>1272</v>
      </c>
      <c r="B130" s="2" t="s">
        <v>320</v>
      </c>
      <c r="C130" s="497">
        <v>407</v>
      </c>
      <c r="D130" s="497"/>
      <c r="E130" s="495">
        <v>13.77</v>
      </c>
      <c r="F130" s="190">
        <f t="shared" si="13"/>
        <v>5604.3899999999994</v>
      </c>
      <c r="H130" s="486">
        <f t="shared" si="10"/>
        <v>9.1035846359238074E-4</v>
      </c>
      <c r="I130" s="486">
        <f t="shared" si="11"/>
        <v>407</v>
      </c>
      <c r="J130" s="480"/>
      <c r="K130" s="487">
        <f t="shared" si="12"/>
        <v>1.7429193916014336E-2</v>
      </c>
      <c r="M130" s="82"/>
      <c r="N130" s="495"/>
      <c r="O130" s="480"/>
      <c r="P130" s="480"/>
    </row>
    <row r="131" spans="1:16" ht="12.75" thickBot="1">
      <c r="A131" s="81" t="s">
        <v>1272</v>
      </c>
      <c r="B131" s="2" t="s">
        <v>321</v>
      </c>
      <c r="C131" s="497">
        <v>12837</v>
      </c>
      <c r="D131" s="497"/>
      <c r="E131" s="495">
        <v>18.21</v>
      </c>
      <c r="F131" s="190">
        <f t="shared" si="13"/>
        <v>233761.77000000002</v>
      </c>
      <c r="H131" s="486">
        <f t="shared" si="10"/>
        <v>3.7971484101541032E-2</v>
      </c>
      <c r="I131" s="486">
        <f t="shared" si="11"/>
        <v>12837</v>
      </c>
      <c r="J131" s="480"/>
      <c r="K131" s="487">
        <f t="shared" si="12"/>
        <v>1.3179571676195354E-2</v>
      </c>
      <c r="M131" s="82"/>
      <c r="N131" s="495"/>
      <c r="O131" s="480"/>
      <c r="P131" s="480"/>
    </row>
    <row r="132" spans="1:16" ht="12.75" thickBot="1">
      <c r="A132" s="81" t="s">
        <v>1272</v>
      </c>
      <c r="B132" s="2" t="s">
        <v>322</v>
      </c>
      <c r="C132" s="497">
        <v>3285</v>
      </c>
      <c r="D132" s="497"/>
      <c r="E132" s="495">
        <v>10.86</v>
      </c>
      <c r="F132" s="190">
        <f t="shared" si="13"/>
        <v>35675.1</v>
      </c>
      <c r="H132" s="486">
        <f t="shared" si="10"/>
        <v>5.7949445389247622E-3</v>
      </c>
      <c r="I132" s="486">
        <f t="shared" si="11"/>
        <v>3285</v>
      </c>
      <c r="J132" s="480"/>
      <c r="K132" s="487">
        <f t="shared" si="12"/>
        <v>2.2099447534393871E-2</v>
      </c>
      <c r="M132" s="82"/>
      <c r="N132" s="495"/>
      <c r="O132" s="480"/>
      <c r="P132" s="480"/>
    </row>
    <row r="133" spans="1:16" ht="12.75" thickBot="1">
      <c r="A133" s="81" t="s">
        <v>1272</v>
      </c>
      <c r="B133" s="135" t="s">
        <v>323</v>
      </c>
      <c r="C133" s="497">
        <v>5</v>
      </c>
      <c r="D133" s="497"/>
      <c r="E133" s="495">
        <v>11.13</v>
      </c>
      <c r="F133" s="190">
        <f t="shared" si="13"/>
        <v>55.650000000000006</v>
      </c>
      <c r="H133" s="486">
        <f t="shared" si="10"/>
        <v>9.0396008305838815E-6</v>
      </c>
      <c r="I133" s="486">
        <f t="shared" si="11"/>
        <v>5</v>
      </c>
      <c r="J133" s="480"/>
      <c r="K133" s="487">
        <f t="shared" si="12"/>
        <v>2.1563342338141726E-2</v>
      </c>
      <c r="M133" s="82"/>
      <c r="N133" s="495"/>
      <c r="O133" s="480"/>
      <c r="P133" s="480"/>
    </row>
    <row r="134" spans="1:16" ht="12.75" thickBot="1">
      <c r="A134" s="81" t="s">
        <v>1272</v>
      </c>
      <c r="B134" s="2" t="s">
        <v>328</v>
      </c>
      <c r="C134" s="497">
        <v>22</v>
      </c>
      <c r="D134" s="497"/>
      <c r="E134" s="495">
        <v>12.79</v>
      </c>
      <c r="F134" s="190">
        <f t="shared" si="13"/>
        <v>281.38</v>
      </c>
      <c r="H134" s="486">
        <f t="shared" si="10"/>
        <v>4.5706430938179556E-5</v>
      </c>
      <c r="I134" s="486">
        <f t="shared" si="11"/>
        <v>22</v>
      </c>
      <c r="J134" s="480"/>
      <c r="K134" s="487">
        <f t="shared" si="12"/>
        <v>1.8764659908015437E-2</v>
      </c>
      <c r="M134" s="82"/>
      <c r="N134" s="495"/>
      <c r="O134" s="480"/>
      <c r="P134" s="480"/>
    </row>
    <row r="135" spans="1:16" ht="12.75" thickBot="1">
      <c r="A135" s="81" t="s">
        <v>1272</v>
      </c>
      <c r="B135" s="2" t="s">
        <v>329</v>
      </c>
      <c r="C135" s="497">
        <v>2</v>
      </c>
      <c r="D135" s="497"/>
      <c r="E135" s="495">
        <v>15.07</v>
      </c>
      <c r="F135" s="190">
        <f t="shared" si="13"/>
        <v>30.14</v>
      </c>
      <c r="H135" s="486">
        <f t="shared" si="10"/>
        <v>4.8958413123773258E-6</v>
      </c>
      <c r="I135" s="486">
        <f t="shared" si="11"/>
        <v>2</v>
      </c>
      <c r="J135" s="480"/>
      <c r="K135" s="487">
        <f t="shared" si="12"/>
        <v>1.5925680174088748E-2</v>
      </c>
      <c r="M135" s="82"/>
      <c r="N135" s="495"/>
      <c r="O135" s="480"/>
      <c r="P135" s="480"/>
    </row>
    <row r="136" spans="1:16" ht="12.75" thickBot="1">
      <c r="A136" s="81" t="s">
        <v>1272</v>
      </c>
      <c r="B136" s="2" t="s">
        <v>330</v>
      </c>
      <c r="C136" s="497">
        <v>298</v>
      </c>
      <c r="D136" s="497"/>
      <c r="E136" s="495">
        <v>18.68</v>
      </c>
      <c r="F136" s="190">
        <f t="shared" si="13"/>
        <v>5566.64</v>
      </c>
      <c r="H136" s="486">
        <f t="shared" si="10"/>
        <v>9.0422647920146372E-4</v>
      </c>
      <c r="I136" s="486">
        <f t="shared" si="11"/>
        <v>298</v>
      </c>
      <c r="J136" s="480"/>
      <c r="K136" s="487">
        <f t="shared" si="12"/>
        <v>1.284796575072363E-2</v>
      </c>
      <c r="M136" s="82"/>
      <c r="N136" s="495"/>
      <c r="O136" s="480"/>
      <c r="P136" s="480"/>
    </row>
    <row r="137" spans="1:16" ht="12.75" thickBot="1">
      <c r="A137" s="81" t="s">
        <v>1272</v>
      </c>
      <c r="B137" s="2" t="s">
        <v>331</v>
      </c>
      <c r="C137" s="497">
        <v>53</v>
      </c>
      <c r="D137" s="497"/>
      <c r="E137" s="495">
        <v>20.970000000000002</v>
      </c>
      <c r="F137" s="190">
        <f t="shared" si="13"/>
        <v>1111.4100000000001</v>
      </c>
      <c r="H137" s="486">
        <f t="shared" si="10"/>
        <v>1.8053374230223238E-4</v>
      </c>
      <c r="I137" s="486">
        <f t="shared" si="11"/>
        <v>53</v>
      </c>
      <c r="J137" s="480"/>
      <c r="K137" s="487">
        <f t="shared" si="12"/>
        <v>1.1444921326824864E-2</v>
      </c>
      <c r="M137" s="82"/>
      <c r="N137" s="495"/>
      <c r="O137" s="480"/>
      <c r="P137" s="480"/>
    </row>
    <row r="138" spans="1:16" ht="12.75" thickBot="1">
      <c r="A138" s="81" t="s">
        <v>1272</v>
      </c>
      <c r="B138" s="2" t="s">
        <v>332</v>
      </c>
      <c r="C138" s="497">
        <v>2</v>
      </c>
      <c r="D138" s="497"/>
      <c r="E138" s="495">
        <v>28.42</v>
      </c>
      <c r="F138" s="190">
        <f t="shared" si="13"/>
        <v>56.84</v>
      </c>
      <c r="H138" s="486">
        <f t="shared" si="10"/>
        <v>9.2329004709863033E-6</v>
      </c>
      <c r="I138" s="486">
        <f t="shared" si="11"/>
        <v>2</v>
      </c>
      <c r="J138" s="480"/>
      <c r="K138" s="487">
        <f t="shared" si="12"/>
        <v>8.4447572210949121E-3</v>
      </c>
      <c r="M138" s="82"/>
      <c r="N138" s="495"/>
      <c r="O138" s="480"/>
      <c r="P138" s="480"/>
    </row>
    <row r="139" spans="1:16" ht="12.75" thickBot="1">
      <c r="A139" s="81" t="s">
        <v>1272</v>
      </c>
      <c r="B139" s="2" t="s">
        <v>333</v>
      </c>
      <c r="C139" s="497">
        <v>383</v>
      </c>
      <c r="D139" s="497"/>
      <c r="E139" s="495">
        <v>39.6</v>
      </c>
      <c r="F139" s="190">
        <f t="shared" si="13"/>
        <v>15166.800000000001</v>
      </c>
      <c r="H139" s="486">
        <f t="shared" si="10"/>
        <v>2.463644526097028E-3</v>
      </c>
      <c r="I139" s="486">
        <f t="shared" si="11"/>
        <v>383</v>
      </c>
      <c r="J139" s="480"/>
      <c r="K139" s="487">
        <f t="shared" si="12"/>
        <v>6.0606060662504397E-3</v>
      </c>
      <c r="M139" s="82"/>
      <c r="N139" s="495"/>
      <c r="O139" s="480"/>
      <c r="P139" s="480"/>
    </row>
    <row r="140" spans="1:16" ht="12.75" thickBot="1">
      <c r="A140" s="81" t="s">
        <v>1272</v>
      </c>
      <c r="B140" s="2" t="s">
        <v>334</v>
      </c>
      <c r="C140" s="497">
        <v>60</v>
      </c>
      <c r="D140" s="497"/>
      <c r="E140" s="495">
        <v>42.78</v>
      </c>
      <c r="F140" s="190">
        <f t="shared" ref="F140:F146" si="14">C140*E140</f>
        <v>2566.8000000000002</v>
      </c>
      <c r="H140" s="486">
        <f t="shared" si="10"/>
        <v>4.1694245124784736E-4</v>
      </c>
      <c r="I140" s="486">
        <f t="shared" si="11"/>
        <v>60</v>
      </c>
      <c r="J140" s="480"/>
      <c r="K140" s="487">
        <f t="shared" si="12"/>
        <v>5.6100981819429034E-3</v>
      </c>
      <c r="M140" s="82"/>
      <c r="N140" s="495"/>
      <c r="O140" s="480"/>
      <c r="P140" s="480"/>
    </row>
    <row r="141" spans="1:16" ht="12.75" thickBot="1">
      <c r="A141" s="81" t="s">
        <v>1272</v>
      </c>
      <c r="B141" s="2" t="s">
        <v>618</v>
      </c>
      <c r="C141" s="497">
        <v>0</v>
      </c>
      <c r="D141" s="497"/>
      <c r="E141" s="495">
        <v>14.06</v>
      </c>
      <c r="F141" s="190">
        <f t="shared" si="14"/>
        <v>0</v>
      </c>
      <c r="H141" s="486">
        <f t="shared" ref="H141:H146" si="15">F141/$M$81*$M$82</f>
        <v>0</v>
      </c>
      <c r="I141" s="486">
        <f t="shared" ref="I141:I146" si="16">ROUND((F141+H141)/E141,0)</f>
        <v>0</v>
      </c>
      <c r="J141" s="480"/>
      <c r="K141" s="487">
        <f t="shared" ref="K141:K146" si="17">$M$82/E141</f>
        <v>1.7069701296124992E-2</v>
      </c>
      <c r="M141" s="82"/>
      <c r="N141" s="495"/>
      <c r="O141" s="480"/>
      <c r="P141" s="480"/>
    </row>
    <row r="142" spans="1:16" ht="12.75" thickBot="1">
      <c r="A142" s="81" t="s">
        <v>1272</v>
      </c>
      <c r="B142" s="2" t="s">
        <v>620</v>
      </c>
      <c r="C142" s="497">
        <v>18</v>
      </c>
      <c r="D142" s="497"/>
      <c r="E142" s="495">
        <v>23.83</v>
      </c>
      <c r="F142" s="190">
        <f t="shared" si="14"/>
        <v>428.93999999999994</v>
      </c>
      <c r="H142" s="486">
        <f t="shared" si="15"/>
        <v>6.9675586348079952E-5</v>
      </c>
      <c r="I142" s="486">
        <f t="shared" si="16"/>
        <v>18</v>
      </c>
      <c r="J142" s="480"/>
      <c r="K142" s="487">
        <f t="shared" si="17"/>
        <v>1.0071338658141731E-2</v>
      </c>
      <c r="M142" s="82"/>
      <c r="N142" s="495"/>
      <c r="O142" s="480"/>
      <c r="P142" s="480"/>
    </row>
    <row r="143" spans="1:16" ht="12.75" thickBot="1">
      <c r="A143" s="81" t="s">
        <v>1272</v>
      </c>
      <c r="B143" s="135" t="s">
        <v>360</v>
      </c>
      <c r="C143" s="497">
        <v>4</v>
      </c>
      <c r="D143" s="497"/>
      <c r="E143" s="495">
        <v>20.46</v>
      </c>
      <c r="F143" s="190">
        <f t="shared" si="14"/>
        <v>81.84</v>
      </c>
      <c r="H143" s="486">
        <f t="shared" si="15"/>
        <v>1.3293817286163249E-5</v>
      </c>
      <c r="I143" s="486">
        <f t="shared" si="16"/>
        <v>4</v>
      </c>
      <c r="J143" s="480"/>
      <c r="K143" s="487">
        <f t="shared" si="17"/>
        <v>1.173020528951698E-2</v>
      </c>
      <c r="M143" s="82"/>
      <c r="N143" s="495"/>
      <c r="O143" s="480"/>
      <c r="P143" s="480"/>
    </row>
    <row r="144" spans="1:16" ht="12.75" thickBot="1">
      <c r="A144" s="81" t="s">
        <v>1272</v>
      </c>
      <c r="B144" s="2" t="s">
        <v>335</v>
      </c>
      <c r="C144" s="497">
        <v>39</v>
      </c>
      <c r="D144" s="497"/>
      <c r="E144" s="495">
        <v>30.21</v>
      </c>
      <c r="F144" s="190">
        <f t="shared" si="14"/>
        <v>1178.19</v>
      </c>
      <c r="H144" s="486">
        <f t="shared" si="15"/>
        <v>1.9138126329893302E-4</v>
      </c>
      <c r="I144" s="486">
        <f t="shared" si="16"/>
        <v>39</v>
      </c>
      <c r="J144" s="480"/>
      <c r="K144" s="487">
        <f t="shared" si="17"/>
        <v>7.9443892824732684E-3</v>
      </c>
      <c r="M144" s="82"/>
      <c r="N144" s="495"/>
      <c r="O144" s="480"/>
      <c r="P144" s="480"/>
    </row>
    <row r="145" spans="1:16" ht="12.75" thickBot="1">
      <c r="A145" s="81" t="s">
        <v>1272</v>
      </c>
      <c r="B145" s="2" t="s">
        <v>336</v>
      </c>
      <c r="C145" s="497">
        <v>2</v>
      </c>
      <c r="D145" s="497"/>
      <c r="E145" s="495">
        <v>42.56</v>
      </c>
      <c r="F145" s="190">
        <f t="shared" si="14"/>
        <v>85.12</v>
      </c>
      <c r="H145" s="486">
        <f t="shared" si="15"/>
        <v>1.3826609572314466E-5</v>
      </c>
      <c r="I145" s="486">
        <f t="shared" si="16"/>
        <v>2</v>
      </c>
      <c r="J145" s="480"/>
      <c r="K145" s="487">
        <f t="shared" si="17"/>
        <v>5.6390977496127209E-3</v>
      </c>
      <c r="M145" s="82"/>
      <c r="N145" s="495"/>
      <c r="O145" s="480"/>
      <c r="P145" s="480"/>
    </row>
    <row r="146" spans="1:16" ht="12.75" thickBot="1">
      <c r="A146" s="81" t="s">
        <v>1272</v>
      </c>
      <c r="B146" s="2" t="s">
        <v>337</v>
      </c>
      <c r="C146" s="497">
        <v>13</v>
      </c>
      <c r="D146" s="497"/>
      <c r="E146" s="495">
        <v>52.31</v>
      </c>
      <c r="F146" s="190">
        <f t="shared" si="14"/>
        <v>680.03</v>
      </c>
      <c r="H146" s="486">
        <f t="shared" si="15"/>
        <v>1.1046181047299113E-4</v>
      </c>
      <c r="I146" s="486">
        <f t="shared" si="16"/>
        <v>13</v>
      </c>
      <c r="J146" s="480"/>
      <c r="K146" s="487">
        <f t="shared" si="17"/>
        <v>4.5880328851752514E-3</v>
      </c>
      <c r="M146" s="82"/>
      <c r="N146" s="495"/>
      <c r="O146" s="480"/>
      <c r="P146" s="480"/>
    </row>
    <row r="147" spans="1:16" ht="12.75" thickBot="1">
      <c r="A147" s="81" t="s">
        <v>1272</v>
      </c>
      <c r="B147" s="2"/>
      <c r="C147" s="497"/>
      <c r="D147" s="497"/>
      <c r="E147" s="497"/>
      <c r="F147" s="480"/>
      <c r="H147" s="495"/>
      <c r="I147" s="495"/>
      <c r="J147" s="495"/>
      <c r="K147" s="480"/>
      <c r="M147" s="82"/>
      <c r="N147" s="495"/>
      <c r="O147" s="480"/>
      <c r="P147" s="480"/>
    </row>
    <row r="148" spans="1:16" ht="12.75" thickBot="1">
      <c r="A148" s="81" t="s">
        <v>1272</v>
      </c>
      <c r="B148" s="50" t="s">
        <v>7</v>
      </c>
      <c r="C148" s="79"/>
      <c r="D148" s="79"/>
      <c r="E148" s="79"/>
      <c r="F148" s="480"/>
      <c r="H148" s="80"/>
      <c r="I148" s="80"/>
      <c r="J148" s="80"/>
      <c r="K148" s="480"/>
      <c r="M148" s="82"/>
      <c r="N148" s="495"/>
      <c r="O148" s="480"/>
      <c r="P148" s="480"/>
    </row>
    <row r="149" spans="1:16" ht="12.75" thickBot="1">
      <c r="A149" s="81" t="s">
        <v>1273</v>
      </c>
      <c r="B149" s="2" t="s">
        <v>342</v>
      </c>
      <c r="C149" s="497">
        <v>79</v>
      </c>
      <c r="D149" s="497"/>
      <c r="E149" s="495">
        <v>8.14</v>
      </c>
      <c r="F149" s="190">
        <f t="shared" ref="F149:F180" si="18">C149*E149</f>
        <v>643.06000000000006</v>
      </c>
      <c r="H149" s="486">
        <f>F149/$M$154*$M$155</f>
        <v>-2.1928714817548168E-5</v>
      </c>
      <c r="I149" s="486">
        <f>ROUND((F149+H149)/E149,0)</f>
        <v>79</v>
      </c>
      <c r="J149" s="480"/>
      <c r="K149" s="487">
        <f>$M$155/E149</f>
        <v>-6.142506148226797E-3</v>
      </c>
      <c r="M149" s="488">
        <f>'12MonLights'!$K$222</f>
        <v>1531196</v>
      </c>
      <c r="N149" s="480" t="s">
        <v>1304</v>
      </c>
      <c r="O149" s="480"/>
      <c r="P149" s="480" t="s">
        <v>1317</v>
      </c>
    </row>
    <row r="150" spans="1:16" ht="12.75" thickBot="1">
      <c r="A150" s="81" t="s">
        <v>1273</v>
      </c>
      <c r="B150" s="2" t="s">
        <v>213</v>
      </c>
      <c r="C150" s="497">
        <v>3572</v>
      </c>
      <c r="D150" s="497"/>
      <c r="E150" s="495">
        <v>10.959999999999999</v>
      </c>
      <c r="F150" s="190">
        <f t="shared" si="18"/>
        <v>39149.119999999995</v>
      </c>
      <c r="H150" s="486">
        <f t="shared" ref="H150:H213" si="19">F150/$M$154*$M$155</f>
        <v>-1.3350074453985182E-3</v>
      </c>
      <c r="I150" s="486">
        <f t="shared" ref="I150:I213" si="20">ROUND((F150+H150)/E150,0)</f>
        <v>3572</v>
      </c>
      <c r="J150" s="480"/>
      <c r="K150" s="487">
        <f t="shared" ref="K150:K213" si="21">$M$155/E150</f>
        <v>-4.5620437998691726E-3</v>
      </c>
      <c r="M150" s="488">
        <f>-M162</f>
        <v>-37095.339999999997</v>
      </c>
      <c r="N150" s="489" t="s">
        <v>1306</v>
      </c>
      <c r="O150" s="480"/>
      <c r="P150" s="480"/>
    </row>
    <row r="151" spans="1:16" ht="12.75" thickBot="1">
      <c r="A151" s="81" t="s">
        <v>1273</v>
      </c>
      <c r="B151" s="2" t="s">
        <v>214</v>
      </c>
      <c r="C151" s="497">
        <v>3762</v>
      </c>
      <c r="D151" s="497"/>
      <c r="E151" s="495">
        <v>13.510000000000002</v>
      </c>
      <c r="F151" s="190">
        <f t="shared" si="18"/>
        <v>50824.62</v>
      </c>
      <c r="H151" s="486">
        <f t="shared" si="19"/>
        <v>-1.7331486917087904E-3</v>
      </c>
      <c r="I151" s="486">
        <f t="shared" si="20"/>
        <v>3762</v>
      </c>
      <c r="J151" s="480"/>
      <c r="K151" s="487">
        <f t="shared" si="21"/>
        <v>-3.7009622536318372E-3</v>
      </c>
      <c r="M151" s="490">
        <f>M149+M150</f>
        <v>1494100.66</v>
      </c>
      <c r="N151" s="491" t="s">
        <v>1307</v>
      </c>
      <c r="O151" s="480"/>
      <c r="P151" s="480"/>
    </row>
    <row r="152" spans="1:16" ht="12.75" thickBot="1">
      <c r="A152" s="81" t="s">
        <v>1273</v>
      </c>
      <c r="B152" s="2" t="s">
        <v>215</v>
      </c>
      <c r="C152" s="497">
        <v>97</v>
      </c>
      <c r="D152" s="497"/>
      <c r="E152" s="495">
        <v>12.450000000000001</v>
      </c>
      <c r="F152" s="190">
        <f t="shared" si="18"/>
        <v>1207.6500000000001</v>
      </c>
      <c r="H152" s="486">
        <f t="shared" si="19"/>
        <v>-4.1181557629788893E-5</v>
      </c>
      <c r="I152" s="486">
        <f t="shared" si="20"/>
        <v>97</v>
      </c>
      <c r="J152" s="480"/>
      <c r="K152" s="487">
        <f t="shared" si="21"/>
        <v>-4.0160642607683632E-3</v>
      </c>
      <c r="M152" s="490">
        <f>'1051'!$K$77</f>
        <v>27849.710000000006</v>
      </c>
      <c r="N152" s="492" t="s">
        <v>1308</v>
      </c>
      <c r="O152" s="480"/>
      <c r="P152" s="480"/>
    </row>
    <row r="153" spans="1:16" ht="12.75" thickBot="1">
      <c r="A153" s="81" t="s">
        <v>1273</v>
      </c>
      <c r="B153" s="2" t="s">
        <v>216</v>
      </c>
      <c r="C153" s="497">
        <v>761</v>
      </c>
      <c r="D153" s="497"/>
      <c r="E153" s="495">
        <v>15.54</v>
      </c>
      <c r="F153" s="190">
        <f t="shared" si="18"/>
        <v>11825.939999999999</v>
      </c>
      <c r="H153" s="486">
        <f t="shared" si="19"/>
        <v>-4.0327133659290814E-4</v>
      </c>
      <c r="I153" s="486">
        <f t="shared" si="20"/>
        <v>761</v>
      </c>
      <c r="J153" s="480"/>
      <c r="K153" s="487">
        <f t="shared" si="21"/>
        <v>-3.2175032204997509E-3</v>
      </c>
      <c r="M153" s="490">
        <f>M151-M152</f>
        <v>1466250.95</v>
      </c>
      <c r="N153" s="492" t="s">
        <v>1309</v>
      </c>
      <c r="O153" s="480"/>
      <c r="P153" s="480"/>
    </row>
    <row r="154" spans="1:16" ht="12.75" thickBot="1">
      <c r="A154" s="81" t="s">
        <v>1273</v>
      </c>
      <c r="B154" s="2" t="s">
        <v>217</v>
      </c>
      <c r="C154" s="497">
        <v>1408</v>
      </c>
      <c r="D154" s="497"/>
      <c r="E154" s="495">
        <v>14.24</v>
      </c>
      <c r="F154" s="190">
        <f t="shared" si="18"/>
        <v>20049.920000000002</v>
      </c>
      <c r="H154" s="486">
        <f t="shared" si="19"/>
        <v>-6.8371377133495377E-4</v>
      </c>
      <c r="I154" s="486">
        <f t="shared" si="20"/>
        <v>1408</v>
      </c>
      <c r="J154" s="480"/>
      <c r="K154" s="487">
        <f t="shared" si="21"/>
        <v>-3.5112359583262731E-3</v>
      </c>
      <c r="M154" s="490">
        <f>SUM(F149:F217)</f>
        <v>1466251</v>
      </c>
      <c r="N154" s="491" t="s">
        <v>1323</v>
      </c>
      <c r="O154" s="480"/>
      <c r="P154" s="480"/>
    </row>
    <row r="155" spans="1:16" ht="12.75" thickBot="1">
      <c r="A155" s="81" t="s">
        <v>1273</v>
      </c>
      <c r="B155" s="2" t="s">
        <v>344</v>
      </c>
      <c r="C155" s="497">
        <v>43</v>
      </c>
      <c r="D155" s="497"/>
      <c r="E155" s="495">
        <v>27.69</v>
      </c>
      <c r="F155" s="190">
        <f t="shared" si="18"/>
        <v>1190.67</v>
      </c>
      <c r="H155" s="486">
        <f t="shared" si="19"/>
        <v>-4.060252989116113E-5</v>
      </c>
      <c r="I155" s="486">
        <f t="shared" si="20"/>
        <v>43</v>
      </c>
      <c r="J155" s="480"/>
      <c r="K155" s="487">
        <f t="shared" si="21"/>
        <v>-1.8057060327398384E-3</v>
      </c>
      <c r="M155" s="490">
        <f>M153-M154</f>
        <v>-5.0000000046566129E-2</v>
      </c>
      <c r="N155" s="492"/>
      <c r="O155" s="480"/>
      <c r="P155" s="480"/>
    </row>
    <row r="156" spans="1:16" ht="12.75" thickBot="1">
      <c r="A156" s="81" t="s">
        <v>1273</v>
      </c>
      <c r="B156" s="135" t="s">
        <v>218</v>
      </c>
      <c r="C156" s="497">
        <f>341-2</f>
        <v>339</v>
      </c>
      <c r="D156" s="497"/>
      <c r="E156" s="495">
        <v>28.89</v>
      </c>
      <c r="F156" s="190">
        <f t="shared" si="18"/>
        <v>9793.7100000000009</v>
      </c>
      <c r="H156" s="486">
        <f t="shared" si="19"/>
        <v>-3.3397112803746097E-4</v>
      </c>
      <c r="I156" s="486">
        <f t="shared" si="20"/>
        <v>339</v>
      </c>
      <c r="J156" s="480"/>
      <c r="K156" s="487">
        <f t="shared" si="21"/>
        <v>-1.7307026668939469E-3</v>
      </c>
      <c r="M156" s="490"/>
      <c r="N156" s="492"/>
      <c r="O156" s="480"/>
      <c r="P156" s="480"/>
    </row>
    <row r="157" spans="1:16" ht="12.75" thickBot="1">
      <c r="A157" s="81" t="s">
        <v>1273</v>
      </c>
      <c r="B157" s="2" t="s">
        <v>223</v>
      </c>
      <c r="C157" s="497">
        <v>3912</v>
      </c>
      <c r="D157" s="497"/>
      <c r="E157" s="495">
        <v>9.57</v>
      </c>
      <c r="F157" s="190">
        <f t="shared" si="18"/>
        <v>37437.840000000004</v>
      </c>
      <c r="H157" s="486">
        <f t="shared" si="19"/>
        <v>-1.276651815919195E-3</v>
      </c>
      <c r="I157" s="486">
        <f t="shared" si="20"/>
        <v>3912</v>
      </c>
      <c r="J157" s="480"/>
      <c r="K157" s="487">
        <f t="shared" si="21"/>
        <v>-5.2246604019400341E-3</v>
      </c>
      <c r="M157" s="490"/>
      <c r="N157" s="492"/>
      <c r="O157" s="480"/>
      <c r="P157" s="480"/>
    </row>
    <row r="158" spans="1:16" ht="12.75" thickBot="1">
      <c r="A158" s="81" t="s">
        <v>1273</v>
      </c>
      <c r="B158" s="2" t="s">
        <v>231</v>
      </c>
      <c r="C158" s="497">
        <v>1983</v>
      </c>
      <c r="D158" s="497"/>
      <c r="E158" s="495">
        <v>27.34</v>
      </c>
      <c r="F158" s="190">
        <f t="shared" si="18"/>
        <v>54215.22</v>
      </c>
      <c r="H158" s="486">
        <f t="shared" si="19"/>
        <v>-1.8487700963372524E-3</v>
      </c>
      <c r="I158" s="486">
        <f t="shared" si="20"/>
        <v>1983</v>
      </c>
      <c r="J158" s="480"/>
      <c r="K158" s="487">
        <f t="shared" si="21"/>
        <v>-1.8288222401816434E-3</v>
      </c>
      <c r="M158" s="493"/>
      <c r="N158" s="492"/>
      <c r="O158" s="480"/>
      <c r="P158" s="480"/>
    </row>
    <row r="159" spans="1:16" ht="12.75" thickBot="1">
      <c r="A159" s="81" t="s">
        <v>1273</v>
      </c>
      <c r="B159" s="2" t="s">
        <v>232</v>
      </c>
      <c r="C159" s="497">
        <v>2188</v>
      </c>
      <c r="D159" s="497"/>
      <c r="E159" s="495">
        <v>31.4</v>
      </c>
      <c r="F159" s="190">
        <f t="shared" si="18"/>
        <v>68703.199999999997</v>
      </c>
      <c r="H159" s="486">
        <f t="shared" si="19"/>
        <v>-2.3428185237038147E-3</v>
      </c>
      <c r="I159" s="486">
        <f t="shared" si="20"/>
        <v>2188</v>
      </c>
      <c r="J159" s="480"/>
      <c r="K159" s="487">
        <f t="shared" si="21"/>
        <v>-1.592356689381087E-3</v>
      </c>
      <c r="M159" s="492"/>
      <c r="N159" s="494"/>
      <c r="O159" s="480"/>
      <c r="P159" s="480"/>
    </row>
    <row r="160" spans="1:16" ht="12.75" thickBot="1">
      <c r="A160" s="81" t="s">
        <v>1273</v>
      </c>
      <c r="B160" s="2" t="s">
        <v>234</v>
      </c>
      <c r="C160" s="497">
        <v>16786</v>
      </c>
      <c r="D160" s="497"/>
      <c r="E160" s="495">
        <v>17.189999999999998</v>
      </c>
      <c r="F160" s="190">
        <f t="shared" si="18"/>
        <v>288551.33999999997</v>
      </c>
      <c r="H160" s="486">
        <f t="shared" si="19"/>
        <v>-9.8397661883515963E-3</v>
      </c>
      <c r="I160" s="486">
        <f t="shared" si="20"/>
        <v>16786</v>
      </c>
      <c r="J160" s="480"/>
      <c r="K160" s="487">
        <f t="shared" si="21"/>
        <v>-2.9086678328427073E-3</v>
      </c>
      <c r="M160" s="492">
        <f>'12MonResults'!$AD$108</f>
        <v>15947.04</v>
      </c>
      <c r="N160" s="494" t="s">
        <v>17</v>
      </c>
      <c r="O160" s="480" t="s">
        <v>1311</v>
      </c>
      <c r="P160" s="480"/>
    </row>
    <row r="161" spans="1:16" ht="12.75" thickBot="1">
      <c r="A161" s="81" t="s">
        <v>1273</v>
      </c>
      <c r="B161" s="2" t="s">
        <v>353</v>
      </c>
      <c r="C161" s="497">
        <v>506</v>
      </c>
      <c r="D161" s="497"/>
      <c r="E161" s="495">
        <v>24.89</v>
      </c>
      <c r="F161" s="190">
        <f t="shared" si="18"/>
        <v>12594.34</v>
      </c>
      <c r="H161" s="486">
        <f t="shared" si="19"/>
        <v>-4.2947421729735876E-4</v>
      </c>
      <c r="I161" s="486">
        <f t="shared" si="20"/>
        <v>506</v>
      </c>
      <c r="J161" s="480"/>
      <c r="K161" s="487">
        <f t="shared" si="21"/>
        <v>-2.0088388929918092E-3</v>
      </c>
      <c r="M161" s="492">
        <f>'12MonResults'!$AD$110</f>
        <v>21148.3</v>
      </c>
      <c r="N161" s="494" t="s">
        <v>18</v>
      </c>
      <c r="O161" s="480"/>
      <c r="P161" s="480"/>
    </row>
    <row r="162" spans="1:16" ht="12.75" thickBot="1">
      <c r="A162" s="81" t="s">
        <v>1273</v>
      </c>
      <c r="B162" s="135" t="s">
        <v>235</v>
      </c>
      <c r="C162" s="497">
        <v>1337</v>
      </c>
      <c r="D162" s="497"/>
      <c r="E162" s="495">
        <v>14.17</v>
      </c>
      <c r="F162" s="190">
        <f t="shared" si="18"/>
        <v>18945.29</v>
      </c>
      <c r="H162" s="486">
        <f t="shared" si="19"/>
        <v>-6.4604525479076155E-4</v>
      </c>
      <c r="I162" s="486">
        <f t="shared" si="20"/>
        <v>1337</v>
      </c>
      <c r="J162" s="480"/>
      <c r="K162" s="487">
        <f t="shared" si="21"/>
        <v>-3.5285815135191342E-3</v>
      </c>
      <c r="M162" s="492">
        <f>M160+M161</f>
        <v>37095.339999999997</v>
      </c>
      <c r="N162" s="494"/>
      <c r="O162" s="480"/>
      <c r="P162" s="480"/>
    </row>
    <row r="163" spans="1:16" ht="12.75" thickBot="1">
      <c r="A163" s="81" t="s">
        <v>1273</v>
      </c>
      <c r="B163" s="2" t="s">
        <v>236</v>
      </c>
      <c r="C163" s="497">
        <v>2273</v>
      </c>
      <c r="D163" s="497"/>
      <c r="E163" s="495">
        <v>22.15</v>
      </c>
      <c r="F163" s="190">
        <f t="shared" si="18"/>
        <v>50346.95</v>
      </c>
      <c r="H163" s="486">
        <f t="shared" si="19"/>
        <v>-1.7168598707482296E-3</v>
      </c>
      <c r="I163" s="486">
        <f t="shared" si="20"/>
        <v>2273</v>
      </c>
      <c r="J163" s="480"/>
      <c r="K163" s="487">
        <f t="shared" si="21"/>
        <v>-2.2573363452174327E-3</v>
      </c>
      <c r="M163" s="82"/>
      <c r="N163" s="495"/>
      <c r="O163" s="480"/>
      <c r="P163" s="480"/>
    </row>
    <row r="164" spans="1:16" ht="12.75" thickBot="1">
      <c r="A164" s="81" t="s">
        <v>1273</v>
      </c>
      <c r="B164" s="2" t="s">
        <v>354</v>
      </c>
      <c r="C164" s="497">
        <v>17</v>
      </c>
      <c r="D164" s="497"/>
      <c r="E164" s="495">
        <v>72.550000000000011</v>
      </c>
      <c r="F164" s="190">
        <f t="shared" si="18"/>
        <v>1233.3500000000001</v>
      </c>
      <c r="H164" s="486">
        <f t="shared" si="19"/>
        <v>-4.2057942369643631E-5</v>
      </c>
      <c r="I164" s="486">
        <f t="shared" si="20"/>
        <v>17</v>
      </c>
      <c r="J164" s="480"/>
      <c r="K164" s="487">
        <f t="shared" si="21"/>
        <v>-6.8917987658947098E-4</v>
      </c>
      <c r="M164" s="82"/>
      <c r="N164" s="495"/>
      <c r="O164" s="480"/>
      <c r="P164" s="480"/>
    </row>
    <row r="165" spans="1:16" ht="12.75" thickBot="1">
      <c r="A165" s="81" t="s">
        <v>1273</v>
      </c>
      <c r="B165" s="2" t="s">
        <v>355</v>
      </c>
      <c r="C165" s="497">
        <v>11</v>
      </c>
      <c r="D165" s="497"/>
      <c r="E165" s="495">
        <v>41.43</v>
      </c>
      <c r="F165" s="190">
        <f t="shared" si="18"/>
        <v>455.73</v>
      </c>
      <c r="H165" s="486">
        <f t="shared" si="19"/>
        <v>-1.5540654377198438E-5</v>
      </c>
      <c r="I165" s="486">
        <f t="shared" si="20"/>
        <v>11</v>
      </c>
      <c r="J165" s="480"/>
      <c r="K165" s="487">
        <f t="shared" si="21"/>
        <v>-1.2068549371606597E-3</v>
      </c>
      <c r="M165" s="82"/>
      <c r="N165" s="495"/>
      <c r="O165" s="480"/>
      <c r="P165" s="480"/>
    </row>
    <row r="166" spans="1:16" ht="12.75" thickBot="1">
      <c r="A166" s="81" t="s">
        <v>1273</v>
      </c>
      <c r="B166" s="2" t="s">
        <v>359</v>
      </c>
      <c r="C166" s="497">
        <v>45</v>
      </c>
      <c r="D166" s="497"/>
      <c r="E166" s="495">
        <v>19.38</v>
      </c>
      <c r="F166" s="190">
        <f t="shared" si="18"/>
        <v>872.09999999999991</v>
      </c>
      <c r="H166" s="486">
        <f t="shared" si="19"/>
        <v>-2.9739110180051248E-5</v>
      </c>
      <c r="I166" s="486">
        <f t="shared" si="20"/>
        <v>45</v>
      </c>
      <c r="J166" s="480"/>
      <c r="K166" s="487">
        <f t="shared" si="21"/>
        <v>-2.5799793625679119E-3</v>
      </c>
      <c r="M166" s="82"/>
      <c r="N166" s="495"/>
      <c r="O166" s="480"/>
      <c r="P166" s="480"/>
    </row>
    <row r="167" spans="1:16" ht="12.75" thickBot="1">
      <c r="A167" s="81" t="s">
        <v>1273</v>
      </c>
      <c r="B167" s="2" t="s">
        <v>356</v>
      </c>
      <c r="C167" s="497">
        <v>243</v>
      </c>
      <c r="D167" s="497"/>
      <c r="E167" s="495">
        <v>20.349999999999998</v>
      </c>
      <c r="F167" s="190">
        <f t="shared" si="18"/>
        <v>4945.0499999999993</v>
      </c>
      <c r="H167" s="486">
        <f t="shared" si="19"/>
        <v>-1.6862904116025961E-4</v>
      </c>
      <c r="I167" s="486">
        <f t="shared" si="20"/>
        <v>243</v>
      </c>
      <c r="J167" s="480"/>
      <c r="K167" s="487">
        <f t="shared" si="21"/>
        <v>-2.457002459290719E-3</v>
      </c>
      <c r="M167" s="82"/>
      <c r="N167" s="495"/>
      <c r="O167" s="480"/>
      <c r="P167" s="480"/>
    </row>
    <row r="168" spans="1:16" ht="12.75" thickBot="1">
      <c r="A168" s="81" t="s">
        <v>1273</v>
      </c>
      <c r="B168" s="135" t="s">
        <v>357</v>
      </c>
      <c r="C168" s="497">
        <v>104</v>
      </c>
      <c r="D168" s="497"/>
      <c r="E168" s="495">
        <v>19.53</v>
      </c>
      <c r="F168" s="190">
        <f t="shared" si="18"/>
        <v>2031.1200000000001</v>
      </c>
      <c r="H168" s="486">
        <f t="shared" si="19"/>
        <v>-6.926235691882318E-5</v>
      </c>
      <c r="I168" s="486">
        <f t="shared" si="20"/>
        <v>104</v>
      </c>
      <c r="J168" s="480"/>
      <c r="K168" s="487">
        <f t="shared" si="21"/>
        <v>-2.5601638528707695E-3</v>
      </c>
      <c r="M168" s="82"/>
      <c r="N168" s="495"/>
      <c r="O168" s="480"/>
      <c r="P168" s="480"/>
    </row>
    <row r="169" spans="1:16" ht="12.75" thickBot="1">
      <c r="A169" s="81" t="s">
        <v>1273</v>
      </c>
      <c r="B169" s="2" t="s">
        <v>358</v>
      </c>
      <c r="C169" s="497">
        <v>81</v>
      </c>
      <c r="D169" s="497"/>
      <c r="E169" s="495">
        <v>20.819999999999997</v>
      </c>
      <c r="F169" s="190">
        <f t="shared" si="18"/>
        <v>1686.4199999999998</v>
      </c>
      <c r="H169" s="486">
        <f t="shared" si="19"/>
        <v>-5.7507889221238408E-5</v>
      </c>
      <c r="I169" s="486">
        <f t="shared" si="20"/>
        <v>81</v>
      </c>
      <c r="J169" s="480"/>
      <c r="K169" s="487">
        <f t="shared" si="21"/>
        <v>-2.4015369859061546E-3</v>
      </c>
      <c r="M169" s="82"/>
      <c r="N169" s="495"/>
      <c r="O169" s="480"/>
      <c r="P169" s="480"/>
    </row>
    <row r="170" spans="1:16" ht="12.75" thickBot="1">
      <c r="A170" s="81" t="s">
        <v>1273</v>
      </c>
      <c r="B170" s="2" t="s">
        <v>250</v>
      </c>
      <c r="C170" s="497">
        <v>488</v>
      </c>
      <c r="D170" s="497"/>
      <c r="E170" s="495">
        <v>19.2</v>
      </c>
      <c r="F170" s="190">
        <f t="shared" si="18"/>
        <v>9369.6</v>
      </c>
      <c r="H170" s="486">
        <f t="shared" si="19"/>
        <v>-3.1950873379544572E-4</v>
      </c>
      <c r="I170" s="486">
        <f t="shared" si="20"/>
        <v>488</v>
      </c>
      <c r="J170" s="480"/>
      <c r="K170" s="487">
        <f t="shared" si="21"/>
        <v>-2.604166669091986E-3</v>
      </c>
      <c r="M170" s="82"/>
      <c r="N170" s="495"/>
      <c r="O170" s="480"/>
      <c r="P170" s="480"/>
    </row>
    <row r="171" spans="1:16" ht="12.75" thickBot="1">
      <c r="A171" s="81" t="s">
        <v>1273</v>
      </c>
      <c r="B171" s="2" t="s">
        <v>251</v>
      </c>
      <c r="C171" s="497">
        <v>514</v>
      </c>
      <c r="D171" s="497"/>
      <c r="E171" s="495">
        <v>22.949999999999996</v>
      </c>
      <c r="F171" s="190">
        <f t="shared" si="18"/>
        <v>11796.299999999997</v>
      </c>
      <c r="H171" s="486">
        <f t="shared" si="19"/>
        <v>-4.022605955933247E-4</v>
      </c>
      <c r="I171" s="486">
        <f t="shared" si="20"/>
        <v>514</v>
      </c>
      <c r="J171" s="480"/>
      <c r="K171" s="487">
        <f t="shared" si="21"/>
        <v>-2.1786492395017925E-3</v>
      </c>
      <c r="M171" s="82"/>
      <c r="N171" s="495"/>
      <c r="O171" s="480"/>
      <c r="P171" s="480"/>
    </row>
    <row r="172" spans="1:16" ht="12.75" thickBot="1">
      <c r="A172" s="81" t="s">
        <v>1273</v>
      </c>
      <c r="B172" s="2" t="s">
        <v>254</v>
      </c>
      <c r="C172" s="497">
        <v>53</v>
      </c>
      <c r="D172" s="497"/>
      <c r="E172" s="495">
        <v>17.419999999999998</v>
      </c>
      <c r="F172" s="190">
        <f t="shared" si="18"/>
        <v>923.25999999999988</v>
      </c>
      <c r="H172" s="486">
        <f t="shared" si="19"/>
        <v>-3.1483695522112272E-5</v>
      </c>
      <c r="I172" s="486">
        <f t="shared" si="20"/>
        <v>53</v>
      </c>
      <c r="J172" s="480"/>
      <c r="K172" s="487">
        <f t="shared" si="21"/>
        <v>-2.8702640669670569E-3</v>
      </c>
      <c r="M172" s="82"/>
      <c r="N172" s="495"/>
      <c r="O172" s="480"/>
      <c r="P172" s="480"/>
    </row>
    <row r="173" spans="1:16" ht="12.75" thickBot="1">
      <c r="A173" s="81" t="s">
        <v>1273</v>
      </c>
      <c r="B173" s="135" t="s">
        <v>260</v>
      </c>
      <c r="C173" s="497">
        <v>39</v>
      </c>
      <c r="D173" s="497"/>
      <c r="E173" s="495">
        <v>13.12</v>
      </c>
      <c r="F173" s="190">
        <f t="shared" si="18"/>
        <v>511.67999999999995</v>
      </c>
      <c r="H173" s="486">
        <f t="shared" si="19"/>
        <v>-1.7448581466493085E-5</v>
      </c>
      <c r="I173" s="486">
        <f t="shared" si="20"/>
        <v>39</v>
      </c>
      <c r="J173" s="480"/>
      <c r="K173" s="487">
        <f t="shared" si="21"/>
        <v>-3.8109756133053456E-3</v>
      </c>
      <c r="M173" s="82"/>
      <c r="N173" s="495"/>
      <c r="O173" s="480"/>
      <c r="P173" s="480"/>
    </row>
    <row r="174" spans="1:16" ht="12.75" thickBot="1">
      <c r="A174" s="81" t="s">
        <v>1273</v>
      </c>
      <c r="B174" s="2" t="s">
        <v>262</v>
      </c>
      <c r="C174" s="497">
        <v>17</v>
      </c>
      <c r="D174" s="497"/>
      <c r="E174" s="495">
        <v>9.0200000000000014</v>
      </c>
      <c r="F174" s="190">
        <f t="shared" si="18"/>
        <v>153.34000000000003</v>
      </c>
      <c r="H174" s="486">
        <f t="shared" si="19"/>
        <v>-5.2289819458881541E-6</v>
      </c>
      <c r="I174" s="486">
        <f t="shared" si="20"/>
        <v>17</v>
      </c>
      <c r="J174" s="480"/>
      <c r="K174" s="487">
        <f t="shared" si="21"/>
        <v>-5.5432372557168647E-3</v>
      </c>
      <c r="M174" s="82"/>
      <c r="N174" s="495"/>
      <c r="O174" s="480"/>
      <c r="P174" s="480"/>
    </row>
    <row r="175" spans="1:16" ht="12.75" thickBot="1">
      <c r="A175" s="81" t="s">
        <v>1273</v>
      </c>
      <c r="B175" s="2" t="s">
        <v>340</v>
      </c>
      <c r="C175" s="497">
        <v>32</v>
      </c>
      <c r="D175" s="497"/>
      <c r="E175" s="495">
        <v>23.89</v>
      </c>
      <c r="F175" s="190">
        <f t="shared" si="18"/>
        <v>764.48</v>
      </c>
      <c r="H175" s="486">
        <f t="shared" si="19"/>
        <v>-2.6069206456192614E-5</v>
      </c>
      <c r="I175" s="486">
        <f t="shared" si="20"/>
        <v>32</v>
      </c>
      <c r="J175" s="480"/>
      <c r="K175" s="487">
        <f t="shared" si="21"/>
        <v>-2.0929259123719599E-3</v>
      </c>
      <c r="M175" s="82"/>
      <c r="N175" s="495"/>
      <c r="O175" s="480"/>
      <c r="P175" s="480"/>
    </row>
    <row r="176" spans="1:16" ht="12.75" thickBot="1">
      <c r="A176" s="81" t="s">
        <v>1273</v>
      </c>
      <c r="B176" s="2" t="s">
        <v>692</v>
      </c>
      <c r="C176" s="497">
        <v>4</v>
      </c>
      <c r="D176" s="497"/>
      <c r="E176" s="495">
        <v>24.9</v>
      </c>
      <c r="F176" s="190">
        <f t="shared" si="18"/>
        <v>99.6</v>
      </c>
      <c r="H176" s="486">
        <f t="shared" si="19"/>
        <v>-3.3964171241062997E-6</v>
      </c>
      <c r="I176" s="486">
        <f t="shared" si="20"/>
        <v>4</v>
      </c>
      <c r="J176" s="480"/>
      <c r="K176" s="487">
        <f t="shared" si="21"/>
        <v>-2.0080321303841821E-3</v>
      </c>
      <c r="M176" s="82"/>
      <c r="N176" s="495"/>
      <c r="O176" s="480"/>
      <c r="P176" s="480"/>
    </row>
    <row r="177" spans="1:16" ht="12.75" thickBot="1">
      <c r="A177" s="81" t="s">
        <v>1273</v>
      </c>
      <c r="B177" s="2" t="s">
        <v>292</v>
      </c>
      <c r="C177" s="497">
        <v>222</v>
      </c>
      <c r="D177" s="497"/>
      <c r="E177" s="495">
        <v>19.79</v>
      </c>
      <c r="F177" s="190">
        <f t="shared" si="18"/>
        <v>4393.38</v>
      </c>
      <c r="H177" s="486">
        <f t="shared" si="19"/>
        <v>-1.4981677775809373E-4</v>
      </c>
      <c r="I177" s="486">
        <f t="shared" si="20"/>
        <v>222</v>
      </c>
      <c r="J177" s="480"/>
      <c r="K177" s="487">
        <f t="shared" si="21"/>
        <v>-2.5265285521256257E-3</v>
      </c>
      <c r="M177" s="82"/>
      <c r="N177" s="495"/>
      <c r="O177" s="480"/>
      <c r="P177" s="480"/>
    </row>
    <row r="178" spans="1:16" ht="12.75" thickBot="1">
      <c r="A178" s="81" t="s">
        <v>1273</v>
      </c>
      <c r="B178" s="135" t="s">
        <v>293</v>
      </c>
      <c r="C178" s="497">
        <v>2039</v>
      </c>
      <c r="D178" s="497"/>
      <c r="E178" s="495">
        <v>20.49</v>
      </c>
      <c r="F178" s="190">
        <f t="shared" si="18"/>
        <v>41779.109999999993</v>
      </c>
      <c r="H178" s="486">
        <f t="shared" si="19"/>
        <v>-1.4246916127903686E-3</v>
      </c>
      <c r="I178" s="486">
        <f t="shared" si="20"/>
        <v>2039</v>
      </c>
      <c r="J178" s="480"/>
      <c r="K178" s="487">
        <f t="shared" si="21"/>
        <v>-2.4402147411696504E-3</v>
      </c>
      <c r="M178" s="82"/>
      <c r="N178" s="495"/>
      <c r="O178" s="480"/>
      <c r="P178" s="480"/>
    </row>
    <row r="179" spans="1:16" ht="12.75" thickBot="1">
      <c r="A179" s="81" t="s">
        <v>1273</v>
      </c>
      <c r="B179" s="2" t="s">
        <v>295</v>
      </c>
      <c r="C179" s="497">
        <v>31</v>
      </c>
      <c r="D179" s="497"/>
      <c r="E179" s="495">
        <v>20.18</v>
      </c>
      <c r="F179" s="190">
        <f t="shared" si="18"/>
        <v>625.58000000000004</v>
      </c>
      <c r="H179" s="486">
        <f t="shared" si="19"/>
        <v>-2.1332636792152803E-5</v>
      </c>
      <c r="I179" s="486">
        <f t="shared" si="20"/>
        <v>31</v>
      </c>
      <c r="J179" s="480"/>
      <c r="K179" s="487">
        <f t="shared" si="21"/>
        <v>-2.4777006960637329E-3</v>
      </c>
      <c r="M179" s="82"/>
      <c r="N179" s="495"/>
      <c r="O179" s="480"/>
      <c r="P179" s="480"/>
    </row>
    <row r="180" spans="1:16" ht="12.75" thickBot="1">
      <c r="A180" s="81" t="s">
        <v>1273</v>
      </c>
      <c r="B180" s="2" t="s">
        <v>296</v>
      </c>
      <c r="C180" s="497">
        <v>1847</v>
      </c>
      <c r="D180" s="497"/>
      <c r="E180" s="495">
        <v>22.56</v>
      </c>
      <c r="F180" s="190">
        <f t="shared" si="18"/>
        <v>41668.32</v>
      </c>
      <c r="H180" s="486">
        <f t="shared" si="19"/>
        <v>-1.4209136102484037E-3</v>
      </c>
      <c r="I180" s="486">
        <f t="shared" si="20"/>
        <v>1847</v>
      </c>
      <c r="J180" s="480"/>
      <c r="K180" s="487">
        <f t="shared" si="21"/>
        <v>-2.2163120588016903E-3</v>
      </c>
      <c r="M180" s="82"/>
      <c r="N180" s="495"/>
      <c r="O180" s="480"/>
      <c r="P180" s="480"/>
    </row>
    <row r="181" spans="1:16" ht="12.75" thickBot="1">
      <c r="A181" s="81" t="s">
        <v>1273</v>
      </c>
      <c r="B181" s="2" t="s">
        <v>297</v>
      </c>
      <c r="C181" s="497">
        <v>35</v>
      </c>
      <c r="D181" s="497"/>
      <c r="E181" s="495">
        <v>23.68</v>
      </c>
      <c r="F181" s="190">
        <f t="shared" ref="F181:F212" si="22">C181*E181</f>
        <v>828.8</v>
      </c>
      <c r="H181" s="486">
        <f t="shared" si="19"/>
        <v>-2.8262555345976922E-5</v>
      </c>
      <c r="I181" s="486">
        <f t="shared" si="20"/>
        <v>35</v>
      </c>
      <c r="J181" s="480"/>
      <c r="K181" s="487">
        <f t="shared" si="21"/>
        <v>-2.1114864884529613E-3</v>
      </c>
      <c r="M181" s="82"/>
      <c r="N181" s="495"/>
      <c r="O181" s="480"/>
      <c r="P181" s="480"/>
    </row>
    <row r="182" spans="1:16" ht="12.75" thickBot="1">
      <c r="A182" s="81" t="s">
        <v>1273</v>
      </c>
      <c r="B182" s="2" t="s">
        <v>299</v>
      </c>
      <c r="C182" s="497">
        <v>111</v>
      </c>
      <c r="D182" s="497"/>
      <c r="E182" s="495">
        <v>24.77</v>
      </c>
      <c r="F182" s="190">
        <f t="shared" si="22"/>
        <v>2749.47</v>
      </c>
      <c r="H182" s="486">
        <f t="shared" si="19"/>
        <v>-9.3758503917836826E-5</v>
      </c>
      <c r="I182" s="486">
        <f t="shared" si="20"/>
        <v>111</v>
      </c>
      <c r="J182" s="480"/>
      <c r="K182" s="487">
        <f t="shared" si="21"/>
        <v>-2.0185708537168402E-3</v>
      </c>
      <c r="M182" s="82"/>
      <c r="N182" s="495"/>
      <c r="O182" s="480"/>
      <c r="P182" s="480"/>
    </row>
    <row r="183" spans="1:16" ht="12.75" thickBot="1">
      <c r="A183" s="81" t="s">
        <v>1273</v>
      </c>
      <c r="B183" s="2" t="s">
        <v>300</v>
      </c>
      <c r="C183" s="497">
        <v>59</v>
      </c>
      <c r="D183" s="497"/>
      <c r="E183" s="495">
        <v>29.889999999999997</v>
      </c>
      <c r="F183" s="190">
        <f t="shared" si="22"/>
        <v>1763.5099999999998</v>
      </c>
      <c r="H183" s="486">
        <f t="shared" si="19"/>
        <v>-6.0136702435067267E-5</v>
      </c>
      <c r="I183" s="486">
        <f t="shared" si="20"/>
        <v>59</v>
      </c>
      <c r="J183" s="480"/>
      <c r="K183" s="487">
        <f t="shared" si="21"/>
        <v>-1.6728002692059597E-3</v>
      </c>
      <c r="M183" s="82"/>
      <c r="N183" s="495"/>
      <c r="O183" s="480"/>
      <c r="P183" s="480"/>
    </row>
    <row r="184" spans="1:16" ht="12.75" thickBot="1">
      <c r="A184" s="81" t="s">
        <v>1273</v>
      </c>
      <c r="B184" s="2" t="s">
        <v>301</v>
      </c>
      <c r="C184" s="497">
        <v>176</v>
      </c>
      <c r="D184" s="497"/>
      <c r="E184" s="495">
        <v>32.860000000000007</v>
      </c>
      <c r="F184" s="190">
        <f t="shared" si="22"/>
        <v>5783.3600000000015</v>
      </c>
      <c r="H184" s="486">
        <f t="shared" si="19"/>
        <v>-1.972158929605564E-4</v>
      </c>
      <c r="I184" s="486">
        <f t="shared" si="20"/>
        <v>176</v>
      </c>
      <c r="J184" s="480"/>
      <c r="K184" s="487">
        <f t="shared" si="21"/>
        <v>-1.5216068182156456E-3</v>
      </c>
      <c r="M184" s="82"/>
      <c r="N184" s="495"/>
      <c r="O184" s="480"/>
      <c r="P184" s="480"/>
    </row>
    <row r="185" spans="1:16" ht="12.75" thickBot="1">
      <c r="A185" s="81" t="s">
        <v>1273</v>
      </c>
      <c r="B185" s="135" t="s">
        <v>302</v>
      </c>
      <c r="C185" s="497">
        <v>426</v>
      </c>
      <c r="D185" s="497"/>
      <c r="E185" s="495">
        <v>38.389999999999993</v>
      </c>
      <c r="F185" s="190">
        <f t="shared" si="22"/>
        <v>16354.139999999998</v>
      </c>
      <c r="H185" s="486">
        <f t="shared" si="19"/>
        <v>-5.5768555367501798E-4</v>
      </c>
      <c r="I185" s="486">
        <f t="shared" si="20"/>
        <v>426</v>
      </c>
      <c r="J185" s="480"/>
      <c r="K185" s="487">
        <f t="shared" si="21"/>
        <v>-1.3024225070738769E-3</v>
      </c>
      <c r="M185" s="82"/>
      <c r="N185" s="495"/>
      <c r="O185" s="480"/>
      <c r="P185" s="480"/>
    </row>
    <row r="186" spans="1:16" ht="12.75" thickBot="1">
      <c r="A186" s="81" t="s">
        <v>1273</v>
      </c>
      <c r="B186" s="2" t="s">
        <v>303</v>
      </c>
      <c r="C186" s="497">
        <v>17</v>
      </c>
      <c r="D186" s="497"/>
      <c r="E186" s="495">
        <v>26.349999999999998</v>
      </c>
      <c r="F186" s="190">
        <f t="shared" si="22"/>
        <v>447.95</v>
      </c>
      <c r="H186" s="486">
        <f t="shared" si="19"/>
        <v>-1.5275351915094547E-5</v>
      </c>
      <c r="I186" s="486">
        <f t="shared" si="20"/>
        <v>17</v>
      </c>
      <c r="J186" s="480"/>
      <c r="K186" s="487">
        <f t="shared" si="21"/>
        <v>-1.8975332085983353E-3</v>
      </c>
      <c r="M186" s="82"/>
      <c r="N186" s="495"/>
      <c r="O186" s="480"/>
      <c r="P186" s="480"/>
    </row>
    <row r="187" spans="1:16" ht="12.75" thickBot="1">
      <c r="A187" s="81" t="s">
        <v>1273</v>
      </c>
      <c r="B187" s="2" t="s">
        <v>304</v>
      </c>
      <c r="C187" s="497">
        <v>387</v>
      </c>
      <c r="D187" s="497"/>
      <c r="E187" s="495">
        <v>28.45</v>
      </c>
      <c r="F187" s="190">
        <f t="shared" si="22"/>
        <v>11010.15</v>
      </c>
      <c r="H187" s="486">
        <f t="shared" si="19"/>
        <v>-3.7545242970862423E-4</v>
      </c>
      <c r="I187" s="486">
        <f t="shared" si="20"/>
        <v>387</v>
      </c>
      <c r="J187" s="480"/>
      <c r="K187" s="487">
        <f t="shared" si="21"/>
        <v>-1.7574692459249959E-3</v>
      </c>
      <c r="M187" s="82"/>
      <c r="N187" s="495"/>
      <c r="O187" s="480"/>
      <c r="P187" s="480"/>
    </row>
    <row r="188" spans="1:16" ht="12.75" thickBot="1">
      <c r="A188" s="81" t="s">
        <v>1273</v>
      </c>
      <c r="B188" s="2" t="s">
        <v>305</v>
      </c>
      <c r="C188" s="497">
        <v>34</v>
      </c>
      <c r="D188" s="497"/>
      <c r="E188" s="495">
        <v>34.029999999999994</v>
      </c>
      <c r="F188" s="190">
        <f t="shared" si="22"/>
        <v>1157.0199999999998</v>
      </c>
      <c r="H188" s="486">
        <f t="shared" si="19"/>
        <v>-3.945504559170151E-5</v>
      </c>
      <c r="I188" s="486">
        <f t="shared" si="20"/>
        <v>34</v>
      </c>
      <c r="J188" s="480"/>
      <c r="K188" s="487">
        <f t="shared" si="21"/>
        <v>-1.4692918027201334E-3</v>
      </c>
      <c r="M188" s="82"/>
      <c r="N188" s="495"/>
      <c r="O188" s="480"/>
      <c r="P188" s="480"/>
    </row>
    <row r="189" spans="1:16" ht="12.75" thickBot="1">
      <c r="A189" s="81" t="s">
        <v>1273</v>
      </c>
      <c r="B189" s="2" t="s">
        <v>306</v>
      </c>
      <c r="C189" s="497">
        <v>40</v>
      </c>
      <c r="D189" s="497"/>
      <c r="E189" s="495">
        <v>33.22</v>
      </c>
      <c r="F189" s="190">
        <f t="shared" si="22"/>
        <v>1328.8</v>
      </c>
      <c r="H189" s="486">
        <f t="shared" si="19"/>
        <v>-4.5312842113578823E-5</v>
      </c>
      <c r="I189" s="486">
        <f t="shared" si="20"/>
        <v>40</v>
      </c>
      <c r="J189" s="480"/>
      <c r="K189" s="487">
        <f t="shared" si="21"/>
        <v>-1.5051174005588841E-3</v>
      </c>
      <c r="M189" s="82"/>
      <c r="N189" s="495"/>
      <c r="O189" s="480"/>
      <c r="P189" s="480"/>
    </row>
    <row r="190" spans="1:16" ht="12.75" thickBot="1">
      <c r="A190" s="81" t="s">
        <v>1273</v>
      </c>
      <c r="B190" s="2" t="s">
        <v>307</v>
      </c>
      <c r="C190" s="497">
        <v>52</v>
      </c>
      <c r="D190" s="497"/>
      <c r="E190" s="495">
        <v>35.199999999999996</v>
      </c>
      <c r="F190" s="190">
        <f t="shared" si="22"/>
        <v>1830.3999999999999</v>
      </c>
      <c r="H190" s="486">
        <f t="shared" si="19"/>
        <v>-6.2417689798837051E-5</v>
      </c>
      <c r="I190" s="486">
        <f t="shared" si="20"/>
        <v>52</v>
      </c>
      <c r="J190" s="480"/>
      <c r="K190" s="487">
        <f t="shared" si="21"/>
        <v>-1.4204545467774469E-3</v>
      </c>
      <c r="M190" s="82"/>
      <c r="N190" s="495"/>
      <c r="O190" s="480"/>
      <c r="P190" s="480"/>
    </row>
    <row r="191" spans="1:16" ht="12.75" thickBot="1">
      <c r="A191" s="81" t="s">
        <v>1273</v>
      </c>
      <c r="B191" s="2" t="s">
        <v>308</v>
      </c>
      <c r="C191" s="497">
        <v>204</v>
      </c>
      <c r="D191" s="497"/>
      <c r="E191" s="495">
        <v>34.090000000000003</v>
      </c>
      <c r="F191" s="190">
        <f t="shared" si="22"/>
        <v>6954.3600000000006</v>
      </c>
      <c r="H191" s="486">
        <f t="shared" si="19"/>
        <v>-2.3714766457028004E-4</v>
      </c>
      <c r="I191" s="486">
        <f t="shared" si="20"/>
        <v>204</v>
      </c>
      <c r="J191" s="480"/>
      <c r="K191" s="487">
        <f t="shared" si="21"/>
        <v>-1.4667057801867446E-3</v>
      </c>
      <c r="M191" s="82"/>
      <c r="N191" s="495"/>
      <c r="O191" s="480"/>
      <c r="P191" s="480"/>
    </row>
    <row r="192" spans="1:16" ht="12.75" thickBot="1">
      <c r="A192" s="81" t="s">
        <v>1273</v>
      </c>
      <c r="B192" s="135" t="s">
        <v>309</v>
      </c>
      <c r="C192" s="497">
        <v>189</v>
      </c>
      <c r="D192" s="497"/>
      <c r="E192" s="495">
        <v>36.07</v>
      </c>
      <c r="F192" s="190">
        <f t="shared" si="22"/>
        <v>6817.2300000000005</v>
      </c>
      <c r="H192" s="486">
        <f t="shared" si="19"/>
        <v>-2.3247145292139751E-4</v>
      </c>
      <c r="I192" s="486">
        <f t="shared" si="20"/>
        <v>189</v>
      </c>
      <c r="J192" s="480"/>
      <c r="K192" s="487">
        <f t="shared" si="21"/>
        <v>-1.3861935139053542E-3</v>
      </c>
      <c r="M192" s="82"/>
      <c r="N192" s="495"/>
      <c r="O192" s="480"/>
      <c r="P192" s="480"/>
    </row>
    <row r="193" spans="1:16" ht="12.75" thickBot="1">
      <c r="A193" s="81" t="s">
        <v>1273</v>
      </c>
      <c r="B193" s="2" t="s">
        <v>310</v>
      </c>
      <c r="C193" s="497">
        <v>13</v>
      </c>
      <c r="D193" s="497"/>
      <c r="E193" s="495">
        <v>32.26</v>
      </c>
      <c r="F193" s="190">
        <f t="shared" si="22"/>
        <v>419.38</v>
      </c>
      <c r="H193" s="486">
        <f t="shared" si="19"/>
        <v>-1.4301098529193775E-5</v>
      </c>
      <c r="I193" s="486">
        <f t="shared" si="20"/>
        <v>13</v>
      </c>
      <c r="J193" s="480"/>
      <c r="K193" s="487">
        <f t="shared" si="21"/>
        <v>-1.5499070070231287E-3</v>
      </c>
      <c r="M193" s="82"/>
      <c r="N193" s="495"/>
      <c r="O193" s="480"/>
      <c r="P193" s="480"/>
    </row>
    <row r="194" spans="1:16" ht="12.75" thickBot="1">
      <c r="A194" s="81" t="s">
        <v>1273</v>
      </c>
      <c r="B194" s="2" t="s">
        <v>311</v>
      </c>
      <c r="C194" s="497">
        <v>44</v>
      </c>
      <c r="D194" s="497"/>
      <c r="E194" s="495">
        <v>32.93</v>
      </c>
      <c r="F194" s="190">
        <f t="shared" si="22"/>
        <v>1448.92</v>
      </c>
      <c r="H194" s="486">
        <f t="shared" si="19"/>
        <v>-4.940900300662752E-5</v>
      </c>
      <c r="I194" s="486">
        <f t="shared" si="20"/>
        <v>44</v>
      </c>
      <c r="J194" s="480"/>
      <c r="K194" s="487">
        <f t="shared" si="21"/>
        <v>-1.5183723063032532E-3</v>
      </c>
      <c r="M194" s="82"/>
      <c r="N194" s="495"/>
      <c r="O194" s="480"/>
      <c r="P194" s="480"/>
    </row>
    <row r="195" spans="1:16" ht="12.75" thickBot="1">
      <c r="A195" s="81" t="s">
        <v>1273</v>
      </c>
      <c r="B195" s="2" t="s">
        <v>339</v>
      </c>
      <c r="C195" s="497">
        <v>10</v>
      </c>
      <c r="D195" s="497"/>
      <c r="E195" s="495">
        <v>34.330000000000005</v>
      </c>
      <c r="F195" s="190">
        <f t="shared" si="22"/>
        <v>343.30000000000007</v>
      </c>
      <c r="H195" s="486">
        <f t="shared" si="19"/>
        <v>-1.1706726894635473E-5</v>
      </c>
      <c r="I195" s="486">
        <f t="shared" si="20"/>
        <v>10</v>
      </c>
      <c r="J195" s="480"/>
      <c r="K195" s="487">
        <f t="shared" si="21"/>
        <v>-1.4564520840829047E-3</v>
      </c>
      <c r="M195" s="82"/>
      <c r="N195" s="495"/>
      <c r="O195" s="480"/>
      <c r="P195" s="480"/>
    </row>
    <row r="196" spans="1:16" ht="12.75" thickBot="1">
      <c r="A196" s="81" t="s">
        <v>1273</v>
      </c>
      <c r="B196" s="2" t="s">
        <v>312</v>
      </c>
      <c r="C196" s="497">
        <v>191</v>
      </c>
      <c r="D196" s="497"/>
      <c r="E196" s="495">
        <v>34.99</v>
      </c>
      <c r="F196" s="190">
        <f t="shared" si="22"/>
        <v>6683.09</v>
      </c>
      <c r="H196" s="486">
        <f t="shared" si="19"/>
        <v>-2.2789720198738528E-4</v>
      </c>
      <c r="I196" s="486">
        <f t="shared" si="20"/>
        <v>191</v>
      </c>
      <c r="J196" s="480"/>
      <c r="K196" s="487">
        <f t="shared" si="21"/>
        <v>-1.4289797098189804E-3</v>
      </c>
      <c r="M196" s="82"/>
      <c r="N196" s="495"/>
      <c r="O196" s="480"/>
      <c r="P196" s="480"/>
    </row>
    <row r="197" spans="1:16" ht="12.75" thickBot="1">
      <c r="A197" s="81" t="s">
        <v>1273</v>
      </c>
      <c r="B197" s="2" t="s">
        <v>688</v>
      </c>
      <c r="C197" s="497">
        <v>2</v>
      </c>
      <c r="D197" s="497"/>
      <c r="E197" s="495">
        <v>18.279999999999998</v>
      </c>
      <c r="F197" s="190">
        <f t="shared" si="22"/>
        <v>36.559999999999995</v>
      </c>
      <c r="H197" s="486">
        <f t="shared" si="19"/>
        <v>-1.2467169684470513E-6</v>
      </c>
      <c r="I197" s="486">
        <f t="shared" si="20"/>
        <v>2</v>
      </c>
      <c r="J197" s="480"/>
      <c r="K197" s="487">
        <f t="shared" si="21"/>
        <v>-2.7352297618471627E-3</v>
      </c>
      <c r="M197" s="82"/>
      <c r="N197" s="495"/>
      <c r="O197" s="480"/>
      <c r="P197" s="480"/>
    </row>
    <row r="198" spans="1:16" ht="12.75" thickBot="1">
      <c r="A198" s="81" t="s">
        <v>1273</v>
      </c>
      <c r="B198" s="2" t="s">
        <v>341</v>
      </c>
      <c r="C198" s="497">
        <v>14</v>
      </c>
      <c r="D198" s="497"/>
      <c r="E198" s="495">
        <v>22.32</v>
      </c>
      <c r="F198" s="190">
        <f t="shared" si="22"/>
        <v>312.48</v>
      </c>
      <c r="H198" s="486">
        <f t="shared" si="19"/>
        <v>-1.0655747218280489E-5</v>
      </c>
      <c r="I198" s="486">
        <f t="shared" si="20"/>
        <v>14</v>
      </c>
      <c r="J198" s="480"/>
      <c r="K198" s="487">
        <f t="shared" si="21"/>
        <v>-2.2401433712619231E-3</v>
      </c>
      <c r="M198" s="82"/>
      <c r="N198" s="495"/>
      <c r="O198" s="480"/>
      <c r="P198" s="480"/>
    </row>
    <row r="199" spans="1:16" ht="12.75" thickBot="1">
      <c r="A199" s="81" t="s">
        <v>1273</v>
      </c>
      <c r="B199" s="2" t="s">
        <v>317</v>
      </c>
      <c r="C199" s="497">
        <v>6174</v>
      </c>
      <c r="D199" s="497"/>
      <c r="E199" s="495">
        <v>12.82</v>
      </c>
      <c r="F199" s="190">
        <f t="shared" si="22"/>
        <v>79150.680000000008</v>
      </c>
      <c r="H199" s="486">
        <f t="shared" si="19"/>
        <v>-2.699083583701386E-3</v>
      </c>
      <c r="I199" s="486">
        <f t="shared" si="20"/>
        <v>6174</v>
      </c>
      <c r="J199" s="480"/>
      <c r="K199" s="487">
        <f t="shared" si="21"/>
        <v>-3.900156009872553E-3</v>
      </c>
      <c r="M199" s="82"/>
      <c r="N199" s="495"/>
      <c r="O199" s="480"/>
      <c r="P199" s="480"/>
    </row>
    <row r="200" spans="1:16" ht="12.75" thickBot="1">
      <c r="A200" s="81" t="s">
        <v>1273</v>
      </c>
      <c r="B200" s="135" t="s">
        <v>318</v>
      </c>
      <c r="C200" s="497">
        <v>8695</v>
      </c>
      <c r="D200" s="497"/>
      <c r="E200" s="495">
        <v>15.08</v>
      </c>
      <c r="F200" s="190">
        <f t="shared" si="22"/>
        <v>131120.6</v>
      </c>
      <c r="H200" s="486">
        <f t="shared" si="19"/>
        <v>-4.471287662280045E-3</v>
      </c>
      <c r="I200" s="486">
        <f t="shared" si="20"/>
        <v>8695</v>
      </c>
      <c r="J200" s="480"/>
      <c r="K200" s="487">
        <f t="shared" si="21"/>
        <v>-3.3156498704619447E-3</v>
      </c>
      <c r="M200" s="82"/>
      <c r="N200" s="495"/>
      <c r="O200" s="480"/>
      <c r="P200" s="480"/>
    </row>
    <row r="201" spans="1:16" ht="12.75" thickBot="1">
      <c r="A201" s="81" t="s">
        <v>1273</v>
      </c>
      <c r="B201" s="2" t="s">
        <v>319</v>
      </c>
      <c r="C201" s="497">
        <v>5490</v>
      </c>
      <c r="D201" s="497"/>
      <c r="E201" s="495">
        <v>17.38</v>
      </c>
      <c r="F201" s="190">
        <f t="shared" si="22"/>
        <v>95416.2</v>
      </c>
      <c r="H201" s="486">
        <f t="shared" si="19"/>
        <v>-3.2537471445497142E-3</v>
      </c>
      <c r="I201" s="486">
        <f t="shared" si="20"/>
        <v>5490</v>
      </c>
      <c r="J201" s="480"/>
      <c r="K201" s="487">
        <f t="shared" si="21"/>
        <v>-2.8768699681568544E-3</v>
      </c>
      <c r="M201" s="82"/>
      <c r="N201" s="495"/>
      <c r="O201" s="480"/>
      <c r="P201" s="480"/>
    </row>
    <row r="202" spans="1:16" ht="12.75" thickBot="1">
      <c r="A202" s="81" t="s">
        <v>1273</v>
      </c>
      <c r="B202" s="2" t="s">
        <v>320</v>
      </c>
      <c r="C202" s="497">
        <v>413</v>
      </c>
      <c r="D202" s="497"/>
      <c r="E202" s="495">
        <v>13.77</v>
      </c>
      <c r="F202" s="190">
        <f t="shared" si="22"/>
        <v>5687.01</v>
      </c>
      <c r="H202" s="486">
        <f t="shared" si="19"/>
        <v>-1.9393030270043946E-4</v>
      </c>
      <c r="I202" s="486">
        <f t="shared" si="20"/>
        <v>413</v>
      </c>
      <c r="J202" s="480"/>
      <c r="K202" s="487">
        <f t="shared" si="21"/>
        <v>-3.6310820658363202E-3</v>
      </c>
      <c r="M202" s="82"/>
      <c r="N202" s="495"/>
      <c r="O202" s="480"/>
      <c r="P202" s="480"/>
    </row>
    <row r="203" spans="1:16" ht="12.75" thickBot="1">
      <c r="A203" s="81" t="s">
        <v>1273</v>
      </c>
      <c r="B203" s="2" t="s">
        <v>321</v>
      </c>
      <c r="C203" s="497">
        <v>12938</v>
      </c>
      <c r="D203" s="497"/>
      <c r="E203" s="495">
        <v>18.21</v>
      </c>
      <c r="F203" s="190">
        <f t="shared" si="22"/>
        <v>235600.98</v>
      </c>
      <c r="H203" s="486">
        <f t="shared" si="19"/>
        <v>-8.0341285434560837E-3</v>
      </c>
      <c r="I203" s="486">
        <f t="shared" si="20"/>
        <v>12938</v>
      </c>
      <c r="J203" s="480"/>
      <c r="K203" s="487">
        <f t="shared" si="21"/>
        <v>-2.7457440992073655E-3</v>
      </c>
      <c r="M203" s="82"/>
      <c r="N203" s="495"/>
      <c r="O203" s="480"/>
      <c r="P203" s="480"/>
    </row>
    <row r="204" spans="1:16" ht="12.75" thickBot="1">
      <c r="A204" s="81" t="s">
        <v>1273</v>
      </c>
      <c r="B204" s="2" t="s">
        <v>322</v>
      </c>
      <c r="C204" s="497">
        <v>3300</v>
      </c>
      <c r="D204" s="497"/>
      <c r="E204" s="495">
        <v>10.86</v>
      </c>
      <c r="F204" s="190">
        <f t="shared" si="22"/>
        <v>35838</v>
      </c>
      <c r="H204" s="486">
        <f t="shared" si="19"/>
        <v>-1.2220963543546342E-3</v>
      </c>
      <c r="I204" s="486">
        <f t="shared" si="20"/>
        <v>3300</v>
      </c>
      <c r="J204" s="480"/>
      <c r="K204" s="487">
        <f t="shared" si="21"/>
        <v>-4.60405156966539E-3</v>
      </c>
      <c r="M204" s="82"/>
      <c r="N204" s="495"/>
      <c r="O204" s="480"/>
      <c r="P204" s="480"/>
    </row>
    <row r="205" spans="1:16" ht="12.75" thickBot="1">
      <c r="A205" s="81" t="s">
        <v>1273</v>
      </c>
      <c r="B205" s="135" t="s">
        <v>323</v>
      </c>
      <c r="C205" s="497">
        <v>5</v>
      </c>
      <c r="D205" s="497"/>
      <c r="E205" s="495">
        <v>11.13</v>
      </c>
      <c r="F205" s="190">
        <f t="shared" si="22"/>
        <v>55.650000000000006</v>
      </c>
      <c r="H205" s="486">
        <f t="shared" si="19"/>
        <v>-1.8976969172340924E-6</v>
      </c>
      <c r="I205" s="486">
        <f t="shared" si="20"/>
        <v>5</v>
      </c>
      <c r="J205" s="480"/>
      <c r="K205" s="487">
        <f t="shared" si="21"/>
        <v>-4.4923629871128591E-3</v>
      </c>
      <c r="M205" s="82"/>
      <c r="N205" s="495"/>
      <c r="O205" s="480"/>
      <c r="P205" s="480"/>
    </row>
    <row r="206" spans="1:16" ht="12.75" thickBot="1">
      <c r="A206" s="81" t="s">
        <v>1273</v>
      </c>
      <c r="B206" s="2" t="s">
        <v>328</v>
      </c>
      <c r="C206" s="497">
        <v>22</v>
      </c>
      <c r="D206" s="497"/>
      <c r="E206" s="495">
        <v>12.79</v>
      </c>
      <c r="F206" s="190">
        <f t="shared" si="22"/>
        <v>281.38</v>
      </c>
      <c r="H206" s="486">
        <f t="shared" si="19"/>
        <v>-9.5952193813356486E-6</v>
      </c>
      <c r="I206" s="486">
        <f t="shared" si="20"/>
        <v>22</v>
      </c>
      <c r="J206" s="480"/>
      <c r="K206" s="487">
        <f t="shared" si="21"/>
        <v>-3.909304147503216E-3</v>
      </c>
      <c r="M206" s="82"/>
      <c r="N206" s="495"/>
      <c r="O206" s="480"/>
      <c r="P206" s="480"/>
    </row>
    <row r="207" spans="1:16" ht="12.75" thickBot="1">
      <c r="A207" s="81" t="s">
        <v>1273</v>
      </c>
      <c r="B207" s="2" t="s">
        <v>329</v>
      </c>
      <c r="C207" s="497">
        <v>2</v>
      </c>
      <c r="D207" s="497"/>
      <c r="E207" s="495">
        <v>15.07</v>
      </c>
      <c r="F207" s="190">
        <f t="shared" si="22"/>
        <v>30.14</v>
      </c>
      <c r="H207" s="486">
        <f t="shared" si="19"/>
        <v>-1.0277912863510429E-6</v>
      </c>
      <c r="I207" s="486">
        <f t="shared" si="20"/>
        <v>2</v>
      </c>
      <c r="J207" s="480"/>
      <c r="K207" s="487">
        <f t="shared" si="21"/>
        <v>-3.3178500362684889E-3</v>
      </c>
      <c r="M207" s="82"/>
      <c r="N207" s="495"/>
      <c r="O207" s="480"/>
      <c r="P207" s="480"/>
    </row>
    <row r="208" spans="1:16" ht="12.75" thickBot="1">
      <c r="A208" s="81" t="s">
        <v>1273</v>
      </c>
      <c r="B208" s="2" t="s">
        <v>330</v>
      </c>
      <c r="C208" s="497">
        <v>332</v>
      </c>
      <c r="D208" s="497"/>
      <c r="E208" s="495">
        <v>18.68</v>
      </c>
      <c r="F208" s="190">
        <f t="shared" si="22"/>
        <v>6201.76</v>
      </c>
      <c r="H208" s="486">
        <f t="shared" si="19"/>
        <v>-2.1148357292768562E-4</v>
      </c>
      <c r="I208" s="486">
        <f t="shared" si="20"/>
        <v>332</v>
      </c>
      <c r="J208" s="480"/>
      <c r="K208" s="487">
        <f t="shared" si="21"/>
        <v>-2.6766595314007564E-3</v>
      </c>
      <c r="M208" s="82"/>
      <c r="N208" s="495"/>
      <c r="O208" s="480"/>
      <c r="P208" s="480"/>
    </row>
    <row r="209" spans="1:16" ht="12.75" thickBot="1">
      <c r="A209" s="81" t="s">
        <v>1273</v>
      </c>
      <c r="B209" s="2" t="s">
        <v>331</v>
      </c>
      <c r="C209" s="497">
        <v>53</v>
      </c>
      <c r="D209" s="497"/>
      <c r="E209" s="495">
        <v>20.970000000000002</v>
      </c>
      <c r="F209" s="190">
        <f t="shared" si="22"/>
        <v>1111.4100000000001</v>
      </c>
      <c r="H209" s="486">
        <f t="shared" si="19"/>
        <v>-3.7899718432760871E-5</v>
      </c>
      <c r="I209" s="486">
        <f t="shared" si="20"/>
        <v>53</v>
      </c>
      <c r="J209" s="480"/>
      <c r="K209" s="487">
        <f t="shared" si="21"/>
        <v>-2.38435860975518E-3</v>
      </c>
      <c r="M209" s="82"/>
      <c r="N209" s="495"/>
      <c r="O209" s="480"/>
      <c r="P209" s="480"/>
    </row>
    <row r="210" spans="1:16" ht="12.75" thickBot="1">
      <c r="A210" s="81" t="s">
        <v>1273</v>
      </c>
      <c r="B210" s="2" t="s">
        <v>332</v>
      </c>
      <c r="C210" s="497">
        <v>2</v>
      </c>
      <c r="D210" s="497"/>
      <c r="E210" s="495">
        <v>28.42</v>
      </c>
      <c r="F210" s="190">
        <f t="shared" si="22"/>
        <v>56.84</v>
      </c>
      <c r="H210" s="486">
        <f t="shared" si="19"/>
        <v>-1.9382765997409849E-6</v>
      </c>
      <c r="I210" s="486">
        <f t="shared" si="20"/>
        <v>2</v>
      </c>
      <c r="J210" s="480"/>
      <c r="K210" s="487">
        <f t="shared" si="21"/>
        <v>-1.7593244210614401E-3</v>
      </c>
      <c r="M210" s="82"/>
      <c r="N210" s="495"/>
      <c r="O210" s="480"/>
      <c r="P210" s="480"/>
    </row>
    <row r="211" spans="1:16" ht="12.75" thickBot="1">
      <c r="A211" s="81" t="s">
        <v>1273</v>
      </c>
      <c r="B211" s="2" t="s">
        <v>333</v>
      </c>
      <c r="C211" s="497">
        <v>393</v>
      </c>
      <c r="D211" s="497"/>
      <c r="E211" s="495">
        <v>39.6</v>
      </c>
      <c r="F211" s="190">
        <f t="shared" si="22"/>
        <v>15562.800000000001</v>
      </c>
      <c r="H211" s="486">
        <f t="shared" si="19"/>
        <v>-5.3070040581366994E-4</v>
      </c>
      <c r="I211" s="486">
        <f t="shared" si="20"/>
        <v>393</v>
      </c>
      <c r="J211" s="480"/>
      <c r="K211" s="487">
        <f t="shared" si="21"/>
        <v>-1.262626263802175E-3</v>
      </c>
      <c r="M211" s="82"/>
      <c r="N211" s="495"/>
      <c r="O211" s="480"/>
      <c r="P211" s="480"/>
    </row>
    <row r="212" spans="1:16" ht="12.75" thickBot="1">
      <c r="A212" s="81" t="s">
        <v>1273</v>
      </c>
      <c r="B212" s="2" t="s">
        <v>334</v>
      </c>
      <c r="C212" s="497">
        <v>60</v>
      </c>
      <c r="D212" s="497"/>
      <c r="E212" s="495">
        <v>42.78</v>
      </c>
      <c r="F212" s="190">
        <f t="shared" si="22"/>
        <v>2566.8000000000002</v>
      </c>
      <c r="H212" s="486">
        <f t="shared" si="19"/>
        <v>-8.7529352150161159E-5</v>
      </c>
      <c r="I212" s="486">
        <f t="shared" si="20"/>
        <v>60</v>
      </c>
      <c r="J212" s="480"/>
      <c r="K212" s="487">
        <f t="shared" si="21"/>
        <v>-1.1687704545714382E-3</v>
      </c>
      <c r="M212" s="82"/>
      <c r="N212" s="495"/>
      <c r="O212" s="480"/>
      <c r="P212" s="480"/>
    </row>
    <row r="213" spans="1:16" ht="12.75" thickBot="1">
      <c r="A213" s="81" t="s">
        <v>1273</v>
      </c>
      <c r="B213" s="2" t="s">
        <v>620</v>
      </c>
      <c r="C213" s="497">
        <v>18</v>
      </c>
      <c r="D213" s="497"/>
      <c r="E213" s="495">
        <v>23.83</v>
      </c>
      <c r="F213" s="190">
        <f t="shared" ref="F213:F217" si="23">C213*E213</f>
        <v>428.93999999999994</v>
      </c>
      <c r="H213" s="486">
        <f t="shared" si="19"/>
        <v>-1.4627100012190321E-5</v>
      </c>
      <c r="I213" s="486">
        <f t="shared" si="20"/>
        <v>18</v>
      </c>
      <c r="J213" s="480"/>
      <c r="K213" s="487">
        <f t="shared" si="21"/>
        <v>-2.0981955537795272E-3</v>
      </c>
      <c r="M213" s="82"/>
      <c r="N213" s="495"/>
      <c r="O213" s="480"/>
      <c r="P213" s="480"/>
    </row>
    <row r="214" spans="1:16" ht="12.75" thickBot="1">
      <c r="A214" s="81" t="s">
        <v>1273</v>
      </c>
      <c r="B214" s="135" t="s">
        <v>360</v>
      </c>
      <c r="C214" s="497">
        <v>4</v>
      </c>
      <c r="D214" s="497"/>
      <c r="E214" s="495">
        <v>20.46</v>
      </c>
      <c r="F214" s="190">
        <f t="shared" si="23"/>
        <v>81.84</v>
      </c>
      <c r="H214" s="486">
        <f t="shared" ref="H214:H217" si="24">F214/$M$154*$M$155</f>
        <v>-2.7907909381210804E-6</v>
      </c>
      <c r="I214" s="486">
        <f t="shared" ref="I214:I217" si="25">ROUND((F214+H214)/E214,0)</f>
        <v>4</v>
      </c>
      <c r="J214" s="480"/>
      <c r="K214" s="487">
        <f t="shared" ref="K214:K217" si="26">$M$155/E214</f>
        <v>-2.4437927686493709E-3</v>
      </c>
      <c r="M214" s="82"/>
      <c r="N214" s="495"/>
      <c r="O214" s="480"/>
      <c r="P214" s="480"/>
    </row>
    <row r="215" spans="1:16" ht="12.75" thickBot="1">
      <c r="A215" s="81" t="s">
        <v>1273</v>
      </c>
      <c r="B215" s="2" t="s">
        <v>335</v>
      </c>
      <c r="C215" s="497">
        <v>41</v>
      </c>
      <c r="D215" s="497"/>
      <c r="E215" s="495">
        <v>30.21</v>
      </c>
      <c r="F215" s="190">
        <f t="shared" si="23"/>
        <v>1238.6100000000001</v>
      </c>
      <c r="H215" s="486">
        <f t="shared" si="24"/>
        <v>-4.2237311386438799E-5</v>
      </c>
      <c r="I215" s="486">
        <f t="shared" si="25"/>
        <v>41</v>
      </c>
      <c r="J215" s="480"/>
      <c r="K215" s="487">
        <f t="shared" si="26"/>
        <v>-1.6550811005152642E-3</v>
      </c>
      <c r="M215" s="82"/>
      <c r="N215" s="495"/>
      <c r="O215" s="480"/>
      <c r="P215" s="480"/>
    </row>
    <row r="216" spans="1:16" ht="12.75" thickBot="1">
      <c r="A216" s="81" t="s">
        <v>1273</v>
      </c>
      <c r="B216" s="2" t="s">
        <v>336</v>
      </c>
      <c r="C216" s="497">
        <v>2</v>
      </c>
      <c r="D216" s="497"/>
      <c r="E216" s="495">
        <v>42.56</v>
      </c>
      <c r="F216" s="190">
        <f t="shared" si="23"/>
        <v>85.12</v>
      </c>
      <c r="H216" s="486">
        <f t="shared" si="24"/>
        <v>-2.9026408193165488E-6</v>
      </c>
      <c r="I216" s="486">
        <f t="shared" si="25"/>
        <v>2</v>
      </c>
      <c r="J216" s="480"/>
      <c r="K216" s="487">
        <f t="shared" si="26"/>
        <v>-1.1748120311693168E-3</v>
      </c>
      <c r="M216" s="82"/>
      <c r="N216" s="495"/>
      <c r="O216" s="480"/>
      <c r="P216" s="480"/>
    </row>
    <row r="217" spans="1:16" ht="12.75" thickBot="1">
      <c r="A217" s="81" t="s">
        <v>1273</v>
      </c>
      <c r="B217" s="2" t="s">
        <v>337</v>
      </c>
      <c r="C217" s="497">
        <v>13</v>
      </c>
      <c r="D217" s="497"/>
      <c r="E217" s="495">
        <v>52.31</v>
      </c>
      <c r="F217" s="190">
        <f t="shared" si="23"/>
        <v>680.03</v>
      </c>
      <c r="H217" s="486">
        <f t="shared" si="24"/>
        <v>-2.318941302114465E-5</v>
      </c>
      <c r="I217" s="486">
        <f t="shared" si="25"/>
        <v>13</v>
      </c>
      <c r="J217" s="480"/>
      <c r="K217" s="487">
        <f t="shared" si="26"/>
        <v>-9.558401844115107E-4</v>
      </c>
      <c r="M217" s="82"/>
      <c r="N217" s="495"/>
      <c r="O217" s="480"/>
      <c r="P217" s="480"/>
    </row>
    <row r="218" spans="1:16" ht="12.75" thickBot="1">
      <c r="A218" s="48" t="s">
        <v>1273</v>
      </c>
      <c r="B218" s="2"/>
      <c r="C218" s="497"/>
      <c r="D218" s="497"/>
      <c r="E218" s="497"/>
      <c r="F218" s="480"/>
      <c r="H218" s="495"/>
      <c r="I218" s="495"/>
      <c r="J218" s="495"/>
      <c r="K218" s="480"/>
      <c r="M218" s="82"/>
      <c r="N218" s="495"/>
      <c r="O218" s="480"/>
      <c r="P218" s="480"/>
    </row>
    <row r="219" spans="1:16" ht="12.75" thickBot="1">
      <c r="A219" s="48" t="s">
        <v>1273</v>
      </c>
      <c r="B219" s="50"/>
      <c r="C219" s="79"/>
      <c r="D219" s="79"/>
      <c r="E219" s="79"/>
      <c r="F219" s="480"/>
      <c r="H219" s="80"/>
      <c r="I219" s="80"/>
      <c r="J219" s="80"/>
      <c r="K219" s="480"/>
      <c r="M219" s="82"/>
      <c r="N219" s="495"/>
      <c r="O219" s="480"/>
      <c r="P219" s="480"/>
    </row>
    <row r="220" spans="1:16" ht="12.75" thickBot="1">
      <c r="A220" s="48" t="s">
        <v>1274</v>
      </c>
      <c r="B220" s="2" t="s">
        <v>342</v>
      </c>
      <c r="C220" s="497">
        <v>77</v>
      </c>
      <c r="D220" s="497"/>
      <c r="E220" s="495">
        <v>8.14</v>
      </c>
      <c r="F220" s="190">
        <f t="shared" ref="F220:F251" si="27">C220*E220</f>
        <v>626.78000000000009</v>
      </c>
      <c r="H220" s="486">
        <f>F220/$M$225*$M$226</f>
        <v>-1.2696349231619366E-4</v>
      </c>
      <c r="I220" s="486">
        <f>ROUND((F220+H220)/E220,0)</f>
        <v>77</v>
      </c>
      <c r="J220" s="480"/>
      <c r="K220" s="487">
        <f>$M$226/E220</f>
        <v>-3.6855036832154235E-2</v>
      </c>
      <c r="M220" s="488">
        <f>'12MonLights'!$K$295</f>
        <v>1547705</v>
      </c>
      <c r="N220" s="480" t="s">
        <v>1304</v>
      </c>
      <c r="O220" s="480"/>
      <c r="P220" s="480" t="s">
        <v>1317</v>
      </c>
    </row>
    <row r="221" spans="1:16" ht="12.75" thickBot="1">
      <c r="A221" s="48" t="s">
        <v>1274</v>
      </c>
      <c r="B221" s="2" t="s">
        <v>213</v>
      </c>
      <c r="C221" s="497">
        <v>3744</v>
      </c>
      <c r="D221" s="497"/>
      <c r="E221" s="495">
        <v>10.959999999999999</v>
      </c>
      <c r="F221" s="190">
        <f t="shared" si="27"/>
        <v>41034.239999999998</v>
      </c>
      <c r="H221" s="486">
        <f t="shared" ref="H221:H284" si="28">F221/$M$225*$M$226</f>
        <v>-8.3120878377434589E-3</v>
      </c>
      <c r="I221" s="486">
        <f t="shared" ref="I221:I284" si="29">ROUND((F221+H221)/E221,0)</f>
        <v>3744</v>
      </c>
      <c r="J221" s="480"/>
      <c r="K221" s="487">
        <f t="shared" ref="K221:K284" si="30">$M$226/E221</f>
        <v>-2.7372262756727692E-2</v>
      </c>
      <c r="M221" s="488">
        <f>-M233</f>
        <v>-39041.210000000006</v>
      </c>
      <c r="N221" s="489" t="s">
        <v>1306</v>
      </c>
      <c r="O221" s="480"/>
      <c r="P221" s="480"/>
    </row>
    <row r="222" spans="1:16" ht="12.75" thickBot="1">
      <c r="A222" s="48" t="s">
        <v>1274</v>
      </c>
      <c r="B222" s="2" t="s">
        <v>214</v>
      </c>
      <c r="C222" s="497">
        <v>3750</v>
      </c>
      <c r="D222" s="497"/>
      <c r="E222" s="495">
        <v>13.510000000000002</v>
      </c>
      <c r="F222" s="190">
        <f t="shared" si="27"/>
        <v>50662.500000000007</v>
      </c>
      <c r="H222" s="486">
        <f t="shared" si="28"/>
        <v>-1.0262433277177256E-2</v>
      </c>
      <c r="I222" s="486">
        <f t="shared" si="29"/>
        <v>3750</v>
      </c>
      <c r="J222" s="480"/>
      <c r="K222" s="487">
        <f t="shared" si="30"/>
        <v>-2.2205773487323128E-2</v>
      </c>
      <c r="M222" s="490">
        <f>M220+M221</f>
        <v>1508663.79</v>
      </c>
      <c r="N222" s="491" t="s">
        <v>1307</v>
      </c>
      <c r="O222" s="480"/>
      <c r="P222" s="480"/>
    </row>
    <row r="223" spans="1:16" ht="12.75" thickBot="1">
      <c r="A223" s="48" t="s">
        <v>1274</v>
      </c>
      <c r="B223" s="2" t="s">
        <v>215</v>
      </c>
      <c r="C223" s="497">
        <v>97</v>
      </c>
      <c r="D223" s="497"/>
      <c r="E223" s="495">
        <v>12.450000000000001</v>
      </c>
      <c r="F223" s="190">
        <f t="shared" si="27"/>
        <v>1207.6500000000001</v>
      </c>
      <c r="H223" s="486">
        <f t="shared" si="28"/>
        <v>-2.4462724001348362E-4</v>
      </c>
      <c r="I223" s="486">
        <f t="shared" si="29"/>
        <v>97</v>
      </c>
      <c r="J223" s="480"/>
      <c r="K223" s="487">
        <f t="shared" si="30"/>
        <v>-2.4096385527207668E-2</v>
      </c>
      <c r="M223" s="490">
        <f>'1051'!$K$102</f>
        <v>27655.68</v>
      </c>
      <c r="N223" s="492" t="s">
        <v>1308</v>
      </c>
      <c r="O223" s="480"/>
      <c r="P223" s="480"/>
    </row>
    <row r="224" spans="1:16" ht="12.75" thickBot="1">
      <c r="A224" s="48" t="s">
        <v>1274</v>
      </c>
      <c r="B224" s="2" t="s">
        <v>216</v>
      </c>
      <c r="C224" s="497">
        <v>728</v>
      </c>
      <c r="D224" s="497"/>
      <c r="E224" s="495">
        <v>15.54</v>
      </c>
      <c r="F224" s="190">
        <f t="shared" si="27"/>
        <v>11313.119999999999</v>
      </c>
      <c r="H224" s="486">
        <f t="shared" si="28"/>
        <v>-2.2916385720542715E-3</v>
      </c>
      <c r="I224" s="486">
        <f t="shared" si="29"/>
        <v>728</v>
      </c>
      <c r="J224" s="480"/>
      <c r="K224" s="487">
        <f t="shared" si="30"/>
        <v>-1.9305019293033174E-2</v>
      </c>
      <c r="M224" s="490">
        <f>M222-M223</f>
        <v>1481008.11</v>
      </c>
      <c r="N224" s="492" t="s">
        <v>1309</v>
      </c>
      <c r="O224" s="480"/>
      <c r="P224" s="480"/>
    </row>
    <row r="225" spans="1:16" ht="12.75" thickBot="1">
      <c r="A225" s="48" t="s">
        <v>1274</v>
      </c>
      <c r="B225" s="2" t="s">
        <v>217</v>
      </c>
      <c r="C225" s="497">
        <v>1400</v>
      </c>
      <c r="D225" s="497"/>
      <c r="E225" s="495">
        <v>14.24</v>
      </c>
      <c r="F225" s="190">
        <f t="shared" si="27"/>
        <v>19936</v>
      </c>
      <c r="H225" s="486">
        <f t="shared" si="28"/>
        <v>-4.0383295300035682E-3</v>
      </c>
      <c r="I225" s="486">
        <f t="shared" si="29"/>
        <v>1400</v>
      </c>
      <c r="J225" s="480"/>
      <c r="K225" s="487">
        <f t="shared" si="30"/>
        <v>-2.1067415717256704E-2</v>
      </c>
      <c r="M225" s="490">
        <f>SUM(F220:F288)</f>
        <v>1481008.41</v>
      </c>
      <c r="N225" s="491" t="s">
        <v>1323</v>
      </c>
      <c r="O225" s="480"/>
      <c r="P225" s="480"/>
    </row>
    <row r="226" spans="1:16" ht="12.75" thickBot="1">
      <c r="A226" s="48" t="s">
        <v>1274</v>
      </c>
      <c r="B226" s="2" t="s">
        <v>344</v>
      </c>
      <c r="C226" s="497">
        <v>45</v>
      </c>
      <c r="D226" s="497"/>
      <c r="E226" s="495">
        <v>27.69</v>
      </c>
      <c r="F226" s="190">
        <f t="shared" si="27"/>
        <v>1246.05</v>
      </c>
      <c r="H226" s="486">
        <f t="shared" si="28"/>
        <v>-2.5240572385939732E-4</v>
      </c>
      <c r="I226" s="486">
        <f t="shared" si="29"/>
        <v>45</v>
      </c>
      <c r="J226" s="480"/>
      <c r="K226" s="487">
        <f t="shared" si="30"/>
        <v>-1.0834236179622083E-2</v>
      </c>
      <c r="M226" s="490">
        <f>M224-M225</f>
        <v>-0.29999999981373549</v>
      </c>
      <c r="N226" s="492"/>
      <c r="O226" s="480"/>
      <c r="P226" s="480"/>
    </row>
    <row r="227" spans="1:16" ht="12.75" thickBot="1">
      <c r="A227" s="48" t="s">
        <v>1274</v>
      </c>
      <c r="B227" s="135" t="s">
        <v>218</v>
      </c>
      <c r="C227" s="497">
        <v>347</v>
      </c>
      <c r="D227" s="497"/>
      <c r="E227" s="495">
        <v>28.89</v>
      </c>
      <c r="F227" s="190">
        <f t="shared" si="27"/>
        <v>10024.83</v>
      </c>
      <c r="H227" s="486">
        <f t="shared" si="28"/>
        <v>-2.0306765159643692E-3</v>
      </c>
      <c r="I227" s="486">
        <f t="shared" si="29"/>
        <v>347</v>
      </c>
      <c r="J227" s="480"/>
      <c r="K227" s="487">
        <f t="shared" si="30"/>
        <v>-1.0384215985245257E-2</v>
      </c>
      <c r="M227" s="490"/>
      <c r="N227" s="492"/>
      <c r="O227" s="480"/>
      <c r="P227" s="480"/>
    </row>
    <row r="228" spans="1:16" ht="12.75" thickBot="1">
      <c r="A228" s="48" t="s">
        <v>1274</v>
      </c>
      <c r="B228" s="2" t="s">
        <v>223</v>
      </c>
      <c r="C228" s="497">
        <v>3969</v>
      </c>
      <c r="D228" s="497"/>
      <c r="E228" s="495">
        <v>9.57</v>
      </c>
      <c r="F228" s="190">
        <f t="shared" si="27"/>
        <v>37983.33</v>
      </c>
      <c r="H228" s="486">
        <f t="shared" si="28"/>
        <v>-7.6940812192451058E-3</v>
      </c>
      <c r="I228" s="486">
        <f t="shared" si="29"/>
        <v>3969</v>
      </c>
      <c r="J228" s="480"/>
      <c r="K228" s="487">
        <f t="shared" si="30"/>
        <v>-3.1347962362981763E-2</v>
      </c>
      <c r="M228" s="490"/>
      <c r="N228" s="492"/>
      <c r="O228" s="480"/>
      <c r="P228" s="480"/>
    </row>
    <row r="229" spans="1:16" ht="12.75" thickBot="1">
      <c r="A229" s="48" t="s">
        <v>1274</v>
      </c>
      <c r="B229" s="2" t="s">
        <v>231</v>
      </c>
      <c r="C229" s="497">
        <v>2024</v>
      </c>
      <c r="D229" s="497"/>
      <c r="E229" s="495">
        <v>27.34</v>
      </c>
      <c r="F229" s="190">
        <f t="shared" si="27"/>
        <v>55336.159999999996</v>
      </c>
      <c r="H229" s="486">
        <f t="shared" si="28"/>
        <v>-1.1209151735804685E-2</v>
      </c>
      <c r="I229" s="486">
        <f t="shared" si="29"/>
        <v>2024</v>
      </c>
      <c r="J229" s="480"/>
      <c r="K229" s="487">
        <f t="shared" si="30"/>
        <v>-1.0972933424057627E-2</v>
      </c>
      <c r="M229" s="493"/>
      <c r="N229" s="492"/>
      <c r="O229" s="480"/>
      <c r="P229" s="480"/>
    </row>
    <row r="230" spans="1:16" ht="12.75" thickBot="1">
      <c r="A230" s="48" t="s">
        <v>1274</v>
      </c>
      <c r="B230" s="2" t="s">
        <v>232</v>
      </c>
      <c r="C230" s="497">
        <f>2218-1</f>
        <v>2217</v>
      </c>
      <c r="D230" s="497"/>
      <c r="E230" s="495">
        <v>31.4</v>
      </c>
      <c r="F230" s="190">
        <f t="shared" si="27"/>
        <v>69613.8</v>
      </c>
      <c r="H230" s="486">
        <f t="shared" si="28"/>
        <v>-1.4101297363350841E-2</v>
      </c>
      <c r="I230" s="486">
        <f t="shared" si="29"/>
        <v>2217</v>
      </c>
      <c r="J230" s="480"/>
      <c r="K230" s="487">
        <f t="shared" si="30"/>
        <v>-9.5541401214565454E-3</v>
      </c>
      <c r="M230" s="492"/>
      <c r="N230" s="494"/>
      <c r="O230" s="480"/>
      <c r="P230" s="480"/>
    </row>
    <row r="231" spans="1:16" ht="12.75" thickBot="1">
      <c r="A231" s="48" t="s">
        <v>1274</v>
      </c>
      <c r="B231" s="2" t="s">
        <v>234</v>
      </c>
      <c r="C231" s="497">
        <v>16808</v>
      </c>
      <c r="D231" s="497"/>
      <c r="E231" s="495">
        <v>17.189999999999998</v>
      </c>
      <c r="F231" s="190">
        <f t="shared" si="27"/>
        <v>288929.51999999996</v>
      </c>
      <c r="H231" s="486">
        <f t="shared" si="28"/>
        <v>-5.8526916768948445E-2</v>
      </c>
      <c r="I231" s="486">
        <f t="shared" si="29"/>
        <v>16808</v>
      </c>
      <c r="J231" s="480"/>
      <c r="K231" s="487">
        <f t="shared" si="30"/>
        <v>-1.7452006969967161E-2</v>
      </c>
      <c r="M231" s="492">
        <f>'12MonResults'!$AD$146</f>
        <v>17593.560000000001</v>
      </c>
      <c r="N231" s="494" t="s">
        <v>17</v>
      </c>
      <c r="O231" s="480" t="s">
        <v>1311</v>
      </c>
      <c r="P231" s="480"/>
    </row>
    <row r="232" spans="1:16" ht="12.75" thickBot="1">
      <c r="A232" s="48" t="s">
        <v>1274</v>
      </c>
      <c r="B232" s="2" t="s">
        <v>353</v>
      </c>
      <c r="C232" s="497">
        <v>508</v>
      </c>
      <c r="D232" s="497"/>
      <c r="E232" s="495">
        <v>24.89</v>
      </c>
      <c r="F232" s="190">
        <f t="shared" si="27"/>
        <v>12644.12</v>
      </c>
      <c r="H232" s="486">
        <f t="shared" si="28"/>
        <v>-2.5612521657759186E-3</v>
      </c>
      <c r="I232" s="486">
        <f t="shared" si="29"/>
        <v>508</v>
      </c>
      <c r="J232" s="480"/>
      <c r="K232" s="487">
        <f t="shared" si="30"/>
        <v>-1.2053033339242084E-2</v>
      </c>
      <c r="M232" s="492">
        <f>'12MonResults'!$AD$148</f>
        <v>21447.65</v>
      </c>
      <c r="N232" s="494" t="s">
        <v>18</v>
      </c>
      <c r="O232" s="480"/>
      <c r="P232" s="480"/>
    </row>
    <row r="233" spans="1:16" ht="12.75" thickBot="1">
      <c r="A233" s="48" t="s">
        <v>1274</v>
      </c>
      <c r="B233" s="135" t="s">
        <v>235</v>
      </c>
      <c r="C233" s="497">
        <v>1328</v>
      </c>
      <c r="D233" s="497"/>
      <c r="E233" s="495">
        <v>14.17</v>
      </c>
      <c r="F233" s="190">
        <f t="shared" si="27"/>
        <v>18817.759999999998</v>
      </c>
      <c r="H233" s="486">
        <f t="shared" si="28"/>
        <v>-3.8118135983406863E-3</v>
      </c>
      <c r="I233" s="486">
        <f t="shared" si="29"/>
        <v>1328</v>
      </c>
      <c r="J233" s="480"/>
      <c r="K233" s="487">
        <f t="shared" si="30"/>
        <v>-2.1171489048252327E-2</v>
      </c>
      <c r="M233" s="492">
        <f>M231+M232</f>
        <v>39041.210000000006</v>
      </c>
      <c r="N233" s="494"/>
      <c r="O233" s="480"/>
      <c r="P233" s="480"/>
    </row>
    <row r="234" spans="1:16" ht="12.75" thickBot="1">
      <c r="A234" s="48" t="s">
        <v>1274</v>
      </c>
      <c r="B234" s="2" t="s">
        <v>236</v>
      </c>
      <c r="C234" s="497">
        <v>2263</v>
      </c>
      <c r="D234" s="497"/>
      <c r="E234" s="495">
        <v>22.15</v>
      </c>
      <c r="F234" s="190">
        <f t="shared" si="27"/>
        <v>50125.45</v>
      </c>
      <c r="H234" s="486">
        <f t="shared" si="28"/>
        <v>-1.0153645913910379E-2</v>
      </c>
      <c r="I234" s="486">
        <f t="shared" si="29"/>
        <v>2263</v>
      </c>
      <c r="J234" s="480"/>
      <c r="K234" s="487">
        <f t="shared" si="30"/>
        <v>-1.3544018050281513E-2</v>
      </c>
      <c r="M234" s="82"/>
      <c r="N234" s="495"/>
      <c r="O234" s="480"/>
      <c r="P234" s="480"/>
    </row>
    <row r="235" spans="1:16" ht="12.75" thickBot="1">
      <c r="A235" s="48" t="s">
        <v>1274</v>
      </c>
      <c r="B235" s="2" t="s">
        <v>354</v>
      </c>
      <c r="C235" s="497">
        <v>17</v>
      </c>
      <c r="D235" s="497"/>
      <c r="E235" s="495">
        <v>72.550000000000011</v>
      </c>
      <c r="F235" s="190">
        <f t="shared" si="27"/>
        <v>1233.3500000000001</v>
      </c>
      <c r="H235" s="486">
        <f t="shared" si="28"/>
        <v>-2.4983315237910817E-4</v>
      </c>
      <c r="I235" s="486">
        <f t="shared" si="29"/>
        <v>17</v>
      </c>
      <c r="J235" s="480"/>
      <c r="K235" s="487">
        <f t="shared" si="30"/>
        <v>-4.1350792531183386E-3</v>
      </c>
      <c r="M235" s="82"/>
      <c r="N235" s="495"/>
      <c r="O235" s="480"/>
      <c r="P235" s="480"/>
    </row>
    <row r="236" spans="1:16" ht="12.75" thickBot="1">
      <c r="A236" s="48" t="s">
        <v>1274</v>
      </c>
      <c r="B236" s="2" t="s">
        <v>355</v>
      </c>
      <c r="C236" s="497">
        <v>11</v>
      </c>
      <c r="D236" s="497"/>
      <c r="E236" s="495">
        <v>41.43</v>
      </c>
      <c r="F236" s="190">
        <f t="shared" si="27"/>
        <v>455.73</v>
      </c>
      <c r="H236" s="486">
        <f t="shared" si="28"/>
        <v>-9.2314803205684483E-5</v>
      </c>
      <c r="I236" s="486">
        <f t="shared" si="29"/>
        <v>11</v>
      </c>
      <c r="J236" s="480"/>
      <c r="K236" s="487">
        <f t="shared" si="30"/>
        <v>-7.2411296117242457E-3</v>
      </c>
      <c r="M236" s="82"/>
      <c r="N236" s="495"/>
      <c r="O236" s="480"/>
      <c r="P236" s="480"/>
    </row>
    <row r="237" spans="1:16" ht="12.75" thickBot="1">
      <c r="A237" s="48" t="s">
        <v>1274</v>
      </c>
      <c r="B237" s="2" t="s">
        <v>359</v>
      </c>
      <c r="C237" s="497">
        <v>45</v>
      </c>
      <c r="D237" s="497"/>
      <c r="E237" s="495">
        <v>19.38</v>
      </c>
      <c r="F237" s="190">
        <f t="shared" si="27"/>
        <v>872.09999999999991</v>
      </c>
      <c r="H237" s="486">
        <f t="shared" si="28"/>
        <v>-1.7665666046930731E-4</v>
      </c>
      <c r="I237" s="486">
        <f t="shared" si="29"/>
        <v>45</v>
      </c>
      <c r="J237" s="480"/>
      <c r="K237" s="487">
        <f t="shared" si="30"/>
        <v>-1.5479876151379541E-2</v>
      </c>
      <c r="M237" s="82"/>
      <c r="N237" s="495"/>
      <c r="O237" s="480"/>
      <c r="P237" s="480"/>
    </row>
    <row r="238" spans="1:16" ht="12.75" thickBot="1">
      <c r="A238" s="48" t="s">
        <v>1274</v>
      </c>
      <c r="B238" s="2" t="s">
        <v>356</v>
      </c>
      <c r="C238" s="497">
        <v>242</v>
      </c>
      <c r="D238" s="497"/>
      <c r="E238" s="495">
        <v>20.349999999999998</v>
      </c>
      <c r="F238" s="190">
        <f t="shared" si="27"/>
        <v>4924.7</v>
      </c>
      <c r="H238" s="486">
        <f t="shared" si="28"/>
        <v>-9.9757029677009258E-4</v>
      </c>
      <c r="I238" s="486">
        <f t="shared" si="29"/>
        <v>242</v>
      </c>
      <c r="J238" s="480"/>
      <c r="K238" s="487">
        <f t="shared" si="30"/>
        <v>-1.4742014732861696E-2</v>
      </c>
      <c r="M238" s="82"/>
      <c r="N238" s="495"/>
      <c r="O238" s="480"/>
      <c r="P238" s="480"/>
    </row>
    <row r="239" spans="1:16" ht="12.75" thickBot="1">
      <c r="A239" s="48" t="s">
        <v>1274</v>
      </c>
      <c r="B239" s="135" t="s">
        <v>357</v>
      </c>
      <c r="C239" s="497">
        <v>104</v>
      </c>
      <c r="D239" s="497"/>
      <c r="E239" s="495">
        <v>19.53</v>
      </c>
      <c r="F239" s="190">
        <f t="shared" si="27"/>
        <v>2031.1200000000001</v>
      </c>
      <c r="H239" s="486">
        <f t="shared" si="28"/>
        <v>-4.1143317992480168E-4</v>
      </c>
      <c r="I239" s="486">
        <f t="shared" si="29"/>
        <v>104</v>
      </c>
      <c r="J239" s="480"/>
      <c r="K239" s="487">
        <f t="shared" si="30"/>
        <v>-1.5360983093381231E-2</v>
      </c>
      <c r="M239" s="82"/>
      <c r="N239" s="495"/>
      <c r="O239" s="480"/>
      <c r="P239" s="480"/>
    </row>
    <row r="240" spans="1:16" ht="12.75" thickBot="1">
      <c r="A240" s="48" t="s">
        <v>1274</v>
      </c>
      <c r="B240" s="2" t="s">
        <v>358</v>
      </c>
      <c r="C240" s="497">
        <v>80</v>
      </c>
      <c r="D240" s="497"/>
      <c r="E240" s="495">
        <v>20.819999999999997</v>
      </c>
      <c r="F240" s="190">
        <f t="shared" si="27"/>
        <v>1665.5999999999997</v>
      </c>
      <c r="H240" s="486">
        <f t="shared" si="28"/>
        <v>-3.3739173681650986E-4</v>
      </c>
      <c r="I240" s="486">
        <f t="shared" si="29"/>
        <v>80</v>
      </c>
      <c r="J240" s="480"/>
      <c r="K240" s="487">
        <f t="shared" si="30"/>
        <v>-1.4409221893070871E-2</v>
      </c>
      <c r="M240" s="82"/>
      <c r="N240" s="495"/>
      <c r="O240" s="480"/>
      <c r="P240" s="480"/>
    </row>
    <row r="241" spans="1:16" ht="12.75" thickBot="1">
      <c r="A241" s="48" t="s">
        <v>1274</v>
      </c>
      <c r="B241" s="2" t="s">
        <v>250</v>
      </c>
      <c r="C241" s="497">
        <v>522</v>
      </c>
      <c r="D241" s="497"/>
      <c r="E241" s="495">
        <v>19.2</v>
      </c>
      <c r="F241" s="190">
        <f t="shared" si="27"/>
        <v>10022.4</v>
      </c>
      <c r="H241" s="486">
        <f t="shared" si="28"/>
        <v>-2.0301842837834949E-3</v>
      </c>
      <c r="I241" s="486">
        <f t="shared" si="29"/>
        <v>522</v>
      </c>
      <c r="J241" s="480"/>
      <c r="K241" s="487">
        <f t="shared" si="30"/>
        <v>-1.5624999990298724E-2</v>
      </c>
      <c r="M241" s="82"/>
      <c r="N241" s="495"/>
      <c r="O241" s="480"/>
      <c r="P241" s="480"/>
    </row>
    <row r="242" spans="1:16" ht="12.75" thickBot="1">
      <c r="A242" s="48" t="s">
        <v>1274</v>
      </c>
      <c r="B242" s="2" t="s">
        <v>251</v>
      </c>
      <c r="C242" s="497">
        <v>509</v>
      </c>
      <c r="D242" s="497"/>
      <c r="E242" s="495">
        <v>22.949999999999996</v>
      </c>
      <c r="F242" s="190">
        <f t="shared" si="27"/>
        <v>11681.549999999997</v>
      </c>
      <c r="H242" s="486">
        <f t="shared" si="28"/>
        <v>-2.3662694783915111E-3</v>
      </c>
      <c r="I242" s="486">
        <f t="shared" si="29"/>
        <v>509</v>
      </c>
      <c r="J242" s="480"/>
      <c r="K242" s="487">
        <f t="shared" si="30"/>
        <v>-1.3071895416720504E-2</v>
      </c>
      <c r="M242" s="82"/>
      <c r="N242" s="495"/>
      <c r="O242" s="480"/>
      <c r="P242" s="480"/>
    </row>
    <row r="243" spans="1:16" ht="12.75" thickBot="1">
      <c r="A243" s="48" t="s">
        <v>1274</v>
      </c>
      <c r="B243" s="2" t="s">
        <v>254</v>
      </c>
      <c r="C243" s="497">
        <v>53</v>
      </c>
      <c r="D243" s="497"/>
      <c r="E243" s="495">
        <v>17.419999999999998</v>
      </c>
      <c r="F243" s="190">
        <f t="shared" si="27"/>
        <v>923.25999999999988</v>
      </c>
      <c r="H243" s="486">
        <f t="shared" si="28"/>
        <v>-1.8701986967651951E-4</v>
      </c>
      <c r="I243" s="486">
        <f t="shared" si="29"/>
        <v>53</v>
      </c>
      <c r="J243" s="480"/>
      <c r="K243" s="487">
        <f t="shared" si="30"/>
        <v>-1.7221584375070924E-2</v>
      </c>
      <c r="M243" s="82"/>
      <c r="N243" s="495"/>
      <c r="O243" s="480"/>
      <c r="P243" s="480"/>
    </row>
    <row r="244" spans="1:16" ht="12.75" thickBot="1">
      <c r="A244" s="48" t="s">
        <v>1274</v>
      </c>
      <c r="B244" s="135" t="s">
        <v>260</v>
      </c>
      <c r="C244" s="497">
        <v>39</v>
      </c>
      <c r="D244" s="497"/>
      <c r="E244" s="495">
        <v>13.12</v>
      </c>
      <c r="F244" s="190">
        <f t="shared" si="27"/>
        <v>511.67999999999995</v>
      </c>
      <c r="H244" s="486">
        <f t="shared" si="28"/>
        <v>-1.0364829724680102E-4</v>
      </c>
      <c r="I244" s="486">
        <f t="shared" si="29"/>
        <v>39</v>
      </c>
      <c r="J244" s="480"/>
      <c r="K244" s="487">
        <f t="shared" si="30"/>
        <v>-2.2865853644339598E-2</v>
      </c>
      <c r="M244" s="82"/>
      <c r="N244" s="495"/>
      <c r="O244" s="480"/>
      <c r="P244" s="480"/>
    </row>
    <row r="245" spans="1:16" ht="12.75" thickBot="1">
      <c r="A245" s="48" t="s">
        <v>1274</v>
      </c>
      <c r="B245" s="2" t="s">
        <v>262</v>
      </c>
      <c r="C245" s="497">
        <v>17</v>
      </c>
      <c r="D245" s="497"/>
      <c r="E245" s="495">
        <v>9.0200000000000014</v>
      </c>
      <c r="F245" s="190">
        <f t="shared" si="27"/>
        <v>153.34000000000003</v>
      </c>
      <c r="H245" s="486">
        <f t="shared" si="28"/>
        <v>-3.1061268565948397E-5</v>
      </c>
      <c r="I245" s="486">
        <f t="shared" si="29"/>
        <v>17</v>
      </c>
      <c r="J245" s="480"/>
      <c r="K245" s="487">
        <f t="shared" si="30"/>
        <v>-3.3259423482675771E-2</v>
      </c>
      <c r="M245" s="82"/>
      <c r="N245" s="495"/>
      <c r="O245" s="480"/>
      <c r="P245" s="480"/>
    </row>
    <row r="246" spans="1:16" ht="12.75" thickBot="1">
      <c r="A246" s="48" t="s">
        <v>1274</v>
      </c>
      <c r="B246" s="2" t="s">
        <v>340</v>
      </c>
      <c r="C246" s="497">
        <v>35</v>
      </c>
      <c r="D246" s="497"/>
      <c r="E246" s="495">
        <v>23.89</v>
      </c>
      <c r="F246" s="190">
        <f t="shared" si="27"/>
        <v>836.15</v>
      </c>
      <c r="H246" s="486">
        <f t="shared" si="28"/>
        <v>-1.6937446009793755E-4</v>
      </c>
      <c r="I246" s="486">
        <f t="shared" si="29"/>
        <v>35</v>
      </c>
      <c r="J246" s="480"/>
      <c r="K246" s="487">
        <f t="shared" si="30"/>
        <v>-1.2557555454739869E-2</v>
      </c>
      <c r="M246" s="82"/>
      <c r="N246" s="495"/>
      <c r="O246" s="480"/>
      <c r="P246" s="480"/>
    </row>
    <row r="247" spans="1:16" ht="12.75" thickBot="1">
      <c r="A247" s="48" t="s">
        <v>1274</v>
      </c>
      <c r="B247" s="2" t="s">
        <v>692</v>
      </c>
      <c r="C247" s="497">
        <v>4</v>
      </c>
      <c r="D247" s="497"/>
      <c r="E247" s="495">
        <v>24.9</v>
      </c>
      <c r="F247" s="190">
        <f t="shared" si="27"/>
        <v>99.6</v>
      </c>
      <c r="H247" s="486">
        <f t="shared" si="28"/>
        <v>-2.0175442475338852E-5</v>
      </c>
      <c r="I247" s="486">
        <f t="shared" si="29"/>
        <v>4</v>
      </c>
      <c r="J247" s="480"/>
      <c r="K247" s="487">
        <f t="shared" si="30"/>
        <v>-1.2048192763603836E-2</v>
      </c>
      <c r="M247" s="82"/>
      <c r="N247" s="495"/>
      <c r="O247" s="480"/>
      <c r="P247" s="480"/>
    </row>
    <row r="248" spans="1:16" ht="12.75" thickBot="1">
      <c r="A248" s="48" t="s">
        <v>1274</v>
      </c>
      <c r="B248" s="2" t="s">
        <v>292</v>
      </c>
      <c r="C248" s="497">
        <v>221</v>
      </c>
      <c r="D248" s="497"/>
      <c r="E248" s="495">
        <v>19.79</v>
      </c>
      <c r="F248" s="190">
        <f t="shared" si="27"/>
        <v>4373.59</v>
      </c>
      <c r="H248" s="486">
        <f t="shared" si="28"/>
        <v>-8.859348740533861E-4</v>
      </c>
      <c r="I248" s="486">
        <f t="shared" si="29"/>
        <v>221</v>
      </c>
      <c r="J248" s="480"/>
      <c r="K248" s="487">
        <f t="shared" si="30"/>
        <v>-1.5159171289223623E-2</v>
      </c>
      <c r="M248" s="82"/>
      <c r="N248" s="495"/>
      <c r="O248" s="480"/>
      <c r="P248" s="480"/>
    </row>
    <row r="249" spans="1:16" ht="12.75" thickBot="1">
      <c r="A249" s="48" t="s">
        <v>1274</v>
      </c>
      <c r="B249" s="135" t="s">
        <v>293</v>
      </c>
      <c r="C249" s="497">
        <v>2052</v>
      </c>
      <c r="D249" s="497"/>
      <c r="E249" s="495">
        <v>20.49</v>
      </c>
      <c r="F249" s="190">
        <f t="shared" si="27"/>
        <v>42045.479999999996</v>
      </c>
      <c r="H249" s="486">
        <f t="shared" si="28"/>
        <v>-8.5169293482731945E-3</v>
      </c>
      <c r="I249" s="486">
        <f t="shared" si="29"/>
        <v>2052</v>
      </c>
      <c r="J249" s="480"/>
      <c r="K249" s="487">
        <f t="shared" si="30"/>
        <v>-1.464128842429163E-2</v>
      </c>
      <c r="M249" s="82"/>
      <c r="N249" s="495"/>
      <c r="O249" s="480"/>
      <c r="P249" s="480"/>
    </row>
    <row r="250" spans="1:16" ht="12.75" thickBot="1">
      <c r="A250" s="48" t="s">
        <v>1274</v>
      </c>
      <c r="B250" s="2" t="s">
        <v>295</v>
      </c>
      <c r="C250" s="497">
        <v>39</v>
      </c>
      <c r="D250" s="497"/>
      <c r="E250" s="495">
        <v>20.18</v>
      </c>
      <c r="F250" s="190">
        <f t="shared" si="27"/>
        <v>787.02</v>
      </c>
      <c r="H250" s="486">
        <f t="shared" si="28"/>
        <v>-1.5942245719820464E-4</v>
      </c>
      <c r="I250" s="486">
        <f t="shared" si="29"/>
        <v>39</v>
      </c>
      <c r="J250" s="480"/>
      <c r="K250" s="487">
        <f t="shared" si="30"/>
        <v>-1.4866204153307012E-2</v>
      </c>
      <c r="M250" s="82"/>
      <c r="N250" s="495"/>
      <c r="O250" s="480"/>
      <c r="P250" s="480"/>
    </row>
    <row r="251" spans="1:16" ht="12.75" thickBot="1">
      <c r="A251" s="48" t="s">
        <v>1274</v>
      </c>
      <c r="B251" s="2" t="s">
        <v>296</v>
      </c>
      <c r="C251" s="497">
        <v>1810</v>
      </c>
      <c r="D251" s="497"/>
      <c r="E251" s="495">
        <v>22.56</v>
      </c>
      <c r="F251" s="190">
        <f t="shared" si="27"/>
        <v>40833.599999999999</v>
      </c>
      <c r="H251" s="486">
        <f t="shared" si="28"/>
        <v>-8.2714452596485584E-3</v>
      </c>
      <c r="I251" s="486">
        <f t="shared" si="29"/>
        <v>1810</v>
      </c>
      <c r="J251" s="480"/>
      <c r="K251" s="487">
        <f t="shared" si="30"/>
        <v>-1.3297872332169126E-2</v>
      </c>
      <c r="M251" s="82"/>
      <c r="N251" s="495"/>
      <c r="O251" s="480"/>
      <c r="P251" s="480"/>
    </row>
    <row r="252" spans="1:16" ht="12.75" thickBot="1">
      <c r="A252" s="48" t="s">
        <v>1274</v>
      </c>
      <c r="B252" s="2" t="s">
        <v>297</v>
      </c>
      <c r="C252" s="497">
        <v>39</v>
      </c>
      <c r="D252" s="497"/>
      <c r="E252" s="495">
        <v>23.68</v>
      </c>
      <c r="F252" s="190">
        <f t="shared" ref="F252:F283" si="31">C252*E252</f>
        <v>923.52</v>
      </c>
      <c r="H252" s="486">
        <f t="shared" si="28"/>
        <v>-1.8707253649422626E-4</v>
      </c>
      <c r="I252" s="486">
        <f t="shared" si="29"/>
        <v>39</v>
      </c>
      <c r="J252" s="480"/>
      <c r="K252" s="487">
        <f t="shared" si="30"/>
        <v>-1.2668918911053019E-2</v>
      </c>
      <c r="M252" s="82"/>
      <c r="N252" s="495"/>
      <c r="O252" s="480"/>
      <c r="P252" s="480"/>
    </row>
    <row r="253" spans="1:16" ht="12.75" thickBot="1">
      <c r="A253" s="48" t="s">
        <v>1274</v>
      </c>
      <c r="B253" s="2" t="s">
        <v>299</v>
      </c>
      <c r="C253" s="497">
        <v>111</v>
      </c>
      <c r="D253" s="497"/>
      <c r="E253" s="495">
        <v>24.77</v>
      </c>
      <c r="F253" s="190">
        <f t="shared" si="31"/>
        <v>2749.47</v>
      </c>
      <c r="H253" s="486">
        <f t="shared" si="28"/>
        <v>-5.5694552030793073E-4</v>
      </c>
      <c r="I253" s="486">
        <f t="shared" si="29"/>
        <v>111</v>
      </c>
      <c r="J253" s="480"/>
      <c r="K253" s="487">
        <f t="shared" si="30"/>
        <v>-1.2111425103501635E-2</v>
      </c>
      <c r="M253" s="82"/>
      <c r="N253" s="495"/>
      <c r="O253" s="480"/>
      <c r="P253" s="480"/>
    </row>
    <row r="254" spans="1:16" ht="12.75" thickBot="1">
      <c r="A254" s="48" t="s">
        <v>1274</v>
      </c>
      <c r="B254" s="2" t="s">
        <v>300</v>
      </c>
      <c r="C254" s="497">
        <v>53</v>
      </c>
      <c r="D254" s="497"/>
      <c r="E254" s="495">
        <v>29.889999999999997</v>
      </c>
      <c r="F254" s="190">
        <f t="shared" si="31"/>
        <v>1584.1699999999998</v>
      </c>
      <c r="H254" s="486">
        <f t="shared" si="28"/>
        <v>-3.2089689464013599E-4</v>
      </c>
      <c r="I254" s="486">
        <f t="shared" si="29"/>
        <v>53</v>
      </c>
      <c r="J254" s="480"/>
      <c r="K254" s="487">
        <f t="shared" si="30"/>
        <v>-1.0036801599656591E-2</v>
      </c>
      <c r="M254" s="82"/>
      <c r="N254" s="495"/>
      <c r="O254" s="480"/>
      <c r="P254" s="480"/>
    </row>
    <row r="255" spans="1:16" ht="12.75" thickBot="1">
      <c r="A255" s="48" t="s">
        <v>1274</v>
      </c>
      <c r="B255" s="2" t="s">
        <v>301</v>
      </c>
      <c r="C255" s="497">
        <v>181</v>
      </c>
      <c r="D255" s="497"/>
      <c r="E255" s="495">
        <v>32.860000000000007</v>
      </c>
      <c r="F255" s="190">
        <f t="shared" si="31"/>
        <v>5947.6600000000008</v>
      </c>
      <c r="H255" s="486">
        <f t="shared" si="28"/>
        <v>-1.2047858653903001E-3</v>
      </c>
      <c r="I255" s="486">
        <f t="shared" si="29"/>
        <v>181</v>
      </c>
      <c r="J255" s="480"/>
      <c r="K255" s="487">
        <f t="shared" si="30"/>
        <v>-9.1296408951228071E-3</v>
      </c>
      <c r="M255" s="82"/>
      <c r="N255" s="495"/>
      <c r="O255" s="480"/>
      <c r="P255" s="480"/>
    </row>
    <row r="256" spans="1:16" ht="12.75" thickBot="1">
      <c r="A256" s="48" t="s">
        <v>1274</v>
      </c>
      <c r="B256" s="135" t="s">
        <v>302</v>
      </c>
      <c r="C256" s="497">
        <v>390</v>
      </c>
      <c r="D256" s="497"/>
      <c r="E256" s="495">
        <v>38.389999999999993</v>
      </c>
      <c r="F256" s="190">
        <f t="shared" si="31"/>
        <v>14972.099999999997</v>
      </c>
      <c r="H256" s="486">
        <f t="shared" si="28"/>
        <v>-3.0328186976407707E-3</v>
      </c>
      <c r="I256" s="486">
        <f t="shared" si="29"/>
        <v>390</v>
      </c>
      <c r="J256" s="480"/>
      <c r="K256" s="487">
        <f t="shared" si="30"/>
        <v>-7.8145350303135078E-3</v>
      </c>
      <c r="M256" s="82"/>
      <c r="N256" s="495"/>
      <c r="O256" s="480"/>
      <c r="P256" s="480"/>
    </row>
    <row r="257" spans="1:16" ht="12.75" thickBot="1">
      <c r="A257" s="48" t="s">
        <v>1274</v>
      </c>
      <c r="B257" s="2" t="s">
        <v>303</v>
      </c>
      <c r="C257" s="497">
        <v>17</v>
      </c>
      <c r="D257" s="497"/>
      <c r="E257" s="495">
        <v>26.349999999999998</v>
      </c>
      <c r="F257" s="190">
        <f t="shared" si="31"/>
        <v>447.95</v>
      </c>
      <c r="H257" s="486">
        <f t="shared" si="28"/>
        <v>-9.0738849968152987E-5</v>
      </c>
      <c r="I257" s="486">
        <f t="shared" si="29"/>
        <v>17</v>
      </c>
      <c r="J257" s="480"/>
      <c r="K257" s="487">
        <f t="shared" si="30"/>
        <v>-1.1385199233917856E-2</v>
      </c>
      <c r="M257" s="82"/>
      <c r="N257" s="495"/>
      <c r="O257" s="480"/>
      <c r="P257" s="480"/>
    </row>
    <row r="258" spans="1:16" ht="12.75" thickBot="1">
      <c r="A258" s="48" t="s">
        <v>1274</v>
      </c>
      <c r="B258" s="2" t="s">
        <v>304</v>
      </c>
      <c r="C258" s="497">
        <v>430</v>
      </c>
      <c r="D258" s="497"/>
      <c r="E258" s="495">
        <v>28.45</v>
      </c>
      <c r="F258" s="190">
        <f t="shared" si="31"/>
        <v>12233.5</v>
      </c>
      <c r="H258" s="486">
        <f t="shared" si="28"/>
        <v>-2.4780750554423479E-3</v>
      </c>
      <c r="I258" s="486">
        <f t="shared" si="29"/>
        <v>430</v>
      </c>
      <c r="J258" s="480"/>
      <c r="K258" s="487">
        <f t="shared" si="30"/>
        <v>-1.0544815459182268E-2</v>
      </c>
      <c r="M258" s="82"/>
      <c r="N258" s="495"/>
      <c r="O258" s="480"/>
      <c r="P258" s="480"/>
    </row>
    <row r="259" spans="1:16" ht="12.75" thickBot="1">
      <c r="A259" s="48" t="s">
        <v>1274</v>
      </c>
      <c r="B259" s="2" t="s">
        <v>305</v>
      </c>
      <c r="C259" s="497">
        <v>34</v>
      </c>
      <c r="D259" s="497"/>
      <c r="E259" s="495">
        <v>34.029999999999994</v>
      </c>
      <c r="F259" s="190">
        <f t="shared" si="31"/>
        <v>1157.0199999999998</v>
      </c>
      <c r="H259" s="486">
        <f t="shared" si="28"/>
        <v>-2.3437139008851963E-4</v>
      </c>
      <c r="I259" s="486">
        <f t="shared" si="29"/>
        <v>34</v>
      </c>
      <c r="J259" s="480"/>
      <c r="K259" s="487">
        <f t="shared" si="30"/>
        <v>-8.8157508026369541E-3</v>
      </c>
      <c r="M259" s="82"/>
      <c r="N259" s="495"/>
      <c r="O259" s="480"/>
      <c r="P259" s="480"/>
    </row>
    <row r="260" spans="1:16" ht="12.75" thickBot="1">
      <c r="A260" s="48" t="s">
        <v>1274</v>
      </c>
      <c r="B260" s="2" t="s">
        <v>306</v>
      </c>
      <c r="C260" s="497">
        <v>40</v>
      </c>
      <c r="D260" s="497"/>
      <c r="E260" s="495">
        <v>33.22</v>
      </c>
      <c r="F260" s="190">
        <f t="shared" si="31"/>
        <v>1328.8</v>
      </c>
      <c r="H260" s="486">
        <f t="shared" si="28"/>
        <v>-2.6916795141797452E-4</v>
      </c>
      <c r="I260" s="486">
        <f t="shared" si="29"/>
        <v>40</v>
      </c>
      <c r="J260" s="480"/>
      <c r="K260" s="487">
        <f t="shared" si="30"/>
        <v>-9.0307043893358072E-3</v>
      </c>
      <c r="M260" s="82"/>
      <c r="N260" s="495"/>
      <c r="O260" s="480"/>
      <c r="P260" s="480"/>
    </row>
    <row r="261" spans="1:16" ht="12.75" thickBot="1">
      <c r="A261" s="48" t="s">
        <v>1274</v>
      </c>
      <c r="B261" s="2" t="s">
        <v>307</v>
      </c>
      <c r="C261" s="497">
        <v>52</v>
      </c>
      <c r="D261" s="497"/>
      <c r="E261" s="495">
        <v>35.199999999999996</v>
      </c>
      <c r="F261" s="190">
        <f t="shared" si="31"/>
        <v>1830.3999999999999</v>
      </c>
      <c r="H261" s="486">
        <f t="shared" si="28"/>
        <v>-3.7077439665522319E-4</v>
      </c>
      <c r="I261" s="486">
        <f t="shared" si="29"/>
        <v>52</v>
      </c>
      <c r="J261" s="480"/>
      <c r="K261" s="487">
        <f t="shared" si="30"/>
        <v>-8.5227272674356681E-3</v>
      </c>
      <c r="M261" s="82"/>
      <c r="N261" s="495"/>
      <c r="O261" s="480"/>
      <c r="P261" s="480"/>
    </row>
    <row r="262" spans="1:16" ht="12.75" thickBot="1">
      <c r="A262" s="48" t="s">
        <v>1274</v>
      </c>
      <c r="B262" s="2" t="s">
        <v>308</v>
      </c>
      <c r="C262" s="497">
        <v>204</v>
      </c>
      <c r="D262" s="497"/>
      <c r="E262" s="495">
        <v>34.090000000000003</v>
      </c>
      <c r="F262" s="190">
        <f t="shared" si="31"/>
        <v>6954.3600000000006</v>
      </c>
      <c r="H262" s="486">
        <f t="shared" si="28"/>
        <v>-1.408707732257003E-3</v>
      </c>
      <c r="I262" s="486">
        <f t="shared" si="29"/>
        <v>204</v>
      </c>
      <c r="J262" s="480"/>
      <c r="K262" s="487">
        <f t="shared" si="30"/>
        <v>-8.8002346674607053E-3</v>
      </c>
      <c r="M262" s="82"/>
      <c r="N262" s="495"/>
      <c r="O262" s="480"/>
      <c r="P262" s="480"/>
    </row>
    <row r="263" spans="1:16" ht="12.75" thickBot="1">
      <c r="A263" s="48" t="s">
        <v>1274</v>
      </c>
      <c r="B263" s="135" t="s">
        <v>309</v>
      </c>
      <c r="C263" s="497">
        <v>220</v>
      </c>
      <c r="D263" s="497"/>
      <c r="E263" s="495">
        <v>36.07</v>
      </c>
      <c r="F263" s="190">
        <f t="shared" si="31"/>
        <v>7935.4</v>
      </c>
      <c r="H263" s="486">
        <f t="shared" si="28"/>
        <v>-1.6074317893454207E-3</v>
      </c>
      <c r="I263" s="486">
        <f t="shared" si="29"/>
        <v>220</v>
      </c>
      <c r="J263" s="480"/>
      <c r="K263" s="487">
        <f t="shared" si="30"/>
        <v>-8.3171610705221923E-3</v>
      </c>
      <c r="M263" s="82"/>
      <c r="N263" s="495"/>
      <c r="O263" s="480"/>
      <c r="P263" s="480"/>
    </row>
    <row r="264" spans="1:16" ht="12.75" thickBot="1">
      <c r="A264" s="48" t="s">
        <v>1274</v>
      </c>
      <c r="B264" s="2" t="s">
        <v>310</v>
      </c>
      <c r="C264" s="497">
        <v>13</v>
      </c>
      <c r="D264" s="497"/>
      <c r="E264" s="495">
        <v>32.26</v>
      </c>
      <c r="F264" s="190">
        <f t="shared" si="31"/>
        <v>419.38</v>
      </c>
      <c r="H264" s="486">
        <f t="shared" si="28"/>
        <v>-8.4951576960919762E-5</v>
      </c>
      <c r="I264" s="486">
        <f t="shared" si="29"/>
        <v>13</v>
      </c>
      <c r="J264" s="480"/>
      <c r="K264" s="487">
        <f t="shared" si="30"/>
        <v>-9.2994420277041391E-3</v>
      </c>
      <c r="M264" s="82"/>
      <c r="N264" s="495"/>
      <c r="O264" s="480"/>
      <c r="P264" s="480"/>
    </row>
    <row r="265" spans="1:16" ht="12.75" thickBot="1">
      <c r="A265" s="48" t="s">
        <v>1274</v>
      </c>
      <c r="B265" s="2" t="s">
        <v>311</v>
      </c>
      <c r="C265" s="497">
        <v>44</v>
      </c>
      <c r="D265" s="497"/>
      <c r="E265" s="495">
        <v>32.93</v>
      </c>
      <c r="F265" s="190">
        <f t="shared" si="31"/>
        <v>1448.92</v>
      </c>
      <c r="H265" s="486">
        <f t="shared" si="28"/>
        <v>-2.9350002119847356E-4</v>
      </c>
      <c r="I265" s="486">
        <f t="shared" si="29"/>
        <v>44</v>
      </c>
      <c r="J265" s="480"/>
      <c r="K265" s="487">
        <f t="shared" si="30"/>
        <v>-9.1102338236785756E-3</v>
      </c>
      <c r="M265" s="82"/>
      <c r="N265" s="495"/>
      <c r="O265" s="480"/>
      <c r="P265" s="480"/>
    </row>
    <row r="266" spans="1:16" ht="12.75" thickBot="1">
      <c r="A266" s="48" t="s">
        <v>1274</v>
      </c>
      <c r="B266" s="2" t="s">
        <v>339</v>
      </c>
      <c r="C266" s="497">
        <v>10</v>
      </c>
      <c r="D266" s="497"/>
      <c r="E266" s="495">
        <v>34.330000000000005</v>
      </c>
      <c r="F266" s="190">
        <f t="shared" si="31"/>
        <v>343.30000000000007</v>
      </c>
      <c r="H266" s="486">
        <f t="shared" si="28"/>
        <v>-6.9540455841203097E-5</v>
      </c>
      <c r="I266" s="486">
        <f t="shared" si="29"/>
        <v>10</v>
      </c>
      <c r="J266" s="480"/>
      <c r="K266" s="487">
        <f t="shared" si="30"/>
        <v>-8.7387124909331614E-3</v>
      </c>
      <c r="M266" s="82"/>
      <c r="N266" s="495"/>
      <c r="O266" s="480"/>
      <c r="P266" s="480"/>
    </row>
    <row r="267" spans="1:16" ht="12.75" thickBot="1">
      <c r="A267" s="48" t="s">
        <v>1274</v>
      </c>
      <c r="B267" s="2" t="s">
        <v>312</v>
      </c>
      <c r="C267" s="497">
        <v>191</v>
      </c>
      <c r="D267" s="497"/>
      <c r="E267" s="495">
        <v>34.99</v>
      </c>
      <c r="F267" s="190">
        <f t="shared" si="31"/>
        <v>6683.09</v>
      </c>
      <c r="H267" s="486">
        <f t="shared" si="28"/>
        <v>-1.3537580105673929E-3</v>
      </c>
      <c r="I267" s="486">
        <f t="shared" si="29"/>
        <v>191</v>
      </c>
      <c r="J267" s="480"/>
      <c r="K267" s="487">
        <f t="shared" si="30"/>
        <v>-8.5738782456054718E-3</v>
      </c>
      <c r="M267" s="82"/>
      <c r="N267" s="495"/>
      <c r="O267" s="480"/>
      <c r="P267" s="480"/>
    </row>
    <row r="268" spans="1:16" ht="12.75" thickBot="1">
      <c r="A268" s="48" t="s">
        <v>1274</v>
      </c>
      <c r="B268" s="2" t="s">
        <v>688</v>
      </c>
      <c r="C268" s="497">
        <v>2</v>
      </c>
      <c r="D268" s="497"/>
      <c r="E268" s="495">
        <v>18.279999999999998</v>
      </c>
      <c r="F268" s="190">
        <f t="shared" si="31"/>
        <v>36.559999999999995</v>
      </c>
      <c r="H268" s="486">
        <f t="shared" si="28"/>
        <v>-7.4057648282970716E-6</v>
      </c>
      <c r="I268" s="486">
        <f t="shared" si="29"/>
        <v>2</v>
      </c>
      <c r="J268" s="480"/>
      <c r="K268" s="487">
        <f t="shared" si="30"/>
        <v>-1.6411378545609163E-2</v>
      </c>
      <c r="M268" s="82"/>
      <c r="N268" s="495"/>
      <c r="O268" s="480"/>
      <c r="P268" s="480"/>
    </row>
    <row r="269" spans="1:16" ht="12.75" thickBot="1">
      <c r="A269" s="48" t="s">
        <v>1274</v>
      </c>
      <c r="B269" s="2" t="s">
        <v>341</v>
      </c>
      <c r="C269" s="497">
        <v>14</v>
      </c>
      <c r="D269" s="497"/>
      <c r="E269" s="495">
        <v>22.32</v>
      </c>
      <c r="F269" s="190">
        <f t="shared" si="31"/>
        <v>312.48</v>
      </c>
      <c r="H269" s="486">
        <f t="shared" si="28"/>
        <v>-6.3297412296123336E-5</v>
      </c>
      <c r="I269" s="486">
        <f t="shared" si="29"/>
        <v>14</v>
      </c>
      <c r="J269" s="480"/>
      <c r="K269" s="487">
        <f t="shared" si="30"/>
        <v>-1.344086020670858E-2</v>
      </c>
      <c r="M269" s="82"/>
      <c r="N269" s="495"/>
      <c r="O269" s="480"/>
      <c r="P269" s="480"/>
    </row>
    <row r="270" spans="1:16" ht="12.75" thickBot="1">
      <c r="A270" s="48" t="s">
        <v>1274</v>
      </c>
      <c r="B270" s="2" t="s">
        <v>317</v>
      </c>
      <c r="C270" s="497">
        <v>6475</v>
      </c>
      <c r="D270" s="497"/>
      <c r="E270" s="495">
        <v>12.82</v>
      </c>
      <c r="F270" s="190">
        <f t="shared" si="31"/>
        <v>83009.5</v>
      </c>
      <c r="H270" s="486">
        <f t="shared" si="28"/>
        <v>-1.6814793093942172E-2</v>
      </c>
      <c r="I270" s="486">
        <f t="shared" si="29"/>
        <v>6475</v>
      </c>
      <c r="J270" s="480"/>
      <c r="K270" s="487">
        <f t="shared" si="30"/>
        <v>-2.3400936022912284E-2</v>
      </c>
      <c r="M270" s="82"/>
      <c r="N270" s="495"/>
      <c r="O270" s="480"/>
      <c r="P270" s="480"/>
    </row>
    <row r="271" spans="1:16" ht="12.75" thickBot="1">
      <c r="A271" s="48" t="s">
        <v>1274</v>
      </c>
      <c r="B271" s="135" t="s">
        <v>318</v>
      </c>
      <c r="C271" s="497">
        <v>9113</v>
      </c>
      <c r="D271" s="497"/>
      <c r="E271" s="495">
        <v>15.08</v>
      </c>
      <c r="F271" s="190">
        <f t="shared" si="31"/>
        <v>137424.04</v>
      </c>
      <c r="H271" s="486">
        <f t="shared" si="28"/>
        <v>-2.7837257166151257E-2</v>
      </c>
      <c r="I271" s="486">
        <f t="shared" si="29"/>
        <v>9113</v>
      </c>
      <c r="J271" s="480"/>
      <c r="K271" s="487">
        <f t="shared" si="30"/>
        <v>-1.9893899191892273E-2</v>
      </c>
      <c r="M271" s="82"/>
      <c r="N271" s="495"/>
      <c r="O271" s="480"/>
      <c r="P271" s="480"/>
    </row>
    <row r="272" spans="1:16" ht="12.75" thickBot="1">
      <c r="A272" s="48" t="s">
        <v>1274</v>
      </c>
      <c r="B272" s="2" t="s">
        <v>319</v>
      </c>
      <c r="C272" s="497">
        <v>5479</v>
      </c>
      <c r="D272" s="497"/>
      <c r="E272" s="495">
        <v>17.38</v>
      </c>
      <c r="F272" s="190">
        <f t="shared" si="31"/>
        <v>95225.01999999999</v>
      </c>
      <c r="H272" s="486">
        <f t="shared" si="28"/>
        <v>-1.9289226036375413E-2</v>
      </c>
      <c r="I272" s="486">
        <f t="shared" si="29"/>
        <v>5479</v>
      </c>
      <c r="J272" s="480"/>
      <c r="K272" s="487">
        <f t="shared" si="30"/>
        <v>-1.7261219782148188E-2</v>
      </c>
      <c r="M272" s="82"/>
      <c r="N272" s="495"/>
      <c r="O272" s="480"/>
      <c r="P272" s="480"/>
    </row>
    <row r="273" spans="1:16" ht="12.75" thickBot="1">
      <c r="A273" s="48" t="s">
        <v>1274</v>
      </c>
      <c r="B273" s="2" t="s">
        <v>320</v>
      </c>
      <c r="C273" s="497">
        <v>401</v>
      </c>
      <c r="D273" s="497"/>
      <c r="E273" s="495">
        <v>13.77</v>
      </c>
      <c r="F273" s="190">
        <f t="shared" si="31"/>
        <v>5521.7699999999995</v>
      </c>
      <c r="H273" s="486">
        <f t="shared" si="28"/>
        <v>-1.1185155923398775E-3</v>
      </c>
      <c r="I273" s="486">
        <f t="shared" si="29"/>
        <v>401</v>
      </c>
      <c r="J273" s="480"/>
      <c r="K273" s="487">
        <f t="shared" si="30"/>
        <v>-2.1786492361200834E-2</v>
      </c>
      <c r="M273" s="82"/>
      <c r="N273" s="495"/>
      <c r="O273" s="480"/>
      <c r="P273" s="480"/>
    </row>
    <row r="274" spans="1:16" ht="12.75" thickBot="1">
      <c r="A274" s="48" t="s">
        <v>1274</v>
      </c>
      <c r="B274" s="2" t="s">
        <v>321</v>
      </c>
      <c r="C274" s="497">
        <v>12783</v>
      </c>
      <c r="D274" s="497"/>
      <c r="E274" s="495">
        <v>18.21</v>
      </c>
      <c r="F274" s="190">
        <f t="shared" si="31"/>
        <v>232778.43000000002</v>
      </c>
      <c r="H274" s="486">
        <f t="shared" si="28"/>
        <v>-4.7152688995629438E-2</v>
      </c>
      <c r="I274" s="486">
        <f t="shared" si="29"/>
        <v>12783</v>
      </c>
      <c r="J274" s="480"/>
      <c r="K274" s="487">
        <f t="shared" si="30"/>
        <v>-1.647446456967246E-2</v>
      </c>
      <c r="M274" s="82"/>
      <c r="N274" s="495"/>
      <c r="O274" s="480"/>
      <c r="P274" s="480"/>
    </row>
    <row r="275" spans="1:16" ht="12.75" thickBot="1">
      <c r="A275" s="48" t="s">
        <v>1274</v>
      </c>
      <c r="B275" s="2" t="s">
        <v>322</v>
      </c>
      <c r="C275" s="497">
        <v>3291</v>
      </c>
      <c r="D275" s="497"/>
      <c r="E275" s="495">
        <v>10.86</v>
      </c>
      <c r="F275" s="190">
        <f t="shared" si="31"/>
        <v>35740.259999999995</v>
      </c>
      <c r="H275" s="486">
        <f t="shared" si="28"/>
        <v>-7.2397144546551611E-3</v>
      </c>
      <c r="I275" s="486">
        <f t="shared" si="29"/>
        <v>3291</v>
      </c>
      <c r="J275" s="480"/>
      <c r="K275" s="487">
        <f t="shared" si="30"/>
        <v>-2.7624309375113766E-2</v>
      </c>
      <c r="M275" s="82"/>
      <c r="N275" s="495"/>
      <c r="O275" s="480"/>
      <c r="P275" s="480"/>
    </row>
    <row r="276" spans="1:16" ht="12.75" thickBot="1">
      <c r="A276" s="48" t="s">
        <v>1274</v>
      </c>
      <c r="B276" s="135" t="s">
        <v>323</v>
      </c>
      <c r="C276" s="497">
        <v>5</v>
      </c>
      <c r="D276" s="497"/>
      <c r="E276" s="495">
        <v>11.13</v>
      </c>
      <c r="F276" s="190">
        <f t="shared" si="31"/>
        <v>55.650000000000006</v>
      </c>
      <c r="H276" s="486">
        <f t="shared" si="28"/>
        <v>-1.1272724636070354E-5</v>
      </c>
      <c r="I276" s="486">
        <f t="shared" si="29"/>
        <v>5</v>
      </c>
      <c r="J276" s="480"/>
      <c r="K276" s="487">
        <f t="shared" si="30"/>
        <v>-2.6954177880838766E-2</v>
      </c>
      <c r="M276" s="82"/>
      <c r="N276" s="495"/>
      <c r="O276" s="480"/>
      <c r="P276" s="480"/>
    </row>
    <row r="277" spans="1:16" ht="12.75" thickBot="1">
      <c r="A277" s="48" t="s">
        <v>1274</v>
      </c>
      <c r="B277" s="2" t="s">
        <v>328</v>
      </c>
      <c r="C277" s="497">
        <v>22</v>
      </c>
      <c r="D277" s="497"/>
      <c r="E277" s="495">
        <v>12.79</v>
      </c>
      <c r="F277" s="190">
        <f t="shared" si="31"/>
        <v>281.38</v>
      </c>
      <c r="H277" s="486">
        <f t="shared" si="28"/>
        <v>-5.699765063966712E-5</v>
      </c>
      <c r="I277" s="486">
        <f t="shared" si="29"/>
        <v>22</v>
      </c>
      <c r="J277" s="480"/>
      <c r="K277" s="487">
        <f t="shared" si="30"/>
        <v>-2.3455824848611063E-2</v>
      </c>
      <c r="M277" s="82"/>
      <c r="N277" s="495"/>
      <c r="O277" s="480"/>
      <c r="P277" s="480"/>
    </row>
    <row r="278" spans="1:16" ht="12.75" thickBot="1">
      <c r="A278" s="48" t="s">
        <v>1274</v>
      </c>
      <c r="B278" s="2" t="s">
        <v>329</v>
      </c>
      <c r="C278" s="497">
        <v>2</v>
      </c>
      <c r="D278" s="497"/>
      <c r="E278" s="495">
        <v>15.07</v>
      </c>
      <c r="F278" s="190">
        <f t="shared" si="31"/>
        <v>30.14</v>
      </c>
      <c r="H278" s="486">
        <f t="shared" si="28"/>
        <v>-6.1052995603083631E-6</v>
      </c>
      <c r="I278" s="486">
        <f t="shared" si="29"/>
        <v>2</v>
      </c>
      <c r="J278" s="480"/>
      <c r="K278" s="487">
        <f t="shared" si="30"/>
        <v>-1.9907100186711046E-2</v>
      </c>
      <c r="M278" s="82"/>
      <c r="N278" s="495"/>
      <c r="O278" s="480"/>
      <c r="P278" s="480"/>
    </row>
    <row r="279" spans="1:16" ht="12.75" thickBot="1">
      <c r="A279" s="48" t="s">
        <v>1274</v>
      </c>
      <c r="B279" s="2" t="s">
        <v>330</v>
      </c>
      <c r="C279" s="497">
        <v>500</v>
      </c>
      <c r="D279" s="497"/>
      <c r="E279" s="495">
        <v>18.68</v>
      </c>
      <c r="F279" s="190">
        <f t="shared" si="31"/>
        <v>9340</v>
      </c>
      <c r="H279" s="486">
        <f t="shared" si="28"/>
        <v>-1.8919541437717356E-3</v>
      </c>
      <c r="I279" s="486">
        <f t="shared" si="29"/>
        <v>500</v>
      </c>
      <c r="J279" s="480"/>
      <c r="K279" s="487">
        <f t="shared" si="30"/>
        <v>-1.6059957163476205E-2</v>
      </c>
      <c r="M279" s="82"/>
      <c r="N279" s="495"/>
      <c r="O279" s="480"/>
      <c r="P279" s="480"/>
    </row>
    <row r="280" spans="1:16" ht="12.75" thickBot="1">
      <c r="A280" s="48" t="s">
        <v>1274</v>
      </c>
      <c r="B280" s="2" t="s">
        <v>331</v>
      </c>
      <c r="C280" s="497">
        <v>55</v>
      </c>
      <c r="D280" s="497"/>
      <c r="E280" s="495">
        <v>20.970000000000002</v>
      </c>
      <c r="F280" s="190">
        <f t="shared" si="31"/>
        <v>1153.3500000000001</v>
      </c>
      <c r="H280" s="486">
        <f t="shared" si="28"/>
        <v>-2.3362797770012114E-4</v>
      </c>
      <c r="I280" s="486">
        <f t="shared" si="29"/>
        <v>55</v>
      </c>
      <c r="J280" s="480"/>
      <c r="K280" s="487">
        <f t="shared" si="30"/>
        <v>-1.430615163632501E-2</v>
      </c>
      <c r="M280" s="82"/>
      <c r="N280" s="495"/>
      <c r="O280" s="480"/>
      <c r="P280" s="480"/>
    </row>
    <row r="281" spans="1:16" ht="12.75" thickBot="1">
      <c r="A281" s="48" t="s">
        <v>1274</v>
      </c>
      <c r="B281" s="2" t="s">
        <v>332</v>
      </c>
      <c r="C281" s="497">
        <v>2</v>
      </c>
      <c r="D281" s="497"/>
      <c r="E281" s="495">
        <v>28.42</v>
      </c>
      <c r="F281" s="190">
        <f t="shared" si="31"/>
        <v>56.84</v>
      </c>
      <c r="H281" s="486">
        <f t="shared" si="28"/>
        <v>-1.1513776609420286E-5</v>
      </c>
      <c r="I281" s="486">
        <f t="shared" si="29"/>
        <v>2</v>
      </c>
      <c r="J281" s="480"/>
      <c r="K281" s="487">
        <f t="shared" si="30"/>
        <v>-1.0555946509983654E-2</v>
      </c>
      <c r="M281" s="82"/>
      <c r="N281" s="495"/>
      <c r="O281" s="480"/>
      <c r="P281" s="480"/>
    </row>
    <row r="282" spans="1:16" ht="12.75" thickBot="1">
      <c r="A282" s="48" t="s">
        <v>1274</v>
      </c>
      <c r="B282" s="2" t="s">
        <v>333</v>
      </c>
      <c r="C282" s="497">
        <v>383</v>
      </c>
      <c r="D282" s="497"/>
      <c r="E282" s="495">
        <v>39.6</v>
      </c>
      <c r="F282" s="190">
        <f t="shared" si="31"/>
        <v>15166.800000000001</v>
      </c>
      <c r="H282" s="486">
        <f t="shared" si="28"/>
        <v>-3.0722580415157557E-3</v>
      </c>
      <c r="I282" s="486">
        <f t="shared" si="29"/>
        <v>383</v>
      </c>
      <c r="J282" s="480"/>
      <c r="K282" s="487">
        <f t="shared" si="30"/>
        <v>-7.5757575710539262E-3</v>
      </c>
      <c r="M282" s="82"/>
      <c r="N282" s="495"/>
      <c r="O282" s="480"/>
      <c r="P282" s="480"/>
    </row>
    <row r="283" spans="1:16" ht="12.75" thickBot="1">
      <c r="A283" s="48" t="s">
        <v>1274</v>
      </c>
      <c r="B283" s="2" t="s">
        <v>334</v>
      </c>
      <c r="C283" s="497">
        <v>58</v>
      </c>
      <c r="D283" s="497"/>
      <c r="E283" s="495">
        <v>42.78</v>
      </c>
      <c r="F283" s="190">
        <f t="shared" si="31"/>
        <v>2481.2400000000002</v>
      </c>
      <c r="H283" s="486">
        <f t="shared" si="28"/>
        <v>-5.0261159525612231E-4</v>
      </c>
      <c r="I283" s="486">
        <f t="shared" si="29"/>
        <v>58</v>
      </c>
      <c r="J283" s="480"/>
      <c r="K283" s="487">
        <f t="shared" si="30"/>
        <v>-7.0126227165436062E-3</v>
      </c>
      <c r="M283" s="82"/>
      <c r="N283" s="495"/>
      <c r="O283" s="480"/>
      <c r="P283" s="480"/>
    </row>
    <row r="284" spans="1:16" ht="12.75" thickBot="1">
      <c r="A284" s="48" t="s">
        <v>1274</v>
      </c>
      <c r="B284" s="2" t="s">
        <v>620</v>
      </c>
      <c r="C284" s="497">
        <v>18</v>
      </c>
      <c r="D284" s="497"/>
      <c r="E284" s="495">
        <v>23.83</v>
      </c>
      <c r="F284" s="190">
        <f t="shared" ref="F284:F288" si="32">C284*E284</f>
        <v>428.93999999999994</v>
      </c>
      <c r="H284" s="486">
        <f t="shared" si="28"/>
        <v>-8.6888095335058694E-5</v>
      </c>
      <c r="I284" s="486">
        <f t="shared" si="29"/>
        <v>18</v>
      </c>
      <c r="J284" s="480"/>
      <c r="K284" s="487">
        <f t="shared" si="30"/>
        <v>-1.2589173303136194E-2</v>
      </c>
      <c r="M284" s="82"/>
      <c r="N284" s="495"/>
      <c r="O284" s="480"/>
      <c r="P284" s="480"/>
    </row>
    <row r="285" spans="1:16" ht="12.75" thickBot="1">
      <c r="A285" s="48" t="s">
        <v>1274</v>
      </c>
      <c r="B285" s="135" t="s">
        <v>360</v>
      </c>
      <c r="C285" s="497">
        <v>4</v>
      </c>
      <c r="D285" s="497"/>
      <c r="E285" s="495">
        <v>20.46</v>
      </c>
      <c r="F285" s="190">
        <f t="shared" si="32"/>
        <v>81.84</v>
      </c>
      <c r="H285" s="486">
        <f t="shared" ref="H285:H288" si="33">F285/$M$225*$M$226</f>
        <v>-1.6577893696603731E-5</v>
      </c>
      <c r="I285" s="486">
        <f t="shared" ref="I285:I288" si="34">ROUND((F285+H285)/E285,0)</f>
        <v>4</v>
      </c>
      <c r="J285" s="480"/>
      <c r="K285" s="487">
        <f t="shared" ref="K285:K288" si="35">$M$226/E285</f>
        <v>-1.4662756589136631E-2</v>
      </c>
      <c r="M285" s="82"/>
      <c r="N285" s="495"/>
      <c r="O285" s="480"/>
      <c r="P285" s="480"/>
    </row>
    <row r="286" spans="1:16" ht="12.75" thickBot="1">
      <c r="A286" s="48" t="s">
        <v>1274</v>
      </c>
      <c r="B286" s="2" t="s">
        <v>335</v>
      </c>
      <c r="C286" s="497">
        <v>40</v>
      </c>
      <c r="D286" s="497"/>
      <c r="E286" s="495">
        <v>30.21</v>
      </c>
      <c r="F286" s="190">
        <f t="shared" si="32"/>
        <v>1208.4000000000001</v>
      </c>
      <c r="H286" s="486">
        <f t="shared" si="33"/>
        <v>-2.4477916352609906E-4</v>
      </c>
      <c r="I286" s="486">
        <f t="shared" si="34"/>
        <v>40</v>
      </c>
      <c r="J286" s="480"/>
      <c r="K286" s="487">
        <f t="shared" si="35"/>
        <v>-9.9304865876774402E-3</v>
      </c>
      <c r="M286" s="82"/>
      <c r="N286" s="495"/>
      <c r="O286" s="480"/>
      <c r="P286" s="480"/>
    </row>
    <row r="287" spans="1:16" ht="12.75" thickBot="1">
      <c r="A287" s="48" t="s">
        <v>1274</v>
      </c>
      <c r="B287" s="2" t="s">
        <v>336</v>
      </c>
      <c r="C287" s="497">
        <v>2</v>
      </c>
      <c r="D287" s="497"/>
      <c r="E287" s="495">
        <v>42.56</v>
      </c>
      <c r="F287" s="190">
        <f t="shared" si="32"/>
        <v>85.12</v>
      </c>
      <c r="H287" s="486">
        <f t="shared" si="33"/>
        <v>-1.7242305858442199E-5</v>
      </c>
      <c r="I287" s="486">
        <f t="shared" si="34"/>
        <v>2</v>
      </c>
      <c r="J287" s="480"/>
      <c r="K287" s="487">
        <f t="shared" si="35"/>
        <v>-7.0488721760746118E-3</v>
      </c>
      <c r="M287" s="82"/>
      <c r="N287" s="495"/>
      <c r="O287" s="480"/>
      <c r="P287" s="480"/>
    </row>
    <row r="288" spans="1:16" ht="12.75" thickBot="1">
      <c r="A288" s="48" t="s">
        <v>1274</v>
      </c>
      <c r="B288" s="2" t="s">
        <v>337</v>
      </c>
      <c r="C288" s="497">
        <v>13</v>
      </c>
      <c r="D288" s="497"/>
      <c r="E288" s="495">
        <v>52.31</v>
      </c>
      <c r="F288" s="190">
        <f t="shared" si="32"/>
        <v>680.03</v>
      </c>
      <c r="H288" s="486">
        <f t="shared" si="33"/>
        <v>-1.3775006171189434E-4</v>
      </c>
      <c r="I288" s="486">
        <f t="shared" si="34"/>
        <v>13</v>
      </c>
      <c r="J288" s="480"/>
      <c r="K288" s="487">
        <f t="shared" si="35"/>
        <v>-5.7350410975671087E-3</v>
      </c>
      <c r="M288" s="82"/>
      <c r="N288" s="495"/>
      <c r="O288" s="480"/>
      <c r="P288" s="480"/>
    </row>
    <row r="289" spans="1:16" ht="12.75" thickBot="1">
      <c r="A289" s="48" t="s">
        <v>1274</v>
      </c>
      <c r="B289" s="2"/>
      <c r="C289" s="497"/>
      <c r="D289" s="497"/>
      <c r="E289" s="497"/>
      <c r="F289" s="480"/>
      <c r="H289" s="495"/>
      <c r="I289" s="495"/>
      <c r="J289" s="495"/>
      <c r="K289" s="480"/>
      <c r="M289" s="82"/>
      <c r="N289" s="495"/>
      <c r="O289" s="480"/>
      <c r="P289" s="480"/>
    </row>
    <row r="290" spans="1:16" ht="12.75" thickBot="1">
      <c r="A290" s="48" t="s">
        <v>1274</v>
      </c>
      <c r="B290" s="50"/>
      <c r="C290" s="79"/>
      <c r="D290" s="79"/>
      <c r="E290" s="79"/>
      <c r="F290" s="80"/>
      <c r="H290" s="80"/>
      <c r="I290" s="80"/>
      <c r="J290" s="80"/>
      <c r="K290" s="80"/>
      <c r="M290" s="82"/>
      <c r="N290" s="495"/>
      <c r="O290" s="480"/>
      <c r="P290" s="480"/>
    </row>
    <row r="291" spans="1:16" ht="12.75" thickBot="1">
      <c r="A291" s="48" t="s">
        <v>1275</v>
      </c>
      <c r="B291" s="2" t="s">
        <v>342</v>
      </c>
      <c r="C291" s="497">
        <v>54</v>
      </c>
      <c r="D291" s="497"/>
      <c r="E291" s="495">
        <v>8.14</v>
      </c>
      <c r="F291" s="190">
        <f t="shared" ref="F291:F322" si="36">C291*E291</f>
        <v>439.56000000000006</v>
      </c>
      <c r="H291" s="486">
        <f>F291/$M$296*$M$297</f>
        <v>-1.021714948978395E-4</v>
      </c>
      <c r="I291" s="486">
        <f>ROUND((F291+H291)/E291,0)</f>
        <v>54</v>
      </c>
      <c r="J291" s="480"/>
      <c r="K291" s="487">
        <f>$M$297/E291</f>
        <v>-3.1941031999382613E-2</v>
      </c>
      <c r="M291" s="488">
        <f>'12MonLights'!$K$368</f>
        <v>1190265</v>
      </c>
      <c r="N291" s="480" t="s">
        <v>1304</v>
      </c>
      <c r="O291" s="480"/>
      <c r="P291" s="480" t="s">
        <v>1317</v>
      </c>
    </row>
    <row r="292" spans="1:16" ht="12.75" thickBot="1">
      <c r="A292" s="48" t="s">
        <v>1275</v>
      </c>
      <c r="B292" s="2" t="s">
        <v>213</v>
      </c>
      <c r="C292" s="497">
        <v>1893</v>
      </c>
      <c r="D292" s="497"/>
      <c r="E292" s="495">
        <v>10.959999999999999</v>
      </c>
      <c r="F292" s="190">
        <f t="shared" si="36"/>
        <v>20747.28</v>
      </c>
      <c r="H292" s="486">
        <f t="shared" ref="H292:H355" si="37">F292/$M$296*$M$297</f>
        <v>-4.8225057163164241E-3</v>
      </c>
      <c r="I292" s="486">
        <f t="shared" ref="I292:I355" si="38">ROUND((F292+H292)/E292,0)</f>
        <v>1893</v>
      </c>
      <c r="J292" s="480"/>
      <c r="K292" s="487">
        <f t="shared" ref="K292:K355" si="39">$M$297/E292</f>
        <v>-2.372262778056337E-2</v>
      </c>
      <c r="M292" s="488">
        <f>-M304</f>
        <v>-43778.380000000005</v>
      </c>
      <c r="N292" s="489" t="s">
        <v>1306</v>
      </c>
      <c r="O292" s="480"/>
      <c r="P292" s="480"/>
    </row>
    <row r="293" spans="1:16" ht="12.75" thickBot="1">
      <c r="A293" s="48" t="s">
        <v>1275</v>
      </c>
      <c r="B293" s="2" t="s">
        <v>214</v>
      </c>
      <c r="C293" s="497">
        <v>947</v>
      </c>
      <c r="D293" s="497"/>
      <c r="E293" s="495">
        <v>13.510000000000002</v>
      </c>
      <c r="F293" s="190">
        <f t="shared" si="36"/>
        <v>12793.970000000001</v>
      </c>
      <c r="H293" s="486">
        <f t="shared" si="37"/>
        <v>-2.973835291150495E-3</v>
      </c>
      <c r="I293" s="486">
        <f t="shared" si="38"/>
        <v>947</v>
      </c>
      <c r="J293" s="480"/>
      <c r="K293" s="487">
        <f t="shared" si="39"/>
        <v>-1.9245003736119502E-2</v>
      </c>
      <c r="M293" s="490">
        <f>M291+M292</f>
        <v>1146486.6200000001</v>
      </c>
      <c r="N293" s="491" t="s">
        <v>1307</v>
      </c>
      <c r="O293" s="480"/>
      <c r="P293" s="480"/>
    </row>
    <row r="294" spans="1:16" ht="12.75" thickBot="1">
      <c r="A294" s="48" t="s">
        <v>1275</v>
      </c>
      <c r="B294" s="2" t="s">
        <v>215</v>
      </c>
      <c r="C294" s="497">
        <v>94</v>
      </c>
      <c r="D294" s="497"/>
      <c r="E294" s="495">
        <v>12.450000000000001</v>
      </c>
      <c r="F294" s="190">
        <f t="shared" si="36"/>
        <v>1170.3000000000002</v>
      </c>
      <c r="H294" s="486">
        <f t="shared" si="37"/>
        <v>-2.7202498061457272E-4</v>
      </c>
      <c r="I294" s="486">
        <f t="shared" si="38"/>
        <v>94</v>
      </c>
      <c r="J294" s="480"/>
      <c r="K294" s="487">
        <f t="shared" si="39"/>
        <v>-2.0883534174696745E-2</v>
      </c>
      <c r="M294" s="490">
        <f>'1051'!$K$128</f>
        <v>27920.490000000013</v>
      </c>
      <c r="N294" s="492" t="s">
        <v>1308</v>
      </c>
      <c r="O294" s="480"/>
      <c r="P294" s="480"/>
    </row>
    <row r="295" spans="1:16" ht="12.75" thickBot="1">
      <c r="A295" s="48" t="s">
        <v>1275</v>
      </c>
      <c r="B295" s="2" t="s">
        <v>216</v>
      </c>
      <c r="C295" s="497">
        <v>752</v>
      </c>
      <c r="D295" s="497"/>
      <c r="E295" s="495">
        <v>15.54</v>
      </c>
      <c r="F295" s="190">
        <f t="shared" si="36"/>
        <v>11686.08</v>
      </c>
      <c r="H295" s="486">
        <f t="shared" si="37"/>
        <v>-2.7163169148597325E-3</v>
      </c>
      <c r="I295" s="486">
        <f t="shared" si="38"/>
        <v>752</v>
      </c>
      <c r="J295" s="480"/>
      <c r="K295" s="487">
        <f t="shared" si="39"/>
        <v>-1.6731016761581372E-2</v>
      </c>
      <c r="M295" s="490">
        <f>M293-M294</f>
        <v>1118566.1300000001</v>
      </c>
      <c r="N295" s="492" t="s">
        <v>1309</v>
      </c>
      <c r="O295" s="480"/>
      <c r="P295" s="480"/>
    </row>
    <row r="296" spans="1:16" ht="12.75" thickBot="1">
      <c r="A296" s="48" t="s">
        <v>1275</v>
      </c>
      <c r="B296" s="2" t="s">
        <v>217</v>
      </c>
      <c r="C296" s="497">
        <v>1005</v>
      </c>
      <c r="D296" s="497"/>
      <c r="E296" s="495">
        <v>14.24</v>
      </c>
      <c r="F296" s="190">
        <f t="shared" si="36"/>
        <v>14311.2</v>
      </c>
      <c r="H296" s="486">
        <f t="shared" si="37"/>
        <v>-3.3265008139547743E-3</v>
      </c>
      <c r="I296" s="486">
        <f t="shared" si="38"/>
        <v>1005</v>
      </c>
      <c r="J296" s="480"/>
      <c r="K296" s="487">
        <f t="shared" si="39"/>
        <v>-1.8258426999647085E-2</v>
      </c>
      <c r="M296" s="490">
        <f>SUM(F291:F359)</f>
        <v>1118566.3900000006</v>
      </c>
      <c r="N296" s="491" t="s">
        <v>1323</v>
      </c>
      <c r="O296" s="480"/>
      <c r="P296" s="480"/>
    </row>
    <row r="297" spans="1:16" ht="12.75" thickBot="1">
      <c r="A297" s="48" t="s">
        <v>1275</v>
      </c>
      <c r="B297" s="2" t="s">
        <v>344</v>
      </c>
      <c r="C297" s="497">
        <v>41</v>
      </c>
      <c r="D297" s="497"/>
      <c r="E297" s="495">
        <v>27.69</v>
      </c>
      <c r="F297" s="190">
        <f t="shared" si="36"/>
        <v>1135.29</v>
      </c>
      <c r="H297" s="486">
        <f t="shared" si="37"/>
        <v>-2.6388724279408543E-4</v>
      </c>
      <c r="I297" s="486">
        <f t="shared" si="38"/>
        <v>41</v>
      </c>
      <c r="J297" s="480"/>
      <c r="K297" s="487">
        <f t="shared" si="39"/>
        <v>-9.3896713786556334E-3</v>
      </c>
      <c r="M297" s="490">
        <f>M295-M296</f>
        <v>-0.26000000047497451</v>
      </c>
      <c r="N297" s="492"/>
      <c r="O297" s="480"/>
      <c r="P297" s="480"/>
    </row>
    <row r="298" spans="1:16" ht="12.75" thickBot="1">
      <c r="A298" s="48" t="s">
        <v>1275</v>
      </c>
      <c r="B298" s="135" t="s">
        <v>218</v>
      </c>
      <c r="C298" s="497">
        <v>361</v>
      </c>
      <c r="D298" s="497"/>
      <c r="E298" s="495">
        <v>28.89</v>
      </c>
      <c r="F298" s="190">
        <f t="shared" si="36"/>
        <v>10429.290000000001</v>
      </c>
      <c r="H298" s="486">
        <f t="shared" si="37"/>
        <v>-2.4241881654906918E-3</v>
      </c>
      <c r="I298" s="486">
        <f t="shared" si="38"/>
        <v>361</v>
      </c>
      <c r="J298" s="480"/>
      <c r="K298" s="487">
        <f t="shared" si="39"/>
        <v>-8.9996538759077368E-3</v>
      </c>
      <c r="M298" s="490"/>
      <c r="N298" s="492"/>
      <c r="O298" s="480"/>
      <c r="P298" s="480"/>
    </row>
    <row r="299" spans="1:16" ht="12.75" thickBot="1">
      <c r="A299" s="48" t="s">
        <v>1275</v>
      </c>
      <c r="B299" s="2" t="s">
        <v>223</v>
      </c>
      <c r="C299" s="497">
        <v>2941</v>
      </c>
      <c r="D299" s="497"/>
      <c r="E299" s="495">
        <v>9.57</v>
      </c>
      <c r="F299" s="190">
        <f t="shared" si="36"/>
        <v>28145.370000000003</v>
      </c>
      <c r="H299" s="486">
        <f t="shared" si="37"/>
        <v>-6.5421205918482234E-3</v>
      </c>
      <c r="I299" s="486">
        <f t="shared" si="38"/>
        <v>2941</v>
      </c>
      <c r="J299" s="480"/>
      <c r="K299" s="487">
        <f t="shared" si="39"/>
        <v>-2.7168234114417399E-2</v>
      </c>
      <c r="M299" s="490"/>
      <c r="N299" s="492"/>
      <c r="O299" s="480"/>
      <c r="P299" s="480"/>
    </row>
    <row r="300" spans="1:16" ht="12.75" thickBot="1">
      <c r="A300" s="48" t="s">
        <v>1275</v>
      </c>
      <c r="B300" s="2" t="s">
        <v>231</v>
      </c>
      <c r="C300" s="497">
        <v>785</v>
      </c>
      <c r="D300" s="497"/>
      <c r="E300" s="495">
        <v>27.34</v>
      </c>
      <c r="F300" s="190">
        <f t="shared" si="36"/>
        <v>21461.9</v>
      </c>
      <c r="H300" s="486">
        <f t="shared" si="37"/>
        <v>-4.9886122630538295E-3</v>
      </c>
      <c r="I300" s="486">
        <f t="shared" si="38"/>
        <v>785</v>
      </c>
      <c r="J300" s="480"/>
      <c r="K300" s="487">
        <f t="shared" si="39"/>
        <v>-9.5098756574606633E-3</v>
      </c>
      <c r="M300" s="493"/>
      <c r="N300" s="492"/>
      <c r="O300" s="480"/>
      <c r="P300" s="480"/>
    </row>
    <row r="301" spans="1:16" ht="12.75" thickBot="1">
      <c r="A301" s="48" t="s">
        <v>1275</v>
      </c>
      <c r="B301" s="2" t="s">
        <v>232</v>
      </c>
      <c r="C301" s="497">
        <v>1769</v>
      </c>
      <c r="D301" s="497"/>
      <c r="E301" s="495">
        <v>31.4</v>
      </c>
      <c r="F301" s="190">
        <f t="shared" si="36"/>
        <v>55546.6</v>
      </c>
      <c r="H301" s="486">
        <f t="shared" si="37"/>
        <v>-1.291127299684305E-2</v>
      </c>
      <c r="I301" s="486">
        <f t="shared" si="38"/>
        <v>1769</v>
      </c>
      <c r="J301" s="480"/>
      <c r="K301" s="487">
        <f t="shared" si="39"/>
        <v>-8.2802547921966407E-3</v>
      </c>
      <c r="M301" s="492"/>
      <c r="N301" s="494"/>
      <c r="O301" s="480"/>
      <c r="P301" s="480"/>
    </row>
    <row r="302" spans="1:16" ht="12.75" thickBot="1">
      <c r="A302" s="48" t="s">
        <v>1275</v>
      </c>
      <c r="B302" s="2" t="s">
        <v>234</v>
      </c>
      <c r="C302" s="497">
        <v>16032</v>
      </c>
      <c r="D302" s="497"/>
      <c r="E302" s="495">
        <v>17.189999999999998</v>
      </c>
      <c r="F302" s="190">
        <f t="shared" si="36"/>
        <v>275590.07999999996</v>
      </c>
      <c r="H302" s="486">
        <f t="shared" si="37"/>
        <v>-6.4058263837963356E-2</v>
      </c>
      <c r="I302" s="486">
        <f t="shared" si="38"/>
        <v>16032</v>
      </c>
      <c r="J302" s="480"/>
      <c r="K302" s="487">
        <f t="shared" si="39"/>
        <v>-1.5125072744326618E-2</v>
      </c>
      <c r="M302" s="492">
        <f>'12MonResults'!$AD$184</f>
        <v>19834.3</v>
      </c>
      <c r="N302" s="494" t="s">
        <v>17</v>
      </c>
      <c r="O302" s="480" t="s">
        <v>1311</v>
      </c>
      <c r="P302" s="480"/>
    </row>
    <row r="303" spans="1:16" ht="12.75" thickBot="1">
      <c r="A303" s="48" t="s">
        <v>1275</v>
      </c>
      <c r="B303" s="2" t="s">
        <v>353</v>
      </c>
      <c r="C303" s="497">
        <v>453</v>
      </c>
      <c r="D303" s="497"/>
      <c r="E303" s="495">
        <v>24.89</v>
      </c>
      <c r="F303" s="190">
        <f t="shared" si="36"/>
        <v>11275.17</v>
      </c>
      <c r="H303" s="486">
        <f t="shared" si="37"/>
        <v>-2.6208048369443827E-3</v>
      </c>
      <c r="I303" s="486">
        <f t="shared" si="38"/>
        <v>453</v>
      </c>
      <c r="J303" s="480"/>
      <c r="K303" s="487">
        <f t="shared" si="39"/>
        <v>-1.0445962252911792E-2</v>
      </c>
      <c r="M303" s="492">
        <f>'12MonResults'!$AD$186</f>
        <v>23944.080000000002</v>
      </c>
      <c r="N303" s="494" t="s">
        <v>18</v>
      </c>
      <c r="O303" s="480"/>
      <c r="P303" s="480"/>
    </row>
    <row r="304" spans="1:16" ht="12.75" thickBot="1">
      <c r="A304" s="48" t="s">
        <v>1275</v>
      </c>
      <c r="B304" s="135" t="s">
        <v>235</v>
      </c>
      <c r="C304" s="497">
        <v>1301</v>
      </c>
      <c r="D304" s="497"/>
      <c r="E304" s="495">
        <v>14.17</v>
      </c>
      <c r="F304" s="190">
        <f t="shared" si="36"/>
        <v>18435.169999999998</v>
      </c>
      <c r="H304" s="486">
        <f t="shared" si="37"/>
        <v>-4.2850779816084343E-3</v>
      </c>
      <c r="I304" s="486">
        <f t="shared" si="38"/>
        <v>1301</v>
      </c>
      <c r="J304" s="480"/>
      <c r="K304" s="487">
        <f t="shared" si="39"/>
        <v>-1.8348623886730735E-2</v>
      </c>
      <c r="M304" s="492">
        <f>M302+M303</f>
        <v>43778.380000000005</v>
      </c>
      <c r="N304" s="494"/>
      <c r="O304" s="480"/>
      <c r="P304" s="480"/>
    </row>
    <row r="305" spans="1:16" ht="12.75" thickBot="1">
      <c r="A305" s="48" t="s">
        <v>1275</v>
      </c>
      <c r="B305" s="2" t="s">
        <v>236</v>
      </c>
      <c r="C305" s="497">
        <v>1996</v>
      </c>
      <c r="D305" s="497"/>
      <c r="E305" s="495">
        <v>22.15</v>
      </c>
      <c r="F305" s="190">
        <f t="shared" si="36"/>
        <v>44211.399999999994</v>
      </c>
      <c r="H305" s="486">
        <f t="shared" si="37"/>
        <v>-1.0276514763687187E-2</v>
      </c>
      <c r="I305" s="486">
        <f t="shared" si="38"/>
        <v>1996</v>
      </c>
      <c r="J305" s="480"/>
      <c r="K305" s="487">
        <f t="shared" si="39"/>
        <v>-1.1738149005642191E-2</v>
      </c>
      <c r="M305" s="82"/>
      <c r="N305" s="495"/>
      <c r="O305" s="480"/>
      <c r="P305" s="480"/>
    </row>
    <row r="306" spans="1:16" ht="12.75" thickBot="1">
      <c r="A306" s="48" t="s">
        <v>1275</v>
      </c>
      <c r="B306" s="2" t="s">
        <v>354</v>
      </c>
      <c r="C306" s="497">
        <v>16</v>
      </c>
      <c r="D306" s="497"/>
      <c r="E306" s="495">
        <v>72.550000000000011</v>
      </c>
      <c r="F306" s="190">
        <f t="shared" si="36"/>
        <v>1160.8000000000002</v>
      </c>
      <c r="H306" s="486">
        <f t="shared" si="37"/>
        <v>-2.6981679697290952E-4</v>
      </c>
      <c r="I306" s="486">
        <f t="shared" si="38"/>
        <v>16</v>
      </c>
      <c r="J306" s="480"/>
      <c r="K306" s="487">
        <f t="shared" si="39"/>
        <v>-3.5837353614744929E-3</v>
      </c>
      <c r="M306" s="82"/>
      <c r="N306" s="495"/>
      <c r="O306" s="480"/>
      <c r="P306" s="480"/>
    </row>
    <row r="307" spans="1:16" ht="12.75" thickBot="1">
      <c r="A307" s="48" t="s">
        <v>1275</v>
      </c>
      <c r="B307" s="2" t="s">
        <v>355</v>
      </c>
      <c r="C307" s="497">
        <v>11</v>
      </c>
      <c r="D307" s="497"/>
      <c r="E307" s="495">
        <v>41.43</v>
      </c>
      <c r="F307" s="190">
        <f t="shared" si="36"/>
        <v>455.73</v>
      </c>
      <c r="H307" s="486">
        <f t="shared" si="37"/>
        <v>-1.0593005589633359E-4</v>
      </c>
      <c r="I307" s="486">
        <f t="shared" si="38"/>
        <v>11</v>
      </c>
      <c r="J307" s="480"/>
      <c r="K307" s="487">
        <f t="shared" si="39"/>
        <v>-6.2756456788552861E-3</v>
      </c>
      <c r="M307" s="82"/>
      <c r="N307" s="495"/>
      <c r="O307" s="480"/>
      <c r="P307" s="480"/>
    </row>
    <row r="308" spans="1:16" ht="12.75" thickBot="1">
      <c r="A308" s="48" t="s">
        <v>1275</v>
      </c>
      <c r="B308" s="2" t="s">
        <v>359</v>
      </c>
      <c r="C308" s="497">
        <v>44</v>
      </c>
      <c r="D308" s="497"/>
      <c r="E308" s="495">
        <v>19.38</v>
      </c>
      <c r="F308" s="190">
        <f t="shared" si="36"/>
        <v>852.71999999999991</v>
      </c>
      <c r="H308" s="486">
        <f t="shared" si="37"/>
        <v>-1.982065636756886E-4</v>
      </c>
      <c r="I308" s="486">
        <f t="shared" si="38"/>
        <v>44</v>
      </c>
      <c r="J308" s="480"/>
      <c r="K308" s="487">
        <f t="shared" si="39"/>
        <v>-1.3415892697367107E-2</v>
      </c>
      <c r="M308" s="82"/>
      <c r="N308" s="495"/>
      <c r="O308" s="480"/>
      <c r="P308" s="480"/>
    </row>
    <row r="309" spans="1:16" ht="12.75" thickBot="1">
      <c r="A309" s="48" t="s">
        <v>1275</v>
      </c>
      <c r="B309" s="2" t="s">
        <v>356</v>
      </c>
      <c r="C309" s="497">
        <v>238</v>
      </c>
      <c r="D309" s="497"/>
      <c r="E309" s="495">
        <v>20.349999999999998</v>
      </c>
      <c r="F309" s="190">
        <f t="shared" si="36"/>
        <v>4843.2999999999993</v>
      </c>
      <c r="H309" s="486">
        <f t="shared" si="37"/>
        <v>-1.1257785085965646E-3</v>
      </c>
      <c r="I309" s="486">
        <f t="shared" si="38"/>
        <v>238</v>
      </c>
      <c r="J309" s="480"/>
      <c r="K309" s="487">
        <f t="shared" si="39"/>
        <v>-1.2776412799753049E-2</v>
      </c>
      <c r="M309" s="82"/>
      <c r="N309" s="495"/>
      <c r="O309" s="480"/>
      <c r="P309" s="480"/>
    </row>
    <row r="310" spans="1:16" ht="12.75" thickBot="1">
      <c r="A310" s="48" t="s">
        <v>1275</v>
      </c>
      <c r="B310" s="135" t="s">
        <v>357</v>
      </c>
      <c r="C310" s="497">
        <v>102</v>
      </c>
      <c r="D310" s="497"/>
      <c r="E310" s="495">
        <v>19.53</v>
      </c>
      <c r="F310" s="190">
        <f t="shared" si="36"/>
        <v>1992.0600000000002</v>
      </c>
      <c r="H310" s="486">
        <f t="shared" si="37"/>
        <v>-4.6303519002227259E-4</v>
      </c>
      <c r="I310" s="486">
        <f t="shared" si="38"/>
        <v>102</v>
      </c>
      <c r="J310" s="480"/>
      <c r="K310" s="487">
        <f t="shared" si="39"/>
        <v>-1.3312852046849693E-2</v>
      </c>
      <c r="M310" s="82"/>
      <c r="N310" s="495"/>
      <c r="O310" s="480"/>
      <c r="P310" s="480"/>
    </row>
    <row r="311" spans="1:16" ht="12.75" thickBot="1">
      <c r="A311" s="48" t="s">
        <v>1275</v>
      </c>
      <c r="B311" s="2" t="s">
        <v>358</v>
      </c>
      <c r="C311" s="497">
        <v>79</v>
      </c>
      <c r="D311" s="497"/>
      <c r="E311" s="495">
        <v>20.819999999999997</v>
      </c>
      <c r="F311" s="190">
        <f t="shared" si="36"/>
        <v>1644.7799999999997</v>
      </c>
      <c r="H311" s="486">
        <f t="shared" si="37"/>
        <v>-3.8231329369839932E-4</v>
      </c>
      <c r="I311" s="486">
        <f t="shared" si="38"/>
        <v>79</v>
      </c>
      <c r="J311" s="480"/>
      <c r="K311" s="487">
        <f t="shared" si="39"/>
        <v>-1.2487992337895031E-2</v>
      </c>
      <c r="M311" s="82"/>
      <c r="N311" s="495"/>
      <c r="O311" s="480"/>
      <c r="P311" s="480"/>
    </row>
    <row r="312" spans="1:16" ht="12.75" thickBot="1">
      <c r="A312" s="48" t="s">
        <v>1275</v>
      </c>
      <c r="B312" s="2" t="s">
        <v>250</v>
      </c>
      <c r="C312" s="497">
        <v>102</v>
      </c>
      <c r="D312" s="497"/>
      <c r="E312" s="495">
        <v>19.2</v>
      </c>
      <c r="F312" s="190">
        <f t="shared" si="36"/>
        <v>1958.3999999999999</v>
      </c>
      <c r="H312" s="486">
        <f t="shared" si="37"/>
        <v>-4.5521124671928483E-4</v>
      </c>
      <c r="I312" s="486">
        <f t="shared" si="38"/>
        <v>102</v>
      </c>
      <c r="J312" s="480"/>
      <c r="K312" s="487">
        <f t="shared" si="39"/>
        <v>-1.3541666691404924E-2</v>
      </c>
      <c r="M312" s="82"/>
      <c r="N312" s="495"/>
      <c r="O312" s="480"/>
      <c r="P312" s="480"/>
    </row>
    <row r="313" spans="1:16" ht="12.75" thickBot="1">
      <c r="A313" s="48" t="s">
        <v>1275</v>
      </c>
      <c r="B313" s="2" t="s">
        <v>251</v>
      </c>
      <c r="C313" s="497">
        <v>24</v>
      </c>
      <c r="D313" s="497"/>
      <c r="E313" s="495">
        <v>22.949999999999996</v>
      </c>
      <c r="F313" s="190">
        <f t="shared" si="36"/>
        <v>550.79999999999995</v>
      </c>
      <c r="H313" s="486">
        <f t="shared" si="37"/>
        <v>-1.2802816313979884E-4</v>
      </c>
      <c r="I313" s="486">
        <f t="shared" si="38"/>
        <v>24</v>
      </c>
      <c r="J313" s="480"/>
      <c r="K313" s="487">
        <f t="shared" si="39"/>
        <v>-1.1328976055554447E-2</v>
      </c>
      <c r="M313" s="82"/>
      <c r="N313" s="495"/>
      <c r="O313" s="480"/>
      <c r="P313" s="480"/>
    </row>
    <row r="314" spans="1:16" ht="12.75" thickBot="1">
      <c r="A314" s="48" t="s">
        <v>1275</v>
      </c>
      <c r="B314" s="2" t="s">
        <v>254</v>
      </c>
      <c r="C314" s="497">
        <v>47</v>
      </c>
      <c r="D314" s="497"/>
      <c r="E314" s="495">
        <v>17.419999999999998</v>
      </c>
      <c r="F314" s="190">
        <f t="shared" si="36"/>
        <v>818.7399999999999</v>
      </c>
      <c r="H314" s="486">
        <f t="shared" si="37"/>
        <v>-1.9030823945003435E-4</v>
      </c>
      <c r="I314" s="486">
        <f t="shared" si="38"/>
        <v>47</v>
      </c>
      <c r="J314" s="480"/>
      <c r="K314" s="487">
        <f t="shared" si="39"/>
        <v>-1.4925373161594405E-2</v>
      </c>
      <c r="M314" s="82"/>
      <c r="N314" s="495"/>
      <c r="O314" s="480"/>
      <c r="P314" s="480"/>
    </row>
    <row r="315" spans="1:16" ht="12.75" thickBot="1">
      <c r="A315" s="48" t="s">
        <v>1275</v>
      </c>
      <c r="B315" s="135" t="s">
        <v>260</v>
      </c>
      <c r="C315" s="497">
        <v>7</v>
      </c>
      <c r="D315" s="497"/>
      <c r="E315" s="495">
        <v>13.12</v>
      </c>
      <c r="F315" s="190">
        <f t="shared" si="36"/>
        <v>91.839999999999989</v>
      </c>
      <c r="H315" s="486">
        <f t="shared" si="37"/>
        <v>-2.1347324805299794E-5</v>
      </c>
      <c r="I315" s="486">
        <f t="shared" si="38"/>
        <v>7</v>
      </c>
      <c r="J315" s="480"/>
      <c r="K315" s="487">
        <f t="shared" si="39"/>
        <v>-1.9817073206934033E-2</v>
      </c>
      <c r="M315" s="82"/>
      <c r="N315" s="495"/>
      <c r="O315" s="480"/>
      <c r="P315" s="480"/>
    </row>
    <row r="316" spans="1:16" ht="12.75" thickBot="1">
      <c r="A316" s="48" t="s">
        <v>1275</v>
      </c>
      <c r="B316" s="2" t="s">
        <v>262</v>
      </c>
      <c r="C316" s="497">
        <v>479</v>
      </c>
      <c r="D316" s="497"/>
      <c r="E316" s="495">
        <v>9.0200000000000014</v>
      </c>
      <c r="F316" s="190">
        <f t="shared" si="36"/>
        <v>4320.5800000000008</v>
      </c>
      <c r="H316" s="486">
        <f t="shared" si="37"/>
        <v>-1.0042772714207557E-3</v>
      </c>
      <c r="I316" s="486">
        <f t="shared" si="38"/>
        <v>479</v>
      </c>
      <c r="J316" s="480"/>
      <c r="K316" s="487">
        <f t="shared" si="39"/>
        <v>-2.8824833755540406E-2</v>
      </c>
      <c r="M316" s="82"/>
      <c r="N316" s="495"/>
      <c r="O316" s="480"/>
      <c r="P316" s="480"/>
    </row>
    <row r="317" spans="1:16" ht="12.75" thickBot="1">
      <c r="A317" s="48" t="s">
        <v>1275</v>
      </c>
      <c r="B317" s="2" t="s">
        <v>340</v>
      </c>
      <c r="C317" s="497">
        <v>1696</v>
      </c>
      <c r="D317" s="497"/>
      <c r="E317" s="495">
        <v>23.89</v>
      </c>
      <c r="F317" s="190">
        <f t="shared" si="36"/>
        <v>40517.440000000002</v>
      </c>
      <c r="H317" s="486">
        <f t="shared" si="37"/>
        <v>-9.4178892852705386E-3</v>
      </c>
      <c r="I317" s="486">
        <f t="shared" si="38"/>
        <v>1696</v>
      </c>
      <c r="J317" s="480"/>
      <c r="K317" s="487">
        <f t="shared" si="39"/>
        <v>-1.0883214754080139E-2</v>
      </c>
      <c r="M317" s="82"/>
      <c r="N317" s="495"/>
      <c r="O317" s="480"/>
      <c r="P317" s="480"/>
    </row>
    <row r="318" spans="1:16" ht="12.75" thickBot="1">
      <c r="A318" s="48" t="s">
        <v>1275</v>
      </c>
      <c r="B318" s="2" t="s">
        <v>692</v>
      </c>
      <c r="C318" s="497">
        <v>30</v>
      </c>
      <c r="D318" s="497"/>
      <c r="E318" s="495">
        <v>24.9</v>
      </c>
      <c r="F318" s="190">
        <f t="shared" si="36"/>
        <v>747</v>
      </c>
      <c r="H318" s="486">
        <f t="shared" si="37"/>
        <v>-1.7363296634972721E-4</v>
      </c>
      <c r="I318" s="486">
        <f t="shared" si="38"/>
        <v>30</v>
      </c>
      <c r="J318" s="480"/>
      <c r="K318" s="487">
        <f t="shared" si="39"/>
        <v>-1.0441767087348374E-2</v>
      </c>
      <c r="M318" s="82"/>
      <c r="N318" s="495"/>
      <c r="O318" s="480"/>
      <c r="P318" s="480"/>
    </row>
    <row r="319" spans="1:16" ht="12.75" thickBot="1">
      <c r="A319" s="48" t="s">
        <v>1275</v>
      </c>
      <c r="B319" s="2" t="s">
        <v>292</v>
      </c>
      <c r="C319" s="497">
        <v>2044</v>
      </c>
      <c r="D319" s="497"/>
      <c r="E319" s="495">
        <v>19.79</v>
      </c>
      <c r="F319" s="190">
        <f t="shared" si="36"/>
        <v>40450.759999999995</v>
      </c>
      <c r="H319" s="486">
        <f t="shared" si="37"/>
        <v>-9.4023901605098936E-3</v>
      </c>
      <c r="I319" s="486">
        <f t="shared" si="38"/>
        <v>2044</v>
      </c>
      <c r="J319" s="480"/>
      <c r="K319" s="487">
        <f t="shared" si="39"/>
        <v>-1.3137948482818318E-2</v>
      </c>
      <c r="M319" s="82"/>
      <c r="N319" s="495"/>
      <c r="O319" s="480"/>
      <c r="P319" s="480"/>
    </row>
    <row r="320" spans="1:16" ht="12.75" thickBot="1">
      <c r="A320" s="48" t="s">
        <v>1275</v>
      </c>
      <c r="B320" s="135" t="s">
        <v>293</v>
      </c>
      <c r="C320" s="497">
        <v>44</v>
      </c>
      <c r="D320" s="497"/>
      <c r="E320" s="495">
        <v>20.49</v>
      </c>
      <c r="F320" s="190">
        <f t="shared" si="36"/>
        <v>901.56</v>
      </c>
      <c r="H320" s="486">
        <f t="shared" si="37"/>
        <v>-2.0955895199767076E-4</v>
      </c>
      <c r="I320" s="486">
        <f t="shared" si="38"/>
        <v>44</v>
      </c>
      <c r="J320" s="480"/>
      <c r="K320" s="487">
        <f t="shared" si="39"/>
        <v>-1.2689116665445317E-2</v>
      </c>
      <c r="M320" s="82"/>
      <c r="N320" s="495"/>
      <c r="O320" s="480"/>
      <c r="P320" s="480"/>
    </row>
    <row r="321" spans="1:16" ht="12.75" thickBot="1">
      <c r="A321" s="48" t="s">
        <v>1275</v>
      </c>
      <c r="B321" s="2" t="s">
        <v>295</v>
      </c>
      <c r="C321" s="497">
        <v>133</v>
      </c>
      <c r="D321" s="497"/>
      <c r="E321" s="495">
        <v>20.18</v>
      </c>
      <c r="F321" s="190">
        <f t="shared" si="36"/>
        <v>2683.94</v>
      </c>
      <c r="H321" s="486">
        <f t="shared" si="37"/>
        <v>-6.2385604244268662E-4</v>
      </c>
      <c r="I321" s="486">
        <f t="shared" si="38"/>
        <v>133</v>
      </c>
      <c r="J321" s="480"/>
      <c r="K321" s="487">
        <f t="shared" si="39"/>
        <v>-1.2884043631069104E-2</v>
      </c>
      <c r="M321" s="82"/>
      <c r="N321" s="495"/>
      <c r="O321" s="480"/>
      <c r="P321" s="480"/>
    </row>
    <row r="322" spans="1:16" ht="12.75" thickBot="1">
      <c r="A322" s="48" t="s">
        <v>1275</v>
      </c>
      <c r="B322" s="2" t="s">
        <v>296</v>
      </c>
      <c r="C322" s="497">
        <v>69</v>
      </c>
      <c r="D322" s="497"/>
      <c r="E322" s="495">
        <v>22.56</v>
      </c>
      <c r="F322" s="190">
        <f t="shared" si="36"/>
        <v>1556.6399999999999</v>
      </c>
      <c r="H322" s="486">
        <f t="shared" si="37"/>
        <v>-3.6182599831143154E-4</v>
      </c>
      <c r="I322" s="486">
        <f t="shared" si="38"/>
        <v>69</v>
      </c>
      <c r="J322" s="480"/>
      <c r="K322" s="487">
        <f t="shared" si="39"/>
        <v>-1.1524822716089296E-2</v>
      </c>
      <c r="M322" s="82"/>
      <c r="N322" s="495"/>
      <c r="O322" s="480"/>
      <c r="P322" s="480"/>
    </row>
    <row r="323" spans="1:16" ht="12.75" thickBot="1">
      <c r="A323" s="48" t="s">
        <v>1275</v>
      </c>
      <c r="B323" s="2" t="s">
        <v>297</v>
      </c>
      <c r="C323" s="497">
        <v>235</v>
      </c>
      <c r="D323" s="497"/>
      <c r="E323" s="495">
        <v>23.68</v>
      </c>
      <c r="F323" s="190">
        <f t="shared" ref="F323:F354" si="40">C323*E323</f>
        <v>5564.8</v>
      </c>
      <c r="H323" s="486">
        <f t="shared" si="37"/>
        <v>-1.2934842451713014E-3</v>
      </c>
      <c r="I323" s="486">
        <f t="shared" si="38"/>
        <v>235</v>
      </c>
      <c r="J323" s="480"/>
      <c r="K323" s="487">
        <f t="shared" si="39"/>
        <v>-1.0979729749787776E-2</v>
      </c>
      <c r="M323" s="82"/>
      <c r="N323" s="495"/>
      <c r="O323" s="480"/>
      <c r="P323" s="480"/>
    </row>
    <row r="324" spans="1:16" ht="12.75" thickBot="1">
      <c r="A324" s="48" t="s">
        <v>1275</v>
      </c>
      <c r="B324" s="2" t="s">
        <v>299</v>
      </c>
      <c r="C324" s="497">
        <v>583</v>
      </c>
      <c r="D324" s="497"/>
      <c r="E324" s="495">
        <v>24.77</v>
      </c>
      <c r="F324" s="190">
        <f t="shared" si="40"/>
        <v>14440.91</v>
      </c>
      <c r="H324" s="486">
        <f t="shared" si="37"/>
        <v>-3.356650656076893E-3</v>
      </c>
      <c r="I324" s="486">
        <f t="shared" si="38"/>
        <v>583</v>
      </c>
      <c r="J324" s="480"/>
      <c r="K324" s="487">
        <f t="shared" si="39"/>
        <v>-1.0496568448727272E-2</v>
      </c>
      <c r="M324" s="82"/>
      <c r="N324" s="495"/>
      <c r="O324" s="480"/>
      <c r="P324" s="480"/>
    </row>
    <row r="325" spans="1:16" ht="12.75" thickBot="1">
      <c r="A325" s="48" t="s">
        <v>1275</v>
      </c>
      <c r="B325" s="2" t="s">
        <v>300</v>
      </c>
      <c r="C325" s="497">
        <f>11+1</f>
        <v>12</v>
      </c>
      <c r="D325" s="497"/>
      <c r="E325" s="495">
        <v>29.889999999999997</v>
      </c>
      <c r="F325" s="190">
        <f t="shared" si="40"/>
        <v>358.67999999999995</v>
      </c>
      <c r="H325" s="486">
        <f t="shared" si="37"/>
        <v>-8.3371716693869018E-5</v>
      </c>
      <c r="I325" s="486">
        <f t="shared" si="38"/>
        <v>12</v>
      </c>
      <c r="J325" s="480"/>
      <c r="K325" s="487">
        <f t="shared" si="39"/>
        <v>-8.6985614076605742E-3</v>
      </c>
      <c r="M325" s="82"/>
      <c r="N325" s="495"/>
      <c r="O325" s="480"/>
      <c r="P325" s="480"/>
    </row>
    <row r="326" spans="1:16" ht="12.75" thickBot="1">
      <c r="A326" s="48" t="s">
        <v>1275</v>
      </c>
      <c r="B326" s="2" t="s">
        <v>301</v>
      </c>
      <c r="C326" s="497">
        <v>33</v>
      </c>
      <c r="D326" s="497"/>
      <c r="E326" s="495">
        <v>32.860000000000007</v>
      </c>
      <c r="F326" s="190">
        <f t="shared" si="40"/>
        <v>1084.3800000000001</v>
      </c>
      <c r="H326" s="486">
        <f t="shared" si="37"/>
        <v>-2.5205370287860403E-4</v>
      </c>
      <c r="I326" s="486">
        <f t="shared" si="38"/>
        <v>33</v>
      </c>
      <c r="J326" s="480"/>
      <c r="K326" s="487">
        <f t="shared" si="39"/>
        <v>-7.9123554618068925E-3</v>
      </c>
      <c r="M326" s="82"/>
      <c r="N326" s="495"/>
      <c r="O326" s="480"/>
      <c r="P326" s="480"/>
    </row>
    <row r="327" spans="1:16" ht="12.75" thickBot="1">
      <c r="A327" s="48" t="s">
        <v>1275</v>
      </c>
      <c r="B327" s="135" t="s">
        <v>302</v>
      </c>
      <c r="C327" s="497">
        <v>23</v>
      </c>
      <c r="D327" s="497"/>
      <c r="E327" s="495">
        <v>38.389999999999993</v>
      </c>
      <c r="F327" s="190">
        <f t="shared" si="40"/>
        <v>882.9699999999998</v>
      </c>
      <c r="H327" s="486">
        <f t="shared" si="37"/>
        <v>-2.0523788527151087E-4</v>
      </c>
      <c r="I327" s="486">
        <f t="shared" si="38"/>
        <v>23</v>
      </c>
      <c r="J327" s="480"/>
      <c r="K327" s="487">
        <f t="shared" si="39"/>
        <v>-6.7725970428490377E-3</v>
      </c>
      <c r="M327" s="82"/>
      <c r="N327" s="495"/>
      <c r="O327" s="480"/>
      <c r="P327" s="480"/>
    </row>
    <row r="328" spans="1:16" ht="12.75" thickBot="1">
      <c r="A328" s="48" t="s">
        <v>1275</v>
      </c>
      <c r="B328" s="2" t="s">
        <v>303</v>
      </c>
      <c r="C328" s="497">
        <v>50</v>
      </c>
      <c r="D328" s="497"/>
      <c r="E328" s="495">
        <v>26.349999999999998</v>
      </c>
      <c r="F328" s="190">
        <f t="shared" si="40"/>
        <v>1317.5</v>
      </c>
      <c r="H328" s="486">
        <f t="shared" si="37"/>
        <v>-3.0624020504118558E-4</v>
      </c>
      <c r="I328" s="486">
        <f t="shared" si="38"/>
        <v>50</v>
      </c>
      <c r="J328" s="480"/>
      <c r="K328" s="487">
        <f t="shared" si="39"/>
        <v>-9.8671726935474213E-3</v>
      </c>
      <c r="M328" s="82"/>
      <c r="N328" s="495"/>
      <c r="O328" s="480"/>
      <c r="P328" s="480"/>
    </row>
    <row r="329" spans="1:16" ht="12.75" thickBot="1">
      <c r="A329" s="48" t="s">
        <v>1275</v>
      </c>
      <c r="B329" s="2" t="s">
        <v>304</v>
      </c>
      <c r="C329" s="497">
        <v>61</v>
      </c>
      <c r="D329" s="497"/>
      <c r="E329" s="495">
        <v>28.45</v>
      </c>
      <c r="F329" s="190">
        <f t="shared" si="40"/>
        <v>1735.45</v>
      </c>
      <c r="H329" s="486">
        <f t="shared" si="37"/>
        <v>-4.0338866325519959E-4</v>
      </c>
      <c r="I329" s="486">
        <f t="shared" si="38"/>
        <v>61</v>
      </c>
      <c r="J329" s="480"/>
      <c r="K329" s="487">
        <f t="shared" si="39"/>
        <v>-9.1388400869938328E-3</v>
      </c>
      <c r="M329" s="82"/>
      <c r="N329" s="495"/>
      <c r="O329" s="480"/>
      <c r="P329" s="480"/>
    </row>
    <row r="330" spans="1:16" ht="12.75" thickBot="1">
      <c r="A330" s="48" t="s">
        <v>1275</v>
      </c>
      <c r="B330" s="2" t="s">
        <v>305</v>
      </c>
      <c r="C330" s="497">
        <v>200</v>
      </c>
      <c r="D330" s="497"/>
      <c r="E330" s="495">
        <v>34.029999999999994</v>
      </c>
      <c r="F330" s="190">
        <f t="shared" si="40"/>
        <v>6805.9999999999991</v>
      </c>
      <c r="H330" s="486">
        <f t="shared" si="37"/>
        <v>-1.5819892489641813E-3</v>
      </c>
      <c r="I330" s="486">
        <f t="shared" si="38"/>
        <v>200</v>
      </c>
      <c r="J330" s="480"/>
      <c r="K330" s="487">
        <f t="shared" si="39"/>
        <v>-7.6403173809866162E-3</v>
      </c>
      <c r="M330" s="82"/>
      <c r="N330" s="495"/>
      <c r="O330" s="480"/>
      <c r="P330" s="480"/>
    </row>
    <row r="331" spans="1:16" ht="12.75" thickBot="1">
      <c r="A331" s="48" t="s">
        <v>1275</v>
      </c>
      <c r="B331" s="2" t="s">
        <v>306</v>
      </c>
      <c r="C331" s="497">
        <v>205</v>
      </c>
      <c r="D331" s="497"/>
      <c r="E331" s="495">
        <v>33.22</v>
      </c>
      <c r="F331" s="190">
        <f t="shared" si="40"/>
        <v>6810.0999999999995</v>
      </c>
      <c r="H331" s="486">
        <f t="shared" si="37"/>
        <v>-1.5829422545358463E-3</v>
      </c>
      <c r="I331" s="486">
        <f t="shared" si="38"/>
        <v>205</v>
      </c>
      <c r="J331" s="480"/>
      <c r="K331" s="487">
        <f t="shared" si="39"/>
        <v>-7.8266104899149466E-3</v>
      </c>
      <c r="M331" s="82"/>
      <c r="N331" s="495"/>
      <c r="O331" s="480"/>
      <c r="P331" s="480"/>
    </row>
    <row r="332" spans="1:16" ht="12.75" thickBot="1">
      <c r="A332" s="48" t="s">
        <v>1275</v>
      </c>
      <c r="B332" s="2" t="s">
        <v>307</v>
      </c>
      <c r="C332" s="497">
        <v>1</v>
      </c>
      <c r="D332" s="497"/>
      <c r="E332" s="495">
        <v>35.199999999999996</v>
      </c>
      <c r="F332" s="190">
        <f t="shared" si="40"/>
        <v>35.199999999999996</v>
      </c>
      <c r="H332" s="486">
        <f t="shared" si="37"/>
        <v>-8.1819014933204772E-6</v>
      </c>
      <c r="I332" s="486">
        <f t="shared" si="38"/>
        <v>1</v>
      </c>
      <c r="J332" s="480"/>
      <c r="K332" s="487">
        <f t="shared" si="39"/>
        <v>-7.3863636498572314E-3</v>
      </c>
      <c r="M332" s="82"/>
      <c r="N332" s="495"/>
      <c r="O332" s="480"/>
      <c r="P332" s="480"/>
    </row>
    <row r="333" spans="1:16" ht="12.75" thickBot="1">
      <c r="A333" s="48" t="s">
        <v>1275</v>
      </c>
      <c r="B333" s="2" t="s">
        <v>308</v>
      </c>
      <c r="C333" s="497">
        <v>42</v>
      </c>
      <c r="D333" s="497"/>
      <c r="E333" s="495">
        <v>34.090000000000003</v>
      </c>
      <c r="F333" s="190">
        <f t="shared" si="40"/>
        <v>1431.7800000000002</v>
      </c>
      <c r="H333" s="486">
        <f t="shared" si="37"/>
        <v>-3.3280349204847722E-4</v>
      </c>
      <c r="I333" s="486">
        <f t="shared" si="38"/>
        <v>42</v>
      </c>
      <c r="J333" s="480"/>
      <c r="K333" s="487">
        <f t="shared" si="39"/>
        <v>-7.6268700638009532E-3</v>
      </c>
      <c r="M333" s="82"/>
      <c r="N333" s="495"/>
      <c r="O333" s="480"/>
      <c r="P333" s="480"/>
    </row>
    <row r="334" spans="1:16" ht="12.75" thickBot="1">
      <c r="A334" s="48" t="s">
        <v>1275</v>
      </c>
      <c r="B334" s="135" t="s">
        <v>309</v>
      </c>
      <c r="C334" s="497">
        <v>9</v>
      </c>
      <c r="D334" s="497"/>
      <c r="E334" s="495">
        <v>36.07</v>
      </c>
      <c r="F334" s="190">
        <f t="shared" si="40"/>
        <v>324.63</v>
      </c>
      <c r="H334" s="486">
        <f t="shared" si="37"/>
        <v>-7.5457121641381449E-5</v>
      </c>
      <c r="I334" s="486">
        <f t="shared" si="38"/>
        <v>9</v>
      </c>
      <c r="J334" s="480"/>
      <c r="K334" s="487">
        <f t="shared" si="39"/>
        <v>-7.2082062787628088E-3</v>
      </c>
      <c r="M334" s="82"/>
      <c r="N334" s="495"/>
      <c r="O334" s="480"/>
      <c r="P334" s="480"/>
    </row>
    <row r="335" spans="1:16" ht="12.75" thickBot="1">
      <c r="A335" s="48" t="s">
        <v>1275</v>
      </c>
      <c r="B335" s="2" t="s">
        <v>310</v>
      </c>
      <c r="C335" s="497">
        <v>203</v>
      </c>
      <c r="D335" s="497"/>
      <c r="E335" s="495">
        <v>32.26</v>
      </c>
      <c r="F335" s="190">
        <f t="shared" si="40"/>
        <v>6548.78</v>
      </c>
      <c r="H335" s="486">
        <f t="shared" si="37"/>
        <v>-1.5222009335632753E-3</v>
      </c>
      <c r="I335" s="486">
        <f t="shared" si="38"/>
        <v>203</v>
      </c>
      <c r="J335" s="480"/>
      <c r="K335" s="487">
        <f t="shared" si="39"/>
        <v>-8.0595164437375858E-3</v>
      </c>
      <c r="M335" s="82"/>
      <c r="N335" s="495"/>
      <c r="O335" s="480"/>
      <c r="P335" s="480"/>
    </row>
    <row r="336" spans="1:16" ht="12.75" thickBot="1">
      <c r="A336" s="48" t="s">
        <v>1275</v>
      </c>
      <c r="B336" s="2" t="s">
        <v>311</v>
      </c>
      <c r="C336" s="497">
        <v>1</v>
      </c>
      <c r="D336" s="497"/>
      <c r="E336" s="495">
        <v>32.93</v>
      </c>
      <c r="F336" s="190">
        <f t="shared" si="40"/>
        <v>32.93</v>
      </c>
      <c r="H336" s="486">
        <f t="shared" si="37"/>
        <v>-7.6542618231546418E-6</v>
      </c>
      <c r="I336" s="486">
        <f t="shared" si="38"/>
        <v>1</v>
      </c>
      <c r="J336" s="480"/>
      <c r="K336" s="487">
        <f t="shared" si="39"/>
        <v>-7.8955359998473893E-3</v>
      </c>
      <c r="M336" s="82"/>
      <c r="N336" s="495"/>
      <c r="O336" s="480"/>
      <c r="P336" s="480"/>
    </row>
    <row r="337" spans="1:16" ht="12.75" thickBot="1">
      <c r="A337" s="48" t="s">
        <v>1275</v>
      </c>
      <c r="B337" s="2" t="s">
        <v>339</v>
      </c>
      <c r="C337" s="497">
        <v>9</v>
      </c>
      <c r="D337" s="497"/>
      <c r="E337" s="495">
        <v>34.330000000000005</v>
      </c>
      <c r="F337" s="190">
        <f t="shared" si="40"/>
        <v>308.97000000000003</v>
      </c>
      <c r="H337" s="486">
        <f t="shared" si="37"/>
        <v>-7.1817105238387171E-5</v>
      </c>
      <c r="I337" s="486">
        <f t="shared" si="38"/>
        <v>9</v>
      </c>
      <c r="J337" s="480"/>
      <c r="K337" s="487">
        <f t="shared" si="39"/>
        <v>-7.5735508440132387E-3</v>
      </c>
      <c r="M337" s="82"/>
      <c r="N337" s="495"/>
      <c r="O337" s="480"/>
      <c r="P337" s="480"/>
    </row>
    <row r="338" spans="1:16" ht="12.75" thickBot="1">
      <c r="A338" s="48" t="s">
        <v>1275</v>
      </c>
      <c r="B338" s="2" t="s">
        <v>312</v>
      </c>
      <c r="C338" s="497">
        <v>1203</v>
      </c>
      <c r="D338" s="497"/>
      <c r="E338" s="495">
        <v>34.99</v>
      </c>
      <c r="F338" s="190">
        <f t="shared" si="40"/>
        <v>42092.97</v>
      </c>
      <c r="H338" s="486">
        <f t="shared" si="37"/>
        <v>-9.7841060824231298E-3</v>
      </c>
      <c r="I338" s="486">
        <f t="shared" si="38"/>
        <v>1203</v>
      </c>
      <c r="J338" s="480"/>
      <c r="K338" s="487">
        <f t="shared" si="39"/>
        <v>-7.4306944977129037E-3</v>
      </c>
      <c r="M338" s="82"/>
      <c r="N338" s="495"/>
      <c r="O338" s="480"/>
      <c r="P338" s="480"/>
    </row>
    <row r="339" spans="1:16" ht="12.75" thickBot="1">
      <c r="A339" s="48" t="s">
        <v>1275</v>
      </c>
      <c r="B339" s="2" t="s">
        <v>688</v>
      </c>
      <c r="C339" s="497">
        <v>1767</v>
      </c>
      <c r="D339" s="497"/>
      <c r="E339" s="495">
        <v>18.279999999999998</v>
      </c>
      <c r="F339" s="190">
        <f t="shared" si="40"/>
        <v>32300.759999999995</v>
      </c>
      <c r="H339" s="486">
        <f t="shared" si="37"/>
        <v>-7.5080010363462041E-3</v>
      </c>
      <c r="I339" s="486">
        <f t="shared" si="38"/>
        <v>1767</v>
      </c>
      <c r="J339" s="480"/>
      <c r="K339" s="487">
        <f t="shared" si="39"/>
        <v>-1.4223194774342153E-2</v>
      </c>
      <c r="M339" s="82"/>
      <c r="N339" s="495"/>
      <c r="O339" s="480"/>
      <c r="P339" s="480"/>
    </row>
    <row r="340" spans="1:16" ht="12.75" thickBot="1">
      <c r="A340" s="48" t="s">
        <v>1275</v>
      </c>
      <c r="B340" s="2" t="s">
        <v>341</v>
      </c>
      <c r="C340" s="497">
        <v>2616</v>
      </c>
      <c r="D340" s="497"/>
      <c r="E340" s="495">
        <v>22.32</v>
      </c>
      <c r="F340" s="190">
        <f t="shared" si="40"/>
        <v>58389.120000000003</v>
      </c>
      <c r="H340" s="486">
        <f t="shared" si="37"/>
        <v>-1.3571989435274679E-2</v>
      </c>
      <c r="I340" s="486">
        <f t="shared" si="38"/>
        <v>2616</v>
      </c>
      <c r="J340" s="480"/>
      <c r="K340" s="487">
        <f t="shared" si="39"/>
        <v>-1.1648745540993481E-2</v>
      </c>
      <c r="M340" s="82"/>
      <c r="N340" s="495"/>
      <c r="O340" s="480"/>
      <c r="P340" s="480"/>
    </row>
    <row r="341" spans="1:16" ht="12.75" thickBot="1">
      <c r="A341" s="48" t="s">
        <v>1275</v>
      </c>
      <c r="B341" s="2" t="s">
        <v>317</v>
      </c>
      <c r="C341" s="497">
        <v>432</v>
      </c>
      <c r="D341" s="497"/>
      <c r="E341" s="495">
        <v>12.82</v>
      </c>
      <c r="F341" s="190">
        <f t="shared" si="40"/>
        <v>5538.24</v>
      </c>
      <c r="H341" s="486">
        <f t="shared" si="37"/>
        <v>-1.2873106285899774E-3</v>
      </c>
      <c r="I341" s="486">
        <f t="shared" si="38"/>
        <v>432</v>
      </c>
      <c r="J341" s="480"/>
      <c r="K341" s="487">
        <f t="shared" si="39"/>
        <v>-2.0280811269498791E-2</v>
      </c>
      <c r="M341" s="82"/>
      <c r="N341" s="495"/>
      <c r="O341" s="480"/>
      <c r="P341" s="480"/>
    </row>
    <row r="342" spans="1:16" ht="12.75" thickBot="1">
      <c r="A342" s="48" t="s">
        <v>1275</v>
      </c>
      <c r="B342" s="135" t="s">
        <v>318</v>
      </c>
      <c r="C342" s="497">
        <v>15333</v>
      </c>
      <c r="D342" s="497"/>
      <c r="E342" s="495">
        <v>15.08</v>
      </c>
      <c r="F342" s="190">
        <f t="shared" si="40"/>
        <v>231221.64</v>
      </c>
      <c r="H342" s="486">
        <f t="shared" si="37"/>
        <v>-5.3745246636477569E-2</v>
      </c>
      <c r="I342" s="486">
        <f t="shared" si="38"/>
        <v>15333</v>
      </c>
      <c r="J342" s="480"/>
      <c r="K342" s="487">
        <f t="shared" si="39"/>
        <v>-1.7241379341841809E-2</v>
      </c>
      <c r="M342" s="82"/>
      <c r="N342" s="495"/>
      <c r="O342" s="480"/>
      <c r="P342" s="480"/>
    </row>
    <row r="343" spans="1:16" ht="12.75" thickBot="1">
      <c r="A343" s="48" t="s">
        <v>1275</v>
      </c>
      <c r="B343" s="2" t="s">
        <v>319</v>
      </c>
      <c r="C343" s="497">
        <v>2029</v>
      </c>
      <c r="D343" s="497"/>
      <c r="E343" s="495">
        <v>17.38</v>
      </c>
      <c r="F343" s="190">
        <f t="shared" si="40"/>
        <v>35264.019999999997</v>
      </c>
      <c r="H343" s="486">
        <f t="shared" si="37"/>
        <v>-8.1967823266614545E-3</v>
      </c>
      <c r="I343" s="486">
        <f t="shared" si="38"/>
        <v>2029</v>
      </c>
      <c r="J343" s="480"/>
      <c r="K343" s="487">
        <f t="shared" si="39"/>
        <v>-1.4959723847812113E-2</v>
      </c>
      <c r="M343" s="82"/>
      <c r="N343" s="495"/>
      <c r="O343" s="480"/>
      <c r="P343" s="480"/>
    </row>
    <row r="344" spans="1:16" ht="12.75" thickBot="1">
      <c r="A344" s="48" t="s">
        <v>1275</v>
      </c>
      <c r="B344" s="2" t="s">
        <v>320</v>
      </c>
      <c r="C344" s="497">
        <v>3</v>
      </c>
      <c r="D344" s="497"/>
      <c r="E344" s="495">
        <v>13.77</v>
      </c>
      <c r="F344" s="190">
        <f t="shared" si="40"/>
        <v>41.31</v>
      </c>
      <c r="H344" s="486">
        <f t="shared" si="37"/>
        <v>-9.6021122354849157E-6</v>
      </c>
      <c r="I344" s="486">
        <f t="shared" si="38"/>
        <v>3</v>
      </c>
      <c r="J344" s="480"/>
      <c r="K344" s="487">
        <f t="shared" si="39"/>
        <v>-1.8881626759257409E-2</v>
      </c>
      <c r="M344" s="82"/>
      <c r="N344" s="495"/>
      <c r="O344" s="480"/>
      <c r="P344" s="480"/>
    </row>
    <row r="345" spans="1:16" ht="12.75" thickBot="1">
      <c r="A345" s="48" t="s">
        <v>1275</v>
      </c>
      <c r="B345" s="2" t="s">
        <v>321</v>
      </c>
      <c r="C345" s="497">
        <v>16</v>
      </c>
      <c r="D345" s="497"/>
      <c r="E345" s="495">
        <v>18.21</v>
      </c>
      <c r="F345" s="190">
        <f t="shared" si="40"/>
        <v>291.36</v>
      </c>
      <c r="H345" s="486">
        <f t="shared" si="37"/>
        <v>-6.7723830087893606E-5</v>
      </c>
      <c r="I345" s="486">
        <f t="shared" si="38"/>
        <v>16</v>
      </c>
      <c r="J345" s="480"/>
      <c r="K345" s="487">
        <f t="shared" si="39"/>
        <v>-1.4277869328664167E-2</v>
      </c>
      <c r="M345" s="82"/>
      <c r="N345" s="495"/>
      <c r="O345" s="480"/>
      <c r="P345" s="480"/>
    </row>
    <row r="346" spans="1:16" ht="12.75" thickBot="1">
      <c r="A346" s="48" t="s">
        <v>1275</v>
      </c>
      <c r="B346" s="2" t="s">
        <v>322</v>
      </c>
      <c r="C346" s="497">
        <v>3</v>
      </c>
      <c r="D346" s="497"/>
      <c r="E346" s="495">
        <v>10.86</v>
      </c>
      <c r="F346" s="190">
        <f t="shared" si="40"/>
        <v>32.58</v>
      </c>
      <c r="H346" s="486">
        <f t="shared" si="37"/>
        <v>-7.5729076889881019E-6</v>
      </c>
      <c r="I346" s="486">
        <f t="shared" si="38"/>
        <v>3</v>
      </c>
      <c r="J346" s="480"/>
      <c r="K346" s="487">
        <f t="shared" si="39"/>
        <v>-2.3941068183699312E-2</v>
      </c>
      <c r="M346" s="82"/>
      <c r="N346" s="495"/>
      <c r="O346" s="480"/>
      <c r="P346" s="480"/>
    </row>
    <row r="347" spans="1:16" ht="12.75" thickBot="1">
      <c r="A347" s="48" t="s">
        <v>1275</v>
      </c>
      <c r="B347" s="135" t="s">
        <v>323</v>
      </c>
      <c r="C347" s="497">
        <v>672</v>
      </c>
      <c r="D347" s="497"/>
      <c r="E347" s="495">
        <v>11.13</v>
      </c>
      <c r="F347" s="190">
        <f t="shared" si="40"/>
        <v>7479.3600000000006</v>
      </c>
      <c r="H347" s="486">
        <f t="shared" si="37"/>
        <v>-1.738505305485269E-3</v>
      </c>
      <c r="I347" s="486">
        <f t="shared" si="38"/>
        <v>672</v>
      </c>
      <c r="J347" s="480"/>
      <c r="K347" s="487">
        <f t="shared" si="39"/>
        <v>-2.3360287553906064E-2</v>
      </c>
      <c r="M347" s="82"/>
      <c r="N347" s="495"/>
      <c r="O347" s="480"/>
      <c r="P347" s="480"/>
    </row>
    <row r="348" spans="1:16" ht="12.75" thickBot="1">
      <c r="A348" s="48" t="s">
        <v>1275</v>
      </c>
      <c r="B348" s="2" t="s">
        <v>328</v>
      </c>
      <c r="C348" s="497">
        <v>85</v>
      </c>
      <c r="D348" s="497"/>
      <c r="E348" s="495">
        <v>12.79</v>
      </c>
      <c r="F348" s="190">
        <f t="shared" si="40"/>
        <v>1087.1499999999999</v>
      </c>
      <c r="H348" s="486">
        <f t="shared" si="37"/>
        <v>-2.526975627404363E-4</v>
      </c>
      <c r="I348" s="486">
        <f t="shared" si="38"/>
        <v>85</v>
      </c>
      <c r="J348" s="480"/>
      <c r="K348" s="487">
        <f t="shared" si="39"/>
        <v>-2.032838158522084E-2</v>
      </c>
      <c r="M348" s="82"/>
      <c r="N348" s="495"/>
      <c r="O348" s="480"/>
      <c r="P348" s="480"/>
    </row>
    <row r="349" spans="1:16" ht="12.75" thickBot="1">
      <c r="A349" s="48" t="s">
        <v>1275</v>
      </c>
      <c r="B349" s="2" t="s">
        <v>329</v>
      </c>
      <c r="C349" s="497">
        <v>4</v>
      </c>
      <c r="D349" s="497"/>
      <c r="E349" s="495">
        <v>15.07</v>
      </c>
      <c r="F349" s="190">
        <f t="shared" si="40"/>
        <v>60.28</v>
      </c>
      <c r="H349" s="486">
        <f t="shared" si="37"/>
        <v>-1.4011506307311322E-5</v>
      </c>
      <c r="I349" s="486">
        <f t="shared" si="38"/>
        <v>4</v>
      </c>
      <c r="J349" s="480"/>
      <c r="K349" s="487">
        <f t="shared" si="39"/>
        <v>-1.7252820204046084E-2</v>
      </c>
      <c r="M349" s="82"/>
      <c r="N349" s="495"/>
      <c r="O349" s="480"/>
      <c r="P349" s="480"/>
    </row>
    <row r="350" spans="1:16" ht="12.75" thickBot="1">
      <c r="A350" s="48" t="s">
        <v>1275</v>
      </c>
      <c r="B350" s="2" t="s">
        <v>330</v>
      </c>
      <c r="C350" s="497">
        <v>920</v>
      </c>
      <c r="D350" s="497"/>
      <c r="E350" s="495">
        <v>18.68</v>
      </c>
      <c r="F350" s="190">
        <f t="shared" si="40"/>
        <v>17185.599999999999</v>
      </c>
      <c r="H350" s="486">
        <f t="shared" si="37"/>
        <v>-3.9946274518070576E-3</v>
      </c>
      <c r="I350" s="486">
        <f t="shared" si="38"/>
        <v>920</v>
      </c>
      <c r="J350" s="480"/>
      <c r="K350" s="487">
        <f t="shared" si="39"/>
        <v>-1.39186295757481E-2</v>
      </c>
      <c r="M350" s="82"/>
      <c r="N350" s="495"/>
      <c r="O350" s="480"/>
      <c r="P350" s="480"/>
    </row>
    <row r="351" spans="1:16" ht="12.75" thickBot="1">
      <c r="A351" s="48" t="s">
        <v>1275</v>
      </c>
      <c r="B351" s="2" t="s">
        <v>331</v>
      </c>
      <c r="C351" s="497">
        <v>124</v>
      </c>
      <c r="D351" s="497"/>
      <c r="E351" s="495">
        <v>20.970000000000002</v>
      </c>
      <c r="F351" s="190">
        <f t="shared" si="40"/>
        <v>2600.2800000000002</v>
      </c>
      <c r="H351" s="486">
        <f t="shared" si="37"/>
        <v>-6.0441007997305042E-4</v>
      </c>
      <c r="I351" s="486">
        <f t="shared" si="38"/>
        <v>124</v>
      </c>
      <c r="J351" s="480"/>
      <c r="K351" s="487">
        <f t="shared" si="39"/>
        <v>-1.2398664781829971E-2</v>
      </c>
      <c r="M351" s="82"/>
      <c r="N351" s="495"/>
      <c r="O351" s="480"/>
      <c r="P351" s="480"/>
    </row>
    <row r="352" spans="1:16" ht="12.75" thickBot="1">
      <c r="A352" s="48" t="s">
        <v>1275</v>
      </c>
      <c r="B352" s="2" t="s">
        <v>332</v>
      </c>
      <c r="C352" s="497">
        <v>15</v>
      </c>
      <c r="D352" s="497"/>
      <c r="E352" s="495">
        <v>28.42</v>
      </c>
      <c r="F352" s="190">
        <f t="shared" si="40"/>
        <v>426.3</v>
      </c>
      <c r="H352" s="486">
        <f t="shared" si="37"/>
        <v>-9.9089335414844336E-5</v>
      </c>
      <c r="I352" s="486">
        <f t="shared" si="38"/>
        <v>15</v>
      </c>
      <c r="J352" s="480"/>
      <c r="K352" s="487">
        <f t="shared" si="39"/>
        <v>-9.1484869977119816E-3</v>
      </c>
      <c r="M352" s="82"/>
      <c r="N352" s="495"/>
      <c r="O352" s="480"/>
      <c r="P352" s="480"/>
    </row>
    <row r="353" spans="1:16" ht="12.75" thickBot="1">
      <c r="A353" s="48" t="s">
        <v>1275</v>
      </c>
      <c r="B353" s="2" t="s">
        <v>333</v>
      </c>
      <c r="C353" s="497">
        <v>2</v>
      </c>
      <c r="D353" s="497"/>
      <c r="E353" s="495">
        <v>39.6</v>
      </c>
      <c r="F353" s="190">
        <f t="shared" si="40"/>
        <v>79.2</v>
      </c>
      <c r="H353" s="486">
        <f t="shared" si="37"/>
        <v>-1.8409278359971079E-5</v>
      </c>
      <c r="I353" s="486">
        <f t="shared" si="38"/>
        <v>2</v>
      </c>
      <c r="J353" s="480"/>
      <c r="K353" s="487">
        <f t="shared" si="39"/>
        <v>-6.5656565776508712E-3</v>
      </c>
      <c r="M353" s="82"/>
      <c r="N353" s="495"/>
      <c r="O353" s="480"/>
      <c r="P353" s="480"/>
    </row>
    <row r="354" spans="1:16" ht="12.75" thickBot="1">
      <c r="A354" s="48" t="s">
        <v>1275</v>
      </c>
      <c r="B354" s="2" t="s">
        <v>334</v>
      </c>
      <c r="C354" s="497">
        <v>28</v>
      </c>
      <c r="D354" s="497"/>
      <c r="E354" s="495">
        <v>42.78</v>
      </c>
      <c r="F354" s="190">
        <f t="shared" si="40"/>
        <v>1197.8400000000001</v>
      </c>
      <c r="H354" s="486">
        <f t="shared" si="37"/>
        <v>-2.784263887715626E-4</v>
      </c>
      <c r="I354" s="486">
        <f t="shared" si="38"/>
        <v>28</v>
      </c>
      <c r="J354" s="480"/>
      <c r="K354" s="487">
        <f t="shared" si="39"/>
        <v>-6.0776063692139903E-3</v>
      </c>
      <c r="M354" s="82"/>
      <c r="N354" s="495"/>
      <c r="O354" s="480"/>
      <c r="P354" s="480"/>
    </row>
    <row r="355" spans="1:16" ht="12.75" thickBot="1">
      <c r="A355" s="48" t="s">
        <v>1275</v>
      </c>
      <c r="B355" s="2" t="s">
        <v>620</v>
      </c>
      <c r="C355" s="497">
        <v>3</v>
      </c>
      <c r="D355" s="497"/>
      <c r="E355" s="495">
        <v>23.83</v>
      </c>
      <c r="F355" s="190">
        <f t="shared" ref="F355:F359" si="41">C355*E355</f>
        <v>71.489999999999995</v>
      </c>
      <c r="H355" s="486">
        <f t="shared" si="37"/>
        <v>-1.6617163004473892E-5</v>
      </c>
      <c r="I355" s="486">
        <f t="shared" si="38"/>
        <v>3</v>
      </c>
      <c r="J355" s="480"/>
      <c r="K355" s="487">
        <f t="shared" si="39"/>
        <v>-1.0910616889424025E-2</v>
      </c>
      <c r="M355" s="82"/>
      <c r="N355" s="495"/>
      <c r="O355" s="480"/>
      <c r="P355" s="480"/>
    </row>
    <row r="356" spans="1:16" ht="12.75" thickBot="1">
      <c r="A356" s="48" t="s">
        <v>1275</v>
      </c>
      <c r="B356" s="135" t="s">
        <v>360</v>
      </c>
      <c r="C356" s="497">
        <v>32</v>
      </c>
      <c r="D356" s="497"/>
      <c r="E356" s="495">
        <v>20.46</v>
      </c>
      <c r="F356" s="190">
        <f t="shared" si="41"/>
        <v>654.72</v>
      </c>
      <c r="H356" s="486">
        <f t="shared" ref="H356:H359" si="42">F356/$M$296*$M$297</f>
        <v>-1.5218336777576093E-4</v>
      </c>
      <c r="I356" s="486">
        <f t="shared" ref="I356:I359" si="43">ROUND((F356+H356)/E356,0)</f>
        <v>32</v>
      </c>
      <c r="J356" s="480"/>
      <c r="K356" s="487">
        <f t="shared" ref="K356:K359" si="44">$M$297/E356</f>
        <v>-1.2707722408356525E-2</v>
      </c>
      <c r="M356" s="82"/>
      <c r="N356" s="495"/>
      <c r="O356" s="480"/>
      <c r="P356" s="480"/>
    </row>
    <row r="357" spans="1:16" ht="12.75" thickBot="1">
      <c r="A357" s="48" t="s">
        <v>1275</v>
      </c>
      <c r="B357" s="2" t="s">
        <v>335</v>
      </c>
      <c r="C357" s="497">
        <v>39</v>
      </c>
      <c r="D357" s="497"/>
      <c r="E357" s="495">
        <v>30.21</v>
      </c>
      <c r="F357" s="190">
        <f t="shared" si="41"/>
        <v>1178.19</v>
      </c>
      <c r="H357" s="486">
        <f t="shared" si="42"/>
        <v>-2.7385893523906982E-4</v>
      </c>
      <c r="I357" s="486">
        <f t="shared" si="43"/>
        <v>39</v>
      </c>
      <c r="J357" s="480"/>
      <c r="K357" s="487">
        <f t="shared" si="44"/>
        <v>-8.6064217303864453E-3</v>
      </c>
      <c r="M357" s="82"/>
      <c r="N357" s="495"/>
      <c r="O357" s="480"/>
      <c r="P357" s="480"/>
    </row>
    <row r="358" spans="1:16" ht="12.75" thickBot="1">
      <c r="A358" s="48" t="s">
        <v>1275</v>
      </c>
      <c r="B358" s="2" t="s">
        <v>336</v>
      </c>
      <c r="C358" s="497">
        <v>2</v>
      </c>
      <c r="D358" s="497"/>
      <c r="E358" s="495">
        <v>42.56</v>
      </c>
      <c r="F358" s="190">
        <f t="shared" si="41"/>
        <v>85.12</v>
      </c>
      <c r="H358" s="486">
        <f t="shared" si="42"/>
        <v>-1.9785325429302251E-5</v>
      </c>
      <c r="I358" s="486">
        <f t="shared" si="43"/>
        <v>2</v>
      </c>
      <c r="J358" s="480"/>
      <c r="K358" s="487">
        <f t="shared" si="44"/>
        <v>-6.1090225675510925E-3</v>
      </c>
      <c r="M358" s="82"/>
      <c r="N358" s="495"/>
      <c r="O358" s="480"/>
      <c r="P358" s="480"/>
    </row>
    <row r="359" spans="1:16" ht="12.75" thickBot="1">
      <c r="A359" s="48" t="s">
        <v>1275</v>
      </c>
      <c r="B359" s="2" t="s">
        <v>337</v>
      </c>
      <c r="C359" s="497">
        <v>13</v>
      </c>
      <c r="D359" s="497"/>
      <c r="E359" s="495">
        <v>52.31</v>
      </c>
      <c r="F359" s="190">
        <f t="shared" si="41"/>
        <v>680.03</v>
      </c>
      <c r="H359" s="486">
        <f t="shared" si="42"/>
        <v>-1.5806643387791835E-4</v>
      </c>
      <c r="I359" s="486">
        <f t="shared" si="43"/>
        <v>13</v>
      </c>
      <c r="J359" s="480"/>
      <c r="K359" s="487">
        <f t="shared" si="44"/>
        <v>-4.9703689633908334E-3</v>
      </c>
      <c r="M359" s="82"/>
      <c r="N359" s="495"/>
      <c r="O359" s="480"/>
      <c r="P359" s="480"/>
    </row>
    <row r="360" spans="1:16" ht="12.75" thickBot="1">
      <c r="A360" s="48" t="s">
        <v>1275</v>
      </c>
      <c r="B360" s="2"/>
      <c r="C360" s="497"/>
      <c r="D360" s="497"/>
      <c r="E360" s="497"/>
      <c r="F360" s="480"/>
      <c r="H360" s="495"/>
      <c r="I360" s="495"/>
      <c r="J360" s="495"/>
      <c r="K360" s="480"/>
      <c r="M360" s="82"/>
      <c r="N360" s="495"/>
      <c r="O360" s="480"/>
      <c r="P360" s="480"/>
    </row>
    <row r="361" spans="1:16" ht="12.75" thickBot="1">
      <c r="A361" s="48" t="s">
        <v>1275</v>
      </c>
      <c r="B361" s="50"/>
      <c r="C361" s="79"/>
      <c r="D361" s="79"/>
      <c r="E361" s="79"/>
      <c r="F361" s="80"/>
      <c r="H361" s="80"/>
      <c r="I361" s="80"/>
      <c r="J361" s="80"/>
      <c r="K361" s="80"/>
      <c r="M361" s="82"/>
      <c r="N361" s="495"/>
      <c r="O361" s="480"/>
      <c r="P361" s="480"/>
    </row>
    <row r="362" spans="1:16" ht="12.75" thickBot="1">
      <c r="A362" s="48" t="s">
        <v>1276</v>
      </c>
      <c r="B362" s="2" t="s">
        <v>342</v>
      </c>
      <c r="C362" s="497">
        <v>78</v>
      </c>
      <c r="D362" s="497"/>
      <c r="E362" s="495">
        <v>8.14</v>
      </c>
      <c r="F362" s="190">
        <f t="shared" ref="F362:F393" si="45">C362*E362</f>
        <v>634.92000000000007</v>
      </c>
      <c r="H362" s="486">
        <f>F362/$M$367*$M$368</f>
        <v>-1.2281310931574346E-4</v>
      </c>
      <c r="I362" s="486">
        <f>ROUND((F362+H362)/E362,0)</f>
        <v>78</v>
      </c>
      <c r="J362" s="480"/>
      <c r="K362" s="487">
        <f>$M$368/E362</f>
        <v>-4.4226044267232936E-2</v>
      </c>
      <c r="M362" s="488">
        <f>'12MonLights'!$K$441</f>
        <v>1931254</v>
      </c>
      <c r="N362" s="480" t="s">
        <v>1304</v>
      </c>
      <c r="O362" s="480"/>
      <c r="P362" s="480"/>
    </row>
    <row r="363" spans="1:16" ht="12.75" thickBot="1">
      <c r="A363" s="48" t="s">
        <v>1276</v>
      </c>
      <c r="B363" s="2" t="s">
        <v>213</v>
      </c>
      <c r="C363" s="497">
        <v>5739</v>
      </c>
      <c r="D363" s="497"/>
      <c r="E363" s="495">
        <v>10.959999999999999</v>
      </c>
      <c r="F363" s="190">
        <f t="shared" si="45"/>
        <v>62899.439999999995</v>
      </c>
      <c r="H363" s="486">
        <f t="shared" ref="H363:H426" si="46">F363/$M$367*$M$368</f>
        <v>-1.2166691552666548E-2</v>
      </c>
      <c r="I363" s="486">
        <f t="shared" ref="I363:I426" si="47">ROUND((F363+H363)/E363,0)</f>
        <v>5739</v>
      </c>
      <c r="J363" s="480"/>
      <c r="K363" s="487">
        <f t="shared" ref="K363:K426" si="48">$M$368/E363</f>
        <v>-3.2846715359058046E-2</v>
      </c>
      <c r="M363" s="488">
        <f>-M375</f>
        <v>-42379.82</v>
      </c>
      <c r="N363" s="489" t="s">
        <v>1306</v>
      </c>
      <c r="O363" s="480"/>
      <c r="P363" s="480"/>
    </row>
    <row r="364" spans="1:16" ht="12.75" thickBot="1">
      <c r="A364" s="48" t="s">
        <v>1276</v>
      </c>
      <c r="B364" s="2" t="s">
        <v>214</v>
      </c>
      <c r="C364" s="497">
        <v>6574</v>
      </c>
      <c r="D364" s="497"/>
      <c r="E364" s="495">
        <v>13.510000000000002</v>
      </c>
      <c r="F364" s="190">
        <f t="shared" si="45"/>
        <v>88814.74</v>
      </c>
      <c r="H364" s="486">
        <f t="shared" si="46"/>
        <v>-1.7179509816149015E-2</v>
      </c>
      <c r="I364" s="486">
        <f t="shared" si="47"/>
        <v>6574</v>
      </c>
      <c r="J364" s="480"/>
      <c r="K364" s="487">
        <f t="shared" si="48"/>
        <v>-2.6646928226149228E-2</v>
      </c>
      <c r="M364" s="490">
        <f>M362+M363</f>
        <v>1888874.18</v>
      </c>
      <c r="N364" s="491" t="s">
        <v>1307</v>
      </c>
      <c r="O364" s="480"/>
      <c r="P364" s="480"/>
    </row>
    <row r="365" spans="1:16" ht="12.75" thickBot="1">
      <c r="A365" s="48" t="s">
        <v>1276</v>
      </c>
      <c r="B365" s="2" t="s">
        <v>215</v>
      </c>
      <c r="C365" s="497">
        <v>93</v>
      </c>
      <c r="D365" s="497"/>
      <c r="E365" s="495">
        <v>12.450000000000001</v>
      </c>
      <c r="F365" s="190">
        <f t="shared" si="45"/>
        <v>1157.8500000000001</v>
      </c>
      <c r="H365" s="486">
        <f t="shared" si="46"/>
        <v>-2.2396389879234167E-4</v>
      </c>
      <c r="I365" s="486">
        <f t="shared" si="47"/>
        <v>93</v>
      </c>
      <c r="J365" s="480"/>
      <c r="K365" s="487">
        <f t="shared" si="48"/>
        <v>-2.8915662677532216E-2</v>
      </c>
      <c r="M365" s="490">
        <f>'1051'!$K$154</f>
        <v>27744.230000000003</v>
      </c>
      <c r="N365" s="492" t="s">
        <v>1308</v>
      </c>
      <c r="O365" s="480"/>
      <c r="P365" s="480"/>
    </row>
    <row r="366" spans="1:16" ht="12.75" thickBot="1">
      <c r="A366" s="48" t="s">
        <v>1276</v>
      </c>
      <c r="B366" s="2" t="s">
        <v>216</v>
      </c>
      <c r="C366" s="497">
        <v>770</v>
      </c>
      <c r="D366" s="497"/>
      <c r="E366" s="495">
        <v>15.54</v>
      </c>
      <c r="F366" s="190">
        <f t="shared" si="45"/>
        <v>11965.8</v>
      </c>
      <c r="H366" s="486">
        <f t="shared" si="46"/>
        <v>-2.3145547524890107E-3</v>
      </c>
      <c r="I366" s="486">
        <f t="shared" si="47"/>
        <v>770</v>
      </c>
      <c r="J366" s="480"/>
      <c r="K366" s="487">
        <f t="shared" si="48"/>
        <v>-2.3166023187598209E-2</v>
      </c>
      <c r="M366" s="490">
        <f>M364-M365</f>
        <v>1861129.95</v>
      </c>
      <c r="N366" s="492" t="s">
        <v>1309</v>
      </c>
      <c r="O366" s="480"/>
      <c r="P366" s="480"/>
    </row>
    <row r="367" spans="1:16" ht="12.75" thickBot="1">
      <c r="A367" s="48" t="s">
        <v>1276</v>
      </c>
      <c r="B367" s="2" t="s">
        <v>217</v>
      </c>
      <c r="C367" s="497">
        <v>1772</v>
      </c>
      <c r="D367" s="497"/>
      <c r="E367" s="495">
        <v>14.24</v>
      </c>
      <c r="F367" s="190">
        <f t="shared" si="45"/>
        <v>25233.279999999999</v>
      </c>
      <c r="H367" s="486">
        <f t="shared" si="46"/>
        <v>-4.8808945615743124E-3</v>
      </c>
      <c r="I367" s="486">
        <f t="shared" si="47"/>
        <v>1772</v>
      </c>
      <c r="J367" s="480"/>
      <c r="K367" s="487">
        <f t="shared" si="48"/>
        <v>-2.5280898899949167E-2</v>
      </c>
      <c r="M367" s="490">
        <f>SUM(F362:F430)</f>
        <v>1861130.3100000003</v>
      </c>
      <c r="N367" s="491" t="s">
        <v>1323</v>
      </c>
      <c r="O367" s="480"/>
      <c r="P367" s="480"/>
    </row>
    <row r="368" spans="1:16" ht="12.75" thickBot="1">
      <c r="A368" s="48" t="s">
        <v>1276</v>
      </c>
      <c r="B368" s="2" t="s">
        <v>344</v>
      </c>
      <c r="C368" s="497">
        <v>44</v>
      </c>
      <c r="D368" s="497"/>
      <c r="E368" s="495">
        <v>27.69</v>
      </c>
      <c r="F368" s="190">
        <f t="shared" si="45"/>
        <v>1218.3600000000001</v>
      </c>
      <c r="H368" s="486">
        <f t="shared" si="46"/>
        <v>-2.3566839895723744E-4</v>
      </c>
      <c r="I368" s="486">
        <f t="shared" si="47"/>
        <v>44</v>
      </c>
      <c r="J368" s="480"/>
      <c r="K368" s="487">
        <f t="shared" si="48"/>
        <v>-1.3001083435726837E-2</v>
      </c>
      <c r="M368" s="490">
        <f>M366-M367</f>
        <v>-0.36000000033527613</v>
      </c>
      <c r="N368" s="492"/>
      <c r="O368" s="480"/>
      <c r="P368" s="480"/>
    </row>
    <row r="369" spans="1:16" ht="12.75" thickBot="1">
      <c r="A369" s="48" t="s">
        <v>1276</v>
      </c>
      <c r="B369" s="135" t="s">
        <v>218</v>
      </c>
      <c r="C369" s="497">
        <v>346</v>
      </c>
      <c r="D369" s="497"/>
      <c r="E369" s="495">
        <v>28.89</v>
      </c>
      <c r="F369" s="190">
        <f t="shared" si="45"/>
        <v>9995.94</v>
      </c>
      <c r="H369" s="486">
        <f t="shared" si="46"/>
        <v>-1.9335230768185165E-3</v>
      </c>
      <c r="I369" s="486">
        <f t="shared" si="47"/>
        <v>346</v>
      </c>
      <c r="J369" s="480"/>
      <c r="K369" s="487">
        <f t="shared" si="48"/>
        <v>-1.2461059201636418E-2</v>
      </c>
      <c r="M369" s="490"/>
      <c r="N369" s="492"/>
      <c r="O369" s="480"/>
      <c r="P369" s="480"/>
    </row>
    <row r="370" spans="1:16" ht="12.75" thickBot="1">
      <c r="A370" s="48" t="s">
        <v>1276</v>
      </c>
      <c r="B370" s="2" t="s">
        <v>223</v>
      </c>
      <c r="C370" s="497">
        <f>5017+1</f>
        <v>5018</v>
      </c>
      <c r="D370" s="497"/>
      <c r="E370" s="495">
        <v>9.57</v>
      </c>
      <c r="F370" s="190">
        <f t="shared" si="45"/>
        <v>48022.26</v>
      </c>
      <c r="H370" s="486">
        <f t="shared" si="46"/>
        <v>-9.28898611946238E-3</v>
      </c>
      <c r="I370" s="486">
        <f t="shared" si="47"/>
        <v>5018</v>
      </c>
      <c r="J370" s="480"/>
      <c r="K370" s="487">
        <f t="shared" si="48"/>
        <v>-3.7617554893968244E-2</v>
      </c>
      <c r="M370" s="490"/>
      <c r="N370" s="492"/>
      <c r="O370" s="480"/>
      <c r="P370" s="480"/>
    </row>
    <row r="371" spans="1:16" ht="12.75" thickBot="1">
      <c r="A371" s="48" t="s">
        <v>1276</v>
      </c>
      <c r="B371" s="2" t="s">
        <v>231</v>
      </c>
      <c r="C371" s="497">
        <v>3340</v>
      </c>
      <c r="D371" s="497"/>
      <c r="E371" s="495">
        <v>27.34</v>
      </c>
      <c r="F371" s="190">
        <f t="shared" si="45"/>
        <v>91315.6</v>
      </c>
      <c r="H371" s="486">
        <f t="shared" si="46"/>
        <v>-1.7663253268179774E-2</v>
      </c>
      <c r="I371" s="486">
        <f t="shared" si="47"/>
        <v>3340</v>
      </c>
      <c r="J371" s="480"/>
      <c r="K371" s="487">
        <f t="shared" si="48"/>
        <v>-1.3167520129307832E-2</v>
      </c>
      <c r="M371" s="493"/>
      <c r="N371" s="492"/>
      <c r="O371" s="480"/>
      <c r="P371" s="480"/>
    </row>
    <row r="372" spans="1:16" ht="12.75" thickBot="1">
      <c r="A372" s="48" t="s">
        <v>1276</v>
      </c>
      <c r="B372" s="2" t="s">
        <v>232</v>
      </c>
      <c r="C372" s="497">
        <v>2724</v>
      </c>
      <c r="D372" s="497"/>
      <c r="E372" s="495">
        <v>31.4</v>
      </c>
      <c r="F372" s="190">
        <f t="shared" si="45"/>
        <v>85533.599999999991</v>
      </c>
      <c r="H372" s="486">
        <f t="shared" si="46"/>
        <v>-1.6544836147812436E-2</v>
      </c>
      <c r="I372" s="486">
        <f t="shared" si="47"/>
        <v>2724</v>
      </c>
      <c r="J372" s="480"/>
      <c r="K372" s="487">
        <f t="shared" si="48"/>
        <v>-1.1464968163543827E-2</v>
      </c>
      <c r="M372" s="492"/>
      <c r="N372" s="494"/>
      <c r="O372" s="480"/>
      <c r="P372" s="480"/>
    </row>
    <row r="373" spans="1:16" ht="12.75" thickBot="1">
      <c r="A373" s="48" t="s">
        <v>1276</v>
      </c>
      <c r="B373" s="2" t="s">
        <v>234</v>
      </c>
      <c r="C373" s="497">
        <v>17417</v>
      </c>
      <c r="D373" s="497"/>
      <c r="E373" s="495">
        <v>17.189999999999998</v>
      </c>
      <c r="F373" s="190">
        <f t="shared" si="45"/>
        <v>299398.23</v>
      </c>
      <c r="H373" s="486">
        <f t="shared" si="46"/>
        <v>-5.7912851303991209E-2</v>
      </c>
      <c r="I373" s="486">
        <f t="shared" si="47"/>
        <v>17417</v>
      </c>
      <c r="J373" s="480"/>
      <c r="K373" s="487">
        <f t="shared" si="48"/>
        <v>-2.094240839646749E-2</v>
      </c>
      <c r="M373" s="492">
        <f>'12MonResults'!$AD$222</f>
        <v>18175.439999999999</v>
      </c>
      <c r="N373" s="494" t="s">
        <v>17</v>
      </c>
      <c r="O373" s="480" t="s">
        <v>1311</v>
      </c>
      <c r="P373" s="480"/>
    </row>
    <row r="374" spans="1:16" ht="12.75" thickBot="1">
      <c r="A374" s="48" t="s">
        <v>1276</v>
      </c>
      <c r="B374" s="2" t="s">
        <v>353</v>
      </c>
      <c r="C374" s="497">
        <v>595</v>
      </c>
      <c r="D374" s="497"/>
      <c r="E374" s="495">
        <v>24.89</v>
      </c>
      <c r="F374" s="190">
        <f t="shared" si="45"/>
        <v>14809.550000000001</v>
      </c>
      <c r="H374" s="486">
        <f t="shared" si="46"/>
        <v>-2.8646237054541809E-3</v>
      </c>
      <c r="I374" s="486">
        <f t="shared" si="47"/>
        <v>595</v>
      </c>
      <c r="J374" s="480"/>
      <c r="K374" s="487">
        <f t="shared" si="48"/>
        <v>-1.4463640029541026E-2</v>
      </c>
      <c r="M374" s="492">
        <f>'12MonResults'!$AD$224</f>
        <v>24204.38</v>
      </c>
      <c r="N374" s="494" t="s">
        <v>18</v>
      </c>
      <c r="O374" s="480"/>
      <c r="P374" s="480"/>
    </row>
    <row r="375" spans="1:16" ht="12.75" thickBot="1">
      <c r="A375" s="48" t="s">
        <v>1276</v>
      </c>
      <c r="B375" s="135" t="s">
        <v>235</v>
      </c>
      <c r="C375" s="497">
        <v>1348</v>
      </c>
      <c r="D375" s="497"/>
      <c r="E375" s="495">
        <v>14.17</v>
      </c>
      <c r="F375" s="190">
        <f t="shared" si="45"/>
        <v>19101.16</v>
      </c>
      <c r="H375" s="486">
        <f t="shared" si="46"/>
        <v>-3.6947534352950069E-3</v>
      </c>
      <c r="I375" s="486">
        <f t="shared" si="47"/>
        <v>1348</v>
      </c>
      <c r="J375" s="480"/>
      <c r="K375" s="487">
        <f t="shared" si="48"/>
        <v>-2.5405786897337766E-2</v>
      </c>
      <c r="M375" s="492">
        <f>M373+M374</f>
        <v>42379.82</v>
      </c>
      <c r="N375" s="494"/>
      <c r="O375" s="480"/>
      <c r="P375" s="480"/>
    </row>
    <row r="376" spans="1:16" ht="12.75" thickBot="1">
      <c r="A376" s="48" t="s">
        <v>1276</v>
      </c>
      <c r="B376" s="2" t="s">
        <v>236</v>
      </c>
      <c r="C376" s="497">
        <v>2508</v>
      </c>
      <c r="D376" s="497"/>
      <c r="E376" s="495">
        <v>22.15</v>
      </c>
      <c r="F376" s="190">
        <f t="shared" si="45"/>
        <v>55552.2</v>
      </c>
      <c r="H376" s="486">
        <f t="shared" si="46"/>
        <v>-1.0745508743353562E-2</v>
      </c>
      <c r="I376" s="486">
        <f t="shared" si="47"/>
        <v>2508</v>
      </c>
      <c r="J376" s="480"/>
      <c r="K376" s="487">
        <f t="shared" si="48"/>
        <v>-1.6252821685565515E-2</v>
      </c>
      <c r="M376" s="82"/>
      <c r="N376" s="495"/>
      <c r="O376" s="480"/>
      <c r="P376" s="480"/>
    </row>
    <row r="377" spans="1:16" ht="12.75" thickBot="1">
      <c r="A377" s="48" t="s">
        <v>1276</v>
      </c>
      <c r="B377" s="2" t="s">
        <v>354</v>
      </c>
      <c r="C377" s="497">
        <v>17</v>
      </c>
      <c r="D377" s="497"/>
      <c r="E377" s="495">
        <v>72.550000000000011</v>
      </c>
      <c r="F377" s="190">
        <f t="shared" si="45"/>
        <v>1233.3500000000001</v>
      </c>
      <c r="H377" s="486">
        <f t="shared" si="46"/>
        <v>-2.3856792725787847E-4</v>
      </c>
      <c r="I377" s="486">
        <f t="shared" si="47"/>
        <v>17</v>
      </c>
      <c r="J377" s="480"/>
      <c r="K377" s="487">
        <f t="shared" si="48"/>
        <v>-4.9620951114441912E-3</v>
      </c>
      <c r="M377" s="82"/>
      <c r="N377" s="495"/>
      <c r="O377" s="480"/>
      <c r="P377" s="480"/>
    </row>
    <row r="378" spans="1:16" ht="12.75" thickBot="1">
      <c r="A378" s="48" t="s">
        <v>1276</v>
      </c>
      <c r="B378" s="2" t="s">
        <v>355</v>
      </c>
      <c r="C378" s="497">
        <v>11</v>
      </c>
      <c r="D378" s="497"/>
      <c r="E378" s="495">
        <v>41.43</v>
      </c>
      <c r="F378" s="190">
        <f t="shared" si="45"/>
        <v>455.73</v>
      </c>
      <c r="H378" s="486">
        <f t="shared" si="46"/>
        <v>-8.8152236988067414E-5</v>
      </c>
      <c r="I378" s="486">
        <f t="shared" si="47"/>
        <v>11</v>
      </c>
      <c r="J378" s="480"/>
      <c r="K378" s="487">
        <f t="shared" si="48"/>
        <v>-8.6893555475567492E-3</v>
      </c>
      <c r="M378" s="82"/>
      <c r="N378" s="495"/>
      <c r="O378" s="480"/>
      <c r="P378" s="480"/>
    </row>
    <row r="379" spans="1:16" ht="12.75" thickBot="1">
      <c r="A379" s="48" t="s">
        <v>1276</v>
      </c>
      <c r="B379" s="2" t="s">
        <v>359</v>
      </c>
      <c r="C379" s="497">
        <v>45</v>
      </c>
      <c r="D379" s="497"/>
      <c r="E379" s="495">
        <v>19.38</v>
      </c>
      <c r="F379" s="190">
        <f t="shared" si="45"/>
        <v>872.09999999999991</v>
      </c>
      <c r="H379" s="486">
        <f t="shared" si="46"/>
        <v>-1.6869103608999536E-4</v>
      </c>
      <c r="I379" s="486">
        <f t="shared" si="47"/>
        <v>45</v>
      </c>
      <c r="J379" s="480"/>
      <c r="K379" s="487">
        <f t="shared" si="48"/>
        <v>-1.8575851410488967E-2</v>
      </c>
      <c r="M379" s="82"/>
      <c r="N379" s="495"/>
      <c r="O379" s="480"/>
      <c r="P379" s="480"/>
    </row>
    <row r="380" spans="1:16" ht="12.75" thickBot="1">
      <c r="A380" s="48" t="s">
        <v>1276</v>
      </c>
      <c r="B380" s="2" t="s">
        <v>356</v>
      </c>
      <c r="C380" s="497">
        <v>241</v>
      </c>
      <c r="D380" s="497"/>
      <c r="E380" s="495">
        <v>20.349999999999998</v>
      </c>
      <c r="F380" s="190">
        <f t="shared" si="45"/>
        <v>4904.3499999999995</v>
      </c>
      <c r="H380" s="486">
        <f t="shared" si="46"/>
        <v>-9.4865254311199247E-4</v>
      </c>
      <c r="I380" s="486">
        <f t="shared" si="47"/>
        <v>241</v>
      </c>
      <c r="J380" s="480"/>
      <c r="K380" s="487">
        <f t="shared" si="48"/>
        <v>-1.7690417706893176E-2</v>
      </c>
      <c r="M380" s="82"/>
      <c r="N380" s="495"/>
      <c r="O380" s="480"/>
      <c r="P380" s="480"/>
    </row>
    <row r="381" spans="1:16" ht="12.75" thickBot="1">
      <c r="A381" s="48" t="s">
        <v>1276</v>
      </c>
      <c r="B381" s="135" t="s">
        <v>357</v>
      </c>
      <c r="C381" s="497">
        <v>104</v>
      </c>
      <c r="D381" s="497"/>
      <c r="E381" s="495">
        <v>19.53</v>
      </c>
      <c r="F381" s="190">
        <f t="shared" si="45"/>
        <v>2031.1200000000001</v>
      </c>
      <c r="H381" s="486">
        <f t="shared" si="46"/>
        <v>-3.9288124896584266E-4</v>
      </c>
      <c r="I381" s="486">
        <f t="shared" si="47"/>
        <v>104</v>
      </c>
      <c r="J381" s="480"/>
      <c r="K381" s="487">
        <f t="shared" si="48"/>
        <v>-1.8433179740669541E-2</v>
      </c>
      <c r="M381" s="82"/>
      <c r="N381" s="495"/>
      <c r="O381" s="480"/>
      <c r="P381" s="480"/>
    </row>
    <row r="382" spans="1:16" ht="12.75" thickBot="1">
      <c r="A382" s="48" t="s">
        <v>1276</v>
      </c>
      <c r="B382" s="2" t="s">
        <v>358</v>
      </c>
      <c r="C382" s="497">
        <v>81</v>
      </c>
      <c r="D382" s="497"/>
      <c r="E382" s="495">
        <v>20.819999999999997</v>
      </c>
      <c r="F382" s="190">
        <f t="shared" si="45"/>
        <v>1686.4199999999998</v>
      </c>
      <c r="H382" s="486">
        <f t="shared" si="46"/>
        <v>-3.2620563820994148E-4</v>
      </c>
      <c r="I382" s="486">
        <f t="shared" si="47"/>
        <v>81</v>
      </c>
      <c r="J382" s="480"/>
      <c r="K382" s="487">
        <f t="shared" si="48"/>
        <v>-1.7291066298524314E-2</v>
      </c>
      <c r="M382" s="82"/>
      <c r="N382" s="495"/>
      <c r="O382" s="480"/>
      <c r="P382" s="480"/>
    </row>
    <row r="383" spans="1:16" ht="12.75" thickBot="1">
      <c r="A383" s="48" t="s">
        <v>1276</v>
      </c>
      <c r="B383" s="2" t="s">
        <v>250</v>
      </c>
      <c r="C383" s="497">
        <v>982</v>
      </c>
      <c r="D383" s="497"/>
      <c r="E383" s="495">
        <v>19.2</v>
      </c>
      <c r="F383" s="190">
        <f t="shared" si="45"/>
        <v>18854.399999999998</v>
      </c>
      <c r="H383" s="486">
        <f t="shared" si="46"/>
        <v>-3.6470224410677767E-3</v>
      </c>
      <c r="I383" s="486">
        <f t="shared" si="47"/>
        <v>982</v>
      </c>
      <c r="J383" s="480"/>
      <c r="K383" s="487">
        <f t="shared" si="48"/>
        <v>-1.8750000017462298E-2</v>
      </c>
      <c r="M383" s="82"/>
      <c r="N383" s="495"/>
      <c r="O383" s="480"/>
      <c r="P383" s="480"/>
    </row>
    <row r="384" spans="1:16" ht="12.75" thickBot="1">
      <c r="A384" s="48" t="s">
        <v>1276</v>
      </c>
      <c r="B384" s="2" t="s">
        <v>251</v>
      </c>
      <c r="C384" s="497">
        <v>981</v>
      </c>
      <c r="D384" s="497"/>
      <c r="E384" s="495">
        <v>22.949999999999996</v>
      </c>
      <c r="F384" s="190">
        <f t="shared" si="45"/>
        <v>22513.949999999997</v>
      </c>
      <c r="H384" s="486">
        <f t="shared" si="46"/>
        <v>-4.354892273796985E-3</v>
      </c>
      <c r="I384" s="486">
        <f t="shared" si="47"/>
        <v>981</v>
      </c>
      <c r="J384" s="480"/>
      <c r="K384" s="487">
        <f t="shared" si="48"/>
        <v>-1.5686274524412906E-2</v>
      </c>
      <c r="M384" s="82"/>
      <c r="N384" s="495"/>
      <c r="O384" s="480"/>
      <c r="P384" s="480"/>
    </row>
    <row r="385" spans="1:16" ht="12.75" thickBot="1">
      <c r="A385" s="48" t="s">
        <v>1276</v>
      </c>
      <c r="B385" s="2" t="s">
        <v>254</v>
      </c>
      <c r="C385" s="497">
        <v>106</v>
      </c>
      <c r="D385" s="497"/>
      <c r="E385" s="495">
        <v>17.419999999999998</v>
      </c>
      <c r="F385" s="190">
        <f t="shared" si="45"/>
        <v>1846.5199999999998</v>
      </c>
      <c r="H385" s="486">
        <f t="shared" si="46"/>
        <v>-3.5717391579050356E-4</v>
      </c>
      <c r="I385" s="486">
        <f t="shared" si="47"/>
        <v>106</v>
      </c>
      <c r="J385" s="480"/>
      <c r="K385" s="487">
        <f t="shared" si="48"/>
        <v>-2.0665901282162811E-2</v>
      </c>
      <c r="M385" s="82"/>
      <c r="N385" s="495"/>
      <c r="O385" s="480"/>
      <c r="P385" s="480"/>
    </row>
    <row r="386" spans="1:16" ht="12.75" thickBot="1">
      <c r="A386" s="48" t="s">
        <v>1276</v>
      </c>
      <c r="B386" s="135" t="s">
        <v>260</v>
      </c>
      <c r="C386" s="497">
        <v>79</v>
      </c>
      <c r="D386" s="497"/>
      <c r="E386" s="495">
        <v>13.12</v>
      </c>
      <c r="F386" s="190">
        <f t="shared" si="45"/>
        <v>1036.48</v>
      </c>
      <c r="H386" s="486">
        <f t="shared" si="46"/>
        <v>-2.0048719766833895E-4</v>
      </c>
      <c r="I386" s="486">
        <f t="shared" si="47"/>
        <v>79</v>
      </c>
      <c r="J386" s="480"/>
      <c r="K386" s="487">
        <f t="shared" si="48"/>
        <v>-2.7439024415798485E-2</v>
      </c>
      <c r="M386" s="82"/>
      <c r="N386" s="495"/>
      <c r="O386" s="480"/>
      <c r="P386" s="480"/>
    </row>
    <row r="387" spans="1:16" ht="12.75" thickBot="1">
      <c r="A387" s="48" t="s">
        <v>1276</v>
      </c>
      <c r="B387" s="2" t="s">
        <v>262</v>
      </c>
      <c r="C387" s="497">
        <v>33</v>
      </c>
      <c r="D387" s="497"/>
      <c r="E387" s="495">
        <v>9.0200000000000014</v>
      </c>
      <c r="F387" s="190">
        <f t="shared" si="45"/>
        <v>297.66000000000003</v>
      </c>
      <c r="H387" s="486">
        <f t="shared" si="46"/>
        <v>-5.7576624013929619E-5</v>
      </c>
      <c r="I387" s="486">
        <f t="shared" si="47"/>
        <v>33</v>
      </c>
      <c r="J387" s="480"/>
      <c r="K387" s="487">
        <f t="shared" si="48"/>
        <v>-3.9911308241161431E-2</v>
      </c>
      <c r="M387" s="82"/>
      <c r="N387" s="495"/>
      <c r="O387" s="480"/>
      <c r="P387" s="480"/>
    </row>
    <row r="388" spans="1:16" ht="12.75" thickBot="1">
      <c r="A388" s="48" t="s">
        <v>1276</v>
      </c>
      <c r="B388" s="2" t="s">
        <v>340</v>
      </c>
      <c r="C388" s="497">
        <v>35</v>
      </c>
      <c r="D388" s="497"/>
      <c r="E388" s="495">
        <v>23.89</v>
      </c>
      <c r="F388" s="190">
        <f t="shared" si="45"/>
        <v>836.15</v>
      </c>
      <c r="H388" s="486">
        <f t="shared" si="46"/>
        <v>-1.617371973703126E-4</v>
      </c>
      <c r="I388" s="486">
        <f t="shared" si="47"/>
        <v>35</v>
      </c>
      <c r="J388" s="480"/>
      <c r="K388" s="487">
        <f t="shared" si="48"/>
        <v>-1.5069066569078114E-2</v>
      </c>
      <c r="M388" s="82"/>
      <c r="N388" s="495"/>
      <c r="O388" s="480"/>
      <c r="P388" s="480"/>
    </row>
    <row r="389" spans="1:16" ht="12.75" thickBot="1">
      <c r="A389" s="48" t="s">
        <v>1276</v>
      </c>
      <c r="B389" s="2" t="s">
        <v>692</v>
      </c>
      <c r="C389" s="497">
        <v>4</v>
      </c>
      <c r="D389" s="497"/>
      <c r="E389" s="495">
        <v>24.9</v>
      </c>
      <c r="F389" s="190">
        <f t="shared" si="45"/>
        <v>99.6</v>
      </c>
      <c r="H389" s="486">
        <f t="shared" si="46"/>
        <v>-1.9265711724072397E-5</v>
      </c>
      <c r="I389" s="486">
        <f t="shared" si="47"/>
        <v>4</v>
      </c>
      <c r="J389" s="480"/>
      <c r="K389" s="487">
        <f t="shared" si="48"/>
        <v>-1.445783133876611E-2</v>
      </c>
      <c r="M389" s="82"/>
      <c r="N389" s="495"/>
      <c r="O389" s="480"/>
      <c r="P389" s="480"/>
    </row>
    <row r="390" spans="1:16" ht="12.75" thickBot="1">
      <c r="A390" s="48" t="s">
        <v>1276</v>
      </c>
      <c r="B390" s="2" t="s">
        <v>292</v>
      </c>
      <c r="C390" s="497">
        <v>219</v>
      </c>
      <c r="D390" s="497"/>
      <c r="E390" s="495">
        <v>19.79</v>
      </c>
      <c r="F390" s="190">
        <f t="shared" si="45"/>
        <v>4334.01</v>
      </c>
      <c r="H390" s="486">
        <f t="shared" si="46"/>
        <v>-8.3833119748239989E-4</v>
      </c>
      <c r="I390" s="486">
        <f t="shared" si="47"/>
        <v>219</v>
      </c>
      <c r="J390" s="480"/>
      <c r="K390" s="487">
        <f t="shared" si="48"/>
        <v>-1.8191005575304505E-2</v>
      </c>
      <c r="M390" s="82"/>
      <c r="N390" s="495"/>
      <c r="O390" s="480"/>
      <c r="P390" s="480"/>
    </row>
    <row r="391" spans="1:16" ht="12.75" thickBot="1">
      <c r="A391" s="48" t="s">
        <v>1276</v>
      </c>
      <c r="B391" s="135" t="s">
        <v>293</v>
      </c>
      <c r="C391" s="497">
        <v>2154</v>
      </c>
      <c r="D391" s="497"/>
      <c r="E391" s="495">
        <v>20.49</v>
      </c>
      <c r="F391" s="190">
        <f t="shared" si="45"/>
        <v>44135.46</v>
      </c>
      <c r="H391" s="486">
        <f t="shared" si="46"/>
        <v>-8.5371591282061079E-3</v>
      </c>
      <c r="I391" s="486">
        <f t="shared" si="47"/>
        <v>2154</v>
      </c>
      <c r="J391" s="480"/>
      <c r="K391" s="487">
        <f t="shared" si="48"/>
        <v>-1.756954613642148E-2</v>
      </c>
      <c r="M391" s="82"/>
      <c r="N391" s="495"/>
      <c r="O391" s="480"/>
      <c r="P391" s="480"/>
    </row>
    <row r="392" spans="1:16" ht="12.75" thickBot="1">
      <c r="A392" s="48" t="s">
        <v>1276</v>
      </c>
      <c r="B392" s="2" t="s">
        <v>295</v>
      </c>
      <c r="C392" s="497">
        <v>38</v>
      </c>
      <c r="D392" s="497"/>
      <c r="E392" s="495">
        <v>20.18</v>
      </c>
      <c r="F392" s="190">
        <f t="shared" si="45"/>
        <v>766.84</v>
      </c>
      <c r="H392" s="486">
        <f t="shared" si="46"/>
        <v>-1.4833050580810922E-4</v>
      </c>
      <c r="I392" s="486">
        <f t="shared" si="47"/>
        <v>38</v>
      </c>
      <c r="J392" s="480"/>
      <c r="K392" s="487">
        <f t="shared" si="48"/>
        <v>-1.7839445011658878E-2</v>
      </c>
      <c r="M392" s="82"/>
      <c r="N392" s="495"/>
      <c r="O392" s="480"/>
      <c r="P392" s="480"/>
    </row>
    <row r="393" spans="1:16" ht="12.75" thickBot="1">
      <c r="A393" s="48" t="s">
        <v>1276</v>
      </c>
      <c r="B393" s="2" t="s">
        <v>296</v>
      </c>
      <c r="C393" s="497">
        <v>1807</v>
      </c>
      <c r="D393" s="497"/>
      <c r="E393" s="495">
        <v>22.56</v>
      </c>
      <c r="F393" s="190">
        <f t="shared" si="45"/>
        <v>40765.919999999998</v>
      </c>
      <c r="H393" s="486">
        <f t="shared" si="46"/>
        <v>-7.8853861735602142E-3</v>
      </c>
      <c r="I393" s="486">
        <f t="shared" si="47"/>
        <v>1807</v>
      </c>
      <c r="J393" s="480"/>
      <c r="K393" s="487">
        <f t="shared" si="48"/>
        <v>-1.5957446823372169E-2</v>
      </c>
      <c r="M393" s="82"/>
      <c r="N393" s="495"/>
      <c r="O393" s="480"/>
      <c r="P393" s="480"/>
    </row>
    <row r="394" spans="1:16" ht="12.75" thickBot="1">
      <c r="A394" s="48" t="s">
        <v>1276</v>
      </c>
      <c r="B394" s="2" t="s">
        <v>297</v>
      </c>
      <c r="C394" s="497">
        <v>39</v>
      </c>
      <c r="D394" s="497"/>
      <c r="E394" s="495">
        <v>23.68</v>
      </c>
      <c r="F394" s="190">
        <f t="shared" ref="F394:F425" si="49">C394*E394</f>
        <v>923.52</v>
      </c>
      <c r="H394" s="486">
        <f t="shared" si="46"/>
        <v>-1.7863724991380863E-4</v>
      </c>
      <c r="I394" s="486">
        <f t="shared" si="47"/>
        <v>39</v>
      </c>
      <c r="J394" s="480"/>
      <c r="K394" s="487">
        <f t="shared" si="48"/>
        <v>-1.5202702716861322E-2</v>
      </c>
      <c r="M394" s="82"/>
      <c r="N394" s="495"/>
      <c r="O394" s="480"/>
      <c r="P394" s="480"/>
    </row>
    <row r="395" spans="1:16" ht="12.75" thickBot="1">
      <c r="A395" s="48" t="s">
        <v>1276</v>
      </c>
      <c r="B395" s="2" t="s">
        <v>299</v>
      </c>
      <c r="C395" s="497">
        <v>111</v>
      </c>
      <c r="D395" s="497"/>
      <c r="E395" s="495">
        <v>24.77</v>
      </c>
      <c r="F395" s="190">
        <f t="shared" si="49"/>
        <v>2749.47</v>
      </c>
      <c r="H395" s="486">
        <f t="shared" si="46"/>
        <v>-5.3183229331310578E-4</v>
      </c>
      <c r="I395" s="486">
        <f t="shared" si="47"/>
        <v>111</v>
      </c>
      <c r="J395" s="480"/>
      <c r="K395" s="487">
        <f t="shared" si="48"/>
        <v>-1.4533710146761249E-2</v>
      </c>
      <c r="M395" s="82"/>
      <c r="N395" s="495"/>
      <c r="O395" s="480"/>
      <c r="P395" s="480"/>
    </row>
    <row r="396" spans="1:16" ht="12.75" thickBot="1">
      <c r="A396" s="48" t="s">
        <v>1276</v>
      </c>
      <c r="B396" s="2" t="s">
        <v>300</v>
      </c>
      <c r="C396" s="497">
        <v>53</v>
      </c>
      <c r="D396" s="497"/>
      <c r="E396" s="495">
        <v>29.889999999999997</v>
      </c>
      <c r="F396" s="190">
        <f t="shared" si="49"/>
        <v>1584.1699999999998</v>
      </c>
      <c r="H396" s="486">
        <f t="shared" si="46"/>
        <v>-3.0642733475827076E-4</v>
      </c>
      <c r="I396" s="486">
        <f t="shared" si="47"/>
        <v>53</v>
      </c>
      <c r="J396" s="480"/>
      <c r="K396" s="487">
        <f t="shared" si="48"/>
        <v>-1.2044161938282909E-2</v>
      </c>
      <c r="M396" s="82"/>
      <c r="N396" s="495"/>
      <c r="O396" s="480"/>
      <c r="P396" s="480"/>
    </row>
    <row r="397" spans="1:16" ht="12.75" thickBot="1">
      <c r="A397" s="48" t="s">
        <v>1276</v>
      </c>
      <c r="B397" s="2" t="s">
        <v>301</v>
      </c>
      <c r="C397" s="497">
        <v>183</v>
      </c>
      <c r="D397" s="497"/>
      <c r="E397" s="495">
        <v>32.860000000000007</v>
      </c>
      <c r="F397" s="190">
        <f t="shared" si="49"/>
        <v>6013.380000000001</v>
      </c>
      <c r="H397" s="486">
        <f t="shared" si="46"/>
        <v>-1.1631731482660893E-3</v>
      </c>
      <c r="I397" s="486">
        <f t="shared" si="47"/>
        <v>183</v>
      </c>
      <c r="J397" s="480"/>
      <c r="K397" s="487">
        <f t="shared" si="48"/>
        <v>-1.095556909115265E-2</v>
      </c>
      <c r="M397" s="82"/>
      <c r="N397" s="495"/>
      <c r="O397" s="480"/>
      <c r="P397" s="480"/>
    </row>
    <row r="398" spans="1:16" ht="12.75" thickBot="1">
      <c r="A398" s="48" t="s">
        <v>1276</v>
      </c>
      <c r="B398" s="135" t="s">
        <v>302</v>
      </c>
      <c r="C398" s="497">
        <v>374</v>
      </c>
      <c r="D398" s="497"/>
      <c r="E398" s="495">
        <v>38.389999999999993</v>
      </c>
      <c r="F398" s="190">
        <f t="shared" si="49"/>
        <v>14357.859999999997</v>
      </c>
      <c r="H398" s="486">
        <f t="shared" si="46"/>
        <v>-2.7772529290621493E-3</v>
      </c>
      <c r="I398" s="486">
        <f t="shared" si="47"/>
        <v>374</v>
      </c>
      <c r="J398" s="480"/>
      <c r="K398" s="487">
        <f t="shared" si="48"/>
        <v>-9.3774420509319147E-3</v>
      </c>
      <c r="M398" s="82"/>
      <c r="N398" s="495"/>
      <c r="O398" s="480"/>
      <c r="P398" s="480"/>
    </row>
    <row r="399" spans="1:16" ht="12.75" thickBot="1">
      <c r="A399" s="48" t="s">
        <v>1276</v>
      </c>
      <c r="B399" s="2" t="s">
        <v>303</v>
      </c>
      <c r="C399" s="497">
        <v>29</v>
      </c>
      <c r="D399" s="497"/>
      <c r="E399" s="495">
        <v>26.349999999999998</v>
      </c>
      <c r="F399" s="190">
        <f t="shared" si="49"/>
        <v>764.15</v>
      </c>
      <c r="H399" s="486">
        <f t="shared" si="46"/>
        <v>-1.4781017684688678E-4</v>
      </c>
      <c r="I399" s="486">
        <f t="shared" si="47"/>
        <v>29</v>
      </c>
      <c r="J399" s="480"/>
      <c r="K399" s="487">
        <f t="shared" si="48"/>
        <v>-1.3662239101908013E-2</v>
      </c>
      <c r="M399" s="82"/>
      <c r="N399" s="495"/>
      <c r="O399" s="480"/>
      <c r="P399" s="480"/>
    </row>
    <row r="400" spans="1:16" ht="12.75" thickBot="1">
      <c r="A400" s="48" t="s">
        <v>1276</v>
      </c>
      <c r="B400" s="2" t="s">
        <v>304</v>
      </c>
      <c r="C400" s="497">
        <v>880</v>
      </c>
      <c r="D400" s="497"/>
      <c r="E400" s="495">
        <v>28.45</v>
      </c>
      <c r="F400" s="190">
        <f t="shared" si="49"/>
        <v>25036</v>
      </c>
      <c r="H400" s="486">
        <f t="shared" si="46"/>
        <v>-4.842734525340126E-3</v>
      </c>
      <c r="I400" s="486">
        <f t="shared" si="47"/>
        <v>880</v>
      </c>
      <c r="J400" s="480"/>
      <c r="K400" s="487">
        <f t="shared" si="48"/>
        <v>-1.265377857065997E-2</v>
      </c>
      <c r="M400" s="82"/>
      <c r="N400" s="495"/>
      <c r="O400" s="480"/>
      <c r="P400" s="480"/>
    </row>
    <row r="401" spans="1:16" ht="12.75" thickBot="1">
      <c r="A401" s="48" t="s">
        <v>1276</v>
      </c>
      <c r="B401" s="2" t="s">
        <v>305</v>
      </c>
      <c r="C401" s="497">
        <v>42</v>
      </c>
      <c r="D401" s="497"/>
      <c r="E401" s="495">
        <v>34.029999999999994</v>
      </c>
      <c r="F401" s="190">
        <f t="shared" si="49"/>
        <v>1429.2599999999998</v>
      </c>
      <c r="H401" s="486">
        <f t="shared" si="46"/>
        <v>-2.7646296324043885E-4</v>
      </c>
      <c r="I401" s="486">
        <f t="shared" si="47"/>
        <v>42</v>
      </c>
      <c r="J401" s="480"/>
      <c r="K401" s="487">
        <f t="shared" si="48"/>
        <v>-1.057890097958496E-2</v>
      </c>
      <c r="M401" s="82"/>
      <c r="N401" s="495"/>
      <c r="O401" s="480"/>
      <c r="P401" s="480"/>
    </row>
    <row r="402" spans="1:16" ht="12.75" thickBot="1">
      <c r="A402" s="48" t="s">
        <v>1276</v>
      </c>
      <c r="B402" s="2" t="s">
        <v>306</v>
      </c>
      <c r="C402" s="497">
        <v>40</v>
      </c>
      <c r="D402" s="497"/>
      <c r="E402" s="495">
        <v>33.22</v>
      </c>
      <c r="F402" s="190">
        <f t="shared" si="49"/>
        <v>1328.8</v>
      </c>
      <c r="H402" s="486">
        <f t="shared" si="46"/>
        <v>-2.5703090099344782E-4</v>
      </c>
      <c r="I402" s="486">
        <f t="shared" si="47"/>
        <v>40</v>
      </c>
      <c r="J402" s="480"/>
      <c r="K402" s="487">
        <f t="shared" si="48"/>
        <v>-1.0836845284023965E-2</v>
      </c>
      <c r="M402" s="82"/>
      <c r="N402" s="495"/>
      <c r="O402" s="480"/>
      <c r="P402" s="480"/>
    </row>
    <row r="403" spans="1:16" ht="12.75" thickBot="1">
      <c r="A403" s="48" t="s">
        <v>1276</v>
      </c>
      <c r="B403" s="2" t="s">
        <v>307</v>
      </c>
      <c r="C403" s="497">
        <v>54</v>
      </c>
      <c r="D403" s="497"/>
      <c r="E403" s="495">
        <v>35.199999999999996</v>
      </c>
      <c r="F403" s="190">
        <f t="shared" si="49"/>
        <v>1900.7999999999997</v>
      </c>
      <c r="H403" s="486">
        <f t="shared" si="46"/>
        <v>-3.6767334181844183E-4</v>
      </c>
      <c r="I403" s="486">
        <f t="shared" si="47"/>
        <v>54</v>
      </c>
      <c r="J403" s="480"/>
      <c r="K403" s="487">
        <f t="shared" si="48"/>
        <v>-1.0227272736797619E-2</v>
      </c>
      <c r="M403" s="82"/>
      <c r="N403" s="495"/>
      <c r="O403" s="480"/>
      <c r="P403" s="480"/>
    </row>
    <row r="404" spans="1:16" ht="12.75" thickBot="1">
      <c r="A404" s="48" t="s">
        <v>1276</v>
      </c>
      <c r="B404" s="2" t="s">
        <v>308</v>
      </c>
      <c r="C404" s="497">
        <v>289</v>
      </c>
      <c r="D404" s="497"/>
      <c r="E404" s="495">
        <v>34.090000000000003</v>
      </c>
      <c r="F404" s="190">
        <f t="shared" si="49"/>
        <v>9852.01</v>
      </c>
      <c r="H404" s="486">
        <f t="shared" si="46"/>
        <v>-1.9056825759305072E-3</v>
      </c>
      <c r="I404" s="486">
        <f t="shared" si="47"/>
        <v>289</v>
      </c>
      <c r="J404" s="480"/>
      <c r="K404" s="487">
        <f t="shared" si="48"/>
        <v>-1.056028161734456E-2</v>
      </c>
      <c r="M404" s="82"/>
      <c r="N404" s="495"/>
      <c r="O404" s="480"/>
      <c r="P404" s="480"/>
    </row>
    <row r="405" spans="1:16" ht="12.75" thickBot="1">
      <c r="A405" s="48" t="s">
        <v>1276</v>
      </c>
      <c r="B405" s="135" t="s">
        <v>309</v>
      </c>
      <c r="C405" s="497">
        <v>194</v>
      </c>
      <c r="D405" s="497"/>
      <c r="E405" s="495">
        <v>36.07</v>
      </c>
      <c r="F405" s="190">
        <f t="shared" si="49"/>
        <v>6997.58</v>
      </c>
      <c r="H405" s="486">
        <f t="shared" si="46"/>
        <v>-1.3535477815876961E-3</v>
      </c>
      <c r="I405" s="486">
        <f t="shared" si="47"/>
        <v>194</v>
      </c>
      <c r="J405" s="480"/>
      <c r="K405" s="487">
        <f t="shared" si="48"/>
        <v>-9.9805933001185509E-3</v>
      </c>
      <c r="M405" s="82"/>
      <c r="N405" s="495"/>
      <c r="O405" s="480"/>
      <c r="P405" s="480"/>
    </row>
    <row r="406" spans="1:16" ht="12.75" thickBot="1">
      <c r="A406" s="48" t="s">
        <v>1276</v>
      </c>
      <c r="B406" s="2" t="s">
        <v>310</v>
      </c>
      <c r="C406" s="497">
        <v>25</v>
      </c>
      <c r="D406" s="497"/>
      <c r="E406" s="495">
        <v>32.26</v>
      </c>
      <c r="F406" s="190">
        <f t="shared" si="49"/>
        <v>806.5</v>
      </c>
      <c r="H406" s="486">
        <f t="shared" si="46"/>
        <v>-1.560019729464296E-4</v>
      </c>
      <c r="I406" s="486">
        <f t="shared" si="47"/>
        <v>25</v>
      </c>
      <c r="J406" s="480"/>
      <c r="K406" s="487">
        <f t="shared" si="48"/>
        <v>-1.1159330450566527E-2</v>
      </c>
      <c r="M406" s="82"/>
      <c r="N406" s="495"/>
      <c r="O406" s="480"/>
      <c r="P406" s="480"/>
    </row>
    <row r="407" spans="1:16" ht="12.75" thickBot="1">
      <c r="A407" s="48" t="s">
        <v>1276</v>
      </c>
      <c r="B407" s="2" t="s">
        <v>311</v>
      </c>
      <c r="C407" s="497">
        <v>44</v>
      </c>
      <c r="D407" s="497"/>
      <c r="E407" s="495">
        <v>32.93</v>
      </c>
      <c r="F407" s="190">
        <f t="shared" si="49"/>
        <v>1448.92</v>
      </c>
      <c r="H407" s="486">
        <f t="shared" si="46"/>
        <v>-2.8026581356669657E-4</v>
      </c>
      <c r="I407" s="486">
        <f t="shared" si="47"/>
        <v>44</v>
      </c>
      <c r="J407" s="480"/>
      <c r="K407" s="487">
        <f t="shared" si="48"/>
        <v>-1.0932280605383423E-2</v>
      </c>
      <c r="M407" s="82"/>
      <c r="N407" s="495"/>
      <c r="O407" s="480"/>
      <c r="P407" s="480"/>
    </row>
    <row r="408" spans="1:16" ht="12.75" thickBot="1">
      <c r="A408" s="48" t="s">
        <v>1276</v>
      </c>
      <c r="B408" s="2" t="s">
        <v>339</v>
      </c>
      <c r="C408" s="497">
        <v>10</v>
      </c>
      <c r="D408" s="497"/>
      <c r="E408" s="495">
        <v>34.330000000000005</v>
      </c>
      <c r="F408" s="190">
        <f t="shared" si="49"/>
        <v>343.30000000000007</v>
      </c>
      <c r="H408" s="486">
        <f t="shared" si="46"/>
        <v>-6.6404807579056779E-5</v>
      </c>
      <c r="I408" s="486">
        <f t="shared" si="47"/>
        <v>10</v>
      </c>
      <c r="J408" s="480"/>
      <c r="K408" s="487">
        <f t="shared" si="48"/>
        <v>-1.0486455005396914E-2</v>
      </c>
      <c r="M408" s="82"/>
      <c r="N408" s="495"/>
      <c r="O408" s="480"/>
      <c r="P408" s="480"/>
    </row>
    <row r="409" spans="1:16" ht="12.75" thickBot="1">
      <c r="A409" s="48" t="s">
        <v>1276</v>
      </c>
      <c r="B409" s="2" t="s">
        <v>312</v>
      </c>
      <c r="C409" s="497">
        <v>192</v>
      </c>
      <c r="D409" s="497"/>
      <c r="E409" s="495">
        <v>34.99</v>
      </c>
      <c r="F409" s="190">
        <f t="shared" si="49"/>
        <v>6718.08</v>
      </c>
      <c r="H409" s="486">
        <f t="shared" si="46"/>
        <v>-1.2994838616391196E-3</v>
      </c>
      <c r="I409" s="486">
        <f t="shared" si="47"/>
        <v>192</v>
      </c>
      <c r="J409" s="480"/>
      <c r="K409" s="487">
        <f t="shared" si="48"/>
        <v>-1.0288653910696659E-2</v>
      </c>
      <c r="M409" s="82"/>
      <c r="N409" s="495"/>
      <c r="O409" s="480"/>
      <c r="P409" s="480"/>
    </row>
    <row r="410" spans="1:16" ht="12.75" thickBot="1">
      <c r="A410" s="48" t="s">
        <v>1276</v>
      </c>
      <c r="B410" s="2" t="s">
        <v>688</v>
      </c>
      <c r="C410" s="497">
        <v>2</v>
      </c>
      <c r="D410" s="497"/>
      <c r="E410" s="495">
        <v>18.279999999999998</v>
      </c>
      <c r="F410" s="190">
        <f t="shared" si="49"/>
        <v>36.559999999999995</v>
      </c>
      <c r="H410" s="486">
        <f t="shared" si="46"/>
        <v>-7.07183153245067E-6</v>
      </c>
      <c r="I410" s="486">
        <f t="shared" si="47"/>
        <v>2</v>
      </c>
      <c r="J410" s="480"/>
      <c r="K410" s="487">
        <f t="shared" si="48"/>
        <v>-1.9693654285299574E-2</v>
      </c>
      <c r="M410" s="82"/>
      <c r="N410" s="495"/>
      <c r="O410" s="480"/>
      <c r="P410" s="480"/>
    </row>
    <row r="411" spans="1:16" ht="12.75" thickBot="1">
      <c r="A411" s="48" t="s">
        <v>1276</v>
      </c>
      <c r="B411" s="2" t="s">
        <v>341</v>
      </c>
      <c r="C411" s="497">
        <v>18</v>
      </c>
      <c r="D411" s="497"/>
      <c r="E411" s="495">
        <v>22.32</v>
      </c>
      <c r="F411" s="190">
        <f t="shared" si="49"/>
        <v>401.76</v>
      </c>
      <c r="H411" s="486">
        <f t="shared" si="46"/>
        <v>-7.7712774520716121E-5</v>
      </c>
      <c r="I411" s="486">
        <f t="shared" si="47"/>
        <v>18</v>
      </c>
      <c r="J411" s="480"/>
      <c r="K411" s="487">
        <f t="shared" si="48"/>
        <v>-1.6129032273085847E-2</v>
      </c>
      <c r="M411" s="82"/>
      <c r="N411" s="495"/>
      <c r="O411" s="480"/>
      <c r="P411" s="480"/>
    </row>
    <row r="412" spans="1:16" ht="12.75" thickBot="1">
      <c r="A412" s="48" t="s">
        <v>1276</v>
      </c>
      <c r="B412" s="2" t="s">
        <v>317</v>
      </c>
      <c r="C412" s="497">
        <v>9720</v>
      </c>
      <c r="D412" s="497"/>
      <c r="E412" s="495">
        <v>12.82</v>
      </c>
      <c r="F412" s="190">
        <f t="shared" si="49"/>
        <v>124610.40000000001</v>
      </c>
      <c r="H412" s="486">
        <f t="shared" si="46"/>
        <v>-2.4103494419893085E-2</v>
      </c>
      <c r="I412" s="486">
        <f t="shared" si="47"/>
        <v>9720</v>
      </c>
      <c r="J412" s="480"/>
      <c r="K412" s="487">
        <f t="shared" si="48"/>
        <v>-2.8081123271082382E-2</v>
      </c>
      <c r="M412" s="82"/>
      <c r="N412" s="495"/>
      <c r="O412" s="480"/>
      <c r="P412" s="480"/>
    </row>
    <row r="413" spans="1:16" ht="12.75" thickBot="1">
      <c r="A413" s="48" t="s">
        <v>1276</v>
      </c>
      <c r="B413" s="135" t="s">
        <v>318</v>
      </c>
      <c r="C413" s="497">
        <v>16566</v>
      </c>
      <c r="D413" s="497"/>
      <c r="E413" s="495">
        <v>15.08</v>
      </c>
      <c r="F413" s="190">
        <f t="shared" si="49"/>
        <v>249815.28</v>
      </c>
      <c r="H413" s="486">
        <f t="shared" si="46"/>
        <v>-4.8321979605907922E-2</v>
      </c>
      <c r="I413" s="486">
        <f t="shared" si="47"/>
        <v>16566</v>
      </c>
      <c r="J413" s="480"/>
      <c r="K413" s="487">
        <f t="shared" si="48"/>
        <v>-2.3872679067326003E-2</v>
      </c>
      <c r="M413" s="82"/>
      <c r="N413" s="495"/>
      <c r="O413" s="480"/>
      <c r="P413" s="480"/>
    </row>
    <row r="414" spans="1:16" ht="12.75" thickBot="1">
      <c r="A414" s="48" t="s">
        <v>1276</v>
      </c>
      <c r="B414" s="2" t="s">
        <v>319</v>
      </c>
      <c r="C414" s="497">
        <v>7675</v>
      </c>
      <c r="D414" s="497"/>
      <c r="E414" s="495">
        <v>17.38</v>
      </c>
      <c r="F414" s="190">
        <f t="shared" si="49"/>
        <v>133391.5</v>
      </c>
      <c r="H414" s="486">
        <f t="shared" si="46"/>
        <v>-2.5802029974313287E-2</v>
      </c>
      <c r="I414" s="486">
        <f t="shared" si="47"/>
        <v>7675</v>
      </c>
      <c r="J414" s="480"/>
      <c r="K414" s="487">
        <f t="shared" si="48"/>
        <v>-2.0713463770729353E-2</v>
      </c>
      <c r="M414" s="82"/>
      <c r="N414" s="495"/>
      <c r="O414" s="480"/>
      <c r="P414" s="480"/>
    </row>
    <row r="415" spans="1:16" ht="12.75" thickBot="1">
      <c r="A415" s="48" t="s">
        <v>1276</v>
      </c>
      <c r="B415" s="2" t="s">
        <v>320</v>
      </c>
      <c r="C415" s="497">
        <v>408</v>
      </c>
      <c r="D415" s="497"/>
      <c r="E415" s="495">
        <v>13.77</v>
      </c>
      <c r="F415" s="190">
        <f t="shared" si="49"/>
        <v>5618.16</v>
      </c>
      <c r="H415" s="486">
        <f t="shared" si="46"/>
        <v>-1.0867254114429175E-3</v>
      </c>
      <c r="I415" s="486">
        <f t="shared" si="47"/>
        <v>408</v>
      </c>
      <c r="J415" s="480"/>
      <c r="K415" s="487">
        <f t="shared" si="48"/>
        <v>-2.6143790874021505E-2</v>
      </c>
      <c r="M415" s="82"/>
      <c r="N415" s="495"/>
      <c r="O415" s="480"/>
      <c r="P415" s="480"/>
    </row>
    <row r="416" spans="1:16" ht="12.75" thickBot="1">
      <c r="A416" s="48" t="s">
        <v>1276</v>
      </c>
      <c r="B416" s="2" t="s">
        <v>321</v>
      </c>
      <c r="C416" s="497">
        <v>12961</v>
      </c>
      <c r="D416" s="497"/>
      <c r="E416" s="495">
        <v>18.21</v>
      </c>
      <c r="F416" s="190">
        <f t="shared" si="49"/>
        <v>236019.81</v>
      </c>
      <c r="H416" s="486">
        <f t="shared" si="46"/>
        <v>-4.5653510247292563E-2</v>
      </c>
      <c r="I416" s="486">
        <f t="shared" si="47"/>
        <v>12961</v>
      </c>
      <c r="J416" s="480"/>
      <c r="K416" s="487">
        <f t="shared" si="48"/>
        <v>-1.9769357514293033E-2</v>
      </c>
      <c r="M416" s="82"/>
      <c r="N416" s="495"/>
      <c r="O416" s="480"/>
      <c r="P416" s="480"/>
    </row>
    <row r="417" spans="1:16" ht="12.75" thickBot="1">
      <c r="A417" s="48" t="s">
        <v>1276</v>
      </c>
      <c r="B417" s="2" t="s">
        <v>322</v>
      </c>
      <c r="C417" s="497">
        <v>3363</v>
      </c>
      <c r="D417" s="497"/>
      <c r="E417" s="495">
        <v>10.86</v>
      </c>
      <c r="F417" s="190">
        <f t="shared" si="49"/>
        <v>36522.18</v>
      </c>
      <c r="H417" s="486">
        <f t="shared" si="46"/>
        <v>-7.0645159780590612E-3</v>
      </c>
      <c r="I417" s="486">
        <f t="shared" si="47"/>
        <v>3363</v>
      </c>
      <c r="J417" s="480"/>
      <c r="K417" s="487">
        <f t="shared" si="48"/>
        <v>-3.3149171301590806E-2</v>
      </c>
      <c r="M417" s="82"/>
      <c r="N417" s="495"/>
      <c r="O417" s="480"/>
      <c r="P417" s="480"/>
    </row>
    <row r="418" spans="1:16" ht="12.75" thickBot="1">
      <c r="A418" s="48" t="s">
        <v>1276</v>
      </c>
      <c r="B418" s="135" t="s">
        <v>323</v>
      </c>
      <c r="C418" s="497">
        <v>6</v>
      </c>
      <c r="D418" s="497"/>
      <c r="E418" s="495">
        <v>11.13</v>
      </c>
      <c r="F418" s="190">
        <f t="shared" si="49"/>
        <v>66.78</v>
      </c>
      <c r="H418" s="486">
        <f t="shared" si="46"/>
        <v>-1.2917311535477459E-5</v>
      </c>
      <c r="I418" s="486">
        <f t="shared" si="47"/>
        <v>6</v>
      </c>
      <c r="J418" s="480"/>
      <c r="K418" s="487">
        <f t="shared" si="48"/>
        <v>-3.234501350721259E-2</v>
      </c>
      <c r="M418" s="82"/>
      <c r="N418" s="495"/>
      <c r="O418" s="480"/>
      <c r="P418" s="480"/>
    </row>
    <row r="419" spans="1:16" ht="12.75" thickBot="1">
      <c r="A419" s="48" t="s">
        <v>1276</v>
      </c>
      <c r="B419" s="2" t="s">
        <v>328</v>
      </c>
      <c r="C419" s="497">
        <v>24</v>
      </c>
      <c r="D419" s="497"/>
      <c r="E419" s="495">
        <v>12.79</v>
      </c>
      <c r="F419" s="190">
        <f t="shared" si="49"/>
        <v>306.95999999999998</v>
      </c>
      <c r="H419" s="486">
        <f t="shared" si="46"/>
        <v>-5.937553083153878E-5</v>
      </c>
      <c r="I419" s="486">
        <f t="shared" si="47"/>
        <v>24</v>
      </c>
      <c r="J419" s="480"/>
      <c r="K419" s="487">
        <f t="shared" si="48"/>
        <v>-2.8146989862023155E-2</v>
      </c>
      <c r="M419" s="82"/>
      <c r="N419" s="495"/>
      <c r="O419" s="480"/>
      <c r="P419" s="480"/>
    </row>
    <row r="420" spans="1:16" ht="12.75" thickBot="1">
      <c r="A420" s="48" t="s">
        <v>1276</v>
      </c>
      <c r="B420" s="2" t="s">
        <v>329</v>
      </c>
      <c r="C420" s="497">
        <v>2</v>
      </c>
      <c r="D420" s="497"/>
      <c r="E420" s="495">
        <v>15.07</v>
      </c>
      <c r="F420" s="190">
        <f t="shared" si="49"/>
        <v>30.14</v>
      </c>
      <c r="H420" s="486">
        <f t="shared" si="46"/>
        <v>-5.8300055357785346E-6</v>
      </c>
      <c r="I420" s="486">
        <f t="shared" si="47"/>
        <v>2</v>
      </c>
      <c r="J420" s="480"/>
      <c r="K420" s="487">
        <f t="shared" si="48"/>
        <v>-2.3888520261133118E-2</v>
      </c>
      <c r="M420" s="82"/>
      <c r="N420" s="495"/>
      <c r="O420" s="480"/>
      <c r="P420" s="480"/>
    </row>
    <row r="421" spans="1:16" ht="12.75" thickBot="1">
      <c r="A421" s="48" t="s">
        <v>1276</v>
      </c>
      <c r="B421" s="2" t="s">
        <v>330</v>
      </c>
      <c r="C421" s="497">
        <v>407</v>
      </c>
      <c r="D421" s="497"/>
      <c r="E421" s="495">
        <v>18.68</v>
      </c>
      <c r="F421" s="190">
        <f t="shared" si="49"/>
        <v>7602.76</v>
      </c>
      <c r="H421" s="486">
        <f t="shared" si="46"/>
        <v>-1.4706082577039023E-3</v>
      </c>
      <c r="I421" s="486">
        <f t="shared" si="47"/>
        <v>407</v>
      </c>
      <c r="J421" s="480"/>
      <c r="K421" s="487">
        <f t="shared" si="48"/>
        <v>-1.9271948626085444E-2</v>
      </c>
      <c r="M421" s="82"/>
      <c r="N421" s="495"/>
      <c r="O421" s="480"/>
      <c r="P421" s="480"/>
    </row>
    <row r="422" spans="1:16" ht="12.75" thickBot="1">
      <c r="A422" s="48" t="s">
        <v>1276</v>
      </c>
      <c r="B422" s="2" t="s">
        <v>331</v>
      </c>
      <c r="C422" s="497">
        <v>53</v>
      </c>
      <c r="D422" s="497"/>
      <c r="E422" s="495">
        <v>20.970000000000002</v>
      </c>
      <c r="F422" s="190">
        <f t="shared" si="49"/>
        <v>1111.4100000000001</v>
      </c>
      <c r="H422" s="486">
        <f t="shared" si="46"/>
        <v>-2.1498097055473199E-4</v>
      </c>
      <c r="I422" s="486">
        <f t="shared" si="47"/>
        <v>53</v>
      </c>
      <c r="J422" s="480"/>
      <c r="K422" s="487">
        <f t="shared" si="48"/>
        <v>-1.7167381990237294E-2</v>
      </c>
      <c r="M422" s="82"/>
      <c r="N422" s="495"/>
      <c r="O422" s="480"/>
      <c r="P422" s="480"/>
    </row>
    <row r="423" spans="1:16" ht="12.75" thickBot="1">
      <c r="A423" s="48" t="s">
        <v>1276</v>
      </c>
      <c r="B423" s="2" t="s">
        <v>332</v>
      </c>
      <c r="C423" s="497">
        <v>2</v>
      </c>
      <c r="D423" s="497"/>
      <c r="E423" s="495">
        <v>28.42</v>
      </c>
      <c r="F423" s="190">
        <f t="shared" si="49"/>
        <v>56.84</v>
      </c>
      <c r="H423" s="486">
        <f t="shared" si="46"/>
        <v>-1.0994608979882281E-5</v>
      </c>
      <c r="I423" s="486">
        <f t="shared" si="47"/>
        <v>2</v>
      </c>
      <c r="J423" s="480"/>
      <c r="K423" s="487">
        <f t="shared" si="48"/>
        <v>-1.2667135831642369E-2</v>
      </c>
      <c r="M423" s="82"/>
      <c r="N423" s="495"/>
      <c r="O423" s="480"/>
      <c r="P423" s="480"/>
    </row>
    <row r="424" spans="1:16" ht="12.75" thickBot="1">
      <c r="A424" s="48" t="s">
        <v>1276</v>
      </c>
      <c r="B424" s="2" t="s">
        <v>333</v>
      </c>
      <c r="C424" s="497">
        <v>398</v>
      </c>
      <c r="D424" s="497"/>
      <c r="E424" s="495">
        <v>39.6</v>
      </c>
      <c r="F424" s="190">
        <f t="shared" si="49"/>
        <v>15760.800000000001</v>
      </c>
      <c r="H424" s="486">
        <f t="shared" si="46"/>
        <v>-3.0486247925779141E-3</v>
      </c>
      <c r="I424" s="486">
        <f t="shared" si="47"/>
        <v>398</v>
      </c>
      <c r="J424" s="480"/>
      <c r="K424" s="487">
        <f t="shared" si="48"/>
        <v>-9.0909090993756599E-3</v>
      </c>
      <c r="M424" s="82"/>
      <c r="N424" s="495"/>
      <c r="O424" s="480"/>
      <c r="P424" s="480"/>
    </row>
    <row r="425" spans="1:16" ht="12.75" thickBot="1">
      <c r="A425" s="48" t="s">
        <v>1276</v>
      </c>
      <c r="B425" s="2" t="s">
        <v>334</v>
      </c>
      <c r="C425" s="497">
        <v>60</v>
      </c>
      <c r="D425" s="497"/>
      <c r="E425" s="495">
        <v>42.78</v>
      </c>
      <c r="F425" s="190">
        <f t="shared" si="49"/>
        <v>2566.8000000000002</v>
      </c>
      <c r="H425" s="486">
        <f t="shared" si="46"/>
        <v>-4.9649828166013082E-4</v>
      </c>
      <c r="I425" s="486">
        <f t="shared" si="47"/>
        <v>60</v>
      </c>
      <c r="J425" s="480"/>
      <c r="K425" s="487">
        <f t="shared" si="48"/>
        <v>-8.4151472729143556E-3</v>
      </c>
      <c r="M425" s="82"/>
      <c r="N425" s="495"/>
      <c r="O425" s="480"/>
      <c r="P425" s="480"/>
    </row>
    <row r="426" spans="1:16" ht="12.75" thickBot="1">
      <c r="A426" s="48" t="s">
        <v>1276</v>
      </c>
      <c r="B426" s="2" t="s">
        <v>620</v>
      </c>
      <c r="C426" s="497">
        <v>18</v>
      </c>
      <c r="D426" s="497"/>
      <c r="E426" s="495">
        <v>23.83</v>
      </c>
      <c r="F426" s="190">
        <f t="shared" ref="F426:F430" si="50">C426*E426</f>
        <v>428.93999999999994</v>
      </c>
      <c r="H426" s="486">
        <f t="shared" si="46"/>
        <v>-8.2970224768309366E-5</v>
      </c>
      <c r="I426" s="486">
        <f t="shared" si="47"/>
        <v>18</v>
      </c>
      <c r="J426" s="480"/>
      <c r="K426" s="487">
        <f t="shared" si="48"/>
        <v>-1.5107007987212595E-2</v>
      </c>
      <c r="M426" s="82"/>
      <c r="N426" s="495"/>
      <c r="O426" s="480"/>
      <c r="P426" s="480"/>
    </row>
    <row r="427" spans="1:16" ht="12.75" thickBot="1">
      <c r="A427" s="48" t="s">
        <v>1276</v>
      </c>
      <c r="B427" s="135" t="s">
        <v>360</v>
      </c>
      <c r="C427" s="497">
        <v>4</v>
      </c>
      <c r="D427" s="497"/>
      <c r="E427" s="495">
        <v>20.46</v>
      </c>
      <c r="F427" s="190">
        <f t="shared" si="50"/>
        <v>81.84</v>
      </c>
      <c r="H427" s="486">
        <f t="shared" ref="H427:H430" si="51">F427/$M$367*$M$368</f>
        <v>-1.5830379994960695E-5</v>
      </c>
      <c r="I427" s="486">
        <f t="shared" ref="I427:I430" si="52">ROUND((F427+H427)/E427,0)</f>
        <v>4</v>
      </c>
      <c r="J427" s="480"/>
      <c r="K427" s="487">
        <f t="shared" ref="K427:K430" si="53">$M$368/E427</f>
        <v>-1.759530793427547E-2</v>
      </c>
      <c r="M427" s="82"/>
      <c r="N427" s="495"/>
      <c r="O427" s="480"/>
      <c r="P427" s="480"/>
    </row>
    <row r="428" spans="1:16" ht="12.75" thickBot="1">
      <c r="A428" s="48" t="s">
        <v>1276</v>
      </c>
      <c r="B428" s="2" t="s">
        <v>335</v>
      </c>
      <c r="C428" s="497">
        <v>45</v>
      </c>
      <c r="D428" s="497"/>
      <c r="E428" s="495">
        <v>30.21</v>
      </c>
      <c r="F428" s="190">
        <f t="shared" si="50"/>
        <v>1359.45</v>
      </c>
      <c r="H428" s="486">
        <f t="shared" si="51"/>
        <v>-2.6295955625793398E-4</v>
      </c>
      <c r="I428" s="486">
        <f t="shared" si="52"/>
        <v>45</v>
      </c>
      <c r="J428" s="480"/>
      <c r="K428" s="487">
        <f t="shared" si="53"/>
        <v>-1.1916583923709902E-2</v>
      </c>
      <c r="M428" s="82"/>
      <c r="N428" s="495"/>
      <c r="O428" s="480"/>
      <c r="P428" s="480"/>
    </row>
    <row r="429" spans="1:16" ht="12.75" thickBot="1">
      <c r="A429" s="48" t="s">
        <v>1276</v>
      </c>
      <c r="B429" s="2" t="s">
        <v>336</v>
      </c>
      <c r="C429" s="497">
        <v>2</v>
      </c>
      <c r="D429" s="497"/>
      <c r="E429" s="495">
        <v>42.56</v>
      </c>
      <c r="F429" s="190">
        <f t="shared" si="50"/>
        <v>85.12</v>
      </c>
      <c r="H429" s="486">
        <f t="shared" si="51"/>
        <v>-1.6464833152138981E-5</v>
      </c>
      <c r="I429" s="486">
        <f t="shared" si="52"/>
        <v>2</v>
      </c>
      <c r="J429" s="480"/>
      <c r="K429" s="487">
        <f t="shared" si="53"/>
        <v>-8.4586466244190809E-3</v>
      </c>
      <c r="M429" s="82"/>
      <c r="N429" s="495"/>
      <c r="O429" s="480"/>
      <c r="P429" s="480"/>
    </row>
    <row r="430" spans="1:16" ht="12.75" thickBot="1">
      <c r="A430" s="48" t="s">
        <v>1276</v>
      </c>
      <c r="B430" s="2" t="s">
        <v>337</v>
      </c>
      <c r="C430" s="497">
        <v>13</v>
      </c>
      <c r="D430" s="497"/>
      <c r="E430" s="495">
        <v>52.31</v>
      </c>
      <c r="F430" s="190">
        <f t="shared" si="50"/>
        <v>680.03</v>
      </c>
      <c r="H430" s="486">
        <f t="shared" si="51"/>
        <v>-1.3153877453535092E-4</v>
      </c>
      <c r="I430" s="486">
        <f t="shared" si="52"/>
        <v>13</v>
      </c>
      <c r="J430" s="480"/>
      <c r="K430" s="487">
        <f t="shared" si="53"/>
        <v>-6.8820493277628771E-3</v>
      </c>
      <c r="M430" s="82"/>
      <c r="N430" s="495"/>
      <c r="O430" s="480"/>
      <c r="P430" s="480"/>
    </row>
    <row r="431" spans="1:16" ht="12.75" thickBot="1">
      <c r="A431" s="48" t="s">
        <v>1276</v>
      </c>
      <c r="B431" s="2"/>
      <c r="C431" s="497"/>
      <c r="D431" s="497"/>
      <c r="E431" s="497"/>
      <c r="F431" s="480"/>
      <c r="H431" s="495"/>
      <c r="I431" s="495"/>
      <c r="J431" s="495"/>
      <c r="K431" s="480"/>
      <c r="M431" s="82"/>
      <c r="N431" s="495"/>
      <c r="O431" s="480"/>
      <c r="P431" s="480"/>
    </row>
    <row r="432" spans="1:16" ht="12.75" thickBot="1">
      <c r="A432" s="48" t="s">
        <v>1276</v>
      </c>
      <c r="B432" s="50"/>
      <c r="C432" s="79"/>
      <c r="D432" s="79"/>
      <c r="E432" s="79"/>
      <c r="F432" s="80"/>
      <c r="H432" s="80"/>
      <c r="I432" s="80"/>
      <c r="J432" s="80"/>
      <c r="K432" s="80"/>
      <c r="M432" s="82"/>
      <c r="N432" s="495"/>
      <c r="O432" s="480"/>
      <c r="P432" s="480"/>
    </row>
    <row r="433" spans="1:16" ht="12.75" thickBot="1">
      <c r="A433" s="48" t="s">
        <v>1277</v>
      </c>
      <c r="B433" s="2" t="s">
        <v>342</v>
      </c>
      <c r="C433" s="497">
        <v>75</v>
      </c>
      <c r="D433" s="497"/>
      <c r="E433" s="495">
        <v>8.14</v>
      </c>
      <c r="F433" s="190">
        <f t="shared" ref="F433:F464" si="54">C433*E433</f>
        <v>610.5</v>
      </c>
      <c r="H433" s="486">
        <f>F433/$M$438*$M$439</f>
        <v>3.7028885806974346E-5</v>
      </c>
      <c r="I433" s="486">
        <f>ROUND((F433+H433)/E433,0)</f>
        <v>75</v>
      </c>
      <c r="J433" s="480"/>
      <c r="K433" s="487">
        <f>$M$439/E433</f>
        <v>1.1056511066808234E-2</v>
      </c>
      <c r="M433" s="488">
        <f>'12MonLights'!K514</f>
        <v>1551367</v>
      </c>
      <c r="N433" s="480" t="s">
        <v>1304</v>
      </c>
      <c r="O433" s="480"/>
      <c r="P433" s="480"/>
    </row>
    <row r="434" spans="1:16" ht="12.75" thickBot="1">
      <c r="A434" s="48" t="s">
        <v>1277</v>
      </c>
      <c r="B434" s="2" t="s">
        <v>213</v>
      </c>
      <c r="C434" s="497">
        <v>3649</v>
      </c>
      <c r="D434" s="497"/>
      <c r="E434" s="495">
        <v>10.959999999999999</v>
      </c>
      <c r="F434" s="190">
        <f t="shared" si="54"/>
        <v>39993.039999999994</v>
      </c>
      <c r="H434" s="486">
        <f t="shared" ref="H434:H497" si="55">F434/$M$438*$M$439</f>
        <v>2.4257128767137706E-3</v>
      </c>
      <c r="I434" s="486">
        <f t="shared" ref="I434:I497" si="56">ROUND((F434+H434)/E434,0)</f>
        <v>3649</v>
      </c>
      <c r="J434" s="480"/>
      <c r="K434" s="487">
        <f t="shared" ref="K434:K497" si="57">$M$439/E434</f>
        <v>8.2116788397645114E-3</v>
      </c>
      <c r="M434" s="488">
        <f>-M446</f>
        <v>-39693.06</v>
      </c>
      <c r="N434" s="489" t="s">
        <v>1306</v>
      </c>
      <c r="O434" s="480"/>
      <c r="P434" s="480"/>
    </row>
    <row r="435" spans="1:16" ht="12.75" thickBot="1">
      <c r="A435" s="48" t="s">
        <v>1277</v>
      </c>
      <c r="B435" s="2" t="s">
        <v>214</v>
      </c>
      <c r="C435" s="497">
        <v>3686</v>
      </c>
      <c r="D435" s="497"/>
      <c r="E435" s="495">
        <v>13.510000000000002</v>
      </c>
      <c r="F435" s="190">
        <f t="shared" si="54"/>
        <v>49797.860000000008</v>
      </c>
      <c r="H435" s="486">
        <f t="shared" si="55"/>
        <v>3.0204083069151439E-3</v>
      </c>
      <c r="I435" s="486">
        <f t="shared" si="56"/>
        <v>3686</v>
      </c>
      <c r="J435" s="480"/>
      <c r="K435" s="487">
        <f t="shared" si="57"/>
        <v>6.661732056537307E-3</v>
      </c>
      <c r="M435" s="490">
        <f>M433+M434</f>
        <v>1511673.94</v>
      </c>
      <c r="N435" s="491" t="s">
        <v>1307</v>
      </c>
      <c r="O435" s="480"/>
      <c r="P435" s="480"/>
    </row>
    <row r="436" spans="1:16" ht="12.75" thickBot="1">
      <c r="A436" s="48" t="s">
        <v>1277</v>
      </c>
      <c r="B436" s="2" t="s">
        <v>215</v>
      </c>
      <c r="C436" s="497">
        <v>92</v>
      </c>
      <c r="D436" s="497"/>
      <c r="E436" s="495">
        <v>12.450000000000001</v>
      </c>
      <c r="F436" s="190">
        <f t="shared" si="54"/>
        <v>1145.4000000000001</v>
      </c>
      <c r="H436" s="486">
        <f t="shared" si="55"/>
        <v>6.9472376418195606E-5</v>
      </c>
      <c r="I436" s="486">
        <f t="shared" si="56"/>
        <v>92</v>
      </c>
      <c r="J436" s="480"/>
      <c r="K436" s="487">
        <f t="shared" si="57"/>
        <v>7.228915669383054E-3</v>
      </c>
      <c r="M436" s="490">
        <f>'1051'!$K$180</f>
        <v>27832.280000000002</v>
      </c>
      <c r="N436" s="492" t="s">
        <v>1308</v>
      </c>
      <c r="O436" s="480"/>
      <c r="P436" s="480"/>
    </row>
    <row r="437" spans="1:16" ht="12.75" thickBot="1">
      <c r="A437" s="48" t="s">
        <v>1277</v>
      </c>
      <c r="B437" s="2" t="s">
        <v>216</v>
      </c>
      <c r="C437" s="497">
        <v>744</v>
      </c>
      <c r="D437" s="497"/>
      <c r="E437" s="495">
        <v>15.54</v>
      </c>
      <c r="F437" s="190">
        <f t="shared" si="54"/>
        <v>11561.76</v>
      </c>
      <c r="H437" s="486">
        <f t="shared" si="55"/>
        <v>7.0125977193717225E-4</v>
      </c>
      <c r="I437" s="486">
        <f t="shared" si="56"/>
        <v>744</v>
      </c>
      <c r="J437" s="480"/>
      <c r="K437" s="487">
        <f t="shared" si="57"/>
        <v>5.7915057968995522E-3</v>
      </c>
      <c r="M437" s="490">
        <f>M435-M436</f>
        <v>1483841.66</v>
      </c>
      <c r="N437" s="492" t="s">
        <v>1309</v>
      </c>
      <c r="O437" s="480"/>
      <c r="P437" s="480"/>
    </row>
    <row r="438" spans="1:16" ht="12.75" thickBot="1">
      <c r="A438" s="48" t="s">
        <v>1277</v>
      </c>
      <c r="B438" s="2" t="s">
        <v>217</v>
      </c>
      <c r="C438" s="497">
        <v>1387</v>
      </c>
      <c r="D438" s="497"/>
      <c r="E438" s="495">
        <v>14.24</v>
      </c>
      <c r="F438" s="190">
        <f t="shared" si="54"/>
        <v>19750.88</v>
      </c>
      <c r="H438" s="486">
        <f t="shared" si="55"/>
        <v>1.1979575431732242E-3</v>
      </c>
      <c r="I438" s="486">
        <f t="shared" si="56"/>
        <v>1387</v>
      </c>
      <c r="J438" s="480"/>
      <c r="K438" s="487">
        <f t="shared" si="57"/>
        <v>6.3202247249872917E-3</v>
      </c>
      <c r="M438" s="490">
        <f>SUM(F433:F501)</f>
        <v>1483841.5699999998</v>
      </c>
      <c r="N438" s="491" t="s">
        <v>1323</v>
      </c>
      <c r="O438" s="480"/>
      <c r="P438" s="480"/>
    </row>
    <row r="439" spans="1:16" ht="12.75" thickBot="1">
      <c r="A439" s="48" t="s">
        <v>1277</v>
      </c>
      <c r="B439" s="2" t="s">
        <v>344</v>
      </c>
      <c r="C439" s="497">
        <v>43</v>
      </c>
      <c r="D439" s="497"/>
      <c r="E439" s="495">
        <v>27.69</v>
      </c>
      <c r="F439" s="190">
        <f t="shared" si="54"/>
        <v>1190.67</v>
      </c>
      <c r="H439" s="486">
        <f t="shared" si="55"/>
        <v>7.2218154731842985E-5</v>
      </c>
      <c r="I439" s="486">
        <f t="shared" si="56"/>
        <v>43</v>
      </c>
      <c r="J439" s="480"/>
      <c r="K439" s="487">
        <f t="shared" si="57"/>
        <v>3.2502708589317092E-3</v>
      </c>
      <c r="M439" s="490">
        <f>M437-M438</f>
        <v>9.0000000083819032E-2</v>
      </c>
      <c r="N439" s="492"/>
      <c r="O439" s="480"/>
      <c r="P439" s="480"/>
    </row>
    <row r="440" spans="1:16" ht="12.75" thickBot="1">
      <c r="A440" s="48" t="s">
        <v>1277</v>
      </c>
      <c r="B440" s="135" t="s">
        <v>218</v>
      </c>
      <c r="C440" s="497">
        <v>329</v>
      </c>
      <c r="D440" s="497"/>
      <c r="E440" s="495">
        <v>28.89</v>
      </c>
      <c r="F440" s="190">
        <f t="shared" si="54"/>
        <v>9504.81</v>
      </c>
      <c r="H440" s="486">
        <f t="shared" si="55"/>
        <v>5.76498810986057E-4</v>
      </c>
      <c r="I440" s="486">
        <f t="shared" si="56"/>
        <v>329</v>
      </c>
      <c r="J440" s="480"/>
      <c r="K440" s="487">
        <f t="shared" si="57"/>
        <v>3.1152648004091044E-3</v>
      </c>
      <c r="M440" s="490"/>
      <c r="N440" s="492"/>
      <c r="O440" s="480"/>
      <c r="P440" s="480"/>
    </row>
    <row r="441" spans="1:16" ht="12.75" thickBot="1">
      <c r="A441" s="48" t="s">
        <v>1277</v>
      </c>
      <c r="B441" s="2" t="s">
        <v>223</v>
      </c>
      <c r="C441" s="497">
        <v>3911</v>
      </c>
      <c r="D441" s="497"/>
      <c r="E441" s="495">
        <v>9.57</v>
      </c>
      <c r="F441" s="190">
        <f t="shared" si="54"/>
        <v>37428.270000000004</v>
      </c>
      <c r="H441" s="486">
        <f t="shared" si="55"/>
        <v>2.2701509185628233E-3</v>
      </c>
      <c r="I441" s="486">
        <f t="shared" si="56"/>
        <v>3911</v>
      </c>
      <c r="J441" s="480"/>
      <c r="K441" s="487">
        <f t="shared" si="57"/>
        <v>9.404388723492061E-3</v>
      </c>
      <c r="M441" s="490"/>
      <c r="N441" s="492"/>
      <c r="O441" s="480"/>
      <c r="P441" s="480"/>
    </row>
    <row r="442" spans="1:16" ht="12.75" thickBot="1">
      <c r="A442" s="48" t="s">
        <v>1277</v>
      </c>
      <c r="B442" s="2" t="s">
        <v>231</v>
      </c>
      <c r="C442" s="497">
        <v>2037</v>
      </c>
      <c r="D442" s="497"/>
      <c r="E442" s="495">
        <v>27.34</v>
      </c>
      <c r="F442" s="190">
        <f t="shared" si="54"/>
        <v>55691.58</v>
      </c>
      <c r="H442" s="486">
        <f t="shared" si="55"/>
        <v>3.3778823197870211E-3</v>
      </c>
      <c r="I442" s="486">
        <f t="shared" si="56"/>
        <v>2037</v>
      </c>
      <c r="J442" s="480"/>
      <c r="K442" s="487">
        <f t="shared" si="57"/>
        <v>3.291880032326958E-3</v>
      </c>
      <c r="M442" s="493"/>
      <c r="N442" s="492"/>
      <c r="O442" s="480"/>
      <c r="P442" s="480"/>
    </row>
    <row r="443" spans="1:16" ht="12.75" thickBot="1">
      <c r="A443" s="48" t="s">
        <v>1277</v>
      </c>
      <c r="B443" s="2" t="s">
        <v>232</v>
      </c>
      <c r="C443" s="497">
        <v>2275</v>
      </c>
      <c r="D443" s="497"/>
      <c r="E443" s="495">
        <v>31.4</v>
      </c>
      <c r="F443" s="190">
        <f t="shared" si="54"/>
        <v>71435</v>
      </c>
      <c r="H443" s="486">
        <f t="shared" si="55"/>
        <v>4.3327738863574317E-3</v>
      </c>
      <c r="I443" s="486">
        <f t="shared" si="56"/>
        <v>2275</v>
      </c>
      <c r="J443" s="480"/>
      <c r="K443" s="487">
        <f t="shared" si="57"/>
        <v>2.8662420408859567E-3</v>
      </c>
      <c r="M443" s="492"/>
      <c r="N443" s="494"/>
      <c r="O443" s="480"/>
      <c r="P443" s="480"/>
    </row>
    <row r="444" spans="1:16" ht="12.75" thickBot="1">
      <c r="A444" s="48" t="s">
        <v>1277</v>
      </c>
      <c r="B444" s="2" t="s">
        <v>234</v>
      </c>
      <c r="C444" s="497">
        <v>16749</v>
      </c>
      <c r="D444" s="497"/>
      <c r="E444" s="495">
        <v>17.189999999999998</v>
      </c>
      <c r="F444" s="190">
        <f t="shared" si="54"/>
        <v>287915.30999999994</v>
      </c>
      <c r="H444" s="486">
        <f t="shared" si="55"/>
        <v>1.7463035439917469E-2</v>
      </c>
      <c r="I444" s="486">
        <f t="shared" si="56"/>
        <v>16749</v>
      </c>
      <c r="J444" s="480"/>
      <c r="K444" s="487">
        <f t="shared" si="57"/>
        <v>5.2356020991168725E-3</v>
      </c>
      <c r="M444" s="492">
        <f>'12MonResults'!$AD$260</f>
        <v>17075.650000000001</v>
      </c>
      <c r="N444" s="494" t="s">
        <v>17</v>
      </c>
      <c r="O444" s="480" t="s">
        <v>1311</v>
      </c>
      <c r="P444" s="480"/>
    </row>
    <row r="445" spans="1:16" ht="12.75" thickBot="1">
      <c r="A445" s="48" t="s">
        <v>1277</v>
      </c>
      <c r="B445" s="2" t="s">
        <v>353</v>
      </c>
      <c r="C445" s="497">
        <v>516</v>
      </c>
      <c r="D445" s="497"/>
      <c r="E445" s="495">
        <v>24.89</v>
      </c>
      <c r="F445" s="190">
        <f t="shared" si="54"/>
        <v>12843.24</v>
      </c>
      <c r="H445" s="486">
        <f t="shared" si="55"/>
        <v>7.7898585970772346E-4</v>
      </c>
      <c r="I445" s="486">
        <f t="shared" si="56"/>
        <v>516</v>
      </c>
      <c r="J445" s="480"/>
      <c r="K445" s="487">
        <f t="shared" si="57"/>
        <v>3.6159100073852564E-3</v>
      </c>
      <c r="M445" s="492">
        <f>'12MonResults'!$AD$262</f>
        <v>22617.41</v>
      </c>
      <c r="N445" s="494" t="s">
        <v>18</v>
      </c>
      <c r="O445" s="480"/>
      <c r="P445" s="480"/>
    </row>
    <row r="446" spans="1:16" ht="12.75" thickBot="1">
      <c r="A446" s="48" t="s">
        <v>1277</v>
      </c>
      <c r="B446" s="135" t="s">
        <v>235</v>
      </c>
      <c r="C446" s="497">
        <v>1321</v>
      </c>
      <c r="D446" s="497"/>
      <c r="E446" s="495">
        <v>14.17</v>
      </c>
      <c r="F446" s="190">
        <f t="shared" si="54"/>
        <v>18718.57</v>
      </c>
      <c r="H446" s="486">
        <f t="shared" si="55"/>
        <v>1.1353444570022207E-3</v>
      </c>
      <c r="I446" s="486">
        <f t="shared" si="56"/>
        <v>1321</v>
      </c>
      <c r="J446" s="480"/>
      <c r="K446" s="487">
        <f t="shared" si="57"/>
        <v>6.3514467243344416E-3</v>
      </c>
      <c r="M446" s="492">
        <f>M444+M445</f>
        <v>39693.06</v>
      </c>
      <c r="N446" s="494"/>
      <c r="O446" s="480"/>
      <c r="P446" s="480"/>
    </row>
    <row r="447" spans="1:16" ht="12.75" thickBot="1">
      <c r="A447" s="48" t="s">
        <v>1277</v>
      </c>
      <c r="B447" s="2" t="s">
        <v>236</v>
      </c>
      <c r="C447" s="497">
        <v>2292</v>
      </c>
      <c r="D447" s="497"/>
      <c r="E447" s="495">
        <v>22.15</v>
      </c>
      <c r="F447" s="190">
        <f t="shared" si="54"/>
        <v>50767.799999999996</v>
      </c>
      <c r="H447" s="486">
        <f t="shared" si="55"/>
        <v>3.079238442049651E-3</v>
      </c>
      <c r="I447" s="486">
        <f t="shared" si="56"/>
        <v>2292</v>
      </c>
      <c r="J447" s="480"/>
      <c r="K447" s="487">
        <f t="shared" si="57"/>
        <v>4.0632054213913787E-3</v>
      </c>
      <c r="M447" s="82"/>
      <c r="N447" s="495"/>
      <c r="O447" s="480"/>
      <c r="P447" s="480"/>
    </row>
    <row r="448" spans="1:16" ht="12.75" thickBot="1">
      <c r="A448" s="48" t="s">
        <v>1277</v>
      </c>
      <c r="B448" s="2" t="s">
        <v>354</v>
      </c>
      <c r="C448" s="497">
        <v>17</v>
      </c>
      <c r="D448" s="497"/>
      <c r="E448" s="495">
        <v>72.550000000000011</v>
      </c>
      <c r="F448" s="190">
        <f t="shared" si="54"/>
        <v>1233.3500000000001</v>
      </c>
      <c r="H448" s="486">
        <f t="shared" si="55"/>
        <v>7.4806840802672917E-5</v>
      </c>
      <c r="I448" s="486">
        <f t="shared" si="56"/>
        <v>17</v>
      </c>
      <c r="J448" s="480"/>
      <c r="K448" s="487">
        <f t="shared" si="57"/>
        <v>1.2405237778610478E-3</v>
      </c>
      <c r="M448" s="82"/>
      <c r="N448" s="495"/>
      <c r="O448" s="480"/>
      <c r="P448" s="480"/>
    </row>
    <row r="449" spans="1:16" ht="12.75" thickBot="1">
      <c r="A449" s="48" t="s">
        <v>1277</v>
      </c>
      <c r="B449" s="2" t="s">
        <v>355</v>
      </c>
      <c r="C449" s="497">
        <v>11</v>
      </c>
      <c r="D449" s="497"/>
      <c r="E449" s="495">
        <v>41.43</v>
      </c>
      <c r="F449" s="190">
        <f t="shared" si="54"/>
        <v>455.73</v>
      </c>
      <c r="H449" s="486">
        <f t="shared" si="55"/>
        <v>2.7641562864557607E-5</v>
      </c>
      <c r="I449" s="486">
        <f t="shared" si="56"/>
        <v>11</v>
      </c>
      <c r="J449" s="480"/>
      <c r="K449" s="487">
        <f t="shared" si="57"/>
        <v>2.1723388868891873E-3</v>
      </c>
      <c r="M449" s="82"/>
      <c r="N449" s="495"/>
      <c r="O449" s="480"/>
      <c r="P449" s="480"/>
    </row>
    <row r="450" spans="1:16" ht="12.75" thickBot="1">
      <c r="A450" s="48" t="s">
        <v>1277</v>
      </c>
      <c r="B450" s="2" t="s">
        <v>359</v>
      </c>
      <c r="C450" s="497">
        <v>45</v>
      </c>
      <c r="D450" s="497"/>
      <c r="E450" s="495">
        <v>19.38</v>
      </c>
      <c r="F450" s="190">
        <f t="shared" si="54"/>
        <v>872.09999999999991</v>
      </c>
      <c r="H450" s="486">
        <f t="shared" si="55"/>
        <v>5.2895808865294549E-5</v>
      </c>
      <c r="I450" s="486">
        <f t="shared" si="56"/>
        <v>45</v>
      </c>
      <c r="J450" s="480"/>
      <c r="K450" s="487">
        <f t="shared" si="57"/>
        <v>4.6439628526222416E-3</v>
      </c>
      <c r="M450" s="82"/>
      <c r="N450" s="495"/>
      <c r="O450" s="480"/>
      <c r="P450" s="480"/>
    </row>
    <row r="451" spans="1:16" ht="12.75" thickBot="1">
      <c r="A451" s="48" t="s">
        <v>1277</v>
      </c>
      <c r="B451" s="2" t="s">
        <v>356</v>
      </c>
      <c r="C451" s="497">
        <v>239</v>
      </c>
      <c r="D451" s="497"/>
      <c r="E451" s="495">
        <v>20.349999999999998</v>
      </c>
      <c r="F451" s="190">
        <f t="shared" si="54"/>
        <v>4863.6499999999996</v>
      </c>
      <c r="H451" s="486">
        <f t="shared" si="55"/>
        <v>2.9499679026222893E-4</v>
      </c>
      <c r="I451" s="486">
        <f t="shared" si="56"/>
        <v>239</v>
      </c>
      <c r="J451" s="480"/>
      <c r="K451" s="487">
        <f t="shared" si="57"/>
        <v>4.422604426723294E-3</v>
      </c>
      <c r="M451" s="82"/>
      <c r="N451" s="495"/>
      <c r="O451" s="480"/>
      <c r="P451" s="480"/>
    </row>
    <row r="452" spans="1:16" ht="12.75" thickBot="1">
      <c r="A452" s="48" t="s">
        <v>1277</v>
      </c>
      <c r="B452" s="135" t="s">
        <v>357</v>
      </c>
      <c r="C452" s="497">
        <v>103</v>
      </c>
      <c r="D452" s="497"/>
      <c r="E452" s="495">
        <v>19.53</v>
      </c>
      <c r="F452" s="190">
        <f t="shared" si="54"/>
        <v>2011.5900000000001</v>
      </c>
      <c r="H452" s="486">
        <f t="shared" si="55"/>
        <v>1.2200972383366342E-4</v>
      </c>
      <c r="I452" s="486">
        <f t="shared" si="56"/>
        <v>103</v>
      </c>
      <c r="J452" s="480"/>
      <c r="K452" s="487">
        <f t="shared" si="57"/>
        <v>4.6082949351673851E-3</v>
      </c>
      <c r="M452" s="82"/>
      <c r="N452" s="495"/>
      <c r="O452" s="480"/>
      <c r="P452" s="480"/>
    </row>
    <row r="453" spans="1:16" ht="12.75" thickBot="1">
      <c r="A453" s="48" t="s">
        <v>1277</v>
      </c>
      <c r="B453" s="2" t="s">
        <v>358</v>
      </c>
      <c r="C453" s="497">
        <v>80</v>
      </c>
      <c r="D453" s="497"/>
      <c r="E453" s="495">
        <v>20.819999999999997</v>
      </c>
      <c r="F453" s="190">
        <f t="shared" si="54"/>
        <v>1665.5999999999997</v>
      </c>
      <c r="H453" s="486">
        <f t="shared" si="55"/>
        <v>1.0102426240802039E-4</v>
      </c>
      <c r="I453" s="486">
        <f t="shared" si="56"/>
        <v>80</v>
      </c>
      <c r="J453" s="480"/>
      <c r="K453" s="487">
        <f t="shared" si="57"/>
        <v>4.3227665746310784E-3</v>
      </c>
      <c r="M453" s="82"/>
      <c r="N453" s="495"/>
      <c r="O453" s="480"/>
      <c r="P453" s="480"/>
    </row>
    <row r="454" spans="1:16" ht="12.75" thickBot="1">
      <c r="A454" s="48" t="s">
        <v>1277</v>
      </c>
      <c r="B454" s="2" t="s">
        <v>250</v>
      </c>
      <c r="C454" s="497">
        <v>512</v>
      </c>
      <c r="D454" s="497"/>
      <c r="E454" s="495">
        <v>19.2</v>
      </c>
      <c r="F454" s="190">
        <f t="shared" si="54"/>
        <v>9830.4</v>
      </c>
      <c r="H454" s="486">
        <f t="shared" si="55"/>
        <v>5.9624694354935392E-4</v>
      </c>
      <c r="I454" s="486">
        <f t="shared" si="56"/>
        <v>512</v>
      </c>
      <c r="J454" s="480"/>
      <c r="K454" s="487">
        <f t="shared" si="57"/>
        <v>4.6875000043655746E-3</v>
      </c>
      <c r="M454" s="82"/>
      <c r="N454" s="495"/>
      <c r="O454" s="480"/>
      <c r="P454" s="480"/>
    </row>
    <row r="455" spans="1:16" ht="12.75" thickBot="1">
      <c r="A455" s="48" t="s">
        <v>1277</v>
      </c>
      <c r="B455" s="2" t="s">
        <v>251</v>
      </c>
      <c r="C455" s="497">
        <v>497</v>
      </c>
      <c r="D455" s="497"/>
      <c r="E455" s="495">
        <v>22.949999999999996</v>
      </c>
      <c r="F455" s="190">
        <f t="shared" si="54"/>
        <v>11406.149999999998</v>
      </c>
      <c r="H455" s="486">
        <f t="shared" si="55"/>
        <v>6.9182150015924704E-4</v>
      </c>
      <c r="I455" s="486">
        <f t="shared" si="56"/>
        <v>497</v>
      </c>
      <c r="J455" s="480"/>
      <c r="K455" s="487">
        <f t="shared" si="57"/>
        <v>3.9215686311032264E-3</v>
      </c>
      <c r="M455" s="82"/>
      <c r="N455" s="495"/>
      <c r="O455" s="480"/>
      <c r="P455" s="480"/>
    </row>
    <row r="456" spans="1:16" ht="12.75" thickBot="1">
      <c r="A456" s="48" t="s">
        <v>1277</v>
      </c>
      <c r="B456" s="2" t="s">
        <v>254</v>
      </c>
      <c r="C456" s="497">
        <v>53</v>
      </c>
      <c r="D456" s="497"/>
      <c r="E456" s="495">
        <v>17.419999999999998</v>
      </c>
      <c r="F456" s="190">
        <f t="shared" si="54"/>
        <v>923.25999999999988</v>
      </c>
      <c r="H456" s="486">
        <f t="shared" si="55"/>
        <v>5.5998835561256559E-5</v>
      </c>
      <c r="I456" s="486">
        <f t="shared" si="56"/>
        <v>53</v>
      </c>
      <c r="J456" s="480"/>
      <c r="K456" s="487">
        <f t="shared" si="57"/>
        <v>5.1664753205407027E-3</v>
      </c>
      <c r="M456" s="82"/>
      <c r="N456" s="495"/>
      <c r="O456" s="480"/>
      <c r="P456" s="480"/>
    </row>
    <row r="457" spans="1:16" ht="12.75" thickBot="1">
      <c r="A457" s="48" t="s">
        <v>1277</v>
      </c>
      <c r="B457" s="135" t="s">
        <v>260</v>
      </c>
      <c r="C457" s="497">
        <v>39</v>
      </c>
      <c r="D457" s="497"/>
      <c r="E457" s="495">
        <v>13.12</v>
      </c>
      <c r="F457" s="190">
        <f t="shared" si="54"/>
        <v>511.67999999999995</v>
      </c>
      <c r="H457" s="486">
        <f t="shared" si="55"/>
        <v>3.103511922966852E-5</v>
      </c>
      <c r="I457" s="486">
        <f t="shared" si="56"/>
        <v>39</v>
      </c>
      <c r="J457" s="480"/>
      <c r="K457" s="487">
        <f t="shared" si="57"/>
        <v>6.8597561039496213E-3</v>
      </c>
      <c r="M457" s="82"/>
      <c r="N457" s="495"/>
      <c r="O457" s="480"/>
      <c r="P457" s="480"/>
    </row>
    <row r="458" spans="1:16" ht="12.75" thickBot="1">
      <c r="A458" s="48" t="s">
        <v>1277</v>
      </c>
      <c r="B458" s="2" t="s">
        <v>262</v>
      </c>
      <c r="C458" s="497">
        <v>17</v>
      </c>
      <c r="D458" s="497"/>
      <c r="E458" s="495">
        <v>9.0200000000000014</v>
      </c>
      <c r="F458" s="190">
        <f t="shared" si="54"/>
        <v>153.34000000000003</v>
      </c>
      <c r="H458" s="486">
        <f t="shared" si="55"/>
        <v>9.3005886153013051E-6</v>
      </c>
      <c r="I458" s="486">
        <f t="shared" si="56"/>
        <v>17</v>
      </c>
      <c r="J458" s="480"/>
      <c r="K458" s="487">
        <f t="shared" si="57"/>
        <v>9.9778270602903577E-3</v>
      </c>
      <c r="M458" s="82"/>
      <c r="N458" s="495"/>
      <c r="O458" s="480"/>
      <c r="P458" s="480"/>
    </row>
    <row r="459" spans="1:16" ht="12.75" thickBot="1">
      <c r="A459" s="48" t="s">
        <v>1277</v>
      </c>
      <c r="B459" s="2" t="s">
        <v>340</v>
      </c>
      <c r="C459" s="497">
        <v>35</v>
      </c>
      <c r="D459" s="497"/>
      <c r="E459" s="495">
        <v>23.89</v>
      </c>
      <c r="F459" s="190">
        <f t="shared" si="54"/>
        <v>836.15</v>
      </c>
      <c r="H459" s="486">
        <f t="shared" si="55"/>
        <v>5.0715320012287623E-5</v>
      </c>
      <c r="I459" s="486">
        <f t="shared" si="56"/>
        <v>35</v>
      </c>
      <c r="J459" s="480"/>
      <c r="K459" s="487">
        <f t="shared" si="57"/>
        <v>3.7672666422695284E-3</v>
      </c>
      <c r="M459" s="82"/>
      <c r="N459" s="495"/>
      <c r="O459" s="480"/>
      <c r="P459" s="480"/>
    </row>
    <row r="460" spans="1:16" ht="12.75" thickBot="1">
      <c r="A460" s="48" t="s">
        <v>1277</v>
      </c>
      <c r="B460" s="2" t="s">
        <v>692</v>
      </c>
      <c r="C460" s="497">
        <v>4</v>
      </c>
      <c r="D460" s="497"/>
      <c r="E460" s="495">
        <v>24.9</v>
      </c>
      <c r="F460" s="190">
        <f t="shared" si="54"/>
        <v>99.6</v>
      </c>
      <c r="H460" s="486">
        <f t="shared" si="55"/>
        <v>6.041076210277878E-6</v>
      </c>
      <c r="I460" s="486">
        <f t="shared" si="56"/>
        <v>4</v>
      </c>
      <c r="J460" s="480"/>
      <c r="K460" s="487">
        <f t="shared" si="57"/>
        <v>3.6144578346915274E-3</v>
      </c>
      <c r="M460" s="82"/>
      <c r="N460" s="495"/>
      <c r="O460" s="480"/>
      <c r="P460" s="480"/>
    </row>
    <row r="461" spans="1:16" ht="12.75" thickBot="1">
      <c r="A461" s="48" t="s">
        <v>1277</v>
      </c>
      <c r="B461" s="2" t="s">
        <v>292</v>
      </c>
      <c r="C461" s="497">
        <v>219</v>
      </c>
      <c r="D461" s="497"/>
      <c r="E461" s="495">
        <v>19.79</v>
      </c>
      <c r="F461" s="190">
        <f t="shared" si="54"/>
        <v>4334.01</v>
      </c>
      <c r="H461" s="486">
        <f t="shared" si="55"/>
        <v>2.6287233640669101E-4</v>
      </c>
      <c r="I461" s="486">
        <f t="shared" si="56"/>
        <v>219</v>
      </c>
      <c r="J461" s="480"/>
      <c r="K461" s="487">
        <f t="shared" si="57"/>
        <v>4.5477513938261263E-3</v>
      </c>
      <c r="M461" s="82"/>
      <c r="N461" s="495"/>
      <c r="O461" s="480"/>
      <c r="P461" s="480"/>
    </row>
    <row r="462" spans="1:16" ht="12.75" thickBot="1">
      <c r="A462" s="48" t="s">
        <v>1277</v>
      </c>
      <c r="B462" s="135" t="s">
        <v>293</v>
      </c>
      <c r="C462" s="497">
        <v>2088</v>
      </c>
      <c r="D462" s="497"/>
      <c r="E462" s="495">
        <v>20.49</v>
      </c>
      <c r="F462" s="190">
        <f t="shared" si="54"/>
        <v>42783.119999999995</v>
      </c>
      <c r="H462" s="486">
        <f t="shared" si="55"/>
        <v>2.594940646922326E-3</v>
      </c>
      <c r="I462" s="486">
        <f t="shared" si="56"/>
        <v>2088</v>
      </c>
      <c r="J462" s="480"/>
      <c r="K462" s="487">
        <f t="shared" si="57"/>
        <v>4.39238653410537E-3</v>
      </c>
      <c r="M462" s="82"/>
      <c r="N462" s="495"/>
      <c r="O462" s="480"/>
      <c r="P462" s="480"/>
    </row>
    <row r="463" spans="1:16" ht="12.75" thickBot="1">
      <c r="A463" s="48" t="s">
        <v>1277</v>
      </c>
      <c r="B463" s="2" t="s">
        <v>295</v>
      </c>
      <c r="C463" s="497">
        <v>37</v>
      </c>
      <c r="D463" s="497"/>
      <c r="E463" s="495">
        <v>20.18</v>
      </c>
      <c r="F463" s="190">
        <f t="shared" si="54"/>
        <v>746.66</v>
      </c>
      <c r="H463" s="486">
        <f t="shared" si="55"/>
        <v>4.5287449429378311E-5</v>
      </c>
      <c r="I463" s="486">
        <f t="shared" si="56"/>
        <v>37</v>
      </c>
      <c r="J463" s="480"/>
      <c r="K463" s="487">
        <f t="shared" si="57"/>
        <v>4.4598612529147194E-3</v>
      </c>
      <c r="M463" s="82"/>
      <c r="N463" s="495"/>
      <c r="O463" s="480"/>
      <c r="P463" s="480"/>
    </row>
    <row r="464" spans="1:16" ht="12.75" thickBot="1">
      <c r="A464" s="48" t="s">
        <v>1277</v>
      </c>
      <c r="B464" s="2" t="s">
        <v>296</v>
      </c>
      <c r="C464" s="497">
        <v>1835</v>
      </c>
      <c r="D464" s="497"/>
      <c r="E464" s="495">
        <v>22.56</v>
      </c>
      <c r="F464" s="190">
        <f t="shared" si="54"/>
        <v>41397.599999999999</v>
      </c>
      <c r="H464" s="486">
        <f t="shared" si="55"/>
        <v>2.5109041819538101E-3</v>
      </c>
      <c r="I464" s="486">
        <f t="shared" si="56"/>
        <v>1835</v>
      </c>
      <c r="J464" s="480"/>
      <c r="K464" s="487">
        <f t="shared" si="57"/>
        <v>3.9893617058430423E-3</v>
      </c>
      <c r="M464" s="82"/>
      <c r="N464" s="495"/>
      <c r="O464" s="480"/>
      <c r="P464" s="480"/>
    </row>
    <row r="465" spans="1:16" ht="12.75" thickBot="1">
      <c r="A465" s="48" t="s">
        <v>1277</v>
      </c>
      <c r="B465" s="2" t="s">
        <v>297</v>
      </c>
      <c r="C465" s="497">
        <v>39</v>
      </c>
      <c r="D465" s="497"/>
      <c r="E465" s="495">
        <v>23.68</v>
      </c>
      <c r="F465" s="190">
        <f t="shared" ref="F465:F496" si="58">C465*E465</f>
        <v>923.52</v>
      </c>
      <c r="H465" s="486">
        <f t="shared" si="55"/>
        <v>5.6014605438913917E-5</v>
      </c>
      <c r="I465" s="486">
        <f t="shared" si="56"/>
        <v>39</v>
      </c>
      <c r="J465" s="480"/>
      <c r="K465" s="487">
        <f t="shared" si="57"/>
        <v>3.8006756792153306E-3</v>
      </c>
      <c r="M465" s="82"/>
      <c r="N465" s="495"/>
      <c r="O465" s="480"/>
      <c r="P465" s="480"/>
    </row>
    <row r="466" spans="1:16" ht="12.75" thickBot="1">
      <c r="A466" s="48" t="s">
        <v>1277</v>
      </c>
      <c r="B466" s="2" t="s">
        <v>299</v>
      </c>
      <c r="C466" s="497">
        <v>110</v>
      </c>
      <c r="D466" s="497"/>
      <c r="E466" s="495">
        <v>24.77</v>
      </c>
      <c r="F466" s="190">
        <f t="shared" si="58"/>
        <v>2724.7</v>
      </c>
      <c r="H466" s="486">
        <f t="shared" si="55"/>
        <v>1.6526225251148728E-4</v>
      </c>
      <c r="I466" s="486">
        <f t="shared" si="56"/>
        <v>110</v>
      </c>
      <c r="J466" s="480"/>
      <c r="K466" s="487">
        <f t="shared" si="57"/>
        <v>3.6334275366903123E-3</v>
      </c>
      <c r="M466" s="82"/>
      <c r="N466" s="495"/>
      <c r="O466" s="480"/>
      <c r="P466" s="480"/>
    </row>
    <row r="467" spans="1:16" ht="12.75" thickBot="1">
      <c r="A467" s="48" t="s">
        <v>1277</v>
      </c>
      <c r="B467" s="2" t="s">
        <v>300</v>
      </c>
      <c r="C467" s="497">
        <v>53</v>
      </c>
      <c r="D467" s="497"/>
      <c r="E467" s="495">
        <v>29.889999999999997</v>
      </c>
      <c r="F467" s="190">
        <f t="shared" si="58"/>
        <v>1584.1699999999998</v>
      </c>
      <c r="H467" s="486">
        <f t="shared" si="55"/>
        <v>9.6085258032488997E-5</v>
      </c>
      <c r="I467" s="486">
        <f t="shared" si="56"/>
        <v>53</v>
      </c>
      <c r="J467" s="480"/>
      <c r="K467" s="487">
        <f t="shared" si="57"/>
        <v>3.0110404845707273E-3</v>
      </c>
      <c r="M467" s="82"/>
      <c r="N467" s="495"/>
      <c r="O467" s="480"/>
      <c r="P467" s="480"/>
    </row>
    <row r="468" spans="1:16" ht="12.75" thickBot="1">
      <c r="A468" s="48" t="s">
        <v>1277</v>
      </c>
      <c r="B468" s="2" t="s">
        <v>301</v>
      </c>
      <c r="C468" s="497">
        <f>177-4</f>
        <v>173</v>
      </c>
      <c r="D468" s="497"/>
      <c r="E468" s="495">
        <v>32.860000000000007</v>
      </c>
      <c r="F468" s="190">
        <f t="shared" si="58"/>
        <v>5684.7800000000016</v>
      </c>
      <c r="H468" s="486">
        <f t="shared" si="55"/>
        <v>3.4480109657292657E-4</v>
      </c>
      <c r="I468" s="486">
        <f t="shared" si="56"/>
        <v>173</v>
      </c>
      <c r="J468" s="480"/>
      <c r="K468" s="487">
        <f t="shared" si="57"/>
        <v>2.7388922727881624E-3</v>
      </c>
      <c r="M468" s="82"/>
      <c r="N468" s="495"/>
      <c r="O468" s="480"/>
      <c r="P468" s="480"/>
    </row>
    <row r="469" spans="1:16" ht="12.75" thickBot="1">
      <c r="A469" s="48" t="s">
        <v>1277</v>
      </c>
      <c r="B469" s="135" t="s">
        <v>302</v>
      </c>
      <c r="C469" s="497">
        <v>388</v>
      </c>
      <c r="D469" s="497"/>
      <c r="E469" s="495">
        <v>38.389999999999993</v>
      </c>
      <c r="F469" s="190">
        <f t="shared" si="58"/>
        <v>14895.319999999998</v>
      </c>
      <c r="H469" s="486">
        <f t="shared" si="55"/>
        <v>9.0345143871964123E-4</v>
      </c>
      <c r="I469" s="486">
        <f t="shared" si="56"/>
        <v>388</v>
      </c>
      <c r="J469" s="480"/>
      <c r="K469" s="487">
        <f t="shared" si="57"/>
        <v>2.3443605127329787E-3</v>
      </c>
      <c r="M469" s="82"/>
      <c r="N469" s="495"/>
      <c r="O469" s="480"/>
      <c r="P469" s="480"/>
    </row>
    <row r="470" spans="1:16" ht="12.75" thickBot="1">
      <c r="A470" s="48" t="s">
        <v>1277</v>
      </c>
      <c r="B470" s="2" t="s">
        <v>303</v>
      </c>
      <c r="C470" s="497">
        <v>21</v>
      </c>
      <c r="D470" s="497"/>
      <c r="E470" s="495">
        <v>26.349999999999998</v>
      </c>
      <c r="F470" s="190">
        <f t="shared" si="58"/>
        <v>553.34999999999991</v>
      </c>
      <c r="H470" s="486">
        <f t="shared" si="55"/>
        <v>3.3562545391137181E-5</v>
      </c>
      <c r="I470" s="486">
        <f t="shared" si="56"/>
        <v>21</v>
      </c>
      <c r="J470" s="480"/>
      <c r="K470" s="487">
        <f t="shared" si="57"/>
        <v>3.4155597754770032E-3</v>
      </c>
      <c r="M470" s="82"/>
      <c r="N470" s="495"/>
      <c r="O470" s="480"/>
      <c r="P470" s="480"/>
    </row>
    <row r="471" spans="1:16" ht="12.75" thickBot="1">
      <c r="A471" s="48" t="s">
        <v>1277</v>
      </c>
      <c r="B471" s="2" t="s">
        <v>304</v>
      </c>
      <c r="C471" s="497">
        <v>448</v>
      </c>
      <c r="D471" s="497"/>
      <c r="E471" s="495">
        <v>28.45</v>
      </c>
      <c r="F471" s="190">
        <f t="shared" si="58"/>
        <v>12745.6</v>
      </c>
      <c r="H471" s="486">
        <f t="shared" si="55"/>
        <v>7.7306366411363176E-4</v>
      </c>
      <c r="I471" s="486">
        <f t="shared" si="56"/>
        <v>448</v>
      </c>
      <c r="J471" s="480"/>
      <c r="K471" s="487">
        <f t="shared" si="57"/>
        <v>3.1634446426649925E-3</v>
      </c>
      <c r="M471" s="82"/>
      <c r="N471" s="495"/>
      <c r="O471" s="480"/>
      <c r="P471" s="480"/>
    </row>
    <row r="472" spans="1:16" ht="12.75" thickBot="1">
      <c r="A472" s="48" t="s">
        <v>1277</v>
      </c>
      <c r="B472" s="2" t="s">
        <v>305</v>
      </c>
      <c r="C472" s="497">
        <v>34</v>
      </c>
      <c r="D472" s="497"/>
      <c r="E472" s="495">
        <v>34.029999999999994</v>
      </c>
      <c r="F472" s="190">
        <f t="shared" si="58"/>
        <v>1157.0199999999998</v>
      </c>
      <c r="H472" s="486">
        <f t="shared" si="55"/>
        <v>7.0177168642727999E-5</v>
      </c>
      <c r="I472" s="486">
        <f t="shared" si="56"/>
        <v>34</v>
      </c>
      <c r="J472" s="480"/>
      <c r="K472" s="487">
        <f t="shared" si="57"/>
        <v>2.6447252448962401E-3</v>
      </c>
      <c r="M472" s="82"/>
      <c r="N472" s="495"/>
      <c r="O472" s="480"/>
      <c r="P472" s="480"/>
    </row>
    <row r="473" spans="1:16" ht="12.75" thickBot="1">
      <c r="A473" s="48" t="s">
        <v>1277</v>
      </c>
      <c r="B473" s="2" t="s">
        <v>306</v>
      </c>
      <c r="C473" s="497">
        <v>40</v>
      </c>
      <c r="D473" s="497"/>
      <c r="E473" s="495">
        <v>33.22</v>
      </c>
      <c r="F473" s="190">
        <f t="shared" si="58"/>
        <v>1328.8</v>
      </c>
      <c r="H473" s="486">
        <f t="shared" si="55"/>
        <v>8.0596205504189199E-5</v>
      </c>
      <c r="I473" s="486">
        <f t="shared" si="56"/>
        <v>40</v>
      </c>
      <c r="J473" s="480"/>
      <c r="K473" s="487">
        <f t="shared" si="57"/>
        <v>2.7092113210059913E-3</v>
      </c>
      <c r="M473" s="82"/>
      <c r="N473" s="495"/>
      <c r="O473" s="480"/>
      <c r="P473" s="480"/>
    </row>
    <row r="474" spans="1:16" ht="12.75" thickBot="1">
      <c r="A474" s="48" t="s">
        <v>1277</v>
      </c>
      <c r="B474" s="2" t="s">
        <v>307</v>
      </c>
      <c r="C474" s="497">
        <v>52</v>
      </c>
      <c r="D474" s="497"/>
      <c r="E474" s="495">
        <v>35.199999999999996</v>
      </c>
      <c r="F474" s="190">
        <f t="shared" si="58"/>
        <v>1830.3999999999999</v>
      </c>
      <c r="H474" s="486">
        <f t="shared" si="55"/>
        <v>1.1101993870775729E-4</v>
      </c>
      <c r="I474" s="486">
        <f t="shared" si="56"/>
        <v>52</v>
      </c>
      <c r="J474" s="480"/>
      <c r="K474" s="487">
        <f t="shared" si="57"/>
        <v>2.5568181841994046E-3</v>
      </c>
      <c r="M474" s="82"/>
      <c r="N474" s="495"/>
      <c r="O474" s="480"/>
      <c r="P474" s="480"/>
    </row>
    <row r="475" spans="1:16" ht="12.75" thickBot="1">
      <c r="A475" s="48" t="s">
        <v>1277</v>
      </c>
      <c r="B475" s="2" t="s">
        <v>308</v>
      </c>
      <c r="C475" s="497">
        <v>216</v>
      </c>
      <c r="D475" s="497"/>
      <c r="E475" s="495">
        <v>34.090000000000003</v>
      </c>
      <c r="F475" s="190">
        <f t="shared" si="58"/>
        <v>7363.4400000000005</v>
      </c>
      <c r="H475" s="486">
        <f t="shared" si="55"/>
        <v>4.4661749206635084E-4</v>
      </c>
      <c r="I475" s="486">
        <f t="shared" si="56"/>
        <v>216</v>
      </c>
      <c r="J475" s="480"/>
      <c r="K475" s="487">
        <f t="shared" si="57"/>
        <v>2.6400704043361401E-3</v>
      </c>
      <c r="M475" s="82"/>
      <c r="N475" s="495"/>
      <c r="O475" s="480"/>
      <c r="P475" s="480"/>
    </row>
    <row r="476" spans="1:16" ht="12.75" thickBot="1">
      <c r="A476" s="48" t="s">
        <v>1277</v>
      </c>
      <c r="B476" s="135" t="s">
        <v>309</v>
      </c>
      <c r="C476" s="497">
        <v>193</v>
      </c>
      <c r="D476" s="497"/>
      <c r="E476" s="495">
        <v>36.07</v>
      </c>
      <c r="F476" s="190">
        <f t="shared" si="58"/>
        <v>6961.51</v>
      </c>
      <c r="H476" s="486">
        <f t="shared" si="55"/>
        <v>4.2223908080935295E-4</v>
      </c>
      <c r="I476" s="486">
        <f t="shared" si="56"/>
        <v>193</v>
      </c>
      <c r="J476" s="480"/>
      <c r="K476" s="487">
        <f t="shared" si="57"/>
        <v>2.4951483250296377E-3</v>
      </c>
      <c r="M476" s="82"/>
      <c r="N476" s="495"/>
      <c r="O476" s="480"/>
      <c r="P476" s="480"/>
    </row>
    <row r="477" spans="1:16" ht="12.75" thickBot="1">
      <c r="A477" s="48" t="s">
        <v>1277</v>
      </c>
      <c r="B477" s="2" t="s">
        <v>310</v>
      </c>
      <c r="C477" s="497">
        <v>13</v>
      </c>
      <c r="D477" s="497"/>
      <c r="E477" s="495">
        <v>32.26</v>
      </c>
      <c r="F477" s="190">
        <f t="shared" si="58"/>
        <v>419.38</v>
      </c>
      <c r="H477" s="486">
        <f t="shared" si="55"/>
        <v>2.54368126613086E-5</v>
      </c>
      <c r="I477" s="486">
        <f t="shared" si="56"/>
        <v>13</v>
      </c>
      <c r="J477" s="480"/>
      <c r="K477" s="487">
        <f t="shared" si="57"/>
        <v>2.7898326126416318E-3</v>
      </c>
      <c r="M477" s="82"/>
      <c r="N477" s="495"/>
      <c r="O477" s="480"/>
      <c r="P477" s="480"/>
    </row>
    <row r="478" spans="1:16" ht="12.75" thickBot="1">
      <c r="A478" s="48" t="s">
        <v>1277</v>
      </c>
      <c r="B478" s="2" t="s">
        <v>311</v>
      </c>
      <c r="C478" s="497">
        <v>44</v>
      </c>
      <c r="D478" s="497"/>
      <c r="E478" s="495">
        <v>32.93</v>
      </c>
      <c r="F478" s="190">
        <f t="shared" si="58"/>
        <v>1448.92</v>
      </c>
      <c r="H478" s="486">
        <f t="shared" si="55"/>
        <v>8.788188898188578E-5</v>
      </c>
      <c r="I478" s="486">
        <f t="shared" si="56"/>
        <v>44</v>
      </c>
      <c r="J478" s="480"/>
      <c r="K478" s="487">
        <f t="shared" si="57"/>
        <v>2.7330701513458558E-3</v>
      </c>
      <c r="M478" s="82"/>
      <c r="N478" s="495"/>
      <c r="O478" s="480"/>
      <c r="P478" s="480"/>
    </row>
    <row r="479" spans="1:16" ht="12.75" thickBot="1">
      <c r="A479" s="48" t="s">
        <v>1277</v>
      </c>
      <c r="B479" s="2" t="s">
        <v>339</v>
      </c>
      <c r="C479" s="497">
        <v>10</v>
      </c>
      <c r="D479" s="497"/>
      <c r="E479" s="495">
        <v>34.330000000000005</v>
      </c>
      <c r="F479" s="190">
        <f t="shared" si="58"/>
        <v>343.30000000000007</v>
      </c>
      <c r="H479" s="486">
        <f t="shared" si="55"/>
        <v>2.082230384526502E-5</v>
      </c>
      <c r="I479" s="486">
        <f t="shared" si="56"/>
        <v>10</v>
      </c>
      <c r="J479" s="480"/>
      <c r="K479" s="487">
        <f t="shared" si="57"/>
        <v>2.6216137513492286E-3</v>
      </c>
      <c r="M479" s="82"/>
      <c r="N479" s="495"/>
      <c r="O479" s="480"/>
      <c r="P479" s="480"/>
    </row>
    <row r="480" spans="1:16" ht="12.75" thickBot="1">
      <c r="A480" s="48" t="s">
        <v>1277</v>
      </c>
      <c r="B480" s="2" t="s">
        <v>312</v>
      </c>
      <c r="C480" s="497">
        <v>191</v>
      </c>
      <c r="D480" s="497"/>
      <c r="E480" s="495">
        <v>34.99</v>
      </c>
      <c r="F480" s="190">
        <f t="shared" si="58"/>
        <v>6683.09</v>
      </c>
      <c r="H480" s="486">
        <f t="shared" si="55"/>
        <v>4.053519679733533E-4</v>
      </c>
      <c r="I480" s="486">
        <f t="shared" si="56"/>
        <v>191</v>
      </c>
      <c r="J480" s="480"/>
      <c r="K480" s="487">
        <f t="shared" si="57"/>
        <v>2.5721634776741647E-3</v>
      </c>
      <c r="M480" s="82"/>
      <c r="N480" s="495"/>
      <c r="O480" s="480"/>
      <c r="P480" s="480"/>
    </row>
    <row r="481" spans="1:16" ht="12.75" thickBot="1">
      <c r="A481" s="48" t="s">
        <v>1277</v>
      </c>
      <c r="B481" s="2" t="s">
        <v>688</v>
      </c>
      <c r="C481" s="497">
        <v>2</v>
      </c>
      <c r="D481" s="497"/>
      <c r="E481" s="495">
        <v>18.279999999999998</v>
      </c>
      <c r="F481" s="190">
        <f t="shared" si="58"/>
        <v>36.559999999999995</v>
      </c>
      <c r="H481" s="486">
        <f t="shared" si="55"/>
        <v>2.2174874121260965E-6</v>
      </c>
      <c r="I481" s="486">
        <f t="shared" si="56"/>
        <v>2</v>
      </c>
      <c r="J481" s="480"/>
      <c r="K481" s="487">
        <f t="shared" si="57"/>
        <v>4.9234135713248934E-3</v>
      </c>
      <c r="M481" s="82"/>
      <c r="N481" s="495"/>
      <c r="O481" s="480"/>
      <c r="P481" s="480"/>
    </row>
    <row r="482" spans="1:16" ht="12.75" thickBot="1">
      <c r="A482" s="48" t="s">
        <v>1277</v>
      </c>
      <c r="B482" s="2" t="s">
        <v>341</v>
      </c>
      <c r="C482" s="497">
        <v>17</v>
      </c>
      <c r="D482" s="497"/>
      <c r="E482" s="495">
        <v>22.32</v>
      </c>
      <c r="F482" s="190">
        <f t="shared" si="58"/>
        <v>379.44</v>
      </c>
      <c r="H482" s="486">
        <f t="shared" si="55"/>
        <v>2.3014316839636925E-5</v>
      </c>
      <c r="I482" s="486">
        <f t="shared" si="56"/>
        <v>17</v>
      </c>
      <c r="J482" s="480"/>
      <c r="K482" s="487">
        <f t="shared" si="57"/>
        <v>4.0322580682714618E-3</v>
      </c>
      <c r="M482" s="82"/>
      <c r="N482" s="495"/>
      <c r="O482" s="480"/>
      <c r="P482" s="480"/>
    </row>
    <row r="483" spans="1:16" ht="12.75" thickBot="1">
      <c r="A483" s="48" t="s">
        <v>1277</v>
      </c>
      <c r="B483" s="2" t="s">
        <v>317</v>
      </c>
      <c r="C483" s="497">
        <v>6446</v>
      </c>
      <c r="D483" s="497"/>
      <c r="E483" s="495">
        <v>12.82</v>
      </c>
      <c r="F483" s="190">
        <f t="shared" si="58"/>
        <v>82637.72</v>
      </c>
      <c r="H483" s="486">
        <f t="shared" si="55"/>
        <v>5.0122566703173135E-3</v>
      </c>
      <c r="I483" s="486">
        <f t="shared" si="56"/>
        <v>6446</v>
      </c>
      <c r="J483" s="480"/>
      <c r="K483" s="487">
        <f t="shared" si="57"/>
        <v>7.0202808177705954E-3</v>
      </c>
      <c r="M483" s="82"/>
      <c r="N483" s="495"/>
      <c r="O483" s="480"/>
      <c r="P483" s="480"/>
    </row>
    <row r="484" spans="1:16" ht="12.75" thickBot="1">
      <c r="A484" s="48" t="s">
        <v>1277</v>
      </c>
      <c r="B484" s="135" t="s">
        <v>318</v>
      </c>
      <c r="C484" s="497">
        <v>9193</v>
      </c>
      <c r="D484" s="497"/>
      <c r="E484" s="495">
        <v>15.08</v>
      </c>
      <c r="F484" s="190">
        <f t="shared" si="58"/>
        <v>138630.44</v>
      </c>
      <c r="H484" s="486">
        <f t="shared" si="55"/>
        <v>8.4084041476340833E-3</v>
      </c>
      <c r="I484" s="486">
        <f t="shared" si="56"/>
        <v>9193</v>
      </c>
      <c r="J484" s="480"/>
      <c r="K484" s="487">
        <f t="shared" si="57"/>
        <v>5.9681697668315008E-3</v>
      </c>
      <c r="M484" s="82"/>
      <c r="N484" s="495"/>
      <c r="O484" s="480"/>
      <c r="P484" s="480"/>
    </row>
    <row r="485" spans="1:16" ht="12.75" thickBot="1">
      <c r="A485" s="48" t="s">
        <v>1277</v>
      </c>
      <c r="B485" s="2" t="s">
        <v>319</v>
      </c>
      <c r="C485" s="497">
        <v>5487</v>
      </c>
      <c r="D485" s="497"/>
      <c r="E485" s="495">
        <v>17.38</v>
      </c>
      <c r="F485" s="190">
        <f t="shared" si="58"/>
        <v>95364.06</v>
      </c>
      <c r="H485" s="486">
        <f t="shared" si="55"/>
        <v>5.7841521504167883E-3</v>
      </c>
      <c r="I485" s="486">
        <f t="shared" si="56"/>
        <v>5487</v>
      </c>
      <c r="J485" s="480"/>
      <c r="K485" s="487">
        <f t="shared" si="57"/>
        <v>5.1783659426823383E-3</v>
      </c>
      <c r="M485" s="82"/>
      <c r="N485" s="495"/>
      <c r="O485" s="480"/>
      <c r="P485" s="480"/>
    </row>
    <row r="486" spans="1:16" ht="12.75" thickBot="1">
      <c r="A486" s="48" t="s">
        <v>1277</v>
      </c>
      <c r="B486" s="2" t="s">
        <v>320</v>
      </c>
      <c r="C486" s="497">
        <v>409</v>
      </c>
      <c r="D486" s="497"/>
      <c r="E486" s="495">
        <v>13.77</v>
      </c>
      <c r="F486" s="190">
        <f t="shared" si="58"/>
        <v>5631.9299999999994</v>
      </c>
      <c r="H486" s="486">
        <f t="shared" si="55"/>
        <v>3.4159556567219164E-4</v>
      </c>
      <c r="I486" s="486">
        <f t="shared" si="56"/>
        <v>409</v>
      </c>
      <c r="J486" s="480"/>
      <c r="K486" s="487">
        <f t="shared" si="57"/>
        <v>6.5359477185053761E-3</v>
      </c>
      <c r="M486" s="82"/>
      <c r="N486" s="495"/>
      <c r="O486" s="480"/>
      <c r="P486" s="480"/>
    </row>
    <row r="487" spans="1:16" ht="12.75" thickBot="1">
      <c r="A487" s="48" t="s">
        <v>1277</v>
      </c>
      <c r="B487" s="2" t="s">
        <v>321</v>
      </c>
      <c r="C487" s="497">
        <v>12934</v>
      </c>
      <c r="D487" s="497"/>
      <c r="E487" s="495">
        <v>18.21</v>
      </c>
      <c r="F487" s="190">
        <f t="shared" si="58"/>
        <v>235528.14</v>
      </c>
      <c r="H487" s="486">
        <f t="shared" si="55"/>
        <v>1.4285576741014031E-2</v>
      </c>
      <c r="I487" s="486">
        <f t="shared" si="56"/>
        <v>12934</v>
      </c>
      <c r="J487" s="480"/>
      <c r="K487" s="487">
        <f t="shared" si="57"/>
        <v>4.9423393785732583E-3</v>
      </c>
      <c r="M487" s="82"/>
      <c r="N487" s="495"/>
      <c r="O487" s="480"/>
      <c r="P487" s="480"/>
    </row>
    <row r="488" spans="1:16" ht="12.75" thickBot="1">
      <c r="A488" s="48" t="s">
        <v>1277</v>
      </c>
      <c r="B488" s="2" t="s">
        <v>322</v>
      </c>
      <c r="C488" s="497">
        <v>3316</v>
      </c>
      <c r="D488" s="497"/>
      <c r="E488" s="495">
        <v>10.86</v>
      </c>
      <c r="F488" s="190">
        <f t="shared" si="58"/>
        <v>36011.759999999995</v>
      </c>
      <c r="H488" s="486">
        <f t="shared" si="55"/>
        <v>2.1842348054843014E-3</v>
      </c>
      <c r="I488" s="486">
        <f t="shared" si="56"/>
        <v>3316</v>
      </c>
      <c r="J488" s="480"/>
      <c r="K488" s="487">
        <f t="shared" si="57"/>
        <v>8.2872928253977015E-3</v>
      </c>
      <c r="M488" s="82"/>
      <c r="N488" s="495"/>
      <c r="O488" s="480"/>
      <c r="P488" s="480"/>
    </row>
    <row r="489" spans="1:16" ht="12.75" thickBot="1">
      <c r="A489" s="48" t="s">
        <v>1277</v>
      </c>
      <c r="B489" s="135" t="s">
        <v>323</v>
      </c>
      <c r="C489" s="497">
        <v>5</v>
      </c>
      <c r="D489" s="497"/>
      <c r="E489" s="495">
        <v>11.13</v>
      </c>
      <c r="F489" s="190">
        <f t="shared" si="58"/>
        <v>55.650000000000006</v>
      </c>
      <c r="H489" s="486">
        <f t="shared" si="55"/>
        <v>3.3753603524293568E-6</v>
      </c>
      <c r="I489" s="486">
        <f t="shared" si="56"/>
        <v>5</v>
      </c>
      <c r="J489" s="480"/>
      <c r="K489" s="487">
        <f t="shared" si="57"/>
        <v>8.0862533768031476E-3</v>
      </c>
      <c r="M489" s="82"/>
      <c r="N489" s="495"/>
      <c r="O489" s="480"/>
      <c r="P489" s="480"/>
    </row>
    <row r="490" spans="1:16" ht="12.75" thickBot="1">
      <c r="A490" s="48" t="s">
        <v>1277</v>
      </c>
      <c r="B490" s="2" t="s">
        <v>328</v>
      </c>
      <c r="C490" s="497">
        <v>23</v>
      </c>
      <c r="D490" s="497"/>
      <c r="E490" s="495">
        <v>12.79</v>
      </c>
      <c r="F490" s="190">
        <f t="shared" si="58"/>
        <v>294.16999999999996</v>
      </c>
      <c r="H490" s="486">
        <f t="shared" si="55"/>
        <v>1.7842403501781558E-5</v>
      </c>
      <c r="I490" s="486">
        <f t="shared" si="56"/>
        <v>23</v>
      </c>
      <c r="J490" s="480"/>
      <c r="K490" s="487">
        <f t="shared" si="57"/>
        <v>7.0367474655057887E-3</v>
      </c>
      <c r="M490" s="82"/>
      <c r="N490" s="495"/>
      <c r="O490" s="480"/>
      <c r="P490" s="480"/>
    </row>
    <row r="491" spans="1:16" ht="12.75" thickBot="1">
      <c r="A491" s="48" t="s">
        <v>1277</v>
      </c>
      <c r="B491" s="2" t="s">
        <v>329</v>
      </c>
      <c r="C491" s="497">
        <v>2</v>
      </c>
      <c r="D491" s="497"/>
      <c r="E491" s="495">
        <v>15.07</v>
      </c>
      <c r="F491" s="190">
        <f t="shared" si="58"/>
        <v>30.14</v>
      </c>
      <c r="H491" s="486">
        <f t="shared" si="55"/>
        <v>1.8280927407407153E-6</v>
      </c>
      <c r="I491" s="486">
        <f t="shared" si="56"/>
        <v>2</v>
      </c>
      <c r="J491" s="480"/>
      <c r="K491" s="487">
        <f t="shared" si="57"/>
        <v>5.9721300652832796E-3</v>
      </c>
      <c r="M491" s="82"/>
      <c r="N491" s="495"/>
      <c r="O491" s="480"/>
      <c r="P491" s="480"/>
    </row>
    <row r="492" spans="1:16" ht="12.75" thickBot="1">
      <c r="A492" s="48" t="s">
        <v>1277</v>
      </c>
      <c r="B492" s="2" t="s">
        <v>330</v>
      </c>
      <c r="C492" s="497">
        <v>432</v>
      </c>
      <c r="D492" s="497"/>
      <c r="E492" s="495">
        <v>18.68</v>
      </c>
      <c r="F492" s="190">
        <f t="shared" si="58"/>
        <v>8069.76</v>
      </c>
      <c r="H492" s="486">
        <f t="shared" si="55"/>
        <v>4.8945818432381534E-4</v>
      </c>
      <c r="I492" s="486">
        <f t="shared" si="56"/>
        <v>432</v>
      </c>
      <c r="J492" s="480"/>
      <c r="K492" s="487">
        <f t="shared" si="57"/>
        <v>4.8179871565213611E-3</v>
      </c>
      <c r="M492" s="82"/>
      <c r="N492" s="495"/>
      <c r="O492" s="480"/>
      <c r="P492" s="480"/>
    </row>
    <row r="493" spans="1:16" ht="12.75" thickBot="1">
      <c r="A493" s="48" t="s">
        <v>1277</v>
      </c>
      <c r="B493" s="2" t="s">
        <v>331</v>
      </c>
      <c r="C493" s="497">
        <v>54</v>
      </c>
      <c r="D493" s="497"/>
      <c r="E493" s="495">
        <v>20.970000000000002</v>
      </c>
      <c r="F493" s="190">
        <f t="shared" si="58"/>
        <v>1132.3800000000001</v>
      </c>
      <c r="H493" s="486">
        <f t="shared" si="55"/>
        <v>6.8682669467815905E-5</v>
      </c>
      <c r="I493" s="486">
        <f t="shared" si="56"/>
        <v>54</v>
      </c>
      <c r="J493" s="480"/>
      <c r="K493" s="487">
        <f t="shared" si="57"/>
        <v>4.2918454975593235E-3</v>
      </c>
      <c r="M493" s="82"/>
      <c r="N493" s="495"/>
      <c r="O493" s="480"/>
      <c r="P493" s="480"/>
    </row>
    <row r="494" spans="1:16" ht="12.75" thickBot="1">
      <c r="A494" s="48" t="s">
        <v>1277</v>
      </c>
      <c r="B494" s="2" t="s">
        <v>332</v>
      </c>
      <c r="C494" s="497">
        <v>2</v>
      </c>
      <c r="D494" s="497"/>
      <c r="E494" s="495">
        <v>28.42</v>
      </c>
      <c r="F494" s="190">
        <f t="shared" si="58"/>
        <v>56.84</v>
      </c>
      <c r="H494" s="486">
        <f t="shared" si="55"/>
        <v>3.4475378693995442E-6</v>
      </c>
      <c r="I494" s="486">
        <f t="shared" si="56"/>
        <v>2</v>
      </c>
      <c r="J494" s="480"/>
      <c r="K494" s="487">
        <f t="shared" si="57"/>
        <v>3.1667839579105923E-3</v>
      </c>
      <c r="M494" s="82"/>
      <c r="N494" s="495"/>
      <c r="O494" s="480"/>
      <c r="P494" s="480"/>
    </row>
    <row r="495" spans="1:16" ht="12.75" thickBot="1">
      <c r="A495" s="48" t="s">
        <v>1277</v>
      </c>
      <c r="B495" s="2" t="s">
        <v>333</v>
      </c>
      <c r="C495" s="497">
        <v>399</v>
      </c>
      <c r="D495" s="497"/>
      <c r="E495" s="495">
        <v>39.6</v>
      </c>
      <c r="F495" s="190">
        <f t="shared" si="58"/>
        <v>15800.400000000001</v>
      </c>
      <c r="H495" s="486">
        <f t="shared" si="55"/>
        <v>9.5834759591239551E-4</v>
      </c>
      <c r="I495" s="486">
        <f t="shared" si="56"/>
        <v>399</v>
      </c>
      <c r="J495" s="480"/>
      <c r="K495" s="487">
        <f t="shared" si="57"/>
        <v>2.272727274843915E-3</v>
      </c>
      <c r="M495" s="82"/>
      <c r="N495" s="495"/>
      <c r="O495" s="480"/>
      <c r="P495" s="480"/>
    </row>
    <row r="496" spans="1:16" ht="12.75" thickBot="1">
      <c r="A496" s="48" t="s">
        <v>1277</v>
      </c>
      <c r="B496" s="2" t="s">
        <v>334</v>
      </c>
      <c r="C496" s="497">
        <v>58</v>
      </c>
      <c r="D496" s="497"/>
      <c r="E496" s="495">
        <v>42.78</v>
      </c>
      <c r="F496" s="190">
        <f t="shared" si="58"/>
        <v>2481.2400000000002</v>
      </c>
      <c r="H496" s="486">
        <f t="shared" si="55"/>
        <v>1.5049558168664541E-4</v>
      </c>
      <c r="I496" s="486">
        <f t="shared" si="56"/>
        <v>58</v>
      </c>
      <c r="J496" s="480"/>
      <c r="K496" s="487">
        <f t="shared" si="57"/>
        <v>2.1037868182285889E-3</v>
      </c>
      <c r="M496" s="82"/>
      <c r="N496" s="495"/>
      <c r="O496" s="480"/>
      <c r="P496" s="480"/>
    </row>
    <row r="497" spans="1:16" ht="12.75" thickBot="1">
      <c r="A497" s="48" t="s">
        <v>1277</v>
      </c>
      <c r="B497" s="2" t="s">
        <v>620</v>
      </c>
      <c r="C497" s="497">
        <v>18</v>
      </c>
      <c r="D497" s="497"/>
      <c r="E497" s="495">
        <v>23.83</v>
      </c>
      <c r="F497" s="190">
        <f t="shared" ref="F497:F501" si="59">C497*E497</f>
        <v>428.93999999999994</v>
      </c>
      <c r="H497" s="486">
        <f t="shared" si="55"/>
        <v>2.6016658932094303E-5</v>
      </c>
      <c r="I497" s="486">
        <f t="shared" si="56"/>
        <v>18</v>
      </c>
      <c r="J497" s="480"/>
      <c r="K497" s="487">
        <f t="shared" si="57"/>
        <v>3.7767519968031488E-3</v>
      </c>
      <c r="M497" s="82"/>
      <c r="N497" s="495"/>
      <c r="O497" s="480"/>
      <c r="P497" s="480"/>
    </row>
    <row r="498" spans="1:16" ht="12.75" thickBot="1">
      <c r="A498" s="48" t="s">
        <v>1277</v>
      </c>
      <c r="B498" s="135" t="s">
        <v>360</v>
      </c>
      <c r="C498" s="497">
        <v>4</v>
      </c>
      <c r="D498" s="497"/>
      <c r="E498" s="495">
        <v>20.46</v>
      </c>
      <c r="F498" s="190">
        <f t="shared" si="59"/>
        <v>81.84</v>
      </c>
      <c r="H498" s="486">
        <f t="shared" ref="H498:H501" si="60">F498/$M$438*$M$439</f>
        <v>4.9638722595295331E-6</v>
      </c>
      <c r="I498" s="486">
        <f t="shared" ref="I498:I501" si="61">ROUND((F498+H498)/E498,0)</f>
        <v>4</v>
      </c>
      <c r="J498" s="480"/>
      <c r="K498" s="487">
        <f t="shared" ref="K498:K501" si="62">$M$439/E498</f>
        <v>4.3988269835688676E-3</v>
      </c>
      <c r="M498" s="82"/>
      <c r="N498" s="495"/>
      <c r="O498" s="480"/>
      <c r="P498" s="480"/>
    </row>
    <row r="499" spans="1:16" ht="12.75" thickBot="1">
      <c r="A499" s="48" t="s">
        <v>1277</v>
      </c>
      <c r="B499" s="2" t="s">
        <v>335</v>
      </c>
      <c r="C499" s="497">
        <v>43</v>
      </c>
      <c r="D499" s="497"/>
      <c r="E499" s="495">
        <v>30.21</v>
      </c>
      <c r="F499" s="190">
        <f t="shared" si="59"/>
        <v>1299.03</v>
      </c>
      <c r="H499" s="486">
        <f t="shared" si="60"/>
        <v>7.8790554512422412E-5</v>
      </c>
      <c r="I499" s="486">
        <f t="shared" si="61"/>
        <v>43</v>
      </c>
      <c r="J499" s="480"/>
      <c r="K499" s="487">
        <f t="shared" si="62"/>
        <v>2.9791459809274754E-3</v>
      </c>
      <c r="M499" s="82"/>
      <c r="N499" s="495"/>
      <c r="O499" s="480"/>
      <c r="P499" s="480"/>
    </row>
    <row r="500" spans="1:16" ht="12.75" thickBot="1">
      <c r="A500" s="48" t="s">
        <v>1277</v>
      </c>
      <c r="B500" s="2" t="s">
        <v>336</v>
      </c>
      <c r="C500" s="497">
        <v>2</v>
      </c>
      <c r="D500" s="497"/>
      <c r="E500" s="495">
        <v>42.56</v>
      </c>
      <c r="F500" s="190">
        <f t="shared" si="59"/>
        <v>85.12</v>
      </c>
      <c r="H500" s="486">
        <f t="shared" si="60"/>
        <v>5.1628153315145884E-6</v>
      </c>
      <c r="I500" s="486">
        <f t="shared" si="61"/>
        <v>2</v>
      </c>
      <c r="J500" s="480"/>
      <c r="K500" s="487">
        <f t="shared" si="62"/>
        <v>2.1146616561047702E-3</v>
      </c>
      <c r="M500" s="82"/>
      <c r="N500" s="495"/>
      <c r="O500" s="480"/>
      <c r="P500" s="480"/>
    </row>
    <row r="501" spans="1:16" ht="12.75" thickBot="1">
      <c r="A501" s="48" t="s">
        <v>1277</v>
      </c>
      <c r="B501" s="2" t="s">
        <v>337</v>
      </c>
      <c r="C501" s="497">
        <v>13</v>
      </c>
      <c r="D501" s="497"/>
      <c r="E501" s="495">
        <v>52.31</v>
      </c>
      <c r="F501" s="190">
        <f t="shared" si="59"/>
        <v>680.03</v>
      </c>
      <c r="H501" s="486">
        <f t="shared" si="60"/>
        <v>4.1246115012803871E-5</v>
      </c>
      <c r="I501" s="486">
        <f t="shared" si="61"/>
        <v>13</v>
      </c>
      <c r="J501" s="480"/>
      <c r="K501" s="487">
        <f t="shared" si="62"/>
        <v>1.7205123319407193E-3</v>
      </c>
      <c r="M501" s="82"/>
      <c r="N501" s="495"/>
      <c r="O501" s="480"/>
      <c r="P501" s="480"/>
    </row>
    <row r="502" spans="1:16" ht="12.75" thickBot="1">
      <c r="A502" s="48" t="s">
        <v>1277</v>
      </c>
      <c r="B502" s="2"/>
      <c r="C502" s="497"/>
      <c r="D502" s="497"/>
      <c r="E502" s="497"/>
      <c r="F502" s="480"/>
      <c r="H502" s="495"/>
      <c r="I502" s="495"/>
      <c r="J502" s="495"/>
      <c r="K502" s="480"/>
      <c r="M502" s="82"/>
      <c r="N502" s="495"/>
      <c r="O502" s="480"/>
      <c r="P502" s="480"/>
    </row>
    <row r="503" spans="1:16" ht="12.75" thickBot="1">
      <c r="A503" s="48" t="s">
        <v>1277</v>
      </c>
      <c r="B503" s="50"/>
      <c r="C503" s="79"/>
      <c r="D503" s="79"/>
      <c r="E503" s="79"/>
      <c r="F503" s="80"/>
      <c r="H503" s="80"/>
      <c r="I503" s="80"/>
      <c r="J503" s="80"/>
      <c r="K503" s="80"/>
      <c r="M503" s="82"/>
      <c r="N503" s="495"/>
      <c r="O503" s="480"/>
      <c r="P503" s="480"/>
    </row>
    <row r="504" spans="1:16" ht="12.75" thickBot="1">
      <c r="A504" s="48" t="s">
        <v>1278</v>
      </c>
      <c r="B504" s="2" t="s">
        <v>342</v>
      </c>
      <c r="C504" s="497">
        <v>75</v>
      </c>
      <c r="D504" s="497"/>
      <c r="E504" s="495">
        <v>8.14</v>
      </c>
      <c r="F504" s="190">
        <f t="shared" ref="F504:F535" si="63">C504*E504</f>
        <v>610.5</v>
      </c>
      <c r="H504" s="486">
        <f>F504/$M$509*$M$510</f>
        <v>-2.0616147751820145E-5</v>
      </c>
      <c r="I504" s="486">
        <f>ROUND((F504+H504)/E504,0)</f>
        <v>75</v>
      </c>
      <c r="J504" s="480"/>
      <c r="K504" s="487">
        <f>$M$510/E504</f>
        <v>-6.142506148226797E-3</v>
      </c>
      <c r="M504" s="488">
        <f>'12MonLights'!$K$587</f>
        <v>1547380</v>
      </c>
      <c r="N504" s="480" t="s">
        <v>1304</v>
      </c>
      <c r="O504" s="480"/>
      <c r="P504" s="480"/>
    </row>
    <row r="505" spans="1:16" ht="12.75" thickBot="1">
      <c r="A505" s="48" t="s">
        <v>1278</v>
      </c>
      <c r="B505" s="2" t="s">
        <v>213</v>
      </c>
      <c r="C505" s="497">
        <v>3647</v>
      </c>
      <c r="D505" s="497"/>
      <c r="E505" s="495">
        <v>10.959999999999999</v>
      </c>
      <c r="F505" s="190">
        <f t="shared" si="63"/>
        <v>39971.119999999995</v>
      </c>
      <c r="H505" s="486">
        <f t="shared" ref="H505:H568" si="64">F505/$M$509*$M$510</f>
        <v>-1.3497960945548456E-3</v>
      </c>
      <c r="I505" s="486">
        <f t="shared" ref="I505:I568" si="65">ROUND((F505+H505)/E505,0)</f>
        <v>3647</v>
      </c>
      <c r="J505" s="480"/>
      <c r="K505" s="487">
        <f t="shared" ref="K505:K568" si="66">$M$510/E505</f>
        <v>-4.5620437998691726E-3</v>
      </c>
      <c r="M505" s="488">
        <f>-M517</f>
        <v>-39211.81</v>
      </c>
      <c r="N505" s="489" t="s">
        <v>1306</v>
      </c>
      <c r="O505" s="480"/>
      <c r="P505" s="480"/>
    </row>
    <row r="506" spans="1:16" ht="12.75" thickBot="1">
      <c r="A506" s="48" t="s">
        <v>1278</v>
      </c>
      <c r="B506" s="2" t="s">
        <v>214</v>
      </c>
      <c r="C506" s="497">
        <v>3672</v>
      </c>
      <c r="D506" s="497"/>
      <c r="E506" s="495">
        <v>13.510000000000002</v>
      </c>
      <c r="F506" s="190">
        <f t="shared" si="63"/>
        <v>49608.720000000008</v>
      </c>
      <c r="H506" s="486">
        <f t="shared" si="64"/>
        <v>-1.6752509439781744E-3</v>
      </c>
      <c r="I506" s="486">
        <f t="shared" si="65"/>
        <v>3672</v>
      </c>
      <c r="J506" s="480"/>
      <c r="K506" s="487">
        <f t="shared" si="66"/>
        <v>-3.7009622536318372E-3</v>
      </c>
      <c r="M506" s="490">
        <f>M504+M505</f>
        <v>1508168.19</v>
      </c>
      <c r="N506" s="491" t="s">
        <v>1307</v>
      </c>
      <c r="O506" s="480"/>
      <c r="P506" s="480"/>
    </row>
    <row r="507" spans="1:16" ht="12.75" thickBot="1">
      <c r="A507" s="48" t="s">
        <v>1278</v>
      </c>
      <c r="B507" s="2" t="s">
        <v>215</v>
      </c>
      <c r="C507" s="497">
        <v>92</v>
      </c>
      <c r="D507" s="497"/>
      <c r="E507" s="495">
        <v>12.450000000000001</v>
      </c>
      <c r="F507" s="190">
        <f t="shared" si="63"/>
        <v>1145.4000000000001</v>
      </c>
      <c r="H507" s="486">
        <f t="shared" si="64"/>
        <v>-3.867933764936085E-5</v>
      </c>
      <c r="I507" s="486">
        <f t="shared" si="65"/>
        <v>92</v>
      </c>
      <c r="J507" s="480"/>
      <c r="K507" s="487">
        <f t="shared" si="66"/>
        <v>-4.0160642607683632E-3</v>
      </c>
      <c r="M507" s="490">
        <f>'1051'!$K$206</f>
        <v>27532.750000000004</v>
      </c>
      <c r="N507" s="492" t="s">
        <v>1308</v>
      </c>
      <c r="O507" s="480"/>
      <c r="P507" s="480"/>
    </row>
    <row r="508" spans="1:16" ht="12.75" thickBot="1">
      <c r="A508" s="48" t="s">
        <v>1278</v>
      </c>
      <c r="B508" s="2" t="s">
        <v>216</v>
      </c>
      <c r="C508" s="497">
        <v>727</v>
      </c>
      <c r="D508" s="497"/>
      <c r="E508" s="495">
        <v>15.54</v>
      </c>
      <c r="F508" s="190">
        <f t="shared" si="63"/>
        <v>11297.58</v>
      </c>
      <c r="H508" s="486">
        <f t="shared" si="64"/>
        <v>-3.8151118512368262E-4</v>
      </c>
      <c r="I508" s="486">
        <f t="shared" si="65"/>
        <v>727</v>
      </c>
      <c r="J508" s="480"/>
      <c r="K508" s="487">
        <f t="shared" si="66"/>
        <v>-3.2175032204997509E-3</v>
      </c>
      <c r="M508" s="490">
        <f>M506-M507</f>
        <v>1480635.44</v>
      </c>
      <c r="N508" s="492" t="s">
        <v>1309</v>
      </c>
      <c r="O508" s="480"/>
      <c r="P508" s="480"/>
    </row>
    <row r="509" spans="1:16" ht="12.75" thickBot="1">
      <c r="A509" s="48" t="s">
        <v>1278</v>
      </c>
      <c r="B509" s="2" t="s">
        <v>217</v>
      </c>
      <c r="C509" s="497">
        <v>1389</v>
      </c>
      <c r="D509" s="497"/>
      <c r="E509" s="495">
        <v>14.24</v>
      </c>
      <c r="F509" s="190">
        <f t="shared" si="63"/>
        <v>19779.36</v>
      </c>
      <c r="H509" s="486">
        <f t="shared" si="64"/>
        <v>-6.6793482096059184E-4</v>
      </c>
      <c r="I509" s="486">
        <f t="shared" si="65"/>
        <v>1389</v>
      </c>
      <c r="J509" s="480"/>
      <c r="K509" s="487">
        <f t="shared" si="66"/>
        <v>-3.5112359583262731E-3</v>
      </c>
      <c r="M509" s="490">
        <f>SUM(F504:F572)</f>
        <v>1480635.49</v>
      </c>
      <c r="N509" s="491" t="s">
        <v>1323</v>
      </c>
      <c r="O509" s="480"/>
      <c r="P509" s="480"/>
    </row>
    <row r="510" spans="1:16" ht="12.75" thickBot="1">
      <c r="A510" s="48" t="s">
        <v>1278</v>
      </c>
      <c r="B510" s="2" t="s">
        <v>344</v>
      </c>
      <c r="C510" s="497">
        <v>42</v>
      </c>
      <c r="D510" s="497"/>
      <c r="E510" s="495">
        <v>27.69</v>
      </c>
      <c r="F510" s="190">
        <f t="shared" si="63"/>
        <v>1162.98</v>
      </c>
      <c r="H510" s="486">
        <f t="shared" si="64"/>
        <v>-3.9273001658332178E-5</v>
      </c>
      <c r="I510" s="486">
        <f t="shared" si="65"/>
        <v>42</v>
      </c>
      <c r="J510" s="480"/>
      <c r="K510" s="487">
        <f t="shared" si="66"/>
        <v>-1.8057060327398384E-3</v>
      </c>
      <c r="M510" s="490">
        <f>M508-M509</f>
        <v>-5.0000000046566129E-2</v>
      </c>
      <c r="N510" s="492"/>
      <c r="O510" s="480"/>
      <c r="P510" s="480"/>
    </row>
    <row r="511" spans="1:16" ht="12.75" thickBot="1">
      <c r="A511" s="48" t="s">
        <v>1278</v>
      </c>
      <c r="B511" s="135" t="s">
        <v>218</v>
      </c>
      <c r="C511" s="497">
        <v>325</v>
      </c>
      <c r="D511" s="497"/>
      <c r="E511" s="495">
        <v>28.89</v>
      </c>
      <c r="F511" s="190">
        <f t="shared" si="63"/>
        <v>9389.25</v>
      </c>
      <c r="H511" s="486">
        <f t="shared" si="64"/>
        <v>-3.1706824779488503E-4</v>
      </c>
      <c r="I511" s="486">
        <f t="shared" si="65"/>
        <v>325</v>
      </c>
      <c r="J511" s="480"/>
      <c r="K511" s="487">
        <f t="shared" si="66"/>
        <v>-1.7307026668939469E-3</v>
      </c>
      <c r="M511" s="490"/>
      <c r="N511" s="492"/>
      <c r="O511" s="480"/>
      <c r="P511" s="480"/>
    </row>
    <row r="512" spans="1:16" ht="12.75" thickBot="1">
      <c r="A512" s="48" t="s">
        <v>1278</v>
      </c>
      <c r="B512" s="2" t="s">
        <v>223</v>
      </c>
      <c r="C512" s="497">
        <v>3903</v>
      </c>
      <c r="D512" s="497"/>
      <c r="E512" s="495">
        <v>9.57</v>
      </c>
      <c r="F512" s="190">
        <f t="shared" si="63"/>
        <v>37351.71</v>
      </c>
      <c r="H512" s="486">
        <f t="shared" si="64"/>
        <v>-1.2613404949109552E-3</v>
      </c>
      <c r="I512" s="486">
        <f t="shared" si="65"/>
        <v>3903</v>
      </c>
      <c r="J512" s="480"/>
      <c r="K512" s="487">
        <f t="shared" si="66"/>
        <v>-5.2246604019400341E-3</v>
      </c>
      <c r="M512" s="490"/>
      <c r="N512" s="492"/>
      <c r="O512" s="480"/>
      <c r="P512" s="480"/>
    </row>
    <row r="513" spans="1:22" ht="12.75" thickBot="1">
      <c r="A513" s="48" t="s">
        <v>1278</v>
      </c>
      <c r="B513" s="2" t="s">
        <v>231</v>
      </c>
      <c r="C513" s="497">
        <v>2019</v>
      </c>
      <c r="D513" s="497"/>
      <c r="E513" s="495">
        <v>27.34</v>
      </c>
      <c r="F513" s="190">
        <f t="shared" si="63"/>
        <v>55199.46</v>
      </c>
      <c r="H513" s="486">
        <f t="shared" si="64"/>
        <v>-1.8640462296161935E-3</v>
      </c>
      <c r="I513" s="486">
        <f t="shared" si="65"/>
        <v>2019</v>
      </c>
      <c r="J513" s="480"/>
      <c r="K513" s="487">
        <f t="shared" si="66"/>
        <v>-1.8288222401816434E-3</v>
      </c>
      <c r="M513" s="493"/>
      <c r="N513" s="492"/>
      <c r="O513" s="480"/>
      <c r="P513" s="480"/>
    </row>
    <row r="514" spans="1:22" ht="12.75" thickBot="1">
      <c r="A514" s="48" t="s">
        <v>1278</v>
      </c>
      <c r="B514" s="2" t="s">
        <v>232</v>
      </c>
      <c r="C514" s="497">
        <f>2266-3</f>
        <v>2263</v>
      </c>
      <c r="D514" s="497"/>
      <c r="E514" s="495">
        <v>31.4</v>
      </c>
      <c r="F514" s="190">
        <f t="shared" si="63"/>
        <v>71058.2</v>
      </c>
      <c r="H514" s="486">
        <f t="shared" si="64"/>
        <v>-2.3995845211767183E-3</v>
      </c>
      <c r="I514" s="486">
        <f t="shared" si="65"/>
        <v>2263</v>
      </c>
      <c r="J514" s="480"/>
      <c r="K514" s="487">
        <f t="shared" si="66"/>
        <v>-1.592356689381087E-3</v>
      </c>
      <c r="M514" s="492"/>
      <c r="N514" s="494"/>
      <c r="O514" s="480"/>
      <c r="P514" s="480"/>
    </row>
    <row r="515" spans="1:22" ht="12.75" thickBot="1">
      <c r="A515" s="48" t="s">
        <v>1278</v>
      </c>
      <c r="B515" s="2" t="s">
        <v>234</v>
      </c>
      <c r="C515" s="497">
        <v>16754</v>
      </c>
      <c r="D515" s="497"/>
      <c r="E515" s="495">
        <v>17.189999999999998</v>
      </c>
      <c r="F515" s="190">
        <f t="shared" si="63"/>
        <v>288001.25999999995</v>
      </c>
      <c r="H515" s="486">
        <f t="shared" si="64"/>
        <v>-9.7255962798859438E-3</v>
      </c>
      <c r="I515" s="486">
        <f t="shared" si="65"/>
        <v>16754</v>
      </c>
      <c r="J515" s="480"/>
      <c r="K515" s="487">
        <f t="shared" si="66"/>
        <v>-2.9086678328427073E-3</v>
      </c>
      <c r="M515" s="492">
        <f>'12MonResults'!$AD$298</f>
        <v>16727.27</v>
      </c>
      <c r="N515" s="494" t="s">
        <v>17</v>
      </c>
      <c r="O515" s="480" t="s">
        <v>1311</v>
      </c>
      <c r="P515" s="480"/>
    </row>
    <row r="516" spans="1:22" ht="12.75" thickBot="1">
      <c r="A516" s="48" t="s">
        <v>1278</v>
      </c>
      <c r="B516" s="2" t="s">
        <v>353</v>
      </c>
      <c r="C516" s="497">
        <v>517</v>
      </c>
      <c r="D516" s="497"/>
      <c r="E516" s="495">
        <v>24.89</v>
      </c>
      <c r="F516" s="190">
        <f t="shared" si="63"/>
        <v>12868.130000000001</v>
      </c>
      <c r="H516" s="486">
        <f t="shared" si="64"/>
        <v>-4.3454753377498675E-4</v>
      </c>
      <c r="I516" s="486">
        <f t="shared" si="65"/>
        <v>517</v>
      </c>
      <c r="J516" s="480"/>
      <c r="K516" s="487">
        <f t="shared" si="66"/>
        <v>-2.0088388929918092E-3</v>
      </c>
      <c r="M516" s="492">
        <f>'12MonResults'!$AD$300</f>
        <v>22484.54</v>
      </c>
      <c r="N516" s="494" t="s">
        <v>18</v>
      </c>
      <c r="O516" s="480"/>
      <c r="P516" s="480"/>
    </row>
    <row r="517" spans="1:22" ht="12.75" thickBot="1">
      <c r="A517" s="48" t="s">
        <v>1278</v>
      </c>
      <c r="B517" s="135" t="s">
        <v>235</v>
      </c>
      <c r="C517" s="497">
        <v>1286</v>
      </c>
      <c r="D517" s="497"/>
      <c r="E517" s="495">
        <v>14.17</v>
      </c>
      <c r="F517" s="190">
        <f t="shared" si="63"/>
        <v>18222.62</v>
      </c>
      <c r="H517" s="486">
        <f t="shared" si="64"/>
        <v>-6.1536482611838309E-4</v>
      </c>
      <c r="I517" s="486">
        <f t="shared" si="65"/>
        <v>1286</v>
      </c>
      <c r="J517" s="480"/>
      <c r="K517" s="487">
        <f t="shared" si="66"/>
        <v>-3.5285815135191342E-3</v>
      </c>
      <c r="M517" s="492">
        <f>M515+M516</f>
        <v>39211.81</v>
      </c>
      <c r="N517" s="494"/>
      <c r="O517" s="480"/>
      <c r="P517" s="480"/>
    </row>
    <row r="518" spans="1:22" ht="12.75" thickBot="1">
      <c r="A518" s="48" t="s">
        <v>1278</v>
      </c>
      <c r="B518" s="2" t="s">
        <v>236</v>
      </c>
      <c r="C518" s="497">
        <v>2246</v>
      </c>
      <c r="D518" s="497"/>
      <c r="E518" s="495">
        <v>22.15</v>
      </c>
      <c r="F518" s="190">
        <f t="shared" si="63"/>
        <v>49748.899999999994</v>
      </c>
      <c r="H518" s="486">
        <f t="shared" si="64"/>
        <v>-1.6799847221794027E-3</v>
      </c>
      <c r="I518" s="486">
        <f t="shared" si="65"/>
        <v>2246</v>
      </c>
      <c r="J518" s="480"/>
      <c r="K518" s="487">
        <f t="shared" si="66"/>
        <v>-2.2573363452174327E-3</v>
      </c>
      <c r="M518" s="82"/>
      <c r="N518" s="495"/>
      <c r="O518" s="480"/>
      <c r="P518" s="480"/>
    </row>
    <row r="519" spans="1:22" ht="12.75" thickBot="1">
      <c r="A519" s="48" t="s">
        <v>1278</v>
      </c>
      <c r="B519" s="2" t="s">
        <v>354</v>
      </c>
      <c r="C519" s="497">
        <v>17</v>
      </c>
      <c r="D519" s="497"/>
      <c r="E519" s="495">
        <v>72.550000000000011</v>
      </c>
      <c r="F519" s="190">
        <f t="shared" si="63"/>
        <v>1233.3500000000001</v>
      </c>
      <c r="H519" s="486">
        <f t="shared" si="64"/>
        <v>-4.1649346158406851E-5</v>
      </c>
      <c r="I519" s="486">
        <f t="shared" si="65"/>
        <v>17</v>
      </c>
      <c r="J519" s="480"/>
      <c r="K519" s="487">
        <f t="shared" si="66"/>
        <v>-6.8917987658947098E-4</v>
      </c>
      <c r="M519" s="82"/>
      <c r="N519" s="495"/>
      <c r="O519" s="480"/>
      <c r="P519" s="480"/>
      <c r="R519" s="54"/>
      <c r="S519" s="54"/>
      <c r="T519" s="54"/>
      <c r="U519" s="54"/>
      <c r="V519" s="54"/>
    </row>
    <row r="520" spans="1:22" ht="12.75" thickBot="1">
      <c r="A520" s="48" t="s">
        <v>1278</v>
      </c>
      <c r="B520" s="2" t="s">
        <v>355</v>
      </c>
      <c r="C520" s="497">
        <v>11</v>
      </c>
      <c r="D520" s="497"/>
      <c r="E520" s="495">
        <v>41.43</v>
      </c>
      <c r="F520" s="190">
        <f t="shared" si="63"/>
        <v>455.73</v>
      </c>
      <c r="H520" s="486">
        <f t="shared" si="64"/>
        <v>-1.53896757001425E-5</v>
      </c>
      <c r="I520" s="486">
        <f t="shared" si="65"/>
        <v>11</v>
      </c>
      <c r="J520" s="480"/>
      <c r="K520" s="487">
        <f t="shared" si="66"/>
        <v>-1.2068549371606597E-3</v>
      </c>
      <c r="M520" s="82"/>
      <c r="N520" s="495"/>
      <c r="O520" s="480"/>
      <c r="P520" s="480"/>
      <c r="R520" s="54"/>
      <c r="S520" s="54"/>
      <c r="T520" s="54"/>
      <c r="U520" s="54"/>
      <c r="V520" s="54"/>
    </row>
    <row r="521" spans="1:22" ht="12.75" thickBot="1">
      <c r="A521" s="48" t="s">
        <v>1278</v>
      </c>
      <c r="B521" s="2" t="s">
        <v>359</v>
      </c>
      <c r="C521" s="497">
        <v>45</v>
      </c>
      <c r="D521" s="497"/>
      <c r="E521" s="495">
        <v>19.38</v>
      </c>
      <c r="F521" s="190">
        <f t="shared" si="63"/>
        <v>872.09999999999991</v>
      </c>
      <c r="H521" s="486">
        <f t="shared" si="64"/>
        <v>-2.9450192390437915E-5</v>
      </c>
      <c r="I521" s="486">
        <f t="shared" si="65"/>
        <v>45</v>
      </c>
      <c r="J521" s="480"/>
      <c r="K521" s="487">
        <f t="shared" si="66"/>
        <v>-2.5799793625679119E-3</v>
      </c>
      <c r="M521" s="82"/>
      <c r="N521" s="495"/>
      <c r="O521" s="480"/>
      <c r="P521" s="480"/>
      <c r="R521" s="54"/>
      <c r="S521" s="54"/>
      <c r="T521" s="54"/>
      <c r="U521" s="54"/>
      <c r="V521" s="54"/>
    </row>
    <row r="522" spans="1:22" ht="12.75" thickBot="1">
      <c r="A522" s="48" t="s">
        <v>1278</v>
      </c>
      <c r="B522" s="2" t="s">
        <v>356</v>
      </c>
      <c r="C522" s="497">
        <v>239</v>
      </c>
      <c r="D522" s="497"/>
      <c r="E522" s="495">
        <v>20.349999999999998</v>
      </c>
      <c r="F522" s="190">
        <f t="shared" si="63"/>
        <v>4863.6499999999996</v>
      </c>
      <c r="H522" s="486">
        <f t="shared" si="64"/>
        <v>-1.6424197708950051E-4</v>
      </c>
      <c r="I522" s="486">
        <f t="shared" si="65"/>
        <v>239</v>
      </c>
      <c r="J522" s="480"/>
      <c r="K522" s="487">
        <f t="shared" si="66"/>
        <v>-2.457002459290719E-3</v>
      </c>
      <c r="M522" s="82"/>
      <c r="N522" s="495"/>
      <c r="O522" s="480"/>
      <c r="P522" s="480"/>
      <c r="R522" s="54"/>
      <c r="S522" s="54"/>
      <c r="T522" s="54"/>
      <c r="U522" s="54"/>
      <c r="V522" s="54"/>
    </row>
    <row r="523" spans="1:22" ht="12.75" thickBot="1">
      <c r="A523" s="48" t="s">
        <v>1278</v>
      </c>
      <c r="B523" s="135" t="s">
        <v>357</v>
      </c>
      <c r="C523" s="497">
        <v>104</v>
      </c>
      <c r="D523" s="497"/>
      <c r="E523" s="495">
        <v>19.53</v>
      </c>
      <c r="F523" s="190">
        <f t="shared" si="63"/>
        <v>2031.1200000000001</v>
      </c>
      <c r="H523" s="486">
        <f t="shared" si="64"/>
        <v>-6.8589467684974505E-5</v>
      </c>
      <c r="I523" s="486">
        <f t="shared" si="65"/>
        <v>104</v>
      </c>
      <c r="J523" s="480"/>
      <c r="K523" s="487">
        <f t="shared" si="66"/>
        <v>-2.5601638528707695E-3</v>
      </c>
      <c r="M523" s="82"/>
      <c r="N523" s="495"/>
      <c r="O523" s="480"/>
      <c r="P523" s="480"/>
      <c r="R523" s="54"/>
      <c r="S523" s="54"/>
      <c r="T523" s="54"/>
      <c r="U523" s="54"/>
      <c r="V523" s="54"/>
    </row>
    <row r="524" spans="1:22" ht="12.75" thickBot="1">
      <c r="A524" s="48" t="s">
        <v>1278</v>
      </c>
      <c r="B524" s="2" t="s">
        <v>358</v>
      </c>
      <c r="C524" s="497">
        <v>80</v>
      </c>
      <c r="D524" s="497"/>
      <c r="E524" s="495">
        <v>20.819999999999997</v>
      </c>
      <c r="F524" s="190">
        <f t="shared" si="63"/>
        <v>1665.5999999999997</v>
      </c>
      <c r="H524" s="486">
        <f t="shared" si="64"/>
        <v>-5.6246119075236084E-5</v>
      </c>
      <c r="I524" s="486">
        <f t="shared" si="65"/>
        <v>80</v>
      </c>
      <c r="J524" s="480"/>
      <c r="K524" s="487">
        <f t="shared" si="66"/>
        <v>-2.4015369859061546E-3</v>
      </c>
      <c r="M524" s="82"/>
      <c r="N524" s="495"/>
      <c r="O524" s="480"/>
      <c r="P524" s="480"/>
      <c r="R524" s="54"/>
      <c r="S524" s="54"/>
      <c r="T524" s="54"/>
      <c r="U524" s="54"/>
      <c r="V524" s="54"/>
    </row>
    <row r="525" spans="1:22" ht="12.75" thickBot="1">
      <c r="A525" s="48" t="s">
        <v>1278</v>
      </c>
      <c r="B525" s="2" t="s">
        <v>250</v>
      </c>
      <c r="C525" s="497">
        <v>506</v>
      </c>
      <c r="D525" s="497"/>
      <c r="E525" s="495">
        <v>19.2</v>
      </c>
      <c r="F525" s="190">
        <f t="shared" si="63"/>
        <v>9715.1999999999989</v>
      </c>
      <c r="H525" s="486">
        <f t="shared" si="64"/>
        <v>-3.280753458451811E-4</v>
      </c>
      <c r="I525" s="486">
        <f t="shared" si="65"/>
        <v>506</v>
      </c>
      <c r="J525" s="480"/>
      <c r="K525" s="487">
        <f t="shared" si="66"/>
        <v>-2.604166669091986E-3</v>
      </c>
      <c r="M525" s="82"/>
      <c r="N525" s="495"/>
      <c r="O525" s="480"/>
      <c r="P525" s="480"/>
      <c r="R525" s="54"/>
      <c r="S525" s="54"/>
      <c r="T525" s="54"/>
      <c r="U525" s="54"/>
      <c r="V525" s="54"/>
    </row>
    <row r="526" spans="1:22" ht="12.75" thickBot="1">
      <c r="A526" s="48" t="s">
        <v>1278</v>
      </c>
      <c r="B526" s="2" t="s">
        <v>251</v>
      </c>
      <c r="C526" s="497">
        <v>497</v>
      </c>
      <c r="D526" s="497"/>
      <c r="E526" s="495">
        <v>22.949999999999996</v>
      </c>
      <c r="F526" s="190">
        <f t="shared" si="63"/>
        <v>11406.149999999998</v>
      </c>
      <c r="H526" s="486">
        <f t="shared" si="64"/>
        <v>-3.8517751626441165E-4</v>
      </c>
      <c r="I526" s="486">
        <f t="shared" si="65"/>
        <v>497</v>
      </c>
      <c r="J526" s="480"/>
      <c r="K526" s="487">
        <f t="shared" si="66"/>
        <v>-2.1786492395017925E-3</v>
      </c>
      <c r="M526" s="82"/>
      <c r="N526" s="495"/>
      <c r="O526" s="480"/>
      <c r="P526" s="480"/>
      <c r="R526" s="54"/>
      <c r="S526" s="54"/>
      <c r="T526" s="54"/>
      <c r="U526" s="54"/>
      <c r="V526" s="54"/>
    </row>
    <row r="527" spans="1:22" ht="12.75" thickBot="1">
      <c r="A527" s="48" t="s">
        <v>1278</v>
      </c>
      <c r="B527" s="2" t="s">
        <v>254</v>
      </c>
      <c r="C527" s="497">
        <v>53</v>
      </c>
      <c r="D527" s="497"/>
      <c r="E527" s="495">
        <v>17.419999999999998</v>
      </c>
      <c r="F527" s="190">
        <f t="shared" si="63"/>
        <v>923.25999999999988</v>
      </c>
      <c r="H527" s="486">
        <f t="shared" si="64"/>
        <v>-3.1177828948968824E-5</v>
      </c>
      <c r="I527" s="486">
        <f t="shared" si="65"/>
        <v>53</v>
      </c>
      <c r="J527" s="480"/>
      <c r="K527" s="487">
        <f t="shared" si="66"/>
        <v>-2.8702640669670569E-3</v>
      </c>
      <c r="M527" s="82"/>
      <c r="N527" s="495"/>
      <c r="O527" s="480"/>
      <c r="P527" s="480"/>
      <c r="R527" s="54"/>
      <c r="S527" s="54"/>
      <c r="T527" s="54"/>
      <c r="U527" s="54"/>
      <c r="V527" s="54"/>
    </row>
    <row r="528" spans="1:22" ht="12.75" thickBot="1">
      <c r="A528" s="48" t="s">
        <v>1278</v>
      </c>
      <c r="B528" s="135" t="s">
        <v>260</v>
      </c>
      <c r="C528" s="497">
        <v>39</v>
      </c>
      <c r="D528" s="497"/>
      <c r="E528" s="495">
        <v>13.12</v>
      </c>
      <c r="F528" s="190">
        <f t="shared" si="63"/>
        <v>511.67999999999995</v>
      </c>
      <c r="H528" s="486">
        <f t="shared" si="64"/>
        <v>-1.727906712801201E-5</v>
      </c>
      <c r="I528" s="486">
        <f t="shared" si="65"/>
        <v>39</v>
      </c>
      <c r="J528" s="480"/>
      <c r="K528" s="487">
        <f t="shared" si="66"/>
        <v>-3.8109756133053456E-3</v>
      </c>
      <c r="M528" s="82"/>
      <c r="N528" s="495"/>
      <c r="O528" s="480"/>
      <c r="P528" s="480"/>
      <c r="R528" s="54"/>
      <c r="S528" s="54"/>
      <c r="T528" s="54"/>
      <c r="U528" s="54"/>
      <c r="V528" s="54"/>
    </row>
    <row r="529" spans="1:22" ht="12.75" thickBot="1">
      <c r="A529" s="48" t="s">
        <v>1278</v>
      </c>
      <c r="B529" s="2" t="s">
        <v>262</v>
      </c>
      <c r="C529" s="497">
        <v>17</v>
      </c>
      <c r="D529" s="497"/>
      <c r="E529" s="495">
        <v>9.0200000000000014</v>
      </c>
      <c r="F529" s="190">
        <f t="shared" si="63"/>
        <v>153.34000000000003</v>
      </c>
      <c r="H529" s="486">
        <f t="shared" si="64"/>
        <v>-5.1781819758625753E-6</v>
      </c>
      <c r="I529" s="486">
        <f t="shared" si="65"/>
        <v>17</v>
      </c>
      <c r="J529" s="480"/>
      <c r="K529" s="487">
        <f t="shared" si="66"/>
        <v>-5.5432372557168647E-3</v>
      </c>
      <c r="M529" s="82"/>
      <c r="N529" s="495"/>
      <c r="O529" s="480"/>
      <c r="P529" s="480"/>
      <c r="R529" s="54"/>
      <c r="S529" s="54"/>
      <c r="T529" s="54"/>
      <c r="U529" s="54"/>
      <c r="V529" s="54"/>
    </row>
    <row r="530" spans="1:22" ht="12.75" thickBot="1">
      <c r="A530" s="48" t="s">
        <v>1278</v>
      </c>
      <c r="B530" s="2" t="s">
        <v>340</v>
      </c>
      <c r="C530" s="497">
        <v>35</v>
      </c>
      <c r="D530" s="497"/>
      <c r="E530" s="495">
        <v>23.89</v>
      </c>
      <c r="F530" s="190">
        <f t="shared" si="63"/>
        <v>836.15</v>
      </c>
      <c r="H530" s="486">
        <f t="shared" si="64"/>
        <v>-2.8236186638303711E-5</v>
      </c>
      <c r="I530" s="486">
        <f t="shared" si="65"/>
        <v>35</v>
      </c>
      <c r="J530" s="480"/>
      <c r="K530" s="487">
        <f t="shared" si="66"/>
        <v>-2.0929259123719599E-3</v>
      </c>
      <c r="M530" s="82"/>
      <c r="N530" s="495"/>
      <c r="O530" s="480"/>
      <c r="P530" s="480"/>
      <c r="R530" s="54"/>
      <c r="S530" s="54"/>
      <c r="T530" s="54"/>
      <c r="U530" s="54"/>
      <c r="V530" s="54"/>
    </row>
    <row r="531" spans="1:22" ht="12.75" thickBot="1">
      <c r="A531" s="48" t="s">
        <v>1278</v>
      </c>
      <c r="B531" s="2" t="s">
        <v>692</v>
      </c>
      <c r="C531" s="497">
        <v>4</v>
      </c>
      <c r="D531" s="497"/>
      <c r="E531" s="495">
        <v>24.9</v>
      </c>
      <c r="F531" s="190">
        <f t="shared" si="63"/>
        <v>99.6</v>
      </c>
      <c r="H531" s="486">
        <f t="shared" si="64"/>
        <v>-3.3634206651618123E-6</v>
      </c>
      <c r="I531" s="486">
        <f t="shared" si="65"/>
        <v>4</v>
      </c>
      <c r="J531" s="480"/>
      <c r="K531" s="487">
        <f t="shared" si="66"/>
        <v>-2.0080321303841821E-3</v>
      </c>
      <c r="M531" s="82"/>
      <c r="N531" s="495"/>
      <c r="O531" s="480"/>
      <c r="P531" s="480"/>
      <c r="R531" s="54"/>
      <c r="S531" s="54"/>
      <c r="T531" s="54"/>
      <c r="U531" s="54"/>
      <c r="V531" s="54"/>
    </row>
    <row r="532" spans="1:22" ht="12.75" thickBot="1">
      <c r="A532" s="48" t="s">
        <v>1278</v>
      </c>
      <c r="B532" s="2" t="s">
        <v>292</v>
      </c>
      <c r="C532" s="497">
        <v>238</v>
      </c>
      <c r="D532" s="497"/>
      <c r="E532" s="495">
        <v>19.79</v>
      </c>
      <c r="F532" s="190">
        <f t="shared" si="63"/>
        <v>4710.0199999999995</v>
      </c>
      <c r="H532" s="486">
        <f t="shared" si="64"/>
        <v>-1.5905400202133975E-4</v>
      </c>
      <c r="I532" s="486">
        <f t="shared" si="65"/>
        <v>238</v>
      </c>
      <c r="J532" s="480"/>
      <c r="K532" s="487">
        <f t="shared" si="66"/>
        <v>-2.5265285521256257E-3</v>
      </c>
      <c r="M532" s="82"/>
      <c r="N532" s="495"/>
      <c r="O532" s="480"/>
      <c r="P532" s="480"/>
      <c r="R532" s="54"/>
      <c r="S532" s="54"/>
      <c r="T532" s="54"/>
      <c r="U532" s="54"/>
      <c r="V532" s="54"/>
    </row>
    <row r="533" spans="1:22" ht="12.75" thickBot="1">
      <c r="A533" s="48" t="s">
        <v>1278</v>
      </c>
      <c r="B533" s="135" t="s">
        <v>293</v>
      </c>
      <c r="C533" s="497">
        <v>2146</v>
      </c>
      <c r="D533" s="497"/>
      <c r="E533" s="495">
        <v>20.49</v>
      </c>
      <c r="F533" s="190">
        <f t="shared" si="63"/>
        <v>43971.539999999994</v>
      </c>
      <c r="H533" s="486">
        <f t="shared" si="64"/>
        <v>-1.4848874128010967E-3</v>
      </c>
      <c r="I533" s="486">
        <f t="shared" si="65"/>
        <v>2146</v>
      </c>
      <c r="J533" s="480"/>
      <c r="K533" s="487">
        <f t="shared" si="66"/>
        <v>-2.4402147411696504E-3</v>
      </c>
      <c r="M533" s="82"/>
      <c r="N533" s="495"/>
      <c r="O533" s="480"/>
      <c r="P533" s="480"/>
      <c r="R533" s="54"/>
      <c r="S533" s="54"/>
      <c r="T533" s="54"/>
      <c r="U533" s="54"/>
      <c r="V533" s="54"/>
    </row>
    <row r="534" spans="1:22" ht="12.75" thickBot="1">
      <c r="A534" s="48" t="s">
        <v>1278</v>
      </c>
      <c r="B534" s="2" t="s">
        <v>295</v>
      </c>
      <c r="C534" s="497">
        <v>37</v>
      </c>
      <c r="D534" s="497"/>
      <c r="E534" s="495">
        <v>20.18</v>
      </c>
      <c r="F534" s="190">
        <f t="shared" si="63"/>
        <v>746.66</v>
      </c>
      <c r="H534" s="486">
        <f t="shared" si="64"/>
        <v>-2.5214173432226093E-5</v>
      </c>
      <c r="I534" s="486">
        <f t="shared" si="65"/>
        <v>37</v>
      </c>
      <c r="J534" s="480"/>
      <c r="K534" s="487">
        <f t="shared" si="66"/>
        <v>-2.4777006960637329E-3</v>
      </c>
      <c r="M534" s="82"/>
      <c r="N534" s="495"/>
      <c r="O534" s="480"/>
      <c r="P534" s="480"/>
      <c r="R534" s="54"/>
      <c r="S534" s="54"/>
      <c r="T534" s="54"/>
      <c r="U534" s="54"/>
      <c r="V534" s="54"/>
    </row>
    <row r="535" spans="1:22" ht="12.75" thickBot="1">
      <c r="A535" s="48" t="s">
        <v>1278</v>
      </c>
      <c r="B535" s="2" t="s">
        <v>296</v>
      </c>
      <c r="C535" s="497">
        <v>1843</v>
      </c>
      <c r="D535" s="497"/>
      <c r="E535" s="495">
        <v>22.56</v>
      </c>
      <c r="F535" s="190">
        <f t="shared" si="63"/>
        <v>41578.079999999994</v>
      </c>
      <c r="H535" s="486">
        <f t="shared" si="64"/>
        <v>-1.4040619828288258E-3</v>
      </c>
      <c r="I535" s="486">
        <f t="shared" si="65"/>
        <v>1843</v>
      </c>
      <c r="J535" s="480"/>
      <c r="K535" s="487">
        <f t="shared" si="66"/>
        <v>-2.2163120588016903E-3</v>
      </c>
      <c r="M535" s="82"/>
      <c r="N535" s="495"/>
      <c r="O535" s="480"/>
      <c r="P535" s="480"/>
      <c r="R535" s="54"/>
      <c r="S535" s="54"/>
      <c r="T535" s="54"/>
      <c r="U535" s="54"/>
      <c r="V535" s="54"/>
    </row>
    <row r="536" spans="1:22" ht="12.75" thickBot="1">
      <c r="A536" s="48" t="s">
        <v>1278</v>
      </c>
      <c r="B536" s="2" t="s">
        <v>297</v>
      </c>
      <c r="C536" s="497">
        <v>39</v>
      </c>
      <c r="D536" s="497"/>
      <c r="E536" s="495">
        <v>23.68</v>
      </c>
      <c r="F536" s="190">
        <f t="shared" ref="F536:F567" si="67">C536*E536</f>
        <v>923.52</v>
      </c>
      <c r="H536" s="486">
        <f t="shared" si="64"/>
        <v>-3.1186608962753381E-5</v>
      </c>
      <c r="I536" s="486">
        <f t="shared" si="65"/>
        <v>39</v>
      </c>
      <c r="J536" s="480"/>
      <c r="K536" s="487">
        <f t="shared" si="66"/>
        <v>-2.1114864884529613E-3</v>
      </c>
      <c r="M536" s="82"/>
      <c r="N536" s="495"/>
      <c r="O536" s="480"/>
      <c r="P536" s="480"/>
      <c r="R536" s="54"/>
      <c r="S536" s="54"/>
      <c r="T536" s="54"/>
      <c r="U536" s="54"/>
      <c r="V536" s="54"/>
    </row>
    <row r="537" spans="1:22" ht="12.75" thickBot="1">
      <c r="A537" s="48" t="s">
        <v>1278</v>
      </c>
      <c r="B537" s="2" t="s">
        <v>299</v>
      </c>
      <c r="C537" s="497">
        <v>108</v>
      </c>
      <c r="D537" s="497"/>
      <c r="E537" s="495">
        <v>24.77</v>
      </c>
      <c r="F537" s="190">
        <f t="shared" si="67"/>
        <v>2675.16</v>
      </c>
      <c r="H537" s="486">
        <f t="shared" si="64"/>
        <v>-9.0338237215002756E-5</v>
      </c>
      <c r="I537" s="486">
        <f t="shared" si="65"/>
        <v>108</v>
      </c>
      <c r="J537" s="480"/>
      <c r="K537" s="487">
        <f t="shared" si="66"/>
        <v>-2.0185708537168402E-3</v>
      </c>
      <c r="M537" s="82"/>
      <c r="N537" s="495"/>
      <c r="O537" s="480"/>
      <c r="P537" s="480"/>
      <c r="R537" s="54"/>
      <c r="S537" s="54"/>
      <c r="T537" s="54"/>
      <c r="U537" s="54"/>
      <c r="V537" s="54"/>
    </row>
    <row r="538" spans="1:22" ht="12.75" thickBot="1">
      <c r="A538" s="48" t="s">
        <v>1278</v>
      </c>
      <c r="B538" s="2" t="s">
        <v>300</v>
      </c>
      <c r="C538" s="497">
        <v>53</v>
      </c>
      <c r="D538" s="497"/>
      <c r="E538" s="495">
        <v>29.889999999999997</v>
      </c>
      <c r="F538" s="190">
        <f t="shared" si="67"/>
        <v>1584.1699999999998</v>
      </c>
      <c r="H538" s="486">
        <f t="shared" si="64"/>
        <v>-5.34962862964798E-5</v>
      </c>
      <c r="I538" s="486">
        <f t="shared" si="65"/>
        <v>53</v>
      </c>
      <c r="J538" s="480"/>
      <c r="K538" s="487">
        <f t="shared" si="66"/>
        <v>-1.6728002692059597E-3</v>
      </c>
      <c r="M538" s="82"/>
      <c r="N538" s="495"/>
      <c r="O538" s="480"/>
      <c r="P538" s="480"/>
      <c r="R538" s="54"/>
      <c r="S538" s="54"/>
      <c r="T538" s="54"/>
      <c r="U538" s="54"/>
      <c r="V538" s="54"/>
    </row>
    <row r="539" spans="1:22" ht="12.75" thickBot="1">
      <c r="A539" s="48" t="s">
        <v>1278</v>
      </c>
      <c r="B539" s="2" t="s">
        <v>301</v>
      </c>
      <c r="C539" s="497">
        <v>177</v>
      </c>
      <c r="D539" s="497"/>
      <c r="E539" s="495">
        <v>32.860000000000007</v>
      </c>
      <c r="F539" s="190">
        <f t="shared" si="67"/>
        <v>5816.2200000000012</v>
      </c>
      <c r="H539" s="486">
        <f t="shared" si="64"/>
        <v>-1.9640958374625948E-4</v>
      </c>
      <c r="I539" s="486">
        <f t="shared" si="65"/>
        <v>177</v>
      </c>
      <c r="J539" s="480"/>
      <c r="K539" s="487">
        <f t="shared" si="66"/>
        <v>-1.5216068182156456E-3</v>
      </c>
      <c r="M539" s="82"/>
      <c r="N539" s="495"/>
      <c r="O539" s="480"/>
      <c r="P539" s="480"/>
      <c r="R539" s="54"/>
      <c r="S539" s="54"/>
      <c r="T539" s="54"/>
      <c r="U539" s="54"/>
      <c r="V539" s="54"/>
    </row>
    <row r="540" spans="1:22" ht="12.75" thickBot="1">
      <c r="A540" s="48" t="s">
        <v>1278</v>
      </c>
      <c r="B540" s="135" t="s">
        <v>302</v>
      </c>
      <c r="C540" s="497">
        <v>378</v>
      </c>
      <c r="D540" s="497"/>
      <c r="E540" s="495">
        <v>38.389999999999993</v>
      </c>
      <c r="F540" s="190">
        <f t="shared" si="67"/>
        <v>14511.419999999998</v>
      </c>
      <c r="H540" s="486">
        <f t="shared" si="64"/>
        <v>-4.9004026012894005E-4</v>
      </c>
      <c r="I540" s="486">
        <f t="shared" si="65"/>
        <v>378</v>
      </c>
      <c r="J540" s="480"/>
      <c r="K540" s="487">
        <f t="shared" si="66"/>
        <v>-1.3024225070738769E-3</v>
      </c>
      <c r="M540" s="82"/>
      <c r="N540" s="495"/>
      <c r="O540" s="480"/>
      <c r="P540" s="480"/>
      <c r="R540" s="54"/>
      <c r="S540" s="54"/>
      <c r="T540" s="54"/>
      <c r="U540" s="54"/>
      <c r="V540" s="54"/>
    </row>
    <row r="541" spans="1:22" ht="12.75" thickBot="1">
      <c r="A541" s="48" t="s">
        <v>1278</v>
      </c>
      <c r="B541" s="2" t="s">
        <v>303</v>
      </c>
      <c r="C541" s="497">
        <v>22</v>
      </c>
      <c r="D541" s="497"/>
      <c r="E541" s="495">
        <v>26.349999999999998</v>
      </c>
      <c r="F541" s="190">
        <f t="shared" si="67"/>
        <v>579.69999999999993</v>
      </c>
      <c r="H541" s="486">
        <f t="shared" si="64"/>
        <v>-1.9576053811187775E-5</v>
      </c>
      <c r="I541" s="486">
        <f t="shared" si="65"/>
        <v>22</v>
      </c>
      <c r="J541" s="480"/>
      <c r="K541" s="487">
        <f t="shared" si="66"/>
        <v>-1.8975332085983353E-3</v>
      </c>
      <c r="M541" s="82"/>
      <c r="N541" s="495"/>
      <c r="O541" s="480"/>
      <c r="P541" s="480"/>
      <c r="R541" s="54"/>
      <c r="S541" s="54"/>
      <c r="T541" s="54"/>
      <c r="U541" s="54"/>
      <c r="V541" s="54"/>
    </row>
    <row r="542" spans="1:22" ht="12.75" thickBot="1">
      <c r="A542" s="48" t="s">
        <v>1278</v>
      </c>
      <c r="B542" s="2" t="s">
        <v>304</v>
      </c>
      <c r="C542" s="497">
        <v>455</v>
      </c>
      <c r="D542" s="497"/>
      <c r="E542" s="495">
        <v>28.45</v>
      </c>
      <c r="F542" s="190">
        <f t="shared" si="67"/>
        <v>12944.75</v>
      </c>
      <c r="H542" s="486">
        <f t="shared" si="64"/>
        <v>-4.3713493629872865E-4</v>
      </c>
      <c r="I542" s="486">
        <f t="shared" si="65"/>
        <v>455</v>
      </c>
      <c r="J542" s="480"/>
      <c r="K542" s="487">
        <f t="shared" si="66"/>
        <v>-1.7574692459249959E-3</v>
      </c>
      <c r="M542" s="82"/>
      <c r="N542" s="495"/>
      <c r="O542" s="480"/>
      <c r="P542" s="480"/>
      <c r="R542" s="54"/>
      <c r="S542" s="54"/>
      <c r="T542" s="54"/>
      <c r="U542" s="54"/>
      <c r="V542" s="54"/>
    </row>
    <row r="543" spans="1:22" ht="12.75" thickBot="1">
      <c r="A543" s="48" t="s">
        <v>1278</v>
      </c>
      <c r="B543" s="2" t="s">
        <v>305</v>
      </c>
      <c r="C543" s="497">
        <v>34</v>
      </c>
      <c r="D543" s="497"/>
      <c r="E543" s="495">
        <v>34.029999999999994</v>
      </c>
      <c r="F543" s="190">
        <f t="shared" si="67"/>
        <v>1157.0199999999998</v>
      </c>
      <c r="H543" s="486">
        <f t="shared" si="64"/>
        <v>-3.9071736726963045E-5</v>
      </c>
      <c r="I543" s="486">
        <f t="shared" si="65"/>
        <v>34</v>
      </c>
      <c r="J543" s="480"/>
      <c r="K543" s="487">
        <f t="shared" si="66"/>
        <v>-1.4692918027201334E-3</v>
      </c>
      <c r="M543" s="82"/>
      <c r="N543" s="495"/>
      <c r="O543" s="480"/>
      <c r="P543" s="480"/>
      <c r="R543" s="54"/>
      <c r="S543" s="54"/>
      <c r="T543" s="54"/>
      <c r="U543" s="54"/>
      <c r="V543" s="54"/>
    </row>
    <row r="544" spans="1:22" ht="12.75" thickBot="1">
      <c r="A544" s="48" t="s">
        <v>1278</v>
      </c>
      <c r="B544" s="2" t="s">
        <v>306</v>
      </c>
      <c r="C544" s="497">
        <v>40</v>
      </c>
      <c r="D544" s="497"/>
      <c r="E544" s="495">
        <v>33.22</v>
      </c>
      <c r="F544" s="190">
        <f t="shared" si="67"/>
        <v>1328.8</v>
      </c>
      <c r="H544" s="486">
        <f t="shared" si="64"/>
        <v>-4.4872624295853579E-5</v>
      </c>
      <c r="I544" s="486">
        <f t="shared" si="65"/>
        <v>40</v>
      </c>
      <c r="J544" s="480"/>
      <c r="K544" s="487">
        <f t="shared" si="66"/>
        <v>-1.5051174005588841E-3</v>
      </c>
      <c r="M544" s="82"/>
      <c r="N544" s="495"/>
      <c r="O544" s="480"/>
      <c r="P544" s="480"/>
      <c r="R544" s="54"/>
      <c r="S544" s="54"/>
      <c r="T544" s="54"/>
      <c r="U544" s="54"/>
      <c r="V544" s="54"/>
    </row>
    <row r="545" spans="1:22" ht="12.75" thickBot="1">
      <c r="A545" s="48" t="s">
        <v>1278</v>
      </c>
      <c r="B545" s="2" t="s">
        <v>307</v>
      </c>
      <c r="C545" s="497">
        <v>52</v>
      </c>
      <c r="D545" s="497"/>
      <c r="E545" s="495">
        <v>35.199999999999996</v>
      </c>
      <c r="F545" s="190">
        <f t="shared" si="67"/>
        <v>1830.3999999999999</v>
      </c>
      <c r="H545" s="486">
        <f t="shared" si="64"/>
        <v>-6.1811297043294985E-5</v>
      </c>
      <c r="I545" s="486">
        <f t="shared" si="65"/>
        <v>52</v>
      </c>
      <c r="J545" s="480"/>
      <c r="K545" s="487">
        <f t="shared" si="66"/>
        <v>-1.4204545467774469E-3</v>
      </c>
      <c r="M545" s="82"/>
      <c r="N545" s="495"/>
      <c r="O545" s="480"/>
      <c r="P545" s="480"/>
      <c r="R545" s="54"/>
      <c r="S545" s="54"/>
      <c r="T545" s="54"/>
      <c r="U545" s="54"/>
      <c r="V545" s="54"/>
    </row>
    <row r="546" spans="1:22" ht="12.75" thickBot="1">
      <c r="A546" s="48" t="s">
        <v>1278</v>
      </c>
      <c r="B546" s="2" t="s">
        <v>308</v>
      </c>
      <c r="C546" s="497">
        <v>216</v>
      </c>
      <c r="D546" s="497"/>
      <c r="E546" s="495">
        <v>34.090000000000003</v>
      </c>
      <c r="F546" s="190">
        <f t="shared" si="67"/>
        <v>7363.4400000000005</v>
      </c>
      <c r="H546" s="486">
        <f t="shared" si="64"/>
        <v>-2.4865809500681829E-4</v>
      </c>
      <c r="I546" s="486">
        <f t="shared" si="65"/>
        <v>216</v>
      </c>
      <c r="J546" s="480"/>
      <c r="K546" s="487">
        <f t="shared" si="66"/>
        <v>-1.4667057801867446E-3</v>
      </c>
      <c r="M546" s="82"/>
      <c r="N546" s="495"/>
      <c r="O546" s="480"/>
      <c r="P546" s="480"/>
      <c r="R546" s="54"/>
      <c r="S546" s="54"/>
      <c r="T546" s="54"/>
      <c r="U546" s="54"/>
      <c r="V546" s="54"/>
    </row>
    <row r="547" spans="1:22" ht="12.75" thickBot="1">
      <c r="A547" s="48" t="s">
        <v>1278</v>
      </c>
      <c r="B547" s="135" t="s">
        <v>309</v>
      </c>
      <c r="C547" s="497">
        <v>218</v>
      </c>
      <c r="D547" s="497"/>
      <c r="E547" s="495">
        <v>36.07</v>
      </c>
      <c r="F547" s="190">
        <f t="shared" si="67"/>
        <v>7863.26</v>
      </c>
      <c r="H547" s="486">
        <f t="shared" si="64"/>
        <v>-2.6553665842911925E-4</v>
      </c>
      <c r="I547" s="486">
        <f t="shared" si="65"/>
        <v>218</v>
      </c>
      <c r="J547" s="480"/>
      <c r="K547" s="487">
        <f t="shared" si="66"/>
        <v>-1.3861935139053542E-3</v>
      </c>
      <c r="M547" s="82"/>
      <c r="N547" s="495"/>
      <c r="O547" s="480"/>
      <c r="P547" s="480"/>
      <c r="R547" s="54"/>
      <c r="S547" s="54"/>
      <c r="T547" s="54"/>
      <c r="U547" s="54"/>
      <c r="V547" s="54"/>
    </row>
    <row r="548" spans="1:22" ht="12.75" thickBot="1">
      <c r="A548" s="48" t="s">
        <v>1278</v>
      </c>
      <c r="B548" s="2" t="s">
        <v>310</v>
      </c>
      <c r="C548" s="497">
        <v>13</v>
      </c>
      <c r="D548" s="497"/>
      <c r="E548" s="495">
        <v>32.26</v>
      </c>
      <c r="F548" s="190">
        <f t="shared" si="67"/>
        <v>419.38</v>
      </c>
      <c r="H548" s="486">
        <f t="shared" si="64"/>
        <v>-1.4162162234493584E-5</v>
      </c>
      <c r="I548" s="486">
        <f t="shared" si="65"/>
        <v>13</v>
      </c>
      <c r="J548" s="480"/>
      <c r="K548" s="487">
        <f t="shared" si="66"/>
        <v>-1.5499070070231287E-3</v>
      </c>
      <c r="M548" s="82"/>
      <c r="N548" s="495"/>
      <c r="O548" s="480"/>
      <c r="P548" s="480"/>
      <c r="R548" s="54"/>
      <c r="S548" s="54"/>
      <c r="T548" s="54"/>
      <c r="U548" s="54"/>
      <c r="V548" s="54"/>
    </row>
    <row r="549" spans="1:22" ht="12.75" thickBot="1">
      <c r="A549" s="48" t="s">
        <v>1278</v>
      </c>
      <c r="B549" s="2" t="s">
        <v>311</v>
      </c>
      <c r="C549" s="497">
        <v>44</v>
      </c>
      <c r="D549" s="497"/>
      <c r="E549" s="495">
        <v>32.93</v>
      </c>
      <c r="F549" s="190">
        <f t="shared" si="67"/>
        <v>1448.92</v>
      </c>
      <c r="H549" s="486">
        <f t="shared" si="64"/>
        <v>-4.892899066431982E-5</v>
      </c>
      <c r="I549" s="486">
        <f t="shared" si="65"/>
        <v>44</v>
      </c>
      <c r="J549" s="480"/>
      <c r="K549" s="487">
        <f t="shared" si="66"/>
        <v>-1.5183723063032532E-3</v>
      </c>
      <c r="M549" s="82"/>
      <c r="N549" s="495"/>
      <c r="O549" s="480"/>
      <c r="P549" s="480"/>
      <c r="R549" s="54"/>
      <c r="S549" s="54"/>
      <c r="T549" s="54"/>
      <c r="U549" s="54"/>
      <c r="V549" s="54"/>
    </row>
    <row r="550" spans="1:22" ht="12.75" thickBot="1">
      <c r="A550" s="48" t="s">
        <v>1278</v>
      </c>
      <c r="B550" s="2" t="s">
        <v>339</v>
      </c>
      <c r="C550" s="497">
        <v>10</v>
      </c>
      <c r="D550" s="497"/>
      <c r="E550" s="495">
        <v>34.330000000000005</v>
      </c>
      <c r="F550" s="190">
        <f t="shared" si="67"/>
        <v>343.30000000000007</v>
      </c>
      <c r="H550" s="486">
        <f t="shared" si="64"/>
        <v>-1.1592995123996491E-5</v>
      </c>
      <c r="I550" s="486">
        <f t="shared" si="65"/>
        <v>10</v>
      </c>
      <c r="J550" s="480"/>
      <c r="K550" s="487">
        <f t="shared" si="66"/>
        <v>-1.4564520840829047E-3</v>
      </c>
      <c r="M550" s="82"/>
      <c r="N550" s="495"/>
      <c r="O550" s="480"/>
      <c r="P550" s="480"/>
      <c r="R550" s="54"/>
      <c r="S550" s="54"/>
      <c r="T550" s="54"/>
      <c r="U550" s="54"/>
      <c r="V550" s="54"/>
    </row>
    <row r="551" spans="1:22" ht="12.75" thickBot="1">
      <c r="A551" s="48" t="s">
        <v>1278</v>
      </c>
      <c r="B551" s="2" t="s">
        <v>312</v>
      </c>
      <c r="C551" s="497">
        <v>191</v>
      </c>
      <c r="D551" s="497"/>
      <c r="E551" s="495">
        <v>34.99</v>
      </c>
      <c r="F551" s="190">
        <f t="shared" si="67"/>
        <v>6683.09</v>
      </c>
      <c r="H551" s="486">
        <f t="shared" si="64"/>
        <v>-2.2568316278249258E-4</v>
      </c>
      <c r="I551" s="486">
        <f t="shared" si="65"/>
        <v>191</v>
      </c>
      <c r="J551" s="480"/>
      <c r="K551" s="487">
        <f t="shared" si="66"/>
        <v>-1.4289797098189804E-3</v>
      </c>
      <c r="M551" s="82"/>
      <c r="N551" s="495"/>
      <c r="O551" s="480"/>
      <c r="P551" s="480"/>
      <c r="R551" s="54"/>
      <c r="S551" s="54"/>
      <c r="T551" s="54"/>
      <c r="U551" s="54"/>
      <c r="V551" s="54"/>
    </row>
    <row r="552" spans="1:22" ht="12.75" thickBot="1">
      <c r="A552" s="48" t="s">
        <v>1278</v>
      </c>
      <c r="B552" s="2" t="s">
        <v>688</v>
      </c>
      <c r="C552" s="497">
        <v>2</v>
      </c>
      <c r="D552" s="497"/>
      <c r="E552" s="495">
        <v>18.279999999999998</v>
      </c>
      <c r="F552" s="190">
        <f t="shared" si="67"/>
        <v>36.559999999999995</v>
      </c>
      <c r="H552" s="486">
        <f t="shared" si="64"/>
        <v>-1.2346050152441351E-6</v>
      </c>
      <c r="I552" s="486">
        <f t="shared" si="65"/>
        <v>2</v>
      </c>
      <c r="J552" s="480"/>
      <c r="K552" s="487">
        <f t="shared" si="66"/>
        <v>-2.7352297618471627E-3</v>
      </c>
      <c r="M552" s="82"/>
      <c r="N552" s="495"/>
      <c r="O552" s="480"/>
      <c r="P552" s="480"/>
      <c r="R552" s="54"/>
      <c r="S552" s="54"/>
      <c r="T552" s="54"/>
      <c r="U552" s="54"/>
      <c r="V552" s="54"/>
    </row>
    <row r="553" spans="1:22" ht="12.75" thickBot="1">
      <c r="A553" s="48" t="s">
        <v>1278</v>
      </c>
      <c r="B553" s="2" t="s">
        <v>341</v>
      </c>
      <c r="C553" s="497">
        <v>19</v>
      </c>
      <c r="D553" s="497"/>
      <c r="E553" s="495">
        <v>22.32</v>
      </c>
      <c r="F553" s="190">
        <f t="shared" si="67"/>
        <v>424.08</v>
      </c>
      <c r="H553" s="486">
        <f t="shared" si="64"/>
        <v>-1.4320877868291381E-5</v>
      </c>
      <c r="I553" s="486">
        <f t="shared" si="65"/>
        <v>19</v>
      </c>
      <c r="J553" s="480"/>
      <c r="K553" s="487">
        <f t="shared" si="66"/>
        <v>-2.2401433712619231E-3</v>
      </c>
      <c r="M553" s="82"/>
      <c r="N553" s="495"/>
      <c r="O553" s="480"/>
      <c r="P553" s="480"/>
      <c r="R553" s="54"/>
      <c r="S553" s="54"/>
      <c r="T553" s="54"/>
      <c r="U553" s="54"/>
      <c r="V553" s="54"/>
    </row>
    <row r="554" spans="1:22" ht="12.75" thickBot="1">
      <c r="A554" s="48" t="s">
        <v>1278</v>
      </c>
      <c r="B554" s="2" t="s">
        <v>317</v>
      </c>
      <c r="C554" s="497">
        <v>6445</v>
      </c>
      <c r="D554" s="497"/>
      <c r="E554" s="495">
        <v>12.82</v>
      </c>
      <c r="F554" s="190">
        <f t="shared" si="67"/>
        <v>82624.900000000009</v>
      </c>
      <c r="H554" s="486">
        <f t="shared" si="64"/>
        <v>-2.790183695953095E-3</v>
      </c>
      <c r="I554" s="486">
        <f t="shared" si="65"/>
        <v>6445</v>
      </c>
      <c r="J554" s="480"/>
      <c r="K554" s="487">
        <f t="shared" si="66"/>
        <v>-3.900156009872553E-3</v>
      </c>
      <c r="M554" s="82"/>
      <c r="N554" s="495"/>
      <c r="O554" s="480"/>
      <c r="P554" s="480"/>
      <c r="R554" s="54"/>
      <c r="S554" s="54"/>
      <c r="T554" s="54"/>
      <c r="U554" s="54"/>
      <c r="V554" s="54"/>
    </row>
    <row r="555" spans="1:22" ht="12.75" thickBot="1">
      <c r="A555" s="48" t="s">
        <v>1278</v>
      </c>
      <c r="B555" s="135" t="s">
        <v>318</v>
      </c>
      <c r="C555" s="497">
        <v>9227</v>
      </c>
      <c r="D555" s="497"/>
      <c r="E555" s="495">
        <v>15.08</v>
      </c>
      <c r="F555" s="190">
        <f t="shared" si="67"/>
        <v>139143.16</v>
      </c>
      <c r="H555" s="486">
        <f t="shared" si="64"/>
        <v>-4.698764857027274E-3</v>
      </c>
      <c r="I555" s="486">
        <f t="shared" si="65"/>
        <v>9227</v>
      </c>
      <c r="J555" s="480"/>
      <c r="K555" s="487">
        <f t="shared" si="66"/>
        <v>-3.3156498704619447E-3</v>
      </c>
      <c r="M555" s="82"/>
      <c r="N555" s="495"/>
      <c r="O555" s="480"/>
      <c r="P555" s="480"/>
      <c r="R555" s="54"/>
      <c r="S555" s="54"/>
      <c r="T555" s="54"/>
      <c r="U555" s="54"/>
      <c r="V555" s="54"/>
    </row>
    <row r="556" spans="1:22" ht="12.75" thickBot="1">
      <c r="A556" s="48" t="s">
        <v>1278</v>
      </c>
      <c r="B556" s="2" t="s">
        <v>319</v>
      </c>
      <c r="C556" s="497">
        <v>5457</v>
      </c>
      <c r="D556" s="497"/>
      <c r="E556" s="495">
        <v>17.38</v>
      </c>
      <c r="F556" s="190">
        <f t="shared" si="67"/>
        <v>94842.659999999989</v>
      </c>
      <c r="H556" s="486">
        <f t="shared" si="64"/>
        <v>-3.2027687006316832E-3</v>
      </c>
      <c r="I556" s="486">
        <f t="shared" si="65"/>
        <v>5457</v>
      </c>
      <c r="J556" s="480"/>
      <c r="K556" s="487">
        <f t="shared" si="66"/>
        <v>-2.8768699681568544E-3</v>
      </c>
      <c r="M556" s="82"/>
      <c r="N556" s="495"/>
      <c r="O556" s="480"/>
      <c r="P556" s="480"/>
      <c r="R556" s="54"/>
      <c r="S556" s="54"/>
      <c r="T556" s="54"/>
      <c r="U556" s="54"/>
      <c r="V556" s="54"/>
    </row>
    <row r="557" spans="1:22" ht="12.75" thickBot="1">
      <c r="A557" s="48" t="s">
        <v>1278</v>
      </c>
      <c r="B557" s="2" t="s">
        <v>320</v>
      </c>
      <c r="C557" s="497">
        <v>397</v>
      </c>
      <c r="D557" s="497"/>
      <c r="E557" s="495">
        <v>13.77</v>
      </c>
      <c r="F557" s="190">
        <f t="shared" si="67"/>
        <v>5466.69</v>
      </c>
      <c r="H557" s="486">
        <f t="shared" si="64"/>
        <v>-1.8460620598427136E-4</v>
      </c>
      <c r="I557" s="486">
        <f t="shared" si="65"/>
        <v>397</v>
      </c>
      <c r="J557" s="480"/>
      <c r="K557" s="487">
        <f t="shared" si="66"/>
        <v>-3.6310820658363202E-3</v>
      </c>
      <c r="M557" s="82"/>
      <c r="N557" s="495"/>
      <c r="O557" s="480"/>
      <c r="P557" s="480"/>
      <c r="R557" s="54"/>
      <c r="S557" s="54"/>
      <c r="T557" s="54"/>
      <c r="U557" s="54"/>
      <c r="V557" s="54"/>
    </row>
    <row r="558" spans="1:22" ht="12.75" thickBot="1">
      <c r="A558" s="48" t="s">
        <v>1278</v>
      </c>
      <c r="B558" s="2" t="s">
        <v>321</v>
      </c>
      <c r="C558" s="497">
        <v>12772</v>
      </c>
      <c r="D558" s="497"/>
      <c r="E558" s="495">
        <v>18.21</v>
      </c>
      <c r="F558" s="190">
        <f t="shared" si="67"/>
        <v>232578.12000000002</v>
      </c>
      <c r="H558" s="486">
        <f t="shared" si="64"/>
        <v>-7.8539965368723281E-3</v>
      </c>
      <c r="I558" s="486">
        <f t="shared" si="65"/>
        <v>12772</v>
      </c>
      <c r="J558" s="480"/>
      <c r="K558" s="487">
        <f t="shared" si="66"/>
        <v>-2.7457440992073655E-3</v>
      </c>
      <c r="M558" s="82"/>
      <c r="N558" s="495"/>
      <c r="O558" s="480"/>
      <c r="P558" s="480"/>
      <c r="R558" s="54"/>
      <c r="S558" s="54"/>
      <c r="T558" s="54"/>
      <c r="U558" s="54"/>
      <c r="V558" s="54"/>
    </row>
    <row r="559" spans="1:22" ht="12.75" thickBot="1">
      <c r="A559" s="48" t="s">
        <v>1278</v>
      </c>
      <c r="B559" s="2" t="s">
        <v>322</v>
      </c>
      <c r="C559" s="497">
        <v>3327</v>
      </c>
      <c r="D559" s="497"/>
      <c r="E559" s="495">
        <v>10.86</v>
      </c>
      <c r="F559" s="190">
        <f t="shared" si="67"/>
        <v>36131.22</v>
      </c>
      <c r="H559" s="486">
        <f t="shared" si="64"/>
        <v>-1.2201254217420461E-3</v>
      </c>
      <c r="I559" s="486">
        <f t="shared" si="65"/>
        <v>3327</v>
      </c>
      <c r="J559" s="480"/>
      <c r="K559" s="487">
        <f t="shared" si="66"/>
        <v>-4.60405156966539E-3</v>
      </c>
      <c r="M559" s="82"/>
      <c r="N559" s="495"/>
      <c r="O559" s="480"/>
      <c r="P559" s="480"/>
      <c r="R559" s="54"/>
      <c r="S559" s="54"/>
      <c r="T559" s="54"/>
      <c r="U559" s="54"/>
      <c r="V559" s="54"/>
    </row>
    <row r="560" spans="1:22" ht="12.75" thickBot="1">
      <c r="A560" s="48" t="s">
        <v>1278</v>
      </c>
      <c r="B560" s="135" t="s">
        <v>323</v>
      </c>
      <c r="C560" s="497">
        <v>5</v>
      </c>
      <c r="D560" s="497"/>
      <c r="E560" s="495">
        <v>11.13</v>
      </c>
      <c r="F560" s="190">
        <f t="shared" si="67"/>
        <v>55.650000000000006</v>
      </c>
      <c r="H560" s="486">
        <f t="shared" si="64"/>
        <v>-1.8792606427334828E-6</v>
      </c>
      <c r="I560" s="486">
        <f t="shared" si="65"/>
        <v>5</v>
      </c>
      <c r="J560" s="480"/>
      <c r="K560" s="487">
        <f t="shared" si="66"/>
        <v>-4.4923629871128591E-3</v>
      </c>
      <c r="M560" s="82"/>
      <c r="N560" s="495"/>
      <c r="O560" s="480"/>
      <c r="P560" s="480"/>
      <c r="R560" s="54"/>
      <c r="S560" s="54"/>
      <c r="T560" s="54"/>
      <c r="U560" s="54"/>
      <c r="V560" s="54"/>
    </row>
    <row r="561" spans="1:22" ht="12.75" thickBot="1">
      <c r="A561" s="48" t="s">
        <v>1278</v>
      </c>
      <c r="B561" s="2" t="s">
        <v>328</v>
      </c>
      <c r="C561" s="497">
        <v>23</v>
      </c>
      <c r="D561" s="497"/>
      <c r="E561" s="495">
        <v>12.79</v>
      </c>
      <c r="F561" s="190">
        <f t="shared" si="67"/>
        <v>294.16999999999996</v>
      </c>
      <c r="H561" s="486">
        <f t="shared" si="64"/>
        <v>-9.9339102115527133E-6</v>
      </c>
      <c r="I561" s="486">
        <f t="shared" si="65"/>
        <v>23</v>
      </c>
      <c r="J561" s="480"/>
      <c r="K561" s="487">
        <f t="shared" si="66"/>
        <v>-3.909304147503216E-3</v>
      </c>
      <c r="M561" s="82"/>
      <c r="N561" s="495"/>
      <c r="O561" s="480"/>
      <c r="P561" s="480"/>
      <c r="R561" s="54"/>
      <c r="S561" s="54"/>
      <c r="T561" s="54"/>
      <c r="U561" s="54"/>
      <c r="V561" s="54"/>
    </row>
    <row r="562" spans="1:22" ht="12.75" thickBot="1">
      <c r="A562" s="48" t="s">
        <v>1278</v>
      </c>
      <c r="B562" s="2" t="s">
        <v>329</v>
      </c>
      <c r="C562" s="497">
        <v>2</v>
      </c>
      <c r="D562" s="497"/>
      <c r="E562" s="495">
        <v>15.07</v>
      </c>
      <c r="F562" s="190">
        <f t="shared" si="67"/>
        <v>30.14</v>
      </c>
      <c r="H562" s="486">
        <f t="shared" si="64"/>
        <v>-1.0178062133331029E-6</v>
      </c>
      <c r="I562" s="486">
        <f t="shared" si="65"/>
        <v>2</v>
      </c>
      <c r="J562" s="480"/>
      <c r="K562" s="487">
        <f t="shared" si="66"/>
        <v>-3.3178500362684889E-3</v>
      </c>
      <c r="M562" s="82"/>
      <c r="N562" s="495"/>
      <c r="O562" s="480"/>
      <c r="P562" s="480"/>
      <c r="R562" s="54"/>
      <c r="S562" s="54"/>
      <c r="T562" s="54"/>
      <c r="U562" s="54"/>
      <c r="V562" s="54"/>
    </row>
    <row r="563" spans="1:22" ht="12.75" thickBot="1">
      <c r="A563" s="48" t="s">
        <v>1278</v>
      </c>
      <c r="B563" s="2" t="s">
        <v>330</v>
      </c>
      <c r="C563" s="497">
        <v>430</v>
      </c>
      <c r="D563" s="497"/>
      <c r="E563" s="495">
        <v>18.68</v>
      </c>
      <c r="F563" s="190">
        <f t="shared" si="67"/>
        <v>8032.4</v>
      </c>
      <c r="H563" s="486">
        <f t="shared" si="64"/>
        <v>-2.7124839508881266E-4</v>
      </c>
      <c r="I563" s="486">
        <f t="shared" si="65"/>
        <v>430</v>
      </c>
      <c r="J563" s="480"/>
      <c r="K563" s="487">
        <f t="shared" si="66"/>
        <v>-2.6766595314007564E-3</v>
      </c>
      <c r="M563" s="82"/>
      <c r="N563" s="495"/>
      <c r="O563" s="480"/>
      <c r="P563" s="480"/>
      <c r="R563" s="54"/>
      <c r="S563" s="54"/>
      <c r="T563" s="54"/>
      <c r="U563" s="54"/>
      <c r="V563" s="54"/>
    </row>
    <row r="564" spans="1:22" ht="12.75" thickBot="1">
      <c r="A564" s="48" t="s">
        <v>1278</v>
      </c>
      <c r="B564" s="2" t="s">
        <v>331</v>
      </c>
      <c r="C564" s="497">
        <v>53</v>
      </c>
      <c r="D564" s="497"/>
      <c r="E564" s="495">
        <v>20.970000000000002</v>
      </c>
      <c r="F564" s="190">
        <f t="shared" si="67"/>
        <v>1111.4100000000001</v>
      </c>
      <c r="H564" s="486">
        <f t="shared" si="64"/>
        <v>-3.75315196934487E-5</v>
      </c>
      <c r="I564" s="486">
        <f t="shared" si="65"/>
        <v>53</v>
      </c>
      <c r="J564" s="480"/>
      <c r="K564" s="487">
        <f t="shared" si="66"/>
        <v>-2.38435860975518E-3</v>
      </c>
      <c r="M564" s="82"/>
      <c r="N564" s="495"/>
      <c r="O564" s="480"/>
      <c r="P564" s="480"/>
      <c r="R564" s="54"/>
      <c r="S564" s="54"/>
      <c r="T564" s="54"/>
      <c r="U564" s="54"/>
      <c r="V564" s="54"/>
    </row>
    <row r="565" spans="1:22" ht="12.75" thickBot="1">
      <c r="A565" s="48" t="s">
        <v>1278</v>
      </c>
      <c r="B565" s="2" t="s">
        <v>332</v>
      </c>
      <c r="C565" s="497">
        <v>2</v>
      </c>
      <c r="D565" s="497"/>
      <c r="E565" s="495">
        <v>28.42</v>
      </c>
      <c r="F565" s="190">
        <f t="shared" si="67"/>
        <v>56.84</v>
      </c>
      <c r="H565" s="486">
        <f t="shared" si="64"/>
        <v>-1.9194460904397332E-6</v>
      </c>
      <c r="I565" s="486">
        <f t="shared" si="65"/>
        <v>2</v>
      </c>
      <c r="J565" s="480"/>
      <c r="K565" s="487">
        <f t="shared" si="66"/>
        <v>-1.7593244210614401E-3</v>
      </c>
      <c r="M565" s="82"/>
      <c r="N565" s="495"/>
      <c r="O565" s="480"/>
      <c r="P565" s="480"/>
      <c r="R565" s="54"/>
      <c r="S565" s="54"/>
      <c r="T565" s="54"/>
      <c r="U565" s="54"/>
      <c r="V565" s="54"/>
    </row>
    <row r="566" spans="1:22" ht="12.75" thickBot="1">
      <c r="A566" s="48" t="s">
        <v>1278</v>
      </c>
      <c r="B566" s="2" t="s">
        <v>333</v>
      </c>
      <c r="C566" s="497">
        <v>402</v>
      </c>
      <c r="D566" s="497"/>
      <c r="E566" s="495">
        <v>39.6</v>
      </c>
      <c r="F566" s="190">
        <f t="shared" si="67"/>
        <v>15919.2</v>
      </c>
      <c r="H566" s="486">
        <f t="shared" si="64"/>
        <v>-5.3757998245827234E-4</v>
      </c>
      <c r="I566" s="486">
        <f t="shared" si="65"/>
        <v>402</v>
      </c>
      <c r="J566" s="480"/>
      <c r="K566" s="487">
        <f t="shared" si="66"/>
        <v>-1.262626263802175E-3</v>
      </c>
      <c r="M566" s="82"/>
      <c r="N566" s="495"/>
      <c r="O566" s="480"/>
      <c r="P566" s="480"/>
      <c r="R566" s="54"/>
      <c r="S566" s="54"/>
      <c r="T566" s="54"/>
      <c r="U566" s="54"/>
      <c r="V566" s="54"/>
    </row>
    <row r="567" spans="1:22" ht="12.75" thickBot="1">
      <c r="A567" s="48" t="s">
        <v>1278</v>
      </c>
      <c r="B567" s="2" t="s">
        <v>334</v>
      </c>
      <c r="C567" s="497">
        <v>62</v>
      </c>
      <c r="D567" s="497"/>
      <c r="E567" s="495">
        <v>42.78</v>
      </c>
      <c r="F567" s="190">
        <f t="shared" si="67"/>
        <v>2652.36</v>
      </c>
      <c r="H567" s="486">
        <f t="shared" si="64"/>
        <v>-8.9568297544664519E-5</v>
      </c>
      <c r="I567" s="486">
        <f t="shared" si="65"/>
        <v>62</v>
      </c>
      <c r="J567" s="480"/>
      <c r="K567" s="487">
        <f t="shared" si="66"/>
        <v>-1.1687704545714382E-3</v>
      </c>
      <c r="M567" s="82"/>
      <c r="N567" s="495"/>
      <c r="O567" s="480"/>
      <c r="P567" s="480"/>
      <c r="R567" s="54"/>
      <c r="S567" s="54"/>
      <c r="T567" s="54"/>
      <c r="U567" s="54"/>
      <c r="V567" s="54"/>
    </row>
    <row r="568" spans="1:22" ht="12.75" thickBot="1">
      <c r="A568" s="48" t="s">
        <v>1278</v>
      </c>
      <c r="B568" s="2" t="s">
        <v>620</v>
      </c>
      <c r="C568" s="497">
        <v>18</v>
      </c>
      <c r="D568" s="497"/>
      <c r="E568" s="495">
        <v>23.83</v>
      </c>
      <c r="F568" s="190">
        <f t="shared" ref="F568:F572" si="68">C568*E568</f>
        <v>428.93999999999994</v>
      </c>
      <c r="H568" s="486">
        <f t="shared" si="64"/>
        <v>-1.4484996587495058E-5</v>
      </c>
      <c r="I568" s="486">
        <f t="shared" si="65"/>
        <v>18</v>
      </c>
      <c r="J568" s="480"/>
      <c r="K568" s="487">
        <f t="shared" si="66"/>
        <v>-2.0981955537795272E-3</v>
      </c>
      <c r="M568" s="82"/>
      <c r="N568" s="495"/>
      <c r="O568" s="480"/>
      <c r="P568" s="480"/>
      <c r="R568" s="54"/>
      <c r="S568" s="54"/>
      <c r="T568" s="54"/>
      <c r="U568" s="54"/>
      <c r="V568" s="54"/>
    </row>
    <row r="569" spans="1:22" ht="12.75" thickBot="1">
      <c r="A569" s="48" t="s">
        <v>1278</v>
      </c>
      <c r="B569" s="135" t="s">
        <v>360</v>
      </c>
      <c r="C569" s="497">
        <v>4</v>
      </c>
      <c r="D569" s="497"/>
      <c r="E569" s="495">
        <v>20.46</v>
      </c>
      <c r="F569" s="190">
        <f t="shared" si="68"/>
        <v>81.84</v>
      </c>
      <c r="H569" s="486">
        <f t="shared" ref="H569:H572" si="69">F569/$M$509*$M$510</f>
        <v>-2.7636781851088631E-6</v>
      </c>
      <c r="I569" s="486">
        <f t="shared" ref="I569:I572" si="70">ROUND((F569+H569)/E569,0)</f>
        <v>4</v>
      </c>
      <c r="J569" s="480"/>
      <c r="K569" s="487">
        <f t="shared" ref="K569:K572" si="71">$M$510/E569</f>
        <v>-2.4437927686493709E-3</v>
      </c>
      <c r="M569" s="82"/>
      <c r="N569" s="495"/>
      <c r="O569" s="480"/>
      <c r="P569" s="480"/>
      <c r="R569" s="54"/>
      <c r="S569" s="54"/>
      <c r="T569" s="54"/>
      <c r="U569" s="54"/>
      <c r="V569" s="54"/>
    </row>
    <row r="570" spans="1:22" ht="12.75" thickBot="1">
      <c r="A570" s="48" t="s">
        <v>1278</v>
      </c>
      <c r="B570" s="2" t="s">
        <v>335</v>
      </c>
      <c r="C570" s="497">
        <v>43</v>
      </c>
      <c r="D570" s="497"/>
      <c r="E570" s="495">
        <v>30.21</v>
      </c>
      <c r="F570" s="190">
        <f t="shared" si="68"/>
        <v>1299.03</v>
      </c>
      <c r="H570" s="486">
        <f t="shared" si="69"/>
        <v>-4.3867312717521581E-5</v>
      </c>
      <c r="I570" s="486">
        <f t="shared" si="70"/>
        <v>43</v>
      </c>
      <c r="J570" s="480"/>
      <c r="K570" s="487">
        <f t="shared" si="71"/>
        <v>-1.6550811005152642E-3</v>
      </c>
      <c r="M570" s="82"/>
      <c r="N570" s="495"/>
      <c r="O570" s="480"/>
      <c r="P570" s="480"/>
      <c r="R570" s="54"/>
      <c r="S570" s="54"/>
      <c r="T570" s="54"/>
      <c r="U570" s="54"/>
      <c r="V570" s="54"/>
    </row>
    <row r="571" spans="1:22" ht="12.75" thickBot="1">
      <c r="A571" s="48" t="s">
        <v>1278</v>
      </c>
      <c r="B571" s="2" t="s">
        <v>336</v>
      </c>
      <c r="C571" s="497">
        <v>2</v>
      </c>
      <c r="D571" s="497"/>
      <c r="E571" s="495">
        <v>42.56</v>
      </c>
      <c r="F571" s="190">
        <f t="shared" si="68"/>
        <v>85.12</v>
      </c>
      <c r="H571" s="486">
        <f t="shared" si="69"/>
        <v>-2.8744414359294531E-6</v>
      </c>
      <c r="I571" s="486">
        <f t="shared" si="70"/>
        <v>2</v>
      </c>
      <c r="J571" s="480"/>
      <c r="K571" s="487">
        <f t="shared" si="71"/>
        <v>-1.1748120311693168E-3</v>
      </c>
      <c r="M571" s="82"/>
      <c r="N571" s="495"/>
      <c r="O571" s="480"/>
      <c r="P571" s="480"/>
      <c r="R571" s="54"/>
      <c r="S571" s="54"/>
      <c r="T571" s="54"/>
      <c r="U571" s="54"/>
      <c r="V571" s="54"/>
    </row>
    <row r="572" spans="1:22" ht="12.75" thickBot="1">
      <c r="A572" s="48" t="s">
        <v>1278</v>
      </c>
      <c r="B572" s="2" t="s">
        <v>337</v>
      </c>
      <c r="C572" s="497">
        <v>13</v>
      </c>
      <c r="D572" s="497"/>
      <c r="E572" s="495">
        <v>52.31</v>
      </c>
      <c r="F572" s="190">
        <f t="shared" si="68"/>
        <v>680.03</v>
      </c>
      <c r="H572" s="486">
        <f t="shared" si="69"/>
        <v>-2.2964126053513929E-5</v>
      </c>
      <c r="I572" s="486">
        <f t="shared" si="70"/>
        <v>13</v>
      </c>
      <c r="J572" s="480"/>
      <c r="K572" s="487">
        <f t="shared" si="71"/>
        <v>-9.558401844115107E-4</v>
      </c>
      <c r="M572" s="82"/>
      <c r="N572" s="495"/>
      <c r="O572" s="480"/>
      <c r="P572" s="480"/>
      <c r="R572" s="54"/>
      <c r="S572" s="54"/>
      <c r="T572" s="54"/>
      <c r="U572" s="54"/>
      <c r="V572" s="54"/>
    </row>
    <row r="573" spans="1:22" ht="12.75" thickBot="1">
      <c r="A573" s="48" t="s">
        <v>1278</v>
      </c>
      <c r="B573" s="2"/>
      <c r="C573" s="497"/>
      <c r="D573" s="497"/>
      <c r="E573" s="497"/>
      <c r="F573" s="480"/>
      <c r="H573" s="495"/>
      <c r="I573" s="495"/>
      <c r="J573" s="495"/>
      <c r="K573" s="480"/>
      <c r="M573" s="82"/>
      <c r="N573" s="495"/>
      <c r="O573" s="480"/>
      <c r="P573" s="480"/>
      <c r="R573" s="54"/>
      <c r="S573" s="54"/>
      <c r="T573" s="54"/>
      <c r="U573" s="54"/>
      <c r="V573" s="54"/>
    </row>
    <row r="574" spans="1:22" ht="12.75" thickBot="1">
      <c r="A574" s="48" t="s">
        <v>1278</v>
      </c>
      <c r="B574" s="50"/>
      <c r="C574" s="79"/>
      <c r="D574" s="79"/>
      <c r="E574" s="79"/>
      <c r="F574" s="80"/>
      <c r="H574" s="80"/>
      <c r="I574" s="80"/>
      <c r="J574" s="80"/>
      <c r="K574" s="80"/>
      <c r="M574" s="82"/>
      <c r="N574" s="495"/>
      <c r="O574" s="480"/>
      <c r="P574" s="480"/>
      <c r="R574" s="54"/>
      <c r="S574" s="54"/>
      <c r="T574" s="54"/>
      <c r="U574" s="54"/>
      <c r="V574" s="54"/>
    </row>
    <row r="575" spans="1:22" ht="12.75" thickBot="1">
      <c r="A575" s="81" t="s">
        <v>1279</v>
      </c>
      <c r="B575" s="2" t="s">
        <v>342</v>
      </c>
      <c r="C575" s="497">
        <v>77</v>
      </c>
      <c r="D575" s="497"/>
      <c r="E575" s="495">
        <v>8.14</v>
      </c>
      <c r="F575" s="190">
        <f t="shared" ref="F575:F606" si="72">C575*E575</f>
        <v>626.78000000000009</v>
      </c>
      <c r="H575" s="486">
        <f>F575/$M$580*$M$581</f>
        <v>1.0215173351086772E-2</v>
      </c>
      <c r="I575" s="486">
        <f>ROUND((F575+H575)/E575,0)</f>
        <v>77</v>
      </c>
      <c r="J575" s="480"/>
      <c r="K575" s="487">
        <f>$M$581/E575</f>
        <v>2.9176904176618144</v>
      </c>
      <c r="M575" s="488">
        <f>'12MonLights'!$K$660</f>
        <v>1520867</v>
      </c>
      <c r="N575" s="480" t="s">
        <v>1304</v>
      </c>
      <c r="O575" s="480"/>
      <c r="P575" s="480"/>
      <c r="R575" s="54"/>
      <c r="S575" s="54"/>
      <c r="T575" s="54"/>
      <c r="U575" s="54"/>
      <c r="V575" s="54"/>
    </row>
    <row r="576" spans="1:22" ht="12.75" thickBot="1">
      <c r="A576" s="81" t="s">
        <v>1279</v>
      </c>
      <c r="B576" s="2" t="s">
        <v>213</v>
      </c>
      <c r="C576" s="497">
        <v>3839</v>
      </c>
      <c r="D576" s="497"/>
      <c r="E576" s="495">
        <v>10.959999999999999</v>
      </c>
      <c r="F576" s="190">
        <f t="shared" si="72"/>
        <v>42075.439999999995</v>
      </c>
      <c r="H576" s="486">
        <f t="shared" ref="H576:H639" si="73">F576/$M$580*$M$581</f>
        <v>0.68573967488313314</v>
      </c>
      <c r="I576" s="486">
        <f t="shared" ref="I576:I639" si="74">ROUND((F576+H576)/E576,0)</f>
        <v>3839</v>
      </c>
      <c r="J576" s="480"/>
      <c r="K576" s="487">
        <f t="shared" ref="K576:K639" si="75">$M$581/E576</f>
        <v>2.1669708028984647</v>
      </c>
      <c r="M576" s="488">
        <f>-M588</f>
        <v>-35441.97</v>
      </c>
      <c r="N576" s="489" t="s">
        <v>1306</v>
      </c>
      <c r="O576" s="480"/>
      <c r="P576" s="480"/>
      <c r="R576" s="54"/>
      <c r="S576" s="54"/>
      <c r="T576" s="54"/>
      <c r="U576" s="54"/>
      <c r="V576" s="54"/>
    </row>
    <row r="577" spans="1:22" ht="12.75" thickBot="1">
      <c r="A577" s="81" t="s">
        <v>1279</v>
      </c>
      <c r="B577" s="2" t="s">
        <v>214</v>
      </c>
      <c r="C577" s="497">
        <v>3859</v>
      </c>
      <c r="D577" s="497"/>
      <c r="E577" s="495">
        <v>13.510000000000002</v>
      </c>
      <c r="F577" s="190">
        <f t="shared" si="72"/>
        <v>52135.090000000004</v>
      </c>
      <c r="H577" s="486">
        <f t="shared" si="73"/>
        <v>0.84969045282955802</v>
      </c>
      <c r="I577" s="486">
        <f t="shared" si="74"/>
        <v>3859</v>
      </c>
      <c r="J577" s="480"/>
      <c r="K577" s="487">
        <f t="shared" si="75"/>
        <v>1.7579570688206636</v>
      </c>
      <c r="M577" s="490">
        <f>M575+M576</f>
        <v>1485425.03</v>
      </c>
      <c r="N577" s="491" t="s">
        <v>1307</v>
      </c>
      <c r="O577" s="480"/>
      <c r="P577" s="480"/>
      <c r="R577" s="54"/>
      <c r="S577" s="54"/>
      <c r="T577" s="54"/>
      <c r="U577" s="54"/>
      <c r="V577" s="54"/>
    </row>
    <row r="578" spans="1:22" ht="12.75" thickBot="1">
      <c r="A578" s="81" t="s">
        <v>1279</v>
      </c>
      <c r="B578" s="2" t="s">
        <v>215</v>
      </c>
      <c r="C578" s="497">
        <v>96</v>
      </c>
      <c r="D578" s="497"/>
      <c r="E578" s="495">
        <v>12.450000000000001</v>
      </c>
      <c r="F578" s="190">
        <f t="shared" si="72"/>
        <v>1195.2</v>
      </c>
      <c r="H578" s="486">
        <f t="shared" si="73"/>
        <v>1.9479203531093694E-2</v>
      </c>
      <c r="I578" s="486">
        <f t="shared" si="74"/>
        <v>96</v>
      </c>
      <c r="J578" s="480"/>
      <c r="K578" s="487">
        <f t="shared" si="75"/>
        <v>1.9076305220696519</v>
      </c>
      <c r="M578" s="490">
        <f>'1051'!$K$231</f>
        <v>28154.840000000011</v>
      </c>
      <c r="N578" s="492" t="s">
        <v>1308</v>
      </c>
      <c r="O578" s="480"/>
      <c r="P578" s="480"/>
      <c r="R578" s="54"/>
      <c r="S578" s="54"/>
      <c r="T578" s="54"/>
      <c r="U578" s="54"/>
      <c r="V578" s="54"/>
    </row>
    <row r="579" spans="1:22" ht="12.75" thickBot="1">
      <c r="A579" s="81" t="s">
        <v>1279</v>
      </c>
      <c r="B579" s="2" t="s">
        <v>216</v>
      </c>
      <c r="C579" s="497">
        <v>751</v>
      </c>
      <c r="D579" s="497"/>
      <c r="E579" s="495">
        <v>15.54</v>
      </c>
      <c r="F579" s="190">
        <f t="shared" si="72"/>
        <v>11670.539999999999</v>
      </c>
      <c r="H579" s="486">
        <f t="shared" si="73"/>
        <v>0.19020483933883051</v>
      </c>
      <c r="I579" s="486">
        <f t="shared" si="74"/>
        <v>751</v>
      </c>
      <c r="J579" s="480"/>
      <c r="K579" s="487">
        <f t="shared" si="75"/>
        <v>1.5283140282990457</v>
      </c>
      <c r="M579" s="490">
        <f>M577-M578</f>
        <v>1457270.19</v>
      </c>
      <c r="N579" s="492" t="s">
        <v>1309</v>
      </c>
      <c r="O579" s="480"/>
      <c r="P579" s="480"/>
      <c r="R579" s="54"/>
      <c r="S579" s="54"/>
      <c r="T579" s="54"/>
      <c r="U579" s="54"/>
      <c r="V579" s="54"/>
    </row>
    <row r="580" spans="1:22" ht="12.75" thickBot="1">
      <c r="A580" s="81" t="s">
        <v>1279</v>
      </c>
      <c r="B580" s="2" t="s">
        <v>217</v>
      </c>
      <c r="C580" s="497">
        <v>1351</v>
      </c>
      <c r="D580" s="497"/>
      <c r="E580" s="495">
        <v>14.24</v>
      </c>
      <c r="F580" s="190">
        <f t="shared" si="72"/>
        <v>19238.240000000002</v>
      </c>
      <c r="H580" s="486">
        <f t="shared" si="73"/>
        <v>0.31354216243308902</v>
      </c>
      <c r="I580" s="486">
        <f t="shared" si="74"/>
        <v>1351</v>
      </c>
      <c r="J580" s="480"/>
      <c r="K580" s="487">
        <f t="shared" si="75"/>
        <v>1.6678370786353349</v>
      </c>
      <c r="M580" s="490">
        <f>SUM(F575:F643)</f>
        <v>1457246.4400000002</v>
      </c>
      <c r="N580" s="491" t="s">
        <v>1323</v>
      </c>
      <c r="O580" s="480"/>
      <c r="P580" s="480"/>
      <c r="R580" s="54"/>
      <c r="S580" s="54"/>
      <c r="T580" s="54"/>
      <c r="U580" s="54"/>
      <c r="V580" s="54"/>
    </row>
    <row r="581" spans="1:22" ht="12.75" thickBot="1">
      <c r="A581" s="81" t="s">
        <v>1279</v>
      </c>
      <c r="B581" s="2" t="s">
        <v>344</v>
      </c>
      <c r="C581" s="497">
        <v>45</v>
      </c>
      <c r="D581" s="497"/>
      <c r="E581" s="495">
        <v>27.69</v>
      </c>
      <c r="F581" s="190">
        <f t="shared" si="72"/>
        <v>1246.05</v>
      </c>
      <c r="H581" s="486">
        <f t="shared" si="73"/>
        <v>2.0307949765662064E-2</v>
      </c>
      <c r="I581" s="486">
        <f t="shared" si="74"/>
        <v>45</v>
      </c>
      <c r="J581" s="480"/>
      <c r="K581" s="487">
        <f t="shared" si="75"/>
        <v>0.85771036474420981</v>
      </c>
      <c r="M581" s="490">
        <f>M579-M580</f>
        <v>23.749999999767169</v>
      </c>
      <c r="N581" s="492"/>
      <c r="O581" s="480"/>
      <c r="P581" s="480"/>
      <c r="R581" s="54"/>
      <c r="S581" s="54"/>
      <c r="T581" s="54"/>
      <c r="U581" s="54"/>
      <c r="V581" s="54"/>
    </row>
    <row r="582" spans="1:22" ht="12.75" thickBot="1">
      <c r="A582" s="81" t="s">
        <v>1279</v>
      </c>
      <c r="B582" s="135" t="s">
        <v>218</v>
      </c>
      <c r="C582" s="497">
        <v>382</v>
      </c>
      <c r="D582" s="497"/>
      <c r="E582" s="495">
        <v>28.89</v>
      </c>
      <c r="F582" s="190">
        <f t="shared" si="72"/>
        <v>11035.98</v>
      </c>
      <c r="H582" s="486">
        <f t="shared" si="73"/>
        <v>0.17986286862874781</v>
      </c>
      <c r="I582" s="486">
        <f t="shared" si="74"/>
        <v>382</v>
      </c>
      <c r="J582" s="480"/>
      <c r="K582" s="487">
        <f t="shared" si="75"/>
        <v>0.82208376600094046</v>
      </c>
      <c r="M582" s="490"/>
      <c r="N582" s="492"/>
      <c r="O582" s="480"/>
      <c r="P582" s="480"/>
      <c r="R582" s="54"/>
      <c r="S582" s="54"/>
      <c r="T582" s="54"/>
      <c r="U582" s="54"/>
      <c r="V582" s="54"/>
    </row>
    <row r="583" spans="1:22" ht="12.75" thickBot="1">
      <c r="A583" s="81" t="s">
        <v>1279</v>
      </c>
      <c r="B583" s="2" t="s">
        <v>223</v>
      </c>
      <c r="C583" s="497">
        <v>4067</v>
      </c>
      <c r="D583" s="497"/>
      <c r="E583" s="495">
        <v>9.57</v>
      </c>
      <c r="F583" s="190">
        <f t="shared" si="72"/>
        <v>38921.19</v>
      </c>
      <c r="H583" s="486">
        <f t="shared" si="73"/>
        <v>0.63433214665526161</v>
      </c>
      <c r="I583" s="486">
        <f t="shared" si="74"/>
        <v>4067</v>
      </c>
      <c r="J583" s="480"/>
      <c r="K583" s="487">
        <f t="shared" si="75"/>
        <v>2.481713688585911</v>
      </c>
      <c r="M583" s="490"/>
      <c r="N583" s="492"/>
      <c r="O583" s="480"/>
      <c r="P583" s="480"/>
      <c r="R583" s="54"/>
      <c r="S583" s="54"/>
      <c r="T583" s="54"/>
      <c r="U583" s="54"/>
      <c r="V583" s="54"/>
    </row>
    <row r="584" spans="1:22" ht="12.75" thickBot="1">
      <c r="A584" s="81" t="s">
        <v>1279</v>
      </c>
      <c r="B584" s="2" t="s">
        <v>231</v>
      </c>
      <c r="C584" s="497">
        <v>2018</v>
      </c>
      <c r="D584" s="497"/>
      <c r="E584" s="495">
        <v>27.34</v>
      </c>
      <c r="F584" s="190">
        <f t="shared" si="72"/>
        <v>55172.12</v>
      </c>
      <c r="H584" s="486">
        <f t="shared" si="73"/>
        <v>0.89918754578474325</v>
      </c>
      <c r="I584" s="486">
        <f t="shared" si="74"/>
        <v>2018</v>
      </c>
      <c r="J584" s="480"/>
      <c r="K584" s="487">
        <f t="shared" si="75"/>
        <v>0.86869056326873328</v>
      </c>
      <c r="M584" s="493"/>
      <c r="N584" s="492"/>
      <c r="O584" s="480"/>
      <c r="P584" s="480"/>
      <c r="R584" s="54"/>
      <c r="S584" s="54"/>
      <c r="T584" s="54"/>
      <c r="U584" s="54"/>
      <c r="V584" s="54"/>
    </row>
    <row r="585" spans="1:22" ht="12.75" thickBot="1">
      <c r="A585" s="81" t="s">
        <v>1279</v>
      </c>
      <c r="B585" s="2" t="s">
        <v>232</v>
      </c>
      <c r="C585" s="497">
        <v>2221</v>
      </c>
      <c r="D585" s="497"/>
      <c r="E585" s="495">
        <v>31.4</v>
      </c>
      <c r="F585" s="190">
        <f t="shared" si="72"/>
        <v>69739.399999999994</v>
      </c>
      <c r="H585" s="486">
        <f t="shared" si="73"/>
        <v>1.1366030511515692</v>
      </c>
      <c r="I585" s="486">
        <f t="shared" si="74"/>
        <v>2221</v>
      </c>
      <c r="J585" s="480"/>
      <c r="K585" s="487">
        <f t="shared" si="75"/>
        <v>0.7563694267441774</v>
      </c>
      <c r="M585" s="492"/>
      <c r="N585" s="494"/>
      <c r="O585" s="480"/>
      <c r="P585" s="480"/>
      <c r="R585" s="54"/>
      <c r="S585" s="54"/>
      <c r="T585" s="54"/>
      <c r="U585" s="54"/>
      <c r="V585" s="54"/>
    </row>
    <row r="586" spans="1:22" ht="12.75" thickBot="1">
      <c r="A586" s="81" t="s">
        <v>1279</v>
      </c>
      <c r="B586" s="2" t="s">
        <v>234</v>
      </c>
      <c r="C586" s="497">
        <v>16635</v>
      </c>
      <c r="D586" s="497"/>
      <c r="E586" s="495">
        <v>17.189999999999998</v>
      </c>
      <c r="F586" s="190">
        <f t="shared" si="72"/>
        <v>285955.64999999997</v>
      </c>
      <c r="H586" s="486">
        <f t="shared" si="73"/>
        <v>4.660465451151433</v>
      </c>
      <c r="I586" s="486">
        <f t="shared" si="74"/>
        <v>16635</v>
      </c>
      <c r="J586" s="480"/>
      <c r="K586" s="487">
        <f t="shared" si="75"/>
        <v>1.38161721930001</v>
      </c>
      <c r="M586" s="492">
        <f>'12MonResults'!$AD$336</f>
        <v>15391.52</v>
      </c>
      <c r="N586" s="494" t="s">
        <v>17</v>
      </c>
      <c r="O586" s="480" t="s">
        <v>1311</v>
      </c>
      <c r="P586" s="480"/>
      <c r="R586" s="54"/>
      <c r="S586" s="54"/>
      <c r="T586" s="54"/>
      <c r="U586" s="54"/>
      <c r="V586" s="54"/>
    </row>
    <row r="587" spans="1:22" ht="12.75" thickBot="1">
      <c r="A587" s="81" t="s">
        <v>1279</v>
      </c>
      <c r="B587" s="2" t="s">
        <v>353</v>
      </c>
      <c r="C587" s="497">
        <v>510</v>
      </c>
      <c r="D587" s="497"/>
      <c r="E587" s="495">
        <v>24.89</v>
      </c>
      <c r="F587" s="190">
        <f t="shared" si="72"/>
        <v>12693.9</v>
      </c>
      <c r="H587" s="486">
        <f t="shared" si="73"/>
        <v>0.20688341842649788</v>
      </c>
      <c r="I587" s="486">
        <f t="shared" si="74"/>
        <v>510</v>
      </c>
      <c r="J587" s="480"/>
      <c r="K587" s="487">
        <f t="shared" si="75"/>
        <v>0.95419847327308838</v>
      </c>
      <c r="M587" s="492">
        <f>'12MonResults'!$AD$338</f>
        <v>20050.45</v>
      </c>
      <c r="N587" s="494" t="s">
        <v>18</v>
      </c>
      <c r="O587" s="480"/>
      <c r="P587" s="480"/>
      <c r="R587" s="54"/>
      <c r="S587" s="54"/>
      <c r="T587" s="54"/>
      <c r="U587" s="54"/>
      <c r="V587" s="54"/>
    </row>
    <row r="588" spans="1:22" ht="12.75" thickBot="1">
      <c r="A588" s="81" t="s">
        <v>1279</v>
      </c>
      <c r="B588" s="135" t="s">
        <v>235</v>
      </c>
      <c r="C588" s="497">
        <v>1307</v>
      </c>
      <c r="D588" s="497"/>
      <c r="E588" s="495">
        <v>14.17</v>
      </c>
      <c r="F588" s="190">
        <f t="shared" si="72"/>
        <v>18520.189999999999</v>
      </c>
      <c r="H588" s="486">
        <f t="shared" si="73"/>
        <v>0.30183948330365307</v>
      </c>
      <c r="I588" s="486">
        <f t="shared" si="74"/>
        <v>1307</v>
      </c>
      <c r="J588" s="480"/>
      <c r="K588" s="487">
        <f t="shared" si="75"/>
        <v>1.6760762173441899</v>
      </c>
      <c r="M588" s="492">
        <f>M586+M587</f>
        <v>35441.97</v>
      </c>
      <c r="N588" s="494"/>
      <c r="O588" s="480"/>
      <c r="P588" s="480"/>
      <c r="R588" s="54"/>
      <c r="S588" s="54"/>
      <c r="T588" s="54"/>
      <c r="U588" s="54"/>
      <c r="V588" s="54"/>
    </row>
    <row r="589" spans="1:22" ht="12.75" thickBot="1">
      <c r="A589" s="81" t="s">
        <v>1279</v>
      </c>
      <c r="B589" s="2" t="s">
        <v>236</v>
      </c>
      <c r="C589" s="497">
        <v>2234</v>
      </c>
      <c r="D589" s="497"/>
      <c r="E589" s="495">
        <v>22.15</v>
      </c>
      <c r="F589" s="190">
        <f t="shared" si="72"/>
        <v>49483.1</v>
      </c>
      <c r="H589" s="486">
        <f t="shared" si="73"/>
        <v>0.80646868829439622</v>
      </c>
      <c r="I589" s="486">
        <f t="shared" si="74"/>
        <v>2234</v>
      </c>
      <c r="J589" s="480"/>
      <c r="K589" s="487">
        <f t="shared" si="75"/>
        <v>1.0722347629691724</v>
      </c>
      <c r="M589" s="82"/>
      <c r="N589" s="495"/>
      <c r="O589" s="480"/>
      <c r="P589" s="480"/>
      <c r="R589" s="54"/>
      <c r="S589" s="54"/>
      <c r="T589" s="54"/>
      <c r="U589" s="54"/>
      <c r="V589" s="54"/>
    </row>
    <row r="590" spans="1:22" ht="12.75" thickBot="1">
      <c r="A590" s="81" t="s">
        <v>1279</v>
      </c>
      <c r="B590" s="2" t="s">
        <v>354</v>
      </c>
      <c r="C590" s="497">
        <v>17</v>
      </c>
      <c r="D590" s="497"/>
      <c r="E590" s="495">
        <v>72.550000000000011</v>
      </c>
      <c r="F590" s="190">
        <f t="shared" si="72"/>
        <v>1233.3500000000001</v>
      </c>
      <c r="H590" s="486">
        <f t="shared" si="73"/>
        <v>2.0100966930283144E-2</v>
      </c>
      <c r="I590" s="486">
        <f t="shared" si="74"/>
        <v>17</v>
      </c>
      <c r="J590" s="480"/>
      <c r="K590" s="487">
        <f t="shared" si="75"/>
        <v>0.32736044107191131</v>
      </c>
      <c r="M590" s="82"/>
      <c r="N590" s="495"/>
      <c r="O590" s="480"/>
      <c r="P590" s="480"/>
      <c r="R590" s="54"/>
      <c r="S590" s="54"/>
      <c r="T590" s="54"/>
      <c r="U590" s="54"/>
      <c r="V590" s="54"/>
    </row>
    <row r="591" spans="1:22" ht="12.75" thickBot="1">
      <c r="A591" s="81" t="s">
        <v>1279</v>
      </c>
      <c r="B591" s="2" t="s">
        <v>355</v>
      </c>
      <c r="C591" s="497">
        <v>11</v>
      </c>
      <c r="D591" s="497"/>
      <c r="E591" s="495">
        <v>41.43</v>
      </c>
      <c r="F591" s="190">
        <f t="shared" si="72"/>
        <v>455.73</v>
      </c>
      <c r="H591" s="486">
        <f t="shared" si="73"/>
        <v>7.4274242178926789E-3</v>
      </c>
      <c r="I591" s="486">
        <f t="shared" si="74"/>
        <v>11</v>
      </c>
      <c r="J591" s="480"/>
      <c r="K591" s="487">
        <f t="shared" si="75"/>
        <v>0.57325609461180715</v>
      </c>
      <c r="M591" s="82"/>
      <c r="N591" s="495"/>
      <c r="O591" s="480"/>
      <c r="P591" s="480"/>
      <c r="R591" s="54"/>
      <c r="S591" s="54"/>
      <c r="T591" s="54"/>
      <c r="U591" s="54"/>
      <c r="V591" s="54"/>
    </row>
    <row r="592" spans="1:22" ht="12.75" thickBot="1">
      <c r="A592" s="81" t="s">
        <v>1279</v>
      </c>
      <c r="B592" s="2" t="s">
        <v>359</v>
      </c>
      <c r="C592" s="497">
        <v>45</v>
      </c>
      <c r="D592" s="497"/>
      <c r="E592" s="495">
        <v>19.38</v>
      </c>
      <c r="F592" s="190">
        <f t="shared" si="72"/>
        <v>872.09999999999991</v>
      </c>
      <c r="H592" s="486">
        <f t="shared" si="73"/>
        <v>1.4213364624721227E-2</v>
      </c>
      <c r="I592" s="486">
        <f t="shared" si="74"/>
        <v>45</v>
      </c>
      <c r="J592" s="480"/>
      <c r="K592" s="487">
        <f t="shared" si="75"/>
        <v>1.2254901960664175</v>
      </c>
      <c r="M592" s="82"/>
      <c r="N592" s="495"/>
      <c r="O592" s="480"/>
      <c r="P592" s="480"/>
      <c r="R592" s="54"/>
      <c r="S592" s="54"/>
      <c r="T592" s="54"/>
      <c r="U592" s="54"/>
      <c r="V592" s="54"/>
    </row>
    <row r="593" spans="1:22" ht="12.75" thickBot="1">
      <c r="A593" s="81" t="s">
        <v>1279</v>
      </c>
      <c r="B593" s="2" t="s">
        <v>356</v>
      </c>
      <c r="C593" s="497">
        <v>240</v>
      </c>
      <c r="D593" s="497"/>
      <c r="E593" s="495">
        <v>20.349999999999998</v>
      </c>
      <c r="F593" s="190">
        <f t="shared" si="72"/>
        <v>4883.9999999999991</v>
      </c>
      <c r="H593" s="486">
        <f t="shared" si="73"/>
        <v>7.9598753385091689E-2</v>
      </c>
      <c r="I593" s="486">
        <f t="shared" si="74"/>
        <v>240</v>
      </c>
      <c r="J593" s="480"/>
      <c r="K593" s="487">
        <f t="shared" si="75"/>
        <v>1.1670761670647258</v>
      </c>
      <c r="M593" s="82"/>
      <c r="N593" s="495"/>
      <c r="O593" s="480"/>
      <c r="P593" s="480"/>
      <c r="R593" s="54"/>
      <c r="S593" s="54"/>
      <c r="T593" s="54"/>
      <c r="U593" s="54"/>
      <c r="V593" s="54"/>
    </row>
    <row r="594" spans="1:22" ht="12.75" thickBot="1">
      <c r="A594" s="81" t="s">
        <v>1279</v>
      </c>
      <c r="B594" s="135" t="s">
        <v>357</v>
      </c>
      <c r="C594" s="497">
        <v>103</v>
      </c>
      <c r="D594" s="497"/>
      <c r="E594" s="495">
        <v>19.53</v>
      </c>
      <c r="F594" s="190">
        <f t="shared" si="72"/>
        <v>2011.5900000000001</v>
      </c>
      <c r="H594" s="486">
        <f t="shared" si="73"/>
        <v>3.2784614316526746E-2</v>
      </c>
      <c r="I594" s="486">
        <f t="shared" si="74"/>
        <v>103</v>
      </c>
      <c r="J594" s="480"/>
      <c r="K594" s="487">
        <f t="shared" si="75"/>
        <v>1.216077828969133</v>
      </c>
      <c r="M594" s="82"/>
      <c r="N594" s="495"/>
      <c r="O594" s="480"/>
      <c r="P594" s="480"/>
      <c r="R594" s="54"/>
      <c r="S594" s="54"/>
      <c r="T594" s="54"/>
      <c r="U594" s="54"/>
      <c r="V594" s="54"/>
    </row>
    <row r="595" spans="1:22" ht="12.75" thickBot="1">
      <c r="A595" s="81" t="s">
        <v>1279</v>
      </c>
      <c r="B595" s="2" t="s">
        <v>358</v>
      </c>
      <c r="C595" s="497">
        <v>80</v>
      </c>
      <c r="D595" s="497"/>
      <c r="E595" s="495">
        <v>20.819999999999997</v>
      </c>
      <c r="F595" s="190">
        <f t="shared" si="72"/>
        <v>1665.5999999999997</v>
      </c>
      <c r="H595" s="486">
        <f t="shared" si="73"/>
        <v>2.7145717370640608E-2</v>
      </c>
      <c r="I595" s="486">
        <f t="shared" si="74"/>
        <v>80</v>
      </c>
      <c r="J595" s="480"/>
      <c r="K595" s="487">
        <f t="shared" si="75"/>
        <v>1.1407300672318528</v>
      </c>
      <c r="M595" s="82"/>
      <c r="N595" s="495"/>
      <c r="O595" s="480"/>
      <c r="P595" s="480"/>
      <c r="R595" s="54"/>
      <c r="S595" s="54"/>
      <c r="T595" s="54"/>
      <c r="U595" s="54"/>
      <c r="V595" s="54"/>
    </row>
    <row r="596" spans="1:22" ht="12.75" thickBot="1">
      <c r="A596" s="81" t="s">
        <v>1279</v>
      </c>
      <c r="B596" s="2" t="s">
        <v>250</v>
      </c>
      <c r="C596" s="497">
        <v>558</v>
      </c>
      <c r="D596" s="497"/>
      <c r="E596" s="495">
        <v>19.2</v>
      </c>
      <c r="F596" s="190">
        <f t="shared" si="72"/>
        <v>10713.6</v>
      </c>
      <c r="H596" s="486">
        <f t="shared" si="73"/>
        <v>0.17460876418233384</v>
      </c>
      <c r="I596" s="486">
        <f t="shared" si="74"/>
        <v>558</v>
      </c>
      <c r="J596" s="480"/>
      <c r="K596" s="487">
        <f t="shared" si="75"/>
        <v>1.2369791666545402</v>
      </c>
      <c r="M596" s="82"/>
      <c r="N596" s="495"/>
      <c r="O596" s="480"/>
      <c r="P596" s="480"/>
    </row>
    <row r="597" spans="1:22" ht="12.75" thickBot="1">
      <c r="A597" s="81" t="s">
        <v>1279</v>
      </c>
      <c r="B597" s="2" t="s">
        <v>251</v>
      </c>
      <c r="C597" s="497">
        <v>534</v>
      </c>
      <c r="D597" s="497"/>
      <c r="E597" s="495">
        <v>22.949999999999996</v>
      </c>
      <c r="F597" s="190">
        <f t="shared" si="72"/>
        <v>12255.299999999997</v>
      </c>
      <c r="H597" s="486">
        <f t="shared" si="73"/>
        <v>0.19973517656845091</v>
      </c>
      <c r="I597" s="486">
        <f t="shared" si="74"/>
        <v>534</v>
      </c>
      <c r="J597" s="480"/>
      <c r="K597" s="487">
        <f t="shared" si="75"/>
        <v>1.0348583877894193</v>
      </c>
      <c r="M597" s="82"/>
      <c r="N597" s="495"/>
      <c r="O597" s="480"/>
      <c r="P597" s="480"/>
    </row>
    <row r="598" spans="1:22" ht="12.75" thickBot="1">
      <c r="A598" s="81" t="s">
        <v>1279</v>
      </c>
      <c r="B598" s="2" t="s">
        <v>254</v>
      </c>
      <c r="C598" s="497">
        <v>55</v>
      </c>
      <c r="D598" s="497"/>
      <c r="E598" s="495">
        <v>17.419999999999998</v>
      </c>
      <c r="F598" s="190">
        <f t="shared" si="72"/>
        <v>958.09999999999991</v>
      </c>
      <c r="H598" s="486">
        <f t="shared" si="73"/>
        <v>1.5614980675318666E-2</v>
      </c>
      <c r="I598" s="486">
        <f t="shared" si="74"/>
        <v>55</v>
      </c>
      <c r="J598" s="480"/>
      <c r="K598" s="487">
        <f t="shared" si="75"/>
        <v>1.363375430526244</v>
      </c>
      <c r="M598" s="82"/>
      <c r="N598" s="495"/>
      <c r="O598" s="480"/>
      <c r="P598" s="480"/>
    </row>
    <row r="599" spans="1:22" ht="12.75" thickBot="1">
      <c r="A599" s="81" t="s">
        <v>1279</v>
      </c>
      <c r="B599" s="135" t="s">
        <v>260</v>
      </c>
      <c r="C599" s="497">
        <v>39</v>
      </c>
      <c r="D599" s="497"/>
      <c r="E599" s="495">
        <v>13.12</v>
      </c>
      <c r="F599" s="190">
        <f t="shared" si="72"/>
        <v>511.67999999999995</v>
      </c>
      <c r="H599" s="486">
        <f t="shared" si="73"/>
        <v>8.3392895438336861E-3</v>
      </c>
      <c r="I599" s="486">
        <f t="shared" si="74"/>
        <v>39</v>
      </c>
      <c r="J599" s="480"/>
      <c r="K599" s="487">
        <f t="shared" si="75"/>
        <v>1.8102134146164002</v>
      </c>
      <c r="M599" s="82"/>
      <c r="N599" s="495"/>
      <c r="O599" s="480"/>
      <c r="P599" s="480"/>
    </row>
    <row r="600" spans="1:22" ht="12.75" thickBot="1">
      <c r="A600" s="81" t="s">
        <v>1279</v>
      </c>
      <c r="B600" s="2" t="s">
        <v>262</v>
      </c>
      <c r="C600" s="497">
        <v>16</v>
      </c>
      <c r="D600" s="497"/>
      <c r="E600" s="495">
        <v>9.0200000000000014</v>
      </c>
      <c r="F600" s="190">
        <f t="shared" si="72"/>
        <v>144.32000000000002</v>
      </c>
      <c r="H600" s="486">
        <f t="shared" si="73"/>
        <v>2.3521073072351427E-3</v>
      </c>
      <c r="I600" s="486">
        <f t="shared" si="74"/>
        <v>16</v>
      </c>
      <c r="J600" s="480"/>
      <c r="K600" s="487">
        <f t="shared" si="75"/>
        <v>2.6330376939874909</v>
      </c>
      <c r="M600" s="82"/>
      <c r="N600" s="495"/>
      <c r="O600" s="480"/>
      <c r="P600" s="480"/>
    </row>
    <row r="601" spans="1:22" ht="12.75" thickBot="1">
      <c r="A601" s="81" t="s">
        <v>1279</v>
      </c>
      <c r="B601" s="2" t="s">
        <v>340</v>
      </c>
      <c r="C601" s="497">
        <v>32</v>
      </c>
      <c r="D601" s="497"/>
      <c r="E601" s="495">
        <v>23.89</v>
      </c>
      <c r="F601" s="190">
        <f t="shared" si="72"/>
        <v>764.48</v>
      </c>
      <c r="H601" s="486">
        <f t="shared" si="73"/>
        <v>1.2459388818148016E-2</v>
      </c>
      <c r="I601" s="486">
        <f t="shared" si="74"/>
        <v>32</v>
      </c>
      <c r="J601" s="480"/>
      <c r="K601" s="487">
        <f t="shared" si="75"/>
        <v>0.99413980744107022</v>
      </c>
      <c r="M601" s="82"/>
      <c r="N601" s="495"/>
      <c r="O601" s="480"/>
      <c r="P601" s="480"/>
    </row>
    <row r="602" spans="1:22" ht="12.75" thickBot="1">
      <c r="A602" s="81" t="s">
        <v>1279</v>
      </c>
      <c r="B602" s="2" t="s">
        <v>692</v>
      </c>
      <c r="C602" s="497">
        <v>4</v>
      </c>
      <c r="D602" s="497"/>
      <c r="E602" s="495">
        <v>24.9</v>
      </c>
      <c r="F602" s="190">
        <f t="shared" si="72"/>
        <v>99.6</v>
      </c>
      <c r="H602" s="486">
        <f t="shared" si="73"/>
        <v>1.6232669609244745E-3</v>
      </c>
      <c r="I602" s="486">
        <f t="shared" si="74"/>
        <v>4</v>
      </c>
      <c r="J602" s="480"/>
      <c r="K602" s="487">
        <f t="shared" si="75"/>
        <v>0.95381526103482617</v>
      </c>
      <c r="M602" s="82"/>
      <c r="N602" s="495"/>
      <c r="O602" s="480"/>
      <c r="P602" s="480"/>
    </row>
    <row r="603" spans="1:22" ht="12.75" thickBot="1">
      <c r="A603" s="81" t="s">
        <v>1279</v>
      </c>
      <c r="B603" s="2" t="s">
        <v>292</v>
      </c>
      <c r="C603" s="497">
        <v>212</v>
      </c>
      <c r="D603" s="497"/>
      <c r="E603" s="495">
        <v>19.79</v>
      </c>
      <c r="F603" s="190">
        <f t="shared" si="72"/>
        <v>4195.4799999999996</v>
      </c>
      <c r="H603" s="486">
        <f t="shared" si="73"/>
        <v>6.837735009256439E-2</v>
      </c>
      <c r="I603" s="486">
        <f t="shared" si="74"/>
        <v>212</v>
      </c>
      <c r="J603" s="480"/>
      <c r="K603" s="487">
        <f t="shared" si="75"/>
        <v>1.2001010611302259</v>
      </c>
      <c r="M603" s="82"/>
      <c r="N603" s="495"/>
      <c r="O603" s="480"/>
      <c r="P603" s="480"/>
    </row>
    <row r="604" spans="1:22" ht="12.75" thickBot="1">
      <c r="A604" s="81" t="s">
        <v>1279</v>
      </c>
      <c r="B604" s="135" t="s">
        <v>293</v>
      </c>
      <c r="C604" s="497">
        <v>1995</v>
      </c>
      <c r="D604" s="497"/>
      <c r="E604" s="495">
        <v>20.49</v>
      </c>
      <c r="F604" s="190">
        <f t="shared" si="72"/>
        <v>40877.549999999996</v>
      </c>
      <c r="H604" s="486">
        <f t="shared" si="73"/>
        <v>0.66621663010580578</v>
      </c>
      <c r="I604" s="486">
        <f t="shared" si="74"/>
        <v>1995</v>
      </c>
      <c r="J604" s="480"/>
      <c r="K604" s="487">
        <f t="shared" si="75"/>
        <v>1.1591020009647228</v>
      </c>
      <c r="M604" s="82"/>
      <c r="N604" s="495"/>
      <c r="O604" s="480"/>
      <c r="P604" s="480"/>
    </row>
    <row r="605" spans="1:22" ht="12.75" thickBot="1">
      <c r="A605" s="81" t="s">
        <v>1279</v>
      </c>
      <c r="B605" s="2" t="s">
        <v>295</v>
      </c>
      <c r="C605" s="497">
        <f>27-8</f>
        <v>19</v>
      </c>
      <c r="D605" s="497"/>
      <c r="E605" s="495">
        <v>20.18</v>
      </c>
      <c r="F605" s="190">
        <f t="shared" si="72"/>
        <v>383.42</v>
      </c>
      <c r="H605" s="486">
        <f t="shared" si="73"/>
        <v>6.2489258851170888E-3</v>
      </c>
      <c r="I605" s="486">
        <f t="shared" si="74"/>
        <v>19</v>
      </c>
      <c r="J605" s="480"/>
      <c r="K605" s="487">
        <f t="shared" si="75"/>
        <v>1.1769078295226545</v>
      </c>
      <c r="M605" s="82"/>
      <c r="N605" s="495"/>
      <c r="O605" s="480"/>
      <c r="P605" s="480"/>
    </row>
    <row r="606" spans="1:22" ht="12.75" thickBot="1">
      <c r="A606" s="81" t="s">
        <v>1279</v>
      </c>
      <c r="B606" s="2" t="s">
        <v>296</v>
      </c>
      <c r="C606" s="497">
        <v>1782</v>
      </c>
      <c r="D606" s="497"/>
      <c r="E606" s="495">
        <v>22.56</v>
      </c>
      <c r="F606" s="190">
        <f t="shared" si="72"/>
        <v>40201.919999999998</v>
      </c>
      <c r="H606" s="486">
        <f t="shared" si="73"/>
        <v>0.65520530624225748</v>
      </c>
      <c r="I606" s="486">
        <f t="shared" si="74"/>
        <v>1782</v>
      </c>
      <c r="J606" s="480"/>
      <c r="K606" s="487">
        <f t="shared" si="75"/>
        <v>1.0527482269400341</v>
      </c>
      <c r="M606" s="82"/>
      <c r="N606" s="495"/>
      <c r="O606" s="480"/>
      <c r="P606" s="480"/>
    </row>
    <row r="607" spans="1:22" ht="12.75" thickBot="1">
      <c r="A607" s="81" t="s">
        <v>1279</v>
      </c>
      <c r="B607" s="2" t="s">
        <v>297</v>
      </c>
      <c r="C607" s="497">
        <v>35</v>
      </c>
      <c r="D607" s="497"/>
      <c r="E607" s="495">
        <v>23.68</v>
      </c>
      <c r="F607" s="190">
        <f t="shared" ref="F607:F638" si="76">C607*E607</f>
        <v>828.8</v>
      </c>
      <c r="H607" s="486">
        <f t="shared" si="73"/>
        <v>1.3507667241106473E-2</v>
      </c>
      <c r="I607" s="486">
        <f t="shared" si="74"/>
        <v>35</v>
      </c>
      <c r="J607" s="480"/>
      <c r="K607" s="487">
        <f t="shared" si="75"/>
        <v>1.0029560810712488</v>
      </c>
      <c r="M607" s="82"/>
      <c r="N607" s="495"/>
      <c r="O607" s="480"/>
      <c r="P607" s="480"/>
    </row>
    <row r="608" spans="1:22" ht="12.75" thickBot="1">
      <c r="A608" s="81" t="s">
        <v>1279</v>
      </c>
      <c r="B608" s="2" t="s">
        <v>299</v>
      </c>
      <c r="C608" s="497">
        <v>112</v>
      </c>
      <c r="D608" s="497"/>
      <c r="E608" s="495">
        <v>24.77</v>
      </c>
      <c r="F608" s="190">
        <f t="shared" si="76"/>
        <v>2774.24</v>
      </c>
      <c r="H608" s="486">
        <f t="shared" si="73"/>
        <v>4.5214178048946931E-2</v>
      </c>
      <c r="I608" s="486">
        <f t="shared" si="74"/>
        <v>112</v>
      </c>
      <c r="J608" s="480"/>
      <c r="K608" s="487">
        <f t="shared" si="75"/>
        <v>0.95882115461312756</v>
      </c>
      <c r="M608" s="82"/>
      <c r="N608" s="495"/>
      <c r="O608" s="480"/>
      <c r="P608" s="480"/>
    </row>
    <row r="609" spans="1:16" ht="12.75" thickBot="1">
      <c r="A609" s="81" t="s">
        <v>1279</v>
      </c>
      <c r="B609" s="2" t="s">
        <v>300</v>
      </c>
      <c r="C609" s="497">
        <v>53</v>
      </c>
      <c r="D609" s="497"/>
      <c r="E609" s="495">
        <v>29.889999999999997</v>
      </c>
      <c r="F609" s="190">
        <f t="shared" si="76"/>
        <v>1584.1699999999998</v>
      </c>
      <c r="H609" s="486">
        <f t="shared" si="73"/>
        <v>2.5818582545057478E-2</v>
      </c>
      <c r="I609" s="486">
        <f t="shared" si="74"/>
        <v>53</v>
      </c>
      <c r="J609" s="480"/>
      <c r="K609" s="487">
        <f t="shared" si="75"/>
        <v>0.79458012712503079</v>
      </c>
      <c r="M609" s="82"/>
      <c r="N609" s="495"/>
      <c r="O609" s="480"/>
      <c r="P609" s="480"/>
    </row>
    <row r="610" spans="1:16" ht="12.75" thickBot="1">
      <c r="A610" s="81" t="s">
        <v>1279</v>
      </c>
      <c r="B610" s="2" t="s">
        <v>301</v>
      </c>
      <c r="C610" s="497">
        <v>175</v>
      </c>
      <c r="D610" s="497"/>
      <c r="E610" s="495">
        <v>32.860000000000007</v>
      </c>
      <c r="F610" s="190">
        <f t="shared" si="76"/>
        <v>5750.5000000000009</v>
      </c>
      <c r="H610" s="486">
        <f t="shared" si="73"/>
        <v>9.3720849987913593E-2</v>
      </c>
      <c r="I610" s="486">
        <f t="shared" si="74"/>
        <v>175</v>
      </c>
      <c r="J610" s="480"/>
      <c r="K610" s="487">
        <f t="shared" si="75"/>
        <v>0.72276323797222042</v>
      </c>
      <c r="M610" s="82"/>
      <c r="N610" s="495"/>
      <c r="O610" s="480"/>
      <c r="P610" s="480"/>
    </row>
    <row r="611" spans="1:16" ht="12.75" thickBot="1">
      <c r="A611" s="81" t="s">
        <v>1279</v>
      </c>
      <c r="B611" s="135" t="s">
        <v>302</v>
      </c>
      <c r="C611" s="497">
        <v>351</v>
      </c>
      <c r="D611" s="497"/>
      <c r="E611" s="495">
        <v>38.389999999999993</v>
      </c>
      <c r="F611" s="190">
        <f t="shared" si="76"/>
        <v>13474.889999999998</v>
      </c>
      <c r="H611" s="486">
        <f t="shared" si="73"/>
        <v>0.21961188493063843</v>
      </c>
      <c r="I611" s="486">
        <f t="shared" si="74"/>
        <v>351</v>
      </c>
      <c r="J611" s="480"/>
      <c r="K611" s="487">
        <f t="shared" si="75"/>
        <v>0.61865069027786335</v>
      </c>
      <c r="M611" s="82"/>
      <c r="N611" s="495"/>
      <c r="O611" s="480"/>
      <c r="P611" s="480"/>
    </row>
    <row r="612" spans="1:16" ht="12.75" thickBot="1">
      <c r="A612" s="81" t="s">
        <v>1279</v>
      </c>
      <c r="B612" s="2" t="s">
        <v>303</v>
      </c>
      <c r="C612" s="497">
        <v>17</v>
      </c>
      <c r="D612" s="497"/>
      <c r="E612" s="495">
        <v>26.349999999999998</v>
      </c>
      <c r="F612" s="190">
        <f t="shared" si="76"/>
        <v>447.95</v>
      </c>
      <c r="H612" s="486">
        <f t="shared" si="73"/>
        <v>7.3006268588967716E-3</v>
      </c>
      <c r="I612" s="486">
        <f t="shared" si="74"/>
        <v>17</v>
      </c>
      <c r="J612" s="480"/>
      <c r="K612" s="487">
        <f t="shared" si="75"/>
        <v>0.90132827323594578</v>
      </c>
      <c r="M612" s="82"/>
      <c r="N612" s="495"/>
      <c r="O612" s="480"/>
      <c r="P612" s="480"/>
    </row>
    <row r="613" spans="1:16" ht="12.75" thickBot="1">
      <c r="A613" s="81" t="s">
        <v>1279</v>
      </c>
      <c r="B613" s="2" t="s">
        <v>304</v>
      </c>
      <c r="C613" s="497">
        <v>350</v>
      </c>
      <c r="D613" s="497"/>
      <c r="E613" s="495">
        <v>28.45</v>
      </c>
      <c r="F613" s="190">
        <f t="shared" si="76"/>
        <v>9957.5</v>
      </c>
      <c r="H613" s="486">
        <f t="shared" si="73"/>
        <v>0.16228595143981381</v>
      </c>
      <c r="I613" s="486">
        <f t="shared" si="74"/>
        <v>350</v>
      </c>
      <c r="J613" s="480"/>
      <c r="K613" s="487">
        <f t="shared" si="75"/>
        <v>0.83479789102872304</v>
      </c>
      <c r="M613" s="82"/>
      <c r="N613" s="495"/>
      <c r="O613" s="480"/>
      <c r="P613" s="480"/>
    </row>
    <row r="614" spans="1:16" ht="12.75" thickBot="1">
      <c r="A614" s="81" t="s">
        <v>1279</v>
      </c>
      <c r="B614" s="2" t="s">
        <v>305</v>
      </c>
      <c r="C614" s="497">
        <v>31</v>
      </c>
      <c r="D614" s="497"/>
      <c r="E614" s="495">
        <v>34.029999999999994</v>
      </c>
      <c r="F614" s="190">
        <f t="shared" si="76"/>
        <v>1054.9299999999998</v>
      </c>
      <c r="H614" s="486">
        <f t="shared" si="73"/>
        <v>1.7193102561125058E-2</v>
      </c>
      <c r="I614" s="486">
        <f t="shared" si="74"/>
        <v>31</v>
      </c>
      <c r="J614" s="480"/>
      <c r="K614" s="487">
        <f t="shared" si="75"/>
        <v>0.69791360563523874</v>
      </c>
      <c r="M614" s="82"/>
      <c r="N614" s="495"/>
      <c r="O614" s="480"/>
      <c r="P614" s="480"/>
    </row>
    <row r="615" spans="1:16" ht="12.75" thickBot="1">
      <c r="A615" s="81" t="s">
        <v>1279</v>
      </c>
      <c r="B615" s="2" t="s">
        <v>306</v>
      </c>
      <c r="C615" s="497">
        <v>40</v>
      </c>
      <c r="D615" s="497"/>
      <c r="E615" s="495">
        <v>33.22</v>
      </c>
      <c r="F615" s="190">
        <f t="shared" si="76"/>
        <v>1328.8</v>
      </c>
      <c r="H615" s="486">
        <f t="shared" si="73"/>
        <v>2.165659776783576E-2</v>
      </c>
      <c r="I615" s="486">
        <f t="shared" si="74"/>
        <v>40</v>
      </c>
      <c r="J615" s="480"/>
      <c r="K615" s="487">
        <f t="shared" si="75"/>
        <v>0.71493076459263005</v>
      </c>
      <c r="M615" s="82"/>
      <c r="N615" s="495"/>
      <c r="O615" s="480"/>
      <c r="P615" s="480"/>
    </row>
    <row r="616" spans="1:16" ht="12.75" thickBot="1">
      <c r="A616" s="81" t="s">
        <v>1279</v>
      </c>
      <c r="B616" s="2" t="s">
        <v>307</v>
      </c>
      <c r="C616" s="497">
        <v>52</v>
      </c>
      <c r="D616" s="497"/>
      <c r="E616" s="495">
        <v>35.199999999999996</v>
      </c>
      <c r="F616" s="190">
        <f t="shared" si="76"/>
        <v>1830.3999999999999</v>
      </c>
      <c r="H616" s="486">
        <f t="shared" si="73"/>
        <v>2.9831604872250582E-2</v>
      </c>
      <c r="I616" s="486">
        <f t="shared" si="74"/>
        <v>52</v>
      </c>
      <c r="J616" s="480"/>
      <c r="K616" s="487">
        <f t="shared" si="75"/>
        <v>0.67471590908429468</v>
      </c>
      <c r="M616" s="82"/>
      <c r="N616" s="495"/>
      <c r="O616" s="480"/>
      <c r="P616" s="480"/>
    </row>
    <row r="617" spans="1:16" ht="12.75" thickBot="1">
      <c r="A617" s="81" t="s">
        <v>1279</v>
      </c>
      <c r="B617" s="2" t="s">
        <v>308</v>
      </c>
      <c r="C617" s="497">
        <v>194</v>
      </c>
      <c r="D617" s="497"/>
      <c r="E617" s="495">
        <v>34.090000000000003</v>
      </c>
      <c r="F617" s="190">
        <f t="shared" si="76"/>
        <v>6613.4600000000009</v>
      </c>
      <c r="H617" s="486">
        <f t="shared" si="73"/>
        <v>0.1077852521626062</v>
      </c>
      <c r="I617" s="486">
        <f t="shared" si="74"/>
        <v>194</v>
      </c>
      <c r="J617" s="480"/>
      <c r="K617" s="487">
        <f t="shared" si="75"/>
        <v>0.69668524493303507</v>
      </c>
      <c r="M617" s="82"/>
      <c r="N617" s="495"/>
      <c r="O617" s="480"/>
      <c r="P617" s="480"/>
    </row>
    <row r="618" spans="1:16" ht="12.75" thickBot="1">
      <c r="A618" s="81" t="s">
        <v>1279</v>
      </c>
      <c r="B618" s="135" t="s">
        <v>309</v>
      </c>
      <c r="C618" s="497">
        <v>189</v>
      </c>
      <c r="D618" s="497"/>
      <c r="E618" s="495">
        <v>36.07</v>
      </c>
      <c r="F618" s="190">
        <f t="shared" si="76"/>
        <v>6817.2300000000005</v>
      </c>
      <c r="H618" s="486">
        <f t="shared" si="73"/>
        <v>0.11110626730946944</v>
      </c>
      <c r="I618" s="486">
        <f t="shared" si="74"/>
        <v>189</v>
      </c>
      <c r="J618" s="480"/>
      <c r="K618" s="487">
        <f t="shared" si="75"/>
        <v>0.65844191848536648</v>
      </c>
      <c r="M618" s="82"/>
      <c r="N618" s="495"/>
      <c r="O618" s="480"/>
      <c r="P618" s="480"/>
    </row>
    <row r="619" spans="1:16" ht="12.75" thickBot="1">
      <c r="A619" s="81" t="s">
        <v>1279</v>
      </c>
      <c r="B619" s="2" t="s">
        <v>310</v>
      </c>
      <c r="C619" s="497">
        <v>13</v>
      </c>
      <c r="D619" s="497"/>
      <c r="E619" s="495">
        <v>32.26</v>
      </c>
      <c r="F619" s="190">
        <f t="shared" si="76"/>
        <v>419.38</v>
      </c>
      <c r="H619" s="486">
        <f t="shared" si="73"/>
        <v>6.8349969685994588E-3</v>
      </c>
      <c r="I619" s="486">
        <f t="shared" si="74"/>
        <v>13</v>
      </c>
      <c r="J619" s="480"/>
      <c r="K619" s="487">
        <f t="shared" si="75"/>
        <v>0.7362058276431237</v>
      </c>
      <c r="M619" s="82"/>
      <c r="N619" s="495"/>
      <c r="O619" s="480"/>
      <c r="P619" s="480"/>
    </row>
    <row r="620" spans="1:16" ht="12.75" thickBot="1">
      <c r="A620" s="81" t="s">
        <v>1279</v>
      </c>
      <c r="B620" s="2" t="s">
        <v>311</v>
      </c>
      <c r="C620" s="497">
        <v>44</v>
      </c>
      <c r="D620" s="497"/>
      <c r="E620" s="495">
        <v>32.93</v>
      </c>
      <c r="F620" s="190">
        <f t="shared" si="76"/>
        <v>1448.92</v>
      </c>
      <c r="H620" s="486">
        <f t="shared" si="73"/>
        <v>2.3614296837577209E-2</v>
      </c>
      <c r="I620" s="486">
        <f t="shared" si="74"/>
        <v>44</v>
      </c>
      <c r="J620" s="480"/>
      <c r="K620" s="487">
        <f t="shared" si="75"/>
        <v>0.72122684481527999</v>
      </c>
      <c r="M620" s="82"/>
      <c r="N620" s="495"/>
      <c r="O620" s="480"/>
      <c r="P620" s="480"/>
    </row>
    <row r="621" spans="1:16" ht="12.75" thickBot="1">
      <c r="A621" s="81" t="s">
        <v>1279</v>
      </c>
      <c r="B621" s="2" t="s">
        <v>339</v>
      </c>
      <c r="C621" s="497">
        <v>10</v>
      </c>
      <c r="D621" s="497"/>
      <c r="E621" s="495">
        <v>34.330000000000005</v>
      </c>
      <c r="F621" s="190">
        <f t="shared" si="76"/>
        <v>343.30000000000007</v>
      </c>
      <c r="H621" s="486">
        <f t="shared" si="73"/>
        <v>5.5950556996523316E-3</v>
      </c>
      <c r="I621" s="486">
        <f t="shared" si="74"/>
        <v>10</v>
      </c>
      <c r="J621" s="480"/>
      <c r="K621" s="487">
        <f t="shared" si="75"/>
        <v>0.69181473928829496</v>
      </c>
      <c r="M621" s="82"/>
      <c r="N621" s="495"/>
      <c r="O621" s="480"/>
      <c r="P621" s="480"/>
    </row>
    <row r="622" spans="1:16" ht="12.75" thickBot="1">
      <c r="A622" s="81" t="s">
        <v>1279</v>
      </c>
      <c r="B622" s="2" t="s">
        <v>312</v>
      </c>
      <c r="C622" s="497">
        <v>191</v>
      </c>
      <c r="D622" s="497"/>
      <c r="E622" s="495">
        <v>34.99</v>
      </c>
      <c r="F622" s="190">
        <f t="shared" si="76"/>
        <v>6683.09</v>
      </c>
      <c r="H622" s="486">
        <f t="shared" si="73"/>
        <v>0.1089200722277585</v>
      </c>
      <c r="I622" s="486">
        <f t="shared" si="74"/>
        <v>191</v>
      </c>
      <c r="J622" s="480"/>
      <c r="K622" s="487">
        <f t="shared" si="75"/>
        <v>0.67876536152521205</v>
      </c>
      <c r="M622" s="82"/>
      <c r="N622" s="495"/>
      <c r="O622" s="480"/>
      <c r="P622" s="480"/>
    </row>
    <row r="623" spans="1:16" ht="12.75" thickBot="1">
      <c r="A623" s="81" t="s">
        <v>1279</v>
      </c>
      <c r="B623" s="2" t="s">
        <v>688</v>
      </c>
      <c r="C623" s="497">
        <v>2</v>
      </c>
      <c r="D623" s="497"/>
      <c r="E623" s="495">
        <v>18.279999999999998</v>
      </c>
      <c r="F623" s="190">
        <f t="shared" si="76"/>
        <v>36.559999999999995</v>
      </c>
      <c r="H623" s="486">
        <f t="shared" si="73"/>
        <v>5.9584980011444569E-4</v>
      </c>
      <c r="I623" s="486">
        <f t="shared" si="74"/>
        <v>2</v>
      </c>
      <c r="J623" s="480"/>
      <c r="K623" s="487">
        <f t="shared" si="75"/>
        <v>1.2992341356546593</v>
      </c>
      <c r="M623" s="82"/>
      <c r="N623" s="495"/>
      <c r="O623" s="480"/>
      <c r="P623" s="480"/>
    </row>
    <row r="624" spans="1:16" ht="12.75" thickBot="1">
      <c r="A624" s="81" t="s">
        <v>1279</v>
      </c>
      <c r="B624" s="2" t="s">
        <v>341</v>
      </c>
      <c r="C624" s="497">
        <v>12</v>
      </c>
      <c r="D624" s="497"/>
      <c r="E624" s="495">
        <v>22.32</v>
      </c>
      <c r="F624" s="190">
        <f t="shared" si="76"/>
        <v>267.84000000000003</v>
      </c>
      <c r="H624" s="486">
        <f t="shared" si="73"/>
        <v>4.3652191045583464E-3</v>
      </c>
      <c r="I624" s="486">
        <f t="shared" si="74"/>
        <v>12</v>
      </c>
      <c r="J624" s="480"/>
      <c r="K624" s="487">
        <f t="shared" si="75"/>
        <v>1.0640681003479915</v>
      </c>
      <c r="M624" s="82"/>
      <c r="N624" s="495"/>
      <c r="O624" s="480"/>
      <c r="P624" s="480"/>
    </row>
    <row r="625" spans="1:16" ht="12.75" thickBot="1">
      <c r="A625" s="81" t="s">
        <v>1279</v>
      </c>
      <c r="B625" s="2" t="s">
        <v>317</v>
      </c>
      <c r="C625" s="497">
        <v>6194</v>
      </c>
      <c r="D625" s="497"/>
      <c r="E625" s="495">
        <v>12.82</v>
      </c>
      <c r="F625" s="190">
        <f t="shared" si="76"/>
        <v>79407.08</v>
      </c>
      <c r="H625" s="486">
        <f t="shared" si="73"/>
        <v>1.2941655565008698</v>
      </c>
      <c r="I625" s="486">
        <f t="shared" si="74"/>
        <v>6194</v>
      </c>
      <c r="J625" s="480"/>
      <c r="K625" s="487">
        <f t="shared" si="75"/>
        <v>1.852574102945957</v>
      </c>
      <c r="M625" s="82"/>
      <c r="N625" s="495"/>
      <c r="O625" s="480"/>
      <c r="P625" s="480"/>
    </row>
    <row r="626" spans="1:16" ht="12.75" thickBot="1">
      <c r="A626" s="81" t="s">
        <v>1279</v>
      </c>
      <c r="B626" s="135" t="s">
        <v>318</v>
      </c>
      <c r="C626" s="497">
        <v>8760</v>
      </c>
      <c r="D626" s="497"/>
      <c r="E626" s="495">
        <v>15.08</v>
      </c>
      <c r="F626" s="190">
        <f t="shared" si="76"/>
        <v>132100.79999999999</v>
      </c>
      <c r="H626" s="486">
        <f t="shared" si="73"/>
        <v>2.152960483450721</v>
      </c>
      <c r="I626" s="486">
        <f t="shared" si="74"/>
        <v>8760</v>
      </c>
      <c r="J626" s="480"/>
      <c r="K626" s="487">
        <f t="shared" si="75"/>
        <v>1.5749336869872128</v>
      </c>
      <c r="M626" s="82"/>
      <c r="N626" s="495"/>
      <c r="O626" s="480"/>
      <c r="P626" s="480"/>
    </row>
    <row r="627" spans="1:16" ht="12.75" thickBot="1">
      <c r="A627" s="81" t="s">
        <v>1279</v>
      </c>
      <c r="B627" s="2" t="s">
        <v>319</v>
      </c>
      <c r="C627" s="497">
        <v>5521</v>
      </c>
      <c r="D627" s="497"/>
      <c r="E627" s="495">
        <v>17.38</v>
      </c>
      <c r="F627" s="190">
        <f t="shared" si="76"/>
        <v>95954.98</v>
      </c>
      <c r="H627" s="486">
        <f t="shared" si="73"/>
        <v>1.563860931427397</v>
      </c>
      <c r="I627" s="486">
        <f t="shared" si="74"/>
        <v>5521</v>
      </c>
      <c r="J627" s="480"/>
      <c r="K627" s="487">
        <f t="shared" si="75"/>
        <v>1.3665132335884449</v>
      </c>
      <c r="M627" s="82"/>
      <c r="N627" s="495"/>
      <c r="O627" s="480"/>
      <c r="P627" s="480"/>
    </row>
    <row r="628" spans="1:16" ht="12.75" thickBot="1">
      <c r="A628" s="81" t="s">
        <v>1279</v>
      </c>
      <c r="B628" s="2" t="s">
        <v>320</v>
      </c>
      <c r="C628" s="497">
        <v>390</v>
      </c>
      <c r="D628" s="497"/>
      <c r="E628" s="495">
        <v>13.77</v>
      </c>
      <c r="F628" s="190">
        <f t="shared" si="76"/>
        <v>5370.3</v>
      </c>
      <c r="H628" s="486">
        <f t="shared" si="73"/>
        <v>8.7524403215388624E-2</v>
      </c>
      <c r="I628" s="486">
        <f t="shared" si="74"/>
        <v>390</v>
      </c>
      <c r="J628" s="480"/>
      <c r="K628" s="487">
        <f t="shared" si="75"/>
        <v>1.7247639796490319</v>
      </c>
      <c r="M628" s="82"/>
      <c r="N628" s="495"/>
      <c r="O628" s="480"/>
      <c r="P628" s="480"/>
    </row>
    <row r="629" spans="1:16" ht="12.75" thickBot="1">
      <c r="A629" s="81" t="s">
        <v>1279</v>
      </c>
      <c r="B629" s="2" t="s">
        <v>321</v>
      </c>
      <c r="C629" s="497">
        <v>12780</v>
      </c>
      <c r="D629" s="497"/>
      <c r="E629" s="495">
        <v>18.21</v>
      </c>
      <c r="F629" s="190">
        <f t="shared" si="76"/>
        <v>232723.80000000002</v>
      </c>
      <c r="H629" s="486">
        <f t="shared" si="73"/>
        <v>3.7929001562328843</v>
      </c>
      <c r="I629" s="486">
        <f t="shared" si="74"/>
        <v>12780</v>
      </c>
      <c r="J629" s="480"/>
      <c r="K629" s="487">
        <f t="shared" si="75"/>
        <v>1.3042284458960554</v>
      </c>
      <c r="M629" s="82"/>
      <c r="N629" s="495"/>
      <c r="O629" s="480"/>
      <c r="P629" s="480"/>
    </row>
    <row r="630" spans="1:16" ht="12.75" thickBot="1">
      <c r="A630" s="81" t="s">
        <v>1279</v>
      </c>
      <c r="B630" s="2" t="s">
        <v>322</v>
      </c>
      <c r="C630" s="497">
        <v>3149</v>
      </c>
      <c r="D630" s="497"/>
      <c r="E630" s="495">
        <v>10.86</v>
      </c>
      <c r="F630" s="190">
        <f t="shared" si="76"/>
        <v>34198.14</v>
      </c>
      <c r="H630" s="486">
        <f t="shared" si="73"/>
        <v>0.55735653400672402</v>
      </c>
      <c r="I630" s="486">
        <f t="shared" si="74"/>
        <v>3149</v>
      </c>
      <c r="J630" s="480"/>
      <c r="K630" s="487">
        <f t="shared" si="75"/>
        <v>2.1869244935328886</v>
      </c>
      <c r="M630" s="82"/>
      <c r="N630" s="495"/>
      <c r="O630" s="480"/>
      <c r="P630" s="480"/>
    </row>
    <row r="631" spans="1:16" ht="12.75" thickBot="1">
      <c r="A631" s="81" t="s">
        <v>1279</v>
      </c>
      <c r="B631" s="135" t="s">
        <v>323</v>
      </c>
      <c r="C631" s="497">
        <v>4</v>
      </c>
      <c r="D631" s="497"/>
      <c r="E631" s="495">
        <v>11.13</v>
      </c>
      <c r="F631" s="190">
        <f t="shared" si="76"/>
        <v>44.52</v>
      </c>
      <c r="H631" s="486">
        <f t="shared" si="73"/>
        <v>7.2558077409997604E-4</v>
      </c>
      <c r="I631" s="486">
        <f t="shared" si="74"/>
        <v>4</v>
      </c>
      <c r="J631" s="480"/>
      <c r="K631" s="487">
        <f t="shared" si="75"/>
        <v>2.1338724168703656</v>
      </c>
      <c r="M631" s="82"/>
      <c r="N631" s="495"/>
      <c r="O631" s="480"/>
      <c r="P631" s="480"/>
    </row>
    <row r="632" spans="1:16" ht="12.75" thickBot="1">
      <c r="A632" s="81" t="s">
        <v>1279</v>
      </c>
      <c r="B632" s="2" t="s">
        <v>328</v>
      </c>
      <c r="C632" s="497">
        <v>19</v>
      </c>
      <c r="D632" s="497"/>
      <c r="E632" s="495">
        <v>12.79</v>
      </c>
      <c r="F632" s="190">
        <f t="shared" si="76"/>
        <v>243.01</v>
      </c>
      <c r="H632" s="486">
        <f t="shared" si="73"/>
        <v>3.9605432146009693E-3</v>
      </c>
      <c r="I632" s="486">
        <f t="shared" si="74"/>
        <v>19</v>
      </c>
      <c r="J632" s="480"/>
      <c r="K632" s="487">
        <f t="shared" si="75"/>
        <v>1.8569194683164325</v>
      </c>
      <c r="M632" s="82"/>
      <c r="N632" s="495"/>
      <c r="O632" s="480"/>
      <c r="P632" s="480"/>
    </row>
    <row r="633" spans="1:16" ht="12.75" thickBot="1">
      <c r="A633" s="81" t="s">
        <v>1279</v>
      </c>
      <c r="B633" s="2" t="s">
        <v>329</v>
      </c>
      <c r="C633" s="497">
        <v>2</v>
      </c>
      <c r="D633" s="497"/>
      <c r="E633" s="495">
        <v>15.07</v>
      </c>
      <c r="F633" s="190">
        <f t="shared" si="76"/>
        <v>30.14</v>
      </c>
      <c r="H633" s="486">
        <f t="shared" si="73"/>
        <v>4.9121753215124165E-4</v>
      </c>
      <c r="I633" s="486">
        <f t="shared" si="74"/>
        <v>2</v>
      </c>
      <c r="J633" s="480"/>
      <c r="K633" s="487">
        <f t="shared" si="75"/>
        <v>1.5759787657443376</v>
      </c>
      <c r="M633" s="82"/>
      <c r="N633" s="495"/>
      <c r="O633" s="480"/>
      <c r="P633" s="480"/>
    </row>
    <row r="634" spans="1:16" ht="12.75" thickBot="1">
      <c r="A634" s="81" t="s">
        <v>1279</v>
      </c>
      <c r="B634" s="2" t="s">
        <v>330</v>
      </c>
      <c r="C634" s="497">
        <v>260</v>
      </c>
      <c r="D634" s="497"/>
      <c r="E634" s="495">
        <v>18.68</v>
      </c>
      <c r="F634" s="190">
        <f t="shared" si="76"/>
        <v>4856.8</v>
      </c>
      <c r="H634" s="486">
        <f t="shared" si="73"/>
        <v>7.9155451564437637E-2</v>
      </c>
      <c r="I634" s="486">
        <f t="shared" si="74"/>
        <v>260</v>
      </c>
      <c r="J634" s="480"/>
      <c r="K634" s="487">
        <f t="shared" si="75"/>
        <v>1.2714132762187993</v>
      </c>
      <c r="M634" s="82"/>
      <c r="N634" s="495"/>
      <c r="O634" s="480"/>
      <c r="P634" s="480"/>
    </row>
    <row r="635" spans="1:16" ht="12.75" thickBot="1">
      <c r="A635" s="81" t="s">
        <v>1279</v>
      </c>
      <c r="B635" s="2" t="s">
        <v>331</v>
      </c>
      <c r="C635" s="497">
        <v>52</v>
      </c>
      <c r="D635" s="497"/>
      <c r="E635" s="495">
        <v>20.970000000000002</v>
      </c>
      <c r="F635" s="190">
        <f t="shared" si="76"/>
        <v>1090.44</v>
      </c>
      <c r="H635" s="486">
        <f t="shared" si="73"/>
        <v>1.7771839607133376E-2</v>
      </c>
      <c r="I635" s="486">
        <f t="shared" si="74"/>
        <v>52</v>
      </c>
      <c r="J635" s="480"/>
      <c r="K635" s="487">
        <f t="shared" si="75"/>
        <v>1.1325703385678192</v>
      </c>
      <c r="M635" s="82"/>
      <c r="N635" s="495"/>
      <c r="O635" s="480"/>
      <c r="P635" s="480"/>
    </row>
    <row r="636" spans="1:16" ht="12.75" thickBot="1">
      <c r="A636" s="81" t="s">
        <v>1279</v>
      </c>
      <c r="B636" s="2" t="s">
        <v>332</v>
      </c>
      <c r="C636" s="497">
        <v>2</v>
      </c>
      <c r="D636" s="497"/>
      <c r="E636" s="495">
        <v>28.42</v>
      </c>
      <c r="F636" s="190">
        <f t="shared" si="76"/>
        <v>56.84</v>
      </c>
      <c r="H636" s="486">
        <f t="shared" si="73"/>
        <v>9.2637042227858572E-4</v>
      </c>
      <c r="I636" s="486">
        <f t="shared" si="74"/>
        <v>2</v>
      </c>
      <c r="J636" s="480"/>
      <c r="K636" s="487">
        <f t="shared" si="75"/>
        <v>0.83567909921770467</v>
      </c>
      <c r="M636" s="82"/>
      <c r="N636" s="495"/>
      <c r="O636" s="480"/>
      <c r="P636" s="480"/>
    </row>
    <row r="637" spans="1:16" ht="12.75" thickBot="1">
      <c r="A637" s="81" t="s">
        <v>1279</v>
      </c>
      <c r="B637" s="2" t="s">
        <v>333</v>
      </c>
      <c r="C637" s="497">
        <v>318</v>
      </c>
      <c r="D637" s="497"/>
      <c r="E637" s="495">
        <v>39.6</v>
      </c>
      <c r="F637" s="190">
        <f t="shared" si="76"/>
        <v>12592.800000000001</v>
      </c>
      <c r="H637" s="486">
        <f t="shared" si="73"/>
        <v>0.20523570467399324</v>
      </c>
      <c r="I637" s="486">
        <f t="shared" si="74"/>
        <v>318</v>
      </c>
      <c r="J637" s="480"/>
      <c r="K637" s="487">
        <f t="shared" si="75"/>
        <v>0.59974747474159518</v>
      </c>
      <c r="M637" s="82"/>
      <c r="N637" s="495"/>
      <c r="O637" s="480"/>
      <c r="P637" s="480"/>
    </row>
    <row r="638" spans="1:16" ht="12.75" thickBot="1">
      <c r="A638" s="81" t="s">
        <v>1279</v>
      </c>
      <c r="B638" s="2" t="s">
        <v>334</v>
      </c>
      <c r="C638" s="497">
        <v>59</v>
      </c>
      <c r="D638" s="497"/>
      <c r="E638" s="495">
        <v>42.78</v>
      </c>
      <c r="F638" s="190">
        <f t="shared" si="76"/>
        <v>2524.02</v>
      </c>
      <c r="H638" s="486">
        <f t="shared" si="73"/>
        <v>4.1136127256150526E-2</v>
      </c>
      <c r="I638" s="486">
        <f t="shared" si="74"/>
        <v>59</v>
      </c>
      <c r="J638" s="480"/>
      <c r="K638" s="487">
        <f t="shared" si="75"/>
        <v>0.55516596539895202</v>
      </c>
      <c r="M638" s="82"/>
      <c r="N638" s="495"/>
      <c r="O638" s="480"/>
      <c r="P638" s="480"/>
    </row>
    <row r="639" spans="1:16" ht="12.75" thickBot="1">
      <c r="A639" s="81" t="s">
        <v>1279</v>
      </c>
      <c r="B639" s="2" t="s">
        <v>620</v>
      </c>
      <c r="C639" s="497">
        <v>18</v>
      </c>
      <c r="D639" s="497"/>
      <c r="E639" s="495">
        <v>23.83</v>
      </c>
      <c r="F639" s="190">
        <f t="shared" ref="F639:F643" si="77">C639*E639</f>
        <v>428.93999999999994</v>
      </c>
      <c r="H639" s="486">
        <f t="shared" si="73"/>
        <v>6.9908045202705217E-3</v>
      </c>
      <c r="I639" s="486">
        <f t="shared" si="74"/>
        <v>18</v>
      </c>
      <c r="J639" s="480"/>
      <c r="K639" s="487">
        <f t="shared" si="75"/>
        <v>0.99664288710730886</v>
      </c>
      <c r="M639" s="82"/>
      <c r="N639" s="495"/>
      <c r="O639" s="480"/>
      <c r="P639" s="480"/>
    </row>
    <row r="640" spans="1:16" ht="12.75" thickBot="1">
      <c r="A640" s="81" t="s">
        <v>1279</v>
      </c>
      <c r="B640" s="135" t="s">
        <v>360</v>
      </c>
      <c r="C640" s="497">
        <v>4</v>
      </c>
      <c r="D640" s="497"/>
      <c r="E640" s="495">
        <v>20.46</v>
      </c>
      <c r="F640" s="190">
        <f t="shared" si="77"/>
        <v>81.84</v>
      </c>
      <c r="H640" s="486">
        <f t="shared" ref="H640:H643" si="78">F640/$M$580*$M$581</f>
        <v>1.3338169486150503E-3</v>
      </c>
      <c r="I640" s="486">
        <f t="shared" ref="I640:I643" si="79">ROUND((F640+H640)/E640,0)</f>
        <v>4</v>
      </c>
      <c r="J640" s="480"/>
      <c r="K640" s="487">
        <f t="shared" ref="K640:K643" si="80">$M$581/E640</f>
        <v>1.1608015640159906</v>
      </c>
      <c r="M640" s="82"/>
      <c r="N640" s="495"/>
      <c r="O640" s="480"/>
      <c r="P640" s="480"/>
    </row>
    <row r="641" spans="1:16" ht="12.75" thickBot="1">
      <c r="A641" s="81" t="s">
        <v>1279</v>
      </c>
      <c r="B641" s="2" t="s">
        <v>335</v>
      </c>
      <c r="C641" s="497">
        <v>39</v>
      </c>
      <c r="D641" s="497"/>
      <c r="E641" s="495">
        <v>30.21</v>
      </c>
      <c r="F641" s="190">
        <f t="shared" si="77"/>
        <v>1178.19</v>
      </c>
      <c r="H641" s="486">
        <f t="shared" si="78"/>
        <v>1.9201976914574367E-2</v>
      </c>
      <c r="I641" s="486">
        <f t="shared" si="79"/>
        <v>39</v>
      </c>
      <c r="J641" s="480"/>
      <c r="K641" s="487">
        <f t="shared" si="80"/>
        <v>0.7861635220048715</v>
      </c>
      <c r="M641" s="82"/>
      <c r="N641" s="495"/>
      <c r="O641" s="480"/>
      <c r="P641" s="480"/>
    </row>
    <row r="642" spans="1:16" ht="12.75" thickBot="1">
      <c r="A642" s="81" t="s">
        <v>1279</v>
      </c>
      <c r="B642" s="2" t="s">
        <v>336</v>
      </c>
      <c r="C642" s="497">
        <v>2</v>
      </c>
      <c r="D642" s="497"/>
      <c r="E642" s="495">
        <v>42.56</v>
      </c>
      <c r="F642" s="190">
        <f t="shared" si="77"/>
        <v>85.12</v>
      </c>
      <c r="H642" s="486">
        <f t="shared" si="78"/>
        <v>1.3872739328703945E-3</v>
      </c>
      <c r="I642" s="486">
        <f t="shared" si="79"/>
        <v>2</v>
      </c>
      <c r="J642" s="480"/>
      <c r="K642" s="487">
        <f t="shared" si="80"/>
        <v>0.55803571428024357</v>
      </c>
      <c r="M642" s="82"/>
      <c r="N642" s="495"/>
      <c r="O642" s="480"/>
      <c r="P642" s="480"/>
    </row>
    <row r="643" spans="1:16" ht="12.75" thickBot="1">
      <c r="A643" s="81" t="s">
        <v>1279</v>
      </c>
      <c r="B643" s="2" t="s">
        <v>337</v>
      </c>
      <c r="C643" s="497">
        <v>13</v>
      </c>
      <c r="D643" s="497"/>
      <c r="E643" s="495">
        <v>52.31</v>
      </c>
      <c r="F643" s="190">
        <f t="shared" si="77"/>
        <v>680.03</v>
      </c>
      <c r="H643" s="486">
        <f t="shared" si="78"/>
        <v>1.1083034452183439E-2</v>
      </c>
      <c r="I643" s="486">
        <f t="shared" si="79"/>
        <v>13</v>
      </c>
      <c r="J643" s="480"/>
      <c r="K643" s="487">
        <f t="shared" si="80"/>
        <v>0.45402408716817372</v>
      </c>
      <c r="M643" s="82"/>
      <c r="N643" s="495"/>
      <c r="O643" s="480"/>
      <c r="P643" s="480"/>
    </row>
    <row r="644" spans="1:16" ht="12.75" thickBot="1">
      <c r="A644" s="81" t="s">
        <v>1279</v>
      </c>
      <c r="B644" s="2"/>
      <c r="C644" s="497"/>
      <c r="D644" s="497"/>
      <c r="E644" s="497"/>
      <c r="F644" s="480"/>
      <c r="H644" s="495"/>
      <c r="I644" s="495"/>
      <c r="J644" s="495"/>
      <c r="K644" s="480"/>
      <c r="M644" s="82"/>
      <c r="N644" s="495"/>
      <c r="O644" s="480"/>
      <c r="P644" s="480"/>
    </row>
    <row r="645" spans="1:16" ht="12.75" thickBot="1">
      <c r="A645" s="81" t="s">
        <v>1279</v>
      </c>
      <c r="B645" s="50"/>
      <c r="C645" s="79"/>
      <c r="D645" s="79"/>
      <c r="E645" s="79"/>
      <c r="F645" s="80"/>
      <c r="H645" s="80"/>
      <c r="I645" s="80"/>
      <c r="J645" s="80"/>
      <c r="K645" s="80"/>
      <c r="M645" s="82"/>
      <c r="N645" s="495"/>
      <c r="O645" s="480"/>
      <c r="P645" s="480"/>
    </row>
    <row r="646" spans="1:16" ht="12.75" thickBot="1">
      <c r="A646" s="81" t="s">
        <v>1280</v>
      </c>
      <c r="B646" s="2" t="s">
        <v>342</v>
      </c>
      <c r="C646" s="497">
        <v>75</v>
      </c>
      <c r="D646" s="497"/>
      <c r="E646" s="495">
        <v>8.14</v>
      </c>
      <c r="F646" s="190">
        <f t="shared" ref="F646:F677" si="81">C646*E646</f>
        <v>610.5</v>
      </c>
      <c r="H646" s="486">
        <f>F646/$M$651*$M$652</f>
        <v>1.1317502039156095E-2</v>
      </c>
      <c r="I646" s="486">
        <f>ROUND((F646+H646)/E646,0)</f>
        <v>75</v>
      </c>
      <c r="J646" s="480"/>
      <c r="K646" s="487">
        <f>$M$652/E646</f>
        <v>3.3353808353407906</v>
      </c>
      <c r="M646" s="488">
        <f>'12MonLights'!$K$733</f>
        <v>1533182</v>
      </c>
      <c r="N646" s="480" t="s">
        <v>1304</v>
      </c>
      <c r="O646" s="480"/>
      <c r="P646" s="480"/>
    </row>
    <row r="647" spans="1:16" ht="12.75" thickBot="1">
      <c r="A647" s="81" t="s">
        <v>1280</v>
      </c>
      <c r="B647" s="2" t="s">
        <v>213</v>
      </c>
      <c r="C647" s="497">
        <v>3845</v>
      </c>
      <c r="D647" s="497"/>
      <c r="E647" s="495">
        <v>10.959999999999999</v>
      </c>
      <c r="F647" s="190">
        <f t="shared" si="81"/>
        <v>42141.2</v>
      </c>
      <c r="H647" s="486">
        <f t="shared" ref="H647:H710" si="82">F647/$M$651*$M$652</f>
        <v>0.78121722675263694</v>
      </c>
      <c r="I647" s="486">
        <f t="shared" ref="I647:I710" si="83">ROUND((F647+H647)/E647,0)</f>
        <v>3845</v>
      </c>
      <c r="J647" s="480"/>
      <c r="K647" s="487">
        <f t="shared" ref="K647:K710" si="84">$M$652/E647</f>
        <v>2.4771897809921568</v>
      </c>
      <c r="M647" s="488">
        <f>-M659</f>
        <v>-39765.43</v>
      </c>
      <c r="N647" s="489" t="s">
        <v>1306</v>
      </c>
      <c r="O647" s="480"/>
      <c r="P647" s="480"/>
    </row>
    <row r="648" spans="1:16" ht="12.75" thickBot="1">
      <c r="A648" s="81" t="s">
        <v>1280</v>
      </c>
      <c r="B648" s="2" t="s">
        <v>214</v>
      </c>
      <c r="C648" s="497">
        <v>3835</v>
      </c>
      <c r="D648" s="497"/>
      <c r="E648" s="495">
        <v>13.510000000000002</v>
      </c>
      <c r="F648" s="190">
        <f t="shared" si="81"/>
        <v>51810.850000000006</v>
      </c>
      <c r="H648" s="486">
        <f t="shared" si="82"/>
        <v>0.96047403853466129</v>
      </c>
      <c r="I648" s="486">
        <f t="shared" si="83"/>
        <v>3835</v>
      </c>
      <c r="J648" s="480"/>
      <c r="K648" s="487">
        <f t="shared" si="84"/>
        <v>2.0096225018263532</v>
      </c>
      <c r="M648" s="490">
        <f>M646+M647</f>
        <v>1493416.57</v>
      </c>
      <c r="N648" s="491" t="s">
        <v>1307</v>
      </c>
      <c r="O648" s="480"/>
      <c r="P648" s="480"/>
    </row>
    <row r="649" spans="1:16" ht="12.75" thickBot="1">
      <c r="A649" s="81" t="s">
        <v>1280</v>
      </c>
      <c r="B649" s="2" t="s">
        <v>215</v>
      </c>
      <c r="C649" s="497">
        <v>96</v>
      </c>
      <c r="D649" s="497"/>
      <c r="E649" s="495">
        <v>12.450000000000001</v>
      </c>
      <c r="F649" s="190">
        <f t="shared" si="81"/>
        <v>1195.2</v>
      </c>
      <c r="H649" s="486">
        <f t="shared" si="82"/>
        <v>2.2156721436854002E-2</v>
      </c>
      <c r="I649" s="486">
        <f t="shared" si="83"/>
        <v>96</v>
      </c>
      <c r="J649" s="480"/>
      <c r="K649" s="487">
        <f t="shared" si="84"/>
        <v>2.1807228915400829</v>
      </c>
      <c r="M649" s="490">
        <f>'1051'!$K$256</f>
        <v>28837.000000000007</v>
      </c>
      <c r="N649" s="492" t="s">
        <v>1308</v>
      </c>
      <c r="O649" s="480"/>
      <c r="P649" s="480"/>
    </row>
    <row r="650" spans="1:16" ht="12.75" thickBot="1">
      <c r="A650" s="81" t="s">
        <v>1280</v>
      </c>
      <c r="B650" s="2" t="s">
        <v>216</v>
      </c>
      <c r="C650" s="497">
        <v>790</v>
      </c>
      <c r="D650" s="497"/>
      <c r="E650" s="495">
        <v>15.54</v>
      </c>
      <c r="F650" s="190">
        <f t="shared" si="81"/>
        <v>12276.599999999999</v>
      </c>
      <c r="H650" s="486">
        <f t="shared" si="82"/>
        <v>0.22758467736921165</v>
      </c>
      <c r="I650" s="486">
        <f t="shared" si="83"/>
        <v>790</v>
      </c>
      <c r="J650" s="480"/>
      <c r="K650" s="487">
        <f t="shared" si="84"/>
        <v>1.7471042470832714</v>
      </c>
      <c r="M650" s="490">
        <f>M648-M649</f>
        <v>1464579.57</v>
      </c>
      <c r="N650" s="492" t="s">
        <v>1309</v>
      </c>
      <c r="O650" s="480"/>
      <c r="P650" s="480"/>
    </row>
    <row r="651" spans="1:16" ht="12.75" thickBot="1">
      <c r="A651" s="81" t="s">
        <v>1280</v>
      </c>
      <c r="B651" s="2" t="s">
        <v>217</v>
      </c>
      <c r="C651" s="497">
        <v>1454</v>
      </c>
      <c r="D651" s="497"/>
      <c r="E651" s="495">
        <v>14.24</v>
      </c>
      <c r="F651" s="190">
        <f t="shared" si="81"/>
        <v>20704.96</v>
      </c>
      <c r="H651" s="486">
        <f t="shared" si="82"/>
        <v>0.38383034729016446</v>
      </c>
      <c r="I651" s="486">
        <f t="shared" si="83"/>
        <v>1454</v>
      </c>
      <c r="J651" s="480"/>
      <c r="K651" s="487">
        <f t="shared" si="84"/>
        <v>1.906601123572615</v>
      </c>
      <c r="M651" s="490">
        <f>SUM(F646:F714)</f>
        <v>1464552.4200000004</v>
      </c>
      <c r="N651" s="491" t="s">
        <v>1310</v>
      </c>
      <c r="O651" s="480"/>
      <c r="P651" s="480"/>
    </row>
    <row r="652" spans="1:16" ht="12.75" thickBot="1">
      <c r="A652" s="81" t="s">
        <v>1280</v>
      </c>
      <c r="B652" s="2" t="s">
        <v>344</v>
      </c>
      <c r="C652" s="497">
        <v>45</v>
      </c>
      <c r="D652" s="497"/>
      <c r="E652" s="495">
        <v>27.69</v>
      </c>
      <c r="F652" s="190">
        <f t="shared" si="81"/>
        <v>1246.05</v>
      </c>
      <c r="H652" s="486">
        <f t="shared" si="82"/>
        <v>2.3099383154611717E-2</v>
      </c>
      <c r="I652" s="486">
        <f t="shared" si="83"/>
        <v>45</v>
      </c>
      <c r="J652" s="480"/>
      <c r="K652" s="487">
        <f t="shared" si="84"/>
        <v>0.98049837485280011</v>
      </c>
      <c r="M652" s="490">
        <f>M650-M651</f>
        <v>27.149999999674037</v>
      </c>
      <c r="N652" s="492"/>
      <c r="O652" s="480"/>
      <c r="P652" s="480"/>
    </row>
    <row r="653" spans="1:16" ht="12.75" thickBot="1">
      <c r="A653" s="81" t="s">
        <v>1280</v>
      </c>
      <c r="B653" s="135" t="s">
        <v>218</v>
      </c>
      <c r="C653" s="497">
        <v>362</v>
      </c>
      <c r="D653" s="497"/>
      <c r="E653" s="495">
        <v>28.89</v>
      </c>
      <c r="F653" s="190">
        <f t="shared" si="81"/>
        <v>10458.18</v>
      </c>
      <c r="H653" s="486">
        <f t="shared" si="82"/>
        <v>0.19387464942811058</v>
      </c>
      <c r="I653" s="486">
        <f t="shared" si="83"/>
        <v>362</v>
      </c>
      <c r="J653" s="480"/>
      <c r="K653" s="487">
        <f t="shared" si="84"/>
        <v>0.93977154723689982</v>
      </c>
      <c r="M653" s="490"/>
      <c r="N653" s="492"/>
      <c r="O653" s="480"/>
      <c r="P653" s="480"/>
    </row>
    <row r="654" spans="1:16" ht="12.75" thickBot="1">
      <c r="A654" s="81" t="s">
        <v>1280</v>
      </c>
      <c r="B654" s="2" t="s">
        <v>223</v>
      </c>
      <c r="C654" s="497">
        <v>4003</v>
      </c>
      <c r="D654" s="497"/>
      <c r="E654" s="495">
        <v>9.57</v>
      </c>
      <c r="F654" s="190">
        <f t="shared" si="81"/>
        <v>38308.71</v>
      </c>
      <c r="H654" s="486">
        <f t="shared" si="82"/>
        <v>0.7101701941727101</v>
      </c>
      <c r="I654" s="486">
        <f t="shared" si="83"/>
        <v>4003</v>
      </c>
      <c r="J654" s="480"/>
      <c r="K654" s="487">
        <f t="shared" si="84"/>
        <v>2.8369905955772241</v>
      </c>
      <c r="M654" s="490"/>
      <c r="N654" s="492"/>
      <c r="O654" s="480"/>
      <c r="P654" s="480"/>
    </row>
    <row r="655" spans="1:16" ht="12.75" thickBot="1">
      <c r="A655" s="81" t="s">
        <v>1280</v>
      </c>
      <c r="B655" s="2" t="s">
        <v>231</v>
      </c>
      <c r="C655" s="497">
        <v>2011</v>
      </c>
      <c r="D655" s="497"/>
      <c r="E655" s="495">
        <v>27.34</v>
      </c>
      <c r="F655" s="190">
        <f t="shared" si="81"/>
        <v>54980.74</v>
      </c>
      <c r="H655" s="486">
        <f t="shared" si="82"/>
        <v>1.0192377347490764</v>
      </c>
      <c r="I655" s="486">
        <f t="shared" si="83"/>
        <v>2011</v>
      </c>
      <c r="J655" s="480"/>
      <c r="K655" s="487">
        <f t="shared" si="84"/>
        <v>0.99305047548185943</v>
      </c>
      <c r="M655" s="493"/>
      <c r="N655" s="492"/>
      <c r="O655" s="480"/>
      <c r="P655" s="480"/>
    </row>
    <row r="656" spans="1:16" ht="12.75" thickBot="1">
      <c r="A656" s="81" t="s">
        <v>1280</v>
      </c>
      <c r="B656" s="2" t="s">
        <v>232</v>
      </c>
      <c r="C656" s="497">
        <v>2261</v>
      </c>
      <c r="D656" s="497"/>
      <c r="E656" s="495">
        <v>31.4</v>
      </c>
      <c r="F656" s="190">
        <f t="shared" si="81"/>
        <v>70995.399999999994</v>
      </c>
      <c r="H656" s="486">
        <f t="shared" si="82"/>
        <v>1.3161188931543042</v>
      </c>
      <c r="I656" s="486">
        <f t="shared" si="83"/>
        <v>2261</v>
      </c>
      <c r="J656" s="480"/>
      <c r="K656" s="487">
        <f t="shared" si="84"/>
        <v>0.86464968151828148</v>
      </c>
      <c r="M656" s="492"/>
      <c r="N656" s="494"/>
      <c r="O656" s="480"/>
      <c r="P656" s="480"/>
    </row>
    <row r="657" spans="1:16" ht="12.75" thickBot="1">
      <c r="A657" s="81" t="s">
        <v>1280</v>
      </c>
      <c r="B657" s="2" t="s">
        <v>234</v>
      </c>
      <c r="C657" s="497">
        <v>16614</v>
      </c>
      <c r="D657" s="497"/>
      <c r="E657" s="495">
        <v>17.189999999999998</v>
      </c>
      <c r="F657" s="190">
        <f t="shared" si="81"/>
        <v>285594.65999999997</v>
      </c>
      <c r="H657" s="486">
        <f t="shared" si="82"/>
        <v>5.2943786190370048</v>
      </c>
      <c r="I657" s="486">
        <f t="shared" si="83"/>
        <v>16614</v>
      </c>
      <c r="J657" s="480"/>
      <c r="K657" s="487">
        <f t="shared" si="84"/>
        <v>1.5794066317436906</v>
      </c>
      <c r="M657" s="492">
        <f>'12MonResults'!$AD$374</f>
        <v>17662.560000000001</v>
      </c>
      <c r="N657" s="494" t="s">
        <v>17</v>
      </c>
      <c r="O657" s="480" t="s">
        <v>1311</v>
      </c>
      <c r="P657" s="480"/>
    </row>
    <row r="658" spans="1:16" ht="12.75" thickBot="1">
      <c r="A658" s="81" t="s">
        <v>1280</v>
      </c>
      <c r="B658" s="2" t="s">
        <v>353</v>
      </c>
      <c r="C658" s="497">
        <v>529</v>
      </c>
      <c r="D658" s="497"/>
      <c r="E658" s="495">
        <v>24.89</v>
      </c>
      <c r="F658" s="190">
        <f t="shared" si="81"/>
        <v>13166.81</v>
      </c>
      <c r="H658" s="486">
        <f t="shared" si="82"/>
        <v>0.24408746768907597</v>
      </c>
      <c r="I658" s="486">
        <f t="shared" si="83"/>
        <v>529</v>
      </c>
      <c r="J658" s="480"/>
      <c r="K658" s="487">
        <f t="shared" si="84"/>
        <v>1.0907995178655701</v>
      </c>
      <c r="M658" s="492">
        <f>'12MonResults'!$AD$376</f>
        <v>22102.87</v>
      </c>
      <c r="N658" s="494" t="s">
        <v>18</v>
      </c>
      <c r="O658" s="480"/>
      <c r="P658" s="480"/>
    </row>
    <row r="659" spans="1:16" ht="12.75" thickBot="1">
      <c r="A659" s="81" t="s">
        <v>1280</v>
      </c>
      <c r="B659" s="135" t="s">
        <v>235</v>
      </c>
      <c r="C659" s="497">
        <v>1283</v>
      </c>
      <c r="D659" s="497"/>
      <c r="E659" s="495">
        <v>14.17</v>
      </c>
      <c r="F659" s="190">
        <f t="shared" si="81"/>
        <v>18180.11</v>
      </c>
      <c r="H659" s="486">
        <f t="shared" si="82"/>
        <v>0.3370244586356792</v>
      </c>
      <c r="I659" s="486">
        <f t="shared" si="83"/>
        <v>1283</v>
      </c>
      <c r="J659" s="480"/>
      <c r="K659" s="487">
        <f t="shared" si="84"/>
        <v>1.9160197600334536</v>
      </c>
      <c r="M659" s="492">
        <f>M657+M658</f>
        <v>39765.43</v>
      </c>
      <c r="N659" s="494"/>
      <c r="O659" s="480"/>
      <c r="P659" s="480"/>
    </row>
    <row r="660" spans="1:16" ht="12.75" thickBot="1">
      <c r="A660" s="81" t="s">
        <v>1280</v>
      </c>
      <c r="B660" s="2" t="s">
        <v>236</v>
      </c>
      <c r="C660" s="497">
        <v>2259</v>
      </c>
      <c r="D660" s="497"/>
      <c r="E660" s="495">
        <v>22.15</v>
      </c>
      <c r="F660" s="190">
        <f t="shared" si="81"/>
        <v>50036.85</v>
      </c>
      <c r="H660" s="486">
        <f t="shared" si="82"/>
        <v>0.92758747241269068</v>
      </c>
      <c r="I660" s="486">
        <f t="shared" si="83"/>
        <v>2259</v>
      </c>
      <c r="J660" s="480"/>
      <c r="K660" s="487">
        <f t="shared" si="84"/>
        <v>1.2257336342967964</v>
      </c>
      <c r="M660" s="82"/>
      <c r="N660" s="495"/>
      <c r="O660" s="480"/>
      <c r="P660" s="480"/>
    </row>
    <row r="661" spans="1:16" ht="12.75" thickBot="1">
      <c r="A661" s="81" t="s">
        <v>1280</v>
      </c>
      <c r="B661" s="2" t="s">
        <v>354</v>
      </c>
      <c r="C661" s="497">
        <v>16</v>
      </c>
      <c r="D661" s="497"/>
      <c r="E661" s="495">
        <v>72.550000000000011</v>
      </c>
      <c r="F661" s="190">
        <f t="shared" si="81"/>
        <v>1160.8000000000002</v>
      </c>
      <c r="H661" s="486">
        <f t="shared" si="82"/>
        <v>2.1519011248243076E-2</v>
      </c>
      <c r="I661" s="486">
        <f t="shared" si="83"/>
        <v>16</v>
      </c>
      <c r="J661" s="480"/>
      <c r="K661" s="487">
        <f t="shared" si="84"/>
        <v>0.37422467263506592</v>
      </c>
      <c r="M661" s="82"/>
      <c r="N661" s="495"/>
      <c r="O661" s="480"/>
      <c r="P661" s="480"/>
    </row>
    <row r="662" spans="1:16" ht="12.75" thickBot="1">
      <c r="A662" s="81" t="s">
        <v>1280</v>
      </c>
      <c r="B662" s="2" t="s">
        <v>355</v>
      </c>
      <c r="C662" s="497">
        <v>11</v>
      </c>
      <c r="D662" s="497"/>
      <c r="E662" s="495">
        <v>41.43</v>
      </c>
      <c r="F662" s="190">
        <f t="shared" si="81"/>
        <v>455.73</v>
      </c>
      <c r="H662" s="486">
        <f t="shared" si="82"/>
        <v>8.4483623330132811E-3</v>
      </c>
      <c r="I662" s="486">
        <f t="shared" si="83"/>
        <v>11</v>
      </c>
      <c r="J662" s="480"/>
      <c r="K662" s="487">
        <f t="shared" si="84"/>
        <v>0.65532223026005398</v>
      </c>
      <c r="M662" s="82"/>
      <c r="N662" s="495"/>
      <c r="O662" s="480"/>
      <c r="P662" s="480"/>
    </row>
    <row r="663" spans="1:16" ht="12.75" thickBot="1">
      <c r="A663" s="81" t="s">
        <v>1280</v>
      </c>
      <c r="B663" s="2" t="s">
        <v>359</v>
      </c>
      <c r="C663" s="497">
        <v>45</v>
      </c>
      <c r="D663" s="497"/>
      <c r="E663" s="495">
        <v>19.38</v>
      </c>
      <c r="F663" s="190">
        <f t="shared" si="81"/>
        <v>872.09999999999991</v>
      </c>
      <c r="H663" s="486">
        <f t="shared" si="82"/>
        <v>1.616706556649964E-2</v>
      </c>
      <c r="I663" s="486">
        <f t="shared" si="83"/>
        <v>45</v>
      </c>
      <c r="J663" s="480"/>
      <c r="K663" s="487">
        <f t="shared" si="84"/>
        <v>1.40092879255284</v>
      </c>
      <c r="M663" s="82"/>
      <c r="N663" s="495"/>
      <c r="O663" s="480"/>
      <c r="P663" s="480"/>
    </row>
    <row r="664" spans="1:16" ht="12.75" thickBot="1">
      <c r="A664" s="81" t="s">
        <v>1280</v>
      </c>
      <c r="B664" s="2" t="s">
        <v>356</v>
      </c>
      <c r="C664" s="497">
        <v>239</v>
      </c>
      <c r="D664" s="497"/>
      <c r="E664" s="495">
        <v>20.349999999999998</v>
      </c>
      <c r="F664" s="190">
        <f t="shared" si="81"/>
        <v>4863.6499999999996</v>
      </c>
      <c r="H664" s="486">
        <f t="shared" si="82"/>
        <v>9.0162766245276887E-2</v>
      </c>
      <c r="I664" s="486">
        <f t="shared" si="83"/>
        <v>239</v>
      </c>
      <c r="J664" s="480"/>
      <c r="K664" s="487">
        <f t="shared" si="84"/>
        <v>1.3341523341363164</v>
      </c>
      <c r="M664" s="82"/>
      <c r="N664" s="495"/>
      <c r="O664" s="480"/>
      <c r="P664" s="480"/>
    </row>
    <row r="665" spans="1:16" ht="12.75" thickBot="1">
      <c r="A665" s="81" t="s">
        <v>1280</v>
      </c>
      <c r="B665" s="135" t="s">
        <v>357</v>
      </c>
      <c r="C665" s="497">
        <v>103</v>
      </c>
      <c r="D665" s="497"/>
      <c r="E665" s="495">
        <v>19.53</v>
      </c>
      <c r="F665" s="190">
        <f t="shared" si="81"/>
        <v>2011.5900000000001</v>
      </c>
      <c r="H665" s="486">
        <f t="shared" si="82"/>
        <v>3.7291030183367754E-2</v>
      </c>
      <c r="I665" s="486">
        <f t="shared" si="83"/>
        <v>103</v>
      </c>
      <c r="J665" s="480"/>
      <c r="K665" s="487">
        <f t="shared" si="84"/>
        <v>1.3901689707974416</v>
      </c>
      <c r="M665" s="82"/>
      <c r="N665" s="495"/>
      <c r="O665" s="480"/>
      <c r="P665" s="480"/>
    </row>
    <row r="666" spans="1:16" ht="12.75" thickBot="1">
      <c r="A666" s="81" t="s">
        <v>1280</v>
      </c>
      <c r="B666" s="2" t="s">
        <v>358</v>
      </c>
      <c r="C666" s="497">
        <v>79</v>
      </c>
      <c r="D666" s="497"/>
      <c r="E666" s="495">
        <v>20.819999999999997</v>
      </c>
      <c r="F666" s="190">
        <f t="shared" si="81"/>
        <v>1644.7799999999997</v>
      </c>
      <c r="H666" s="486">
        <f t="shared" si="82"/>
        <v>3.0491074535566192E-2</v>
      </c>
      <c r="I666" s="486">
        <f t="shared" si="83"/>
        <v>79</v>
      </c>
      <c r="J666" s="480"/>
      <c r="K666" s="487">
        <f t="shared" si="84"/>
        <v>1.3040345821169088</v>
      </c>
      <c r="M666" s="82"/>
      <c r="N666" s="495"/>
      <c r="O666" s="480"/>
      <c r="P666" s="480"/>
    </row>
    <row r="667" spans="1:16" ht="12.75" thickBot="1">
      <c r="A667" s="81" t="s">
        <v>1280</v>
      </c>
      <c r="B667" s="2" t="s">
        <v>250</v>
      </c>
      <c r="C667" s="497">
        <v>555</v>
      </c>
      <c r="D667" s="497"/>
      <c r="E667" s="495">
        <v>19.2</v>
      </c>
      <c r="F667" s="190">
        <f t="shared" si="81"/>
        <v>10656</v>
      </c>
      <c r="H667" s="486">
        <f t="shared" si="82"/>
        <v>0.19754185377436095</v>
      </c>
      <c r="I667" s="486">
        <f t="shared" si="83"/>
        <v>555</v>
      </c>
      <c r="J667" s="480"/>
      <c r="K667" s="487">
        <f t="shared" si="84"/>
        <v>1.4140624999830229</v>
      </c>
      <c r="M667" s="82"/>
      <c r="N667" s="495"/>
      <c r="O667" s="480"/>
      <c r="P667" s="480"/>
    </row>
    <row r="668" spans="1:16" ht="12.75" thickBot="1">
      <c r="A668" s="81" t="s">
        <v>1280</v>
      </c>
      <c r="B668" s="2" t="s">
        <v>251</v>
      </c>
      <c r="C668" s="497">
        <v>531</v>
      </c>
      <c r="D668" s="497"/>
      <c r="E668" s="495">
        <v>22.949999999999996</v>
      </c>
      <c r="F668" s="190">
        <f t="shared" si="81"/>
        <v>12186.449999999997</v>
      </c>
      <c r="H668" s="486">
        <f t="shared" si="82"/>
        <v>0.2259134688371397</v>
      </c>
      <c r="I668" s="486">
        <f t="shared" si="83"/>
        <v>531</v>
      </c>
      <c r="J668" s="480"/>
      <c r="K668" s="487">
        <f t="shared" si="84"/>
        <v>1.1830065359335094</v>
      </c>
      <c r="M668" s="82"/>
      <c r="N668" s="495"/>
      <c r="O668" s="480"/>
      <c r="P668" s="480"/>
    </row>
    <row r="669" spans="1:16" ht="12.75" thickBot="1">
      <c r="A669" s="81" t="s">
        <v>1280</v>
      </c>
      <c r="B669" s="2" t="s">
        <v>254</v>
      </c>
      <c r="C669" s="497">
        <v>54</v>
      </c>
      <c r="D669" s="497"/>
      <c r="E669" s="495">
        <v>17.419999999999998</v>
      </c>
      <c r="F669" s="190">
        <f t="shared" si="81"/>
        <v>940.68</v>
      </c>
      <c r="H669" s="486">
        <f t="shared" si="82"/>
        <v>1.743840756460828E-2</v>
      </c>
      <c r="I669" s="486">
        <f t="shared" si="83"/>
        <v>54</v>
      </c>
      <c r="J669" s="480"/>
      <c r="K669" s="487">
        <f t="shared" si="84"/>
        <v>1.558553386892884</v>
      </c>
      <c r="M669" s="82"/>
      <c r="N669" s="495"/>
      <c r="O669" s="480"/>
      <c r="P669" s="480"/>
    </row>
    <row r="670" spans="1:16" ht="12.75" thickBot="1">
      <c r="A670" s="81" t="s">
        <v>1280</v>
      </c>
      <c r="B670" s="135" t="s">
        <v>260</v>
      </c>
      <c r="C670" s="497">
        <v>39</v>
      </c>
      <c r="D670" s="497"/>
      <c r="E670" s="495">
        <v>13.12</v>
      </c>
      <c r="F670" s="190">
        <f t="shared" si="81"/>
        <v>511.67999999999995</v>
      </c>
      <c r="H670" s="486">
        <f t="shared" si="82"/>
        <v>9.4855682938499424E-3</v>
      </c>
      <c r="I670" s="486">
        <f t="shared" si="83"/>
        <v>39</v>
      </c>
      <c r="J670" s="480"/>
      <c r="K670" s="487">
        <f t="shared" si="84"/>
        <v>2.0693597560727164</v>
      </c>
      <c r="M670" s="82"/>
      <c r="N670" s="495"/>
      <c r="O670" s="480"/>
      <c r="P670" s="480"/>
    </row>
    <row r="671" spans="1:16" ht="12.75" thickBot="1">
      <c r="A671" s="81" t="s">
        <v>1280</v>
      </c>
      <c r="B671" s="2" t="s">
        <v>262</v>
      </c>
      <c r="C671" s="497">
        <v>16</v>
      </c>
      <c r="D671" s="497"/>
      <c r="E671" s="495">
        <v>9.0200000000000014</v>
      </c>
      <c r="F671" s="190">
        <f t="shared" si="81"/>
        <v>144.32000000000002</v>
      </c>
      <c r="H671" s="486">
        <f t="shared" si="82"/>
        <v>2.6754166982653695E-3</v>
      </c>
      <c r="I671" s="486">
        <f t="shared" si="83"/>
        <v>16</v>
      </c>
      <c r="J671" s="480"/>
      <c r="K671" s="487">
        <f t="shared" si="84"/>
        <v>3.0099778270148594</v>
      </c>
      <c r="M671" s="82"/>
      <c r="N671" s="495"/>
      <c r="O671" s="480"/>
      <c r="P671" s="480"/>
    </row>
    <row r="672" spans="1:16" ht="12.75" thickBot="1">
      <c r="A672" s="81" t="s">
        <v>1280</v>
      </c>
      <c r="B672" s="2" t="s">
        <v>340</v>
      </c>
      <c r="C672" s="497">
        <v>48</v>
      </c>
      <c r="D672" s="497"/>
      <c r="E672" s="495">
        <v>23.89</v>
      </c>
      <c r="F672" s="190">
        <f t="shared" si="81"/>
        <v>1146.72</v>
      </c>
      <c r="H672" s="486">
        <f t="shared" si="82"/>
        <v>2.1257994984997673E-2</v>
      </c>
      <c r="I672" s="486">
        <f t="shared" si="83"/>
        <v>48</v>
      </c>
      <c r="J672" s="480"/>
      <c r="K672" s="487">
        <f t="shared" si="84"/>
        <v>1.1364587693459203</v>
      </c>
      <c r="M672" s="82"/>
      <c r="N672" s="495"/>
      <c r="O672" s="480"/>
      <c r="P672" s="480"/>
    </row>
    <row r="673" spans="1:16" ht="12.75" thickBot="1">
      <c r="A673" s="81" t="s">
        <v>1280</v>
      </c>
      <c r="B673" s="2" t="s">
        <v>692</v>
      </c>
      <c r="C673" s="497">
        <v>4</v>
      </c>
      <c r="D673" s="497"/>
      <c r="E673" s="495">
        <v>24.9</v>
      </c>
      <c r="F673" s="190">
        <f t="shared" si="81"/>
        <v>99.6</v>
      </c>
      <c r="H673" s="486">
        <f t="shared" si="82"/>
        <v>1.8463934530711663E-3</v>
      </c>
      <c r="I673" s="486">
        <f t="shared" si="83"/>
        <v>4</v>
      </c>
      <c r="J673" s="480"/>
      <c r="K673" s="487">
        <f t="shared" si="84"/>
        <v>1.0903614457700417</v>
      </c>
      <c r="M673" s="82"/>
      <c r="N673" s="495"/>
      <c r="O673" s="480"/>
      <c r="P673" s="480"/>
    </row>
    <row r="674" spans="1:16" ht="12.75" thickBot="1">
      <c r="A674" s="81" t="s">
        <v>1280</v>
      </c>
      <c r="B674" s="2" t="s">
        <v>292</v>
      </c>
      <c r="C674" s="497">
        <v>221</v>
      </c>
      <c r="D674" s="497"/>
      <c r="E674" s="495">
        <v>19.79</v>
      </c>
      <c r="F674" s="190">
        <f t="shared" si="81"/>
        <v>4373.59</v>
      </c>
      <c r="H674" s="486">
        <f t="shared" si="82"/>
        <v>8.1077991389734178E-2</v>
      </c>
      <c r="I674" s="486">
        <f t="shared" si="83"/>
        <v>221</v>
      </c>
      <c r="J674" s="480"/>
      <c r="K674" s="487">
        <f t="shared" si="84"/>
        <v>1.3719050025100574</v>
      </c>
      <c r="M674" s="82"/>
      <c r="N674" s="495"/>
      <c r="O674" s="480"/>
      <c r="P674" s="480"/>
    </row>
    <row r="675" spans="1:16" ht="12.75" thickBot="1">
      <c r="A675" s="81" t="s">
        <v>1280</v>
      </c>
      <c r="B675" s="135" t="s">
        <v>293</v>
      </c>
      <c r="C675" s="497">
        <v>2074</v>
      </c>
      <c r="D675" s="497"/>
      <c r="E675" s="495">
        <v>20.49</v>
      </c>
      <c r="F675" s="190">
        <f t="shared" si="81"/>
        <v>42496.259999999995</v>
      </c>
      <c r="H675" s="486">
        <f t="shared" si="82"/>
        <v>0.78779935987961924</v>
      </c>
      <c r="I675" s="486">
        <f t="shared" si="83"/>
        <v>2074</v>
      </c>
      <c r="J675" s="480"/>
      <c r="K675" s="487">
        <f t="shared" si="84"/>
        <v>1.3250366032051752</v>
      </c>
      <c r="M675" s="82"/>
      <c r="N675" s="495"/>
      <c r="O675" s="480"/>
      <c r="P675" s="480"/>
    </row>
    <row r="676" spans="1:16" ht="12.75" thickBot="1">
      <c r="A676" s="81" t="s">
        <v>1280</v>
      </c>
      <c r="B676" s="2" t="s">
        <v>295</v>
      </c>
      <c r="C676" s="497">
        <v>27</v>
      </c>
      <c r="D676" s="497"/>
      <c r="E676" s="495">
        <v>20.18</v>
      </c>
      <c r="F676" s="190">
        <f t="shared" si="81"/>
        <v>544.86</v>
      </c>
      <c r="H676" s="486">
        <f t="shared" si="82"/>
        <v>1.0100662016469437E-2</v>
      </c>
      <c r="I676" s="486">
        <f t="shared" si="83"/>
        <v>27</v>
      </c>
      <c r="J676" s="480"/>
      <c r="K676" s="487">
        <f t="shared" si="84"/>
        <v>1.3453914766934607</v>
      </c>
      <c r="M676" s="82"/>
      <c r="N676" s="495"/>
      <c r="O676" s="480"/>
      <c r="P676" s="480"/>
    </row>
    <row r="677" spans="1:16" ht="12.75" thickBot="1">
      <c r="A677" s="81" t="s">
        <v>1280</v>
      </c>
      <c r="B677" s="2" t="s">
        <v>296</v>
      </c>
      <c r="C677" s="497">
        <v>1776</v>
      </c>
      <c r="D677" s="497"/>
      <c r="E677" s="495">
        <v>22.56</v>
      </c>
      <c r="F677" s="190">
        <f t="shared" si="81"/>
        <v>40066.559999999998</v>
      </c>
      <c r="H677" s="486">
        <f t="shared" si="82"/>
        <v>0.74275737019159704</v>
      </c>
      <c r="I677" s="486">
        <f t="shared" si="83"/>
        <v>1776</v>
      </c>
      <c r="J677" s="480"/>
      <c r="K677" s="487">
        <f t="shared" si="84"/>
        <v>1.203457446794062</v>
      </c>
      <c r="M677" s="82"/>
      <c r="N677" s="495"/>
      <c r="O677" s="480"/>
      <c r="P677" s="480"/>
    </row>
    <row r="678" spans="1:16" ht="12.75" thickBot="1">
      <c r="A678" s="81" t="s">
        <v>1280</v>
      </c>
      <c r="B678" s="2" t="s">
        <v>297</v>
      </c>
      <c r="C678" s="497">
        <v>35</v>
      </c>
      <c r="D678" s="497"/>
      <c r="E678" s="495">
        <v>23.68</v>
      </c>
      <c r="F678" s="190">
        <f t="shared" ref="F678:F709" si="85">C678*E678</f>
        <v>828.8</v>
      </c>
      <c r="H678" s="486">
        <f t="shared" si="82"/>
        <v>1.5364366404672519E-2</v>
      </c>
      <c r="I678" s="486">
        <f t="shared" si="83"/>
        <v>35</v>
      </c>
      <c r="J678" s="480"/>
      <c r="K678" s="487">
        <f t="shared" si="84"/>
        <v>1.1465371621483968</v>
      </c>
      <c r="M678" s="82"/>
      <c r="N678" s="495"/>
      <c r="O678" s="480"/>
      <c r="P678" s="480"/>
    </row>
    <row r="679" spans="1:16" ht="12.75" thickBot="1">
      <c r="A679" s="81" t="s">
        <v>1280</v>
      </c>
      <c r="B679" s="2" t="s">
        <v>299</v>
      </c>
      <c r="C679" s="497">
        <v>111</v>
      </c>
      <c r="D679" s="497"/>
      <c r="E679" s="495">
        <v>24.77</v>
      </c>
      <c r="F679" s="190">
        <f t="shared" si="85"/>
        <v>2749.47</v>
      </c>
      <c r="H679" s="486">
        <f t="shared" si="82"/>
        <v>5.0969913729072086E-2</v>
      </c>
      <c r="I679" s="486">
        <f t="shared" si="83"/>
        <v>111</v>
      </c>
      <c r="J679" s="480"/>
      <c r="K679" s="487">
        <f t="shared" si="84"/>
        <v>1.0960839725342768</v>
      </c>
      <c r="M679" s="82"/>
      <c r="N679" s="495"/>
      <c r="O679" s="480"/>
      <c r="P679" s="480"/>
    </row>
    <row r="680" spans="1:16" ht="12.75" thickBot="1">
      <c r="A680" s="81" t="s">
        <v>1280</v>
      </c>
      <c r="B680" s="2" t="s">
        <v>300</v>
      </c>
      <c r="C680" s="497">
        <v>53</v>
      </c>
      <c r="D680" s="497"/>
      <c r="E680" s="495">
        <v>29.889999999999997</v>
      </c>
      <c r="F680" s="190">
        <f t="shared" si="85"/>
        <v>1584.1699999999998</v>
      </c>
      <c r="H680" s="486">
        <f t="shared" si="82"/>
        <v>2.9367481089877006E-2</v>
      </c>
      <c r="I680" s="486">
        <f t="shared" si="83"/>
        <v>53</v>
      </c>
      <c r="J680" s="480"/>
      <c r="K680" s="487">
        <f t="shared" si="84"/>
        <v>0.90833054532198187</v>
      </c>
      <c r="M680" s="82"/>
      <c r="N680" s="495"/>
      <c r="O680" s="480"/>
      <c r="P680" s="480"/>
    </row>
    <row r="681" spans="1:16" ht="12.75" thickBot="1">
      <c r="A681" s="81" t="s">
        <v>1280</v>
      </c>
      <c r="B681" s="2" t="s">
        <v>301</v>
      </c>
      <c r="C681" s="497">
        <v>174</v>
      </c>
      <c r="D681" s="497"/>
      <c r="E681" s="495">
        <v>32.860000000000007</v>
      </c>
      <c r="F681" s="190">
        <f t="shared" si="85"/>
        <v>5717.6400000000012</v>
      </c>
      <c r="H681" s="486">
        <f t="shared" si="82"/>
        <v>0.10599410705841192</v>
      </c>
      <c r="I681" s="486">
        <f t="shared" si="83"/>
        <v>174</v>
      </c>
      <c r="J681" s="480"/>
      <c r="K681" s="487">
        <f t="shared" si="84"/>
        <v>0.82623250151168692</v>
      </c>
      <c r="M681" s="82"/>
      <c r="N681" s="495"/>
      <c r="O681" s="480"/>
      <c r="P681" s="480"/>
    </row>
    <row r="682" spans="1:16" ht="12.75" thickBot="1">
      <c r="A682" s="81" t="s">
        <v>1280</v>
      </c>
      <c r="B682" s="135" t="s">
        <v>302</v>
      </c>
      <c r="C682" s="497">
        <v>356</v>
      </c>
      <c r="D682" s="497"/>
      <c r="E682" s="495">
        <v>38.389999999999993</v>
      </c>
      <c r="F682" s="190">
        <f t="shared" si="85"/>
        <v>13666.839999999998</v>
      </c>
      <c r="H682" s="486">
        <f t="shared" si="82"/>
        <v>0.25335706727079454</v>
      </c>
      <c r="I682" s="486">
        <f t="shared" si="83"/>
        <v>356</v>
      </c>
      <c r="J682" s="480"/>
      <c r="K682" s="487">
        <f t="shared" si="84"/>
        <v>0.70721542067397869</v>
      </c>
      <c r="M682" s="82"/>
      <c r="N682" s="495"/>
      <c r="O682" s="480"/>
      <c r="P682" s="480"/>
    </row>
    <row r="683" spans="1:16" ht="12.75" thickBot="1">
      <c r="A683" s="81" t="s">
        <v>1280</v>
      </c>
      <c r="B683" s="2" t="s">
        <v>303</v>
      </c>
      <c r="C683" s="497">
        <v>17</v>
      </c>
      <c r="D683" s="497"/>
      <c r="E683" s="495">
        <v>26.349999999999998</v>
      </c>
      <c r="F683" s="190">
        <f t="shared" si="85"/>
        <v>447.95</v>
      </c>
      <c r="H683" s="486">
        <f t="shared" si="82"/>
        <v>8.3041360171006925E-3</v>
      </c>
      <c r="I683" s="486">
        <f t="shared" si="83"/>
        <v>17</v>
      </c>
      <c r="J683" s="480"/>
      <c r="K683" s="487">
        <f t="shared" si="84"/>
        <v>1.0303605312969275</v>
      </c>
      <c r="M683" s="82"/>
      <c r="N683" s="495"/>
      <c r="O683" s="480"/>
      <c r="P683" s="480"/>
    </row>
    <row r="684" spans="1:16" ht="12.75" thickBot="1">
      <c r="A684" s="81" t="s">
        <v>1280</v>
      </c>
      <c r="B684" s="2" t="s">
        <v>304</v>
      </c>
      <c r="C684" s="497">
        <v>353</v>
      </c>
      <c r="D684" s="497"/>
      <c r="E684" s="495">
        <v>28.45</v>
      </c>
      <c r="F684" s="190">
        <f t="shared" si="85"/>
        <v>10042.85</v>
      </c>
      <c r="H684" s="486">
        <f t="shared" si="82"/>
        <v>0.18617522580497756</v>
      </c>
      <c r="I684" s="486">
        <f t="shared" si="83"/>
        <v>353</v>
      </c>
      <c r="J684" s="480"/>
      <c r="K684" s="487">
        <f t="shared" si="84"/>
        <v>0.95430579963704876</v>
      </c>
      <c r="M684" s="82"/>
      <c r="N684" s="495"/>
      <c r="O684" s="480"/>
      <c r="P684" s="480"/>
    </row>
    <row r="685" spans="1:16" ht="12.75" thickBot="1">
      <c r="A685" s="81" t="s">
        <v>1280</v>
      </c>
      <c r="B685" s="2" t="s">
        <v>305</v>
      </c>
      <c r="C685" s="497">
        <v>37</v>
      </c>
      <c r="D685" s="497"/>
      <c r="E685" s="495">
        <v>34.029999999999994</v>
      </c>
      <c r="F685" s="190">
        <f t="shared" si="85"/>
        <v>1259.1099999999997</v>
      </c>
      <c r="H685" s="486">
        <f t="shared" si="82"/>
        <v>2.3341490569241324E-2</v>
      </c>
      <c r="I685" s="486">
        <f t="shared" si="83"/>
        <v>37</v>
      </c>
      <c r="J685" s="480"/>
      <c r="K685" s="487">
        <f t="shared" si="84"/>
        <v>0.79782544812442091</v>
      </c>
      <c r="M685" s="82"/>
      <c r="N685" s="495"/>
      <c r="O685" s="480"/>
      <c r="P685" s="480"/>
    </row>
    <row r="686" spans="1:16" ht="12.75" thickBot="1">
      <c r="A686" s="81" t="s">
        <v>1280</v>
      </c>
      <c r="B686" s="2" t="s">
        <v>306</v>
      </c>
      <c r="C686" s="497">
        <v>40</v>
      </c>
      <c r="D686" s="497"/>
      <c r="E686" s="495">
        <v>33.22</v>
      </c>
      <c r="F686" s="190">
        <f t="shared" si="85"/>
        <v>1328.8</v>
      </c>
      <c r="H686" s="486">
        <f t="shared" si="82"/>
        <v>2.4633409843784801E-2</v>
      </c>
      <c r="I686" s="486">
        <f t="shared" si="83"/>
        <v>40</v>
      </c>
      <c r="J686" s="480"/>
      <c r="K686" s="487">
        <f t="shared" si="84"/>
        <v>0.81727874773251163</v>
      </c>
      <c r="M686" s="82"/>
      <c r="N686" s="495"/>
      <c r="O686" s="480"/>
      <c r="P686" s="480"/>
    </row>
    <row r="687" spans="1:16" ht="12.75" thickBot="1">
      <c r="A687" s="81" t="s">
        <v>1280</v>
      </c>
      <c r="B687" s="2" t="s">
        <v>307</v>
      </c>
      <c r="C687" s="497">
        <v>52</v>
      </c>
      <c r="D687" s="497"/>
      <c r="E687" s="495">
        <v>35.199999999999996</v>
      </c>
      <c r="F687" s="190">
        <f t="shared" si="85"/>
        <v>1830.3999999999999</v>
      </c>
      <c r="H687" s="486">
        <f t="shared" si="82"/>
        <v>3.3932114221902239E-2</v>
      </c>
      <c r="I687" s="486">
        <f t="shared" si="83"/>
        <v>52</v>
      </c>
      <c r="J687" s="480"/>
      <c r="K687" s="487">
        <f t="shared" si="84"/>
        <v>0.77130681817255797</v>
      </c>
      <c r="M687" s="82"/>
      <c r="N687" s="495"/>
      <c r="O687" s="480"/>
      <c r="P687" s="480"/>
    </row>
    <row r="688" spans="1:16" ht="12.75" thickBot="1">
      <c r="A688" s="81" t="s">
        <v>1280</v>
      </c>
      <c r="B688" s="2" t="s">
        <v>308</v>
      </c>
      <c r="C688" s="497">
        <v>194</v>
      </c>
      <c r="D688" s="497"/>
      <c r="E688" s="495">
        <v>34.090000000000003</v>
      </c>
      <c r="F688" s="190">
        <f t="shared" si="85"/>
        <v>6613.4600000000009</v>
      </c>
      <c r="H688" s="486">
        <f t="shared" si="82"/>
        <v>0.12260089604566304</v>
      </c>
      <c r="I688" s="486">
        <f t="shared" si="83"/>
        <v>194</v>
      </c>
      <c r="J688" s="480"/>
      <c r="K688" s="487">
        <f t="shared" si="84"/>
        <v>0.79642123789011543</v>
      </c>
      <c r="M688" s="82"/>
      <c r="N688" s="495"/>
      <c r="O688" s="480"/>
      <c r="P688" s="480"/>
    </row>
    <row r="689" spans="1:16" ht="12.75" thickBot="1">
      <c r="A689" s="81" t="s">
        <v>1280</v>
      </c>
      <c r="B689" s="135" t="s">
        <v>309</v>
      </c>
      <c r="C689" s="497">
        <v>188</v>
      </c>
      <c r="D689" s="497"/>
      <c r="E689" s="495">
        <v>36.07</v>
      </c>
      <c r="F689" s="190">
        <f t="shared" si="85"/>
        <v>6781.16</v>
      </c>
      <c r="H689" s="486">
        <f t="shared" si="82"/>
        <v>0.12570973321514128</v>
      </c>
      <c r="I689" s="486">
        <f t="shared" si="83"/>
        <v>188</v>
      </c>
      <c r="J689" s="480"/>
      <c r="K689" s="487">
        <f t="shared" si="84"/>
        <v>0.75270307734056108</v>
      </c>
      <c r="M689" s="82"/>
      <c r="N689" s="495"/>
      <c r="O689" s="480"/>
      <c r="P689" s="480"/>
    </row>
    <row r="690" spans="1:16" ht="12.75" thickBot="1">
      <c r="A690" s="81" t="s">
        <v>1280</v>
      </c>
      <c r="B690" s="2" t="s">
        <v>310</v>
      </c>
      <c r="C690" s="497">
        <v>13</v>
      </c>
      <c r="D690" s="497"/>
      <c r="E690" s="495">
        <v>32.26</v>
      </c>
      <c r="F690" s="190">
        <f t="shared" si="85"/>
        <v>419.38</v>
      </c>
      <c r="H690" s="486">
        <f t="shared" si="82"/>
        <v>7.7745028749898176E-3</v>
      </c>
      <c r="I690" s="486">
        <f t="shared" si="83"/>
        <v>13</v>
      </c>
      <c r="J690" s="480"/>
      <c r="K690" s="487">
        <f t="shared" si="84"/>
        <v>0.841599504019654</v>
      </c>
      <c r="M690" s="82"/>
      <c r="N690" s="495"/>
      <c r="O690" s="480"/>
      <c r="P690" s="480"/>
    </row>
    <row r="691" spans="1:16" ht="12.75" thickBot="1">
      <c r="A691" s="81" t="s">
        <v>1280</v>
      </c>
      <c r="B691" s="2" t="s">
        <v>311</v>
      </c>
      <c r="C691" s="497">
        <v>44</v>
      </c>
      <c r="D691" s="497"/>
      <c r="E691" s="495">
        <v>32.93</v>
      </c>
      <c r="F691" s="190">
        <f t="shared" si="85"/>
        <v>1448.92</v>
      </c>
      <c r="H691" s="486">
        <f t="shared" si="82"/>
        <v>2.6860204839597137E-2</v>
      </c>
      <c r="I691" s="486">
        <f t="shared" si="83"/>
        <v>44</v>
      </c>
      <c r="J691" s="480"/>
      <c r="K691" s="487">
        <f t="shared" si="84"/>
        <v>0.82447616154491454</v>
      </c>
      <c r="M691" s="82"/>
      <c r="N691" s="495"/>
      <c r="O691" s="480"/>
      <c r="P691" s="480"/>
    </row>
    <row r="692" spans="1:16" ht="12.75" thickBot="1">
      <c r="A692" s="81" t="s">
        <v>1280</v>
      </c>
      <c r="B692" s="2" t="s">
        <v>339</v>
      </c>
      <c r="C692" s="497">
        <v>10</v>
      </c>
      <c r="D692" s="497"/>
      <c r="E692" s="495">
        <v>34.330000000000005</v>
      </c>
      <c r="F692" s="190">
        <f t="shared" si="85"/>
        <v>343.30000000000007</v>
      </c>
      <c r="H692" s="486">
        <f t="shared" si="82"/>
        <v>6.364125225294494E-3</v>
      </c>
      <c r="I692" s="486">
        <f t="shared" si="83"/>
        <v>10</v>
      </c>
      <c r="J692" s="480"/>
      <c r="K692" s="487">
        <f t="shared" si="84"/>
        <v>0.79085348091098262</v>
      </c>
      <c r="M692" s="82"/>
      <c r="N692" s="495"/>
      <c r="O692" s="480"/>
      <c r="P692" s="480"/>
    </row>
    <row r="693" spans="1:16" ht="12.75" thickBot="1">
      <c r="A693" s="81" t="s">
        <v>1280</v>
      </c>
      <c r="B693" s="2" t="s">
        <v>312</v>
      </c>
      <c r="C693" s="497">
        <v>210</v>
      </c>
      <c r="D693" s="497"/>
      <c r="E693" s="495">
        <v>34.99</v>
      </c>
      <c r="F693" s="190">
        <f t="shared" si="85"/>
        <v>7347.9000000000005</v>
      </c>
      <c r="H693" s="486">
        <f t="shared" si="82"/>
        <v>0.13621600857250629</v>
      </c>
      <c r="I693" s="486">
        <f t="shared" si="83"/>
        <v>210</v>
      </c>
      <c r="J693" s="480"/>
      <c r="K693" s="487">
        <f t="shared" si="84"/>
        <v>0.77593598169974376</v>
      </c>
      <c r="M693" s="82"/>
      <c r="N693" s="495"/>
      <c r="O693" s="480"/>
      <c r="P693" s="480"/>
    </row>
    <row r="694" spans="1:16" ht="12.75" thickBot="1">
      <c r="A694" s="81" t="s">
        <v>1280</v>
      </c>
      <c r="B694" s="2" t="s">
        <v>688</v>
      </c>
      <c r="C694" s="497">
        <v>2</v>
      </c>
      <c r="D694" s="497"/>
      <c r="E694" s="495">
        <v>18.279999999999998</v>
      </c>
      <c r="F694" s="190">
        <f t="shared" si="85"/>
        <v>36.559999999999995</v>
      </c>
      <c r="H694" s="486">
        <f t="shared" si="82"/>
        <v>6.7775245626789E-4</v>
      </c>
      <c r="I694" s="486">
        <f t="shared" si="83"/>
        <v>2</v>
      </c>
      <c r="J694" s="480"/>
      <c r="K694" s="487">
        <f t="shared" si="84"/>
        <v>1.4852297592819497</v>
      </c>
      <c r="M694" s="82"/>
      <c r="N694" s="495"/>
      <c r="O694" s="480"/>
      <c r="P694" s="480"/>
    </row>
    <row r="695" spans="1:16" ht="12.75" thickBot="1">
      <c r="A695" s="81" t="s">
        <v>1280</v>
      </c>
      <c r="B695" s="2" t="s">
        <v>341</v>
      </c>
      <c r="C695" s="497">
        <v>13</v>
      </c>
      <c r="D695" s="497"/>
      <c r="E695" s="495">
        <v>22.32</v>
      </c>
      <c r="F695" s="190">
        <f t="shared" si="85"/>
        <v>290.16000000000003</v>
      </c>
      <c r="H695" s="486">
        <f t="shared" si="82"/>
        <v>5.3790112885856393E-3</v>
      </c>
      <c r="I695" s="486">
        <f t="shared" si="83"/>
        <v>13</v>
      </c>
      <c r="J695" s="480"/>
      <c r="K695" s="487">
        <f t="shared" si="84"/>
        <v>1.2163978494477614</v>
      </c>
      <c r="M695" s="82"/>
      <c r="N695" s="495"/>
      <c r="O695" s="480"/>
      <c r="P695" s="480"/>
    </row>
    <row r="696" spans="1:16" ht="12.75" thickBot="1">
      <c r="A696" s="81" t="s">
        <v>1280</v>
      </c>
      <c r="B696" s="2" t="s">
        <v>317</v>
      </c>
      <c r="C696" s="497">
        <v>6194</v>
      </c>
      <c r="D696" s="497"/>
      <c r="E696" s="495">
        <v>12.82</v>
      </c>
      <c r="F696" s="190">
        <f t="shared" si="85"/>
        <v>79407.08</v>
      </c>
      <c r="H696" s="486">
        <f t="shared" si="82"/>
        <v>1.4720553477861282</v>
      </c>
      <c r="I696" s="486">
        <f t="shared" si="83"/>
        <v>6194</v>
      </c>
      <c r="J696" s="480"/>
      <c r="K696" s="487">
        <f t="shared" si="84"/>
        <v>2.1177847113630293</v>
      </c>
      <c r="M696" s="82"/>
      <c r="N696" s="495"/>
      <c r="O696" s="480"/>
      <c r="P696" s="480"/>
    </row>
    <row r="697" spans="1:16" ht="12.75" thickBot="1">
      <c r="A697" s="81" t="s">
        <v>1280</v>
      </c>
      <c r="B697" s="135" t="s">
        <v>318</v>
      </c>
      <c r="C697" s="497">
        <v>8765</v>
      </c>
      <c r="D697" s="497"/>
      <c r="E697" s="495">
        <v>15.08</v>
      </c>
      <c r="F697" s="190">
        <f t="shared" si="85"/>
        <v>132176.20000000001</v>
      </c>
      <c r="H697" s="486">
        <f t="shared" si="82"/>
        <v>2.4502938788335857</v>
      </c>
      <c r="I697" s="486">
        <f t="shared" si="83"/>
        <v>8765</v>
      </c>
      <c r="J697" s="480"/>
      <c r="K697" s="487">
        <f t="shared" si="84"/>
        <v>1.8003978779624692</v>
      </c>
      <c r="M697" s="82"/>
      <c r="N697" s="495"/>
      <c r="O697" s="480"/>
      <c r="P697" s="480"/>
    </row>
    <row r="698" spans="1:16" ht="12.75" thickBot="1">
      <c r="A698" s="81" t="s">
        <v>1280</v>
      </c>
      <c r="B698" s="2" t="s">
        <v>319</v>
      </c>
      <c r="C698" s="497">
        <v>5522</v>
      </c>
      <c r="D698" s="497"/>
      <c r="E698" s="495">
        <v>17.38</v>
      </c>
      <c r="F698" s="190">
        <f t="shared" si="85"/>
        <v>95972.36</v>
      </c>
      <c r="H698" s="486">
        <f t="shared" si="82"/>
        <v>1.7791439475882438</v>
      </c>
      <c r="I698" s="486">
        <f t="shared" si="83"/>
        <v>5522</v>
      </c>
      <c r="J698" s="480"/>
      <c r="K698" s="487">
        <f t="shared" si="84"/>
        <v>1.5621403912355603</v>
      </c>
      <c r="M698" s="82"/>
      <c r="N698" s="495"/>
      <c r="O698" s="480"/>
      <c r="P698" s="480"/>
    </row>
    <row r="699" spans="1:16" ht="12.75" thickBot="1">
      <c r="A699" s="81" t="s">
        <v>1280</v>
      </c>
      <c r="B699" s="2" t="s">
        <v>320</v>
      </c>
      <c r="C699" s="497">
        <v>399</v>
      </c>
      <c r="D699" s="497"/>
      <c r="E699" s="495">
        <v>13.77</v>
      </c>
      <c r="F699" s="190">
        <f t="shared" si="85"/>
        <v>5494.23</v>
      </c>
      <c r="H699" s="486">
        <f t="shared" si="82"/>
        <v>0.10185251306894774</v>
      </c>
      <c r="I699" s="486">
        <f t="shared" si="83"/>
        <v>399</v>
      </c>
      <c r="J699" s="480"/>
      <c r="K699" s="487">
        <f t="shared" si="84"/>
        <v>1.971677559889182</v>
      </c>
      <c r="M699" s="82"/>
      <c r="N699" s="495"/>
      <c r="O699" s="480"/>
      <c r="P699" s="480"/>
    </row>
    <row r="700" spans="1:16" ht="12.75" thickBot="1">
      <c r="A700" s="81" t="s">
        <v>1280</v>
      </c>
      <c r="B700" s="2" t="s">
        <v>321</v>
      </c>
      <c r="C700" s="497">
        <v>12813</v>
      </c>
      <c r="D700" s="497"/>
      <c r="E700" s="495">
        <v>18.21</v>
      </c>
      <c r="F700" s="190">
        <f t="shared" si="85"/>
        <v>233324.73</v>
      </c>
      <c r="H700" s="486">
        <f t="shared" si="82"/>
        <v>4.3253941155782893</v>
      </c>
      <c r="I700" s="486">
        <f t="shared" si="83"/>
        <v>12813</v>
      </c>
      <c r="J700" s="480"/>
      <c r="K700" s="487">
        <f t="shared" si="84"/>
        <v>1.4909390444631541</v>
      </c>
      <c r="M700" s="82"/>
      <c r="N700" s="495"/>
      <c r="O700" s="480"/>
      <c r="P700" s="480"/>
    </row>
    <row r="701" spans="1:16" ht="12.75" thickBot="1">
      <c r="A701" s="81" t="s">
        <v>1280</v>
      </c>
      <c r="B701" s="2" t="s">
        <v>322</v>
      </c>
      <c r="C701" s="497">
        <v>3157</v>
      </c>
      <c r="D701" s="497"/>
      <c r="E701" s="495">
        <v>10.86</v>
      </c>
      <c r="F701" s="190">
        <f t="shared" si="85"/>
        <v>34285.019999999997</v>
      </c>
      <c r="H701" s="486">
        <f t="shared" si="82"/>
        <v>0.63557867938166668</v>
      </c>
      <c r="I701" s="486">
        <f t="shared" si="83"/>
        <v>3157</v>
      </c>
      <c r="J701" s="480"/>
      <c r="K701" s="487">
        <f t="shared" si="84"/>
        <v>2.4999999999699853</v>
      </c>
      <c r="M701" s="82"/>
      <c r="N701" s="495"/>
      <c r="O701" s="480"/>
      <c r="P701" s="480"/>
    </row>
    <row r="702" spans="1:16" ht="12.75" thickBot="1">
      <c r="A702" s="81" t="s">
        <v>1280</v>
      </c>
      <c r="B702" s="135" t="s">
        <v>323</v>
      </c>
      <c r="C702" s="497">
        <v>5</v>
      </c>
      <c r="D702" s="497"/>
      <c r="E702" s="495">
        <v>11.13</v>
      </c>
      <c r="F702" s="190">
        <f t="shared" si="85"/>
        <v>55.650000000000006</v>
      </c>
      <c r="H702" s="486">
        <f t="shared" si="82"/>
        <v>1.031644534773197E-3</v>
      </c>
      <c r="I702" s="486">
        <f t="shared" si="83"/>
        <v>5</v>
      </c>
      <c r="J702" s="480"/>
      <c r="K702" s="487">
        <f t="shared" si="84"/>
        <v>2.439353099701171</v>
      </c>
      <c r="M702" s="82"/>
      <c r="N702" s="495"/>
      <c r="O702" s="480"/>
      <c r="P702" s="480"/>
    </row>
    <row r="703" spans="1:16" ht="12.75" thickBot="1">
      <c r="A703" s="81" t="s">
        <v>1280</v>
      </c>
      <c r="B703" s="2" t="s">
        <v>328</v>
      </c>
      <c r="C703" s="497">
        <f>18-5</f>
        <v>13</v>
      </c>
      <c r="D703" s="497"/>
      <c r="E703" s="495">
        <v>12.79</v>
      </c>
      <c r="F703" s="190">
        <f t="shared" si="85"/>
        <v>166.26999999999998</v>
      </c>
      <c r="H703" s="486">
        <f t="shared" si="82"/>
        <v>3.0823277052423976E-3</v>
      </c>
      <c r="I703" s="486">
        <f t="shared" si="83"/>
        <v>13</v>
      </c>
      <c r="J703" s="480"/>
      <c r="K703" s="487">
        <f t="shared" si="84"/>
        <v>2.1227521500917934</v>
      </c>
      <c r="M703" s="82"/>
      <c r="N703" s="495"/>
      <c r="O703" s="480"/>
      <c r="P703" s="480"/>
    </row>
    <row r="704" spans="1:16" ht="12.75" thickBot="1">
      <c r="A704" s="81" t="s">
        <v>1280</v>
      </c>
      <c r="B704" s="2" t="s">
        <v>329</v>
      </c>
      <c r="C704" s="497">
        <v>2</v>
      </c>
      <c r="D704" s="497"/>
      <c r="E704" s="495">
        <v>15.07</v>
      </c>
      <c r="F704" s="190">
        <f t="shared" si="85"/>
        <v>30.14</v>
      </c>
      <c r="H704" s="486">
        <f t="shared" si="82"/>
        <v>5.5873793850968827E-4</v>
      </c>
      <c r="I704" s="486">
        <f t="shared" si="83"/>
        <v>2</v>
      </c>
      <c r="J704" s="480"/>
      <c r="K704" s="487">
        <f t="shared" si="84"/>
        <v>1.8015925679942957</v>
      </c>
      <c r="M704" s="82"/>
      <c r="N704" s="495"/>
      <c r="O704" s="480"/>
      <c r="P704" s="480"/>
    </row>
    <row r="705" spans="1:16" ht="12.75" thickBot="1">
      <c r="A705" s="81" t="s">
        <v>1280</v>
      </c>
      <c r="B705" s="2" t="s">
        <v>330</v>
      </c>
      <c r="C705" s="497">
        <v>274</v>
      </c>
      <c r="D705" s="497"/>
      <c r="E705" s="495">
        <v>18.68</v>
      </c>
      <c r="F705" s="190">
        <f t="shared" si="85"/>
        <v>5118.32</v>
      </c>
      <c r="H705" s="486">
        <f t="shared" si="82"/>
        <v>9.4883860830554334E-2</v>
      </c>
      <c r="I705" s="486">
        <f t="shared" si="83"/>
        <v>274</v>
      </c>
      <c r="J705" s="480"/>
      <c r="K705" s="487">
        <f t="shared" si="84"/>
        <v>1.4534261241795523</v>
      </c>
      <c r="M705" s="82"/>
      <c r="N705" s="495"/>
      <c r="O705" s="480"/>
      <c r="P705" s="480"/>
    </row>
    <row r="706" spans="1:16" ht="12.75" thickBot="1">
      <c r="A706" s="81" t="s">
        <v>1280</v>
      </c>
      <c r="B706" s="2" t="s">
        <v>331</v>
      </c>
      <c r="C706" s="497">
        <v>53</v>
      </c>
      <c r="D706" s="497"/>
      <c r="E706" s="495">
        <v>20.970000000000002</v>
      </c>
      <c r="F706" s="190">
        <f t="shared" si="85"/>
        <v>1111.4100000000001</v>
      </c>
      <c r="H706" s="486">
        <f t="shared" si="82"/>
        <v>2.0603415137327562E-2</v>
      </c>
      <c r="I706" s="486">
        <f t="shared" si="83"/>
        <v>53</v>
      </c>
      <c r="J706" s="480"/>
      <c r="K706" s="487">
        <f t="shared" si="84"/>
        <v>1.2947067238757288</v>
      </c>
      <c r="M706" s="82"/>
      <c r="N706" s="495"/>
      <c r="O706" s="480"/>
      <c r="P706" s="480"/>
    </row>
    <row r="707" spans="1:16" ht="12.75" thickBot="1">
      <c r="A707" s="81" t="s">
        <v>1280</v>
      </c>
      <c r="B707" s="2" t="s">
        <v>332</v>
      </c>
      <c r="C707" s="497">
        <v>2</v>
      </c>
      <c r="D707" s="497"/>
      <c r="E707" s="495">
        <v>28.42</v>
      </c>
      <c r="F707" s="190">
        <f t="shared" si="85"/>
        <v>56.84</v>
      </c>
      <c r="H707" s="486">
        <f t="shared" si="82"/>
        <v>1.0537048581582844E-3</v>
      </c>
      <c r="I707" s="486">
        <f t="shared" si="83"/>
        <v>2</v>
      </c>
      <c r="J707" s="480"/>
      <c r="K707" s="487">
        <f t="shared" si="84"/>
        <v>0.95531315973518771</v>
      </c>
      <c r="M707" s="82"/>
      <c r="N707" s="495"/>
      <c r="O707" s="480"/>
      <c r="P707" s="480"/>
    </row>
    <row r="708" spans="1:16" ht="12.75" thickBot="1">
      <c r="A708" s="81" t="s">
        <v>1280</v>
      </c>
      <c r="B708" s="2" t="s">
        <v>333</v>
      </c>
      <c r="C708" s="497">
        <v>348</v>
      </c>
      <c r="D708" s="497"/>
      <c r="E708" s="495">
        <v>39.6</v>
      </c>
      <c r="F708" s="190">
        <f t="shared" si="85"/>
        <v>13780.800000000001</v>
      </c>
      <c r="H708" s="486">
        <f t="shared" si="82"/>
        <v>0.25546966765143708</v>
      </c>
      <c r="I708" s="486">
        <f t="shared" si="83"/>
        <v>348</v>
      </c>
      <c r="J708" s="480"/>
      <c r="K708" s="487">
        <f t="shared" si="84"/>
        <v>0.68560606059782925</v>
      </c>
      <c r="M708" s="82"/>
      <c r="N708" s="495"/>
      <c r="O708" s="480"/>
      <c r="P708" s="480"/>
    </row>
    <row r="709" spans="1:16" ht="12.75" thickBot="1">
      <c r="A709" s="81" t="s">
        <v>1280</v>
      </c>
      <c r="B709" s="2" t="s">
        <v>334</v>
      </c>
      <c r="C709" s="497">
        <v>59</v>
      </c>
      <c r="D709" s="497"/>
      <c r="E709" s="495">
        <v>42.78</v>
      </c>
      <c r="F709" s="190">
        <f t="shared" si="85"/>
        <v>2524.02</v>
      </c>
      <c r="H709" s="486">
        <f t="shared" si="82"/>
        <v>4.6790502042376364E-2</v>
      </c>
      <c r="I709" s="486">
        <f t="shared" si="83"/>
        <v>59</v>
      </c>
      <c r="J709" s="480"/>
      <c r="K709" s="487">
        <f t="shared" si="84"/>
        <v>0.63464235623361465</v>
      </c>
      <c r="M709" s="82"/>
      <c r="N709" s="495"/>
      <c r="O709" s="480"/>
      <c r="P709" s="480"/>
    </row>
    <row r="710" spans="1:16" ht="12.75" thickBot="1">
      <c r="A710" s="81" t="s">
        <v>1280</v>
      </c>
      <c r="B710" s="2" t="s">
        <v>620</v>
      </c>
      <c r="C710" s="497">
        <v>17</v>
      </c>
      <c r="D710" s="497"/>
      <c r="E710" s="495">
        <v>23.83</v>
      </c>
      <c r="F710" s="190">
        <f t="shared" ref="F710:F714" si="86">C710*E710</f>
        <v>405.10999999999996</v>
      </c>
      <c r="H710" s="486">
        <f t="shared" si="82"/>
        <v>7.5099643752375529E-3</v>
      </c>
      <c r="I710" s="486">
        <f t="shared" si="83"/>
        <v>17</v>
      </c>
      <c r="J710" s="480"/>
      <c r="K710" s="487">
        <f t="shared" si="84"/>
        <v>1.13932018462753</v>
      </c>
      <c r="M710" s="82"/>
      <c r="N710" s="495"/>
      <c r="O710" s="480"/>
      <c r="P710" s="480"/>
    </row>
    <row r="711" spans="1:16" ht="12.75" thickBot="1">
      <c r="A711" s="81" t="s">
        <v>1280</v>
      </c>
      <c r="B711" s="135" t="s">
        <v>360</v>
      </c>
      <c r="C711" s="497">
        <v>4</v>
      </c>
      <c r="D711" s="497"/>
      <c r="E711" s="495">
        <v>20.46</v>
      </c>
      <c r="F711" s="190">
        <f t="shared" si="86"/>
        <v>81.84</v>
      </c>
      <c r="H711" s="486">
        <f t="shared" ref="H711:H714" si="87">F711/$M$651*$M$652</f>
        <v>1.5171570301138982E-3</v>
      </c>
      <c r="I711" s="486">
        <f t="shared" ref="I711:I714" si="88">ROUND((F711+H711)/E711,0)</f>
        <v>4</v>
      </c>
      <c r="J711" s="480"/>
      <c r="K711" s="487">
        <f t="shared" ref="K711:K714" si="89">$M$652/E711</f>
        <v>1.3269794721248307</v>
      </c>
      <c r="M711" s="82"/>
      <c r="N711" s="495"/>
      <c r="O711" s="480"/>
      <c r="P711" s="480"/>
    </row>
    <row r="712" spans="1:16" ht="12.75" thickBot="1">
      <c r="A712" s="81" t="s">
        <v>1280</v>
      </c>
      <c r="B712" s="2" t="s">
        <v>335</v>
      </c>
      <c r="C712" s="497">
        <v>39</v>
      </c>
      <c r="D712" s="497"/>
      <c r="E712" s="495">
        <v>30.21</v>
      </c>
      <c r="F712" s="190">
        <f t="shared" si="86"/>
        <v>1178.19</v>
      </c>
      <c r="H712" s="486">
        <f t="shared" si="87"/>
        <v>2.1841388579055401E-2</v>
      </c>
      <c r="I712" s="486">
        <f t="shared" si="88"/>
        <v>39</v>
      </c>
      <c r="J712" s="480"/>
      <c r="K712" s="487">
        <f t="shared" si="89"/>
        <v>0.89870903673201052</v>
      </c>
      <c r="M712" s="82"/>
      <c r="N712" s="495"/>
      <c r="O712" s="480"/>
      <c r="P712" s="480"/>
    </row>
    <row r="713" spans="1:16" ht="12.75" thickBot="1">
      <c r="A713" s="81" t="s">
        <v>1280</v>
      </c>
      <c r="B713" s="2" t="s">
        <v>336</v>
      </c>
      <c r="C713" s="497">
        <v>2</v>
      </c>
      <c r="D713" s="497"/>
      <c r="E713" s="495">
        <v>42.56</v>
      </c>
      <c r="F713" s="190">
        <f t="shared" si="86"/>
        <v>85.12</v>
      </c>
      <c r="H713" s="486">
        <f t="shared" si="87"/>
        <v>1.5779619550744749E-3</v>
      </c>
      <c r="I713" s="486">
        <f t="shared" si="88"/>
        <v>2</v>
      </c>
      <c r="J713" s="480"/>
      <c r="K713" s="487">
        <f t="shared" si="89"/>
        <v>0.6379229323231681</v>
      </c>
      <c r="M713" s="82"/>
      <c r="N713" s="495"/>
      <c r="O713" s="480"/>
      <c r="P713" s="480"/>
    </row>
    <row r="714" spans="1:16" ht="12.75" thickBot="1">
      <c r="A714" s="81" t="s">
        <v>1280</v>
      </c>
      <c r="B714" s="2" t="s">
        <v>337</v>
      </c>
      <c r="C714" s="497">
        <v>13</v>
      </c>
      <c r="D714" s="497"/>
      <c r="E714" s="495">
        <v>52.31</v>
      </c>
      <c r="F714" s="190">
        <f t="shared" si="86"/>
        <v>680.03</v>
      </c>
      <c r="H714" s="486">
        <f t="shared" si="87"/>
        <v>1.260645521979905E-2</v>
      </c>
      <c r="I714" s="486">
        <f t="shared" si="88"/>
        <v>13</v>
      </c>
      <c r="J714" s="480"/>
      <c r="K714" s="487">
        <f t="shared" si="89"/>
        <v>0.5190212196458428</v>
      </c>
      <c r="M714" s="82"/>
      <c r="N714" s="495"/>
      <c r="O714" s="480"/>
      <c r="P714" s="480"/>
    </row>
    <row r="715" spans="1:16" ht="12.75" thickBot="1">
      <c r="A715" s="81" t="s">
        <v>1280</v>
      </c>
      <c r="B715" s="2"/>
      <c r="C715" s="497"/>
      <c r="D715" s="497"/>
      <c r="E715" s="497"/>
      <c r="F715" s="480"/>
      <c r="H715" s="495"/>
      <c r="I715" s="495"/>
      <c r="J715" s="495"/>
      <c r="K715" s="480"/>
      <c r="M715" s="82"/>
      <c r="N715" s="495"/>
      <c r="O715" s="480"/>
      <c r="P715" s="480"/>
    </row>
    <row r="716" spans="1:16" ht="12.75" thickBot="1">
      <c r="A716" s="81" t="s">
        <v>1280</v>
      </c>
      <c r="B716" s="50"/>
      <c r="C716" s="79"/>
      <c r="D716" s="79"/>
      <c r="E716" s="79"/>
      <c r="F716" s="80"/>
      <c r="H716" s="80"/>
      <c r="I716" s="80"/>
      <c r="J716" s="80"/>
      <c r="K716" s="80"/>
      <c r="M716" s="82"/>
      <c r="N716" s="495"/>
      <c r="O716" s="480"/>
      <c r="P716" s="480"/>
    </row>
    <row r="717" spans="1:16" ht="12.75" thickBot="1">
      <c r="A717" s="81" t="s">
        <v>1281</v>
      </c>
      <c r="B717" s="2" t="s">
        <v>342</v>
      </c>
      <c r="C717" s="497">
        <v>75</v>
      </c>
      <c r="D717" s="497"/>
      <c r="E717" s="495">
        <v>8.14</v>
      </c>
      <c r="F717" s="190">
        <f t="shared" ref="F717:F748" si="90">C717*E717</f>
        <v>610.5</v>
      </c>
      <c r="H717" s="486">
        <f>F717/$M$722*$M$723</f>
        <v>8.5629140173267438E-3</v>
      </c>
      <c r="I717" s="486">
        <f>ROUND((F717+H717)/E717,0)</f>
        <v>75</v>
      </c>
      <c r="J717" s="480"/>
      <c r="K717" s="487">
        <f>$M$723/E717</f>
        <v>2.4950859950070501</v>
      </c>
      <c r="M717" s="488">
        <f>'12MonLights'!$K$806</f>
        <v>1519863</v>
      </c>
      <c r="N717" s="489" t="s">
        <v>1322</v>
      </c>
      <c r="O717" s="480"/>
      <c r="P717" s="480"/>
    </row>
    <row r="718" spans="1:16" ht="12.75" thickBot="1">
      <c r="A718" s="81" t="s">
        <v>1281</v>
      </c>
      <c r="B718" s="2" t="s">
        <v>213</v>
      </c>
      <c r="C718" s="497">
        <v>4572</v>
      </c>
      <c r="D718" s="497"/>
      <c r="E718" s="495">
        <v>10.959999999999999</v>
      </c>
      <c r="F718" s="190">
        <f t="shared" si="90"/>
        <v>50109.119999999995</v>
      </c>
      <c r="H718" s="486">
        <f t="shared" ref="H718:H781" si="91">F718/$M$722*$M$723</f>
        <v>0.70283388377380485</v>
      </c>
      <c r="I718" s="486">
        <f t="shared" ref="I718:I781" si="92">ROUND((F718+H718)/E718,0)</f>
        <v>4572</v>
      </c>
      <c r="J718" s="480"/>
      <c r="K718" s="487">
        <f t="shared" ref="K718:K781" si="93">$M$723/E718</f>
        <v>1.8531021897223896</v>
      </c>
      <c r="M718" s="488">
        <f>-M730</f>
        <v>-43932.509999999995</v>
      </c>
      <c r="N718" s="489" t="s">
        <v>1306</v>
      </c>
      <c r="O718" s="480"/>
      <c r="P718" s="480"/>
    </row>
    <row r="719" spans="1:16" ht="12.75" thickBot="1">
      <c r="A719" s="81" t="s">
        <v>1281</v>
      </c>
      <c r="B719" s="2" t="s">
        <v>214</v>
      </c>
      <c r="C719" s="497">
        <v>3811</v>
      </c>
      <c r="D719" s="497"/>
      <c r="E719" s="495">
        <v>13.510000000000002</v>
      </c>
      <c r="F719" s="190">
        <f t="shared" si="90"/>
        <v>51486.610000000008</v>
      </c>
      <c r="H719" s="486">
        <f t="shared" si="91"/>
        <v>0.72215465106246579</v>
      </c>
      <c r="I719" s="486">
        <f t="shared" si="92"/>
        <v>3811</v>
      </c>
      <c r="J719" s="480"/>
      <c r="K719" s="487">
        <f t="shared" si="93"/>
        <v>1.5033308659776006</v>
      </c>
      <c r="M719" s="490">
        <f>M717+M718</f>
        <v>1475930.49</v>
      </c>
      <c r="N719" s="491" t="s">
        <v>1307</v>
      </c>
      <c r="O719" s="480"/>
      <c r="P719" s="480"/>
    </row>
    <row r="720" spans="1:16" ht="12.75" thickBot="1">
      <c r="A720" s="81" t="s">
        <v>1281</v>
      </c>
      <c r="B720" s="2" t="s">
        <v>215</v>
      </c>
      <c r="C720" s="497">
        <v>96</v>
      </c>
      <c r="D720" s="497"/>
      <c r="E720" s="495">
        <v>12.450000000000001</v>
      </c>
      <c r="F720" s="190">
        <f t="shared" si="90"/>
        <v>1195.2</v>
      </c>
      <c r="H720" s="486">
        <f t="shared" si="91"/>
        <v>1.676395550124312E-2</v>
      </c>
      <c r="I720" s="486">
        <f t="shared" si="92"/>
        <v>96</v>
      </c>
      <c r="J720" s="480"/>
      <c r="K720" s="487">
        <f t="shared" si="93"/>
        <v>1.6313253011532036</v>
      </c>
      <c r="M720" s="490">
        <f>'1051'!$K$281</f>
        <v>27892.020000000011</v>
      </c>
      <c r="N720" s="491" t="s">
        <v>1308</v>
      </c>
      <c r="O720" s="480"/>
      <c r="P720" s="480"/>
    </row>
    <row r="721" spans="1:16" ht="12.75" thickBot="1">
      <c r="A721" s="81" t="s">
        <v>1281</v>
      </c>
      <c r="B721" s="2" t="s">
        <v>216</v>
      </c>
      <c r="C721" s="497">
        <v>756</v>
      </c>
      <c r="D721" s="497"/>
      <c r="E721" s="495">
        <v>15.54</v>
      </c>
      <c r="F721" s="190">
        <f t="shared" si="90"/>
        <v>11748.24</v>
      </c>
      <c r="H721" s="486">
        <f t="shared" si="91"/>
        <v>0.16478160356252045</v>
      </c>
      <c r="I721" s="486">
        <f t="shared" si="92"/>
        <v>756</v>
      </c>
      <c r="J721" s="480"/>
      <c r="K721" s="487">
        <f t="shared" si="93"/>
        <v>1.3069498069084549</v>
      </c>
      <c r="M721" s="490">
        <f>M719-M720</f>
        <v>1448038.47</v>
      </c>
      <c r="N721" s="492" t="s">
        <v>1309</v>
      </c>
      <c r="O721" s="480"/>
      <c r="P721" s="480"/>
    </row>
    <row r="722" spans="1:16" ht="12.75" thickBot="1">
      <c r="A722" s="81" t="s">
        <v>1281</v>
      </c>
      <c r="B722" s="2" t="s">
        <v>217</v>
      </c>
      <c r="C722" s="497">
        <v>1399</v>
      </c>
      <c r="D722" s="497"/>
      <c r="E722" s="495">
        <v>14.24</v>
      </c>
      <c r="F722" s="190">
        <f t="shared" si="90"/>
        <v>19921.760000000002</v>
      </c>
      <c r="H722" s="486">
        <f t="shared" si="91"/>
        <v>0.27942394423230016</v>
      </c>
      <c r="I722" s="486">
        <f t="shared" si="92"/>
        <v>1399</v>
      </c>
      <c r="J722" s="480"/>
      <c r="K722" s="487">
        <f t="shared" si="93"/>
        <v>1.426264044898693</v>
      </c>
      <c r="M722" s="490">
        <f>SUM(F717:F785)</f>
        <v>1448018.1600000006</v>
      </c>
      <c r="N722" s="491" t="s">
        <v>1323</v>
      </c>
      <c r="O722" s="480"/>
      <c r="P722" s="480"/>
    </row>
    <row r="723" spans="1:16" ht="12.75" thickBot="1">
      <c r="A723" s="81" t="s">
        <v>1281</v>
      </c>
      <c r="B723" s="2" t="s">
        <v>344</v>
      </c>
      <c r="C723" s="497">
        <v>45</v>
      </c>
      <c r="D723" s="497"/>
      <c r="E723" s="495">
        <v>27.69</v>
      </c>
      <c r="F723" s="190">
        <f t="shared" si="90"/>
        <v>1246.05</v>
      </c>
      <c r="H723" s="486">
        <f t="shared" si="91"/>
        <v>1.747718101767402E-2</v>
      </c>
      <c r="I723" s="486">
        <f t="shared" si="92"/>
        <v>45</v>
      </c>
      <c r="J723" s="480"/>
      <c r="K723" s="487">
        <f t="shared" si="93"/>
        <v>0.73347778979261058</v>
      </c>
      <c r="M723" s="490">
        <f>M721-M722</f>
        <v>20.309999999357387</v>
      </c>
      <c r="N723" s="492"/>
      <c r="O723" s="480"/>
      <c r="P723" s="480"/>
    </row>
    <row r="724" spans="1:16" ht="12.75" thickBot="1">
      <c r="A724" s="81" t="s">
        <v>1281</v>
      </c>
      <c r="B724" s="135" t="s">
        <v>218</v>
      </c>
      <c r="C724" s="497">
        <v>355</v>
      </c>
      <c r="D724" s="497"/>
      <c r="E724" s="495">
        <v>28.89</v>
      </c>
      <c r="F724" s="190">
        <f t="shared" si="90"/>
        <v>10255.950000000001</v>
      </c>
      <c r="H724" s="486">
        <f t="shared" si="91"/>
        <v>0.14385064376085541</v>
      </c>
      <c r="I724" s="486">
        <f t="shared" si="92"/>
        <v>355</v>
      </c>
      <c r="J724" s="480"/>
      <c r="K724" s="487">
        <f t="shared" si="93"/>
        <v>0.70301142261534744</v>
      </c>
      <c r="M724" s="490"/>
      <c r="N724" s="492"/>
      <c r="O724" s="480"/>
      <c r="P724" s="480"/>
    </row>
    <row r="725" spans="1:16" ht="12.75" thickBot="1">
      <c r="A725" s="81" t="s">
        <v>1281</v>
      </c>
      <c r="B725" s="2" t="s">
        <v>223</v>
      </c>
      <c r="C725" s="497">
        <v>3988</v>
      </c>
      <c r="D725" s="497"/>
      <c r="E725" s="495">
        <v>9.57</v>
      </c>
      <c r="F725" s="190">
        <f t="shared" si="90"/>
        <v>38165.160000000003</v>
      </c>
      <c r="H725" s="486">
        <f t="shared" si="91"/>
        <v>0.53530709834155277</v>
      </c>
      <c r="I725" s="486">
        <f t="shared" si="92"/>
        <v>3988</v>
      </c>
      <c r="J725" s="480"/>
      <c r="K725" s="487">
        <f t="shared" si="93"/>
        <v>2.1222570532243874</v>
      </c>
      <c r="M725" s="490"/>
      <c r="N725" s="492"/>
      <c r="O725" s="480"/>
      <c r="P725" s="480"/>
    </row>
    <row r="726" spans="1:16" ht="12.75" thickBot="1">
      <c r="A726" s="81" t="s">
        <v>1281</v>
      </c>
      <c r="B726" s="2" t="s">
        <v>231</v>
      </c>
      <c r="C726" s="497">
        <v>2010</v>
      </c>
      <c r="D726" s="497"/>
      <c r="E726" s="495">
        <v>27.34</v>
      </c>
      <c r="F726" s="190">
        <f t="shared" si="90"/>
        <v>54953.4</v>
      </c>
      <c r="H726" s="486">
        <f t="shared" si="91"/>
        <v>0.77078008052377311</v>
      </c>
      <c r="I726" s="486">
        <f t="shared" si="92"/>
        <v>2010</v>
      </c>
      <c r="J726" s="480"/>
      <c r="K726" s="487">
        <f t="shared" si="93"/>
        <v>0.7428675932464297</v>
      </c>
      <c r="M726" s="493"/>
      <c r="N726" s="492"/>
      <c r="O726" s="480"/>
      <c r="P726" s="480"/>
    </row>
    <row r="727" spans="1:16" ht="12.75" thickBot="1">
      <c r="A727" s="81" t="s">
        <v>1281</v>
      </c>
      <c r="B727" s="2" t="s">
        <v>232</v>
      </c>
      <c r="C727" s="497">
        <v>2200</v>
      </c>
      <c r="D727" s="497"/>
      <c r="E727" s="495">
        <v>31.4</v>
      </c>
      <c r="F727" s="190">
        <f t="shared" si="90"/>
        <v>69080</v>
      </c>
      <c r="H727" s="486">
        <f t="shared" si="91"/>
        <v>0.96892072123985507</v>
      </c>
      <c r="I727" s="486">
        <f t="shared" si="92"/>
        <v>2200</v>
      </c>
      <c r="J727" s="480"/>
      <c r="K727" s="487">
        <f t="shared" si="93"/>
        <v>0.64681528660373844</v>
      </c>
      <c r="M727" s="492"/>
      <c r="N727" s="494"/>
      <c r="O727" s="480"/>
      <c r="P727" s="480"/>
    </row>
    <row r="728" spans="1:16" ht="12.75" thickBot="1">
      <c r="A728" s="81" t="s">
        <v>1281</v>
      </c>
      <c r="B728" s="2" t="s">
        <v>234</v>
      </c>
      <c r="C728" s="497">
        <v>16575</v>
      </c>
      <c r="D728" s="497"/>
      <c r="E728" s="495">
        <v>17.189999999999998</v>
      </c>
      <c r="F728" s="190">
        <f t="shared" si="90"/>
        <v>284924.24999999994</v>
      </c>
      <c r="H728" s="486">
        <f t="shared" si="91"/>
        <v>3.996366673548418</v>
      </c>
      <c r="I728" s="486">
        <f t="shared" si="92"/>
        <v>16575</v>
      </c>
      <c r="J728" s="480"/>
      <c r="K728" s="487">
        <f t="shared" si="93"/>
        <v>1.1815008725629663</v>
      </c>
      <c r="M728" s="492">
        <f>'12MonResults'!$AD$412</f>
        <v>20320.939999999999</v>
      </c>
      <c r="N728" s="494" t="s">
        <v>17</v>
      </c>
      <c r="O728" s="489" t="s">
        <v>1321</v>
      </c>
      <c r="P728" s="480"/>
    </row>
    <row r="729" spans="1:16" ht="12.75" thickBot="1">
      <c r="A729" s="81" t="s">
        <v>1281</v>
      </c>
      <c r="B729" s="2" t="s">
        <v>353</v>
      </c>
      <c r="C729" s="497">
        <v>515</v>
      </c>
      <c r="D729" s="497"/>
      <c r="E729" s="495">
        <v>24.89</v>
      </c>
      <c r="F729" s="190">
        <f t="shared" si="90"/>
        <v>12818.35</v>
      </c>
      <c r="H729" s="486">
        <f t="shared" si="91"/>
        <v>0.17979103831941076</v>
      </c>
      <c r="I729" s="486">
        <f t="shared" si="92"/>
        <v>515</v>
      </c>
      <c r="J729" s="480"/>
      <c r="K729" s="487">
        <f t="shared" si="93"/>
        <v>0.81599035754750449</v>
      </c>
      <c r="M729" s="492">
        <f>'12MonResults'!$AD$414</f>
        <v>23611.57</v>
      </c>
      <c r="N729" s="494" t="s">
        <v>18</v>
      </c>
      <c r="O729" s="480"/>
      <c r="P729" s="480"/>
    </row>
    <row r="730" spans="1:16" ht="12.75" thickBot="1">
      <c r="A730" s="81" t="s">
        <v>1281</v>
      </c>
      <c r="B730" s="135" t="s">
        <v>235</v>
      </c>
      <c r="C730" s="497">
        <v>1301</v>
      </c>
      <c r="D730" s="497"/>
      <c r="E730" s="495">
        <v>14.17</v>
      </c>
      <c r="F730" s="190">
        <f t="shared" si="90"/>
        <v>18435.169999999998</v>
      </c>
      <c r="H730" s="486">
        <f t="shared" si="91"/>
        <v>0.25857293301359779</v>
      </c>
      <c r="I730" s="486">
        <f t="shared" si="92"/>
        <v>1301</v>
      </c>
      <c r="J730" s="480"/>
      <c r="K730" s="487">
        <f t="shared" si="93"/>
        <v>1.4333098094112482</v>
      </c>
      <c r="M730" s="492">
        <f>M728+M729</f>
        <v>43932.509999999995</v>
      </c>
      <c r="N730" s="494"/>
      <c r="O730" s="480"/>
      <c r="P730" s="480"/>
    </row>
    <row r="731" spans="1:16" ht="12.75" thickBot="1">
      <c r="A731" s="81" t="s">
        <v>1281</v>
      </c>
      <c r="B731" s="2" t="s">
        <v>236</v>
      </c>
      <c r="C731" s="497">
        <v>2243</v>
      </c>
      <c r="D731" s="497"/>
      <c r="E731" s="495">
        <v>22.15</v>
      </c>
      <c r="F731" s="190">
        <f t="shared" si="90"/>
        <v>49682.45</v>
      </c>
      <c r="H731" s="486">
        <f t="shared" si="91"/>
        <v>0.69684938168736299</v>
      </c>
      <c r="I731" s="486">
        <f t="shared" si="92"/>
        <v>2243</v>
      </c>
      <c r="J731" s="480"/>
      <c r="K731" s="487">
        <f t="shared" si="93"/>
        <v>0.91693002254435163</v>
      </c>
      <c r="M731" s="82"/>
      <c r="N731" s="495"/>
      <c r="O731" s="480"/>
      <c r="P731" s="480"/>
    </row>
    <row r="732" spans="1:16" ht="12.75" thickBot="1">
      <c r="A732" s="81" t="s">
        <v>1281</v>
      </c>
      <c r="B732" s="2" t="s">
        <v>354</v>
      </c>
      <c r="C732" s="497">
        <v>16</v>
      </c>
      <c r="D732" s="497"/>
      <c r="E732" s="495">
        <v>72.550000000000011</v>
      </c>
      <c r="F732" s="190">
        <f t="shared" si="90"/>
        <v>1160.8000000000002</v>
      </c>
      <c r="H732" s="486">
        <f t="shared" si="91"/>
        <v>1.6281458790029298E-2</v>
      </c>
      <c r="I732" s="486">
        <f t="shared" si="92"/>
        <v>16</v>
      </c>
      <c r="J732" s="480"/>
      <c r="K732" s="487">
        <f t="shared" si="93"/>
        <v>0.27994486560106663</v>
      </c>
      <c r="M732" s="82"/>
      <c r="N732" s="495"/>
      <c r="O732" s="480"/>
      <c r="P732" s="480"/>
    </row>
    <row r="733" spans="1:16" ht="12.75" thickBot="1">
      <c r="A733" s="81" t="s">
        <v>1281</v>
      </c>
      <c r="B733" s="2" t="s">
        <v>355</v>
      </c>
      <c r="C733" s="497">
        <v>11</v>
      </c>
      <c r="D733" s="497"/>
      <c r="E733" s="495">
        <v>41.43</v>
      </c>
      <c r="F733" s="190">
        <f t="shared" si="90"/>
        <v>455.73</v>
      </c>
      <c r="H733" s="486">
        <f t="shared" si="91"/>
        <v>6.392099598880127E-3</v>
      </c>
      <c r="I733" s="486">
        <f t="shared" si="92"/>
        <v>11</v>
      </c>
      <c r="J733" s="480"/>
      <c r="K733" s="487">
        <f t="shared" si="93"/>
        <v>0.49022447500259203</v>
      </c>
      <c r="M733" s="82"/>
      <c r="N733" s="495"/>
      <c r="O733" s="480"/>
      <c r="P733" s="480"/>
    </row>
    <row r="734" spans="1:16" ht="12.75" thickBot="1">
      <c r="A734" s="81" t="s">
        <v>1281</v>
      </c>
      <c r="B734" s="2" t="s">
        <v>359</v>
      </c>
      <c r="C734" s="497">
        <v>45</v>
      </c>
      <c r="D734" s="497"/>
      <c r="E734" s="495">
        <v>19.38</v>
      </c>
      <c r="F734" s="190">
        <f t="shared" si="90"/>
        <v>872.09999999999991</v>
      </c>
      <c r="H734" s="486">
        <f t="shared" si="91"/>
        <v>1.2232133193301643E-2</v>
      </c>
      <c r="I734" s="486">
        <f t="shared" si="92"/>
        <v>45</v>
      </c>
      <c r="J734" s="480"/>
      <c r="K734" s="487">
        <f t="shared" si="93"/>
        <v>1.0479876160659127</v>
      </c>
      <c r="M734" s="82"/>
      <c r="N734" s="495"/>
      <c r="O734" s="480"/>
      <c r="P734" s="480"/>
    </row>
    <row r="735" spans="1:16" ht="12.75" thickBot="1">
      <c r="A735" s="81" t="s">
        <v>1281</v>
      </c>
      <c r="B735" s="2" t="s">
        <v>356</v>
      </c>
      <c r="C735" s="497">
        <v>239</v>
      </c>
      <c r="D735" s="497"/>
      <c r="E735" s="495">
        <v>20.349999999999998</v>
      </c>
      <c r="F735" s="190">
        <f t="shared" si="90"/>
        <v>4863.6499999999996</v>
      </c>
      <c r="H735" s="486">
        <f t="shared" si="91"/>
        <v>6.8217881671369718E-2</v>
      </c>
      <c r="I735" s="486">
        <f t="shared" si="92"/>
        <v>239</v>
      </c>
      <c r="J735" s="480"/>
      <c r="K735" s="487">
        <f t="shared" si="93"/>
        <v>0.99803439800282012</v>
      </c>
      <c r="M735" s="82"/>
      <c r="N735" s="495"/>
      <c r="O735" s="480"/>
      <c r="P735" s="480"/>
    </row>
    <row r="736" spans="1:16" ht="12.75" thickBot="1">
      <c r="A736" s="81" t="s">
        <v>1281</v>
      </c>
      <c r="B736" s="135" t="s">
        <v>357</v>
      </c>
      <c r="C736" s="497">
        <v>103</v>
      </c>
      <c r="D736" s="497"/>
      <c r="E736" s="495">
        <v>19.53</v>
      </c>
      <c r="F736" s="190">
        <f t="shared" si="90"/>
        <v>2011.5900000000001</v>
      </c>
      <c r="H736" s="486">
        <f t="shared" si="91"/>
        <v>2.8214696491587723E-2</v>
      </c>
      <c r="I736" s="486">
        <f t="shared" si="92"/>
        <v>103</v>
      </c>
      <c r="J736" s="480"/>
      <c r="K736" s="487">
        <f t="shared" si="93"/>
        <v>1.0399385560346843</v>
      </c>
      <c r="M736" s="82"/>
      <c r="N736" s="495"/>
      <c r="O736" s="480"/>
      <c r="P736" s="480"/>
    </row>
    <row r="737" spans="1:16" ht="12.75" thickBot="1">
      <c r="A737" s="81" t="s">
        <v>1281</v>
      </c>
      <c r="B737" s="2" t="s">
        <v>358</v>
      </c>
      <c r="C737" s="497">
        <v>79</v>
      </c>
      <c r="D737" s="497"/>
      <c r="E737" s="495">
        <v>20.819999999999997</v>
      </c>
      <c r="F737" s="190">
        <f t="shared" si="90"/>
        <v>1644.7799999999997</v>
      </c>
      <c r="H737" s="486">
        <f t="shared" si="91"/>
        <v>2.3069794786926584E-2</v>
      </c>
      <c r="I737" s="486">
        <f t="shared" si="92"/>
        <v>79</v>
      </c>
      <c r="J737" s="480"/>
      <c r="K737" s="487">
        <f t="shared" si="93"/>
        <v>0.97550432273570564</v>
      </c>
      <c r="M737" s="82"/>
      <c r="N737" s="495"/>
      <c r="O737" s="480"/>
      <c r="P737" s="480"/>
    </row>
    <row r="738" spans="1:16" ht="12.75" thickBot="1">
      <c r="A738" s="81" t="s">
        <v>1281</v>
      </c>
      <c r="B738" s="2" t="s">
        <v>250</v>
      </c>
      <c r="C738" s="497">
        <v>552</v>
      </c>
      <c r="D738" s="497"/>
      <c r="E738" s="495">
        <v>19.2</v>
      </c>
      <c r="F738" s="190">
        <f t="shared" si="90"/>
        <v>10598.4</v>
      </c>
      <c r="H738" s="486">
        <f t="shared" si="91"/>
        <v>0.14865387046885464</v>
      </c>
      <c r="I738" s="486">
        <f t="shared" si="92"/>
        <v>552</v>
      </c>
      <c r="J738" s="480"/>
      <c r="K738" s="487">
        <f t="shared" si="93"/>
        <v>1.0578124999665306</v>
      </c>
      <c r="M738" s="82"/>
      <c r="N738" s="495"/>
      <c r="O738" s="480"/>
      <c r="P738" s="480"/>
    </row>
    <row r="739" spans="1:16" ht="12.75" thickBot="1">
      <c r="A739" s="81" t="s">
        <v>1281</v>
      </c>
      <c r="B739" s="2" t="s">
        <v>251</v>
      </c>
      <c r="C739" s="497">
        <v>529</v>
      </c>
      <c r="D739" s="497"/>
      <c r="E739" s="495">
        <v>22.949999999999996</v>
      </c>
      <c r="F739" s="190">
        <f t="shared" si="90"/>
        <v>12140.549999999997</v>
      </c>
      <c r="H739" s="486">
        <f t="shared" si="91"/>
        <v>0.170284169980436</v>
      </c>
      <c r="I739" s="486">
        <f t="shared" si="92"/>
        <v>529</v>
      </c>
      <c r="J739" s="480"/>
      <c r="K739" s="487">
        <f t="shared" si="93"/>
        <v>0.88496732023343749</v>
      </c>
      <c r="M739" s="82"/>
      <c r="N739" s="495"/>
      <c r="O739" s="480"/>
      <c r="P739" s="480"/>
    </row>
    <row r="740" spans="1:16" ht="12.75" thickBot="1">
      <c r="A740" s="81" t="s">
        <v>1281</v>
      </c>
      <c r="B740" s="2" t="s">
        <v>254</v>
      </c>
      <c r="C740" s="497">
        <v>53</v>
      </c>
      <c r="D740" s="497"/>
      <c r="E740" s="495">
        <v>17.419999999999998</v>
      </c>
      <c r="F740" s="190">
        <f t="shared" si="90"/>
        <v>923.25999999999988</v>
      </c>
      <c r="H740" s="486">
        <f t="shared" si="91"/>
        <v>1.2949706790560341E-2</v>
      </c>
      <c r="I740" s="486">
        <f t="shared" si="92"/>
        <v>53</v>
      </c>
      <c r="J740" s="480"/>
      <c r="K740" s="487">
        <f t="shared" si="93"/>
        <v>1.1659012628792991</v>
      </c>
      <c r="M740" s="82"/>
      <c r="N740" s="495"/>
      <c r="O740" s="480"/>
      <c r="P740" s="480"/>
    </row>
    <row r="741" spans="1:16" ht="12.75" thickBot="1">
      <c r="A741" s="81" t="s">
        <v>1281</v>
      </c>
      <c r="B741" s="135" t="s">
        <v>260</v>
      </c>
      <c r="C741" s="497">
        <v>39</v>
      </c>
      <c r="D741" s="497"/>
      <c r="E741" s="495">
        <v>13.12</v>
      </c>
      <c r="F741" s="190">
        <f t="shared" si="90"/>
        <v>511.67999999999995</v>
      </c>
      <c r="H741" s="486">
        <f t="shared" si="91"/>
        <v>7.1768580579619125E-3</v>
      </c>
      <c r="I741" s="486">
        <f t="shared" si="92"/>
        <v>39</v>
      </c>
      <c r="J741" s="480"/>
      <c r="K741" s="487">
        <f t="shared" si="93"/>
        <v>1.5480182926339474</v>
      </c>
      <c r="M741" s="82"/>
      <c r="N741" s="495"/>
      <c r="O741" s="480"/>
      <c r="P741" s="480"/>
    </row>
    <row r="742" spans="1:16" ht="12.75" thickBot="1">
      <c r="A742" s="81" t="s">
        <v>1281</v>
      </c>
      <c r="B742" s="2" t="s">
        <v>262</v>
      </c>
      <c r="C742" s="497">
        <v>16</v>
      </c>
      <c r="D742" s="497"/>
      <c r="E742" s="495">
        <v>9.0200000000000014</v>
      </c>
      <c r="F742" s="190">
        <f t="shared" si="90"/>
        <v>144.32000000000002</v>
      </c>
      <c r="H742" s="486">
        <f t="shared" si="91"/>
        <v>2.0242420163482321E-3</v>
      </c>
      <c r="I742" s="486">
        <f t="shared" si="92"/>
        <v>16</v>
      </c>
      <c r="J742" s="480"/>
      <c r="K742" s="487">
        <f t="shared" si="93"/>
        <v>2.2516629711039227</v>
      </c>
      <c r="M742" s="82"/>
      <c r="N742" s="495"/>
      <c r="O742" s="480"/>
      <c r="P742" s="480"/>
    </row>
    <row r="743" spans="1:16" ht="12.75" thickBot="1">
      <c r="A743" s="81" t="s">
        <v>1281</v>
      </c>
      <c r="B743" s="2" t="s">
        <v>340</v>
      </c>
      <c r="C743" s="497">
        <v>32</v>
      </c>
      <c r="D743" s="497"/>
      <c r="E743" s="495">
        <v>23.89</v>
      </c>
      <c r="F743" s="190">
        <f t="shared" si="90"/>
        <v>764.48</v>
      </c>
      <c r="H743" s="486">
        <f t="shared" si="91"/>
        <v>1.0722647842696068E-2</v>
      </c>
      <c r="I743" s="486">
        <f t="shared" si="92"/>
        <v>32</v>
      </c>
      <c r="J743" s="480"/>
      <c r="K743" s="487">
        <f t="shared" si="93"/>
        <v>0.85014650478683074</v>
      </c>
      <c r="M743" s="82"/>
      <c r="N743" s="495"/>
      <c r="O743" s="480"/>
      <c r="P743" s="480"/>
    </row>
    <row r="744" spans="1:16" ht="12.75" thickBot="1">
      <c r="A744" s="81" t="s">
        <v>1281</v>
      </c>
      <c r="B744" s="2" t="s">
        <v>692</v>
      </c>
      <c r="C744" s="497">
        <v>4</v>
      </c>
      <c r="D744" s="497"/>
      <c r="E744" s="495">
        <v>24.9</v>
      </c>
      <c r="F744" s="190">
        <f t="shared" si="90"/>
        <v>99.6</v>
      </c>
      <c r="H744" s="486">
        <f t="shared" si="91"/>
        <v>1.3969962917702598E-3</v>
      </c>
      <c r="I744" s="486">
        <f t="shared" si="92"/>
        <v>4</v>
      </c>
      <c r="J744" s="480"/>
      <c r="K744" s="487">
        <f t="shared" si="93"/>
        <v>0.81566265057660192</v>
      </c>
      <c r="M744" s="82"/>
      <c r="N744" s="495"/>
      <c r="O744" s="480"/>
      <c r="P744" s="480"/>
    </row>
    <row r="745" spans="1:16" ht="12.75" thickBot="1">
      <c r="A745" s="81" t="s">
        <v>1281</v>
      </c>
      <c r="B745" s="2" t="s">
        <v>292</v>
      </c>
      <c r="C745" s="497">
        <v>220</v>
      </c>
      <c r="D745" s="497"/>
      <c r="E745" s="495">
        <v>19.79</v>
      </c>
      <c r="F745" s="190">
        <f t="shared" si="90"/>
        <v>4353.8</v>
      </c>
      <c r="H745" s="486">
        <f t="shared" si="91"/>
        <v>6.1066691316359015E-2</v>
      </c>
      <c r="I745" s="486">
        <f t="shared" si="92"/>
        <v>220</v>
      </c>
      <c r="J745" s="480"/>
      <c r="K745" s="487">
        <f t="shared" si="93"/>
        <v>1.0262758968851637</v>
      </c>
      <c r="M745" s="82"/>
      <c r="N745" s="495"/>
      <c r="O745" s="480"/>
      <c r="P745" s="480"/>
    </row>
    <row r="746" spans="1:16" ht="12.75" thickBot="1">
      <c r="A746" s="81" t="s">
        <v>1281</v>
      </c>
      <c r="B746" s="135" t="s">
        <v>293</v>
      </c>
      <c r="C746" s="497">
        <v>2033</v>
      </c>
      <c r="D746" s="497"/>
      <c r="E746" s="495">
        <v>20.49</v>
      </c>
      <c r="F746" s="190">
        <f t="shared" si="90"/>
        <v>41656.17</v>
      </c>
      <c r="H746" s="486">
        <f t="shared" si="91"/>
        <v>0.58427223915011595</v>
      </c>
      <c r="I746" s="486">
        <f t="shared" si="92"/>
        <v>2033</v>
      </c>
      <c r="J746" s="480"/>
      <c r="K746" s="487">
        <f t="shared" si="93"/>
        <v>0.99121522690860853</v>
      </c>
      <c r="M746" s="82"/>
      <c r="N746" s="495"/>
      <c r="O746" s="480"/>
      <c r="P746" s="480"/>
    </row>
    <row r="747" spans="1:16" ht="12.75" thickBot="1">
      <c r="A747" s="81" t="s">
        <v>1281</v>
      </c>
      <c r="B747" s="2" t="s">
        <v>295</v>
      </c>
      <c r="C747" s="497">
        <v>27</v>
      </c>
      <c r="D747" s="497"/>
      <c r="E747" s="495">
        <v>20.18</v>
      </c>
      <c r="F747" s="190">
        <f t="shared" si="90"/>
        <v>544.86</v>
      </c>
      <c r="H747" s="486">
        <f t="shared" si="91"/>
        <v>7.6422429672082723E-3</v>
      </c>
      <c r="I747" s="486">
        <f t="shared" si="92"/>
        <v>27</v>
      </c>
      <c r="J747" s="480"/>
      <c r="K747" s="487">
        <f t="shared" si="93"/>
        <v>1.0064420217719221</v>
      </c>
      <c r="M747" s="82"/>
      <c r="N747" s="495"/>
      <c r="O747" s="480"/>
      <c r="P747" s="480"/>
    </row>
    <row r="748" spans="1:16" ht="12.75" thickBot="1">
      <c r="A748" s="81" t="s">
        <v>1281</v>
      </c>
      <c r="B748" s="2" t="s">
        <v>296</v>
      </c>
      <c r="C748" s="497">
        <v>1778</v>
      </c>
      <c r="D748" s="497"/>
      <c r="E748" s="495">
        <v>22.56</v>
      </c>
      <c r="F748" s="190">
        <f t="shared" si="90"/>
        <v>40111.68</v>
      </c>
      <c r="H748" s="486">
        <f t="shared" si="91"/>
        <v>0.56260911864131824</v>
      </c>
      <c r="I748" s="486">
        <f t="shared" si="92"/>
        <v>1778</v>
      </c>
      <c r="J748" s="480"/>
      <c r="K748" s="487">
        <f t="shared" si="93"/>
        <v>0.90026595741832394</v>
      </c>
      <c r="M748" s="82"/>
      <c r="N748" s="495"/>
      <c r="O748" s="480"/>
      <c r="P748" s="480"/>
    </row>
    <row r="749" spans="1:16" ht="12.75" thickBot="1">
      <c r="A749" s="81" t="s">
        <v>1281</v>
      </c>
      <c r="B749" s="2" t="s">
        <v>297</v>
      </c>
      <c r="C749" s="497">
        <v>35</v>
      </c>
      <c r="D749" s="497"/>
      <c r="E749" s="495">
        <v>23.68</v>
      </c>
      <c r="F749" s="190">
        <f t="shared" ref="F749:F780" si="94">C749*E749</f>
        <v>828.8</v>
      </c>
      <c r="H749" s="486">
        <f t="shared" si="91"/>
        <v>1.1624804484128427E-2</v>
      </c>
      <c r="I749" s="486">
        <f t="shared" si="92"/>
        <v>35</v>
      </c>
      <c r="J749" s="480"/>
      <c r="K749" s="487">
        <f t="shared" si="93"/>
        <v>0.85768581078367345</v>
      </c>
      <c r="M749" s="82"/>
      <c r="N749" s="495"/>
      <c r="O749" s="480"/>
      <c r="P749" s="480"/>
    </row>
    <row r="750" spans="1:16" ht="12.75" thickBot="1">
      <c r="A750" s="81" t="s">
        <v>1281</v>
      </c>
      <c r="B750" s="2" t="s">
        <v>299</v>
      </c>
      <c r="C750" s="497">
        <v>111</v>
      </c>
      <c r="D750" s="497"/>
      <c r="E750" s="495">
        <v>24.77</v>
      </c>
      <c r="F750" s="190">
        <f t="shared" si="94"/>
        <v>2749.47</v>
      </c>
      <c r="H750" s="486">
        <f t="shared" si="91"/>
        <v>3.8564250947124262E-2</v>
      </c>
      <c r="I750" s="486">
        <f t="shared" si="92"/>
        <v>111</v>
      </c>
      <c r="J750" s="480"/>
      <c r="K750" s="487">
        <f t="shared" si="93"/>
        <v>0.81994347999020545</v>
      </c>
      <c r="M750" s="82"/>
      <c r="N750" s="495"/>
      <c r="O750" s="480"/>
      <c r="P750" s="480"/>
    </row>
    <row r="751" spans="1:16" ht="12.75" thickBot="1">
      <c r="A751" s="81" t="s">
        <v>1281</v>
      </c>
      <c r="B751" s="2" t="s">
        <v>300</v>
      </c>
      <c r="C751" s="497">
        <v>53</v>
      </c>
      <c r="D751" s="497"/>
      <c r="E751" s="495">
        <v>29.889999999999997</v>
      </c>
      <c r="F751" s="190">
        <f t="shared" si="94"/>
        <v>1584.1699999999998</v>
      </c>
      <c r="H751" s="486">
        <f t="shared" si="91"/>
        <v>2.2219674854755948E-2</v>
      </c>
      <c r="I751" s="486">
        <f t="shared" si="92"/>
        <v>53</v>
      </c>
      <c r="J751" s="480"/>
      <c r="K751" s="487">
        <f t="shared" si="93"/>
        <v>0.67949146869713584</v>
      </c>
      <c r="M751" s="82"/>
      <c r="N751" s="495"/>
      <c r="O751" s="480"/>
      <c r="P751" s="480"/>
    </row>
    <row r="752" spans="1:16" ht="12.75" thickBot="1">
      <c r="A752" s="81" t="s">
        <v>1281</v>
      </c>
      <c r="B752" s="2" t="s">
        <v>301</v>
      </c>
      <c r="C752" s="497">
        <v>174</v>
      </c>
      <c r="D752" s="497"/>
      <c r="E752" s="495">
        <v>32.860000000000007</v>
      </c>
      <c r="F752" s="190">
        <f t="shared" si="94"/>
        <v>5717.6400000000012</v>
      </c>
      <c r="H752" s="486">
        <f t="shared" si="91"/>
        <v>8.0196002787924811E-2</v>
      </c>
      <c r="I752" s="486">
        <f t="shared" si="92"/>
        <v>174</v>
      </c>
      <c r="J752" s="480"/>
      <c r="K752" s="487">
        <f t="shared" si="93"/>
        <v>0.61807668896401047</v>
      </c>
      <c r="M752" s="82"/>
      <c r="N752" s="495"/>
      <c r="O752" s="480"/>
      <c r="P752" s="480"/>
    </row>
    <row r="753" spans="1:16" ht="12.75" thickBot="1">
      <c r="A753" s="81" t="s">
        <v>1281</v>
      </c>
      <c r="B753" s="135" t="s">
        <v>302</v>
      </c>
      <c r="C753" s="497">
        <v>358</v>
      </c>
      <c r="D753" s="497"/>
      <c r="E753" s="495">
        <v>38.389999999999993</v>
      </c>
      <c r="F753" s="190">
        <f t="shared" si="94"/>
        <v>13743.619999999997</v>
      </c>
      <c r="H753" s="486">
        <f t="shared" si="91"/>
        <v>0.19276893750501584</v>
      </c>
      <c r="I753" s="486">
        <f t="shared" si="92"/>
        <v>358</v>
      </c>
      <c r="J753" s="480"/>
      <c r="K753" s="487">
        <f t="shared" si="93"/>
        <v>0.52904402186395916</v>
      </c>
      <c r="M753" s="82"/>
      <c r="N753" s="495"/>
      <c r="O753" s="480"/>
      <c r="P753" s="480"/>
    </row>
    <row r="754" spans="1:16" ht="12.75" thickBot="1">
      <c r="A754" s="81" t="s">
        <v>1281</v>
      </c>
      <c r="B754" s="2" t="s">
        <v>303</v>
      </c>
      <c r="C754" s="497">
        <v>17</v>
      </c>
      <c r="D754" s="497"/>
      <c r="E754" s="495">
        <v>26.349999999999998</v>
      </c>
      <c r="F754" s="190">
        <f t="shared" si="94"/>
        <v>447.95</v>
      </c>
      <c r="H754" s="486">
        <f t="shared" si="91"/>
        <v>6.2829767961695574E-3</v>
      </c>
      <c r="I754" s="486">
        <f t="shared" si="92"/>
        <v>17</v>
      </c>
      <c r="J754" s="480"/>
      <c r="K754" s="487">
        <f t="shared" si="93"/>
        <v>0.77077798859041324</v>
      </c>
      <c r="M754" s="82"/>
      <c r="N754" s="495"/>
      <c r="O754" s="480"/>
      <c r="P754" s="480"/>
    </row>
    <row r="755" spans="1:16" ht="12.75" thickBot="1">
      <c r="A755" s="81" t="s">
        <v>1281</v>
      </c>
      <c r="B755" s="2" t="s">
        <v>304</v>
      </c>
      <c r="C755" s="497">
        <v>363</v>
      </c>
      <c r="D755" s="497"/>
      <c r="E755" s="495">
        <v>28.45</v>
      </c>
      <c r="F755" s="190">
        <f t="shared" si="94"/>
        <v>10327.35</v>
      </c>
      <c r="H755" s="486">
        <f t="shared" si="91"/>
        <v>0.1448521049579678</v>
      </c>
      <c r="I755" s="486">
        <f t="shared" si="92"/>
        <v>363</v>
      </c>
      <c r="J755" s="480"/>
      <c r="K755" s="487">
        <f t="shared" si="93"/>
        <v>0.7138840070072896</v>
      </c>
      <c r="M755" s="82"/>
      <c r="N755" s="495"/>
      <c r="O755" s="480"/>
      <c r="P755" s="480"/>
    </row>
    <row r="756" spans="1:16" ht="12.75" thickBot="1">
      <c r="A756" s="81" t="s">
        <v>1281</v>
      </c>
      <c r="B756" s="2" t="s">
        <v>305</v>
      </c>
      <c r="C756" s="497">
        <v>31</v>
      </c>
      <c r="D756" s="497"/>
      <c r="E756" s="495">
        <v>34.029999999999994</v>
      </c>
      <c r="F756" s="190">
        <f t="shared" si="94"/>
        <v>1054.9299999999998</v>
      </c>
      <c r="H756" s="486">
        <f t="shared" si="91"/>
        <v>1.4796519057000001E-2</v>
      </c>
      <c r="I756" s="486">
        <f t="shared" si="92"/>
        <v>31</v>
      </c>
      <c r="J756" s="480"/>
      <c r="K756" s="487">
        <f t="shared" si="93"/>
        <v>0.59682632969019667</v>
      </c>
      <c r="M756" s="82"/>
      <c r="N756" s="495"/>
      <c r="O756" s="480"/>
      <c r="P756" s="480"/>
    </row>
    <row r="757" spans="1:16" ht="12.75" thickBot="1">
      <c r="A757" s="81" t="s">
        <v>1281</v>
      </c>
      <c r="B757" s="2" t="s">
        <v>306</v>
      </c>
      <c r="C757" s="497">
        <v>40</v>
      </c>
      <c r="D757" s="497"/>
      <c r="E757" s="495">
        <v>33.22</v>
      </c>
      <c r="F757" s="190">
        <f t="shared" si="94"/>
        <v>1328.8</v>
      </c>
      <c r="H757" s="486">
        <f t="shared" si="91"/>
        <v>1.8637838077352625E-2</v>
      </c>
      <c r="I757" s="486">
        <f t="shared" si="92"/>
        <v>40</v>
      </c>
      <c r="J757" s="480"/>
      <c r="K757" s="487">
        <f t="shared" si="93"/>
        <v>0.61137868751828384</v>
      </c>
      <c r="M757" s="82"/>
      <c r="N757" s="495"/>
      <c r="O757" s="480"/>
      <c r="P757" s="480"/>
    </row>
    <row r="758" spans="1:16" ht="12.75" thickBot="1">
      <c r="A758" s="81" t="s">
        <v>1281</v>
      </c>
      <c r="B758" s="2" t="s">
        <v>307</v>
      </c>
      <c r="C758" s="497">
        <v>52</v>
      </c>
      <c r="D758" s="497"/>
      <c r="E758" s="495">
        <v>35.199999999999996</v>
      </c>
      <c r="F758" s="190">
        <f t="shared" si="94"/>
        <v>1830.3999999999999</v>
      </c>
      <c r="H758" s="486">
        <f t="shared" si="91"/>
        <v>2.5673313378075137E-2</v>
      </c>
      <c r="I758" s="486">
        <f t="shared" si="92"/>
        <v>52</v>
      </c>
      <c r="J758" s="480"/>
      <c r="K758" s="487">
        <f t="shared" si="93"/>
        <v>0.57698863634538045</v>
      </c>
      <c r="M758" s="82"/>
      <c r="N758" s="495"/>
      <c r="O758" s="480"/>
      <c r="P758" s="480"/>
    </row>
    <row r="759" spans="1:16" ht="12.75" thickBot="1">
      <c r="A759" s="81" t="s">
        <v>1281</v>
      </c>
      <c r="B759" s="2" t="s">
        <v>308</v>
      </c>
      <c r="C759" s="497">
        <v>195</v>
      </c>
      <c r="D759" s="497"/>
      <c r="E759" s="495">
        <v>34.090000000000003</v>
      </c>
      <c r="F759" s="190">
        <f t="shared" si="94"/>
        <v>6647.5500000000011</v>
      </c>
      <c r="H759" s="486">
        <f t="shared" si="91"/>
        <v>9.3238982925275035E-2</v>
      </c>
      <c r="I759" s="486">
        <f t="shared" si="92"/>
        <v>195</v>
      </c>
      <c r="J759" s="480"/>
      <c r="K759" s="487">
        <f t="shared" si="93"/>
        <v>0.59577588733814568</v>
      </c>
      <c r="M759" s="82"/>
      <c r="N759" s="495"/>
      <c r="O759" s="480"/>
      <c r="P759" s="480"/>
    </row>
    <row r="760" spans="1:16" ht="12.75" thickBot="1">
      <c r="A760" s="81" t="s">
        <v>1281</v>
      </c>
      <c r="B760" s="135" t="s">
        <v>309</v>
      </c>
      <c r="C760" s="497">
        <f>188-1</f>
        <v>187</v>
      </c>
      <c r="D760" s="497"/>
      <c r="E760" s="495">
        <v>36.07</v>
      </c>
      <c r="F760" s="190">
        <f t="shared" si="94"/>
        <v>6745.09</v>
      </c>
      <c r="H760" s="486">
        <f t="shared" si="91"/>
        <v>9.4607085518641193E-2</v>
      </c>
      <c r="I760" s="486">
        <f t="shared" si="92"/>
        <v>187</v>
      </c>
      <c r="J760" s="480"/>
      <c r="K760" s="487">
        <f t="shared" si="93"/>
        <v>0.56307180480613772</v>
      </c>
      <c r="M760" s="82"/>
      <c r="N760" s="495"/>
      <c r="O760" s="480"/>
      <c r="P760" s="480"/>
    </row>
    <row r="761" spans="1:16" ht="12.75" thickBot="1">
      <c r="A761" s="81" t="s">
        <v>1281</v>
      </c>
      <c r="B761" s="2" t="s">
        <v>310</v>
      </c>
      <c r="C761" s="497">
        <v>13</v>
      </c>
      <c r="D761" s="497"/>
      <c r="E761" s="495">
        <v>32.26</v>
      </c>
      <c r="F761" s="190">
        <f t="shared" si="94"/>
        <v>419.38</v>
      </c>
      <c r="H761" s="486">
        <f t="shared" si="91"/>
        <v>5.8822520566527269E-3</v>
      </c>
      <c r="I761" s="486">
        <f t="shared" si="92"/>
        <v>13</v>
      </c>
      <c r="J761" s="480"/>
      <c r="K761" s="487">
        <f t="shared" si="93"/>
        <v>0.62957222564654025</v>
      </c>
      <c r="M761" s="82"/>
      <c r="N761" s="495"/>
      <c r="O761" s="480"/>
      <c r="P761" s="480"/>
    </row>
    <row r="762" spans="1:16" ht="12.75" thickBot="1">
      <c r="A762" s="81" t="s">
        <v>1281</v>
      </c>
      <c r="B762" s="2" t="s">
        <v>311</v>
      </c>
      <c r="C762" s="497">
        <v>44</v>
      </c>
      <c r="D762" s="497"/>
      <c r="E762" s="495">
        <v>32.93</v>
      </c>
      <c r="F762" s="190">
        <f t="shared" si="94"/>
        <v>1448.92</v>
      </c>
      <c r="H762" s="486">
        <f t="shared" si="91"/>
        <v>2.0322649267788807E-2</v>
      </c>
      <c r="I762" s="486">
        <f t="shared" si="92"/>
        <v>44</v>
      </c>
      <c r="J762" s="480"/>
      <c r="K762" s="487">
        <f t="shared" si="93"/>
        <v>0.61676283022646183</v>
      </c>
      <c r="M762" s="82"/>
      <c r="N762" s="495"/>
      <c r="O762" s="480"/>
      <c r="P762" s="480"/>
    </row>
    <row r="763" spans="1:16" ht="12.75" thickBot="1">
      <c r="A763" s="81" t="s">
        <v>1281</v>
      </c>
      <c r="B763" s="2" t="s">
        <v>339</v>
      </c>
      <c r="C763" s="497">
        <v>10</v>
      </c>
      <c r="D763" s="497"/>
      <c r="E763" s="495">
        <v>34.330000000000005</v>
      </c>
      <c r="F763" s="190">
        <f t="shared" si="94"/>
        <v>343.30000000000007</v>
      </c>
      <c r="H763" s="486">
        <f t="shared" si="91"/>
        <v>4.8151488651077337E-3</v>
      </c>
      <c r="I763" s="486">
        <f t="shared" si="92"/>
        <v>10</v>
      </c>
      <c r="J763" s="480"/>
      <c r="K763" s="487">
        <f t="shared" si="93"/>
        <v>0.59161083598477671</v>
      </c>
      <c r="M763" s="82"/>
      <c r="N763" s="495"/>
      <c r="O763" s="480"/>
      <c r="P763" s="480"/>
    </row>
    <row r="764" spans="1:16" ht="12.75" thickBot="1">
      <c r="A764" s="81" t="s">
        <v>1281</v>
      </c>
      <c r="B764" s="2" t="s">
        <v>312</v>
      </c>
      <c r="C764" s="497">
        <v>170</v>
      </c>
      <c r="D764" s="497"/>
      <c r="E764" s="495">
        <v>34.99</v>
      </c>
      <c r="F764" s="190">
        <f t="shared" si="94"/>
        <v>5948.3</v>
      </c>
      <c r="H764" s="486">
        <f t="shared" si="91"/>
        <v>8.3431255445150967E-2</v>
      </c>
      <c r="I764" s="486">
        <f t="shared" si="92"/>
        <v>170</v>
      </c>
      <c r="J764" s="480"/>
      <c r="K764" s="487">
        <f t="shared" si="93"/>
        <v>0.58045155756951661</v>
      </c>
      <c r="M764" s="82"/>
      <c r="N764" s="495"/>
      <c r="O764" s="480"/>
      <c r="P764" s="480"/>
    </row>
    <row r="765" spans="1:16" ht="12.75" thickBot="1">
      <c r="A765" s="81" t="s">
        <v>1281</v>
      </c>
      <c r="B765" s="2" t="s">
        <v>688</v>
      </c>
      <c r="C765" s="497">
        <v>2</v>
      </c>
      <c r="D765" s="497"/>
      <c r="E765" s="495">
        <v>18.279999999999998</v>
      </c>
      <c r="F765" s="190">
        <f t="shared" si="94"/>
        <v>36.559999999999995</v>
      </c>
      <c r="H765" s="486">
        <f t="shared" si="91"/>
        <v>5.127930163365532E-4</v>
      </c>
      <c r="I765" s="486">
        <f t="shared" si="92"/>
        <v>2</v>
      </c>
      <c r="J765" s="480"/>
      <c r="K765" s="487">
        <f t="shared" si="93"/>
        <v>1.1110503281924173</v>
      </c>
      <c r="M765" s="82"/>
      <c r="N765" s="495"/>
      <c r="O765" s="480"/>
      <c r="P765" s="480"/>
    </row>
    <row r="766" spans="1:16" ht="12.75" thickBot="1">
      <c r="A766" s="81" t="s">
        <v>1281</v>
      </c>
      <c r="B766" s="2" t="s">
        <v>341</v>
      </c>
      <c r="C766" s="497">
        <v>13</v>
      </c>
      <c r="D766" s="497"/>
      <c r="E766" s="495">
        <v>22.32</v>
      </c>
      <c r="F766" s="190">
        <f t="shared" si="94"/>
        <v>290.16000000000003</v>
      </c>
      <c r="H766" s="486">
        <f t="shared" si="91"/>
        <v>4.0698036548198662E-3</v>
      </c>
      <c r="I766" s="486">
        <f t="shared" si="92"/>
        <v>13</v>
      </c>
      <c r="J766" s="480"/>
      <c r="K766" s="487">
        <f t="shared" si="93"/>
        <v>0.9099462365303489</v>
      </c>
      <c r="M766" s="82"/>
      <c r="N766" s="495"/>
      <c r="O766" s="480"/>
      <c r="P766" s="480"/>
    </row>
    <row r="767" spans="1:16" ht="12.75" thickBot="1">
      <c r="A767" s="81" t="s">
        <v>1281</v>
      </c>
      <c r="B767" s="2" t="s">
        <v>317</v>
      </c>
      <c r="C767" s="497">
        <v>6198</v>
      </c>
      <c r="D767" s="497"/>
      <c r="E767" s="495">
        <v>12.82</v>
      </c>
      <c r="F767" s="190">
        <f t="shared" si="94"/>
        <v>79458.36</v>
      </c>
      <c r="H767" s="486">
        <f t="shared" si="91"/>
        <v>1.1144882958850035</v>
      </c>
      <c r="I767" s="486">
        <f t="shared" si="92"/>
        <v>6198</v>
      </c>
      <c r="J767" s="480"/>
      <c r="K767" s="487">
        <f t="shared" si="93"/>
        <v>1.5842433696846636</v>
      </c>
      <c r="M767" s="82"/>
      <c r="N767" s="495"/>
      <c r="O767" s="480"/>
      <c r="P767" s="480"/>
    </row>
    <row r="768" spans="1:16" ht="12.75" thickBot="1">
      <c r="A768" s="81" t="s">
        <v>1281</v>
      </c>
      <c r="B768" s="135" t="s">
        <v>318</v>
      </c>
      <c r="C768" s="497">
        <v>7957</v>
      </c>
      <c r="D768" s="497"/>
      <c r="E768" s="495">
        <v>15.08</v>
      </c>
      <c r="F768" s="190">
        <f t="shared" si="94"/>
        <v>119991.56</v>
      </c>
      <c r="H768" s="486">
        <f t="shared" si="91"/>
        <v>1.6830096823667535</v>
      </c>
      <c r="I768" s="486">
        <f t="shared" si="92"/>
        <v>7957</v>
      </c>
      <c r="J768" s="480"/>
      <c r="K768" s="487">
        <f t="shared" si="93"/>
        <v>1.3468169760847073</v>
      </c>
      <c r="M768" s="82"/>
      <c r="N768" s="495"/>
      <c r="O768" s="480"/>
      <c r="P768" s="480"/>
    </row>
    <row r="769" spans="1:16" ht="12.75" thickBot="1">
      <c r="A769" s="81" t="s">
        <v>1281</v>
      </c>
      <c r="B769" s="2" t="s">
        <v>319</v>
      </c>
      <c r="C769" s="497">
        <v>5472</v>
      </c>
      <c r="D769" s="497"/>
      <c r="E769" s="495">
        <v>17.38</v>
      </c>
      <c r="F769" s="190">
        <f t="shared" si="94"/>
        <v>95103.360000000001</v>
      </c>
      <c r="H769" s="486">
        <f t="shared" si="91"/>
        <v>1.3339261170169887</v>
      </c>
      <c r="I769" s="486">
        <f t="shared" si="92"/>
        <v>5472</v>
      </c>
      <c r="J769" s="480"/>
      <c r="K769" s="487">
        <f t="shared" si="93"/>
        <v>1.1685845799400107</v>
      </c>
      <c r="M769" s="82"/>
      <c r="N769" s="495"/>
      <c r="O769" s="480"/>
      <c r="P769" s="480"/>
    </row>
    <row r="770" spans="1:16" ht="12.75" thickBot="1">
      <c r="A770" s="81" t="s">
        <v>1281</v>
      </c>
      <c r="B770" s="2" t="s">
        <v>320</v>
      </c>
      <c r="C770" s="497">
        <v>403</v>
      </c>
      <c r="D770" s="497"/>
      <c r="E770" s="495">
        <v>13.77</v>
      </c>
      <c r="F770" s="190">
        <f t="shared" si="94"/>
        <v>5549.3099999999995</v>
      </c>
      <c r="H770" s="486">
        <f t="shared" si="91"/>
        <v>7.7834994898429918E-2</v>
      </c>
      <c r="I770" s="486">
        <f t="shared" si="92"/>
        <v>403</v>
      </c>
      <c r="J770" s="480"/>
      <c r="K770" s="487">
        <f t="shared" si="93"/>
        <v>1.4749455337223956</v>
      </c>
      <c r="M770" s="82"/>
      <c r="N770" s="495"/>
      <c r="O770" s="480"/>
      <c r="P770" s="480"/>
    </row>
    <row r="771" spans="1:16" ht="12.75" thickBot="1">
      <c r="A771" s="81" t="s">
        <v>1281</v>
      </c>
      <c r="B771" s="2" t="s">
        <v>321</v>
      </c>
      <c r="C771" s="497">
        <v>12613</v>
      </c>
      <c r="D771" s="497"/>
      <c r="E771" s="495">
        <v>18.21</v>
      </c>
      <c r="F771" s="190">
        <f t="shared" si="94"/>
        <v>229682.73</v>
      </c>
      <c r="H771" s="486">
        <f t="shared" si="91"/>
        <v>3.2215454025468859</v>
      </c>
      <c r="I771" s="486">
        <f t="shared" si="92"/>
        <v>12613</v>
      </c>
      <c r="J771" s="480"/>
      <c r="K771" s="487">
        <f t="shared" si="93"/>
        <v>1.115321252024019</v>
      </c>
      <c r="M771" s="82"/>
      <c r="N771" s="495"/>
      <c r="O771" s="480"/>
      <c r="P771" s="480"/>
    </row>
    <row r="772" spans="1:16" ht="12.75" thickBot="1">
      <c r="A772" s="81" t="s">
        <v>1281</v>
      </c>
      <c r="B772" s="2" t="s">
        <v>322</v>
      </c>
      <c r="C772" s="497">
        <v>3169</v>
      </c>
      <c r="D772" s="497"/>
      <c r="E772" s="495">
        <v>10.86</v>
      </c>
      <c r="F772" s="190">
        <f t="shared" si="94"/>
        <v>34415.339999999997</v>
      </c>
      <c r="H772" s="486">
        <f t="shared" si="91"/>
        <v>0.48271187108446478</v>
      </c>
      <c r="I772" s="486">
        <f t="shared" si="92"/>
        <v>3169</v>
      </c>
      <c r="J772" s="480"/>
      <c r="K772" s="487">
        <f t="shared" si="93"/>
        <v>1.8701657457971812</v>
      </c>
      <c r="M772" s="82"/>
      <c r="N772" s="495"/>
      <c r="O772" s="480"/>
      <c r="P772" s="480"/>
    </row>
    <row r="773" spans="1:16" ht="12.75" thickBot="1">
      <c r="A773" s="81" t="s">
        <v>1281</v>
      </c>
      <c r="B773" s="135" t="s">
        <v>323</v>
      </c>
      <c r="C773" s="497">
        <v>5</v>
      </c>
      <c r="D773" s="497"/>
      <c r="E773" s="495">
        <v>11.13</v>
      </c>
      <c r="F773" s="190">
        <f t="shared" si="94"/>
        <v>55.650000000000006</v>
      </c>
      <c r="H773" s="486">
        <f t="shared" si="91"/>
        <v>7.8055063892585317E-4</v>
      </c>
      <c r="I773" s="486">
        <f t="shared" si="92"/>
        <v>5</v>
      </c>
      <c r="J773" s="480"/>
      <c r="K773" s="487">
        <f t="shared" si="93"/>
        <v>1.824797843608031</v>
      </c>
      <c r="M773" s="82"/>
      <c r="N773" s="495"/>
      <c r="O773" s="480"/>
      <c r="P773" s="480"/>
    </row>
    <row r="774" spans="1:16" ht="12.75" thickBot="1">
      <c r="A774" s="81" t="s">
        <v>1281</v>
      </c>
      <c r="B774" s="2" t="s">
        <v>328</v>
      </c>
      <c r="C774" s="497">
        <v>17</v>
      </c>
      <c r="D774" s="497"/>
      <c r="E774" s="495">
        <v>12.79</v>
      </c>
      <c r="F774" s="190">
        <f t="shared" si="94"/>
        <v>217.42999999999998</v>
      </c>
      <c r="H774" s="486">
        <f t="shared" si="91"/>
        <v>3.049687788349474E-3</v>
      </c>
      <c r="I774" s="486">
        <f t="shared" si="92"/>
        <v>17</v>
      </c>
      <c r="J774" s="480"/>
      <c r="K774" s="487">
        <f t="shared" si="93"/>
        <v>1.5879593431866605</v>
      </c>
      <c r="M774" s="82"/>
      <c r="N774" s="495"/>
      <c r="O774" s="480"/>
      <c r="P774" s="480"/>
    </row>
    <row r="775" spans="1:16" ht="12.75" thickBot="1">
      <c r="A775" s="81" t="s">
        <v>1281</v>
      </c>
      <c r="B775" s="2" t="s">
        <v>329</v>
      </c>
      <c r="C775" s="497">
        <v>2</v>
      </c>
      <c r="D775" s="497"/>
      <c r="E775" s="495">
        <v>15.07</v>
      </c>
      <c r="F775" s="190">
        <f t="shared" si="94"/>
        <v>30.14</v>
      </c>
      <c r="H775" s="486">
        <f t="shared" si="91"/>
        <v>4.2274566499955459E-4</v>
      </c>
      <c r="I775" s="486">
        <f t="shared" si="92"/>
        <v>2</v>
      </c>
      <c r="J775" s="480"/>
      <c r="K775" s="487">
        <f t="shared" si="93"/>
        <v>1.347710683434465</v>
      </c>
      <c r="M775" s="82"/>
      <c r="N775" s="495"/>
      <c r="O775" s="480"/>
      <c r="P775" s="480"/>
    </row>
    <row r="776" spans="1:16" ht="12.75" thickBot="1">
      <c r="A776" s="81" t="s">
        <v>1281</v>
      </c>
      <c r="B776" s="2" t="s">
        <v>330</v>
      </c>
      <c r="C776" s="497">
        <v>268</v>
      </c>
      <c r="D776" s="497"/>
      <c r="E776" s="495">
        <v>18.68</v>
      </c>
      <c r="F776" s="190">
        <f t="shared" si="94"/>
        <v>5006.24</v>
      </c>
      <c r="H776" s="486">
        <f t="shared" si="91"/>
        <v>7.0217858591485396E-2</v>
      </c>
      <c r="I776" s="486">
        <f t="shared" si="92"/>
        <v>268</v>
      </c>
      <c r="J776" s="480"/>
      <c r="K776" s="487">
        <f t="shared" si="93"/>
        <v>1.0872591006079972</v>
      </c>
      <c r="M776" s="82"/>
      <c r="N776" s="495"/>
      <c r="O776" s="480"/>
      <c r="P776" s="480"/>
    </row>
    <row r="777" spans="1:16" ht="12.75" thickBot="1">
      <c r="A777" s="81" t="s">
        <v>1281</v>
      </c>
      <c r="B777" s="2" t="s">
        <v>331</v>
      </c>
      <c r="C777" s="497">
        <v>52</v>
      </c>
      <c r="D777" s="497"/>
      <c r="E777" s="495">
        <v>20.970000000000002</v>
      </c>
      <c r="F777" s="190">
        <f t="shared" si="94"/>
        <v>1090.44</v>
      </c>
      <c r="H777" s="486">
        <f t="shared" si="91"/>
        <v>1.5294584702790786E-2</v>
      </c>
      <c r="I777" s="486">
        <f t="shared" si="92"/>
        <v>52</v>
      </c>
      <c r="J777" s="480"/>
      <c r="K777" s="487">
        <f t="shared" si="93"/>
        <v>0.96852646634989914</v>
      </c>
      <c r="M777" s="82"/>
      <c r="N777" s="495"/>
      <c r="O777" s="480"/>
      <c r="P777" s="480"/>
    </row>
    <row r="778" spans="1:16" ht="12.75" thickBot="1">
      <c r="A778" s="81" t="s">
        <v>1281</v>
      </c>
      <c r="B778" s="2" t="s">
        <v>332</v>
      </c>
      <c r="C778" s="497">
        <v>2</v>
      </c>
      <c r="D778" s="497"/>
      <c r="E778" s="495">
        <v>28.42</v>
      </c>
      <c r="F778" s="190">
        <f t="shared" si="94"/>
        <v>56.84</v>
      </c>
      <c r="H778" s="486">
        <f t="shared" si="91"/>
        <v>7.9724165887772676E-4</v>
      </c>
      <c r="I778" s="486">
        <f t="shared" si="92"/>
        <v>2</v>
      </c>
      <c r="J778" s="480"/>
      <c r="K778" s="487">
        <f t="shared" si="93"/>
        <v>0.71463757914698756</v>
      </c>
      <c r="M778" s="82"/>
      <c r="N778" s="495"/>
      <c r="O778" s="480"/>
      <c r="P778" s="480"/>
    </row>
    <row r="779" spans="1:16" ht="12.75" thickBot="1">
      <c r="A779" s="81" t="s">
        <v>1281</v>
      </c>
      <c r="B779" s="2" t="s">
        <v>333</v>
      </c>
      <c r="C779" s="497">
        <v>339</v>
      </c>
      <c r="D779" s="497"/>
      <c r="E779" s="495">
        <v>39.6</v>
      </c>
      <c r="F779" s="190">
        <f t="shared" si="94"/>
        <v>13424.4</v>
      </c>
      <c r="H779" s="486">
        <f t="shared" si="91"/>
        <v>0.18829153633775778</v>
      </c>
      <c r="I779" s="486">
        <f t="shared" si="92"/>
        <v>339</v>
      </c>
      <c r="J779" s="480"/>
      <c r="K779" s="487">
        <f t="shared" si="93"/>
        <v>0.51287878786256025</v>
      </c>
      <c r="M779" s="82"/>
      <c r="N779" s="495"/>
      <c r="O779" s="480"/>
      <c r="P779" s="480"/>
    </row>
    <row r="780" spans="1:16" ht="12.75" thickBot="1">
      <c r="A780" s="81" t="s">
        <v>1281</v>
      </c>
      <c r="B780" s="2" t="s">
        <v>334</v>
      </c>
      <c r="C780" s="497">
        <v>59</v>
      </c>
      <c r="D780" s="497"/>
      <c r="E780" s="495">
        <v>42.78</v>
      </c>
      <c r="F780" s="190">
        <f t="shared" si="94"/>
        <v>2524.02</v>
      </c>
      <c r="H780" s="486">
        <f t="shared" si="91"/>
        <v>3.5402074099939472E-2</v>
      </c>
      <c r="I780" s="486">
        <f t="shared" si="92"/>
        <v>59</v>
      </c>
      <c r="J780" s="480"/>
      <c r="K780" s="487">
        <f t="shared" si="93"/>
        <v>0.47475455818974727</v>
      </c>
      <c r="M780" s="82"/>
      <c r="N780" s="495"/>
      <c r="O780" s="480"/>
      <c r="P780" s="480"/>
    </row>
    <row r="781" spans="1:16" ht="12.75" thickBot="1">
      <c r="A781" s="81" t="s">
        <v>1281</v>
      </c>
      <c r="B781" s="2" t="s">
        <v>620</v>
      </c>
      <c r="C781" s="497">
        <v>17</v>
      </c>
      <c r="D781" s="497"/>
      <c r="E781" s="495">
        <v>23.83</v>
      </c>
      <c r="F781" s="190">
        <f t="shared" ref="F781:F785" si="95">C781*E781</f>
        <v>405.10999999999996</v>
      </c>
      <c r="H781" s="486">
        <f t="shared" si="91"/>
        <v>5.6821000779021082E-3</v>
      </c>
      <c r="I781" s="486">
        <f t="shared" si="92"/>
        <v>17</v>
      </c>
      <c r="J781" s="480"/>
      <c r="K781" s="487">
        <f t="shared" si="93"/>
        <v>0.85228703312452325</v>
      </c>
      <c r="M781" s="82"/>
      <c r="N781" s="495"/>
      <c r="O781" s="480"/>
      <c r="P781" s="480"/>
    </row>
    <row r="782" spans="1:16" ht="12.75" thickBot="1">
      <c r="A782" s="81" t="s">
        <v>1281</v>
      </c>
      <c r="B782" s="135" t="s">
        <v>360</v>
      </c>
      <c r="C782" s="497">
        <v>4</v>
      </c>
      <c r="D782" s="497"/>
      <c r="E782" s="495">
        <v>20.46</v>
      </c>
      <c r="F782" s="190">
        <f t="shared" si="95"/>
        <v>81.84</v>
      </c>
      <c r="H782" s="486">
        <f t="shared" ref="H782:H785" si="96">F782/$M$722*$M$723</f>
        <v>1.1478933385389366E-3</v>
      </c>
      <c r="I782" s="486">
        <f t="shared" ref="I782:I785" si="97">ROUND((F782+H782)/E782,0)</f>
        <v>4</v>
      </c>
      <c r="J782" s="480"/>
      <c r="K782" s="487">
        <f t="shared" ref="K782:K785" si="98">$M$723/E782</f>
        <v>0.99266862166947145</v>
      </c>
      <c r="M782" s="82"/>
      <c r="N782" s="495"/>
      <c r="O782" s="480"/>
      <c r="P782" s="480"/>
    </row>
    <row r="783" spans="1:16" ht="12.75" thickBot="1">
      <c r="A783" s="81" t="s">
        <v>1281</v>
      </c>
      <c r="B783" s="2" t="s">
        <v>335</v>
      </c>
      <c r="C783" s="497">
        <v>39</v>
      </c>
      <c r="D783" s="497"/>
      <c r="E783" s="495">
        <v>30.21</v>
      </c>
      <c r="F783" s="190">
        <f t="shared" si="95"/>
        <v>1178.19</v>
      </c>
      <c r="H783" s="486">
        <f t="shared" si="96"/>
        <v>1.6525372098401631E-2</v>
      </c>
      <c r="I783" s="486">
        <f t="shared" si="97"/>
        <v>39</v>
      </c>
      <c r="J783" s="480"/>
      <c r="K783" s="487">
        <f t="shared" si="98"/>
        <v>0.67229394238190621</v>
      </c>
      <c r="M783" s="82"/>
      <c r="N783" s="495"/>
      <c r="O783" s="480"/>
      <c r="P783" s="480"/>
    </row>
    <row r="784" spans="1:16" ht="12.75" thickBot="1">
      <c r="A784" s="81" t="s">
        <v>1281</v>
      </c>
      <c r="B784" s="2" t="s">
        <v>336</v>
      </c>
      <c r="C784" s="497">
        <v>2</v>
      </c>
      <c r="D784" s="497"/>
      <c r="E784" s="495">
        <v>42.56</v>
      </c>
      <c r="F784" s="190">
        <f t="shared" si="95"/>
        <v>85.12</v>
      </c>
      <c r="H784" s="486">
        <f t="shared" si="96"/>
        <v>1.1938988389104872E-3</v>
      </c>
      <c r="I784" s="486">
        <f t="shared" si="97"/>
        <v>2</v>
      </c>
      <c r="J784" s="480"/>
      <c r="K784" s="487">
        <f t="shared" si="98"/>
        <v>0.47720864660144235</v>
      </c>
      <c r="M784" s="82"/>
      <c r="N784" s="495"/>
      <c r="O784" s="480"/>
      <c r="P784" s="480"/>
    </row>
    <row r="785" spans="1:16" ht="12.75" thickBot="1">
      <c r="A785" s="81" t="s">
        <v>1281</v>
      </c>
      <c r="B785" s="2" t="s">
        <v>337</v>
      </c>
      <c r="C785" s="497">
        <v>13</v>
      </c>
      <c r="D785" s="497"/>
      <c r="E785" s="495">
        <v>52.31</v>
      </c>
      <c r="F785" s="190">
        <f t="shared" si="95"/>
        <v>680.03</v>
      </c>
      <c r="H785" s="486">
        <f t="shared" si="96"/>
        <v>9.538146468800501E-3</v>
      </c>
      <c r="I785" s="486">
        <f t="shared" si="97"/>
        <v>13</v>
      </c>
      <c r="J785" s="480"/>
      <c r="K785" s="487">
        <f t="shared" si="98"/>
        <v>0.38826228253407352</v>
      </c>
      <c r="M785" s="82"/>
      <c r="N785" s="495"/>
      <c r="O785" s="480"/>
      <c r="P785" s="480"/>
    </row>
    <row r="786" spans="1:16" ht="12.75" thickBot="1">
      <c r="A786" s="81" t="s">
        <v>1281</v>
      </c>
      <c r="B786" s="2"/>
      <c r="C786" s="497"/>
      <c r="D786" s="497"/>
      <c r="E786" s="497"/>
      <c r="F786" s="480"/>
      <c r="H786" s="495"/>
      <c r="I786" s="495"/>
      <c r="J786" s="495"/>
      <c r="K786" s="480"/>
      <c r="M786" s="82"/>
      <c r="N786" s="495"/>
      <c r="O786" s="480"/>
      <c r="P786" s="480"/>
    </row>
    <row r="787" spans="1:16" ht="12.75" thickBot="1">
      <c r="A787" s="81" t="s">
        <v>1281</v>
      </c>
      <c r="B787" s="50"/>
      <c r="C787" s="79"/>
      <c r="D787" s="79"/>
      <c r="E787" s="79"/>
      <c r="F787" s="80"/>
      <c r="H787" s="80"/>
      <c r="I787" s="80"/>
      <c r="J787" s="80"/>
      <c r="K787" s="80"/>
      <c r="M787" s="82"/>
      <c r="N787" s="495"/>
      <c r="O787" s="480"/>
      <c r="P787" s="480"/>
    </row>
    <row r="788" spans="1:16" ht="12.75" thickBot="1">
      <c r="A788" s="81" t="s">
        <v>1282</v>
      </c>
      <c r="B788" s="2" t="s">
        <v>342</v>
      </c>
      <c r="C788" s="497">
        <f>76-1</f>
        <v>75</v>
      </c>
      <c r="D788" s="497"/>
      <c r="E788" s="495">
        <v>8.14</v>
      </c>
      <c r="F788" s="190">
        <f t="shared" ref="F788:F819" si="99">C788*E788</f>
        <v>610.5</v>
      </c>
      <c r="H788" s="486">
        <f>F788/$M$793*$M$794</f>
        <v>-4.189204550407014E-6</v>
      </c>
      <c r="I788" s="486">
        <f>ROUND((F788+H788)/E788,0)</f>
        <v>75</v>
      </c>
      <c r="J788" s="480"/>
      <c r="K788" s="487">
        <f>$M$794/E788</f>
        <v>-1.2285013154551788E-3</v>
      </c>
      <c r="M788" s="488">
        <f>'12MonLights'!$K$879</f>
        <v>1534253</v>
      </c>
      <c r="N788" s="489" t="s">
        <v>1322</v>
      </c>
      <c r="O788" s="480"/>
      <c r="P788" s="489"/>
    </row>
    <row r="789" spans="1:16" ht="12.75" thickBot="1">
      <c r="A789" s="81" t="s">
        <v>1282</v>
      </c>
      <c r="B789" s="2" t="s">
        <v>213</v>
      </c>
      <c r="C789" s="497">
        <v>4602</v>
      </c>
      <c r="D789" s="497"/>
      <c r="E789" s="495">
        <v>10.959999999999999</v>
      </c>
      <c r="F789" s="190">
        <f t="shared" si="99"/>
        <v>50437.919999999998</v>
      </c>
      <c r="H789" s="486">
        <f t="shared" ref="H789:H852" si="100">F789/$M$793*$M$794</f>
        <v>-3.4610116949560188E-4</v>
      </c>
      <c r="I789" s="486">
        <f t="shared" ref="I789:I852" si="101">ROUND((F789+H789)/E789,0)</f>
        <v>4602</v>
      </c>
      <c r="J789" s="480"/>
      <c r="K789" s="487">
        <f t="shared" ref="K789:K852" si="102">$M$794/E789</f>
        <v>-9.1240882370485017E-4</v>
      </c>
      <c r="M789" s="488">
        <f>-M801</f>
        <v>-48832.820000000007</v>
      </c>
      <c r="N789" s="489" t="s">
        <v>1306</v>
      </c>
      <c r="O789" s="480"/>
      <c r="P789" s="480"/>
    </row>
    <row r="790" spans="1:16" ht="12.75" thickBot="1">
      <c r="A790" s="81" t="s">
        <v>1282</v>
      </c>
      <c r="B790" s="2" t="s">
        <v>214</v>
      </c>
      <c r="C790" s="497">
        <v>3835</v>
      </c>
      <c r="D790" s="497"/>
      <c r="E790" s="495">
        <v>13.510000000000002</v>
      </c>
      <c r="F790" s="190">
        <f t="shared" si="99"/>
        <v>51810.850000000006</v>
      </c>
      <c r="H790" s="486">
        <f t="shared" si="100"/>
        <v>-3.5552211069689641E-4</v>
      </c>
      <c r="I790" s="486">
        <f t="shared" si="101"/>
        <v>3835</v>
      </c>
      <c r="J790" s="480"/>
      <c r="K790" s="487">
        <f t="shared" si="102"/>
        <v>-7.4019250242821283E-4</v>
      </c>
      <c r="M790" s="490">
        <f>M788+M789</f>
        <v>1485420.18</v>
      </c>
      <c r="N790" s="491" t="s">
        <v>1307</v>
      </c>
      <c r="O790" s="480"/>
      <c r="P790" s="480"/>
    </row>
    <row r="791" spans="1:16" ht="12.75" thickBot="1">
      <c r="A791" s="81" t="s">
        <v>1282</v>
      </c>
      <c r="B791" s="2" t="s">
        <v>215</v>
      </c>
      <c r="C791" s="497">
        <v>97</v>
      </c>
      <c r="D791" s="497"/>
      <c r="E791" s="495">
        <v>12.450000000000001</v>
      </c>
      <c r="F791" s="190">
        <f t="shared" si="99"/>
        <v>1207.6500000000001</v>
      </c>
      <c r="H791" s="486">
        <f t="shared" si="100"/>
        <v>-8.2868024165422301E-6</v>
      </c>
      <c r="I791" s="486">
        <f t="shared" si="101"/>
        <v>97</v>
      </c>
      <c r="J791" s="480"/>
      <c r="K791" s="487">
        <f t="shared" si="102"/>
        <v>-8.0321290825744222E-4</v>
      </c>
      <c r="M791" s="490">
        <f>'1051'!$K$306</f>
        <v>28102.850000000009</v>
      </c>
      <c r="N791" s="491" t="s">
        <v>1308</v>
      </c>
      <c r="O791" s="480"/>
      <c r="P791" s="480"/>
    </row>
    <row r="792" spans="1:16" ht="12.75" thickBot="1">
      <c r="A792" s="81" t="s">
        <v>1282</v>
      </c>
      <c r="B792" s="2" t="s">
        <v>216</v>
      </c>
      <c r="C792" s="497">
        <v>761</v>
      </c>
      <c r="D792" s="497"/>
      <c r="E792" s="495">
        <v>15.54</v>
      </c>
      <c r="F792" s="190">
        <f t="shared" si="99"/>
        <v>11825.939999999999</v>
      </c>
      <c r="H792" s="486">
        <f t="shared" si="100"/>
        <v>-8.1148700509156964E-5</v>
      </c>
      <c r="I792" s="486">
        <f t="shared" si="101"/>
        <v>761</v>
      </c>
      <c r="J792" s="480"/>
      <c r="K792" s="487">
        <f t="shared" si="102"/>
        <v>-6.4350068904795094E-4</v>
      </c>
      <c r="M792" s="490">
        <f>M790-M791</f>
        <v>1457317.3299999998</v>
      </c>
      <c r="N792" s="492" t="s">
        <v>1309</v>
      </c>
      <c r="O792" s="480"/>
      <c r="P792" s="480"/>
    </row>
    <row r="793" spans="1:16" ht="12.75" thickBot="1">
      <c r="A793" s="81" t="s">
        <v>1282</v>
      </c>
      <c r="B793" s="2" t="s">
        <v>217</v>
      </c>
      <c r="C793" s="497">
        <v>1408</v>
      </c>
      <c r="D793" s="497"/>
      <c r="E793" s="495">
        <v>14.24</v>
      </c>
      <c r="F793" s="190">
        <f t="shared" si="99"/>
        <v>20049.920000000002</v>
      </c>
      <c r="H793" s="486">
        <f t="shared" si="100"/>
        <v>-1.3758102555167339E-4</v>
      </c>
      <c r="I793" s="486">
        <f t="shared" si="101"/>
        <v>1408</v>
      </c>
      <c r="J793" s="480"/>
      <c r="K793" s="487">
        <f t="shared" si="102"/>
        <v>-7.0224724071665421E-4</v>
      </c>
      <c r="M793" s="490">
        <f>SUM(F788:F856)</f>
        <v>1457317.3400000005</v>
      </c>
      <c r="N793" s="491" t="s">
        <v>1323</v>
      </c>
      <c r="O793" s="480"/>
      <c r="P793" s="480"/>
    </row>
    <row r="794" spans="1:16" ht="12.75" thickBot="1">
      <c r="A794" s="81" t="s">
        <v>1282</v>
      </c>
      <c r="B794" s="2" t="s">
        <v>344</v>
      </c>
      <c r="C794" s="497">
        <v>46</v>
      </c>
      <c r="D794" s="497"/>
      <c r="E794" s="495">
        <v>27.69</v>
      </c>
      <c r="F794" s="190">
        <f t="shared" si="99"/>
        <v>1273.74</v>
      </c>
      <c r="H794" s="486">
        <f t="shared" si="100"/>
        <v>-8.7403069681170031E-6</v>
      </c>
      <c r="I794" s="486">
        <f t="shared" si="101"/>
        <v>46</v>
      </c>
      <c r="J794" s="480"/>
      <c r="K794" s="487">
        <f t="shared" si="102"/>
        <v>-3.6114123177338953E-4</v>
      </c>
      <c r="M794" s="490">
        <f>M792-M793</f>
        <v>-1.0000000707805157E-2</v>
      </c>
      <c r="N794" s="492"/>
      <c r="O794" s="480"/>
      <c r="P794" s="480"/>
    </row>
    <row r="795" spans="1:16" ht="12.75" thickBot="1">
      <c r="A795" s="81" t="s">
        <v>1282</v>
      </c>
      <c r="B795" s="135" t="s">
        <v>218</v>
      </c>
      <c r="C795" s="497">
        <v>357</v>
      </c>
      <c r="D795" s="497"/>
      <c r="E795" s="495">
        <v>28.89</v>
      </c>
      <c r="F795" s="190">
        <f t="shared" si="99"/>
        <v>10313.73</v>
      </c>
      <c r="H795" s="486">
        <f t="shared" si="100"/>
        <v>-7.0772030544912919E-5</v>
      </c>
      <c r="I795" s="486">
        <f t="shared" si="101"/>
        <v>357</v>
      </c>
      <c r="J795" s="480"/>
      <c r="K795" s="487">
        <f t="shared" si="102"/>
        <v>-3.4614055755642631E-4</v>
      </c>
      <c r="M795" s="490"/>
      <c r="N795" s="492"/>
      <c r="O795" s="480"/>
      <c r="P795" s="480"/>
    </row>
    <row r="796" spans="1:16" ht="12.75" thickBot="1">
      <c r="A796" s="81" t="s">
        <v>1282</v>
      </c>
      <c r="B796" s="2" t="s">
        <v>223</v>
      </c>
      <c r="C796" s="497">
        <v>4014</v>
      </c>
      <c r="D796" s="497"/>
      <c r="E796" s="495">
        <v>9.57</v>
      </c>
      <c r="F796" s="190">
        <f t="shared" si="99"/>
        <v>38413.980000000003</v>
      </c>
      <c r="H796" s="486">
        <f t="shared" si="100"/>
        <v>-2.6359380805117779E-4</v>
      </c>
      <c r="I796" s="486">
        <f t="shared" si="101"/>
        <v>4014</v>
      </c>
      <c r="J796" s="480"/>
      <c r="K796" s="487">
        <f t="shared" si="102"/>
        <v>-1.0449321533756695E-3</v>
      </c>
      <c r="M796" s="490"/>
      <c r="N796" s="492"/>
      <c r="O796" s="480"/>
      <c r="P796" s="480"/>
    </row>
    <row r="797" spans="1:16" ht="12.75" thickBot="1">
      <c r="A797" s="81" t="s">
        <v>1282</v>
      </c>
      <c r="B797" s="2" t="s">
        <v>231</v>
      </c>
      <c r="C797" s="497">
        <v>2023</v>
      </c>
      <c r="D797" s="497"/>
      <c r="E797" s="495">
        <v>27.34</v>
      </c>
      <c r="F797" s="190">
        <f t="shared" si="99"/>
        <v>55308.82</v>
      </c>
      <c r="H797" s="486">
        <f t="shared" si="100"/>
        <v>-3.7952491469556512E-4</v>
      </c>
      <c r="I797" s="486">
        <f t="shared" si="101"/>
        <v>2023</v>
      </c>
      <c r="J797" s="480"/>
      <c r="K797" s="487">
        <f t="shared" si="102"/>
        <v>-3.6576447358468018E-4</v>
      </c>
      <c r="M797" s="493"/>
      <c r="N797" s="492"/>
      <c r="O797" s="480"/>
      <c r="P797" s="480"/>
    </row>
    <row r="798" spans="1:16" ht="12.75" thickBot="1">
      <c r="A798" s="81" t="s">
        <v>1282</v>
      </c>
      <c r="B798" s="2" t="s">
        <v>232</v>
      </c>
      <c r="C798" s="497">
        <v>2214</v>
      </c>
      <c r="D798" s="497"/>
      <c r="E798" s="495">
        <v>31.4</v>
      </c>
      <c r="F798" s="190">
        <f t="shared" si="99"/>
        <v>69519.599999999991</v>
      </c>
      <c r="H798" s="486">
        <f t="shared" si="100"/>
        <v>-4.7703820583534058E-4</v>
      </c>
      <c r="I798" s="486">
        <f t="shared" si="101"/>
        <v>2214</v>
      </c>
      <c r="J798" s="480"/>
      <c r="K798" s="487">
        <f t="shared" si="102"/>
        <v>-3.1847136012118333E-4</v>
      </c>
      <c r="M798" s="492"/>
      <c r="N798" s="494"/>
      <c r="O798" s="480"/>
      <c r="P798" s="480"/>
    </row>
    <row r="799" spans="1:16" ht="12.75" thickBot="1">
      <c r="A799" s="81" t="s">
        <v>1282</v>
      </c>
      <c r="B799" s="2" t="s">
        <v>234</v>
      </c>
      <c r="C799" s="497">
        <v>16681</v>
      </c>
      <c r="D799" s="497"/>
      <c r="E799" s="495">
        <v>17.189999999999998</v>
      </c>
      <c r="F799" s="190">
        <f t="shared" si="99"/>
        <v>286746.38999999996</v>
      </c>
      <c r="H799" s="486">
        <f t="shared" si="100"/>
        <v>-1.9676319112215956E-3</v>
      </c>
      <c r="I799" s="486">
        <f t="shared" si="101"/>
        <v>16681</v>
      </c>
      <c r="J799" s="480"/>
      <c r="K799" s="487">
        <f t="shared" si="102"/>
        <v>-5.8173360720216157E-4</v>
      </c>
      <c r="M799" s="492">
        <f>'12MonResults'!$AD$450</f>
        <v>23224.58</v>
      </c>
      <c r="N799" s="494" t="s">
        <v>17</v>
      </c>
      <c r="O799" s="480" t="s">
        <v>1321</v>
      </c>
      <c r="P799" s="480"/>
    </row>
    <row r="800" spans="1:16" ht="12.75" thickBot="1">
      <c r="A800" s="81" t="s">
        <v>1282</v>
      </c>
      <c r="B800" s="2" t="s">
        <v>353</v>
      </c>
      <c r="C800" s="497">
        <v>518</v>
      </c>
      <c r="D800" s="497"/>
      <c r="E800" s="495">
        <v>24.89</v>
      </c>
      <c r="F800" s="190">
        <f t="shared" si="99"/>
        <v>12893.02</v>
      </c>
      <c r="H800" s="486">
        <f t="shared" si="100"/>
        <v>-8.8470922280898677E-5</v>
      </c>
      <c r="I800" s="486">
        <f t="shared" si="101"/>
        <v>518</v>
      </c>
      <c r="J800" s="480"/>
      <c r="K800" s="487">
        <f t="shared" si="102"/>
        <v>-4.0176780666151691E-4</v>
      </c>
      <c r="M800" s="492">
        <f>'12MonResults'!$AD$452</f>
        <v>25608.240000000002</v>
      </c>
      <c r="N800" s="494" t="s">
        <v>18</v>
      </c>
      <c r="O800" s="480"/>
      <c r="P800" s="480"/>
    </row>
    <row r="801" spans="1:16" ht="12.75" thickBot="1">
      <c r="A801" s="81" t="s">
        <v>1282</v>
      </c>
      <c r="B801" s="135" t="s">
        <v>235</v>
      </c>
      <c r="C801" s="497">
        <v>1309</v>
      </c>
      <c r="D801" s="497"/>
      <c r="E801" s="495">
        <v>14.17</v>
      </c>
      <c r="F801" s="190">
        <f t="shared" si="99"/>
        <v>18548.53</v>
      </c>
      <c r="H801" s="486">
        <f t="shared" si="100"/>
        <v>-1.2727860160419494E-4</v>
      </c>
      <c r="I801" s="486">
        <f t="shared" si="101"/>
        <v>1309</v>
      </c>
      <c r="J801" s="480"/>
      <c r="K801" s="487">
        <f t="shared" si="102"/>
        <v>-7.0571635199754104E-4</v>
      </c>
      <c r="M801" s="492">
        <f>M799+M800</f>
        <v>48832.820000000007</v>
      </c>
      <c r="N801" s="494"/>
      <c r="O801" s="480"/>
      <c r="P801" s="480"/>
    </row>
    <row r="802" spans="1:16" ht="12.75" thickBot="1">
      <c r="A802" s="81" t="s">
        <v>1282</v>
      </c>
      <c r="B802" s="2" t="s">
        <v>236</v>
      </c>
      <c r="C802" s="497">
        <v>2258</v>
      </c>
      <c r="D802" s="497"/>
      <c r="E802" s="495">
        <v>22.15</v>
      </c>
      <c r="F802" s="190">
        <f t="shared" si="99"/>
        <v>50014.7</v>
      </c>
      <c r="H802" s="486">
        <f t="shared" si="100"/>
        <v>-3.4319706605608795E-4</v>
      </c>
      <c r="I802" s="486">
        <f t="shared" si="101"/>
        <v>2258</v>
      </c>
      <c r="J802" s="480"/>
      <c r="K802" s="487">
        <f t="shared" si="102"/>
        <v>-4.5146730057811095E-4</v>
      </c>
      <c r="M802" s="82"/>
      <c r="N802" s="495"/>
      <c r="O802" s="480"/>
      <c r="P802" s="480"/>
    </row>
    <row r="803" spans="1:16" ht="12.75" thickBot="1">
      <c r="A803" s="81" t="s">
        <v>1282</v>
      </c>
      <c r="B803" s="2" t="s">
        <v>354</v>
      </c>
      <c r="C803" s="497">
        <v>17</v>
      </c>
      <c r="D803" s="497"/>
      <c r="E803" s="495">
        <v>72.550000000000011</v>
      </c>
      <c r="F803" s="190">
        <f t="shared" si="99"/>
        <v>1233.3500000000001</v>
      </c>
      <c r="H803" s="486">
        <f t="shared" si="100"/>
        <v>-8.4631538611703391E-6</v>
      </c>
      <c r="I803" s="486">
        <f t="shared" si="101"/>
        <v>17</v>
      </c>
      <c r="J803" s="480"/>
      <c r="K803" s="487">
        <f t="shared" si="102"/>
        <v>-1.3783598494562584E-4</v>
      </c>
      <c r="M803" s="82"/>
      <c r="N803" s="495"/>
      <c r="O803" s="480"/>
      <c r="P803" s="480"/>
    </row>
    <row r="804" spans="1:16" ht="12.75" thickBot="1">
      <c r="A804" s="81" t="s">
        <v>1282</v>
      </c>
      <c r="B804" s="2" t="s">
        <v>355</v>
      </c>
      <c r="C804" s="497">
        <v>11</v>
      </c>
      <c r="D804" s="497"/>
      <c r="E804" s="495">
        <v>41.43</v>
      </c>
      <c r="F804" s="190">
        <f t="shared" si="99"/>
        <v>455.73</v>
      </c>
      <c r="H804" s="486">
        <f t="shared" si="100"/>
        <v>-3.1271845860065337E-6</v>
      </c>
      <c r="I804" s="486">
        <f t="shared" si="101"/>
        <v>11</v>
      </c>
      <c r="J804" s="480"/>
      <c r="K804" s="487">
        <f t="shared" si="102"/>
        <v>-2.4137100429170061E-4</v>
      </c>
      <c r="M804" s="82"/>
      <c r="N804" s="495"/>
      <c r="O804" s="480"/>
      <c r="P804" s="480"/>
    </row>
    <row r="805" spans="1:16" ht="12.75" thickBot="1">
      <c r="A805" s="81" t="s">
        <v>1282</v>
      </c>
      <c r="B805" s="2" t="s">
        <v>359</v>
      </c>
      <c r="C805" s="497">
        <v>45</v>
      </c>
      <c r="D805" s="497"/>
      <c r="E805" s="495">
        <v>19.38</v>
      </c>
      <c r="F805" s="190">
        <f t="shared" si="99"/>
        <v>872.09999999999991</v>
      </c>
      <c r="H805" s="486">
        <f t="shared" si="100"/>
        <v>-5.9842838466993558E-6</v>
      </c>
      <c r="I805" s="486">
        <f t="shared" si="101"/>
        <v>45</v>
      </c>
      <c r="J805" s="480"/>
      <c r="K805" s="487">
        <f t="shared" si="102"/>
        <v>-5.159959085554777E-4</v>
      </c>
      <c r="M805" s="82"/>
      <c r="N805" s="495"/>
      <c r="O805" s="480"/>
      <c r="P805" s="480"/>
    </row>
    <row r="806" spans="1:16" ht="12.75" thickBot="1">
      <c r="A806" s="81" t="s">
        <v>1282</v>
      </c>
      <c r="B806" s="2" t="s">
        <v>356</v>
      </c>
      <c r="C806" s="497">
        <v>241</v>
      </c>
      <c r="D806" s="497"/>
      <c r="E806" s="495">
        <v>20.349999999999998</v>
      </c>
      <c r="F806" s="190">
        <f t="shared" si="99"/>
        <v>4904.3499999999995</v>
      </c>
      <c r="H806" s="486">
        <f t="shared" si="100"/>
        <v>-3.3653276554936345E-5</v>
      </c>
      <c r="I806" s="486">
        <f t="shared" si="101"/>
        <v>241</v>
      </c>
      <c r="J806" s="480"/>
      <c r="K806" s="487">
        <f t="shared" si="102"/>
        <v>-4.9140052618207167E-4</v>
      </c>
      <c r="M806" s="82"/>
      <c r="N806" s="495"/>
      <c r="O806" s="480"/>
      <c r="P806" s="480"/>
    </row>
    <row r="807" spans="1:16" ht="12.75" thickBot="1">
      <c r="A807" s="81" t="s">
        <v>1282</v>
      </c>
      <c r="B807" s="135" t="s">
        <v>357</v>
      </c>
      <c r="C807" s="497">
        <v>103</v>
      </c>
      <c r="D807" s="497"/>
      <c r="E807" s="495">
        <v>19.53</v>
      </c>
      <c r="F807" s="190">
        <f t="shared" si="99"/>
        <v>2011.5900000000001</v>
      </c>
      <c r="H807" s="486">
        <f t="shared" si="100"/>
        <v>-1.3803377529161748E-5</v>
      </c>
      <c r="I807" s="486">
        <f t="shared" si="101"/>
        <v>103</v>
      </c>
      <c r="J807" s="480"/>
      <c r="K807" s="487">
        <f t="shared" si="102"/>
        <v>-5.120328063392297E-4</v>
      </c>
      <c r="M807" s="82"/>
      <c r="N807" s="495"/>
      <c r="O807" s="480"/>
      <c r="P807" s="480"/>
    </row>
    <row r="808" spans="1:16" ht="12.75" thickBot="1">
      <c r="A808" s="81" t="s">
        <v>1282</v>
      </c>
      <c r="B808" s="2" t="s">
        <v>358</v>
      </c>
      <c r="C808" s="497">
        <v>80</v>
      </c>
      <c r="D808" s="497"/>
      <c r="E808" s="495">
        <v>20.819999999999997</v>
      </c>
      <c r="F808" s="190">
        <f t="shared" si="99"/>
        <v>1665.5999999999997</v>
      </c>
      <c r="H808" s="486">
        <f t="shared" si="100"/>
        <v>-1.142922047364115E-5</v>
      </c>
      <c r="I808" s="486">
        <f t="shared" si="101"/>
        <v>80</v>
      </c>
      <c r="J808" s="480"/>
      <c r="K808" s="487">
        <f t="shared" si="102"/>
        <v>-4.8030743073031499E-4</v>
      </c>
      <c r="M808" s="82"/>
      <c r="N808" s="495"/>
      <c r="O808" s="480"/>
      <c r="P808" s="480"/>
    </row>
    <row r="809" spans="1:16" ht="12.75" thickBot="1">
      <c r="A809" s="81" t="s">
        <v>1282</v>
      </c>
      <c r="B809" s="2" t="s">
        <v>250</v>
      </c>
      <c r="C809" s="497">
        <v>555</v>
      </c>
      <c r="D809" s="497"/>
      <c r="E809" s="495">
        <v>19.2</v>
      </c>
      <c r="F809" s="190">
        <f t="shared" si="99"/>
        <v>10656</v>
      </c>
      <c r="H809" s="486">
        <f t="shared" si="100"/>
        <v>-7.3120661243467877E-5</v>
      </c>
      <c r="I809" s="486">
        <f t="shared" si="101"/>
        <v>555</v>
      </c>
      <c r="J809" s="480"/>
      <c r="K809" s="487">
        <f t="shared" si="102"/>
        <v>-5.2083337019818532E-4</v>
      </c>
      <c r="M809" s="82"/>
      <c r="N809" s="495"/>
      <c r="O809" s="480"/>
      <c r="P809" s="480"/>
    </row>
    <row r="810" spans="1:16" ht="12.75" thickBot="1">
      <c r="A810" s="81" t="s">
        <v>1282</v>
      </c>
      <c r="B810" s="2" t="s">
        <v>251</v>
      </c>
      <c r="C810" s="497">
        <v>532</v>
      </c>
      <c r="D810" s="497"/>
      <c r="E810" s="495">
        <v>22.949999999999996</v>
      </c>
      <c r="F810" s="190">
        <f t="shared" si="99"/>
        <v>12209.399999999998</v>
      </c>
      <c r="H810" s="486">
        <f t="shared" si="100"/>
        <v>-8.3779973853790969E-5</v>
      </c>
      <c r="I810" s="486">
        <f t="shared" si="101"/>
        <v>532</v>
      </c>
      <c r="J810" s="480"/>
      <c r="K810" s="487">
        <f t="shared" si="102"/>
        <v>-4.3572987833573676E-4</v>
      </c>
      <c r="M810" s="82"/>
      <c r="N810" s="495"/>
      <c r="O810" s="480"/>
      <c r="P810" s="480"/>
    </row>
    <row r="811" spans="1:16" ht="12.75" customHeight="1" thickBot="1">
      <c r="A811" s="81" t="s">
        <v>1282</v>
      </c>
      <c r="B811" s="2" t="s">
        <v>254</v>
      </c>
      <c r="C811" s="497">
        <v>54</v>
      </c>
      <c r="D811" s="497"/>
      <c r="E811" s="495">
        <v>17.419999999999998</v>
      </c>
      <c r="F811" s="190">
        <f t="shared" si="99"/>
        <v>940.68</v>
      </c>
      <c r="H811" s="486">
        <f t="shared" si="100"/>
        <v>-6.4548745888237018E-6</v>
      </c>
      <c r="I811" s="486">
        <f t="shared" si="101"/>
        <v>54</v>
      </c>
      <c r="J811" s="480"/>
      <c r="K811" s="487">
        <f t="shared" si="102"/>
        <v>-5.7405285349053717E-4</v>
      </c>
      <c r="M811" s="82"/>
      <c r="N811" s="495"/>
      <c r="O811" s="480"/>
      <c r="P811" s="480"/>
    </row>
    <row r="812" spans="1:16" ht="12.75" thickBot="1">
      <c r="A812" s="81" t="s">
        <v>1282</v>
      </c>
      <c r="B812" s="135" t="s">
        <v>260</v>
      </c>
      <c r="C812" s="497">
        <v>39</v>
      </c>
      <c r="D812" s="497"/>
      <c r="E812" s="495">
        <v>13.12</v>
      </c>
      <c r="F812" s="190">
        <f t="shared" si="99"/>
        <v>511.67999999999995</v>
      </c>
      <c r="H812" s="486">
        <f t="shared" si="100"/>
        <v>-3.5111092290782324E-6</v>
      </c>
      <c r="I812" s="486">
        <f t="shared" si="101"/>
        <v>39</v>
      </c>
      <c r="J812" s="480"/>
      <c r="K812" s="487">
        <f t="shared" si="102"/>
        <v>-7.6219517589978336E-4</v>
      </c>
      <c r="M812" s="82"/>
      <c r="N812" s="495"/>
      <c r="O812" s="480"/>
      <c r="P812" s="480"/>
    </row>
    <row r="813" spans="1:16" ht="12.75" thickBot="1">
      <c r="A813" s="81" t="s">
        <v>1282</v>
      </c>
      <c r="B813" s="2" t="s">
        <v>262</v>
      </c>
      <c r="C813" s="497">
        <v>17</v>
      </c>
      <c r="D813" s="497"/>
      <c r="E813" s="495">
        <v>9.0200000000000014</v>
      </c>
      <c r="F813" s="190">
        <f t="shared" si="99"/>
        <v>153.34000000000003</v>
      </c>
      <c r="H813" s="486">
        <f t="shared" si="100"/>
        <v>-1.0522074132013295E-6</v>
      </c>
      <c r="I813" s="486">
        <f t="shared" si="101"/>
        <v>17</v>
      </c>
      <c r="J813" s="480"/>
      <c r="K813" s="487">
        <f t="shared" si="102"/>
        <v>-1.1086475285815027E-3</v>
      </c>
      <c r="M813" s="82"/>
      <c r="N813" s="495"/>
      <c r="O813" s="480"/>
      <c r="P813" s="480"/>
    </row>
    <row r="814" spans="1:16" ht="12.75" thickBot="1">
      <c r="A814" s="81" t="s">
        <v>1282</v>
      </c>
      <c r="B814" s="2" t="s">
        <v>340</v>
      </c>
      <c r="C814" s="497">
        <v>32</v>
      </c>
      <c r="D814" s="497"/>
      <c r="E814" s="495">
        <v>23.89</v>
      </c>
      <c r="F814" s="190">
        <f t="shared" si="99"/>
        <v>764.48</v>
      </c>
      <c r="H814" s="486">
        <f t="shared" si="100"/>
        <v>-5.2458035949142577E-6</v>
      </c>
      <c r="I814" s="486">
        <f t="shared" si="101"/>
        <v>32</v>
      </c>
      <c r="J814" s="480"/>
      <c r="K814" s="487">
        <f t="shared" si="102"/>
        <v>-4.1858521171222925E-4</v>
      </c>
      <c r="M814" s="82"/>
      <c r="N814" s="495"/>
      <c r="O814" s="480"/>
      <c r="P814" s="480"/>
    </row>
    <row r="815" spans="1:16" ht="12.75" thickBot="1">
      <c r="A815" s="81" t="s">
        <v>1282</v>
      </c>
      <c r="B815" s="2" t="s">
        <v>692</v>
      </c>
      <c r="C815" s="497">
        <v>4</v>
      </c>
      <c r="D815" s="497"/>
      <c r="E815" s="495">
        <v>24.9</v>
      </c>
      <c r="F815" s="190">
        <f t="shared" si="99"/>
        <v>99.6</v>
      </c>
      <c r="H815" s="486">
        <f t="shared" si="100"/>
        <v>-6.8344762198286415E-7</v>
      </c>
      <c r="I815" s="486">
        <f t="shared" si="101"/>
        <v>4</v>
      </c>
      <c r="J815" s="480"/>
      <c r="K815" s="487">
        <f t="shared" si="102"/>
        <v>-4.0160645412872116E-4</v>
      </c>
      <c r="M815" s="82"/>
      <c r="N815" s="495"/>
      <c r="O815" s="480"/>
      <c r="P815" s="480"/>
    </row>
    <row r="816" spans="1:16" ht="12.75" thickBot="1">
      <c r="A816" s="81" t="s">
        <v>1282</v>
      </c>
      <c r="B816" s="2" t="s">
        <v>292</v>
      </c>
      <c r="C816" s="497">
        <v>221</v>
      </c>
      <c r="D816" s="497"/>
      <c r="E816" s="495">
        <v>19.79</v>
      </c>
      <c r="F816" s="190">
        <f t="shared" si="99"/>
        <v>4373.59</v>
      </c>
      <c r="H816" s="486">
        <f t="shared" si="100"/>
        <v>-3.0011241817550556E-5</v>
      </c>
      <c r="I816" s="486">
        <f t="shared" si="101"/>
        <v>221</v>
      </c>
      <c r="J816" s="480"/>
      <c r="K816" s="487">
        <f t="shared" si="102"/>
        <v>-5.0530574572032127E-4</v>
      </c>
      <c r="M816" s="82"/>
      <c r="N816" s="495"/>
      <c r="O816" s="480"/>
      <c r="P816" s="480"/>
    </row>
    <row r="817" spans="1:16" ht="12.75" thickBot="1">
      <c r="A817" s="81" t="s">
        <v>1282</v>
      </c>
      <c r="B817" s="135" t="s">
        <v>293</v>
      </c>
      <c r="C817" s="497">
        <v>2046</v>
      </c>
      <c r="D817" s="497"/>
      <c r="E817" s="495">
        <v>20.49</v>
      </c>
      <c r="F817" s="190">
        <f t="shared" si="99"/>
        <v>41922.539999999994</v>
      </c>
      <c r="H817" s="486">
        <f t="shared" si="100"/>
        <v>-2.8766927982411142E-4</v>
      </c>
      <c r="I817" s="486">
        <f t="shared" si="101"/>
        <v>2046</v>
      </c>
      <c r="J817" s="480"/>
      <c r="K817" s="487">
        <f t="shared" si="102"/>
        <v>-4.8804298232333612E-4</v>
      </c>
      <c r="M817" s="82"/>
      <c r="N817" s="495"/>
      <c r="O817" s="480"/>
      <c r="P817" s="480"/>
    </row>
    <row r="818" spans="1:16" ht="12.75" thickBot="1">
      <c r="A818" s="81" t="s">
        <v>1282</v>
      </c>
      <c r="B818" s="2" t="s">
        <v>295</v>
      </c>
      <c r="C818" s="497">
        <v>27</v>
      </c>
      <c r="D818" s="497"/>
      <c r="E818" s="495">
        <v>20.18</v>
      </c>
      <c r="F818" s="190">
        <f t="shared" si="99"/>
        <v>544.86</v>
      </c>
      <c r="H818" s="486">
        <f t="shared" si="100"/>
        <v>-3.7387878645942111E-6</v>
      </c>
      <c r="I818" s="486">
        <f t="shared" si="101"/>
        <v>27</v>
      </c>
      <c r="J818" s="480"/>
      <c r="K818" s="487">
        <f t="shared" si="102"/>
        <v>-4.9554017382582541E-4</v>
      </c>
      <c r="M818" s="82"/>
      <c r="N818" s="495"/>
      <c r="O818" s="480"/>
      <c r="P818" s="480"/>
    </row>
    <row r="819" spans="1:16" ht="12.75" thickBot="1">
      <c r="A819" s="81" t="s">
        <v>1282</v>
      </c>
      <c r="B819" s="2" t="s">
        <v>296</v>
      </c>
      <c r="C819" s="497">
        <v>1789</v>
      </c>
      <c r="D819" s="497"/>
      <c r="E819" s="495">
        <v>22.56</v>
      </c>
      <c r="F819" s="190">
        <f t="shared" si="99"/>
        <v>40359.839999999997</v>
      </c>
      <c r="H819" s="486">
        <f t="shared" si="100"/>
        <v>-2.769461513213743E-4</v>
      </c>
      <c r="I819" s="486">
        <f t="shared" si="101"/>
        <v>1789</v>
      </c>
      <c r="J819" s="480"/>
      <c r="K819" s="487">
        <f t="shared" si="102"/>
        <v>-4.4326244272185981E-4</v>
      </c>
      <c r="M819" s="82"/>
      <c r="N819" s="495"/>
      <c r="O819" s="480"/>
      <c r="P819" s="480"/>
    </row>
    <row r="820" spans="1:16" ht="12.75" thickBot="1">
      <c r="A820" s="81" t="s">
        <v>1282</v>
      </c>
      <c r="B820" s="2" t="s">
        <v>297</v>
      </c>
      <c r="C820" s="497">
        <v>35</v>
      </c>
      <c r="D820" s="497"/>
      <c r="E820" s="495">
        <v>23.68</v>
      </c>
      <c r="F820" s="190">
        <f t="shared" ref="F820:F851" si="103">C820*E820</f>
        <v>828.8</v>
      </c>
      <c r="H820" s="486">
        <f t="shared" si="100"/>
        <v>-5.6871625411586128E-6</v>
      </c>
      <c r="I820" s="486">
        <f t="shared" si="101"/>
        <v>35</v>
      </c>
      <c r="J820" s="480"/>
      <c r="K820" s="487">
        <f t="shared" si="102"/>
        <v>-4.2229732718771775E-4</v>
      </c>
      <c r="M820" s="82"/>
      <c r="N820" s="495"/>
      <c r="O820" s="480"/>
      <c r="P820" s="480"/>
    </row>
    <row r="821" spans="1:16" ht="12.75" thickBot="1">
      <c r="A821" s="81" t="s">
        <v>1282</v>
      </c>
      <c r="B821" s="2" t="s">
        <v>299</v>
      </c>
      <c r="C821" s="497">
        <v>111</v>
      </c>
      <c r="D821" s="497"/>
      <c r="E821" s="495">
        <v>24.77</v>
      </c>
      <c r="F821" s="190">
        <f t="shared" si="103"/>
        <v>2749.47</v>
      </c>
      <c r="H821" s="486">
        <f t="shared" si="100"/>
        <v>-1.8866653947923951E-5</v>
      </c>
      <c r="I821" s="486">
        <f t="shared" si="101"/>
        <v>111</v>
      </c>
      <c r="J821" s="480"/>
      <c r="K821" s="487">
        <f t="shared" si="102"/>
        <v>-4.0371419894247708E-4</v>
      </c>
      <c r="M821" s="82"/>
      <c r="N821" s="495"/>
      <c r="O821" s="480"/>
      <c r="P821" s="480"/>
    </row>
    <row r="822" spans="1:16" ht="12.75" thickBot="1">
      <c r="A822" s="81" t="s">
        <v>1282</v>
      </c>
      <c r="B822" s="2" t="s">
        <v>300</v>
      </c>
      <c r="C822" s="497">
        <v>53</v>
      </c>
      <c r="D822" s="497"/>
      <c r="E822" s="495">
        <v>29.889999999999997</v>
      </c>
      <c r="F822" s="190">
        <f t="shared" si="103"/>
        <v>1584.1699999999998</v>
      </c>
      <c r="H822" s="486">
        <f t="shared" si="100"/>
        <v>-1.087045400920275E-5</v>
      </c>
      <c r="I822" s="486">
        <f t="shared" si="101"/>
        <v>53</v>
      </c>
      <c r="J822" s="480"/>
      <c r="K822" s="487">
        <f t="shared" si="102"/>
        <v>-3.345600772099417E-4</v>
      </c>
      <c r="M822" s="82"/>
      <c r="N822" s="495"/>
      <c r="O822" s="480"/>
      <c r="P822" s="480"/>
    </row>
    <row r="823" spans="1:16" ht="12.75" thickBot="1">
      <c r="A823" s="81" t="s">
        <v>1282</v>
      </c>
      <c r="B823" s="2" t="s">
        <v>301</v>
      </c>
      <c r="C823" s="497">
        <v>175</v>
      </c>
      <c r="D823" s="497"/>
      <c r="E823" s="495">
        <v>32.860000000000007</v>
      </c>
      <c r="F823" s="190">
        <f t="shared" si="103"/>
        <v>5750.5000000000009</v>
      </c>
      <c r="H823" s="486">
        <f t="shared" si="100"/>
        <v>-3.9459493476028733E-5</v>
      </c>
      <c r="I823" s="486">
        <f t="shared" si="101"/>
        <v>175</v>
      </c>
      <c r="J823" s="480"/>
      <c r="K823" s="487">
        <f t="shared" si="102"/>
        <v>-3.0432138489973082E-4</v>
      </c>
      <c r="M823" s="82"/>
      <c r="N823" s="495"/>
      <c r="O823" s="480"/>
      <c r="P823" s="480"/>
    </row>
    <row r="824" spans="1:16" ht="12.75" thickBot="1">
      <c r="A824" s="81" t="s">
        <v>1282</v>
      </c>
      <c r="B824" s="135" t="s">
        <v>302</v>
      </c>
      <c r="C824" s="497">
        <v>361</v>
      </c>
      <c r="D824" s="497"/>
      <c r="E824" s="495">
        <v>38.389999999999993</v>
      </c>
      <c r="F824" s="190">
        <f t="shared" si="103"/>
        <v>13858.789999999997</v>
      </c>
      <c r="H824" s="486">
        <f t="shared" si="100"/>
        <v>-9.5097962540762008E-5</v>
      </c>
      <c r="I824" s="486">
        <f t="shared" si="101"/>
        <v>361</v>
      </c>
      <c r="J824" s="480"/>
      <c r="K824" s="487">
        <f t="shared" si="102"/>
        <v>-2.6048451960940759E-4</v>
      </c>
      <c r="M824" s="82"/>
      <c r="N824" s="495"/>
      <c r="O824" s="480"/>
      <c r="P824" s="480"/>
    </row>
    <row r="825" spans="1:16" ht="12.75" thickBot="1">
      <c r="A825" s="81" t="s">
        <v>1282</v>
      </c>
      <c r="B825" s="2" t="s">
        <v>303</v>
      </c>
      <c r="C825" s="497">
        <v>17</v>
      </c>
      <c r="D825" s="497"/>
      <c r="E825" s="495">
        <v>26.349999999999998</v>
      </c>
      <c r="F825" s="190">
        <f t="shared" si="103"/>
        <v>447.95</v>
      </c>
      <c r="H825" s="486">
        <f t="shared" si="100"/>
        <v>-3.0737988179440161E-6</v>
      </c>
      <c r="I825" s="486">
        <f t="shared" si="101"/>
        <v>17</v>
      </c>
      <c r="J825" s="480"/>
      <c r="K825" s="487">
        <f t="shared" si="102"/>
        <v>-3.7950666822789971E-4</v>
      </c>
      <c r="M825" s="82"/>
      <c r="N825" s="495"/>
      <c r="O825" s="480"/>
      <c r="P825" s="480"/>
    </row>
    <row r="826" spans="1:16" ht="12.75" thickBot="1">
      <c r="A826" s="81" t="s">
        <v>1282</v>
      </c>
      <c r="B826" s="2" t="s">
        <v>304</v>
      </c>
      <c r="C826" s="497">
        <v>365</v>
      </c>
      <c r="D826" s="497"/>
      <c r="E826" s="495">
        <v>28.45</v>
      </c>
      <c r="F826" s="190">
        <f t="shared" si="103"/>
        <v>10384.25</v>
      </c>
      <c r="H826" s="486">
        <f t="shared" si="100"/>
        <v>-7.1255933419433321E-5</v>
      </c>
      <c r="I826" s="486">
        <f t="shared" si="101"/>
        <v>365</v>
      </c>
      <c r="J826" s="480"/>
      <c r="K826" s="487">
        <f t="shared" si="102"/>
        <v>-3.5149387373656089E-4</v>
      </c>
      <c r="M826" s="82"/>
      <c r="N826" s="495"/>
      <c r="O826" s="480"/>
      <c r="P826" s="480"/>
    </row>
    <row r="827" spans="1:16" ht="12.75" thickBot="1">
      <c r="A827" s="81" t="s">
        <v>1282</v>
      </c>
      <c r="B827" s="2" t="s">
        <v>305</v>
      </c>
      <c r="C827" s="497">
        <v>31</v>
      </c>
      <c r="D827" s="497"/>
      <c r="E827" s="495">
        <v>34.029999999999994</v>
      </c>
      <c r="F827" s="190">
        <f t="shared" si="103"/>
        <v>1054.9299999999998</v>
      </c>
      <c r="H827" s="486">
        <f t="shared" si="100"/>
        <v>-7.238849396168502E-6</v>
      </c>
      <c r="I827" s="486">
        <f t="shared" si="101"/>
        <v>31</v>
      </c>
      <c r="J827" s="480"/>
      <c r="K827" s="487">
        <f t="shared" si="102"/>
        <v>-2.9385838106979603E-4</v>
      </c>
      <c r="M827" s="82"/>
      <c r="N827" s="495"/>
      <c r="O827" s="480"/>
      <c r="P827" s="480"/>
    </row>
    <row r="828" spans="1:16" ht="12.75" thickBot="1">
      <c r="A828" s="81" t="s">
        <v>1282</v>
      </c>
      <c r="B828" s="2" t="s">
        <v>306</v>
      </c>
      <c r="C828" s="497">
        <v>40</v>
      </c>
      <c r="D828" s="497"/>
      <c r="E828" s="495">
        <v>33.22</v>
      </c>
      <c r="F828" s="190">
        <f t="shared" si="103"/>
        <v>1328.8</v>
      </c>
      <c r="H828" s="486">
        <f t="shared" si="100"/>
        <v>-9.118124498903916E-6</v>
      </c>
      <c r="I828" s="486">
        <f t="shared" si="101"/>
        <v>40</v>
      </c>
      <c r="J828" s="480"/>
      <c r="K828" s="487">
        <f t="shared" si="102"/>
        <v>-3.0102350113802402E-4</v>
      </c>
      <c r="M828" s="82"/>
      <c r="N828" s="495"/>
      <c r="O828" s="480"/>
      <c r="P828" s="480"/>
    </row>
    <row r="829" spans="1:16" ht="12.75" thickBot="1">
      <c r="A829" s="81" t="s">
        <v>1282</v>
      </c>
      <c r="B829" s="2" t="s">
        <v>307</v>
      </c>
      <c r="C829" s="497">
        <v>52</v>
      </c>
      <c r="D829" s="497"/>
      <c r="E829" s="495">
        <v>35.199999999999996</v>
      </c>
      <c r="F829" s="190">
        <f t="shared" si="103"/>
        <v>1830.3999999999999</v>
      </c>
      <c r="H829" s="486">
        <f t="shared" si="100"/>
        <v>-1.2560065534914003E-5</v>
      </c>
      <c r="I829" s="486">
        <f t="shared" si="101"/>
        <v>52</v>
      </c>
      <c r="J829" s="480"/>
      <c r="K829" s="487">
        <f t="shared" si="102"/>
        <v>-2.8409092919901019E-4</v>
      </c>
      <c r="M829" s="82"/>
      <c r="N829" s="495"/>
      <c r="O829" s="480"/>
      <c r="P829" s="480"/>
    </row>
    <row r="830" spans="1:16" ht="12.75" thickBot="1">
      <c r="A830" s="81" t="s">
        <v>1282</v>
      </c>
      <c r="B830" s="2" t="s">
        <v>308</v>
      </c>
      <c r="C830" s="497">
        <v>196</v>
      </c>
      <c r="D830" s="497"/>
      <c r="E830" s="495">
        <v>34.090000000000003</v>
      </c>
      <c r="F830" s="190">
        <f t="shared" si="103"/>
        <v>6681.64</v>
      </c>
      <c r="H830" s="486">
        <f t="shared" si="100"/>
        <v>-4.5848905310698652E-5</v>
      </c>
      <c r="I830" s="486">
        <f t="shared" si="101"/>
        <v>196</v>
      </c>
      <c r="J830" s="480"/>
      <c r="K830" s="487">
        <f t="shared" si="102"/>
        <v>-2.9334117652699194E-4</v>
      </c>
      <c r="M830" s="82"/>
      <c r="N830" s="495"/>
      <c r="O830" s="480"/>
      <c r="P830" s="480"/>
    </row>
    <row r="831" spans="1:16" ht="12.75" thickBot="1">
      <c r="A831" s="81" t="s">
        <v>1282</v>
      </c>
      <c r="B831" s="135" t="s">
        <v>309</v>
      </c>
      <c r="C831" s="497">
        <v>189</v>
      </c>
      <c r="D831" s="497"/>
      <c r="E831" s="495">
        <v>36.07</v>
      </c>
      <c r="F831" s="190">
        <f t="shared" si="103"/>
        <v>6817.2300000000005</v>
      </c>
      <c r="H831" s="486">
        <f t="shared" si="100"/>
        <v>-4.6779313574400015E-5</v>
      </c>
      <c r="I831" s="486">
        <f t="shared" si="101"/>
        <v>189</v>
      </c>
      <c r="J831" s="480"/>
      <c r="K831" s="487">
        <f t="shared" si="102"/>
        <v>-2.7723872214597054E-4</v>
      </c>
      <c r="M831" s="82"/>
      <c r="N831" s="495"/>
      <c r="O831" s="480"/>
      <c r="P831" s="480"/>
    </row>
    <row r="832" spans="1:16" ht="12.75" thickBot="1">
      <c r="A832" s="81" t="s">
        <v>1282</v>
      </c>
      <c r="B832" s="2" t="s">
        <v>310</v>
      </c>
      <c r="C832" s="497">
        <v>13</v>
      </c>
      <c r="D832" s="497"/>
      <c r="E832" s="495">
        <v>32.26</v>
      </c>
      <c r="F832" s="190">
        <f t="shared" si="103"/>
        <v>419.38</v>
      </c>
      <c r="H832" s="486">
        <f t="shared" si="100"/>
        <v>-2.8777536516784496E-6</v>
      </c>
      <c r="I832" s="486">
        <f t="shared" si="101"/>
        <v>13</v>
      </c>
      <c r="J832" s="480"/>
      <c r="K832" s="487">
        <f t="shared" si="102"/>
        <v>-3.099814230565765E-4</v>
      </c>
      <c r="M832" s="82"/>
      <c r="N832" s="495"/>
      <c r="O832" s="480"/>
      <c r="P832" s="480"/>
    </row>
    <row r="833" spans="1:16" ht="12.75" thickBot="1">
      <c r="A833" s="81" t="s">
        <v>1282</v>
      </c>
      <c r="B833" s="2" t="s">
        <v>311</v>
      </c>
      <c r="C833" s="497">
        <v>44</v>
      </c>
      <c r="D833" s="497"/>
      <c r="E833" s="495">
        <v>32.93</v>
      </c>
      <c r="F833" s="190">
        <f t="shared" si="103"/>
        <v>1448.92</v>
      </c>
      <c r="H833" s="486">
        <f t="shared" si="100"/>
        <v>-9.9423787996326478E-6</v>
      </c>
      <c r="I833" s="486">
        <f t="shared" si="101"/>
        <v>44</v>
      </c>
      <c r="J833" s="480"/>
      <c r="K833" s="487">
        <f t="shared" si="102"/>
        <v>-3.0367448247206673E-4</v>
      </c>
      <c r="M833" s="82"/>
      <c r="N833" s="495"/>
      <c r="O833" s="480"/>
      <c r="P833" s="480"/>
    </row>
    <row r="834" spans="1:16" ht="12.75" thickBot="1">
      <c r="A834" s="81" t="s">
        <v>1282</v>
      </c>
      <c r="B834" s="2" t="s">
        <v>339</v>
      </c>
      <c r="C834" s="497">
        <v>10</v>
      </c>
      <c r="D834" s="497"/>
      <c r="E834" s="495">
        <v>34.330000000000005</v>
      </c>
      <c r="F834" s="190">
        <f t="shared" si="103"/>
        <v>343.30000000000007</v>
      </c>
      <c r="H834" s="486">
        <f t="shared" si="100"/>
        <v>-2.355698480187925E-6</v>
      </c>
      <c r="I834" s="486">
        <f t="shared" si="101"/>
        <v>10</v>
      </c>
      <c r="J834" s="480"/>
      <c r="K834" s="487">
        <f t="shared" si="102"/>
        <v>-2.9129043716298153E-4</v>
      </c>
      <c r="M834" s="82"/>
      <c r="N834" s="495"/>
      <c r="O834" s="480"/>
      <c r="P834" s="480"/>
    </row>
    <row r="835" spans="1:16" ht="12.75" thickBot="1">
      <c r="A835" s="81" t="s">
        <v>1282</v>
      </c>
      <c r="B835" s="2" t="s">
        <v>312</v>
      </c>
      <c r="C835" s="497">
        <v>171</v>
      </c>
      <c r="D835" s="497"/>
      <c r="E835" s="495">
        <v>34.99</v>
      </c>
      <c r="F835" s="190">
        <f t="shared" si="103"/>
        <v>5983.29</v>
      </c>
      <c r="H835" s="486">
        <f t="shared" si="100"/>
        <v>-4.1056880744315784E-5</v>
      </c>
      <c r="I835" s="486">
        <f t="shared" si="101"/>
        <v>171</v>
      </c>
      <c r="J835" s="480"/>
      <c r="K835" s="487">
        <f t="shared" si="102"/>
        <v>-2.8579596192641199E-4</v>
      </c>
      <c r="M835" s="82"/>
      <c r="N835" s="495"/>
      <c r="O835" s="480"/>
      <c r="P835" s="480"/>
    </row>
    <row r="836" spans="1:16" ht="12.75" thickBot="1">
      <c r="A836" s="81" t="s">
        <v>1282</v>
      </c>
      <c r="B836" s="2" t="s">
        <v>688</v>
      </c>
      <c r="C836" s="497">
        <v>2</v>
      </c>
      <c r="D836" s="497"/>
      <c r="E836" s="495">
        <v>18.279999999999998</v>
      </c>
      <c r="F836" s="190">
        <f t="shared" si="103"/>
        <v>36.559999999999995</v>
      </c>
      <c r="H836" s="486">
        <f t="shared" si="100"/>
        <v>-2.5087193835033649E-7</v>
      </c>
      <c r="I836" s="486">
        <f t="shared" si="101"/>
        <v>2</v>
      </c>
      <c r="J836" s="480"/>
      <c r="K836" s="487">
        <f t="shared" si="102"/>
        <v>-5.4704599058015091E-4</v>
      </c>
      <c r="M836" s="82"/>
      <c r="N836" s="495"/>
      <c r="O836" s="480"/>
      <c r="P836" s="480"/>
    </row>
    <row r="837" spans="1:16" ht="12.75" thickBot="1">
      <c r="A837" s="81" t="s">
        <v>1282</v>
      </c>
      <c r="B837" s="2" t="s">
        <v>341</v>
      </c>
      <c r="C837" s="497">
        <v>13</v>
      </c>
      <c r="D837" s="497"/>
      <c r="E837" s="495">
        <v>22.32</v>
      </c>
      <c r="F837" s="190">
        <f t="shared" si="103"/>
        <v>290.16000000000003</v>
      </c>
      <c r="H837" s="486">
        <f t="shared" si="100"/>
        <v>-1.9910558433187541E-6</v>
      </c>
      <c r="I837" s="486">
        <f t="shared" si="101"/>
        <v>13</v>
      </c>
      <c r="J837" s="480"/>
      <c r="K837" s="487">
        <f t="shared" si="102"/>
        <v>-4.4802870554682599E-4</v>
      </c>
      <c r="M837" s="82"/>
      <c r="N837" s="495"/>
      <c r="O837" s="480"/>
      <c r="P837" s="480"/>
    </row>
    <row r="838" spans="1:16" ht="12.75" thickBot="1">
      <c r="A838" s="81" t="s">
        <v>1282</v>
      </c>
      <c r="B838" s="2" t="s">
        <v>317</v>
      </c>
      <c r="C838" s="497">
        <v>6238</v>
      </c>
      <c r="D838" s="497"/>
      <c r="E838" s="495">
        <v>12.82</v>
      </c>
      <c r="F838" s="190">
        <f t="shared" si="103"/>
        <v>79971.16</v>
      </c>
      <c r="H838" s="486">
        <f t="shared" si="100"/>
        <v>-5.487560153535256E-4</v>
      </c>
      <c r="I838" s="486">
        <f t="shared" si="101"/>
        <v>6238</v>
      </c>
      <c r="J838" s="480"/>
      <c r="K838" s="487">
        <f t="shared" si="102"/>
        <v>-7.8003125645906052E-4</v>
      </c>
      <c r="M838" s="82"/>
      <c r="N838" s="495"/>
      <c r="O838" s="480"/>
      <c r="P838" s="480"/>
    </row>
    <row r="839" spans="1:16" ht="12.75" thickBot="1">
      <c r="A839" s="81" t="s">
        <v>1282</v>
      </c>
      <c r="B839" s="135" t="s">
        <v>318</v>
      </c>
      <c r="C839" s="497">
        <v>8008</v>
      </c>
      <c r="D839" s="497"/>
      <c r="E839" s="495">
        <v>15.08</v>
      </c>
      <c r="F839" s="190">
        <f t="shared" si="103"/>
        <v>120760.64</v>
      </c>
      <c r="H839" s="486">
        <f t="shared" si="100"/>
        <v>-8.2865032366595136E-4</v>
      </c>
      <c r="I839" s="486">
        <f t="shared" si="101"/>
        <v>8008</v>
      </c>
      <c r="J839" s="480"/>
      <c r="K839" s="487">
        <f t="shared" si="102"/>
        <v>-6.6313002041148256E-4</v>
      </c>
      <c r="M839" s="82"/>
      <c r="N839" s="495"/>
      <c r="O839" s="480"/>
      <c r="P839" s="480"/>
    </row>
    <row r="840" spans="1:16" ht="12.75" thickBot="1">
      <c r="A840" s="81" t="s">
        <v>1282</v>
      </c>
      <c r="B840" s="2" t="s">
        <v>319</v>
      </c>
      <c r="C840" s="497">
        <v>5508</v>
      </c>
      <c r="D840" s="497"/>
      <c r="E840" s="495">
        <v>17.38</v>
      </c>
      <c r="F840" s="190">
        <f t="shared" si="103"/>
        <v>95729.04</v>
      </c>
      <c r="H840" s="486">
        <f t="shared" si="100"/>
        <v>-6.5688538898295669E-4</v>
      </c>
      <c r="I840" s="486">
        <f t="shared" si="101"/>
        <v>5508</v>
      </c>
      <c r="J840" s="480"/>
      <c r="K840" s="487">
        <f t="shared" si="102"/>
        <v>-5.7537403382078008E-4</v>
      </c>
      <c r="M840" s="82"/>
      <c r="N840" s="495"/>
      <c r="O840" s="480"/>
      <c r="P840" s="480"/>
    </row>
    <row r="841" spans="1:16" ht="12.75" thickBot="1">
      <c r="A841" s="81" t="s">
        <v>1282</v>
      </c>
      <c r="B841" s="2" t="s">
        <v>320</v>
      </c>
      <c r="C841" s="497">
        <v>405</v>
      </c>
      <c r="D841" s="497"/>
      <c r="E841" s="495">
        <v>13.77</v>
      </c>
      <c r="F841" s="190">
        <f t="shared" si="103"/>
        <v>5576.8499999999995</v>
      </c>
      <c r="H841" s="486">
        <f t="shared" si="100"/>
        <v>-3.8267920388103776E-5</v>
      </c>
      <c r="I841" s="486">
        <f t="shared" si="101"/>
        <v>405</v>
      </c>
      <c r="J841" s="480"/>
      <c r="K841" s="487">
        <f t="shared" si="102"/>
        <v>-7.2621646389289449E-4</v>
      </c>
      <c r="M841" s="82"/>
      <c r="N841" s="495"/>
      <c r="O841" s="480"/>
      <c r="P841" s="480"/>
    </row>
    <row r="842" spans="1:16" ht="12.75" thickBot="1">
      <c r="A842" s="81" t="s">
        <v>1282</v>
      </c>
      <c r="B842" s="2" t="s">
        <v>321</v>
      </c>
      <c r="C842" s="497">
        <v>12694</v>
      </c>
      <c r="D842" s="497"/>
      <c r="E842" s="495">
        <v>18.21</v>
      </c>
      <c r="F842" s="190">
        <f t="shared" si="103"/>
        <v>231157.74000000002</v>
      </c>
      <c r="H842" s="486">
        <f t="shared" si="100"/>
        <v>-1.5861868243567593E-3</v>
      </c>
      <c r="I842" s="486">
        <f t="shared" si="101"/>
        <v>12694</v>
      </c>
      <c r="J842" s="480"/>
      <c r="K842" s="487">
        <f t="shared" si="102"/>
        <v>-5.4914885819907502E-4</v>
      </c>
      <c r="M842" s="82"/>
      <c r="N842" s="495"/>
      <c r="O842" s="480"/>
      <c r="P842" s="480"/>
    </row>
    <row r="843" spans="1:16" ht="12.75" thickBot="1">
      <c r="A843" s="81" t="s">
        <v>1282</v>
      </c>
      <c r="B843" s="2" t="s">
        <v>322</v>
      </c>
      <c r="C843" s="497">
        <v>3189</v>
      </c>
      <c r="D843" s="497"/>
      <c r="E843" s="495">
        <v>10.86</v>
      </c>
      <c r="F843" s="190">
        <f t="shared" si="103"/>
        <v>34632.54</v>
      </c>
      <c r="H843" s="486">
        <f t="shared" si="100"/>
        <v>-2.3764585448018499E-4</v>
      </c>
      <c r="I843" s="486">
        <f t="shared" si="101"/>
        <v>3189</v>
      </c>
      <c r="J843" s="480"/>
      <c r="K843" s="487">
        <f t="shared" si="102"/>
        <v>-9.2081037825093534E-4</v>
      </c>
      <c r="M843" s="82"/>
      <c r="N843" s="495"/>
      <c r="O843" s="480"/>
      <c r="P843" s="480"/>
    </row>
    <row r="844" spans="1:16" ht="12.75" thickBot="1">
      <c r="A844" s="81" t="s">
        <v>1282</v>
      </c>
      <c r="B844" s="135" t="s">
        <v>323</v>
      </c>
      <c r="C844" s="497">
        <v>5</v>
      </c>
      <c r="D844" s="497"/>
      <c r="E844" s="495">
        <v>11.13</v>
      </c>
      <c r="F844" s="190">
        <f t="shared" si="103"/>
        <v>55.650000000000006</v>
      </c>
      <c r="H844" s="486">
        <f t="shared" si="100"/>
        <v>-3.8186606589705219E-7</v>
      </c>
      <c r="I844" s="486">
        <f t="shared" si="101"/>
        <v>5</v>
      </c>
      <c r="J844" s="480"/>
      <c r="K844" s="487">
        <f t="shared" si="102"/>
        <v>-8.9847266018015781E-4</v>
      </c>
      <c r="M844" s="82"/>
      <c r="N844" s="495"/>
      <c r="O844" s="480"/>
      <c r="P844" s="480"/>
    </row>
    <row r="845" spans="1:16" ht="12.75" thickBot="1">
      <c r="A845" s="81" t="s">
        <v>1282</v>
      </c>
      <c r="B845" s="2" t="s">
        <v>328</v>
      </c>
      <c r="C845" s="497">
        <v>17</v>
      </c>
      <c r="D845" s="497"/>
      <c r="E845" s="495">
        <v>12.79</v>
      </c>
      <c r="F845" s="190">
        <f t="shared" si="103"/>
        <v>217.42999999999998</v>
      </c>
      <c r="H845" s="486">
        <f t="shared" si="100"/>
        <v>-1.4919881169451221E-6</v>
      </c>
      <c r="I845" s="486">
        <f t="shared" si="101"/>
        <v>17</v>
      </c>
      <c r="J845" s="480"/>
      <c r="K845" s="487">
        <f t="shared" si="102"/>
        <v>-7.8186088411299115E-4</v>
      </c>
      <c r="M845" s="82"/>
      <c r="N845" s="495"/>
      <c r="O845" s="480"/>
      <c r="P845" s="480"/>
    </row>
    <row r="846" spans="1:16" ht="12.75" thickBot="1">
      <c r="A846" s="81" t="s">
        <v>1282</v>
      </c>
      <c r="B846" s="2" t="s">
        <v>329</v>
      </c>
      <c r="C846" s="497">
        <v>2</v>
      </c>
      <c r="D846" s="497"/>
      <c r="E846" s="495">
        <v>15.07</v>
      </c>
      <c r="F846" s="190">
        <f t="shared" si="103"/>
        <v>30.14</v>
      </c>
      <c r="H846" s="486">
        <f t="shared" si="100"/>
        <v>-2.0681838681288682E-7</v>
      </c>
      <c r="I846" s="486">
        <f t="shared" si="101"/>
        <v>2</v>
      </c>
      <c r="J846" s="480"/>
      <c r="K846" s="487">
        <f t="shared" si="102"/>
        <v>-6.6357005360352726E-4</v>
      </c>
      <c r="M846" s="82"/>
      <c r="N846" s="495"/>
      <c r="O846" s="480"/>
      <c r="P846" s="480"/>
    </row>
    <row r="847" spans="1:16" ht="12.75" thickBot="1">
      <c r="A847" s="81" t="s">
        <v>1282</v>
      </c>
      <c r="B847" s="2" t="s">
        <v>330</v>
      </c>
      <c r="C847" s="497">
        <v>270</v>
      </c>
      <c r="D847" s="497"/>
      <c r="E847" s="495">
        <v>18.68</v>
      </c>
      <c r="F847" s="190">
        <f t="shared" si="103"/>
        <v>5043.6000000000004</v>
      </c>
      <c r="H847" s="486">
        <f t="shared" si="100"/>
        <v>-3.460879946016842E-5</v>
      </c>
      <c r="I847" s="486">
        <f t="shared" si="101"/>
        <v>270</v>
      </c>
      <c r="J847" s="480"/>
      <c r="K847" s="487">
        <f t="shared" si="102"/>
        <v>-5.3533194367265293E-4</v>
      </c>
      <c r="M847" s="82"/>
      <c r="N847" s="495"/>
      <c r="O847" s="480"/>
      <c r="P847" s="480"/>
    </row>
    <row r="848" spans="1:16" ht="12.75" thickBot="1">
      <c r="A848" s="81" t="s">
        <v>1282</v>
      </c>
      <c r="B848" s="2" t="s">
        <v>331</v>
      </c>
      <c r="C848" s="497">
        <v>53</v>
      </c>
      <c r="D848" s="497"/>
      <c r="E848" s="495">
        <v>20.970000000000002</v>
      </c>
      <c r="F848" s="190">
        <f t="shared" si="103"/>
        <v>1111.4100000000001</v>
      </c>
      <c r="H848" s="486">
        <f t="shared" si="100"/>
        <v>-7.6264108589154137E-6</v>
      </c>
      <c r="I848" s="486">
        <f t="shared" si="101"/>
        <v>53</v>
      </c>
      <c r="J848" s="480"/>
      <c r="K848" s="487">
        <f t="shared" si="102"/>
        <v>-4.7687175526014096E-4</v>
      </c>
      <c r="M848" s="82"/>
      <c r="N848" s="495"/>
      <c r="O848" s="480"/>
      <c r="P848" s="480"/>
    </row>
    <row r="849" spans="1:16" ht="12.75" thickBot="1">
      <c r="A849" s="81" t="s">
        <v>1282</v>
      </c>
      <c r="B849" s="2" t="s">
        <v>332</v>
      </c>
      <c r="C849" s="497">
        <v>2</v>
      </c>
      <c r="D849" s="497"/>
      <c r="E849" s="495">
        <v>28.42</v>
      </c>
      <c r="F849" s="190">
        <f t="shared" si="103"/>
        <v>56.84</v>
      </c>
      <c r="H849" s="486">
        <f t="shared" si="100"/>
        <v>-3.9003175535648601E-7</v>
      </c>
      <c r="I849" s="486">
        <f t="shared" si="101"/>
        <v>2</v>
      </c>
      <c r="J849" s="480"/>
      <c r="K849" s="487">
        <f t="shared" si="102"/>
        <v>-3.5186490878976622E-4</v>
      </c>
      <c r="M849" s="82"/>
      <c r="N849" s="495"/>
      <c r="O849" s="480"/>
      <c r="P849" s="480"/>
    </row>
    <row r="850" spans="1:16" ht="12.75" thickBot="1">
      <c r="A850" s="81" t="s">
        <v>1282</v>
      </c>
      <c r="B850" s="2" t="s">
        <v>333</v>
      </c>
      <c r="C850" s="497">
        <v>341</v>
      </c>
      <c r="D850" s="497"/>
      <c r="E850" s="495">
        <v>39.6</v>
      </c>
      <c r="F850" s="190">
        <f t="shared" si="103"/>
        <v>13503.6</v>
      </c>
      <c r="H850" s="486">
        <f t="shared" si="100"/>
        <v>-9.2660675785218919E-5</v>
      </c>
      <c r="I850" s="486">
        <f t="shared" si="101"/>
        <v>341</v>
      </c>
      <c r="J850" s="480"/>
      <c r="K850" s="487">
        <f t="shared" si="102"/>
        <v>-2.5252527039912011E-4</v>
      </c>
      <c r="M850" s="82"/>
      <c r="N850" s="495"/>
      <c r="O850" s="480"/>
      <c r="P850" s="480"/>
    </row>
    <row r="851" spans="1:16" ht="12.75" thickBot="1">
      <c r="A851" s="81" t="s">
        <v>1282</v>
      </c>
      <c r="B851" s="2" t="s">
        <v>334</v>
      </c>
      <c r="C851" s="497">
        <v>59</v>
      </c>
      <c r="D851" s="497"/>
      <c r="E851" s="495">
        <v>42.78</v>
      </c>
      <c r="F851" s="190">
        <f t="shared" si="103"/>
        <v>2524.02</v>
      </c>
      <c r="H851" s="486">
        <f t="shared" si="100"/>
        <v>-1.7319633201176596E-5</v>
      </c>
      <c r="I851" s="486">
        <f t="shared" si="101"/>
        <v>59</v>
      </c>
      <c r="J851" s="480"/>
      <c r="K851" s="487">
        <f t="shared" si="102"/>
        <v>-2.3375410724182227E-4</v>
      </c>
      <c r="M851" s="82"/>
      <c r="N851" s="495"/>
      <c r="O851" s="480"/>
      <c r="P851" s="480"/>
    </row>
    <row r="852" spans="1:16" ht="12.75" thickBot="1">
      <c r="A852" s="81" t="s">
        <v>1282</v>
      </c>
      <c r="B852" s="2" t="s">
        <v>620</v>
      </c>
      <c r="C852" s="497">
        <v>18</v>
      </c>
      <c r="D852" s="497"/>
      <c r="E852" s="495">
        <v>23.83</v>
      </c>
      <c r="F852" s="190">
        <f t="shared" ref="F852:F856" si="104">C852*E852</f>
        <v>428.93999999999994</v>
      </c>
      <c r="H852" s="486">
        <f t="shared" si="100"/>
        <v>-2.9433536443105397E-6</v>
      </c>
      <c r="I852" s="486">
        <f t="shared" si="101"/>
        <v>18</v>
      </c>
      <c r="J852" s="480"/>
      <c r="K852" s="487">
        <f t="shared" si="102"/>
        <v>-4.1963914006735867E-4</v>
      </c>
      <c r="M852" s="82"/>
      <c r="N852" s="495"/>
      <c r="O852" s="480"/>
      <c r="P852" s="480"/>
    </row>
    <row r="853" spans="1:16" ht="12.75" thickBot="1">
      <c r="A853" s="81" t="s">
        <v>1282</v>
      </c>
      <c r="B853" s="135" t="s">
        <v>360</v>
      </c>
      <c r="C853" s="497">
        <v>4</v>
      </c>
      <c r="D853" s="497"/>
      <c r="E853" s="495">
        <v>20.46</v>
      </c>
      <c r="F853" s="190">
        <f t="shared" si="104"/>
        <v>81.84</v>
      </c>
      <c r="H853" s="486">
        <f t="shared" ref="H853:H856" si="105">F853/$M$793*$M$794</f>
        <v>-5.6157985324375112E-7</v>
      </c>
      <c r="I853" s="486">
        <f t="shared" ref="I853:I856" si="106">ROUND((F853+H853)/E853,0)</f>
        <v>4</v>
      </c>
      <c r="J853" s="480"/>
      <c r="K853" s="487">
        <f t="shared" ref="K853:K856" si="107">$M$794/E853</f>
        <v>-4.8875858786926471E-4</v>
      </c>
      <c r="M853" s="82"/>
      <c r="N853" s="495"/>
      <c r="O853" s="480"/>
      <c r="P853" s="480"/>
    </row>
    <row r="854" spans="1:16" ht="12.75" thickBot="1">
      <c r="A854" s="81" t="s">
        <v>1282</v>
      </c>
      <c r="B854" s="2" t="s">
        <v>335</v>
      </c>
      <c r="C854" s="497">
        <v>39</v>
      </c>
      <c r="D854" s="497"/>
      <c r="E854" s="495">
        <v>30.21</v>
      </c>
      <c r="F854" s="190">
        <f t="shared" si="104"/>
        <v>1178.19</v>
      </c>
      <c r="H854" s="486">
        <f t="shared" si="105"/>
        <v>-8.0846501379918761E-6</v>
      </c>
      <c r="I854" s="486">
        <f t="shared" si="106"/>
        <v>39</v>
      </c>
      <c r="J854" s="480"/>
      <c r="K854" s="487">
        <f t="shared" si="107"/>
        <v>-3.3101624322426869E-4</v>
      </c>
      <c r="M854" s="82"/>
      <c r="N854" s="495"/>
      <c r="O854" s="480"/>
      <c r="P854" s="480"/>
    </row>
    <row r="855" spans="1:16" ht="12.75" thickBot="1">
      <c r="A855" s="81" t="s">
        <v>1282</v>
      </c>
      <c r="B855" s="2" t="s">
        <v>336</v>
      </c>
      <c r="C855" s="497">
        <v>2</v>
      </c>
      <c r="D855" s="497"/>
      <c r="E855" s="495">
        <v>42.56</v>
      </c>
      <c r="F855" s="190">
        <f t="shared" si="104"/>
        <v>85.12</v>
      </c>
      <c r="H855" s="486">
        <f t="shared" si="105"/>
        <v>-5.8408696368656031E-7</v>
      </c>
      <c r="I855" s="486">
        <f t="shared" si="106"/>
        <v>2</v>
      </c>
      <c r="J855" s="480"/>
      <c r="K855" s="487">
        <f t="shared" si="107"/>
        <v>-2.3496242264579785E-4</v>
      </c>
      <c r="M855" s="82"/>
      <c r="N855" s="495"/>
      <c r="O855" s="480"/>
      <c r="P855" s="480"/>
    </row>
    <row r="856" spans="1:16" ht="12.75" thickBot="1">
      <c r="A856" s="81" t="s">
        <v>1282</v>
      </c>
      <c r="B856" s="2" t="s">
        <v>337</v>
      </c>
      <c r="C856" s="497">
        <v>13</v>
      </c>
      <c r="D856" s="497"/>
      <c r="E856" s="495">
        <v>52.31</v>
      </c>
      <c r="F856" s="190">
        <f t="shared" si="104"/>
        <v>680.03</v>
      </c>
      <c r="H856" s="486">
        <f t="shared" si="105"/>
        <v>-4.6663141202510759E-6</v>
      </c>
      <c r="I856" s="486">
        <f t="shared" si="106"/>
        <v>13</v>
      </c>
      <c r="J856" s="480"/>
      <c r="K856" s="487">
        <f t="shared" si="107"/>
        <v>-1.9116805023523527E-4</v>
      </c>
      <c r="M856" s="82"/>
      <c r="N856" s="495"/>
      <c r="O856" s="480"/>
      <c r="P856" s="480"/>
    </row>
    <row r="857" spans="1:16" ht="12.75" thickBot="1">
      <c r="A857" s="81" t="s">
        <v>1282</v>
      </c>
      <c r="B857" s="2"/>
      <c r="C857" s="497"/>
      <c r="D857" s="497"/>
      <c r="E857" s="497"/>
      <c r="F857" s="480"/>
      <c r="H857" s="495"/>
      <c r="I857" s="495"/>
      <c r="J857" s="495"/>
      <c r="K857" s="480"/>
      <c r="M857" s="82"/>
      <c r="N857" s="495"/>
      <c r="O857" s="480"/>
      <c r="P857" s="480"/>
    </row>
    <row r="858" spans="1:16" ht="12.75" thickBot="1">
      <c r="A858" s="81" t="s">
        <v>1282</v>
      </c>
      <c r="B858" s="50"/>
      <c r="C858" s="79"/>
      <c r="D858" s="79"/>
      <c r="E858" s="79"/>
      <c r="F858" s="80"/>
      <c r="H858" s="80"/>
      <c r="I858" s="80"/>
      <c r="J858" s="80"/>
      <c r="K858" s="80"/>
      <c r="M858" s="82"/>
      <c r="N858" s="495"/>
      <c r="O858" s="480"/>
      <c r="P858" s="480"/>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filterMode="1"/>
  <dimension ref="A1:BF2794"/>
  <sheetViews>
    <sheetView workbookViewId="0">
      <selection sqref="A1:BF2794"/>
    </sheetView>
  </sheetViews>
  <sheetFormatPr defaultRowHeight="12"/>
  <cols>
    <col min="1" max="1" width="10.1640625" style="461" customWidth="1"/>
    <col min="2" max="2" width="14.1640625" style="461" bestFit="1" customWidth="1"/>
    <col min="3" max="3" width="39.5" style="461" bestFit="1" customWidth="1"/>
    <col min="4" max="4" width="12.5" style="461" bestFit="1" customWidth="1"/>
    <col min="5" max="5" width="17.83203125" style="98" bestFit="1" customWidth="1"/>
    <col min="6" max="6" width="18.83203125" style="98" bestFit="1" customWidth="1"/>
    <col min="7" max="7" width="22.1640625" style="98" bestFit="1" customWidth="1"/>
    <col min="8" max="14" width="18.83203125" style="98" bestFit="1" customWidth="1"/>
    <col min="15" max="15" width="22.1640625" style="98" bestFit="1" customWidth="1"/>
    <col min="16" max="16" width="13.5" style="98" customWidth="1"/>
    <col min="17" max="17" width="3.5" style="98" customWidth="1"/>
    <col min="18" max="18" width="18.83203125" style="98" bestFit="1" customWidth="1"/>
    <col min="19" max="19" width="14.1640625" style="98" bestFit="1" customWidth="1"/>
    <col min="20" max="21" width="15" style="98" bestFit="1" customWidth="1"/>
    <col min="22" max="22" width="9.33203125" style="98"/>
    <col min="23" max="23" width="14.1640625" style="98" bestFit="1" customWidth="1"/>
    <col min="24" max="24" width="25.5" style="98" bestFit="1" customWidth="1"/>
    <col min="25" max="25" width="23.1640625" style="98" bestFit="1" customWidth="1"/>
    <col min="26" max="26" width="15.83203125" style="98" bestFit="1" customWidth="1"/>
    <col min="27" max="27" width="20" style="98" bestFit="1" customWidth="1"/>
    <col min="28" max="28" width="15.6640625" style="98" bestFit="1" customWidth="1"/>
    <col min="29" max="30" width="9.33203125" style="98"/>
    <col min="31" max="31" width="25.83203125" style="98" bestFit="1" customWidth="1"/>
    <col min="32" max="32" width="21.83203125" style="98" bestFit="1" customWidth="1"/>
    <col min="33" max="33" width="19.1640625" style="98" bestFit="1" customWidth="1"/>
    <col min="34" max="34" width="15.5" style="98" bestFit="1" customWidth="1"/>
    <col min="35" max="35" width="19.5" style="98" bestFit="1" customWidth="1"/>
    <col min="36" max="36" width="19.33203125" style="98" bestFit="1" customWidth="1"/>
    <col min="37" max="37" width="9.33203125" style="98"/>
    <col min="38" max="38" width="19.1640625" style="98" bestFit="1" customWidth="1"/>
    <col min="39" max="43" width="9.33203125" style="98"/>
    <col min="44" max="44" width="10.1640625" style="98" bestFit="1" customWidth="1"/>
    <col min="45" max="49" width="9.33203125" style="98"/>
    <col min="50" max="50" width="14.83203125" style="98" bestFit="1" customWidth="1"/>
    <col min="51" max="16384" width="9.33203125" style="98"/>
  </cols>
  <sheetData>
    <row r="1" spans="1:41" ht="12.75" thickBot="1">
      <c r="A1" s="431"/>
      <c r="B1" s="432" t="s">
        <v>4</v>
      </c>
      <c r="C1" s="432" t="s">
        <v>791</v>
      </c>
      <c r="D1" s="433" t="s">
        <v>792</v>
      </c>
      <c r="E1" s="434" t="s">
        <v>823</v>
      </c>
      <c r="F1" s="435" t="s">
        <v>800</v>
      </c>
      <c r="G1" s="435" t="s">
        <v>1024</v>
      </c>
      <c r="H1" s="436" t="s">
        <v>1025</v>
      </c>
      <c r="I1" s="436" t="s">
        <v>1026</v>
      </c>
      <c r="J1" s="436" t="s">
        <v>1027</v>
      </c>
      <c r="K1" s="436" t="s">
        <v>1028</v>
      </c>
      <c r="L1" s="435" t="s">
        <v>788</v>
      </c>
      <c r="M1" s="435" t="s">
        <v>57</v>
      </c>
      <c r="N1" s="435" t="s">
        <v>58</v>
      </c>
      <c r="O1" s="435" t="s">
        <v>1029</v>
      </c>
      <c r="P1" s="435" t="s">
        <v>712</v>
      </c>
      <c r="Q1" s="435" t="s">
        <v>789</v>
      </c>
      <c r="R1" s="435" t="s">
        <v>825</v>
      </c>
      <c r="S1" s="435" t="s">
        <v>1104</v>
      </c>
      <c r="T1" s="435" t="s">
        <v>824</v>
      </c>
      <c r="U1" s="435" t="s">
        <v>829</v>
      </c>
      <c r="V1" s="214"/>
      <c r="W1" s="214"/>
      <c r="X1" s="214"/>
      <c r="Y1" s="214"/>
      <c r="Z1" s="432" t="s">
        <v>4</v>
      </c>
      <c r="AA1" s="432" t="s">
        <v>791</v>
      </c>
      <c r="AB1" s="434" t="s">
        <v>823</v>
      </c>
      <c r="AC1" s="435" t="s">
        <v>800</v>
      </c>
      <c r="AD1" s="435" t="s">
        <v>1024</v>
      </c>
      <c r="AE1" s="2" t="s">
        <v>1025</v>
      </c>
      <c r="AF1" s="2" t="s">
        <v>1026</v>
      </c>
      <c r="AG1" s="2" t="s">
        <v>1027</v>
      </c>
      <c r="AH1" s="2" t="s">
        <v>1028</v>
      </c>
      <c r="AI1" s="435" t="s">
        <v>788</v>
      </c>
      <c r="AJ1" s="435" t="s">
        <v>57</v>
      </c>
      <c r="AK1" s="435" t="s">
        <v>58</v>
      </c>
      <c r="AL1" s="2" t="s">
        <v>1029</v>
      </c>
      <c r="AM1" s="435" t="s">
        <v>712</v>
      </c>
      <c r="AN1" s="435" t="s">
        <v>789</v>
      </c>
      <c r="AO1" s="435" t="s">
        <v>825</v>
      </c>
    </row>
    <row r="2" spans="1:41" ht="12.75" hidden="1" thickBot="1">
      <c r="A2" s="431"/>
      <c r="B2" s="437" t="s">
        <v>4</v>
      </c>
      <c r="C2" s="432" t="s">
        <v>791</v>
      </c>
      <c r="D2" s="433" t="s">
        <v>792</v>
      </c>
      <c r="E2" s="438"/>
      <c r="F2" s="439" t="s">
        <v>6</v>
      </c>
      <c r="G2" s="439" t="s">
        <v>6</v>
      </c>
      <c r="H2" s="439" t="s">
        <v>6</v>
      </c>
      <c r="I2" s="439" t="s">
        <v>6</v>
      </c>
      <c r="J2" s="439" t="s">
        <v>6</v>
      </c>
      <c r="K2" s="439" t="s">
        <v>6</v>
      </c>
      <c r="L2" s="439" t="s">
        <v>6</v>
      </c>
      <c r="M2" s="439" t="s">
        <v>6</v>
      </c>
      <c r="N2" s="439" t="s">
        <v>6</v>
      </c>
      <c r="O2" s="439" t="s">
        <v>6</v>
      </c>
      <c r="P2" s="439" t="s">
        <v>6</v>
      </c>
      <c r="Q2" s="439" t="s">
        <v>6</v>
      </c>
      <c r="R2" s="439" t="s">
        <v>6</v>
      </c>
      <c r="S2" s="440" t="s">
        <v>6</v>
      </c>
      <c r="T2" s="441" t="s">
        <v>6</v>
      </c>
      <c r="U2" s="441" t="s">
        <v>6</v>
      </c>
      <c r="V2" s="441"/>
      <c r="W2" s="441"/>
      <c r="X2" s="441"/>
      <c r="Y2" s="441"/>
      <c r="Z2" s="441"/>
    </row>
    <row r="3" spans="1:41" ht="12.75" hidden="1" thickBot="1">
      <c r="A3" s="442"/>
      <c r="B3" s="443"/>
      <c r="C3" s="444"/>
      <c r="D3" s="8"/>
      <c r="E3" s="2" t="s">
        <v>5</v>
      </c>
      <c r="F3" s="2" t="s">
        <v>800</v>
      </c>
      <c r="G3" s="2" t="s">
        <v>1024</v>
      </c>
      <c r="H3" s="2" t="s">
        <v>1025</v>
      </c>
      <c r="I3" s="2" t="s">
        <v>1026</v>
      </c>
      <c r="J3" s="2" t="s">
        <v>1027</v>
      </c>
      <c r="K3" s="2" t="s">
        <v>1028</v>
      </c>
      <c r="L3" s="2" t="s">
        <v>788</v>
      </c>
      <c r="M3" s="2" t="s">
        <v>57</v>
      </c>
      <c r="N3" s="2" t="s">
        <v>58</v>
      </c>
      <c r="O3" s="2" t="s">
        <v>1029</v>
      </c>
      <c r="P3" s="2" t="s">
        <v>712</v>
      </c>
      <c r="Q3" s="2" t="s">
        <v>789</v>
      </c>
      <c r="R3" s="2" t="s">
        <v>790</v>
      </c>
      <c r="S3" s="445"/>
      <c r="T3" s="445"/>
      <c r="U3" s="445"/>
      <c r="W3" s="446"/>
      <c r="X3" s="446"/>
      <c r="Y3" s="441"/>
      <c r="Z3" s="441"/>
      <c r="AA3" s="441"/>
      <c r="AB3" s="441"/>
      <c r="AC3" s="441"/>
      <c r="AD3" s="441"/>
      <c r="AE3" s="441"/>
      <c r="AF3" s="441"/>
      <c r="AG3" s="441"/>
      <c r="AH3" s="441"/>
      <c r="AI3" s="441"/>
      <c r="AJ3" s="441"/>
      <c r="AK3" s="441"/>
      <c r="AL3" s="441"/>
      <c r="AM3" s="441"/>
      <c r="AN3" s="441"/>
      <c r="AO3" s="441"/>
    </row>
    <row r="4" spans="1:41" ht="12.75" hidden="1" thickBot="1">
      <c r="A4" s="2" t="s">
        <v>0</v>
      </c>
      <c r="B4" s="2" t="s">
        <v>4</v>
      </c>
      <c r="C4" s="447"/>
      <c r="D4" s="8"/>
      <c r="E4" s="444" t="s">
        <v>5</v>
      </c>
      <c r="F4" s="444" t="s">
        <v>6</v>
      </c>
      <c r="G4" s="444" t="s">
        <v>6</v>
      </c>
      <c r="H4" s="444" t="s">
        <v>6</v>
      </c>
      <c r="I4" s="444" t="s">
        <v>6</v>
      </c>
      <c r="J4" s="444" t="s">
        <v>6</v>
      </c>
      <c r="K4" s="444" t="s">
        <v>6</v>
      </c>
      <c r="L4" s="444" t="s">
        <v>6</v>
      </c>
      <c r="M4" s="444" t="s">
        <v>6</v>
      </c>
      <c r="N4" s="444" t="s">
        <v>6</v>
      </c>
      <c r="O4" s="444" t="s">
        <v>6</v>
      </c>
      <c r="P4" s="444" t="s">
        <v>6</v>
      </c>
      <c r="Q4" s="444" t="s">
        <v>6</v>
      </c>
      <c r="R4" s="444" t="s">
        <v>6</v>
      </c>
      <c r="S4" s="445"/>
      <c r="T4" s="445"/>
      <c r="U4" s="445"/>
      <c r="W4" s="448"/>
      <c r="X4" s="448"/>
      <c r="Y4" s="441"/>
      <c r="Z4" s="441"/>
      <c r="AA4" s="441"/>
      <c r="AB4" s="441"/>
      <c r="AC4" s="441"/>
      <c r="AD4" s="441"/>
      <c r="AE4" s="441"/>
      <c r="AF4" s="441"/>
      <c r="AG4" s="441"/>
      <c r="AH4" s="441"/>
      <c r="AI4" s="441"/>
      <c r="AJ4" s="441"/>
      <c r="AK4" s="441"/>
      <c r="AL4" s="441"/>
      <c r="AM4" s="441"/>
      <c r="AN4" s="441"/>
      <c r="AO4" s="441"/>
    </row>
    <row r="5" spans="1:41" ht="12.75" hidden="1" thickBot="1">
      <c r="A5" s="1" t="s">
        <v>1271</v>
      </c>
      <c r="B5" s="2" t="s">
        <v>1030</v>
      </c>
      <c r="C5" s="2" t="s">
        <v>1031</v>
      </c>
      <c r="D5" s="8" t="s">
        <v>830</v>
      </c>
      <c r="E5" s="4"/>
      <c r="F5" s="4"/>
      <c r="G5" s="4"/>
      <c r="H5" s="4"/>
      <c r="I5" s="4"/>
      <c r="J5" s="4"/>
      <c r="K5" s="4"/>
      <c r="L5" s="4"/>
      <c r="M5" s="4"/>
      <c r="N5" s="4"/>
      <c r="O5" s="4"/>
      <c r="P5" s="4"/>
      <c r="Q5" s="4"/>
      <c r="R5" s="449"/>
      <c r="S5" s="445">
        <f t="shared" ref="S5:S68" si="0">G5+H5+I5</f>
        <v>0</v>
      </c>
      <c r="T5" s="445">
        <f t="shared" ref="T5:T68" si="1">J5+K5</f>
        <v>0</v>
      </c>
      <c r="U5" s="445">
        <f t="shared" ref="U5:U68" si="2">N5+O5</f>
        <v>0</v>
      </c>
      <c r="W5" s="450">
        <f>SUM(F5:Q5)</f>
        <v>0</v>
      </c>
      <c r="X5" s="448">
        <f>R5-W5</f>
        <v>0</v>
      </c>
      <c r="Y5" s="441"/>
      <c r="Z5" s="441"/>
      <c r="AA5" s="441"/>
      <c r="AB5" s="441"/>
      <c r="AC5" s="441"/>
      <c r="AD5" s="441"/>
      <c r="AE5" s="441"/>
      <c r="AF5" s="441"/>
      <c r="AG5" s="441"/>
      <c r="AH5" s="441"/>
      <c r="AI5" s="441"/>
      <c r="AJ5" s="441"/>
      <c r="AK5" s="441"/>
      <c r="AL5" s="441"/>
      <c r="AM5" s="441"/>
      <c r="AN5" s="441"/>
      <c r="AO5" s="441"/>
    </row>
    <row r="6" spans="1:41" ht="12.75" hidden="1" thickBot="1">
      <c r="A6" s="1" t="s">
        <v>1271</v>
      </c>
      <c r="B6" s="2" t="s">
        <v>797</v>
      </c>
      <c r="C6" s="2" t="s">
        <v>798</v>
      </c>
      <c r="D6" s="8" t="s">
        <v>830</v>
      </c>
      <c r="E6" s="6"/>
      <c r="F6" s="6"/>
      <c r="G6" s="6"/>
      <c r="H6" s="6"/>
      <c r="I6" s="6"/>
      <c r="J6" s="6"/>
      <c r="K6" s="6"/>
      <c r="L6" s="6"/>
      <c r="M6" s="6"/>
      <c r="N6" s="6"/>
      <c r="O6" s="6"/>
      <c r="P6" s="6"/>
      <c r="Q6" s="6"/>
      <c r="R6" s="451"/>
      <c r="S6" s="445">
        <f t="shared" si="0"/>
        <v>0</v>
      </c>
      <c r="T6" s="445">
        <f t="shared" si="1"/>
        <v>0</v>
      </c>
      <c r="U6" s="445">
        <f t="shared" si="2"/>
        <v>0</v>
      </c>
      <c r="W6" s="448"/>
      <c r="X6" s="448"/>
      <c r="Y6" s="441"/>
      <c r="Z6" s="441"/>
      <c r="AA6" s="441"/>
      <c r="AB6" s="441"/>
      <c r="AC6" s="441"/>
      <c r="AD6" s="441"/>
      <c r="AE6" s="441"/>
      <c r="AF6" s="441"/>
      <c r="AG6" s="441"/>
      <c r="AH6" s="441"/>
      <c r="AI6" s="441"/>
      <c r="AJ6" s="441"/>
      <c r="AK6" s="441"/>
      <c r="AL6" s="441"/>
      <c r="AM6" s="441"/>
      <c r="AN6" s="441"/>
      <c r="AO6" s="441"/>
    </row>
    <row r="7" spans="1:41" ht="12.75" hidden="1" thickBot="1">
      <c r="A7" s="1" t="s">
        <v>1271</v>
      </c>
      <c r="B7" s="2" t="s">
        <v>793</v>
      </c>
      <c r="C7" s="2" t="s">
        <v>1032</v>
      </c>
      <c r="D7" s="8" t="s">
        <v>793</v>
      </c>
      <c r="E7" s="3">
        <f t="shared" ref="E7:R30" si="3">ROUND(SUMIFS(E$1410:E$1613,$A$1410:$A$1613,$A7,$B$1410:$B$1613,$B7),0)</f>
        <v>16278824</v>
      </c>
      <c r="F7" s="452">
        <f t="shared" si="3"/>
        <v>0</v>
      </c>
      <c r="G7" s="452">
        <f t="shared" si="3"/>
        <v>1116696</v>
      </c>
      <c r="H7" s="452">
        <f t="shared" si="3"/>
        <v>443598</v>
      </c>
      <c r="I7" s="452">
        <f t="shared" si="3"/>
        <v>0</v>
      </c>
      <c r="J7" s="452">
        <f t="shared" si="3"/>
        <v>0</v>
      </c>
      <c r="K7" s="452">
        <f t="shared" si="3"/>
        <v>0</v>
      </c>
      <c r="L7" s="452">
        <f t="shared" si="3"/>
        <v>0</v>
      </c>
      <c r="M7" s="452">
        <f t="shared" si="3"/>
        <v>-41465</v>
      </c>
      <c r="N7" s="452">
        <f t="shared" si="3"/>
        <v>146115</v>
      </c>
      <c r="O7" s="452">
        <f t="shared" si="3"/>
        <v>0</v>
      </c>
      <c r="P7" s="452">
        <f t="shared" si="3"/>
        <v>0</v>
      </c>
      <c r="Q7" s="452"/>
      <c r="R7" s="452">
        <f t="shared" si="3"/>
        <v>1664945</v>
      </c>
      <c r="S7" s="445">
        <f t="shared" si="0"/>
        <v>1560294</v>
      </c>
      <c r="T7" s="445">
        <f t="shared" si="1"/>
        <v>0</v>
      </c>
      <c r="U7" s="445">
        <f t="shared" si="2"/>
        <v>146115</v>
      </c>
      <c r="W7" s="448"/>
      <c r="X7" s="448"/>
      <c r="Y7" s="441"/>
      <c r="Z7" s="441"/>
      <c r="AA7" s="441"/>
      <c r="AB7" s="441"/>
      <c r="AC7" s="441"/>
      <c r="AD7" s="441"/>
      <c r="AE7" s="441"/>
      <c r="AF7" s="441"/>
      <c r="AG7" s="441"/>
      <c r="AH7" s="441"/>
      <c r="AI7" s="441"/>
      <c r="AJ7" s="441"/>
      <c r="AK7" s="441"/>
      <c r="AL7" s="441"/>
      <c r="AM7" s="441"/>
      <c r="AN7" s="441"/>
      <c r="AO7" s="441"/>
    </row>
    <row r="8" spans="1:41" ht="12.75" hidden="1" thickBot="1">
      <c r="A8" s="1" t="s">
        <v>1271</v>
      </c>
      <c r="B8" s="2" t="s">
        <v>1111</v>
      </c>
      <c r="C8" s="2" t="s">
        <v>1199</v>
      </c>
      <c r="D8" s="8" t="s">
        <v>830</v>
      </c>
      <c r="E8" s="3">
        <f t="shared" si="3"/>
        <v>0</v>
      </c>
      <c r="F8" s="452">
        <f t="shared" si="3"/>
        <v>0</v>
      </c>
      <c r="G8" s="452">
        <f t="shared" si="3"/>
        <v>0</v>
      </c>
      <c r="H8" s="452">
        <f t="shared" si="3"/>
        <v>0</v>
      </c>
      <c r="I8" s="452">
        <f t="shared" si="3"/>
        <v>0</v>
      </c>
      <c r="J8" s="452">
        <f t="shared" si="3"/>
        <v>0</v>
      </c>
      <c r="K8" s="452">
        <f t="shared" si="3"/>
        <v>0</v>
      </c>
      <c r="L8" s="452">
        <f t="shared" si="3"/>
        <v>0</v>
      </c>
      <c r="M8" s="452">
        <f t="shared" si="3"/>
        <v>0</v>
      </c>
      <c r="N8" s="452">
        <f t="shared" si="3"/>
        <v>0</v>
      </c>
      <c r="O8" s="452">
        <f t="shared" si="3"/>
        <v>0</v>
      </c>
      <c r="P8" s="452">
        <f t="shared" si="3"/>
        <v>0</v>
      </c>
      <c r="Q8" s="452"/>
      <c r="R8" s="452">
        <f t="shared" si="3"/>
        <v>0</v>
      </c>
      <c r="S8" s="445">
        <f t="shared" si="0"/>
        <v>0</v>
      </c>
      <c r="T8" s="445">
        <f t="shared" si="1"/>
        <v>0</v>
      </c>
      <c r="U8" s="445">
        <f t="shared" si="2"/>
        <v>0</v>
      </c>
      <c r="W8" s="448"/>
      <c r="X8" s="448"/>
      <c r="Y8" s="441"/>
      <c r="Z8" s="441"/>
      <c r="AA8" s="441"/>
      <c r="AB8" s="441"/>
      <c r="AC8" s="441"/>
      <c r="AD8" s="441"/>
      <c r="AE8" s="441"/>
      <c r="AF8" s="441"/>
      <c r="AG8" s="441"/>
      <c r="AH8" s="441"/>
      <c r="AI8" s="441"/>
      <c r="AJ8" s="441"/>
      <c r="AK8" s="441"/>
      <c r="AL8" s="441"/>
      <c r="AM8" s="441"/>
      <c r="AN8" s="441"/>
      <c r="AO8" s="441"/>
    </row>
    <row r="9" spans="1:41" ht="12.75" hidden="1" thickBot="1">
      <c r="A9" s="1" t="s">
        <v>1271</v>
      </c>
      <c r="B9" s="2" t="s">
        <v>801</v>
      </c>
      <c r="C9" s="2" t="s">
        <v>802</v>
      </c>
      <c r="D9" s="8" t="s">
        <v>1205</v>
      </c>
      <c r="E9" s="3">
        <f t="shared" si="3"/>
        <v>0</v>
      </c>
      <c r="F9" s="452">
        <f t="shared" si="3"/>
        <v>0</v>
      </c>
      <c r="G9" s="452">
        <f t="shared" si="3"/>
        <v>0</v>
      </c>
      <c r="H9" s="452">
        <f t="shared" si="3"/>
        <v>0</v>
      </c>
      <c r="I9" s="452">
        <f t="shared" si="3"/>
        <v>0</v>
      </c>
      <c r="J9" s="452">
        <f t="shared" si="3"/>
        <v>0</v>
      </c>
      <c r="K9" s="452">
        <f t="shared" si="3"/>
        <v>0</v>
      </c>
      <c r="L9" s="452">
        <f t="shared" si="3"/>
        <v>0</v>
      </c>
      <c r="M9" s="452">
        <f t="shared" si="3"/>
        <v>0</v>
      </c>
      <c r="N9" s="452">
        <f t="shared" si="3"/>
        <v>0</v>
      </c>
      <c r="O9" s="452">
        <f t="shared" si="3"/>
        <v>0</v>
      </c>
      <c r="P9" s="452">
        <f t="shared" si="3"/>
        <v>0</v>
      </c>
      <c r="Q9" s="452"/>
      <c r="R9" s="452">
        <f t="shared" si="3"/>
        <v>0</v>
      </c>
      <c r="S9" s="445">
        <f t="shared" si="0"/>
        <v>0</v>
      </c>
      <c r="T9" s="445">
        <f t="shared" si="1"/>
        <v>0</v>
      </c>
      <c r="U9" s="445">
        <f t="shared" si="2"/>
        <v>0</v>
      </c>
      <c r="W9" s="450"/>
      <c r="X9" s="448"/>
      <c r="Y9" s="441"/>
      <c r="Z9" s="441"/>
      <c r="AA9" s="441"/>
      <c r="AB9" s="441"/>
      <c r="AC9" s="441"/>
      <c r="AD9" s="441"/>
      <c r="AE9" s="441"/>
      <c r="AF9" s="441"/>
      <c r="AG9" s="441"/>
      <c r="AH9" s="441"/>
      <c r="AI9" s="441"/>
      <c r="AJ9" s="441"/>
      <c r="AK9" s="441"/>
      <c r="AL9" s="441"/>
      <c r="AM9" s="441"/>
      <c r="AN9" s="441"/>
      <c r="AO9" s="441"/>
    </row>
    <row r="10" spans="1:41" ht="12.75" hidden="1" thickBot="1">
      <c r="A10" s="1" t="s">
        <v>1271</v>
      </c>
      <c r="B10" s="2" t="s">
        <v>368</v>
      </c>
      <c r="C10" s="2" t="s">
        <v>1200</v>
      </c>
      <c r="D10" s="8" t="s">
        <v>417</v>
      </c>
      <c r="E10" s="3">
        <f t="shared" si="3"/>
        <v>0</v>
      </c>
      <c r="F10" s="452">
        <f t="shared" si="3"/>
        <v>0</v>
      </c>
      <c r="G10" s="452">
        <f t="shared" si="3"/>
        <v>0</v>
      </c>
      <c r="H10" s="452">
        <f t="shared" si="3"/>
        <v>0</v>
      </c>
      <c r="I10" s="452">
        <f t="shared" si="3"/>
        <v>0</v>
      </c>
      <c r="J10" s="452">
        <f t="shared" si="3"/>
        <v>0</v>
      </c>
      <c r="K10" s="452">
        <f t="shared" si="3"/>
        <v>0</v>
      </c>
      <c r="L10" s="452">
        <f t="shared" si="3"/>
        <v>0</v>
      </c>
      <c r="M10" s="452">
        <f t="shared" si="3"/>
        <v>0</v>
      </c>
      <c r="N10" s="452">
        <f t="shared" si="3"/>
        <v>0</v>
      </c>
      <c r="O10" s="452">
        <f t="shared" si="3"/>
        <v>0</v>
      </c>
      <c r="P10" s="452">
        <f t="shared" si="3"/>
        <v>0</v>
      </c>
      <c r="Q10" s="452"/>
      <c r="R10" s="452">
        <f t="shared" si="3"/>
        <v>0</v>
      </c>
      <c r="S10" s="445">
        <f t="shared" si="0"/>
        <v>0</v>
      </c>
      <c r="T10" s="445">
        <f t="shared" si="1"/>
        <v>0</v>
      </c>
      <c r="U10" s="445">
        <f t="shared" si="2"/>
        <v>0</v>
      </c>
      <c r="W10" s="450"/>
      <c r="X10" s="448"/>
      <c r="Y10" s="441"/>
      <c r="Z10" s="441"/>
      <c r="AA10" s="441"/>
      <c r="AB10" s="441"/>
      <c r="AC10" s="441"/>
      <c r="AD10" s="441"/>
      <c r="AE10" s="441"/>
      <c r="AF10" s="441"/>
      <c r="AG10" s="441"/>
      <c r="AH10" s="441"/>
      <c r="AI10" s="441"/>
      <c r="AJ10" s="441"/>
      <c r="AK10" s="441"/>
      <c r="AL10" s="441"/>
      <c r="AM10" s="441"/>
      <c r="AN10" s="441"/>
      <c r="AO10" s="441"/>
    </row>
    <row r="11" spans="1:41" ht="12.75" hidden="1" thickBot="1">
      <c r="A11" s="1" t="s">
        <v>1271</v>
      </c>
      <c r="B11" s="2" t="s">
        <v>370</v>
      </c>
      <c r="C11" s="2" t="s">
        <v>118</v>
      </c>
      <c r="D11" s="8" t="s">
        <v>414</v>
      </c>
      <c r="E11" s="3">
        <f>ROUND(SUMIFS(E$1410:E$1613,$A$1410:$A$1613,$A11,$B$1410:$B$1613,$B11),0)</f>
        <v>31971164</v>
      </c>
      <c r="F11" s="452">
        <f>ROUND(SUMIFS(F$1410:F$1613,$A$1410:$A$1613,$A11,$B$1410:$B$1613,$B11),0)</f>
        <v>564405</v>
      </c>
      <c r="G11" s="452">
        <f t="shared" ref="G11:R11" si="4">ROUND(SUMIFS(G$1410:G$1613,$A$1410:$A$1613,$A11,$B$1410:$B$1613,$B11),0)</f>
        <v>1995640</v>
      </c>
      <c r="H11" s="452">
        <f t="shared" si="4"/>
        <v>871214</v>
      </c>
      <c r="I11" s="452">
        <f t="shared" si="4"/>
        <v>53392</v>
      </c>
      <c r="J11" s="452">
        <f t="shared" si="4"/>
        <v>0</v>
      </c>
      <c r="K11" s="452">
        <f t="shared" si="4"/>
        <v>0</v>
      </c>
      <c r="L11" s="452">
        <f t="shared" si="4"/>
        <v>41726</v>
      </c>
      <c r="M11" s="452">
        <f t="shared" si="4"/>
        <v>-81436</v>
      </c>
      <c r="N11" s="452">
        <f t="shared" si="4"/>
        <v>0</v>
      </c>
      <c r="O11" s="452">
        <f t="shared" si="4"/>
        <v>286967</v>
      </c>
      <c r="P11" s="452">
        <f t="shared" si="4"/>
        <v>0</v>
      </c>
      <c r="Q11" s="452"/>
      <c r="R11" s="452">
        <f t="shared" si="4"/>
        <v>3731907</v>
      </c>
      <c r="S11" s="445">
        <f t="shared" si="0"/>
        <v>2920246</v>
      </c>
      <c r="T11" s="445">
        <f t="shared" si="1"/>
        <v>0</v>
      </c>
      <c r="U11" s="445">
        <f t="shared" si="2"/>
        <v>286967</v>
      </c>
      <c r="W11" s="450"/>
      <c r="X11" s="448"/>
      <c r="Y11" s="441"/>
      <c r="Z11" s="441"/>
      <c r="AA11" s="441"/>
      <c r="AB11" s="441"/>
      <c r="AC11" s="441"/>
      <c r="AD11" s="441"/>
      <c r="AE11" s="441"/>
      <c r="AF11" s="441"/>
      <c r="AG11" s="441"/>
      <c r="AH11" s="441"/>
      <c r="AI11" s="441"/>
      <c r="AJ11" s="441"/>
      <c r="AK11" s="441"/>
      <c r="AL11" s="441"/>
      <c r="AM11" s="441"/>
      <c r="AN11" s="441"/>
      <c r="AO11" s="441"/>
    </row>
    <row r="12" spans="1:41" ht="12.75" hidden="1" thickBot="1">
      <c r="A12" s="1" t="s">
        <v>1271</v>
      </c>
      <c r="B12" s="2" t="s">
        <v>371</v>
      </c>
      <c r="C12" s="2" t="s">
        <v>1201</v>
      </c>
      <c r="D12" s="8" t="s">
        <v>414</v>
      </c>
      <c r="E12" s="3">
        <f t="shared" ref="E12:F44" si="5">ROUND(SUMIFS(E$1410:E$1613,$A$1410:$A$1613,$A12,$B$1410:$B$1613,$B12),0)</f>
        <v>0</v>
      </c>
      <c r="F12" s="452">
        <f t="shared" si="5"/>
        <v>0</v>
      </c>
      <c r="G12" s="452">
        <f t="shared" si="3"/>
        <v>0</v>
      </c>
      <c r="H12" s="452">
        <f t="shared" si="3"/>
        <v>0</v>
      </c>
      <c r="I12" s="452">
        <f t="shared" si="3"/>
        <v>0</v>
      </c>
      <c r="J12" s="452">
        <f t="shared" si="3"/>
        <v>0</v>
      </c>
      <c r="K12" s="452">
        <f t="shared" si="3"/>
        <v>0</v>
      </c>
      <c r="L12" s="452">
        <f t="shared" si="3"/>
        <v>0</v>
      </c>
      <c r="M12" s="452">
        <f t="shared" si="3"/>
        <v>0</v>
      </c>
      <c r="N12" s="452">
        <f t="shared" si="3"/>
        <v>0</v>
      </c>
      <c r="O12" s="452">
        <f t="shared" si="3"/>
        <v>0</v>
      </c>
      <c r="P12" s="452">
        <f t="shared" si="3"/>
        <v>0</v>
      </c>
      <c r="Q12" s="452"/>
      <c r="R12" s="452">
        <f t="shared" si="3"/>
        <v>0</v>
      </c>
      <c r="S12" s="445">
        <f t="shared" si="0"/>
        <v>0</v>
      </c>
      <c r="T12" s="445">
        <f t="shared" si="1"/>
        <v>0</v>
      </c>
      <c r="U12" s="445">
        <f t="shared" si="2"/>
        <v>0</v>
      </c>
      <c r="W12" s="450"/>
      <c r="X12" s="448"/>
      <c r="Y12" s="441"/>
      <c r="Z12" s="441"/>
      <c r="AA12" s="441"/>
      <c r="AB12" s="441"/>
      <c r="AC12" s="441"/>
      <c r="AD12" s="441"/>
      <c r="AE12" s="441"/>
      <c r="AF12" s="441"/>
      <c r="AG12" s="441"/>
      <c r="AH12" s="441"/>
      <c r="AI12" s="441"/>
      <c r="AJ12" s="441"/>
      <c r="AK12" s="441"/>
      <c r="AL12" s="441"/>
      <c r="AM12" s="441"/>
      <c r="AN12" s="441"/>
      <c r="AO12" s="441"/>
    </row>
    <row r="13" spans="1:41" ht="12.75" hidden="1" thickBot="1">
      <c r="A13" s="1" t="s">
        <v>1271</v>
      </c>
      <c r="B13" s="2" t="s">
        <v>372</v>
      </c>
      <c r="C13" s="2" t="s">
        <v>1202</v>
      </c>
      <c r="D13" s="8" t="s">
        <v>416</v>
      </c>
      <c r="E13" s="3">
        <f t="shared" si="5"/>
        <v>0</v>
      </c>
      <c r="F13" s="452">
        <f t="shared" si="5"/>
        <v>0</v>
      </c>
      <c r="G13" s="452">
        <f t="shared" si="3"/>
        <v>0</v>
      </c>
      <c r="H13" s="452">
        <f t="shared" si="3"/>
        <v>0</v>
      </c>
      <c r="I13" s="452">
        <f t="shared" si="3"/>
        <v>0</v>
      </c>
      <c r="J13" s="452">
        <f t="shared" si="3"/>
        <v>0</v>
      </c>
      <c r="K13" s="452">
        <f t="shared" si="3"/>
        <v>0</v>
      </c>
      <c r="L13" s="452">
        <f t="shared" si="3"/>
        <v>0</v>
      </c>
      <c r="M13" s="452">
        <f t="shared" si="3"/>
        <v>0</v>
      </c>
      <c r="N13" s="452">
        <f t="shared" si="3"/>
        <v>0</v>
      </c>
      <c r="O13" s="452">
        <f t="shared" si="3"/>
        <v>0</v>
      </c>
      <c r="P13" s="452">
        <f t="shared" si="3"/>
        <v>0</v>
      </c>
      <c r="Q13" s="452"/>
      <c r="R13" s="452">
        <f t="shared" si="3"/>
        <v>0</v>
      </c>
      <c r="S13" s="445">
        <f t="shared" si="0"/>
        <v>0</v>
      </c>
      <c r="T13" s="445">
        <f t="shared" si="1"/>
        <v>0</v>
      </c>
      <c r="U13" s="445">
        <f t="shared" si="2"/>
        <v>0</v>
      </c>
      <c r="W13" s="450"/>
      <c r="X13" s="448"/>
      <c r="Y13" s="441"/>
      <c r="Z13" s="441"/>
      <c r="AA13" s="441"/>
      <c r="AB13" s="441"/>
      <c r="AC13" s="441"/>
      <c r="AD13" s="441"/>
      <c r="AE13" s="441"/>
      <c r="AF13" s="441"/>
      <c r="AG13" s="441"/>
      <c r="AH13" s="441"/>
      <c r="AI13" s="441"/>
      <c r="AJ13" s="441"/>
      <c r="AK13" s="441"/>
      <c r="AL13" s="441"/>
      <c r="AM13" s="441"/>
      <c r="AN13" s="441"/>
      <c r="AO13" s="441"/>
    </row>
    <row r="14" spans="1:41" ht="12.75" hidden="1" thickBot="1">
      <c r="A14" s="1" t="s">
        <v>1271</v>
      </c>
      <c r="B14" s="2" t="s">
        <v>374</v>
      </c>
      <c r="C14" s="2" t="s">
        <v>415</v>
      </c>
      <c r="D14" s="8" t="s">
        <v>414</v>
      </c>
      <c r="E14" s="3">
        <f t="shared" si="5"/>
        <v>0</v>
      </c>
      <c r="F14" s="452">
        <f t="shared" si="5"/>
        <v>0</v>
      </c>
      <c r="G14" s="452">
        <f t="shared" si="3"/>
        <v>0</v>
      </c>
      <c r="H14" s="452">
        <f t="shared" si="3"/>
        <v>0</v>
      </c>
      <c r="I14" s="452">
        <f t="shared" si="3"/>
        <v>0</v>
      </c>
      <c r="J14" s="452">
        <f t="shared" si="3"/>
        <v>0</v>
      </c>
      <c r="K14" s="452">
        <f t="shared" si="3"/>
        <v>0</v>
      </c>
      <c r="L14" s="452">
        <f t="shared" si="3"/>
        <v>0</v>
      </c>
      <c r="M14" s="452">
        <f t="shared" si="3"/>
        <v>0</v>
      </c>
      <c r="N14" s="452">
        <f t="shared" si="3"/>
        <v>0</v>
      </c>
      <c r="O14" s="452">
        <f t="shared" si="3"/>
        <v>0</v>
      </c>
      <c r="P14" s="452">
        <f t="shared" si="3"/>
        <v>0</v>
      </c>
      <c r="Q14" s="452"/>
      <c r="R14" s="452">
        <f t="shared" si="3"/>
        <v>0</v>
      </c>
      <c r="S14" s="445">
        <f t="shared" si="0"/>
        <v>0</v>
      </c>
      <c r="T14" s="445">
        <f t="shared" si="1"/>
        <v>0</v>
      </c>
      <c r="U14" s="445">
        <f t="shared" si="2"/>
        <v>0</v>
      </c>
      <c r="W14" s="450"/>
      <c r="X14" s="448"/>
      <c r="Y14" s="441"/>
      <c r="Z14" s="441"/>
      <c r="AA14" s="441"/>
      <c r="AB14" s="441"/>
      <c r="AC14" s="441"/>
      <c r="AD14" s="441"/>
      <c r="AE14" s="441"/>
      <c r="AF14" s="441"/>
      <c r="AG14" s="441"/>
      <c r="AH14" s="441"/>
      <c r="AI14" s="441"/>
      <c r="AJ14" s="441"/>
      <c r="AK14" s="441"/>
      <c r="AL14" s="441"/>
      <c r="AM14" s="441"/>
      <c r="AN14" s="441"/>
      <c r="AO14" s="441"/>
    </row>
    <row r="15" spans="1:41" ht="12.75" hidden="1" thickBot="1">
      <c r="A15" s="1" t="s">
        <v>1271</v>
      </c>
      <c r="B15" s="2" t="s">
        <v>375</v>
      </c>
      <c r="C15" s="2" t="s">
        <v>406</v>
      </c>
      <c r="D15" s="8" t="s">
        <v>20</v>
      </c>
      <c r="E15" s="3">
        <f t="shared" si="5"/>
        <v>134413194</v>
      </c>
      <c r="F15" s="452">
        <f t="shared" si="5"/>
        <v>232650</v>
      </c>
      <c r="G15" s="452">
        <f t="shared" si="3"/>
        <v>1794416</v>
      </c>
      <c r="H15" s="452">
        <f t="shared" si="3"/>
        <v>3662760</v>
      </c>
      <c r="I15" s="452">
        <f t="shared" si="3"/>
        <v>0</v>
      </c>
      <c r="J15" s="452">
        <f t="shared" si="3"/>
        <v>164347</v>
      </c>
      <c r="K15" s="452">
        <f t="shared" si="3"/>
        <v>4632540</v>
      </c>
      <c r="L15" s="452">
        <f t="shared" si="3"/>
        <v>175424</v>
      </c>
      <c r="M15" s="452">
        <f t="shared" si="3"/>
        <v>-342375</v>
      </c>
      <c r="N15" s="452">
        <f t="shared" si="3"/>
        <v>0</v>
      </c>
      <c r="O15" s="452">
        <f t="shared" si="3"/>
        <v>1206466</v>
      </c>
      <c r="P15" s="452">
        <f t="shared" si="3"/>
        <v>0</v>
      </c>
      <c r="Q15" s="452"/>
      <c r="R15" s="452">
        <f t="shared" si="3"/>
        <v>11526227</v>
      </c>
      <c r="S15" s="445">
        <f t="shared" si="0"/>
        <v>5457176</v>
      </c>
      <c r="T15" s="445">
        <f t="shared" si="1"/>
        <v>4796887</v>
      </c>
      <c r="U15" s="445">
        <f t="shared" si="2"/>
        <v>1206466</v>
      </c>
      <c r="W15" s="450"/>
      <c r="X15" s="448"/>
      <c r="Y15" s="441"/>
      <c r="Z15" s="441"/>
      <c r="AA15" s="441"/>
      <c r="AB15" s="441"/>
      <c r="AC15" s="441"/>
      <c r="AD15" s="441"/>
      <c r="AE15" s="441"/>
      <c r="AF15" s="441"/>
      <c r="AG15" s="441"/>
      <c r="AH15" s="441"/>
      <c r="AI15" s="441"/>
      <c r="AJ15" s="441"/>
      <c r="AK15" s="441"/>
      <c r="AL15" s="441"/>
      <c r="AM15" s="441"/>
      <c r="AN15" s="441"/>
      <c r="AO15" s="441"/>
    </row>
    <row r="16" spans="1:41" ht="12.75" hidden="1" thickBot="1">
      <c r="A16" s="1" t="s">
        <v>1271</v>
      </c>
      <c r="B16" s="2" t="s">
        <v>376</v>
      </c>
      <c r="C16" s="2" t="s">
        <v>404</v>
      </c>
      <c r="D16" s="8" t="s">
        <v>21</v>
      </c>
      <c r="E16" s="3">
        <f t="shared" si="5"/>
        <v>11527513</v>
      </c>
      <c r="F16" s="452">
        <f t="shared" si="5"/>
        <v>8840</v>
      </c>
      <c r="G16" s="452">
        <f t="shared" si="3"/>
        <v>138445</v>
      </c>
      <c r="H16" s="452">
        <f t="shared" si="3"/>
        <v>314125</v>
      </c>
      <c r="I16" s="452">
        <f t="shared" si="3"/>
        <v>0</v>
      </c>
      <c r="J16" s="452">
        <f t="shared" si="3"/>
        <v>13780</v>
      </c>
      <c r="K16" s="452">
        <f t="shared" si="3"/>
        <v>320965</v>
      </c>
      <c r="L16" s="452">
        <f t="shared" si="3"/>
        <v>15045</v>
      </c>
      <c r="M16" s="452">
        <f t="shared" si="3"/>
        <v>-29363</v>
      </c>
      <c r="N16" s="452">
        <f t="shared" si="3"/>
        <v>0</v>
      </c>
      <c r="O16" s="452">
        <f t="shared" si="3"/>
        <v>103469</v>
      </c>
      <c r="P16" s="452">
        <f t="shared" si="3"/>
        <v>0</v>
      </c>
      <c r="Q16" s="452"/>
      <c r="R16" s="452">
        <f t="shared" si="3"/>
        <v>885306</v>
      </c>
      <c r="S16" s="445">
        <f t="shared" si="0"/>
        <v>452570</v>
      </c>
      <c r="T16" s="445">
        <f t="shared" si="1"/>
        <v>334745</v>
      </c>
      <c r="U16" s="445">
        <f t="shared" si="2"/>
        <v>103469</v>
      </c>
      <c r="W16" s="450"/>
      <c r="X16" s="448"/>
      <c r="Y16" s="441"/>
      <c r="Z16" s="441"/>
      <c r="AA16" s="441"/>
      <c r="AB16" s="441"/>
      <c r="AC16" s="441"/>
      <c r="AD16" s="441"/>
      <c r="AE16" s="441"/>
      <c r="AF16" s="441"/>
      <c r="AG16" s="441"/>
      <c r="AH16" s="441"/>
      <c r="AI16" s="441"/>
      <c r="AJ16" s="441"/>
      <c r="AK16" s="441"/>
      <c r="AL16" s="441"/>
      <c r="AM16" s="441"/>
      <c r="AN16" s="441"/>
      <c r="AO16" s="441"/>
    </row>
    <row r="17" spans="1:41" ht="12.75" hidden="1" thickBot="1">
      <c r="A17" s="1" t="s">
        <v>1271</v>
      </c>
      <c r="B17" s="2" t="s">
        <v>377</v>
      </c>
      <c r="C17" s="2" t="s">
        <v>407</v>
      </c>
      <c r="D17" s="8" t="s">
        <v>20</v>
      </c>
      <c r="E17" s="3">
        <f t="shared" si="5"/>
        <v>0</v>
      </c>
      <c r="F17" s="452">
        <f t="shared" si="5"/>
        <v>0</v>
      </c>
      <c r="G17" s="452">
        <f t="shared" si="3"/>
        <v>0</v>
      </c>
      <c r="H17" s="452">
        <f t="shared" si="3"/>
        <v>0</v>
      </c>
      <c r="I17" s="452">
        <f t="shared" si="3"/>
        <v>0</v>
      </c>
      <c r="J17" s="452">
        <f t="shared" si="3"/>
        <v>0</v>
      </c>
      <c r="K17" s="452">
        <f t="shared" si="3"/>
        <v>0</v>
      </c>
      <c r="L17" s="452">
        <f t="shared" si="3"/>
        <v>0</v>
      </c>
      <c r="M17" s="452">
        <f t="shared" si="3"/>
        <v>0</v>
      </c>
      <c r="N17" s="452">
        <f t="shared" si="3"/>
        <v>0</v>
      </c>
      <c r="O17" s="452">
        <f t="shared" si="3"/>
        <v>0</v>
      </c>
      <c r="P17" s="452">
        <f t="shared" si="3"/>
        <v>0</v>
      </c>
      <c r="Q17" s="452"/>
      <c r="R17" s="452">
        <f t="shared" si="3"/>
        <v>0</v>
      </c>
      <c r="S17" s="445">
        <f t="shared" si="0"/>
        <v>0</v>
      </c>
      <c r="T17" s="445">
        <f t="shared" si="1"/>
        <v>0</v>
      </c>
      <c r="U17" s="445">
        <f t="shared" si="2"/>
        <v>0</v>
      </c>
      <c r="W17" s="450"/>
      <c r="X17" s="448"/>
      <c r="Y17" s="441"/>
      <c r="Z17" s="441"/>
      <c r="AA17" s="441"/>
      <c r="AB17" s="441"/>
      <c r="AC17" s="441"/>
      <c r="AD17" s="441"/>
      <c r="AE17" s="441"/>
      <c r="AF17" s="441"/>
      <c r="AG17" s="441"/>
      <c r="AH17" s="441"/>
      <c r="AI17" s="441"/>
      <c r="AJ17" s="441"/>
      <c r="AK17" s="441"/>
      <c r="AL17" s="441"/>
      <c r="AM17" s="441"/>
      <c r="AN17" s="441"/>
      <c r="AO17" s="441"/>
    </row>
    <row r="18" spans="1:41" ht="12.75" hidden="1" thickBot="1">
      <c r="A18" s="1" t="s">
        <v>1271</v>
      </c>
      <c r="B18" s="2" t="s">
        <v>378</v>
      </c>
      <c r="C18" s="2" t="s">
        <v>1033</v>
      </c>
      <c r="D18" s="8" t="s">
        <v>1006</v>
      </c>
      <c r="E18" s="3">
        <f t="shared" si="5"/>
        <v>58180400</v>
      </c>
      <c r="F18" s="452">
        <f t="shared" si="5"/>
        <v>44400</v>
      </c>
      <c r="G18" s="452">
        <f t="shared" si="3"/>
        <v>735982</v>
      </c>
      <c r="H18" s="452">
        <f t="shared" si="3"/>
        <v>1585416</v>
      </c>
      <c r="I18" s="452">
        <f t="shared" si="3"/>
        <v>0</v>
      </c>
      <c r="J18" s="452">
        <f t="shared" si="3"/>
        <v>53497</v>
      </c>
      <c r="K18" s="452">
        <f t="shared" si="3"/>
        <v>1564434</v>
      </c>
      <c r="L18" s="452">
        <f t="shared" si="3"/>
        <v>75932</v>
      </c>
      <c r="M18" s="452">
        <f t="shared" si="3"/>
        <v>-148196</v>
      </c>
      <c r="N18" s="452">
        <f t="shared" si="3"/>
        <v>0</v>
      </c>
      <c r="O18" s="452">
        <f t="shared" si="3"/>
        <v>522216</v>
      </c>
      <c r="P18" s="452">
        <f t="shared" si="3"/>
        <v>0</v>
      </c>
      <c r="Q18" s="452"/>
      <c r="R18" s="452">
        <f t="shared" si="3"/>
        <v>4433680</v>
      </c>
      <c r="S18" s="445">
        <f t="shared" si="0"/>
        <v>2321398</v>
      </c>
      <c r="T18" s="445">
        <f t="shared" si="1"/>
        <v>1617931</v>
      </c>
      <c r="U18" s="445">
        <f t="shared" si="2"/>
        <v>522216</v>
      </c>
      <c r="W18" s="450"/>
      <c r="X18" s="448"/>
      <c r="Y18" s="441"/>
      <c r="Z18" s="441"/>
      <c r="AA18" s="441"/>
      <c r="AB18" s="441"/>
      <c r="AC18" s="441"/>
      <c r="AD18" s="441"/>
      <c r="AE18" s="441"/>
      <c r="AF18" s="441"/>
      <c r="AG18" s="441"/>
      <c r="AH18" s="441"/>
      <c r="AI18" s="441"/>
      <c r="AJ18" s="441"/>
      <c r="AK18" s="441"/>
      <c r="AL18" s="441"/>
      <c r="AM18" s="441"/>
      <c r="AN18" s="441"/>
      <c r="AO18" s="441"/>
    </row>
    <row r="19" spans="1:41" ht="12.75" hidden="1" thickBot="1">
      <c r="A19" s="1" t="s">
        <v>1271</v>
      </c>
      <c r="B19" s="2" t="s">
        <v>379</v>
      </c>
      <c r="C19" s="2" t="s">
        <v>408</v>
      </c>
      <c r="D19" s="8" t="s">
        <v>409</v>
      </c>
      <c r="E19" s="3">
        <f t="shared" si="5"/>
        <v>28843197</v>
      </c>
      <c r="F19" s="452">
        <f t="shared" si="5"/>
        <v>12000</v>
      </c>
      <c r="G19" s="452">
        <f t="shared" si="3"/>
        <v>312949</v>
      </c>
      <c r="H19" s="452">
        <f t="shared" si="3"/>
        <v>785977</v>
      </c>
      <c r="I19" s="452">
        <f t="shared" si="3"/>
        <v>0</v>
      </c>
      <c r="J19" s="452">
        <f t="shared" si="3"/>
        <v>25734</v>
      </c>
      <c r="K19" s="452">
        <f t="shared" si="3"/>
        <v>820786</v>
      </c>
      <c r="L19" s="452">
        <f t="shared" si="3"/>
        <v>37643</v>
      </c>
      <c r="M19" s="452">
        <f t="shared" si="3"/>
        <v>-73469</v>
      </c>
      <c r="N19" s="452">
        <f t="shared" si="3"/>
        <v>0</v>
      </c>
      <c r="O19" s="452">
        <f t="shared" si="3"/>
        <v>258891</v>
      </c>
      <c r="P19" s="452">
        <f t="shared" si="3"/>
        <v>0</v>
      </c>
      <c r="Q19" s="452"/>
      <c r="R19" s="452">
        <f t="shared" si="3"/>
        <v>2180511</v>
      </c>
      <c r="S19" s="445">
        <f t="shared" si="0"/>
        <v>1098926</v>
      </c>
      <c r="T19" s="445">
        <f t="shared" si="1"/>
        <v>846520</v>
      </c>
      <c r="U19" s="445">
        <f t="shared" si="2"/>
        <v>258891</v>
      </c>
      <c r="W19" s="450"/>
      <c r="X19" s="448"/>
      <c r="Y19" s="441"/>
      <c r="Z19" s="441"/>
      <c r="AA19" s="441"/>
      <c r="AB19" s="441"/>
      <c r="AC19" s="441"/>
      <c r="AD19" s="441"/>
      <c r="AE19" s="441"/>
      <c r="AF19" s="441"/>
      <c r="AG19" s="441"/>
      <c r="AH19" s="441"/>
      <c r="AI19" s="441"/>
      <c r="AJ19" s="441"/>
      <c r="AK19" s="441"/>
      <c r="AL19" s="441"/>
      <c r="AM19" s="441"/>
      <c r="AN19" s="441"/>
      <c r="AO19" s="441"/>
    </row>
    <row r="20" spans="1:41" ht="12.75" hidden="1" thickBot="1">
      <c r="A20" s="1" t="s">
        <v>1271</v>
      </c>
      <c r="B20" s="2" t="s">
        <v>381</v>
      </c>
      <c r="C20" s="2" t="s">
        <v>59</v>
      </c>
      <c r="D20" s="8" t="s">
        <v>14</v>
      </c>
      <c r="E20" s="3">
        <f t="shared" si="5"/>
        <v>81564370</v>
      </c>
      <c r="F20" s="452">
        <f t="shared" si="5"/>
        <v>573501</v>
      </c>
      <c r="G20" s="452">
        <f t="shared" si="3"/>
        <v>5091248</v>
      </c>
      <c r="H20" s="452">
        <f t="shared" si="3"/>
        <v>2222629</v>
      </c>
      <c r="I20" s="452">
        <f t="shared" si="3"/>
        <v>136212</v>
      </c>
      <c r="J20" s="452">
        <f t="shared" si="3"/>
        <v>0</v>
      </c>
      <c r="K20" s="452">
        <f t="shared" si="3"/>
        <v>0</v>
      </c>
      <c r="L20" s="452">
        <f t="shared" si="3"/>
        <v>106450</v>
      </c>
      <c r="M20" s="452">
        <f t="shared" si="3"/>
        <v>-207760</v>
      </c>
      <c r="N20" s="452">
        <f t="shared" si="3"/>
        <v>0</v>
      </c>
      <c r="O20" s="452">
        <f t="shared" si="3"/>
        <v>732105</v>
      </c>
      <c r="P20" s="452">
        <f t="shared" si="3"/>
        <v>0</v>
      </c>
      <c r="Q20" s="452"/>
      <c r="R20" s="452">
        <f t="shared" si="3"/>
        <v>8654387</v>
      </c>
      <c r="S20" s="445">
        <f t="shared" si="0"/>
        <v>7450089</v>
      </c>
      <c r="T20" s="445">
        <f t="shared" si="1"/>
        <v>0</v>
      </c>
      <c r="U20" s="445">
        <f t="shared" si="2"/>
        <v>732105</v>
      </c>
      <c r="W20" s="450"/>
      <c r="X20" s="448"/>
      <c r="Y20" s="441"/>
      <c r="Z20" s="441"/>
      <c r="AA20" s="441"/>
      <c r="AB20" s="441"/>
      <c r="AC20" s="441"/>
      <c r="AD20" s="441"/>
      <c r="AE20" s="441"/>
      <c r="AF20" s="441"/>
      <c r="AG20" s="441"/>
      <c r="AH20" s="441"/>
      <c r="AI20" s="441"/>
      <c r="AJ20" s="441"/>
      <c r="AK20" s="441"/>
      <c r="AL20" s="441"/>
      <c r="AM20" s="441"/>
      <c r="AN20" s="441"/>
      <c r="AO20" s="441"/>
    </row>
    <row r="21" spans="1:41" ht="12.75" hidden="1" thickBot="1">
      <c r="A21" s="1" t="s">
        <v>1271</v>
      </c>
      <c r="B21" s="2" t="s">
        <v>382</v>
      </c>
      <c r="C21" s="2" t="s">
        <v>1203</v>
      </c>
      <c r="D21" s="8" t="s">
        <v>14</v>
      </c>
      <c r="E21" s="3">
        <f t="shared" si="5"/>
        <v>0</v>
      </c>
      <c r="F21" s="452">
        <f t="shared" si="5"/>
        <v>0</v>
      </c>
      <c r="G21" s="452">
        <f t="shared" si="3"/>
        <v>0</v>
      </c>
      <c r="H21" s="452">
        <f t="shared" si="3"/>
        <v>0</v>
      </c>
      <c r="I21" s="452">
        <f t="shared" si="3"/>
        <v>0</v>
      </c>
      <c r="J21" s="452">
        <f t="shared" si="3"/>
        <v>0</v>
      </c>
      <c r="K21" s="452">
        <f t="shared" si="3"/>
        <v>0</v>
      </c>
      <c r="L21" s="452">
        <f t="shared" si="3"/>
        <v>0</v>
      </c>
      <c r="M21" s="452">
        <f t="shared" si="3"/>
        <v>0</v>
      </c>
      <c r="N21" s="452">
        <f t="shared" si="3"/>
        <v>0</v>
      </c>
      <c r="O21" s="452">
        <f t="shared" si="3"/>
        <v>0</v>
      </c>
      <c r="P21" s="452">
        <f t="shared" si="3"/>
        <v>0</v>
      </c>
      <c r="Q21" s="452"/>
      <c r="R21" s="452">
        <f t="shared" si="3"/>
        <v>0</v>
      </c>
      <c r="S21" s="445">
        <f t="shared" si="0"/>
        <v>0</v>
      </c>
      <c r="T21" s="445">
        <f t="shared" si="1"/>
        <v>0</v>
      </c>
      <c r="U21" s="445">
        <f t="shared" si="2"/>
        <v>0</v>
      </c>
      <c r="W21" s="450"/>
      <c r="X21" s="448"/>
      <c r="Y21" s="441"/>
      <c r="Z21" s="441"/>
      <c r="AA21" s="441"/>
      <c r="AB21" s="441"/>
      <c r="AC21" s="441"/>
      <c r="AD21" s="441"/>
      <c r="AE21" s="441"/>
      <c r="AF21" s="441"/>
      <c r="AG21" s="441"/>
      <c r="AH21" s="441"/>
      <c r="AI21" s="441"/>
      <c r="AJ21" s="441"/>
      <c r="AK21" s="441"/>
      <c r="AL21" s="441"/>
      <c r="AM21" s="441"/>
      <c r="AN21" s="441"/>
      <c r="AO21" s="441"/>
    </row>
    <row r="22" spans="1:41" ht="12.75" hidden="1" thickBot="1">
      <c r="A22" s="1" t="s">
        <v>1271</v>
      </c>
      <c r="B22" s="2" t="s">
        <v>384</v>
      </c>
      <c r="C22" s="2" t="s">
        <v>413</v>
      </c>
      <c r="D22" s="8" t="s">
        <v>14</v>
      </c>
      <c r="E22" s="3">
        <f t="shared" si="5"/>
        <v>0</v>
      </c>
      <c r="F22" s="452">
        <f t="shared" si="5"/>
        <v>0</v>
      </c>
      <c r="G22" s="452">
        <f t="shared" si="3"/>
        <v>0</v>
      </c>
      <c r="H22" s="452">
        <f t="shared" si="3"/>
        <v>0</v>
      </c>
      <c r="I22" s="452">
        <f t="shared" si="3"/>
        <v>0</v>
      </c>
      <c r="J22" s="452">
        <f t="shared" si="3"/>
        <v>0</v>
      </c>
      <c r="K22" s="452">
        <f t="shared" si="3"/>
        <v>0</v>
      </c>
      <c r="L22" s="452">
        <f t="shared" si="3"/>
        <v>0</v>
      </c>
      <c r="M22" s="452">
        <f t="shared" si="3"/>
        <v>0</v>
      </c>
      <c r="N22" s="452">
        <f t="shared" si="3"/>
        <v>0</v>
      </c>
      <c r="O22" s="452">
        <f t="shared" si="3"/>
        <v>0</v>
      </c>
      <c r="P22" s="452">
        <f t="shared" si="3"/>
        <v>0</v>
      </c>
      <c r="Q22" s="452"/>
      <c r="R22" s="452">
        <f t="shared" si="3"/>
        <v>0</v>
      </c>
      <c r="S22" s="445">
        <f t="shared" si="0"/>
        <v>0</v>
      </c>
      <c r="T22" s="445">
        <f t="shared" si="1"/>
        <v>0</v>
      </c>
      <c r="U22" s="445">
        <f t="shared" si="2"/>
        <v>0</v>
      </c>
      <c r="W22" s="450"/>
      <c r="X22" s="448"/>
      <c r="Y22" s="441"/>
      <c r="Z22" s="441"/>
      <c r="AA22" s="441"/>
      <c r="AB22" s="441"/>
      <c r="AC22" s="441"/>
      <c r="AD22" s="441"/>
      <c r="AE22" s="441"/>
      <c r="AF22" s="441"/>
      <c r="AG22" s="441"/>
      <c r="AH22" s="441"/>
      <c r="AI22" s="441"/>
      <c r="AJ22" s="441"/>
      <c r="AK22" s="441"/>
      <c r="AL22" s="441"/>
      <c r="AM22" s="441"/>
      <c r="AN22" s="441"/>
      <c r="AO22" s="441"/>
    </row>
    <row r="23" spans="1:41" ht="12.75" hidden="1" thickBot="1">
      <c r="A23" s="1" t="s">
        <v>1271</v>
      </c>
      <c r="B23" s="2" t="s">
        <v>385</v>
      </c>
      <c r="C23" s="2" t="s">
        <v>424</v>
      </c>
      <c r="D23" s="8" t="s">
        <v>425</v>
      </c>
      <c r="E23" s="3">
        <f t="shared" si="5"/>
        <v>5498880</v>
      </c>
      <c r="F23" s="452">
        <f t="shared" si="5"/>
        <v>0</v>
      </c>
      <c r="G23" s="452">
        <f t="shared" si="3"/>
        <v>53724</v>
      </c>
      <c r="H23" s="452">
        <f t="shared" si="3"/>
        <v>149844</v>
      </c>
      <c r="I23" s="452">
        <f t="shared" si="3"/>
        <v>0</v>
      </c>
      <c r="J23" s="452">
        <f t="shared" si="3"/>
        <v>3444</v>
      </c>
      <c r="K23" s="452">
        <f t="shared" si="3"/>
        <v>92886</v>
      </c>
      <c r="L23" s="452">
        <f t="shared" si="3"/>
        <v>0</v>
      </c>
      <c r="M23" s="452">
        <f t="shared" si="3"/>
        <v>-14007</v>
      </c>
      <c r="N23" s="452">
        <f t="shared" si="3"/>
        <v>0</v>
      </c>
      <c r="O23" s="452">
        <f t="shared" si="3"/>
        <v>49357</v>
      </c>
      <c r="P23" s="452">
        <f t="shared" si="3"/>
        <v>0</v>
      </c>
      <c r="Q23" s="452"/>
      <c r="R23" s="452">
        <f t="shared" si="3"/>
        <v>335248</v>
      </c>
      <c r="S23" s="445">
        <f t="shared" si="0"/>
        <v>203568</v>
      </c>
      <c r="T23" s="445">
        <f t="shared" si="1"/>
        <v>96330</v>
      </c>
      <c r="U23" s="445">
        <f t="shared" si="2"/>
        <v>49357</v>
      </c>
      <c r="W23" s="450"/>
      <c r="X23" s="448"/>
      <c r="Y23" s="441"/>
      <c r="Z23" s="441"/>
      <c r="AA23" s="441"/>
      <c r="AB23" s="441"/>
      <c r="AC23" s="441"/>
      <c r="AD23" s="441"/>
      <c r="AE23" s="441"/>
      <c r="AF23" s="441"/>
      <c r="AG23" s="441"/>
      <c r="AH23" s="441"/>
      <c r="AI23" s="441"/>
      <c r="AJ23" s="441"/>
      <c r="AK23" s="441"/>
      <c r="AL23" s="441"/>
      <c r="AM23" s="441"/>
      <c r="AN23" s="441"/>
      <c r="AO23" s="441"/>
    </row>
    <row r="24" spans="1:41" ht="12.75" hidden="1" thickBot="1">
      <c r="A24" s="1" t="s">
        <v>1271</v>
      </c>
      <c r="B24" s="2" t="s">
        <v>1223</v>
      </c>
      <c r="C24" s="2" t="s">
        <v>1224</v>
      </c>
      <c r="D24" s="8" t="s">
        <v>63</v>
      </c>
      <c r="E24" s="3">
        <f t="shared" si="5"/>
        <v>0</v>
      </c>
      <c r="F24" s="452">
        <f t="shared" si="5"/>
        <v>0</v>
      </c>
      <c r="G24" s="452">
        <f t="shared" si="3"/>
        <v>0</v>
      </c>
      <c r="H24" s="452">
        <f t="shared" si="3"/>
        <v>0</v>
      </c>
      <c r="I24" s="452">
        <f t="shared" si="3"/>
        <v>0</v>
      </c>
      <c r="J24" s="452">
        <f t="shared" si="3"/>
        <v>0</v>
      </c>
      <c r="K24" s="452">
        <f t="shared" si="3"/>
        <v>0</v>
      </c>
      <c r="L24" s="452">
        <f t="shared" si="3"/>
        <v>0</v>
      </c>
      <c r="M24" s="452">
        <f t="shared" si="3"/>
        <v>0</v>
      </c>
      <c r="N24" s="452">
        <f t="shared" si="3"/>
        <v>0</v>
      </c>
      <c r="O24" s="452">
        <f t="shared" si="3"/>
        <v>0</v>
      </c>
      <c r="P24" s="452">
        <f t="shared" si="3"/>
        <v>-286526</v>
      </c>
      <c r="Q24" s="452"/>
      <c r="R24" s="452">
        <f t="shared" si="3"/>
        <v>-286526</v>
      </c>
      <c r="S24" s="445">
        <f t="shared" si="0"/>
        <v>0</v>
      </c>
      <c r="T24" s="445">
        <f t="shared" si="1"/>
        <v>0</v>
      </c>
      <c r="U24" s="445">
        <f t="shared" si="2"/>
        <v>0</v>
      </c>
      <c r="W24" s="450"/>
      <c r="X24" s="448"/>
      <c r="Y24" s="441"/>
      <c r="Z24" s="441"/>
      <c r="AA24" s="441"/>
      <c r="AB24" s="441"/>
      <c r="AC24" s="441"/>
      <c r="AD24" s="441"/>
      <c r="AE24" s="441"/>
      <c r="AF24" s="441"/>
      <c r="AG24" s="441"/>
      <c r="AH24" s="441"/>
      <c r="AI24" s="441"/>
      <c r="AJ24" s="441"/>
      <c r="AK24" s="441"/>
      <c r="AL24" s="441"/>
      <c r="AM24" s="441"/>
      <c r="AN24" s="441"/>
      <c r="AO24" s="441"/>
    </row>
    <row r="25" spans="1:41" ht="12.75" hidden="1" thickBot="1">
      <c r="A25" s="1" t="s">
        <v>1271</v>
      </c>
      <c r="B25" s="2" t="s">
        <v>386</v>
      </c>
      <c r="C25" s="2" t="s">
        <v>405</v>
      </c>
      <c r="D25" s="8" t="s">
        <v>63</v>
      </c>
      <c r="E25" s="3">
        <f t="shared" si="5"/>
        <v>0</v>
      </c>
      <c r="F25" s="452">
        <f t="shared" si="5"/>
        <v>0</v>
      </c>
      <c r="G25" s="452">
        <f t="shared" si="3"/>
        <v>0</v>
      </c>
      <c r="H25" s="452">
        <f t="shared" si="3"/>
        <v>0</v>
      </c>
      <c r="I25" s="452">
        <f t="shared" si="3"/>
        <v>0</v>
      </c>
      <c r="J25" s="452">
        <f t="shared" si="3"/>
        <v>0</v>
      </c>
      <c r="K25" s="452">
        <f t="shared" si="3"/>
        <v>0</v>
      </c>
      <c r="L25" s="452">
        <f t="shared" si="3"/>
        <v>0</v>
      </c>
      <c r="M25" s="452">
        <f t="shared" si="3"/>
        <v>0</v>
      </c>
      <c r="N25" s="452">
        <f t="shared" si="3"/>
        <v>0</v>
      </c>
      <c r="O25" s="452">
        <f t="shared" si="3"/>
        <v>0</v>
      </c>
      <c r="P25" s="452">
        <f t="shared" si="3"/>
        <v>0</v>
      </c>
      <c r="Q25" s="452"/>
      <c r="R25" s="452">
        <f t="shared" si="3"/>
        <v>0</v>
      </c>
      <c r="S25" s="445">
        <f t="shared" si="0"/>
        <v>0</v>
      </c>
      <c r="T25" s="445">
        <f t="shared" si="1"/>
        <v>0</v>
      </c>
      <c r="U25" s="445">
        <f t="shared" si="2"/>
        <v>0</v>
      </c>
      <c r="W25" s="450"/>
      <c r="X25" s="448"/>
      <c r="Y25" s="441"/>
      <c r="Z25" s="441"/>
      <c r="AA25" s="441"/>
      <c r="AB25" s="441"/>
      <c r="AC25" s="441"/>
      <c r="AD25" s="441"/>
      <c r="AE25" s="441"/>
      <c r="AF25" s="441"/>
      <c r="AG25" s="441"/>
      <c r="AH25" s="441"/>
      <c r="AI25" s="441"/>
      <c r="AJ25" s="441"/>
      <c r="AK25" s="441"/>
      <c r="AL25" s="441"/>
      <c r="AM25" s="441"/>
      <c r="AN25" s="441"/>
      <c r="AO25" s="441"/>
    </row>
    <row r="26" spans="1:41" ht="12.75" hidden="1" thickBot="1">
      <c r="A26" s="1" t="s">
        <v>1271</v>
      </c>
      <c r="B26" s="2" t="s">
        <v>803</v>
      </c>
      <c r="C26" s="2" t="s">
        <v>804</v>
      </c>
      <c r="D26" s="8" t="s">
        <v>1205</v>
      </c>
      <c r="E26" s="3">
        <f t="shared" si="5"/>
        <v>0</v>
      </c>
      <c r="F26" s="452">
        <f t="shared" si="5"/>
        <v>0</v>
      </c>
      <c r="G26" s="452">
        <f t="shared" si="3"/>
        <v>0</v>
      </c>
      <c r="H26" s="452">
        <f t="shared" si="3"/>
        <v>0</v>
      </c>
      <c r="I26" s="452">
        <f t="shared" si="3"/>
        <v>0</v>
      </c>
      <c r="J26" s="452">
        <f t="shared" si="3"/>
        <v>0</v>
      </c>
      <c r="K26" s="452">
        <f t="shared" si="3"/>
        <v>0</v>
      </c>
      <c r="L26" s="452">
        <f t="shared" si="3"/>
        <v>0</v>
      </c>
      <c r="M26" s="452">
        <f t="shared" si="3"/>
        <v>0</v>
      </c>
      <c r="N26" s="452">
        <f t="shared" si="3"/>
        <v>0</v>
      </c>
      <c r="O26" s="452">
        <f t="shared" si="3"/>
        <v>0</v>
      </c>
      <c r="P26" s="452">
        <f t="shared" si="3"/>
        <v>0</v>
      </c>
      <c r="Q26" s="452"/>
      <c r="R26" s="452">
        <f t="shared" si="3"/>
        <v>0</v>
      </c>
      <c r="S26" s="445">
        <f t="shared" si="0"/>
        <v>0</v>
      </c>
      <c r="T26" s="445">
        <f t="shared" si="1"/>
        <v>0</v>
      </c>
      <c r="U26" s="445">
        <f t="shared" si="2"/>
        <v>0</v>
      </c>
      <c r="W26" s="450"/>
      <c r="X26" s="448"/>
      <c r="Y26" s="441"/>
      <c r="Z26" s="441"/>
      <c r="AA26" s="441"/>
      <c r="AB26" s="441"/>
      <c r="AC26" s="441"/>
      <c r="AD26" s="441"/>
      <c r="AE26" s="441"/>
      <c r="AF26" s="441"/>
      <c r="AG26" s="441"/>
      <c r="AH26" s="441"/>
      <c r="AI26" s="441"/>
      <c r="AJ26" s="441"/>
      <c r="AK26" s="441"/>
      <c r="AL26" s="441"/>
      <c r="AM26" s="441"/>
      <c r="AN26" s="441"/>
      <c r="AO26" s="441"/>
    </row>
    <row r="27" spans="1:41" ht="12.75" hidden="1" thickBot="1">
      <c r="A27" s="1" t="s">
        <v>1271</v>
      </c>
      <c r="B27" s="2" t="s">
        <v>387</v>
      </c>
      <c r="C27" s="2" t="s">
        <v>411</v>
      </c>
      <c r="D27" s="8" t="s">
        <v>412</v>
      </c>
      <c r="E27" s="3">
        <f t="shared" si="5"/>
        <v>10975500</v>
      </c>
      <c r="F27" s="452">
        <f t="shared" si="5"/>
        <v>0</v>
      </c>
      <c r="G27" s="452">
        <f t="shared" si="3"/>
        <v>111401</v>
      </c>
      <c r="H27" s="452">
        <f t="shared" si="3"/>
        <v>299082</v>
      </c>
      <c r="I27" s="452">
        <f t="shared" si="3"/>
        <v>0</v>
      </c>
      <c r="J27" s="452">
        <f t="shared" si="3"/>
        <v>6069</v>
      </c>
      <c r="K27" s="452">
        <f t="shared" si="3"/>
        <v>191879</v>
      </c>
      <c r="L27" s="452">
        <f t="shared" si="3"/>
        <v>0</v>
      </c>
      <c r="M27" s="452">
        <f t="shared" si="3"/>
        <v>-27957</v>
      </c>
      <c r="N27" s="452">
        <f t="shared" si="3"/>
        <v>0</v>
      </c>
      <c r="O27" s="452">
        <f t="shared" si="3"/>
        <v>98514</v>
      </c>
      <c r="P27" s="452">
        <f t="shared" si="3"/>
        <v>0</v>
      </c>
      <c r="Q27" s="452"/>
      <c r="R27" s="452">
        <f t="shared" si="3"/>
        <v>678990</v>
      </c>
      <c r="S27" s="445">
        <f t="shared" si="0"/>
        <v>410483</v>
      </c>
      <c r="T27" s="445">
        <f t="shared" si="1"/>
        <v>197948</v>
      </c>
      <c r="U27" s="445">
        <f t="shared" si="2"/>
        <v>98514</v>
      </c>
      <c r="W27" s="450"/>
      <c r="X27" s="448"/>
      <c r="Y27" s="441"/>
      <c r="Z27" s="441"/>
      <c r="AA27" s="441"/>
      <c r="AB27" s="441"/>
      <c r="AC27" s="441"/>
      <c r="AD27" s="441"/>
      <c r="AE27" s="441"/>
      <c r="AF27" s="441"/>
      <c r="AG27" s="441"/>
      <c r="AH27" s="441"/>
      <c r="AI27" s="441"/>
      <c r="AJ27" s="441"/>
      <c r="AK27" s="441"/>
      <c r="AL27" s="441"/>
      <c r="AM27" s="441"/>
      <c r="AN27" s="441"/>
      <c r="AO27" s="441"/>
    </row>
    <row r="28" spans="1:41" ht="12.75" hidden="1" thickBot="1">
      <c r="A28" s="1" t="s">
        <v>1271</v>
      </c>
      <c r="B28" s="2" t="s">
        <v>388</v>
      </c>
      <c r="C28" s="2" t="s">
        <v>54</v>
      </c>
      <c r="D28" s="8" t="s">
        <v>15</v>
      </c>
      <c r="E28" s="3">
        <f t="shared" si="5"/>
        <v>68922949</v>
      </c>
      <c r="F28" s="452">
        <f t="shared" si="5"/>
        <v>9000</v>
      </c>
      <c r="G28" s="452">
        <f t="shared" si="3"/>
        <v>609968</v>
      </c>
      <c r="H28" s="452">
        <f t="shared" si="3"/>
        <v>1878150</v>
      </c>
      <c r="I28" s="452">
        <f t="shared" si="3"/>
        <v>0</v>
      </c>
      <c r="J28" s="452">
        <f t="shared" si="3"/>
        <v>45361</v>
      </c>
      <c r="K28" s="452">
        <f t="shared" si="3"/>
        <v>1295008</v>
      </c>
      <c r="L28" s="452">
        <f t="shared" si="3"/>
        <v>0</v>
      </c>
      <c r="M28" s="452">
        <f t="shared" si="3"/>
        <v>-175559</v>
      </c>
      <c r="N28" s="452">
        <f t="shared" si="3"/>
        <v>0</v>
      </c>
      <c r="O28" s="452">
        <f t="shared" si="3"/>
        <v>618639</v>
      </c>
      <c r="P28" s="452">
        <f t="shared" si="3"/>
        <v>0</v>
      </c>
      <c r="Q28" s="452"/>
      <c r="R28" s="452">
        <f t="shared" si="3"/>
        <v>4280566</v>
      </c>
      <c r="S28" s="445">
        <f t="shared" si="0"/>
        <v>2488118</v>
      </c>
      <c r="T28" s="445">
        <f t="shared" si="1"/>
        <v>1340369</v>
      </c>
      <c r="U28" s="445">
        <f t="shared" si="2"/>
        <v>618639</v>
      </c>
      <c r="W28" s="450"/>
      <c r="X28" s="448"/>
      <c r="Y28" s="441"/>
      <c r="Z28" s="441"/>
      <c r="AA28" s="441"/>
      <c r="AB28" s="441"/>
      <c r="AC28" s="441"/>
      <c r="AD28" s="441"/>
      <c r="AE28" s="441"/>
      <c r="AF28" s="441"/>
      <c r="AG28" s="441"/>
      <c r="AH28" s="441"/>
      <c r="AI28" s="441"/>
      <c r="AJ28" s="441"/>
      <c r="AK28" s="441"/>
      <c r="AL28" s="441"/>
      <c r="AM28" s="441"/>
      <c r="AN28" s="441"/>
      <c r="AO28" s="441"/>
    </row>
    <row r="29" spans="1:41" ht="12.75" hidden="1" thickBot="1">
      <c r="A29" s="1" t="s">
        <v>1271</v>
      </c>
      <c r="B29" s="2" t="s">
        <v>389</v>
      </c>
      <c r="C29" s="2" t="s">
        <v>419</v>
      </c>
      <c r="D29" s="8" t="s">
        <v>20</v>
      </c>
      <c r="E29" s="3">
        <f t="shared" si="5"/>
        <v>18274284</v>
      </c>
      <c r="F29" s="452">
        <f t="shared" si="5"/>
        <v>19170</v>
      </c>
      <c r="G29" s="452">
        <f t="shared" si="3"/>
        <v>243962</v>
      </c>
      <c r="H29" s="452">
        <f t="shared" si="3"/>
        <v>497974</v>
      </c>
      <c r="I29" s="452">
        <f t="shared" si="3"/>
        <v>0</v>
      </c>
      <c r="J29" s="452">
        <f t="shared" si="3"/>
        <v>28363</v>
      </c>
      <c r="K29" s="452">
        <f t="shared" si="3"/>
        <v>799489</v>
      </c>
      <c r="L29" s="452">
        <f t="shared" si="3"/>
        <v>23850</v>
      </c>
      <c r="M29" s="452">
        <f t="shared" si="3"/>
        <v>-46548</v>
      </c>
      <c r="N29" s="452">
        <f t="shared" si="3"/>
        <v>0</v>
      </c>
      <c r="O29" s="452">
        <f t="shared" si="3"/>
        <v>164026</v>
      </c>
      <c r="P29" s="452">
        <f t="shared" si="3"/>
        <v>0</v>
      </c>
      <c r="Q29" s="452"/>
      <c r="R29" s="452">
        <f t="shared" si="3"/>
        <v>1730286</v>
      </c>
      <c r="S29" s="445">
        <f t="shared" si="0"/>
        <v>741936</v>
      </c>
      <c r="T29" s="445">
        <f t="shared" si="1"/>
        <v>827852</v>
      </c>
      <c r="U29" s="445">
        <f t="shared" si="2"/>
        <v>164026</v>
      </c>
      <c r="W29" s="450"/>
      <c r="X29" s="448"/>
      <c r="Y29" s="441"/>
      <c r="Z29" s="441"/>
      <c r="AA29" s="441"/>
      <c r="AB29" s="441"/>
      <c r="AC29" s="441"/>
      <c r="AD29" s="441"/>
      <c r="AE29" s="441"/>
      <c r="AF29" s="441"/>
      <c r="AG29" s="441"/>
      <c r="AH29" s="441"/>
      <c r="AI29" s="441"/>
      <c r="AJ29" s="441"/>
      <c r="AK29" s="441"/>
      <c r="AL29" s="441"/>
      <c r="AM29" s="441"/>
      <c r="AN29" s="441"/>
      <c r="AO29" s="441"/>
    </row>
    <row r="30" spans="1:41" ht="12.75" hidden="1" thickBot="1">
      <c r="A30" s="1" t="s">
        <v>1271</v>
      </c>
      <c r="B30" s="2" t="s">
        <v>390</v>
      </c>
      <c r="C30" s="2" t="s">
        <v>418</v>
      </c>
      <c r="D30" s="2" t="s">
        <v>21</v>
      </c>
      <c r="E30" s="3">
        <f t="shared" si="5"/>
        <v>1034319</v>
      </c>
      <c r="F30" s="452">
        <f t="shared" si="5"/>
        <v>3570</v>
      </c>
      <c r="G30" s="452">
        <f t="shared" si="3"/>
        <v>12422</v>
      </c>
      <c r="H30" s="452">
        <f t="shared" si="3"/>
        <v>28185</v>
      </c>
      <c r="I30" s="452">
        <f t="shared" si="3"/>
        <v>0</v>
      </c>
      <c r="J30" s="452">
        <f t="shared" si="3"/>
        <v>1848</v>
      </c>
      <c r="K30" s="452">
        <f t="shared" si="3"/>
        <v>43053</v>
      </c>
      <c r="L30" s="452">
        <f t="shared" ref="G30:R44" si="6">ROUND(SUMIFS(L$1410:L$1613,$A$1410:$A$1613,$A30,$B$1410:$B$1613,$B30),0)</f>
        <v>1350</v>
      </c>
      <c r="M30" s="452">
        <f t="shared" si="6"/>
        <v>-2635</v>
      </c>
      <c r="N30" s="452">
        <f t="shared" si="6"/>
        <v>0</v>
      </c>
      <c r="O30" s="452">
        <f t="shared" si="6"/>
        <v>9284</v>
      </c>
      <c r="P30" s="452">
        <f t="shared" si="6"/>
        <v>0</v>
      </c>
      <c r="Q30" s="452"/>
      <c r="R30" s="452">
        <f t="shared" si="6"/>
        <v>97078</v>
      </c>
      <c r="S30" s="445">
        <f t="shared" si="0"/>
        <v>40607</v>
      </c>
      <c r="T30" s="445">
        <f t="shared" si="1"/>
        <v>44901</v>
      </c>
      <c r="U30" s="445">
        <f t="shared" si="2"/>
        <v>9284</v>
      </c>
      <c r="W30" s="450"/>
      <c r="X30" s="448"/>
      <c r="Y30" s="441"/>
      <c r="Z30" s="441"/>
      <c r="AA30" s="441"/>
      <c r="AB30" s="441"/>
      <c r="AC30" s="441"/>
      <c r="AD30" s="441"/>
      <c r="AE30" s="441"/>
      <c r="AF30" s="441"/>
      <c r="AG30" s="441"/>
      <c r="AH30" s="441"/>
      <c r="AI30" s="441"/>
      <c r="AJ30" s="441"/>
      <c r="AK30" s="441"/>
      <c r="AL30" s="441"/>
      <c r="AM30" s="441"/>
      <c r="AN30" s="441"/>
      <c r="AO30" s="441"/>
    </row>
    <row r="31" spans="1:41" ht="12.75" hidden="1" thickBot="1">
      <c r="A31" s="1" t="s">
        <v>1271</v>
      </c>
      <c r="B31" s="2" t="s">
        <v>391</v>
      </c>
      <c r="C31" s="2" t="s">
        <v>1034</v>
      </c>
      <c r="D31" s="8" t="s">
        <v>422</v>
      </c>
      <c r="E31" s="3">
        <f t="shared" si="5"/>
        <v>20040159</v>
      </c>
      <c r="F31" s="452">
        <f t="shared" si="5"/>
        <v>19800</v>
      </c>
      <c r="G31" s="452">
        <f t="shared" si="6"/>
        <v>253508</v>
      </c>
      <c r="H31" s="452">
        <f t="shared" si="6"/>
        <v>546094</v>
      </c>
      <c r="I31" s="452">
        <f t="shared" si="6"/>
        <v>0</v>
      </c>
      <c r="J31" s="452">
        <f t="shared" si="6"/>
        <v>22561</v>
      </c>
      <c r="K31" s="452">
        <f t="shared" si="6"/>
        <v>659596</v>
      </c>
      <c r="L31" s="452">
        <f t="shared" si="6"/>
        <v>26155</v>
      </c>
      <c r="M31" s="452">
        <f t="shared" si="6"/>
        <v>-51046</v>
      </c>
      <c r="N31" s="452">
        <f t="shared" si="6"/>
        <v>0</v>
      </c>
      <c r="O31" s="452">
        <f t="shared" si="6"/>
        <v>179876</v>
      </c>
      <c r="P31" s="452">
        <f t="shared" si="6"/>
        <v>0</v>
      </c>
      <c r="Q31" s="452"/>
      <c r="R31" s="452">
        <f t="shared" si="6"/>
        <v>1656545</v>
      </c>
      <c r="S31" s="445">
        <f t="shared" si="0"/>
        <v>799602</v>
      </c>
      <c r="T31" s="445">
        <f t="shared" si="1"/>
        <v>682157</v>
      </c>
      <c r="U31" s="445">
        <f t="shared" si="2"/>
        <v>179876</v>
      </c>
      <c r="W31" s="450"/>
      <c r="X31" s="448"/>
      <c r="Y31" s="441"/>
      <c r="Z31" s="441"/>
      <c r="AA31" s="441"/>
      <c r="AB31" s="441"/>
      <c r="AC31" s="441"/>
      <c r="AD31" s="441"/>
      <c r="AE31" s="441"/>
      <c r="AF31" s="441"/>
      <c r="AG31" s="441"/>
      <c r="AH31" s="441"/>
      <c r="AI31" s="441"/>
      <c r="AJ31" s="441"/>
      <c r="AK31" s="441"/>
      <c r="AL31" s="441"/>
      <c r="AM31" s="441"/>
      <c r="AN31" s="441"/>
      <c r="AO31" s="441"/>
    </row>
    <row r="32" spans="1:41" ht="12.75" hidden="1" thickBot="1">
      <c r="A32" s="1" t="s">
        <v>1271</v>
      </c>
      <c r="B32" s="2" t="s">
        <v>392</v>
      </c>
      <c r="C32" s="2" t="s">
        <v>420</v>
      </c>
      <c r="D32" s="8" t="s">
        <v>421</v>
      </c>
      <c r="E32" s="3">
        <f t="shared" si="5"/>
        <v>130426785</v>
      </c>
      <c r="F32" s="452">
        <f t="shared" si="5"/>
        <v>21000</v>
      </c>
      <c r="G32" s="452">
        <f t="shared" si="6"/>
        <v>1060370</v>
      </c>
      <c r="H32" s="452">
        <f t="shared" si="6"/>
        <v>3554130</v>
      </c>
      <c r="I32" s="452">
        <f t="shared" si="6"/>
        <v>0</v>
      </c>
      <c r="J32" s="452">
        <f t="shared" si="6"/>
        <v>129083</v>
      </c>
      <c r="K32" s="452">
        <f t="shared" si="6"/>
        <v>3560225</v>
      </c>
      <c r="L32" s="452">
        <f t="shared" si="6"/>
        <v>170221</v>
      </c>
      <c r="M32" s="452">
        <f t="shared" si="6"/>
        <v>-332221</v>
      </c>
      <c r="N32" s="452">
        <f t="shared" si="6"/>
        <v>0</v>
      </c>
      <c r="O32" s="452">
        <f t="shared" si="6"/>
        <v>1170685</v>
      </c>
      <c r="P32" s="452">
        <f t="shared" si="6"/>
        <v>0</v>
      </c>
      <c r="Q32" s="452"/>
      <c r="R32" s="452">
        <f t="shared" si="6"/>
        <v>9333492</v>
      </c>
      <c r="S32" s="445">
        <f t="shared" si="0"/>
        <v>4614500</v>
      </c>
      <c r="T32" s="445">
        <f t="shared" si="1"/>
        <v>3689308</v>
      </c>
      <c r="U32" s="445">
        <f t="shared" si="2"/>
        <v>1170685</v>
      </c>
      <c r="W32" s="450"/>
      <c r="X32" s="448"/>
      <c r="Y32" s="441"/>
      <c r="Z32" s="441"/>
      <c r="AA32" s="441"/>
      <c r="AB32" s="441"/>
      <c r="AC32" s="441"/>
      <c r="AD32" s="441"/>
      <c r="AE32" s="441"/>
      <c r="AF32" s="441"/>
      <c r="AG32" s="441"/>
      <c r="AH32" s="441"/>
      <c r="AI32" s="441"/>
      <c r="AJ32" s="441"/>
      <c r="AK32" s="441"/>
      <c r="AL32" s="441"/>
      <c r="AM32" s="441"/>
      <c r="AN32" s="441"/>
      <c r="AO32" s="441"/>
    </row>
    <row r="33" spans="1:41" ht="12.75" hidden="1" thickBot="1">
      <c r="A33" s="1" t="s">
        <v>1271</v>
      </c>
      <c r="B33" s="2" t="s">
        <v>394</v>
      </c>
      <c r="C33" s="2" t="s">
        <v>423</v>
      </c>
      <c r="D33" s="8" t="s">
        <v>17</v>
      </c>
      <c r="E33" s="3">
        <f t="shared" si="5"/>
        <v>0</v>
      </c>
      <c r="F33" s="452">
        <f t="shared" si="5"/>
        <v>0</v>
      </c>
      <c r="G33" s="452">
        <f t="shared" si="6"/>
        <v>0</v>
      </c>
      <c r="H33" s="452">
        <f t="shared" si="6"/>
        <v>0</v>
      </c>
      <c r="I33" s="452">
        <f t="shared" si="6"/>
        <v>0</v>
      </c>
      <c r="J33" s="452">
        <f t="shared" si="6"/>
        <v>0</v>
      </c>
      <c r="K33" s="452">
        <f t="shared" si="6"/>
        <v>0</v>
      </c>
      <c r="L33" s="452">
        <f t="shared" si="6"/>
        <v>0</v>
      </c>
      <c r="M33" s="452">
        <f t="shared" si="6"/>
        <v>0</v>
      </c>
      <c r="N33" s="452">
        <f t="shared" si="6"/>
        <v>0</v>
      </c>
      <c r="O33" s="452">
        <f t="shared" si="6"/>
        <v>0</v>
      </c>
      <c r="P33" s="452">
        <f t="shared" si="6"/>
        <v>0</v>
      </c>
      <c r="Q33" s="452"/>
      <c r="R33" s="452">
        <f t="shared" si="6"/>
        <v>0</v>
      </c>
      <c r="S33" s="445">
        <f t="shared" si="0"/>
        <v>0</v>
      </c>
      <c r="T33" s="445">
        <f t="shared" si="1"/>
        <v>0</v>
      </c>
      <c r="U33" s="445">
        <f t="shared" si="2"/>
        <v>0</v>
      </c>
      <c r="W33" s="450"/>
      <c r="X33" s="448"/>
      <c r="Y33" s="441"/>
      <c r="Z33" s="441"/>
      <c r="AA33" s="441"/>
      <c r="AB33" s="441"/>
      <c r="AC33" s="441"/>
      <c r="AD33" s="441"/>
      <c r="AE33" s="441"/>
      <c r="AF33" s="441"/>
      <c r="AG33" s="441"/>
      <c r="AH33" s="441"/>
      <c r="AI33" s="441"/>
      <c r="AJ33" s="441"/>
      <c r="AK33" s="441"/>
      <c r="AL33" s="441"/>
      <c r="AM33" s="441"/>
      <c r="AN33" s="441"/>
      <c r="AO33" s="441"/>
    </row>
    <row r="34" spans="1:41" ht="12.75" hidden="1" thickBot="1">
      <c r="A34" s="1" t="s">
        <v>1271</v>
      </c>
      <c r="B34" s="2" t="s">
        <v>395</v>
      </c>
      <c r="C34" s="2" t="s">
        <v>423</v>
      </c>
      <c r="D34" s="8" t="s">
        <v>17</v>
      </c>
      <c r="E34" s="3">
        <f t="shared" si="5"/>
        <v>0</v>
      </c>
      <c r="F34" s="452">
        <f t="shared" si="5"/>
        <v>0</v>
      </c>
      <c r="G34" s="452">
        <f t="shared" si="6"/>
        <v>0</v>
      </c>
      <c r="H34" s="452">
        <f t="shared" si="6"/>
        <v>0</v>
      </c>
      <c r="I34" s="452">
        <f t="shared" si="6"/>
        <v>0</v>
      </c>
      <c r="J34" s="452">
        <f t="shared" si="6"/>
        <v>0</v>
      </c>
      <c r="K34" s="452">
        <f t="shared" si="6"/>
        <v>0</v>
      </c>
      <c r="L34" s="452">
        <f t="shared" si="6"/>
        <v>0</v>
      </c>
      <c r="M34" s="452">
        <f t="shared" si="6"/>
        <v>0</v>
      </c>
      <c r="N34" s="452">
        <f t="shared" si="6"/>
        <v>0</v>
      </c>
      <c r="O34" s="452">
        <f t="shared" si="6"/>
        <v>0</v>
      </c>
      <c r="P34" s="452">
        <f t="shared" si="6"/>
        <v>0</v>
      </c>
      <c r="Q34" s="452"/>
      <c r="R34" s="452">
        <f t="shared" si="6"/>
        <v>0</v>
      </c>
      <c r="S34" s="445">
        <f t="shared" si="0"/>
        <v>0</v>
      </c>
      <c r="T34" s="445">
        <f t="shared" si="1"/>
        <v>0</v>
      </c>
      <c r="U34" s="445">
        <f t="shared" si="2"/>
        <v>0</v>
      </c>
      <c r="W34" s="450"/>
      <c r="X34" s="448"/>
      <c r="Y34" s="441"/>
      <c r="Z34" s="441"/>
      <c r="AA34" s="441"/>
      <c r="AB34" s="441"/>
      <c r="AC34" s="441"/>
      <c r="AD34" s="441"/>
      <c r="AE34" s="441"/>
      <c r="AF34" s="441"/>
      <c r="AG34" s="441"/>
      <c r="AH34" s="441"/>
      <c r="AI34" s="441"/>
      <c r="AJ34" s="441"/>
      <c r="AK34" s="441"/>
      <c r="AL34" s="441"/>
      <c r="AM34" s="441"/>
      <c r="AN34" s="441"/>
      <c r="AO34" s="441"/>
    </row>
    <row r="35" spans="1:41" ht="12.75" hidden="1" thickBot="1">
      <c r="A35" s="1" t="s">
        <v>1271</v>
      </c>
      <c r="B35" s="2" t="s">
        <v>396</v>
      </c>
      <c r="C35" s="2" t="s">
        <v>423</v>
      </c>
      <c r="D35" s="8" t="s">
        <v>17</v>
      </c>
      <c r="E35" s="3">
        <f t="shared" si="5"/>
        <v>0</v>
      </c>
      <c r="F35" s="452">
        <f t="shared" si="5"/>
        <v>0</v>
      </c>
      <c r="G35" s="452">
        <f t="shared" si="6"/>
        <v>0</v>
      </c>
      <c r="H35" s="452">
        <f t="shared" si="6"/>
        <v>0</v>
      </c>
      <c r="I35" s="452">
        <f t="shared" si="6"/>
        <v>0</v>
      </c>
      <c r="J35" s="452">
        <f t="shared" si="6"/>
        <v>0</v>
      </c>
      <c r="K35" s="452">
        <f t="shared" si="6"/>
        <v>0</v>
      </c>
      <c r="L35" s="452">
        <f t="shared" si="6"/>
        <v>0</v>
      </c>
      <c r="M35" s="452">
        <f t="shared" si="6"/>
        <v>0</v>
      </c>
      <c r="N35" s="452">
        <f t="shared" si="6"/>
        <v>0</v>
      </c>
      <c r="O35" s="452">
        <f t="shared" si="6"/>
        <v>0</v>
      </c>
      <c r="P35" s="452">
        <f t="shared" si="6"/>
        <v>0</v>
      </c>
      <c r="Q35" s="452"/>
      <c r="R35" s="452">
        <f t="shared" si="6"/>
        <v>0</v>
      </c>
      <c r="S35" s="445">
        <f t="shared" si="0"/>
        <v>0</v>
      </c>
      <c r="T35" s="445">
        <f t="shared" si="1"/>
        <v>0</v>
      </c>
      <c r="U35" s="445">
        <f t="shared" si="2"/>
        <v>0</v>
      </c>
      <c r="W35" s="450"/>
      <c r="X35" s="448"/>
      <c r="Y35" s="441"/>
      <c r="Z35" s="441"/>
      <c r="AA35" s="441"/>
      <c r="AB35" s="441"/>
      <c r="AC35" s="441"/>
      <c r="AD35" s="441"/>
      <c r="AE35" s="441"/>
      <c r="AF35" s="441"/>
      <c r="AG35" s="441"/>
      <c r="AH35" s="441"/>
      <c r="AI35" s="441"/>
      <c r="AJ35" s="441"/>
      <c r="AK35" s="441"/>
      <c r="AL35" s="441"/>
      <c r="AM35" s="441"/>
      <c r="AN35" s="441"/>
      <c r="AO35" s="441"/>
    </row>
    <row r="36" spans="1:41" ht="12.75" hidden="1" thickBot="1">
      <c r="A36" s="1" t="s">
        <v>1271</v>
      </c>
      <c r="B36" s="2" t="s">
        <v>397</v>
      </c>
      <c r="C36" s="2" t="s">
        <v>55</v>
      </c>
      <c r="D36" s="8" t="s">
        <v>18</v>
      </c>
      <c r="E36" s="3">
        <f t="shared" si="5"/>
        <v>0</v>
      </c>
      <c r="F36" s="452">
        <f t="shared" si="5"/>
        <v>0</v>
      </c>
      <c r="G36" s="452">
        <f t="shared" si="6"/>
        <v>0</v>
      </c>
      <c r="H36" s="452">
        <f t="shared" si="6"/>
        <v>0</v>
      </c>
      <c r="I36" s="452">
        <f t="shared" si="6"/>
        <v>0</v>
      </c>
      <c r="J36" s="452">
        <f t="shared" si="6"/>
        <v>0</v>
      </c>
      <c r="K36" s="452">
        <f t="shared" si="6"/>
        <v>0</v>
      </c>
      <c r="L36" s="452">
        <f t="shared" si="6"/>
        <v>0</v>
      </c>
      <c r="M36" s="452">
        <f t="shared" si="6"/>
        <v>0</v>
      </c>
      <c r="N36" s="452">
        <f t="shared" si="6"/>
        <v>0</v>
      </c>
      <c r="O36" s="452">
        <f t="shared" si="6"/>
        <v>0</v>
      </c>
      <c r="P36" s="452">
        <f t="shared" si="6"/>
        <v>0</v>
      </c>
      <c r="Q36" s="452"/>
      <c r="R36" s="452">
        <f t="shared" si="6"/>
        <v>0</v>
      </c>
      <c r="S36" s="445">
        <f t="shared" si="0"/>
        <v>0</v>
      </c>
      <c r="T36" s="445">
        <f t="shared" si="1"/>
        <v>0</v>
      </c>
      <c r="U36" s="445">
        <f t="shared" si="2"/>
        <v>0</v>
      </c>
      <c r="W36" s="450"/>
      <c r="X36" s="448"/>
      <c r="Y36" s="441"/>
      <c r="Z36" s="441"/>
      <c r="AA36" s="441"/>
      <c r="AB36" s="441"/>
      <c r="AC36" s="441"/>
      <c r="AD36" s="441"/>
      <c r="AE36" s="441"/>
      <c r="AF36" s="441"/>
      <c r="AG36" s="441"/>
      <c r="AH36" s="441"/>
      <c r="AI36" s="441"/>
      <c r="AJ36" s="441"/>
      <c r="AK36" s="441"/>
      <c r="AL36" s="441"/>
      <c r="AM36" s="441"/>
      <c r="AN36" s="441"/>
      <c r="AO36" s="441"/>
    </row>
    <row r="37" spans="1:41" ht="12.75" hidden="1" thickBot="1">
      <c r="A37" s="1" t="s">
        <v>1271</v>
      </c>
      <c r="B37" s="2" t="s">
        <v>398</v>
      </c>
      <c r="C37" s="2" t="s">
        <v>55</v>
      </c>
      <c r="D37" s="8" t="s">
        <v>18</v>
      </c>
      <c r="E37" s="3">
        <f t="shared" si="5"/>
        <v>0</v>
      </c>
      <c r="F37" s="452">
        <f t="shared" si="5"/>
        <v>0</v>
      </c>
      <c r="G37" s="452">
        <f t="shared" si="6"/>
        <v>0</v>
      </c>
      <c r="H37" s="452">
        <f t="shared" si="6"/>
        <v>0</v>
      </c>
      <c r="I37" s="452">
        <f t="shared" si="6"/>
        <v>0</v>
      </c>
      <c r="J37" s="452">
        <f t="shared" si="6"/>
        <v>0</v>
      </c>
      <c r="K37" s="452">
        <f t="shared" si="6"/>
        <v>0</v>
      </c>
      <c r="L37" s="452">
        <f t="shared" si="6"/>
        <v>0</v>
      </c>
      <c r="M37" s="452">
        <f t="shared" si="6"/>
        <v>0</v>
      </c>
      <c r="N37" s="452">
        <f t="shared" si="6"/>
        <v>0</v>
      </c>
      <c r="O37" s="452">
        <f t="shared" si="6"/>
        <v>0</v>
      </c>
      <c r="P37" s="452">
        <f t="shared" si="6"/>
        <v>0</v>
      </c>
      <c r="Q37" s="452"/>
      <c r="R37" s="452">
        <f t="shared" si="6"/>
        <v>0</v>
      </c>
      <c r="S37" s="445">
        <f t="shared" si="0"/>
        <v>0</v>
      </c>
      <c r="T37" s="445">
        <f t="shared" si="1"/>
        <v>0</v>
      </c>
      <c r="U37" s="445">
        <f t="shared" si="2"/>
        <v>0</v>
      </c>
      <c r="W37" s="450"/>
      <c r="X37" s="448"/>
      <c r="Y37" s="441"/>
      <c r="Z37" s="441"/>
      <c r="AA37" s="441"/>
      <c r="AB37" s="441"/>
      <c r="AC37" s="441"/>
      <c r="AD37" s="441"/>
      <c r="AE37" s="441"/>
      <c r="AF37" s="441"/>
      <c r="AG37" s="441"/>
      <c r="AH37" s="441"/>
      <c r="AI37" s="441"/>
      <c r="AJ37" s="441"/>
      <c r="AK37" s="441"/>
      <c r="AL37" s="441"/>
      <c r="AM37" s="441"/>
      <c r="AN37" s="441"/>
      <c r="AO37" s="441"/>
    </row>
    <row r="38" spans="1:41" ht="12.75" hidden="1" thickBot="1">
      <c r="A38" s="1" t="s">
        <v>1271</v>
      </c>
      <c r="B38" s="2" t="s">
        <v>805</v>
      </c>
      <c r="C38" s="2" t="s">
        <v>806</v>
      </c>
      <c r="D38" s="8" t="s">
        <v>1205</v>
      </c>
      <c r="E38" s="3">
        <f t="shared" si="5"/>
        <v>0</v>
      </c>
      <c r="F38" s="452">
        <f t="shared" si="5"/>
        <v>0</v>
      </c>
      <c r="G38" s="452">
        <f t="shared" si="6"/>
        <v>0</v>
      </c>
      <c r="H38" s="452">
        <f t="shared" si="6"/>
        <v>0</v>
      </c>
      <c r="I38" s="452">
        <f t="shared" si="6"/>
        <v>0</v>
      </c>
      <c r="J38" s="452">
        <f t="shared" si="6"/>
        <v>0</v>
      </c>
      <c r="K38" s="452">
        <f t="shared" si="6"/>
        <v>0</v>
      </c>
      <c r="L38" s="452">
        <f t="shared" si="6"/>
        <v>0</v>
      </c>
      <c r="M38" s="452">
        <f t="shared" si="6"/>
        <v>0</v>
      </c>
      <c r="N38" s="452">
        <f t="shared" si="6"/>
        <v>0</v>
      </c>
      <c r="O38" s="452">
        <f t="shared" si="6"/>
        <v>0</v>
      </c>
      <c r="P38" s="452">
        <f t="shared" si="6"/>
        <v>0</v>
      </c>
      <c r="Q38" s="452"/>
      <c r="R38" s="452">
        <f t="shared" si="6"/>
        <v>0</v>
      </c>
      <c r="S38" s="445">
        <f t="shared" si="0"/>
        <v>0</v>
      </c>
      <c r="T38" s="445">
        <f t="shared" si="1"/>
        <v>0</v>
      </c>
      <c r="U38" s="445">
        <f t="shared" si="2"/>
        <v>0</v>
      </c>
      <c r="W38" s="450"/>
      <c r="X38" s="448"/>
      <c r="Y38" s="441"/>
      <c r="Z38" s="441"/>
      <c r="AA38" s="441"/>
      <c r="AB38" s="441"/>
      <c r="AC38" s="441"/>
      <c r="AD38" s="441"/>
      <c r="AE38" s="441"/>
      <c r="AF38" s="441"/>
      <c r="AG38" s="441"/>
      <c r="AH38" s="441"/>
      <c r="AI38" s="441"/>
      <c r="AJ38" s="441"/>
      <c r="AK38" s="441"/>
      <c r="AL38" s="441"/>
      <c r="AM38" s="441"/>
      <c r="AN38" s="441"/>
      <c r="AO38" s="441"/>
    </row>
    <row r="39" spans="1:41" ht="12.75" thickBot="1">
      <c r="A39" s="1" t="s">
        <v>1271</v>
      </c>
      <c r="B39" s="2" t="s">
        <v>399</v>
      </c>
      <c r="C39" s="2" t="s">
        <v>430</v>
      </c>
      <c r="D39" s="8" t="s">
        <v>13</v>
      </c>
      <c r="E39" s="3">
        <f t="shared" si="5"/>
        <v>0</v>
      </c>
      <c r="F39" s="452">
        <f t="shared" si="5"/>
        <v>0</v>
      </c>
      <c r="G39" s="452">
        <f t="shared" si="6"/>
        <v>0</v>
      </c>
      <c r="H39" s="452">
        <f t="shared" si="6"/>
        <v>0</v>
      </c>
      <c r="I39" s="452">
        <f t="shared" si="6"/>
        <v>0</v>
      </c>
      <c r="J39" s="452">
        <f t="shared" si="6"/>
        <v>0</v>
      </c>
      <c r="K39" s="452">
        <f t="shared" si="6"/>
        <v>0</v>
      </c>
      <c r="L39" s="452">
        <f t="shared" si="6"/>
        <v>0</v>
      </c>
      <c r="M39" s="452">
        <f t="shared" si="6"/>
        <v>0</v>
      </c>
      <c r="N39" s="452">
        <f t="shared" si="6"/>
        <v>0</v>
      </c>
      <c r="O39" s="452">
        <f t="shared" si="6"/>
        <v>0</v>
      </c>
      <c r="P39" s="452">
        <f t="shared" si="6"/>
        <v>0</v>
      </c>
      <c r="Q39" s="452"/>
      <c r="R39" s="452">
        <f t="shared" si="6"/>
        <v>0</v>
      </c>
      <c r="S39" s="445">
        <f t="shared" si="0"/>
        <v>0</v>
      </c>
      <c r="T39" s="445">
        <f t="shared" si="1"/>
        <v>0</v>
      </c>
      <c r="U39" s="445">
        <f t="shared" si="2"/>
        <v>0</v>
      </c>
      <c r="W39" s="450"/>
      <c r="X39" s="448"/>
      <c r="Y39" s="441"/>
      <c r="Z39" s="441"/>
      <c r="AA39" s="441"/>
      <c r="AB39" s="441"/>
      <c r="AC39" s="441"/>
      <c r="AD39" s="441"/>
      <c r="AE39" s="441"/>
      <c r="AF39" s="441"/>
      <c r="AG39" s="441"/>
      <c r="AH39" s="441"/>
      <c r="AI39" s="441"/>
      <c r="AJ39" s="441"/>
      <c r="AK39" s="441"/>
      <c r="AL39" s="441"/>
      <c r="AM39" s="441"/>
      <c r="AN39" s="441"/>
      <c r="AO39" s="441"/>
    </row>
    <row r="40" spans="1:41" ht="12.75" thickBot="1">
      <c r="A40" s="1" t="s">
        <v>1271</v>
      </c>
      <c r="B40" s="2" t="s">
        <v>400</v>
      </c>
      <c r="C40" s="2" t="s">
        <v>427</v>
      </c>
      <c r="D40" s="8" t="s">
        <v>13</v>
      </c>
      <c r="E40" s="3">
        <f t="shared" si="5"/>
        <v>375149152</v>
      </c>
      <c r="F40" s="452">
        <f t="shared" si="5"/>
        <v>3887469</v>
      </c>
      <c r="G40" s="452">
        <f t="shared" si="6"/>
        <v>19571531</v>
      </c>
      <c r="H40" s="452">
        <f t="shared" si="6"/>
        <v>10222814</v>
      </c>
      <c r="I40" s="452">
        <f t="shared" si="6"/>
        <v>502700</v>
      </c>
      <c r="J40" s="452">
        <f t="shared" si="6"/>
        <v>0</v>
      </c>
      <c r="K40" s="452">
        <f t="shared" si="6"/>
        <v>0</v>
      </c>
      <c r="L40" s="452">
        <f t="shared" si="6"/>
        <v>489610</v>
      </c>
      <c r="M40" s="452">
        <f t="shared" si="6"/>
        <v>-955574</v>
      </c>
      <c r="N40" s="452">
        <f t="shared" si="6"/>
        <v>3367263</v>
      </c>
      <c r="O40" s="452">
        <f t="shared" si="6"/>
        <v>0</v>
      </c>
      <c r="P40" s="452">
        <f t="shared" si="6"/>
        <v>0</v>
      </c>
      <c r="Q40" s="452"/>
      <c r="R40" s="452">
        <f t="shared" si="6"/>
        <v>37085813</v>
      </c>
      <c r="S40" s="445">
        <f t="shared" si="0"/>
        <v>30297045</v>
      </c>
      <c r="T40" s="445">
        <f t="shared" si="1"/>
        <v>0</v>
      </c>
      <c r="U40" s="445">
        <f t="shared" si="2"/>
        <v>3367263</v>
      </c>
      <c r="W40" s="450"/>
      <c r="X40" s="448"/>
      <c r="Y40" s="441"/>
      <c r="Z40" s="441"/>
      <c r="AA40" s="441"/>
      <c r="AB40" s="441"/>
      <c r="AC40" s="441"/>
      <c r="AD40" s="441"/>
      <c r="AE40" s="441"/>
      <c r="AF40" s="441"/>
      <c r="AG40" s="441"/>
      <c r="AH40" s="441"/>
      <c r="AI40" s="441"/>
      <c r="AJ40" s="441"/>
      <c r="AK40" s="441"/>
      <c r="AL40" s="441"/>
      <c r="AM40" s="441"/>
      <c r="AN40" s="441"/>
      <c r="AO40" s="441"/>
    </row>
    <row r="41" spans="1:41" ht="12.75" thickBot="1">
      <c r="A41" s="1" t="s">
        <v>1271</v>
      </c>
      <c r="B41" s="2" t="s">
        <v>401</v>
      </c>
      <c r="C41" s="2" t="s">
        <v>428</v>
      </c>
      <c r="D41" s="8" t="s">
        <v>13</v>
      </c>
      <c r="E41" s="3">
        <f t="shared" si="5"/>
        <v>0</v>
      </c>
      <c r="F41" s="452">
        <f t="shared" si="5"/>
        <v>0</v>
      </c>
      <c r="G41" s="452">
        <f t="shared" si="6"/>
        <v>0</v>
      </c>
      <c r="H41" s="452">
        <f t="shared" si="6"/>
        <v>0</v>
      </c>
      <c r="I41" s="452">
        <f t="shared" si="6"/>
        <v>0</v>
      </c>
      <c r="J41" s="452">
        <f t="shared" si="6"/>
        <v>0</v>
      </c>
      <c r="K41" s="452">
        <f t="shared" si="6"/>
        <v>0</v>
      </c>
      <c r="L41" s="452">
        <f t="shared" si="6"/>
        <v>0</v>
      </c>
      <c r="M41" s="452">
        <f t="shared" si="6"/>
        <v>0</v>
      </c>
      <c r="N41" s="452">
        <f t="shared" si="6"/>
        <v>0</v>
      </c>
      <c r="O41" s="452">
        <f t="shared" si="6"/>
        <v>0</v>
      </c>
      <c r="P41" s="452">
        <f t="shared" si="6"/>
        <v>0</v>
      </c>
      <c r="Q41" s="452"/>
      <c r="R41" s="452">
        <f t="shared" si="6"/>
        <v>0</v>
      </c>
      <c r="S41" s="445">
        <f t="shared" si="0"/>
        <v>0</v>
      </c>
      <c r="T41" s="445">
        <f t="shared" si="1"/>
        <v>0</v>
      </c>
      <c r="U41" s="445">
        <f t="shared" si="2"/>
        <v>0</v>
      </c>
      <c r="W41" s="450"/>
      <c r="X41" s="448"/>
      <c r="Y41" s="441"/>
      <c r="Z41" s="441"/>
      <c r="AA41" s="441"/>
      <c r="AB41" s="441"/>
      <c r="AC41" s="441"/>
      <c r="AD41" s="441"/>
      <c r="AE41" s="441"/>
      <c r="AF41" s="441"/>
      <c r="AG41" s="441"/>
      <c r="AH41" s="441"/>
      <c r="AI41" s="441"/>
      <c r="AJ41" s="441"/>
      <c r="AK41" s="441"/>
      <c r="AL41" s="441"/>
      <c r="AM41" s="441"/>
      <c r="AN41" s="441"/>
      <c r="AO41" s="441"/>
    </row>
    <row r="42" spans="1:41" ht="12.75" thickBot="1">
      <c r="A42" s="1" t="s">
        <v>1271</v>
      </c>
      <c r="B42" s="2" t="s">
        <v>402</v>
      </c>
      <c r="C42" s="2" t="s">
        <v>429</v>
      </c>
      <c r="D42" s="8" t="s">
        <v>13</v>
      </c>
      <c r="E42" s="3">
        <f t="shared" si="5"/>
        <v>0</v>
      </c>
      <c r="F42" s="452">
        <f t="shared" si="5"/>
        <v>0</v>
      </c>
      <c r="G42" s="452">
        <f t="shared" si="6"/>
        <v>0</v>
      </c>
      <c r="H42" s="452">
        <f t="shared" si="6"/>
        <v>0</v>
      </c>
      <c r="I42" s="452">
        <f t="shared" si="6"/>
        <v>0</v>
      </c>
      <c r="J42" s="452">
        <f t="shared" si="6"/>
        <v>0</v>
      </c>
      <c r="K42" s="452">
        <f t="shared" si="6"/>
        <v>0</v>
      </c>
      <c r="L42" s="452">
        <f t="shared" si="6"/>
        <v>0</v>
      </c>
      <c r="M42" s="452">
        <f t="shared" si="6"/>
        <v>0</v>
      </c>
      <c r="N42" s="452">
        <f t="shared" si="6"/>
        <v>0</v>
      </c>
      <c r="O42" s="452">
        <f t="shared" si="6"/>
        <v>0</v>
      </c>
      <c r="P42" s="452">
        <f t="shared" si="6"/>
        <v>0</v>
      </c>
      <c r="Q42" s="452"/>
      <c r="R42" s="452">
        <f t="shared" si="6"/>
        <v>0</v>
      </c>
      <c r="S42" s="445">
        <f t="shared" si="0"/>
        <v>0</v>
      </c>
      <c r="T42" s="445">
        <f t="shared" si="1"/>
        <v>0</v>
      </c>
      <c r="U42" s="445">
        <f t="shared" si="2"/>
        <v>0</v>
      </c>
      <c r="W42" s="450"/>
      <c r="X42" s="448"/>
      <c r="Y42" s="441"/>
      <c r="Z42" s="441"/>
      <c r="AA42" s="441"/>
      <c r="AB42" s="441"/>
      <c r="AC42" s="441"/>
      <c r="AD42" s="441"/>
      <c r="AE42" s="441"/>
      <c r="AF42" s="441"/>
      <c r="AG42" s="441"/>
      <c r="AH42" s="441"/>
      <c r="AI42" s="441"/>
      <c r="AJ42" s="441"/>
      <c r="AK42" s="441"/>
      <c r="AL42" s="441"/>
      <c r="AM42" s="441"/>
      <c r="AN42" s="441"/>
      <c r="AO42" s="441"/>
    </row>
    <row r="43" spans="1:41" ht="12.75" hidden="1" thickBot="1">
      <c r="A43" s="1" t="s">
        <v>1271</v>
      </c>
      <c r="B43" s="2" t="s">
        <v>706</v>
      </c>
      <c r="C43" s="2" t="s">
        <v>1204</v>
      </c>
      <c r="D43" s="8" t="s">
        <v>641</v>
      </c>
      <c r="E43" s="3">
        <f t="shared" si="5"/>
        <v>0</v>
      </c>
      <c r="F43" s="452">
        <f t="shared" si="5"/>
        <v>0</v>
      </c>
      <c r="G43" s="452">
        <f t="shared" si="6"/>
        <v>0</v>
      </c>
      <c r="H43" s="452">
        <f t="shared" si="6"/>
        <v>0</v>
      </c>
      <c r="I43" s="452">
        <f t="shared" si="6"/>
        <v>0</v>
      </c>
      <c r="J43" s="452">
        <f t="shared" si="6"/>
        <v>0</v>
      </c>
      <c r="K43" s="452">
        <f t="shared" si="6"/>
        <v>0</v>
      </c>
      <c r="L43" s="452">
        <f t="shared" si="6"/>
        <v>0</v>
      </c>
      <c r="M43" s="452">
        <f t="shared" si="6"/>
        <v>0</v>
      </c>
      <c r="N43" s="452">
        <f t="shared" si="6"/>
        <v>0</v>
      </c>
      <c r="O43" s="452">
        <f t="shared" si="6"/>
        <v>0</v>
      </c>
      <c r="P43" s="452">
        <f t="shared" si="6"/>
        <v>0</v>
      </c>
      <c r="Q43" s="452"/>
      <c r="R43" s="452">
        <f t="shared" si="6"/>
        <v>0</v>
      </c>
      <c r="S43" s="445">
        <f t="shared" si="0"/>
        <v>0</v>
      </c>
      <c r="T43" s="445">
        <f t="shared" si="1"/>
        <v>0</v>
      </c>
      <c r="U43" s="445">
        <f t="shared" si="2"/>
        <v>0</v>
      </c>
      <c r="W43" s="450"/>
      <c r="X43" s="448"/>
      <c r="Y43" s="441"/>
      <c r="Z43" s="441"/>
      <c r="AA43" s="441"/>
      <c r="AB43" s="441"/>
      <c r="AC43" s="441"/>
      <c r="AD43" s="441"/>
      <c r="AE43" s="441"/>
      <c r="AF43" s="441"/>
      <c r="AG43" s="441"/>
      <c r="AH43" s="441"/>
      <c r="AI43" s="441"/>
      <c r="AJ43" s="441"/>
      <c r="AK43" s="441"/>
      <c r="AL43" s="441"/>
      <c r="AM43" s="441"/>
      <c r="AN43" s="441"/>
      <c r="AO43" s="441"/>
    </row>
    <row r="44" spans="1:41" ht="12.75" hidden="1" thickBot="1">
      <c r="A44" s="1" t="s">
        <v>1271</v>
      </c>
      <c r="B44" s="2" t="s">
        <v>1230</v>
      </c>
      <c r="C44" s="2" t="s">
        <v>1239</v>
      </c>
      <c r="D44" s="8" t="s">
        <v>641</v>
      </c>
      <c r="E44" s="3">
        <f t="shared" si="5"/>
        <v>0</v>
      </c>
      <c r="F44" s="452">
        <f t="shared" si="5"/>
        <v>0</v>
      </c>
      <c r="G44" s="452">
        <f t="shared" si="6"/>
        <v>0</v>
      </c>
      <c r="H44" s="452">
        <f t="shared" si="6"/>
        <v>0</v>
      </c>
      <c r="I44" s="452">
        <f t="shared" si="6"/>
        <v>0</v>
      </c>
      <c r="J44" s="452">
        <f t="shared" si="6"/>
        <v>0</v>
      </c>
      <c r="K44" s="452">
        <f t="shared" si="6"/>
        <v>0</v>
      </c>
      <c r="L44" s="452">
        <f t="shared" si="6"/>
        <v>0</v>
      </c>
      <c r="M44" s="452">
        <f t="shared" si="6"/>
        <v>0</v>
      </c>
      <c r="N44" s="452">
        <f t="shared" si="6"/>
        <v>0</v>
      </c>
      <c r="O44" s="452">
        <f t="shared" si="6"/>
        <v>0</v>
      </c>
      <c r="P44" s="452">
        <f t="shared" si="6"/>
        <v>0</v>
      </c>
      <c r="Q44" s="452"/>
      <c r="R44" s="452">
        <f t="shared" si="6"/>
        <v>0</v>
      </c>
      <c r="S44" s="445">
        <f t="shared" si="0"/>
        <v>0</v>
      </c>
      <c r="T44" s="445">
        <f t="shared" si="1"/>
        <v>0</v>
      </c>
      <c r="U44" s="445">
        <f t="shared" si="2"/>
        <v>0</v>
      </c>
      <c r="W44" s="450"/>
      <c r="X44" s="448"/>
      <c r="Y44" s="441"/>
      <c r="Z44" s="441"/>
      <c r="AA44" s="441"/>
      <c r="AB44" s="441"/>
      <c r="AC44" s="441"/>
      <c r="AD44" s="441"/>
      <c r="AE44" s="441"/>
      <c r="AF44" s="441"/>
      <c r="AG44" s="441"/>
      <c r="AH44" s="441"/>
      <c r="AI44" s="441"/>
      <c r="AJ44" s="441"/>
      <c r="AK44" s="441"/>
      <c r="AL44" s="441"/>
      <c r="AM44" s="441"/>
      <c r="AN44" s="441"/>
      <c r="AO44" s="441"/>
    </row>
    <row r="45" spans="1:41" ht="12.75" hidden="1" thickBot="1">
      <c r="A45" s="1" t="s">
        <v>1271</v>
      </c>
      <c r="B45" s="2" t="s">
        <v>362</v>
      </c>
      <c r="C45" s="2" t="s">
        <v>363</v>
      </c>
      <c r="D45" s="8" t="s">
        <v>1205</v>
      </c>
      <c r="E45" s="4"/>
      <c r="F45" s="4"/>
      <c r="G45" s="4"/>
      <c r="H45" s="4"/>
      <c r="I45" s="4"/>
      <c r="J45" s="4"/>
      <c r="K45" s="4"/>
      <c r="L45" s="4"/>
      <c r="M45" s="4"/>
      <c r="N45" s="4"/>
      <c r="O45" s="4"/>
      <c r="P45" s="4"/>
      <c r="Q45" s="4"/>
      <c r="R45" s="4"/>
      <c r="S45" s="445">
        <f t="shared" si="0"/>
        <v>0</v>
      </c>
      <c r="T45" s="445">
        <f t="shared" si="1"/>
        <v>0</v>
      </c>
      <c r="U45" s="445">
        <f t="shared" si="2"/>
        <v>0</v>
      </c>
      <c r="W45" s="450"/>
      <c r="X45" s="448"/>
      <c r="Y45" s="441"/>
      <c r="Z45" s="441"/>
      <c r="AA45" s="441"/>
      <c r="AB45" s="441"/>
      <c r="AC45" s="441"/>
      <c r="AD45" s="441"/>
      <c r="AE45" s="441"/>
      <c r="AF45" s="441"/>
      <c r="AG45" s="441"/>
      <c r="AH45" s="441"/>
      <c r="AI45" s="441"/>
      <c r="AJ45" s="441"/>
      <c r="AK45" s="441"/>
      <c r="AL45" s="441"/>
      <c r="AM45" s="441"/>
      <c r="AN45" s="441"/>
      <c r="AO45" s="441"/>
    </row>
    <row r="46" spans="1:41" ht="12.75" hidden="1" thickBot="1">
      <c r="A46" s="1" t="s">
        <v>1271</v>
      </c>
      <c r="B46" s="2" t="s">
        <v>342</v>
      </c>
      <c r="C46" s="2" t="s">
        <v>1035</v>
      </c>
      <c r="D46" s="8" t="s">
        <v>459</v>
      </c>
      <c r="E46" s="5"/>
      <c r="F46" s="6"/>
      <c r="G46" s="451"/>
      <c r="H46" s="6"/>
      <c r="I46" s="6"/>
      <c r="J46" s="6"/>
      <c r="K46" s="6"/>
      <c r="L46" s="6"/>
      <c r="M46" s="451"/>
      <c r="N46" s="451"/>
      <c r="O46" s="6"/>
      <c r="P46" s="6"/>
      <c r="Q46" s="451"/>
      <c r="R46" s="451"/>
      <c r="S46" s="445">
        <f t="shared" si="0"/>
        <v>0</v>
      </c>
      <c r="T46" s="445">
        <f t="shared" si="1"/>
        <v>0</v>
      </c>
      <c r="U46" s="445">
        <f t="shared" si="2"/>
        <v>0</v>
      </c>
      <c r="W46" s="450"/>
      <c r="X46" s="448"/>
      <c r="Y46" s="441"/>
      <c r="Z46" s="441"/>
      <c r="AA46" s="441"/>
      <c r="AB46" s="441"/>
      <c r="AC46" s="441"/>
      <c r="AD46" s="441"/>
      <c r="AE46" s="441"/>
      <c r="AF46" s="441"/>
      <c r="AG46" s="441"/>
      <c r="AH46" s="441"/>
      <c r="AI46" s="441"/>
      <c r="AJ46" s="441"/>
      <c r="AK46" s="441"/>
      <c r="AL46" s="441"/>
      <c r="AM46" s="441"/>
      <c r="AN46" s="441"/>
      <c r="AO46" s="441"/>
    </row>
    <row r="47" spans="1:41" ht="12.75" hidden="1" thickBot="1">
      <c r="A47" s="1" t="s">
        <v>1271</v>
      </c>
      <c r="B47" s="2" t="s">
        <v>213</v>
      </c>
      <c r="C47" s="2" t="s">
        <v>1036</v>
      </c>
      <c r="D47" s="8" t="s">
        <v>459</v>
      </c>
      <c r="E47" s="3"/>
      <c r="F47" s="4"/>
      <c r="G47" s="449"/>
      <c r="H47" s="4"/>
      <c r="I47" s="4"/>
      <c r="J47" s="4"/>
      <c r="K47" s="4"/>
      <c r="L47" s="4"/>
      <c r="M47" s="449"/>
      <c r="N47" s="449"/>
      <c r="O47" s="4"/>
      <c r="P47" s="4"/>
      <c r="Q47" s="449"/>
      <c r="R47" s="449"/>
      <c r="S47" s="445">
        <f t="shared" si="0"/>
        <v>0</v>
      </c>
      <c r="T47" s="445">
        <f t="shared" si="1"/>
        <v>0</v>
      </c>
      <c r="U47" s="445">
        <f t="shared" si="2"/>
        <v>0</v>
      </c>
      <c r="W47" s="450"/>
      <c r="X47" s="448"/>
      <c r="Y47" s="441"/>
      <c r="Z47" s="441"/>
      <c r="AA47" s="441"/>
      <c r="AB47" s="441"/>
      <c r="AC47" s="441"/>
      <c r="AD47" s="441"/>
      <c r="AE47" s="441"/>
      <c r="AF47" s="441"/>
      <c r="AG47" s="441"/>
      <c r="AH47" s="441"/>
      <c r="AI47" s="441"/>
      <c r="AJ47" s="441"/>
      <c r="AK47" s="441"/>
      <c r="AL47" s="441"/>
      <c r="AM47" s="441"/>
      <c r="AN47" s="441"/>
      <c r="AO47" s="441"/>
    </row>
    <row r="48" spans="1:41" ht="12.75" hidden="1" thickBot="1">
      <c r="A48" s="1" t="s">
        <v>1271</v>
      </c>
      <c r="B48" s="2" t="s">
        <v>214</v>
      </c>
      <c r="C48" s="2" t="s">
        <v>1037</v>
      </c>
      <c r="D48" s="8" t="s">
        <v>459</v>
      </c>
      <c r="E48" s="5"/>
      <c r="F48" s="6"/>
      <c r="G48" s="451"/>
      <c r="H48" s="6"/>
      <c r="I48" s="6"/>
      <c r="J48" s="6"/>
      <c r="K48" s="6"/>
      <c r="L48" s="6"/>
      <c r="M48" s="451"/>
      <c r="N48" s="451"/>
      <c r="O48" s="6"/>
      <c r="P48" s="6"/>
      <c r="Q48" s="451"/>
      <c r="R48" s="451"/>
      <c r="S48" s="445">
        <f t="shared" si="0"/>
        <v>0</v>
      </c>
      <c r="T48" s="445">
        <f t="shared" si="1"/>
        <v>0</v>
      </c>
      <c r="U48" s="445">
        <f t="shared" si="2"/>
        <v>0</v>
      </c>
      <c r="W48" s="450"/>
      <c r="X48" s="448"/>
      <c r="Y48" s="441"/>
      <c r="Z48" s="441"/>
      <c r="AA48" s="441"/>
      <c r="AB48" s="441"/>
      <c r="AC48" s="441"/>
      <c r="AD48" s="441"/>
      <c r="AE48" s="441"/>
      <c r="AF48" s="441"/>
      <c r="AG48" s="441"/>
      <c r="AH48" s="441"/>
      <c r="AI48" s="441"/>
      <c r="AJ48" s="441"/>
      <c r="AK48" s="441"/>
      <c r="AL48" s="441"/>
      <c r="AM48" s="441"/>
      <c r="AN48" s="441"/>
      <c r="AO48" s="441"/>
    </row>
    <row r="49" spans="1:41" ht="12.75" hidden="1" thickBot="1">
      <c r="A49" s="1" t="s">
        <v>1271</v>
      </c>
      <c r="B49" s="2" t="s">
        <v>1231</v>
      </c>
      <c r="C49" s="2" t="s">
        <v>1232</v>
      </c>
      <c r="D49" s="8" t="s">
        <v>459</v>
      </c>
      <c r="E49" s="3"/>
      <c r="F49" s="4"/>
      <c r="G49" s="4"/>
      <c r="H49" s="4"/>
      <c r="I49" s="4"/>
      <c r="J49" s="4"/>
      <c r="K49" s="4"/>
      <c r="L49" s="4"/>
      <c r="M49" s="4"/>
      <c r="N49" s="4"/>
      <c r="O49" s="4"/>
      <c r="P49" s="4"/>
      <c r="Q49" s="4"/>
      <c r="R49" s="4"/>
      <c r="S49" s="445">
        <f t="shared" si="0"/>
        <v>0</v>
      </c>
      <c r="T49" s="445">
        <f t="shared" si="1"/>
        <v>0</v>
      </c>
      <c r="U49" s="445">
        <f t="shared" si="2"/>
        <v>0</v>
      </c>
      <c r="W49" s="450"/>
      <c r="X49" s="448"/>
      <c r="Y49" s="441"/>
      <c r="Z49" s="441"/>
      <c r="AA49" s="441"/>
      <c r="AB49" s="441"/>
      <c r="AC49" s="441"/>
      <c r="AD49" s="441"/>
      <c r="AE49" s="441"/>
      <c r="AF49" s="441"/>
      <c r="AG49" s="441"/>
      <c r="AH49" s="441"/>
      <c r="AI49" s="441"/>
      <c r="AJ49" s="441"/>
      <c r="AK49" s="441"/>
      <c r="AL49" s="441"/>
      <c r="AM49" s="441"/>
      <c r="AN49" s="441"/>
      <c r="AO49" s="441"/>
    </row>
    <row r="50" spans="1:41" ht="12.75" hidden="1" thickBot="1">
      <c r="A50" s="1" t="s">
        <v>1271</v>
      </c>
      <c r="B50" s="2" t="s">
        <v>215</v>
      </c>
      <c r="C50" s="2" t="s">
        <v>1038</v>
      </c>
      <c r="D50" s="8" t="s">
        <v>459</v>
      </c>
      <c r="E50" s="5"/>
      <c r="F50" s="6"/>
      <c r="G50" s="451"/>
      <c r="H50" s="6"/>
      <c r="I50" s="6"/>
      <c r="J50" s="6"/>
      <c r="K50" s="6"/>
      <c r="L50" s="6"/>
      <c r="M50" s="451"/>
      <c r="N50" s="451"/>
      <c r="O50" s="6"/>
      <c r="P50" s="6"/>
      <c r="Q50" s="451"/>
      <c r="R50" s="451"/>
      <c r="S50" s="445">
        <f t="shared" si="0"/>
        <v>0</v>
      </c>
      <c r="T50" s="445">
        <f t="shared" si="1"/>
        <v>0</v>
      </c>
      <c r="U50" s="445">
        <f t="shared" si="2"/>
        <v>0</v>
      </c>
      <c r="W50" s="450"/>
      <c r="X50" s="448"/>
      <c r="Y50" s="441"/>
      <c r="Z50" s="441"/>
      <c r="AA50" s="441"/>
      <c r="AB50" s="441"/>
      <c r="AC50" s="441"/>
      <c r="AD50" s="441"/>
      <c r="AE50" s="441"/>
      <c r="AF50" s="441"/>
      <c r="AG50" s="441"/>
      <c r="AH50" s="441"/>
      <c r="AI50" s="441"/>
      <c r="AJ50" s="441"/>
      <c r="AK50" s="441"/>
      <c r="AL50" s="441"/>
      <c r="AM50" s="441"/>
      <c r="AN50" s="441"/>
      <c r="AO50" s="441"/>
    </row>
    <row r="51" spans="1:41" ht="12.75" hidden="1" thickBot="1">
      <c r="A51" s="1" t="s">
        <v>1271</v>
      </c>
      <c r="B51" s="2" t="s">
        <v>216</v>
      </c>
      <c r="C51" s="2" t="s">
        <v>1039</v>
      </c>
      <c r="D51" s="8" t="s">
        <v>459</v>
      </c>
      <c r="E51" s="3"/>
      <c r="F51" s="4"/>
      <c r="G51" s="449"/>
      <c r="H51" s="4"/>
      <c r="I51" s="4"/>
      <c r="J51" s="4"/>
      <c r="K51" s="4"/>
      <c r="L51" s="4"/>
      <c r="M51" s="449"/>
      <c r="N51" s="449"/>
      <c r="O51" s="4"/>
      <c r="P51" s="4"/>
      <c r="Q51" s="449"/>
      <c r="R51" s="449"/>
      <c r="S51" s="445">
        <f t="shared" si="0"/>
        <v>0</v>
      </c>
      <c r="T51" s="445">
        <f t="shared" si="1"/>
        <v>0</v>
      </c>
      <c r="U51" s="445">
        <f t="shared" si="2"/>
        <v>0</v>
      </c>
      <c r="W51" s="450"/>
      <c r="X51" s="448"/>
      <c r="Y51" s="441"/>
      <c r="Z51" s="441"/>
      <c r="AA51" s="441"/>
      <c r="AB51" s="441"/>
      <c r="AC51" s="441"/>
      <c r="AD51" s="441"/>
      <c r="AE51" s="441"/>
      <c r="AF51" s="441"/>
      <c r="AG51" s="441"/>
      <c r="AH51" s="441"/>
      <c r="AI51" s="441"/>
      <c r="AJ51" s="441"/>
      <c r="AK51" s="441"/>
      <c r="AL51" s="441"/>
      <c r="AM51" s="441"/>
      <c r="AN51" s="441"/>
      <c r="AO51" s="441"/>
    </row>
    <row r="52" spans="1:41" ht="12.75" hidden="1" thickBot="1">
      <c r="A52" s="1" t="s">
        <v>1271</v>
      </c>
      <c r="B52" s="2" t="s">
        <v>217</v>
      </c>
      <c r="C52" s="2" t="s">
        <v>1040</v>
      </c>
      <c r="D52" s="8" t="s">
        <v>459</v>
      </c>
      <c r="E52" s="5"/>
      <c r="F52" s="6"/>
      <c r="G52" s="451"/>
      <c r="H52" s="6"/>
      <c r="I52" s="6"/>
      <c r="J52" s="6"/>
      <c r="K52" s="6"/>
      <c r="L52" s="6"/>
      <c r="M52" s="451"/>
      <c r="N52" s="451"/>
      <c r="O52" s="6"/>
      <c r="P52" s="6"/>
      <c r="Q52" s="451"/>
      <c r="R52" s="451"/>
      <c r="S52" s="445">
        <f t="shared" si="0"/>
        <v>0</v>
      </c>
      <c r="T52" s="445">
        <f t="shared" si="1"/>
        <v>0</v>
      </c>
      <c r="U52" s="445">
        <f t="shared" si="2"/>
        <v>0</v>
      </c>
      <c r="W52" s="450"/>
      <c r="X52" s="448"/>
      <c r="Y52" s="441"/>
      <c r="Z52" s="441"/>
      <c r="AA52" s="441"/>
      <c r="AB52" s="441"/>
      <c r="AC52" s="441"/>
      <c r="AD52" s="441"/>
      <c r="AE52" s="441"/>
      <c r="AF52" s="441"/>
      <c r="AG52" s="441"/>
      <c r="AH52" s="441"/>
      <c r="AI52" s="441"/>
      <c r="AJ52" s="441"/>
      <c r="AK52" s="441"/>
      <c r="AL52" s="441"/>
      <c r="AM52" s="441"/>
      <c r="AN52" s="441"/>
      <c r="AO52" s="441"/>
    </row>
    <row r="53" spans="1:41" ht="12.75" hidden="1" thickBot="1">
      <c r="A53" s="1" t="s">
        <v>1271</v>
      </c>
      <c r="B53" s="2" t="s">
        <v>344</v>
      </c>
      <c r="C53" s="2" t="s">
        <v>1041</v>
      </c>
      <c r="D53" s="8" t="s">
        <v>459</v>
      </c>
      <c r="E53" s="3"/>
      <c r="F53" s="4"/>
      <c r="G53" s="449"/>
      <c r="H53" s="4"/>
      <c r="I53" s="4"/>
      <c r="J53" s="4"/>
      <c r="K53" s="4"/>
      <c r="L53" s="4"/>
      <c r="M53" s="449"/>
      <c r="N53" s="449"/>
      <c r="O53" s="4"/>
      <c r="P53" s="4"/>
      <c r="Q53" s="449"/>
      <c r="R53" s="449"/>
      <c r="S53" s="445">
        <f t="shared" si="0"/>
        <v>0</v>
      </c>
      <c r="T53" s="445">
        <f t="shared" si="1"/>
        <v>0</v>
      </c>
      <c r="U53" s="445">
        <f t="shared" si="2"/>
        <v>0</v>
      </c>
      <c r="W53" s="450"/>
      <c r="X53" s="448"/>
      <c r="Y53" s="441"/>
      <c r="Z53" s="441"/>
      <c r="AA53" s="441"/>
      <c r="AB53" s="441"/>
      <c r="AC53" s="441"/>
      <c r="AD53" s="441"/>
      <c r="AE53" s="441"/>
      <c r="AF53" s="441"/>
      <c r="AG53" s="441"/>
      <c r="AH53" s="441"/>
      <c r="AI53" s="441"/>
      <c r="AJ53" s="441"/>
      <c r="AK53" s="441"/>
      <c r="AL53" s="441"/>
      <c r="AM53" s="441"/>
      <c r="AN53" s="441"/>
      <c r="AO53" s="441"/>
    </row>
    <row r="54" spans="1:41" ht="12.75" hidden="1" thickBot="1">
      <c r="A54" s="1" t="s">
        <v>1271</v>
      </c>
      <c r="B54" s="2" t="s">
        <v>1233</v>
      </c>
      <c r="C54" s="2" t="s">
        <v>1234</v>
      </c>
      <c r="D54" s="8" t="s">
        <v>459</v>
      </c>
      <c r="E54" s="5"/>
      <c r="F54" s="6"/>
      <c r="G54" s="6"/>
      <c r="H54" s="6"/>
      <c r="I54" s="6"/>
      <c r="J54" s="6"/>
      <c r="K54" s="6"/>
      <c r="L54" s="6"/>
      <c r="M54" s="6"/>
      <c r="N54" s="6"/>
      <c r="O54" s="6"/>
      <c r="P54" s="6"/>
      <c r="Q54" s="6"/>
      <c r="R54" s="6"/>
      <c r="S54" s="445">
        <f t="shared" si="0"/>
        <v>0</v>
      </c>
      <c r="T54" s="445">
        <f t="shared" si="1"/>
        <v>0</v>
      </c>
      <c r="U54" s="445">
        <f t="shared" si="2"/>
        <v>0</v>
      </c>
      <c r="W54" s="450"/>
      <c r="X54" s="448"/>
      <c r="Y54" s="441"/>
      <c r="Z54" s="441"/>
      <c r="AA54" s="441"/>
      <c r="AB54" s="441"/>
      <c r="AC54" s="441"/>
      <c r="AD54" s="441"/>
      <c r="AE54" s="441"/>
      <c r="AF54" s="441"/>
      <c r="AG54" s="441"/>
      <c r="AH54" s="441"/>
      <c r="AI54" s="441"/>
      <c r="AJ54" s="441"/>
      <c r="AK54" s="441"/>
      <c r="AL54" s="441"/>
      <c r="AM54" s="441"/>
      <c r="AN54" s="441"/>
      <c r="AO54" s="441"/>
    </row>
    <row r="55" spans="1:41" ht="12.75" hidden="1" thickBot="1">
      <c r="A55" s="1" t="s">
        <v>1271</v>
      </c>
      <c r="B55" s="2" t="s">
        <v>218</v>
      </c>
      <c r="C55" s="2" t="s">
        <v>1042</v>
      </c>
      <c r="D55" s="8" t="s">
        <v>459</v>
      </c>
      <c r="E55" s="3"/>
      <c r="F55" s="4"/>
      <c r="G55" s="449"/>
      <c r="H55" s="4"/>
      <c r="I55" s="4"/>
      <c r="J55" s="4"/>
      <c r="K55" s="4"/>
      <c r="L55" s="4"/>
      <c r="M55" s="449"/>
      <c r="N55" s="449"/>
      <c r="O55" s="4"/>
      <c r="P55" s="4"/>
      <c r="Q55" s="449"/>
      <c r="R55" s="449"/>
      <c r="S55" s="445">
        <f t="shared" si="0"/>
        <v>0</v>
      </c>
      <c r="T55" s="445">
        <f t="shared" si="1"/>
        <v>0</v>
      </c>
      <c r="U55" s="445">
        <f t="shared" si="2"/>
        <v>0</v>
      </c>
      <c r="W55" s="450"/>
      <c r="X55" s="448"/>
      <c r="Y55" s="441"/>
      <c r="Z55" s="441"/>
      <c r="AA55" s="441"/>
      <c r="AB55" s="441"/>
      <c r="AC55" s="441"/>
      <c r="AD55" s="441"/>
      <c r="AE55" s="441"/>
      <c r="AF55" s="441"/>
      <c r="AG55" s="441"/>
      <c r="AH55" s="441"/>
      <c r="AI55" s="441"/>
      <c r="AJ55" s="441"/>
      <c r="AK55" s="441"/>
      <c r="AL55" s="441"/>
      <c r="AM55" s="441"/>
      <c r="AN55" s="441"/>
      <c r="AO55" s="441"/>
    </row>
    <row r="56" spans="1:41" ht="12.75" hidden="1" thickBot="1">
      <c r="A56" s="1" t="s">
        <v>1271</v>
      </c>
      <c r="B56" s="2" t="s">
        <v>223</v>
      </c>
      <c r="C56" s="2" t="s">
        <v>1043</v>
      </c>
      <c r="D56" s="8" t="s">
        <v>459</v>
      </c>
      <c r="E56" s="5"/>
      <c r="F56" s="6"/>
      <c r="G56" s="451"/>
      <c r="H56" s="6"/>
      <c r="I56" s="6"/>
      <c r="J56" s="6"/>
      <c r="K56" s="6"/>
      <c r="L56" s="6"/>
      <c r="M56" s="451"/>
      <c r="N56" s="451"/>
      <c r="O56" s="6"/>
      <c r="P56" s="6"/>
      <c r="Q56" s="451"/>
      <c r="R56" s="451"/>
      <c r="S56" s="445">
        <f t="shared" si="0"/>
        <v>0</v>
      </c>
      <c r="T56" s="445">
        <f t="shared" si="1"/>
        <v>0</v>
      </c>
      <c r="U56" s="445">
        <f t="shared" si="2"/>
        <v>0</v>
      </c>
      <c r="W56" s="450"/>
      <c r="X56" s="448"/>
      <c r="Y56" s="441"/>
      <c r="Z56" s="441"/>
      <c r="AA56" s="441"/>
      <c r="AB56" s="441"/>
      <c r="AC56" s="441"/>
      <c r="AD56" s="441"/>
      <c r="AE56" s="441"/>
      <c r="AF56" s="441"/>
      <c r="AG56" s="441"/>
      <c r="AH56" s="441"/>
      <c r="AI56" s="441"/>
      <c r="AJ56" s="441"/>
      <c r="AK56" s="441"/>
      <c r="AL56" s="441"/>
      <c r="AM56" s="441"/>
      <c r="AN56" s="441"/>
      <c r="AO56" s="441"/>
    </row>
    <row r="57" spans="1:41" ht="12.75" hidden="1" thickBot="1">
      <c r="A57" s="1" t="s">
        <v>1271</v>
      </c>
      <c r="B57" s="2" t="s">
        <v>231</v>
      </c>
      <c r="C57" s="2" t="s">
        <v>1044</v>
      </c>
      <c r="D57" s="8" t="s">
        <v>459</v>
      </c>
      <c r="E57" s="3"/>
      <c r="F57" s="4"/>
      <c r="G57" s="449"/>
      <c r="H57" s="4"/>
      <c r="I57" s="4"/>
      <c r="J57" s="4"/>
      <c r="K57" s="4"/>
      <c r="L57" s="4"/>
      <c r="M57" s="449"/>
      <c r="N57" s="449"/>
      <c r="O57" s="4"/>
      <c r="P57" s="4"/>
      <c r="Q57" s="449"/>
      <c r="R57" s="449"/>
      <c r="S57" s="445">
        <f t="shared" si="0"/>
        <v>0</v>
      </c>
      <c r="T57" s="445">
        <f t="shared" si="1"/>
        <v>0</v>
      </c>
      <c r="U57" s="445">
        <f t="shared" si="2"/>
        <v>0</v>
      </c>
      <c r="W57" s="450"/>
      <c r="X57" s="448"/>
      <c r="Y57" s="441"/>
      <c r="Z57" s="441"/>
      <c r="AA57" s="441"/>
      <c r="AB57" s="441"/>
      <c r="AC57" s="441"/>
      <c r="AD57" s="441"/>
      <c r="AE57" s="441"/>
      <c r="AF57" s="441"/>
      <c r="AG57" s="441"/>
      <c r="AH57" s="441"/>
      <c r="AI57" s="441"/>
      <c r="AJ57" s="441"/>
      <c r="AK57" s="441"/>
      <c r="AL57" s="441"/>
      <c r="AM57" s="441"/>
      <c r="AN57" s="441"/>
      <c r="AO57" s="441"/>
    </row>
    <row r="58" spans="1:41" ht="12.75" hidden="1" thickBot="1">
      <c r="A58" s="1" t="s">
        <v>1271</v>
      </c>
      <c r="B58" s="2" t="s">
        <v>232</v>
      </c>
      <c r="C58" s="2" t="s">
        <v>1045</v>
      </c>
      <c r="D58" s="8" t="s">
        <v>459</v>
      </c>
      <c r="E58" s="5"/>
      <c r="F58" s="6"/>
      <c r="G58" s="451"/>
      <c r="H58" s="6"/>
      <c r="I58" s="6"/>
      <c r="J58" s="6"/>
      <c r="K58" s="6"/>
      <c r="L58" s="6"/>
      <c r="M58" s="451"/>
      <c r="N58" s="451"/>
      <c r="O58" s="6"/>
      <c r="P58" s="6"/>
      <c r="Q58" s="451"/>
      <c r="R58" s="451"/>
      <c r="S58" s="445">
        <f t="shared" si="0"/>
        <v>0</v>
      </c>
      <c r="T58" s="445">
        <f t="shared" si="1"/>
        <v>0</v>
      </c>
      <c r="U58" s="445">
        <f t="shared" si="2"/>
        <v>0</v>
      </c>
      <c r="W58" s="450"/>
      <c r="X58" s="448"/>
      <c r="Y58" s="441"/>
      <c r="Z58" s="441"/>
      <c r="AA58" s="441"/>
      <c r="AB58" s="441"/>
      <c r="AC58" s="441"/>
      <c r="AD58" s="441"/>
      <c r="AE58" s="441"/>
      <c r="AF58" s="441"/>
      <c r="AG58" s="441"/>
      <c r="AH58" s="441"/>
      <c r="AI58" s="441"/>
      <c r="AJ58" s="441"/>
      <c r="AK58" s="441"/>
      <c r="AL58" s="441"/>
      <c r="AM58" s="441"/>
      <c r="AN58" s="441"/>
      <c r="AO58" s="441"/>
    </row>
    <row r="59" spans="1:41" ht="12.75" hidden="1" thickBot="1">
      <c r="A59" s="1" t="s">
        <v>1271</v>
      </c>
      <c r="B59" s="2" t="s">
        <v>234</v>
      </c>
      <c r="C59" s="2" t="s">
        <v>1046</v>
      </c>
      <c r="D59" s="8" t="s">
        <v>459</v>
      </c>
      <c r="E59" s="3"/>
      <c r="F59" s="4"/>
      <c r="G59" s="449"/>
      <c r="H59" s="4"/>
      <c r="I59" s="4"/>
      <c r="J59" s="4"/>
      <c r="K59" s="4"/>
      <c r="L59" s="4"/>
      <c r="M59" s="449"/>
      <c r="N59" s="449"/>
      <c r="O59" s="4"/>
      <c r="P59" s="4"/>
      <c r="Q59" s="449"/>
      <c r="R59" s="449"/>
      <c r="S59" s="445">
        <f t="shared" si="0"/>
        <v>0</v>
      </c>
      <c r="T59" s="445">
        <f t="shared" si="1"/>
        <v>0</v>
      </c>
      <c r="U59" s="445">
        <f t="shared" si="2"/>
        <v>0</v>
      </c>
      <c r="W59" s="450"/>
      <c r="X59" s="448"/>
      <c r="Y59" s="441"/>
      <c r="Z59" s="441"/>
      <c r="AA59" s="441"/>
      <c r="AB59" s="441"/>
      <c r="AC59" s="441"/>
      <c r="AD59" s="441"/>
      <c r="AE59" s="441"/>
      <c r="AF59" s="441"/>
      <c r="AG59" s="441"/>
      <c r="AH59" s="441"/>
      <c r="AI59" s="441"/>
      <c r="AJ59" s="441"/>
      <c r="AK59" s="441"/>
      <c r="AL59" s="441"/>
      <c r="AM59" s="441"/>
      <c r="AN59" s="441"/>
      <c r="AO59" s="441"/>
    </row>
    <row r="60" spans="1:41" ht="12.75" hidden="1" thickBot="1">
      <c r="A60" s="1" t="s">
        <v>1271</v>
      </c>
      <c r="B60" s="2" t="s">
        <v>353</v>
      </c>
      <c r="C60" s="2" t="s">
        <v>1047</v>
      </c>
      <c r="D60" s="8" t="s">
        <v>459</v>
      </c>
      <c r="E60" s="5"/>
      <c r="F60" s="6"/>
      <c r="G60" s="451"/>
      <c r="H60" s="6"/>
      <c r="I60" s="6"/>
      <c r="J60" s="6"/>
      <c r="K60" s="6"/>
      <c r="L60" s="6"/>
      <c r="M60" s="451"/>
      <c r="N60" s="451"/>
      <c r="O60" s="6"/>
      <c r="P60" s="6"/>
      <c r="Q60" s="451"/>
      <c r="R60" s="451"/>
      <c r="S60" s="445">
        <f t="shared" si="0"/>
        <v>0</v>
      </c>
      <c r="T60" s="445">
        <f t="shared" si="1"/>
        <v>0</v>
      </c>
      <c r="U60" s="445">
        <f t="shared" si="2"/>
        <v>0</v>
      </c>
      <c r="W60" s="450"/>
      <c r="X60" s="448"/>
      <c r="Y60" s="441"/>
      <c r="Z60" s="441"/>
      <c r="AA60" s="441"/>
      <c r="AB60" s="441"/>
      <c r="AC60" s="441"/>
      <c r="AD60" s="441"/>
      <c r="AE60" s="441"/>
      <c r="AF60" s="441"/>
      <c r="AG60" s="441"/>
      <c r="AH60" s="441"/>
      <c r="AI60" s="441"/>
      <c r="AJ60" s="441"/>
      <c r="AK60" s="441"/>
      <c r="AL60" s="441"/>
      <c r="AM60" s="441"/>
      <c r="AN60" s="441"/>
      <c r="AO60" s="441"/>
    </row>
    <row r="61" spans="1:41" ht="12.75" hidden="1" thickBot="1">
      <c r="A61" s="1" t="s">
        <v>1271</v>
      </c>
      <c r="B61" s="2" t="s">
        <v>235</v>
      </c>
      <c r="C61" s="2" t="s">
        <v>1048</v>
      </c>
      <c r="D61" s="8" t="s">
        <v>459</v>
      </c>
      <c r="E61" s="3"/>
      <c r="F61" s="4"/>
      <c r="G61" s="449"/>
      <c r="H61" s="4"/>
      <c r="I61" s="4"/>
      <c r="J61" s="4"/>
      <c r="K61" s="4"/>
      <c r="L61" s="4"/>
      <c r="M61" s="449"/>
      <c r="N61" s="449"/>
      <c r="O61" s="4"/>
      <c r="P61" s="4"/>
      <c r="Q61" s="449"/>
      <c r="R61" s="449"/>
      <c r="S61" s="445">
        <f t="shared" si="0"/>
        <v>0</v>
      </c>
      <c r="T61" s="445">
        <f t="shared" si="1"/>
        <v>0</v>
      </c>
      <c r="U61" s="445">
        <f t="shared" si="2"/>
        <v>0</v>
      </c>
      <c r="W61" s="450"/>
      <c r="X61" s="448"/>
      <c r="Y61" s="441"/>
      <c r="Z61" s="441"/>
      <c r="AA61" s="441"/>
      <c r="AB61" s="441"/>
      <c r="AC61" s="441"/>
      <c r="AD61" s="441"/>
      <c r="AE61" s="441"/>
      <c r="AF61" s="441"/>
      <c r="AG61" s="441"/>
      <c r="AH61" s="441"/>
      <c r="AI61" s="441"/>
      <c r="AJ61" s="441"/>
      <c r="AK61" s="441"/>
      <c r="AL61" s="441"/>
      <c r="AM61" s="441"/>
      <c r="AN61" s="441"/>
      <c r="AO61" s="441"/>
    </row>
    <row r="62" spans="1:41" ht="12.75" hidden="1" thickBot="1">
      <c r="A62" s="1" t="s">
        <v>1271</v>
      </c>
      <c r="B62" s="2" t="s">
        <v>236</v>
      </c>
      <c r="C62" s="2" t="s">
        <v>1049</v>
      </c>
      <c r="D62" s="8" t="s">
        <v>459</v>
      </c>
      <c r="E62" s="5"/>
      <c r="F62" s="6"/>
      <c r="G62" s="451"/>
      <c r="H62" s="6"/>
      <c r="I62" s="6"/>
      <c r="J62" s="6"/>
      <c r="K62" s="6"/>
      <c r="L62" s="6"/>
      <c r="M62" s="451"/>
      <c r="N62" s="451"/>
      <c r="O62" s="6"/>
      <c r="P62" s="6"/>
      <c r="Q62" s="451"/>
      <c r="R62" s="451"/>
      <c r="S62" s="445">
        <f t="shared" si="0"/>
        <v>0</v>
      </c>
      <c r="T62" s="445">
        <f t="shared" si="1"/>
        <v>0</v>
      </c>
      <c r="U62" s="445">
        <f t="shared" si="2"/>
        <v>0</v>
      </c>
      <c r="W62" s="450"/>
      <c r="X62" s="448"/>
      <c r="Y62" s="441"/>
      <c r="Z62" s="441"/>
      <c r="AA62" s="441"/>
      <c r="AB62" s="441"/>
      <c r="AC62" s="441"/>
      <c r="AD62" s="441"/>
      <c r="AE62" s="441"/>
      <c r="AF62" s="441"/>
      <c r="AG62" s="441"/>
      <c r="AH62" s="441"/>
      <c r="AI62" s="441"/>
      <c r="AJ62" s="441"/>
      <c r="AK62" s="441"/>
      <c r="AL62" s="441"/>
      <c r="AM62" s="441"/>
      <c r="AN62" s="441"/>
      <c r="AO62" s="441"/>
    </row>
    <row r="63" spans="1:41" ht="12.75" hidden="1" thickBot="1">
      <c r="A63" s="1" t="s">
        <v>1271</v>
      </c>
      <c r="B63" s="2" t="s">
        <v>354</v>
      </c>
      <c r="C63" s="2" t="s">
        <v>1050</v>
      </c>
      <c r="D63" s="8" t="s">
        <v>459</v>
      </c>
      <c r="E63" s="3"/>
      <c r="F63" s="4"/>
      <c r="G63" s="449"/>
      <c r="H63" s="4"/>
      <c r="I63" s="4"/>
      <c r="J63" s="4"/>
      <c r="K63" s="4"/>
      <c r="L63" s="4"/>
      <c r="M63" s="449"/>
      <c r="N63" s="449"/>
      <c r="O63" s="4"/>
      <c r="P63" s="4"/>
      <c r="Q63" s="449"/>
      <c r="R63" s="449"/>
      <c r="S63" s="445">
        <f t="shared" si="0"/>
        <v>0</v>
      </c>
      <c r="T63" s="445">
        <f t="shared" si="1"/>
        <v>0</v>
      </c>
      <c r="U63" s="445">
        <f t="shared" si="2"/>
        <v>0</v>
      </c>
      <c r="W63" s="450"/>
      <c r="X63" s="448"/>
      <c r="Y63" s="441"/>
      <c r="Z63" s="441"/>
      <c r="AA63" s="441"/>
      <c r="AB63" s="441"/>
      <c r="AC63" s="441"/>
      <c r="AD63" s="441"/>
      <c r="AE63" s="441"/>
      <c r="AF63" s="441"/>
      <c r="AG63" s="441"/>
      <c r="AH63" s="441"/>
      <c r="AI63" s="441"/>
      <c r="AJ63" s="441"/>
      <c r="AK63" s="441"/>
      <c r="AL63" s="441"/>
      <c r="AM63" s="441"/>
      <c r="AN63" s="441"/>
      <c r="AO63" s="441"/>
    </row>
    <row r="64" spans="1:41" ht="12.75" hidden="1" thickBot="1">
      <c r="A64" s="1" t="s">
        <v>1271</v>
      </c>
      <c r="B64" s="2" t="s">
        <v>355</v>
      </c>
      <c r="C64" s="2" t="s">
        <v>1051</v>
      </c>
      <c r="D64" s="8" t="s">
        <v>459</v>
      </c>
      <c r="E64" s="5"/>
      <c r="F64" s="6"/>
      <c r="G64" s="451"/>
      <c r="H64" s="6"/>
      <c r="I64" s="6"/>
      <c r="J64" s="6"/>
      <c r="K64" s="6"/>
      <c r="L64" s="6"/>
      <c r="M64" s="451"/>
      <c r="N64" s="451"/>
      <c r="O64" s="6"/>
      <c r="P64" s="6"/>
      <c r="Q64" s="451"/>
      <c r="R64" s="451"/>
      <c r="S64" s="445">
        <f t="shared" si="0"/>
        <v>0</v>
      </c>
      <c r="T64" s="445">
        <f t="shared" si="1"/>
        <v>0</v>
      </c>
      <c r="U64" s="445">
        <f t="shared" si="2"/>
        <v>0</v>
      </c>
      <c r="W64" s="450"/>
      <c r="X64" s="448"/>
      <c r="Y64" s="441"/>
      <c r="Z64" s="441"/>
      <c r="AA64" s="441"/>
      <c r="AB64" s="441"/>
      <c r="AC64" s="441"/>
      <c r="AD64" s="441"/>
      <c r="AE64" s="441"/>
      <c r="AF64" s="441"/>
      <c r="AG64" s="441"/>
      <c r="AH64" s="441"/>
      <c r="AI64" s="441"/>
      <c r="AJ64" s="441"/>
      <c r="AK64" s="441"/>
      <c r="AL64" s="441"/>
      <c r="AM64" s="441"/>
      <c r="AN64" s="441"/>
      <c r="AO64" s="441"/>
    </row>
    <row r="65" spans="1:41" ht="12.75" hidden="1" thickBot="1">
      <c r="A65" s="1" t="s">
        <v>1271</v>
      </c>
      <c r="B65" s="2" t="s">
        <v>359</v>
      </c>
      <c r="C65" s="2" t="s">
        <v>1052</v>
      </c>
      <c r="D65" s="8" t="s">
        <v>459</v>
      </c>
      <c r="E65" s="3"/>
      <c r="F65" s="4"/>
      <c r="G65" s="449"/>
      <c r="H65" s="4"/>
      <c r="I65" s="4"/>
      <c r="J65" s="4"/>
      <c r="K65" s="4"/>
      <c r="L65" s="4"/>
      <c r="M65" s="449"/>
      <c r="N65" s="449"/>
      <c r="O65" s="4"/>
      <c r="P65" s="4"/>
      <c r="Q65" s="449"/>
      <c r="R65" s="449"/>
      <c r="S65" s="445">
        <f t="shared" si="0"/>
        <v>0</v>
      </c>
      <c r="T65" s="445">
        <f t="shared" si="1"/>
        <v>0</v>
      </c>
      <c r="U65" s="445">
        <f t="shared" si="2"/>
        <v>0</v>
      </c>
      <c r="W65" s="450"/>
      <c r="X65" s="448"/>
      <c r="Y65" s="441"/>
      <c r="Z65" s="441"/>
      <c r="AA65" s="441"/>
      <c r="AB65" s="441"/>
      <c r="AC65" s="441"/>
      <c r="AD65" s="441"/>
      <c r="AE65" s="441"/>
      <c r="AF65" s="441"/>
      <c r="AG65" s="441"/>
      <c r="AH65" s="441"/>
      <c r="AI65" s="441"/>
      <c r="AJ65" s="441"/>
      <c r="AK65" s="441"/>
      <c r="AL65" s="441"/>
      <c r="AM65" s="441"/>
      <c r="AN65" s="441"/>
      <c r="AO65" s="441"/>
    </row>
    <row r="66" spans="1:41" ht="12.75" hidden="1" thickBot="1">
      <c r="A66" s="1" t="s">
        <v>1271</v>
      </c>
      <c r="B66" s="2" t="s">
        <v>356</v>
      </c>
      <c r="C66" s="2" t="s">
        <v>1053</v>
      </c>
      <c r="D66" s="8" t="s">
        <v>459</v>
      </c>
      <c r="E66" s="5"/>
      <c r="F66" s="6"/>
      <c r="G66" s="451"/>
      <c r="H66" s="6"/>
      <c r="I66" s="6"/>
      <c r="J66" s="6"/>
      <c r="K66" s="6"/>
      <c r="L66" s="6"/>
      <c r="M66" s="451"/>
      <c r="N66" s="451"/>
      <c r="O66" s="6"/>
      <c r="P66" s="6"/>
      <c r="Q66" s="451"/>
      <c r="R66" s="451"/>
      <c r="S66" s="445">
        <f t="shared" si="0"/>
        <v>0</v>
      </c>
      <c r="T66" s="445">
        <f t="shared" si="1"/>
        <v>0</v>
      </c>
      <c r="U66" s="445">
        <f t="shared" si="2"/>
        <v>0</v>
      </c>
      <c r="W66" s="450"/>
      <c r="X66" s="448"/>
      <c r="Y66" s="441"/>
      <c r="Z66" s="441"/>
      <c r="AA66" s="441"/>
      <c r="AB66" s="441"/>
      <c r="AC66" s="441"/>
      <c r="AD66" s="441"/>
      <c r="AE66" s="441"/>
      <c r="AF66" s="441"/>
      <c r="AG66" s="441"/>
      <c r="AH66" s="441"/>
      <c r="AI66" s="441"/>
      <c r="AJ66" s="441"/>
      <c r="AK66" s="441"/>
      <c r="AL66" s="441"/>
      <c r="AM66" s="441"/>
      <c r="AN66" s="441"/>
      <c r="AO66" s="441"/>
    </row>
    <row r="67" spans="1:41" ht="12.75" hidden="1" thickBot="1">
      <c r="A67" s="1" t="s">
        <v>1271</v>
      </c>
      <c r="B67" s="2" t="s">
        <v>357</v>
      </c>
      <c r="C67" s="2" t="s">
        <v>1054</v>
      </c>
      <c r="D67" s="8" t="s">
        <v>459</v>
      </c>
      <c r="E67" s="3"/>
      <c r="F67" s="4"/>
      <c r="G67" s="449"/>
      <c r="H67" s="4"/>
      <c r="I67" s="4"/>
      <c r="J67" s="4"/>
      <c r="K67" s="4"/>
      <c r="L67" s="4"/>
      <c r="M67" s="449"/>
      <c r="N67" s="449"/>
      <c r="O67" s="4"/>
      <c r="P67" s="4"/>
      <c r="Q67" s="449"/>
      <c r="R67" s="449"/>
      <c r="S67" s="445">
        <f t="shared" si="0"/>
        <v>0</v>
      </c>
      <c r="T67" s="445">
        <f t="shared" si="1"/>
        <v>0</v>
      </c>
      <c r="U67" s="445">
        <f t="shared" si="2"/>
        <v>0</v>
      </c>
      <c r="W67" s="450"/>
      <c r="X67" s="448"/>
      <c r="Y67" s="441"/>
      <c r="Z67" s="441"/>
      <c r="AA67" s="441"/>
      <c r="AB67" s="441"/>
      <c r="AC67" s="441"/>
      <c r="AD67" s="441"/>
      <c r="AE67" s="441"/>
      <c r="AF67" s="441"/>
      <c r="AG67" s="441"/>
      <c r="AH67" s="441"/>
      <c r="AI67" s="441"/>
      <c r="AJ67" s="441"/>
      <c r="AK67" s="441"/>
      <c r="AL67" s="441"/>
      <c r="AM67" s="441"/>
      <c r="AN67" s="441"/>
      <c r="AO67" s="441"/>
    </row>
    <row r="68" spans="1:41" ht="12.75" hidden="1" thickBot="1">
      <c r="A68" s="1" t="s">
        <v>1271</v>
      </c>
      <c r="B68" s="2" t="s">
        <v>358</v>
      </c>
      <c r="C68" s="2" t="s">
        <v>1055</v>
      </c>
      <c r="D68" s="8" t="s">
        <v>459</v>
      </c>
      <c r="E68" s="5"/>
      <c r="F68" s="6"/>
      <c r="G68" s="451"/>
      <c r="H68" s="6"/>
      <c r="I68" s="6"/>
      <c r="J68" s="6"/>
      <c r="K68" s="6"/>
      <c r="L68" s="6"/>
      <c r="M68" s="451"/>
      <c r="N68" s="451"/>
      <c r="O68" s="6"/>
      <c r="P68" s="6"/>
      <c r="Q68" s="451"/>
      <c r="R68" s="451"/>
      <c r="S68" s="445">
        <f t="shared" si="0"/>
        <v>0</v>
      </c>
      <c r="T68" s="445">
        <f t="shared" si="1"/>
        <v>0</v>
      </c>
      <c r="U68" s="445">
        <f t="shared" si="2"/>
        <v>0</v>
      </c>
      <c r="W68" s="450"/>
      <c r="X68" s="448"/>
      <c r="Y68" s="441"/>
      <c r="Z68" s="441"/>
      <c r="AA68" s="441"/>
      <c r="AB68" s="441"/>
      <c r="AC68" s="441"/>
      <c r="AD68" s="441"/>
      <c r="AE68" s="441"/>
      <c r="AF68" s="441"/>
      <c r="AG68" s="441"/>
      <c r="AH68" s="441"/>
      <c r="AI68" s="441"/>
      <c r="AJ68" s="441"/>
      <c r="AK68" s="441"/>
      <c r="AL68" s="441"/>
      <c r="AM68" s="441"/>
      <c r="AN68" s="441"/>
      <c r="AO68" s="441"/>
    </row>
    <row r="69" spans="1:41" ht="12.75" hidden="1" thickBot="1">
      <c r="A69" s="1" t="s">
        <v>1271</v>
      </c>
      <c r="B69" s="2" t="s">
        <v>250</v>
      </c>
      <c r="C69" s="2" t="s">
        <v>1056</v>
      </c>
      <c r="D69" s="8" t="s">
        <v>459</v>
      </c>
      <c r="E69" s="3"/>
      <c r="F69" s="4"/>
      <c r="G69" s="449"/>
      <c r="H69" s="4"/>
      <c r="I69" s="4"/>
      <c r="J69" s="4"/>
      <c r="K69" s="4"/>
      <c r="L69" s="4"/>
      <c r="M69" s="449"/>
      <c r="N69" s="449"/>
      <c r="O69" s="4"/>
      <c r="P69" s="4"/>
      <c r="Q69" s="449"/>
      <c r="R69" s="449"/>
      <c r="S69" s="445">
        <f t="shared" ref="S69:S132" si="7">G69+H69+I69</f>
        <v>0</v>
      </c>
      <c r="T69" s="445">
        <f t="shared" ref="T69:T132" si="8">J69+K69</f>
        <v>0</v>
      </c>
      <c r="U69" s="445">
        <f t="shared" ref="U69:U132" si="9">N69+O69</f>
        <v>0</v>
      </c>
      <c r="W69" s="450"/>
      <c r="X69" s="448"/>
      <c r="Y69" s="441"/>
      <c r="Z69" s="441"/>
      <c r="AA69" s="441"/>
      <c r="AB69" s="441"/>
      <c r="AC69" s="441"/>
      <c r="AD69" s="441"/>
      <c r="AE69" s="441"/>
      <c r="AF69" s="441"/>
      <c r="AG69" s="441"/>
      <c r="AH69" s="441"/>
      <c r="AI69" s="441"/>
      <c r="AJ69" s="441"/>
      <c r="AK69" s="441"/>
      <c r="AL69" s="441"/>
      <c r="AM69" s="441"/>
      <c r="AN69" s="441"/>
      <c r="AO69" s="441"/>
    </row>
    <row r="70" spans="1:41" ht="12.75" hidden="1" thickBot="1">
      <c r="A70" s="1" t="s">
        <v>1271</v>
      </c>
      <c r="B70" s="2" t="s">
        <v>251</v>
      </c>
      <c r="C70" s="2" t="s">
        <v>1057</v>
      </c>
      <c r="D70" s="8" t="s">
        <v>459</v>
      </c>
      <c r="E70" s="5"/>
      <c r="F70" s="6"/>
      <c r="G70" s="451"/>
      <c r="H70" s="6"/>
      <c r="I70" s="6"/>
      <c r="J70" s="6"/>
      <c r="K70" s="6"/>
      <c r="L70" s="6"/>
      <c r="M70" s="451"/>
      <c r="N70" s="451"/>
      <c r="O70" s="6"/>
      <c r="P70" s="6"/>
      <c r="Q70" s="451"/>
      <c r="R70" s="451"/>
      <c r="S70" s="445">
        <f t="shared" si="7"/>
        <v>0</v>
      </c>
      <c r="T70" s="445">
        <f t="shared" si="8"/>
        <v>0</v>
      </c>
      <c r="U70" s="445">
        <f t="shared" si="9"/>
        <v>0</v>
      </c>
      <c r="W70" s="450"/>
      <c r="X70" s="448"/>
      <c r="Y70" s="441"/>
      <c r="Z70" s="441"/>
      <c r="AA70" s="441"/>
      <c r="AB70" s="441"/>
      <c r="AC70" s="441"/>
      <c r="AD70" s="441"/>
      <c r="AE70" s="441"/>
      <c r="AF70" s="441"/>
      <c r="AG70" s="441"/>
      <c r="AH70" s="441"/>
      <c r="AI70" s="441"/>
      <c r="AJ70" s="441"/>
      <c r="AK70" s="441"/>
      <c r="AL70" s="441"/>
      <c r="AM70" s="441"/>
      <c r="AN70" s="441"/>
      <c r="AO70" s="441"/>
    </row>
    <row r="71" spans="1:41" ht="12.75" hidden="1" thickBot="1">
      <c r="A71" s="1" t="s">
        <v>1271</v>
      </c>
      <c r="B71" s="2" t="s">
        <v>254</v>
      </c>
      <c r="C71" s="2" t="s">
        <v>1058</v>
      </c>
      <c r="D71" s="8" t="s">
        <v>459</v>
      </c>
      <c r="E71" s="3"/>
      <c r="F71" s="4"/>
      <c r="G71" s="449"/>
      <c r="H71" s="4"/>
      <c r="I71" s="4"/>
      <c r="J71" s="4"/>
      <c r="K71" s="4"/>
      <c r="L71" s="4"/>
      <c r="M71" s="449"/>
      <c r="N71" s="449"/>
      <c r="O71" s="4"/>
      <c r="P71" s="4"/>
      <c r="Q71" s="449"/>
      <c r="R71" s="449"/>
      <c r="S71" s="445">
        <f t="shared" si="7"/>
        <v>0</v>
      </c>
      <c r="T71" s="445">
        <f t="shared" si="8"/>
        <v>0</v>
      </c>
      <c r="U71" s="445">
        <f t="shared" si="9"/>
        <v>0</v>
      </c>
      <c r="W71" s="450"/>
      <c r="X71" s="448"/>
      <c r="Y71" s="441"/>
      <c r="Z71" s="441"/>
      <c r="AA71" s="441"/>
      <c r="AB71" s="441"/>
      <c r="AC71" s="441"/>
      <c r="AD71" s="441"/>
      <c r="AE71" s="441"/>
      <c r="AF71" s="441"/>
      <c r="AG71" s="441"/>
      <c r="AH71" s="441"/>
      <c r="AI71" s="441"/>
      <c r="AJ71" s="441"/>
      <c r="AK71" s="441"/>
      <c r="AL71" s="441"/>
      <c r="AM71" s="441"/>
      <c r="AN71" s="441"/>
      <c r="AO71" s="441"/>
    </row>
    <row r="72" spans="1:41" ht="12.75" hidden="1" thickBot="1">
      <c r="A72" s="1" t="s">
        <v>1271</v>
      </c>
      <c r="B72" s="2" t="s">
        <v>260</v>
      </c>
      <c r="C72" s="2" t="s">
        <v>1059</v>
      </c>
      <c r="D72" s="8" t="s">
        <v>459</v>
      </c>
      <c r="E72" s="5"/>
      <c r="F72" s="6"/>
      <c r="G72" s="451"/>
      <c r="H72" s="6"/>
      <c r="I72" s="6"/>
      <c r="J72" s="6"/>
      <c r="K72" s="6"/>
      <c r="L72" s="6"/>
      <c r="M72" s="451"/>
      <c r="N72" s="451"/>
      <c r="O72" s="6"/>
      <c r="P72" s="6"/>
      <c r="Q72" s="451"/>
      <c r="R72" s="451"/>
      <c r="S72" s="445">
        <f t="shared" si="7"/>
        <v>0</v>
      </c>
      <c r="T72" s="445">
        <f t="shared" si="8"/>
        <v>0</v>
      </c>
      <c r="U72" s="445">
        <f t="shared" si="9"/>
        <v>0</v>
      </c>
      <c r="W72" s="450"/>
      <c r="X72" s="448"/>
      <c r="Y72" s="441"/>
      <c r="Z72" s="441"/>
      <c r="AA72" s="441"/>
      <c r="AB72" s="441"/>
      <c r="AC72" s="441"/>
      <c r="AD72" s="441"/>
      <c r="AE72" s="441"/>
      <c r="AF72" s="441"/>
      <c r="AG72" s="441"/>
      <c r="AH72" s="441"/>
      <c r="AI72" s="441"/>
      <c r="AJ72" s="441"/>
      <c r="AK72" s="441"/>
      <c r="AL72" s="441"/>
      <c r="AM72" s="441"/>
      <c r="AN72" s="441"/>
      <c r="AO72" s="441"/>
    </row>
    <row r="73" spans="1:41" ht="12.75" hidden="1" thickBot="1">
      <c r="A73" s="1" t="s">
        <v>1271</v>
      </c>
      <c r="B73" s="2" t="s">
        <v>262</v>
      </c>
      <c r="C73" s="2" t="s">
        <v>1060</v>
      </c>
      <c r="D73" s="8" t="s">
        <v>459</v>
      </c>
      <c r="E73" s="3"/>
      <c r="F73" s="4"/>
      <c r="G73" s="449"/>
      <c r="H73" s="4"/>
      <c r="I73" s="4"/>
      <c r="J73" s="4"/>
      <c r="K73" s="4"/>
      <c r="L73" s="4"/>
      <c r="M73" s="449"/>
      <c r="N73" s="449"/>
      <c r="O73" s="4"/>
      <c r="P73" s="4"/>
      <c r="Q73" s="449"/>
      <c r="R73" s="449"/>
      <c r="S73" s="445">
        <f t="shared" si="7"/>
        <v>0</v>
      </c>
      <c r="T73" s="445">
        <f t="shared" si="8"/>
        <v>0</v>
      </c>
      <c r="U73" s="445">
        <f t="shared" si="9"/>
        <v>0</v>
      </c>
      <c r="W73" s="450"/>
      <c r="X73" s="448"/>
      <c r="Y73" s="441"/>
      <c r="Z73" s="441"/>
      <c r="AA73" s="441"/>
      <c r="AB73" s="441"/>
      <c r="AC73" s="441"/>
      <c r="AD73" s="441"/>
      <c r="AE73" s="441"/>
      <c r="AF73" s="441"/>
      <c r="AG73" s="441"/>
      <c r="AH73" s="441"/>
      <c r="AI73" s="441"/>
      <c r="AJ73" s="441"/>
      <c r="AK73" s="441"/>
      <c r="AL73" s="441"/>
      <c r="AM73" s="441"/>
      <c r="AN73" s="441"/>
      <c r="AO73" s="441"/>
    </row>
    <row r="74" spans="1:41" ht="12.75" hidden="1" thickBot="1">
      <c r="A74" s="1" t="s">
        <v>1271</v>
      </c>
      <c r="B74" s="2" t="s">
        <v>340</v>
      </c>
      <c r="C74" s="2" t="s">
        <v>1061</v>
      </c>
      <c r="D74" s="8" t="s">
        <v>567</v>
      </c>
      <c r="E74" s="5"/>
      <c r="F74" s="6"/>
      <c r="G74" s="451"/>
      <c r="H74" s="6"/>
      <c r="I74" s="6"/>
      <c r="J74" s="6"/>
      <c r="K74" s="6"/>
      <c r="L74" s="6"/>
      <c r="M74" s="451"/>
      <c r="N74" s="451"/>
      <c r="O74" s="6"/>
      <c r="P74" s="6"/>
      <c r="Q74" s="6"/>
      <c r="R74" s="451"/>
      <c r="S74" s="445">
        <f t="shared" si="7"/>
        <v>0</v>
      </c>
      <c r="T74" s="445">
        <f t="shared" si="8"/>
        <v>0</v>
      </c>
      <c r="U74" s="445">
        <f t="shared" si="9"/>
        <v>0</v>
      </c>
      <c r="W74" s="450"/>
      <c r="X74" s="448"/>
      <c r="Y74" s="441"/>
      <c r="Z74" s="441"/>
      <c r="AA74" s="441"/>
      <c r="AB74" s="441"/>
      <c r="AC74" s="441"/>
      <c r="AD74" s="441"/>
      <c r="AE74" s="441"/>
      <c r="AF74" s="441"/>
      <c r="AG74" s="441"/>
      <c r="AH74" s="441"/>
      <c r="AI74" s="441"/>
      <c r="AJ74" s="441"/>
      <c r="AK74" s="441"/>
      <c r="AL74" s="441"/>
      <c r="AM74" s="441"/>
      <c r="AN74" s="441"/>
      <c r="AO74" s="441"/>
    </row>
    <row r="75" spans="1:41" ht="12.75" hidden="1" thickBot="1">
      <c r="A75" s="1" t="s">
        <v>1271</v>
      </c>
      <c r="B75" s="2" t="s">
        <v>692</v>
      </c>
      <c r="C75" s="2" t="s">
        <v>1062</v>
      </c>
      <c r="D75" s="8" t="s">
        <v>567</v>
      </c>
      <c r="E75" s="3"/>
      <c r="F75" s="4"/>
      <c r="G75" s="449"/>
      <c r="H75" s="4"/>
      <c r="I75" s="4"/>
      <c r="J75" s="4"/>
      <c r="K75" s="4"/>
      <c r="L75" s="4"/>
      <c r="M75" s="449"/>
      <c r="N75" s="449"/>
      <c r="O75" s="4"/>
      <c r="P75" s="4"/>
      <c r="Q75" s="4"/>
      <c r="R75" s="449"/>
      <c r="S75" s="445">
        <f t="shared" si="7"/>
        <v>0</v>
      </c>
      <c r="T75" s="445">
        <f t="shared" si="8"/>
        <v>0</v>
      </c>
      <c r="U75" s="445">
        <f t="shared" si="9"/>
        <v>0</v>
      </c>
      <c r="W75" s="450"/>
      <c r="X75" s="448"/>
      <c r="Y75" s="441"/>
      <c r="Z75" s="441"/>
      <c r="AA75" s="441"/>
      <c r="AB75" s="441"/>
      <c r="AC75" s="441"/>
      <c r="AD75" s="441"/>
      <c r="AE75" s="441"/>
      <c r="AF75" s="441"/>
      <c r="AG75" s="441"/>
      <c r="AH75" s="441"/>
      <c r="AI75" s="441"/>
      <c r="AJ75" s="441"/>
      <c r="AK75" s="441"/>
      <c r="AL75" s="441"/>
      <c r="AM75" s="441"/>
      <c r="AN75" s="441"/>
      <c r="AO75" s="441"/>
    </row>
    <row r="76" spans="1:41" ht="12.75" hidden="1" thickBot="1">
      <c r="A76" s="1" t="s">
        <v>1271</v>
      </c>
      <c r="B76" s="2" t="s">
        <v>292</v>
      </c>
      <c r="C76" s="2" t="s">
        <v>1063</v>
      </c>
      <c r="D76" s="8" t="s">
        <v>567</v>
      </c>
      <c r="E76" s="5"/>
      <c r="F76" s="6"/>
      <c r="G76" s="451"/>
      <c r="H76" s="6"/>
      <c r="I76" s="6"/>
      <c r="J76" s="6"/>
      <c r="K76" s="6"/>
      <c r="L76" s="6"/>
      <c r="M76" s="451"/>
      <c r="N76" s="451"/>
      <c r="O76" s="6"/>
      <c r="P76" s="6"/>
      <c r="Q76" s="451"/>
      <c r="R76" s="451"/>
      <c r="S76" s="445">
        <f t="shared" si="7"/>
        <v>0</v>
      </c>
      <c r="T76" s="445">
        <f t="shared" si="8"/>
        <v>0</v>
      </c>
      <c r="U76" s="445">
        <f t="shared" si="9"/>
        <v>0</v>
      </c>
      <c r="W76" s="450"/>
      <c r="X76" s="448"/>
      <c r="Y76" s="441"/>
      <c r="Z76" s="441"/>
      <c r="AA76" s="441"/>
      <c r="AB76" s="441"/>
      <c r="AC76" s="441"/>
      <c r="AD76" s="441"/>
      <c r="AE76" s="441"/>
      <c r="AF76" s="441"/>
      <c r="AG76" s="441"/>
      <c r="AH76" s="441"/>
      <c r="AI76" s="441"/>
      <c r="AJ76" s="441"/>
      <c r="AK76" s="441"/>
      <c r="AL76" s="441"/>
      <c r="AM76" s="441"/>
      <c r="AN76" s="441"/>
      <c r="AO76" s="441"/>
    </row>
    <row r="77" spans="1:41" ht="12.75" hidden="1" thickBot="1">
      <c r="A77" s="1" t="s">
        <v>1271</v>
      </c>
      <c r="B77" s="2" t="s">
        <v>293</v>
      </c>
      <c r="C77" s="2" t="s">
        <v>1064</v>
      </c>
      <c r="D77" s="8" t="s">
        <v>567</v>
      </c>
      <c r="E77" s="3"/>
      <c r="F77" s="4"/>
      <c r="G77" s="449"/>
      <c r="H77" s="4"/>
      <c r="I77" s="4"/>
      <c r="J77" s="4"/>
      <c r="K77" s="4"/>
      <c r="L77" s="4"/>
      <c r="M77" s="449"/>
      <c r="N77" s="449"/>
      <c r="O77" s="4"/>
      <c r="P77" s="4"/>
      <c r="Q77" s="449"/>
      <c r="R77" s="449"/>
      <c r="S77" s="445">
        <f t="shared" si="7"/>
        <v>0</v>
      </c>
      <c r="T77" s="445">
        <f t="shared" si="8"/>
        <v>0</v>
      </c>
      <c r="U77" s="445">
        <f t="shared" si="9"/>
        <v>0</v>
      </c>
      <c r="W77" s="450"/>
      <c r="X77" s="448"/>
      <c r="Y77" s="441"/>
      <c r="Z77" s="441"/>
      <c r="AA77" s="441"/>
      <c r="AB77" s="441"/>
      <c r="AC77" s="441"/>
      <c r="AD77" s="441"/>
      <c r="AE77" s="441"/>
      <c r="AF77" s="441"/>
      <c r="AG77" s="441"/>
      <c r="AH77" s="441"/>
      <c r="AI77" s="441"/>
      <c r="AJ77" s="441"/>
      <c r="AK77" s="441"/>
      <c r="AL77" s="441"/>
      <c r="AM77" s="441"/>
      <c r="AN77" s="441"/>
      <c r="AO77" s="441"/>
    </row>
    <row r="78" spans="1:41" ht="12.75" hidden="1" thickBot="1">
      <c r="A78" s="1" t="s">
        <v>1271</v>
      </c>
      <c r="B78" s="2" t="s">
        <v>295</v>
      </c>
      <c r="C78" s="2" t="s">
        <v>1065</v>
      </c>
      <c r="D78" s="8" t="s">
        <v>567</v>
      </c>
      <c r="E78" s="5"/>
      <c r="F78" s="6"/>
      <c r="G78" s="451"/>
      <c r="H78" s="6"/>
      <c r="I78" s="6"/>
      <c r="J78" s="6"/>
      <c r="K78" s="6"/>
      <c r="L78" s="6"/>
      <c r="M78" s="451"/>
      <c r="N78" s="451"/>
      <c r="O78" s="6"/>
      <c r="P78" s="6"/>
      <c r="Q78" s="451"/>
      <c r="R78" s="451"/>
      <c r="S78" s="445">
        <f t="shared" si="7"/>
        <v>0</v>
      </c>
      <c r="T78" s="445">
        <f t="shared" si="8"/>
        <v>0</v>
      </c>
      <c r="U78" s="445">
        <f t="shared" si="9"/>
        <v>0</v>
      </c>
      <c r="W78" s="450"/>
      <c r="X78" s="448"/>
      <c r="Y78" s="441"/>
      <c r="Z78" s="441"/>
      <c r="AA78" s="441"/>
      <c r="AB78" s="441"/>
      <c r="AC78" s="441"/>
      <c r="AD78" s="441"/>
      <c r="AE78" s="441"/>
      <c r="AF78" s="441"/>
      <c r="AG78" s="441"/>
      <c r="AH78" s="441"/>
      <c r="AI78" s="441"/>
      <c r="AJ78" s="441"/>
      <c r="AK78" s="441"/>
      <c r="AL78" s="441"/>
      <c r="AM78" s="441"/>
      <c r="AN78" s="441"/>
      <c r="AO78" s="441"/>
    </row>
    <row r="79" spans="1:41" ht="12.75" hidden="1" thickBot="1">
      <c r="A79" s="1" t="s">
        <v>1271</v>
      </c>
      <c r="B79" s="2" t="s">
        <v>296</v>
      </c>
      <c r="C79" s="2" t="s">
        <v>1066</v>
      </c>
      <c r="D79" s="8" t="s">
        <v>567</v>
      </c>
      <c r="E79" s="3"/>
      <c r="F79" s="4"/>
      <c r="G79" s="449"/>
      <c r="H79" s="4"/>
      <c r="I79" s="4"/>
      <c r="J79" s="4"/>
      <c r="K79" s="4"/>
      <c r="L79" s="4"/>
      <c r="M79" s="449"/>
      <c r="N79" s="449"/>
      <c r="O79" s="4"/>
      <c r="P79" s="4"/>
      <c r="Q79" s="449"/>
      <c r="R79" s="449"/>
      <c r="S79" s="445">
        <f t="shared" si="7"/>
        <v>0</v>
      </c>
      <c r="T79" s="445">
        <f t="shared" si="8"/>
        <v>0</v>
      </c>
      <c r="U79" s="445">
        <f t="shared" si="9"/>
        <v>0</v>
      </c>
      <c r="W79" s="450"/>
      <c r="X79" s="448"/>
      <c r="Y79" s="441"/>
      <c r="Z79" s="441"/>
      <c r="AA79" s="441"/>
      <c r="AB79" s="441"/>
      <c r="AC79" s="441"/>
      <c r="AD79" s="441"/>
      <c r="AE79" s="441"/>
      <c r="AF79" s="441"/>
      <c r="AG79" s="441"/>
      <c r="AH79" s="441"/>
      <c r="AI79" s="441"/>
      <c r="AJ79" s="441"/>
      <c r="AK79" s="441"/>
      <c r="AL79" s="441"/>
      <c r="AM79" s="441"/>
      <c r="AN79" s="441"/>
      <c r="AO79" s="441"/>
    </row>
    <row r="80" spans="1:41" ht="12.75" hidden="1" thickBot="1">
      <c r="A80" s="1" t="s">
        <v>1271</v>
      </c>
      <c r="B80" s="2" t="s">
        <v>297</v>
      </c>
      <c r="C80" s="2" t="s">
        <v>1067</v>
      </c>
      <c r="D80" s="8" t="s">
        <v>459</v>
      </c>
      <c r="E80" s="5"/>
      <c r="F80" s="6"/>
      <c r="G80" s="451"/>
      <c r="H80" s="6"/>
      <c r="I80" s="6"/>
      <c r="J80" s="6"/>
      <c r="K80" s="6"/>
      <c r="L80" s="6"/>
      <c r="M80" s="451"/>
      <c r="N80" s="451"/>
      <c r="O80" s="6"/>
      <c r="P80" s="6"/>
      <c r="Q80" s="451"/>
      <c r="R80" s="451"/>
      <c r="S80" s="445">
        <f t="shared" si="7"/>
        <v>0</v>
      </c>
      <c r="T80" s="445">
        <f t="shared" si="8"/>
        <v>0</v>
      </c>
      <c r="U80" s="445">
        <f t="shared" si="9"/>
        <v>0</v>
      </c>
      <c r="W80" s="450"/>
      <c r="X80" s="448"/>
      <c r="Y80" s="441"/>
      <c r="Z80" s="441"/>
      <c r="AA80" s="441"/>
      <c r="AB80" s="441"/>
      <c r="AC80" s="441"/>
      <c r="AD80" s="441"/>
      <c r="AE80" s="441"/>
      <c r="AF80" s="441"/>
      <c r="AG80" s="441"/>
      <c r="AH80" s="441"/>
      <c r="AI80" s="441"/>
      <c r="AJ80" s="441"/>
      <c r="AK80" s="441"/>
      <c r="AL80" s="441"/>
      <c r="AM80" s="441"/>
      <c r="AN80" s="441"/>
      <c r="AO80" s="441"/>
    </row>
    <row r="81" spans="1:41" ht="12.75" hidden="1" thickBot="1">
      <c r="A81" s="1" t="s">
        <v>1271</v>
      </c>
      <c r="B81" s="2" t="s">
        <v>299</v>
      </c>
      <c r="C81" s="2" t="s">
        <v>1068</v>
      </c>
      <c r="D81" s="8" t="s">
        <v>459</v>
      </c>
      <c r="E81" s="3"/>
      <c r="F81" s="4"/>
      <c r="G81" s="449"/>
      <c r="H81" s="4"/>
      <c r="I81" s="4"/>
      <c r="J81" s="4"/>
      <c r="K81" s="4"/>
      <c r="L81" s="4"/>
      <c r="M81" s="449"/>
      <c r="N81" s="449"/>
      <c r="O81" s="4"/>
      <c r="P81" s="4"/>
      <c r="Q81" s="449"/>
      <c r="R81" s="449"/>
      <c r="S81" s="445">
        <f t="shared" si="7"/>
        <v>0</v>
      </c>
      <c r="T81" s="445">
        <f t="shared" si="8"/>
        <v>0</v>
      </c>
      <c r="U81" s="445">
        <f t="shared" si="9"/>
        <v>0</v>
      </c>
      <c r="W81" s="450"/>
      <c r="X81" s="448"/>
      <c r="Y81" s="441"/>
      <c r="Z81" s="441"/>
      <c r="AA81" s="441"/>
      <c r="AB81" s="441"/>
      <c r="AC81" s="441"/>
      <c r="AD81" s="441"/>
      <c r="AE81" s="441"/>
      <c r="AF81" s="441"/>
      <c r="AG81" s="441"/>
      <c r="AH81" s="441"/>
      <c r="AI81" s="441"/>
      <c r="AJ81" s="441"/>
      <c r="AK81" s="441"/>
      <c r="AL81" s="441"/>
      <c r="AM81" s="441"/>
      <c r="AN81" s="441"/>
      <c r="AO81" s="441"/>
    </row>
    <row r="82" spans="1:41" ht="12.75" hidden="1" thickBot="1">
      <c r="A82" s="1" t="s">
        <v>1271</v>
      </c>
      <c r="B82" s="2" t="s">
        <v>300</v>
      </c>
      <c r="C82" s="2" t="s">
        <v>1069</v>
      </c>
      <c r="D82" s="8" t="s">
        <v>567</v>
      </c>
      <c r="E82" s="5"/>
      <c r="F82" s="6"/>
      <c r="G82" s="451"/>
      <c r="H82" s="6"/>
      <c r="I82" s="6"/>
      <c r="J82" s="6"/>
      <c r="K82" s="6"/>
      <c r="L82" s="6"/>
      <c r="M82" s="451"/>
      <c r="N82" s="451"/>
      <c r="O82" s="6"/>
      <c r="P82" s="6"/>
      <c r="Q82" s="451"/>
      <c r="R82" s="451"/>
      <c r="S82" s="445">
        <f t="shared" si="7"/>
        <v>0</v>
      </c>
      <c r="T82" s="445">
        <f t="shared" si="8"/>
        <v>0</v>
      </c>
      <c r="U82" s="445">
        <f t="shared" si="9"/>
        <v>0</v>
      </c>
      <c r="W82" s="450"/>
      <c r="X82" s="448"/>
      <c r="Y82" s="441"/>
      <c r="Z82" s="441"/>
      <c r="AA82" s="441"/>
      <c r="AB82" s="441"/>
      <c r="AC82" s="441"/>
      <c r="AD82" s="441"/>
      <c r="AE82" s="441"/>
      <c r="AF82" s="441"/>
      <c r="AG82" s="441"/>
      <c r="AH82" s="441"/>
      <c r="AI82" s="441"/>
      <c r="AJ82" s="441"/>
      <c r="AK82" s="441"/>
      <c r="AL82" s="441"/>
      <c r="AM82" s="441"/>
      <c r="AN82" s="441"/>
      <c r="AO82" s="441"/>
    </row>
    <row r="83" spans="1:41" ht="12.75" hidden="1" thickBot="1">
      <c r="A83" s="1" t="s">
        <v>1271</v>
      </c>
      <c r="B83" s="2" t="s">
        <v>301</v>
      </c>
      <c r="C83" s="2" t="s">
        <v>1070</v>
      </c>
      <c r="D83" s="8" t="s">
        <v>567</v>
      </c>
      <c r="E83" s="3"/>
      <c r="F83" s="4"/>
      <c r="G83" s="449"/>
      <c r="H83" s="4"/>
      <c r="I83" s="4"/>
      <c r="J83" s="4"/>
      <c r="K83" s="4"/>
      <c r="L83" s="4"/>
      <c r="M83" s="449"/>
      <c r="N83" s="449"/>
      <c r="O83" s="4"/>
      <c r="P83" s="4"/>
      <c r="Q83" s="449"/>
      <c r="R83" s="449"/>
      <c r="S83" s="445">
        <f t="shared" si="7"/>
        <v>0</v>
      </c>
      <c r="T83" s="445">
        <f t="shared" si="8"/>
        <v>0</v>
      </c>
      <c r="U83" s="445">
        <f t="shared" si="9"/>
        <v>0</v>
      </c>
      <c r="W83" s="450"/>
      <c r="X83" s="448"/>
      <c r="Y83" s="441"/>
      <c r="Z83" s="441"/>
      <c r="AA83" s="441"/>
      <c r="AB83" s="441"/>
      <c r="AC83" s="441"/>
      <c r="AD83" s="441"/>
      <c r="AE83" s="441"/>
      <c r="AF83" s="441"/>
      <c r="AG83" s="441"/>
      <c r="AH83" s="441"/>
      <c r="AI83" s="441"/>
      <c r="AJ83" s="441"/>
      <c r="AK83" s="441"/>
      <c r="AL83" s="441"/>
      <c r="AM83" s="441"/>
      <c r="AN83" s="441"/>
      <c r="AO83" s="441"/>
    </row>
    <row r="84" spans="1:41" ht="12.75" hidden="1" thickBot="1">
      <c r="A84" s="1" t="s">
        <v>1271</v>
      </c>
      <c r="B84" s="2" t="s">
        <v>302</v>
      </c>
      <c r="C84" s="2" t="s">
        <v>1071</v>
      </c>
      <c r="D84" s="8" t="s">
        <v>567</v>
      </c>
      <c r="E84" s="5"/>
      <c r="F84" s="6"/>
      <c r="G84" s="451"/>
      <c r="H84" s="6"/>
      <c r="I84" s="6"/>
      <c r="J84" s="6"/>
      <c r="K84" s="6"/>
      <c r="L84" s="6"/>
      <c r="M84" s="451"/>
      <c r="N84" s="451"/>
      <c r="O84" s="6"/>
      <c r="P84" s="6"/>
      <c r="Q84" s="451"/>
      <c r="R84" s="451"/>
      <c r="S84" s="445">
        <f t="shared" si="7"/>
        <v>0</v>
      </c>
      <c r="T84" s="445">
        <f t="shared" si="8"/>
        <v>0</v>
      </c>
      <c r="U84" s="445">
        <f t="shared" si="9"/>
        <v>0</v>
      </c>
      <c r="W84" s="450"/>
      <c r="X84" s="448"/>
      <c r="Y84" s="441"/>
      <c r="Z84" s="441"/>
      <c r="AA84" s="441"/>
      <c r="AB84" s="441"/>
      <c r="AC84" s="441"/>
      <c r="AD84" s="441"/>
      <c r="AE84" s="441"/>
      <c r="AF84" s="441"/>
      <c r="AG84" s="441"/>
      <c r="AH84" s="441"/>
      <c r="AI84" s="441"/>
      <c r="AJ84" s="441"/>
      <c r="AK84" s="441"/>
      <c r="AL84" s="441"/>
      <c r="AM84" s="441"/>
      <c r="AN84" s="441"/>
      <c r="AO84" s="441"/>
    </row>
    <row r="85" spans="1:41" ht="12.75" hidden="1" thickBot="1">
      <c r="A85" s="1" t="s">
        <v>1271</v>
      </c>
      <c r="B85" s="2" t="s">
        <v>303</v>
      </c>
      <c r="C85" s="2" t="s">
        <v>1072</v>
      </c>
      <c r="D85" s="8" t="s">
        <v>567</v>
      </c>
      <c r="E85" s="3"/>
      <c r="F85" s="4"/>
      <c r="G85" s="449"/>
      <c r="H85" s="4"/>
      <c r="I85" s="4"/>
      <c r="J85" s="4"/>
      <c r="K85" s="4"/>
      <c r="L85" s="4"/>
      <c r="M85" s="449"/>
      <c r="N85" s="449"/>
      <c r="O85" s="4"/>
      <c r="P85" s="4"/>
      <c r="Q85" s="449"/>
      <c r="R85" s="449"/>
      <c r="S85" s="445">
        <f t="shared" si="7"/>
        <v>0</v>
      </c>
      <c r="T85" s="445">
        <f t="shared" si="8"/>
        <v>0</v>
      </c>
      <c r="U85" s="445">
        <f t="shared" si="9"/>
        <v>0</v>
      </c>
      <c r="W85" s="450"/>
      <c r="X85" s="448"/>
      <c r="Y85" s="441"/>
      <c r="Z85" s="441"/>
      <c r="AA85" s="441"/>
      <c r="AB85" s="441"/>
      <c r="AC85" s="441"/>
      <c r="AD85" s="441"/>
      <c r="AE85" s="441"/>
      <c r="AF85" s="441"/>
      <c r="AG85" s="441"/>
      <c r="AH85" s="441"/>
      <c r="AI85" s="441"/>
      <c r="AJ85" s="441"/>
      <c r="AK85" s="441"/>
      <c r="AL85" s="441"/>
      <c r="AM85" s="441"/>
      <c r="AN85" s="441"/>
      <c r="AO85" s="441"/>
    </row>
    <row r="86" spans="1:41" ht="12.75" hidden="1" thickBot="1">
      <c r="A86" s="1" t="s">
        <v>1271</v>
      </c>
      <c r="B86" s="2" t="s">
        <v>304</v>
      </c>
      <c r="C86" s="2" t="s">
        <v>1073</v>
      </c>
      <c r="D86" s="8" t="s">
        <v>567</v>
      </c>
      <c r="E86" s="5"/>
      <c r="F86" s="6"/>
      <c r="G86" s="451"/>
      <c r="H86" s="6"/>
      <c r="I86" s="6"/>
      <c r="J86" s="6"/>
      <c r="K86" s="6"/>
      <c r="L86" s="6"/>
      <c r="M86" s="451"/>
      <c r="N86" s="451"/>
      <c r="O86" s="6"/>
      <c r="P86" s="6"/>
      <c r="Q86" s="451"/>
      <c r="R86" s="451"/>
      <c r="S86" s="445">
        <f t="shared" si="7"/>
        <v>0</v>
      </c>
      <c r="T86" s="445">
        <f t="shared" si="8"/>
        <v>0</v>
      </c>
      <c r="U86" s="445">
        <f t="shared" si="9"/>
        <v>0</v>
      </c>
      <c r="W86" s="450"/>
      <c r="X86" s="448"/>
      <c r="Y86" s="441"/>
      <c r="Z86" s="441"/>
      <c r="AA86" s="441"/>
      <c r="AB86" s="441"/>
      <c r="AC86" s="441"/>
      <c r="AD86" s="441"/>
      <c r="AE86" s="441"/>
      <c r="AF86" s="441"/>
      <c r="AG86" s="441"/>
      <c r="AH86" s="441"/>
      <c r="AI86" s="441"/>
      <c r="AJ86" s="441"/>
      <c r="AK86" s="441"/>
      <c r="AL86" s="441"/>
      <c r="AM86" s="441"/>
      <c r="AN86" s="441"/>
      <c r="AO86" s="441"/>
    </row>
    <row r="87" spans="1:41" ht="12.75" hidden="1" thickBot="1">
      <c r="A87" s="1" t="s">
        <v>1271</v>
      </c>
      <c r="B87" s="2" t="s">
        <v>305</v>
      </c>
      <c r="C87" s="2" t="s">
        <v>1074</v>
      </c>
      <c r="D87" s="8" t="s">
        <v>567</v>
      </c>
      <c r="E87" s="3"/>
      <c r="F87" s="4"/>
      <c r="G87" s="449"/>
      <c r="H87" s="4"/>
      <c r="I87" s="4"/>
      <c r="J87" s="4"/>
      <c r="K87" s="4"/>
      <c r="L87" s="4"/>
      <c r="M87" s="449"/>
      <c r="N87" s="449"/>
      <c r="O87" s="4"/>
      <c r="P87" s="4"/>
      <c r="Q87" s="449"/>
      <c r="R87" s="449"/>
      <c r="S87" s="445">
        <f t="shared" si="7"/>
        <v>0</v>
      </c>
      <c r="T87" s="445">
        <f t="shared" si="8"/>
        <v>0</v>
      </c>
      <c r="U87" s="445">
        <f t="shared" si="9"/>
        <v>0</v>
      </c>
      <c r="W87" s="450"/>
      <c r="X87" s="448"/>
      <c r="Y87" s="441"/>
      <c r="Z87" s="441"/>
      <c r="AA87" s="441"/>
      <c r="AB87" s="441"/>
      <c r="AC87" s="441"/>
      <c r="AD87" s="441"/>
      <c r="AE87" s="441"/>
      <c r="AF87" s="441"/>
      <c r="AG87" s="441"/>
      <c r="AH87" s="441"/>
      <c r="AI87" s="441"/>
      <c r="AJ87" s="441"/>
      <c r="AK87" s="441"/>
      <c r="AL87" s="441"/>
      <c r="AM87" s="441"/>
      <c r="AN87" s="441"/>
      <c r="AO87" s="441"/>
    </row>
    <row r="88" spans="1:41" ht="12.75" hidden="1" thickBot="1">
      <c r="A88" s="1" t="s">
        <v>1271</v>
      </c>
      <c r="B88" s="2" t="s">
        <v>306</v>
      </c>
      <c r="C88" s="2" t="s">
        <v>1075</v>
      </c>
      <c r="D88" s="453" t="s">
        <v>459</v>
      </c>
      <c r="E88" s="5"/>
      <c r="F88" s="6"/>
      <c r="G88" s="451"/>
      <c r="H88" s="6"/>
      <c r="I88" s="6"/>
      <c r="J88" s="6"/>
      <c r="K88" s="6"/>
      <c r="L88" s="6"/>
      <c r="M88" s="451"/>
      <c r="N88" s="451"/>
      <c r="O88" s="6"/>
      <c r="P88" s="6"/>
      <c r="Q88" s="451"/>
      <c r="R88" s="451"/>
      <c r="S88" s="445">
        <f t="shared" si="7"/>
        <v>0</v>
      </c>
      <c r="T88" s="445">
        <f t="shared" si="8"/>
        <v>0</v>
      </c>
      <c r="U88" s="445">
        <f t="shared" si="9"/>
        <v>0</v>
      </c>
      <c r="W88" s="450"/>
      <c r="X88" s="448"/>
      <c r="Y88" s="441"/>
      <c r="Z88" s="441"/>
      <c r="AA88" s="441"/>
      <c r="AB88" s="441"/>
      <c r="AC88" s="441"/>
      <c r="AD88" s="441"/>
      <c r="AE88" s="441"/>
      <c r="AF88" s="441"/>
      <c r="AG88" s="441"/>
      <c r="AH88" s="441"/>
      <c r="AI88" s="441"/>
      <c r="AJ88" s="441"/>
      <c r="AK88" s="441"/>
      <c r="AL88" s="441"/>
      <c r="AM88" s="441"/>
      <c r="AN88" s="441"/>
      <c r="AO88" s="441"/>
    </row>
    <row r="89" spans="1:41" ht="12.75" hidden="1" thickBot="1">
      <c r="A89" s="1" t="s">
        <v>1271</v>
      </c>
      <c r="B89" s="2" t="s">
        <v>307</v>
      </c>
      <c r="C89" s="2" t="s">
        <v>1076</v>
      </c>
      <c r="D89" s="8" t="s">
        <v>567</v>
      </c>
      <c r="E89" s="3"/>
      <c r="F89" s="4"/>
      <c r="G89" s="449"/>
      <c r="H89" s="4"/>
      <c r="I89" s="4"/>
      <c r="J89" s="4"/>
      <c r="K89" s="4"/>
      <c r="L89" s="4"/>
      <c r="M89" s="449"/>
      <c r="N89" s="449"/>
      <c r="O89" s="4"/>
      <c r="P89" s="4"/>
      <c r="Q89" s="449"/>
      <c r="R89" s="449"/>
      <c r="S89" s="445">
        <f t="shared" si="7"/>
        <v>0</v>
      </c>
      <c r="T89" s="445">
        <f t="shared" si="8"/>
        <v>0</v>
      </c>
      <c r="U89" s="445">
        <f t="shared" si="9"/>
        <v>0</v>
      </c>
      <c r="W89" s="450"/>
      <c r="X89" s="448"/>
      <c r="Y89" s="441"/>
      <c r="Z89" s="441"/>
      <c r="AA89" s="441"/>
      <c r="AB89" s="441"/>
      <c r="AC89" s="441"/>
      <c r="AD89" s="441"/>
      <c r="AE89" s="441"/>
      <c r="AF89" s="441"/>
      <c r="AG89" s="441"/>
      <c r="AH89" s="441"/>
      <c r="AI89" s="441"/>
      <c r="AJ89" s="441"/>
      <c r="AK89" s="441"/>
      <c r="AL89" s="441"/>
      <c r="AM89" s="441"/>
      <c r="AN89" s="441"/>
      <c r="AO89" s="441"/>
    </row>
    <row r="90" spans="1:41" ht="12.75" hidden="1" thickBot="1">
      <c r="A90" s="1" t="s">
        <v>1271</v>
      </c>
      <c r="B90" s="2" t="s">
        <v>308</v>
      </c>
      <c r="C90" s="2" t="s">
        <v>1077</v>
      </c>
      <c r="D90" s="453" t="s">
        <v>459</v>
      </c>
      <c r="E90" s="5"/>
      <c r="F90" s="6"/>
      <c r="G90" s="451"/>
      <c r="H90" s="6"/>
      <c r="I90" s="6"/>
      <c r="J90" s="6"/>
      <c r="K90" s="6"/>
      <c r="L90" s="6"/>
      <c r="M90" s="451"/>
      <c r="N90" s="451"/>
      <c r="O90" s="6"/>
      <c r="P90" s="6"/>
      <c r="Q90" s="451"/>
      <c r="R90" s="451"/>
      <c r="S90" s="445">
        <f t="shared" si="7"/>
        <v>0</v>
      </c>
      <c r="T90" s="445">
        <f t="shared" si="8"/>
        <v>0</v>
      </c>
      <c r="U90" s="445">
        <f t="shared" si="9"/>
        <v>0</v>
      </c>
      <c r="W90" s="450"/>
      <c r="X90" s="448"/>
      <c r="Y90" s="441"/>
      <c r="Z90" s="441"/>
      <c r="AA90" s="441"/>
      <c r="AB90" s="441"/>
      <c r="AC90" s="441"/>
      <c r="AD90" s="441"/>
      <c r="AE90" s="441"/>
      <c r="AF90" s="441"/>
      <c r="AG90" s="441"/>
      <c r="AH90" s="441"/>
      <c r="AI90" s="441"/>
      <c r="AJ90" s="441"/>
      <c r="AK90" s="441"/>
      <c r="AL90" s="441"/>
      <c r="AM90" s="441"/>
      <c r="AN90" s="441"/>
      <c r="AO90" s="441"/>
    </row>
    <row r="91" spans="1:41" ht="12.75" hidden="1" thickBot="1">
      <c r="A91" s="1" t="s">
        <v>1271</v>
      </c>
      <c r="B91" s="2" t="s">
        <v>309</v>
      </c>
      <c r="C91" s="2" t="s">
        <v>1078</v>
      </c>
      <c r="D91" s="8" t="s">
        <v>567</v>
      </c>
      <c r="E91" s="3"/>
      <c r="F91" s="4"/>
      <c r="G91" s="449"/>
      <c r="H91" s="4"/>
      <c r="I91" s="4"/>
      <c r="J91" s="4"/>
      <c r="K91" s="4"/>
      <c r="L91" s="4"/>
      <c r="M91" s="449"/>
      <c r="N91" s="449"/>
      <c r="O91" s="4"/>
      <c r="P91" s="4"/>
      <c r="Q91" s="449"/>
      <c r="R91" s="449"/>
      <c r="S91" s="445">
        <f t="shared" si="7"/>
        <v>0</v>
      </c>
      <c r="T91" s="445">
        <f t="shared" si="8"/>
        <v>0</v>
      </c>
      <c r="U91" s="445">
        <f t="shared" si="9"/>
        <v>0</v>
      </c>
      <c r="W91" s="450"/>
      <c r="X91" s="448"/>
      <c r="Y91" s="441"/>
      <c r="Z91" s="441"/>
      <c r="AA91" s="441"/>
      <c r="AB91" s="441"/>
      <c r="AC91" s="441"/>
      <c r="AD91" s="441"/>
      <c r="AE91" s="441"/>
      <c r="AF91" s="441"/>
      <c r="AG91" s="441"/>
      <c r="AH91" s="441"/>
      <c r="AI91" s="441"/>
      <c r="AJ91" s="441"/>
      <c r="AK91" s="441"/>
      <c r="AL91" s="441"/>
      <c r="AM91" s="441"/>
      <c r="AN91" s="441"/>
      <c r="AO91" s="441"/>
    </row>
    <row r="92" spans="1:41" ht="12.75" hidden="1" thickBot="1">
      <c r="A92" s="1" t="s">
        <v>1271</v>
      </c>
      <c r="B92" s="2" t="s">
        <v>310</v>
      </c>
      <c r="C92" s="2" t="s">
        <v>1079</v>
      </c>
      <c r="D92" s="453" t="s">
        <v>459</v>
      </c>
      <c r="E92" s="5"/>
      <c r="F92" s="6"/>
      <c r="G92" s="451"/>
      <c r="H92" s="6"/>
      <c r="I92" s="6"/>
      <c r="J92" s="6"/>
      <c r="K92" s="6"/>
      <c r="L92" s="6"/>
      <c r="M92" s="451"/>
      <c r="N92" s="451"/>
      <c r="O92" s="6"/>
      <c r="P92" s="6"/>
      <c r="Q92" s="451"/>
      <c r="R92" s="451"/>
      <c r="S92" s="445">
        <f t="shared" si="7"/>
        <v>0</v>
      </c>
      <c r="T92" s="445">
        <f t="shared" si="8"/>
        <v>0</v>
      </c>
      <c r="U92" s="445">
        <f t="shared" si="9"/>
        <v>0</v>
      </c>
      <c r="W92" s="450"/>
      <c r="X92" s="448"/>
      <c r="Y92" s="441"/>
      <c r="Z92" s="441"/>
      <c r="AA92" s="441"/>
      <c r="AB92" s="441"/>
      <c r="AC92" s="441"/>
      <c r="AD92" s="441"/>
      <c r="AE92" s="441"/>
      <c r="AF92" s="441"/>
      <c r="AG92" s="441"/>
      <c r="AH92" s="441"/>
      <c r="AI92" s="441"/>
      <c r="AJ92" s="441"/>
      <c r="AK92" s="441"/>
      <c r="AL92" s="441"/>
      <c r="AM92" s="441"/>
      <c r="AN92" s="441"/>
      <c r="AO92" s="441"/>
    </row>
    <row r="93" spans="1:41" ht="12.75" hidden="1" thickBot="1">
      <c r="A93" s="1" t="s">
        <v>1271</v>
      </c>
      <c r="B93" s="2" t="s">
        <v>311</v>
      </c>
      <c r="C93" s="2" t="s">
        <v>1080</v>
      </c>
      <c r="D93" s="8" t="s">
        <v>567</v>
      </c>
      <c r="E93" s="3"/>
      <c r="F93" s="4"/>
      <c r="G93" s="449"/>
      <c r="H93" s="4"/>
      <c r="I93" s="4"/>
      <c r="J93" s="4"/>
      <c r="K93" s="4"/>
      <c r="L93" s="4"/>
      <c r="M93" s="449"/>
      <c r="N93" s="449"/>
      <c r="O93" s="4"/>
      <c r="P93" s="4"/>
      <c r="Q93" s="449"/>
      <c r="R93" s="449"/>
      <c r="S93" s="445">
        <f t="shared" si="7"/>
        <v>0</v>
      </c>
      <c r="T93" s="445">
        <f t="shared" si="8"/>
        <v>0</v>
      </c>
      <c r="U93" s="445">
        <f t="shared" si="9"/>
        <v>0</v>
      </c>
      <c r="W93" s="450"/>
      <c r="X93" s="448"/>
      <c r="Y93" s="441"/>
      <c r="Z93" s="441"/>
      <c r="AA93" s="441"/>
      <c r="AB93" s="441"/>
      <c r="AC93" s="441"/>
      <c r="AD93" s="441"/>
      <c r="AE93" s="441"/>
      <c r="AF93" s="441"/>
      <c r="AG93" s="441"/>
      <c r="AH93" s="441"/>
      <c r="AI93" s="441"/>
      <c r="AJ93" s="441"/>
      <c r="AK93" s="441"/>
      <c r="AL93" s="441"/>
      <c r="AM93" s="441"/>
      <c r="AN93" s="441"/>
      <c r="AO93" s="441"/>
    </row>
    <row r="94" spans="1:41" ht="12.75" hidden="1" thickBot="1">
      <c r="A94" s="1" t="s">
        <v>1271</v>
      </c>
      <c r="B94" s="2" t="s">
        <v>339</v>
      </c>
      <c r="C94" s="2" t="s">
        <v>1081</v>
      </c>
      <c r="D94" s="453" t="s">
        <v>459</v>
      </c>
      <c r="E94" s="5"/>
      <c r="F94" s="6"/>
      <c r="G94" s="451"/>
      <c r="H94" s="6"/>
      <c r="I94" s="6"/>
      <c r="J94" s="6"/>
      <c r="K94" s="6"/>
      <c r="L94" s="6"/>
      <c r="M94" s="451"/>
      <c r="N94" s="451"/>
      <c r="O94" s="6"/>
      <c r="P94" s="6"/>
      <c r="Q94" s="451"/>
      <c r="R94" s="451"/>
      <c r="S94" s="445">
        <f t="shared" si="7"/>
        <v>0</v>
      </c>
      <c r="T94" s="445">
        <f t="shared" si="8"/>
        <v>0</v>
      </c>
      <c r="U94" s="445">
        <f t="shared" si="9"/>
        <v>0</v>
      </c>
      <c r="W94" s="450"/>
      <c r="X94" s="448"/>
      <c r="Y94" s="441"/>
      <c r="Z94" s="441"/>
      <c r="AA94" s="441"/>
      <c r="AB94" s="441"/>
      <c r="AC94" s="441"/>
      <c r="AD94" s="441"/>
      <c r="AE94" s="441"/>
      <c r="AF94" s="441"/>
      <c r="AG94" s="441"/>
      <c r="AH94" s="441"/>
      <c r="AI94" s="441"/>
      <c r="AJ94" s="441"/>
      <c r="AK94" s="441"/>
      <c r="AL94" s="441"/>
      <c r="AM94" s="441"/>
      <c r="AN94" s="441"/>
      <c r="AO94" s="441"/>
    </row>
    <row r="95" spans="1:41" ht="12.75" hidden="1" thickBot="1">
      <c r="A95" s="1" t="s">
        <v>1271</v>
      </c>
      <c r="B95" s="2" t="s">
        <v>312</v>
      </c>
      <c r="C95" s="2" t="s">
        <v>1082</v>
      </c>
      <c r="D95" s="8" t="s">
        <v>567</v>
      </c>
      <c r="E95" s="3"/>
      <c r="F95" s="4"/>
      <c r="G95" s="449"/>
      <c r="H95" s="4"/>
      <c r="I95" s="4"/>
      <c r="J95" s="4"/>
      <c r="K95" s="4"/>
      <c r="L95" s="4"/>
      <c r="M95" s="449"/>
      <c r="N95" s="449"/>
      <c r="O95" s="4"/>
      <c r="P95" s="4"/>
      <c r="Q95" s="449"/>
      <c r="R95" s="449"/>
      <c r="S95" s="445">
        <f t="shared" si="7"/>
        <v>0</v>
      </c>
      <c r="T95" s="445">
        <f t="shared" si="8"/>
        <v>0</v>
      </c>
      <c r="U95" s="445">
        <f t="shared" si="9"/>
        <v>0</v>
      </c>
      <c r="W95" s="450"/>
      <c r="X95" s="448"/>
      <c r="Y95" s="441"/>
      <c r="Z95" s="441"/>
      <c r="AA95" s="441"/>
      <c r="AB95" s="441"/>
      <c r="AC95" s="441"/>
      <c r="AD95" s="441"/>
      <c r="AE95" s="441"/>
      <c r="AF95" s="441"/>
      <c r="AG95" s="441"/>
      <c r="AH95" s="441"/>
      <c r="AI95" s="441"/>
      <c r="AJ95" s="441"/>
      <c r="AK95" s="441"/>
      <c r="AL95" s="441"/>
      <c r="AM95" s="441"/>
      <c r="AN95" s="441"/>
      <c r="AO95" s="441"/>
    </row>
    <row r="96" spans="1:41" ht="12.75" hidden="1" thickBot="1">
      <c r="A96" s="1" t="s">
        <v>1271</v>
      </c>
      <c r="B96" s="2" t="s">
        <v>688</v>
      </c>
      <c r="C96" s="2" t="s">
        <v>1083</v>
      </c>
      <c r="D96" s="8" t="s">
        <v>567</v>
      </c>
      <c r="E96" s="5"/>
      <c r="F96" s="6"/>
      <c r="G96" s="451"/>
      <c r="H96" s="6"/>
      <c r="I96" s="6"/>
      <c r="J96" s="6"/>
      <c r="K96" s="6"/>
      <c r="L96" s="6"/>
      <c r="M96" s="451"/>
      <c r="N96" s="451"/>
      <c r="O96" s="6"/>
      <c r="P96" s="6"/>
      <c r="Q96" s="6"/>
      <c r="R96" s="451"/>
      <c r="S96" s="445">
        <f t="shared" si="7"/>
        <v>0</v>
      </c>
      <c r="T96" s="445">
        <f t="shared" si="8"/>
        <v>0</v>
      </c>
      <c r="U96" s="445">
        <f t="shared" si="9"/>
        <v>0</v>
      </c>
      <c r="W96" s="450"/>
      <c r="X96" s="448"/>
      <c r="Y96" s="441"/>
      <c r="Z96" s="441"/>
      <c r="AA96" s="441"/>
      <c r="AB96" s="441"/>
      <c r="AC96" s="441"/>
      <c r="AD96" s="441"/>
      <c r="AE96" s="441"/>
      <c r="AF96" s="441"/>
      <c r="AG96" s="441"/>
      <c r="AH96" s="441"/>
      <c r="AI96" s="441"/>
      <c r="AJ96" s="441"/>
      <c r="AK96" s="441"/>
      <c r="AL96" s="441"/>
      <c r="AM96" s="441"/>
      <c r="AN96" s="441"/>
      <c r="AO96" s="441"/>
    </row>
    <row r="97" spans="1:41" ht="12.75" hidden="1" thickBot="1">
      <c r="A97" s="1" t="s">
        <v>1271</v>
      </c>
      <c r="B97" s="2" t="s">
        <v>341</v>
      </c>
      <c r="C97" s="2" t="s">
        <v>1084</v>
      </c>
      <c r="D97" s="8" t="s">
        <v>567</v>
      </c>
      <c r="E97" s="3"/>
      <c r="F97" s="4"/>
      <c r="G97" s="449"/>
      <c r="H97" s="4"/>
      <c r="I97" s="4"/>
      <c r="J97" s="4"/>
      <c r="K97" s="4"/>
      <c r="L97" s="4"/>
      <c r="M97" s="449"/>
      <c r="N97" s="449"/>
      <c r="O97" s="4"/>
      <c r="P97" s="4"/>
      <c r="Q97" s="4"/>
      <c r="R97" s="449"/>
      <c r="S97" s="445">
        <f t="shared" si="7"/>
        <v>0</v>
      </c>
      <c r="T97" s="445">
        <f t="shared" si="8"/>
        <v>0</v>
      </c>
      <c r="U97" s="445">
        <f t="shared" si="9"/>
        <v>0</v>
      </c>
      <c r="W97" s="450"/>
      <c r="X97" s="448"/>
      <c r="Y97" s="441"/>
      <c r="Z97" s="441"/>
      <c r="AA97" s="441"/>
      <c r="AB97" s="441"/>
      <c r="AC97" s="441"/>
      <c r="AD97" s="441"/>
      <c r="AE97" s="441"/>
      <c r="AF97" s="441"/>
      <c r="AG97" s="441"/>
      <c r="AH97" s="441"/>
      <c r="AI97" s="441"/>
      <c r="AJ97" s="441"/>
      <c r="AK97" s="441"/>
      <c r="AL97" s="441"/>
      <c r="AM97" s="441"/>
      <c r="AN97" s="441"/>
      <c r="AO97" s="441"/>
    </row>
    <row r="98" spans="1:41" ht="12.75" hidden="1" thickBot="1">
      <c r="A98" s="1" t="s">
        <v>1271</v>
      </c>
      <c r="B98" s="2" t="s">
        <v>317</v>
      </c>
      <c r="C98" s="2" t="s">
        <v>1085</v>
      </c>
      <c r="D98" s="8" t="s">
        <v>567</v>
      </c>
      <c r="E98" s="5"/>
      <c r="F98" s="6"/>
      <c r="G98" s="451"/>
      <c r="H98" s="6"/>
      <c r="I98" s="6"/>
      <c r="J98" s="6"/>
      <c r="K98" s="6"/>
      <c r="L98" s="6"/>
      <c r="M98" s="451"/>
      <c r="N98" s="451"/>
      <c r="O98" s="6"/>
      <c r="P98" s="6"/>
      <c r="Q98" s="451"/>
      <c r="R98" s="451"/>
      <c r="S98" s="445">
        <f t="shared" si="7"/>
        <v>0</v>
      </c>
      <c r="T98" s="445">
        <f t="shared" si="8"/>
        <v>0</v>
      </c>
      <c r="U98" s="445">
        <f t="shared" si="9"/>
        <v>0</v>
      </c>
      <c r="W98" s="450"/>
      <c r="X98" s="448"/>
      <c r="Y98" s="441"/>
      <c r="Z98" s="441"/>
      <c r="AA98" s="441"/>
      <c r="AB98" s="441"/>
      <c r="AC98" s="441"/>
      <c r="AD98" s="441"/>
      <c r="AE98" s="441"/>
      <c r="AF98" s="441"/>
      <c r="AG98" s="441"/>
      <c r="AH98" s="441"/>
      <c r="AI98" s="441"/>
      <c r="AJ98" s="441"/>
      <c r="AK98" s="441"/>
      <c r="AL98" s="441"/>
      <c r="AM98" s="441"/>
      <c r="AN98" s="441"/>
      <c r="AO98" s="441"/>
    </row>
    <row r="99" spans="1:41" ht="12.75" hidden="1" thickBot="1">
      <c r="A99" s="1" t="s">
        <v>1271</v>
      </c>
      <c r="B99" s="2" t="s">
        <v>318</v>
      </c>
      <c r="C99" s="2" t="s">
        <v>1086</v>
      </c>
      <c r="D99" s="8" t="s">
        <v>567</v>
      </c>
      <c r="E99" s="3"/>
      <c r="F99" s="4"/>
      <c r="G99" s="449"/>
      <c r="H99" s="4"/>
      <c r="I99" s="4"/>
      <c r="J99" s="4"/>
      <c r="K99" s="4"/>
      <c r="L99" s="4"/>
      <c r="M99" s="449"/>
      <c r="N99" s="449"/>
      <c r="O99" s="4"/>
      <c r="P99" s="4"/>
      <c r="Q99" s="449"/>
      <c r="R99" s="449"/>
      <c r="S99" s="445">
        <f t="shared" si="7"/>
        <v>0</v>
      </c>
      <c r="T99" s="445">
        <f t="shared" si="8"/>
        <v>0</v>
      </c>
      <c r="U99" s="445">
        <f t="shared" si="9"/>
        <v>0</v>
      </c>
      <c r="W99" s="450"/>
      <c r="X99" s="448"/>
      <c r="Y99" s="441"/>
      <c r="Z99" s="441"/>
      <c r="AA99" s="441"/>
      <c r="AB99" s="441"/>
      <c r="AC99" s="441"/>
      <c r="AD99" s="441"/>
      <c r="AE99" s="441"/>
      <c r="AF99" s="441"/>
      <c r="AG99" s="441"/>
      <c r="AH99" s="441"/>
      <c r="AI99" s="441"/>
      <c r="AJ99" s="441"/>
      <c r="AK99" s="441"/>
      <c r="AL99" s="441"/>
      <c r="AM99" s="441"/>
      <c r="AN99" s="441"/>
      <c r="AO99" s="441"/>
    </row>
    <row r="100" spans="1:41" ht="12.75" hidden="1" thickBot="1">
      <c r="A100" s="1" t="s">
        <v>1271</v>
      </c>
      <c r="B100" s="2" t="s">
        <v>1237</v>
      </c>
      <c r="C100" s="2" t="s">
        <v>1238</v>
      </c>
      <c r="D100" s="8" t="s">
        <v>567</v>
      </c>
      <c r="E100" s="5"/>
      <c r="F100" s="6"/>
      <c r="G100" s="6"/>
      <c r="H100" s="6"/>
      <c r="I100" s="6"/>
      <c r="J100" s="6"/>
      <c r="K100" s="6"/>
      <c r="L100" s="6"/>
      <c r="M100" s="6"/>
      <c r="N100" s="6"/>
      <c r="O100" s="6"/>
      <c r="P100" s="6"/>
      <c r="Q100" s="6"/>
      <c r="R100" s="6"/>
      <c r="S100" s="445">
        <f t="shared" si="7"/>
        <v>0</v>
      </c>
      <c r="T100" s="445">
        <f t="shared" si="8"/>
        <v>0</v>
      </c>
      <c r="U100" s="445">
        <f t="shared" si="9"/>
        <v>0</v>
      </c>
      <c r="W100" s="450"/>
      <c r="X100" s="448"/>
      <c r="Y100" s="441"/>
      <c r="Z100" s="441"/>
      <c r="AA100" s="441"/>
      <c r="AB100" s="441"/>
      <c r="AC100" s="441"/>
      <c r="AD100" s="441"/>
      <c r="AE100" s="441"/>
      <c r="AF100" s="441"/>
      <c r="AG100" s="441"/>
      <c r="AH100" s="441"/>
      <c r="AI100" s="441"/>
      <c r="AJ100" s="441"/>
      <c r="AK100" s="441"/>
      <c r="AL100" s="441"/>
      <c r="AM100" s="441"/>
      <c r="AN100" s="441"/>
      <c r="AO100" s="441"/>
    </row>
    <row r="101" spans="1:41" ht="12.75" hidden="1" thickBot="1">
      <c r="A101" s="1" t="s">
        <v>1271</v>
      </c>
      <c r="B101" s="2" t="s">
        <v>319</v>
      </c>
      <c r="C101" s="2" t="s">
        <v>1087</v>
      </c>
      <c r="D101" s="8" t="s">
        <v>567</v>
      </c>
      <c r="E101" s="3"/>
      <c r="F101" s="4"/>
      <c r="G101" s="449"/>
      <c r="H101" s="4"/>
      <c r="I101" s="4"/>
      <c r="J101" s="4"/>
      <c r="K101" s="4"/>
      <c r="L101" s="4"/>
      <c r="M101" s="449"/>
      <c r="N101" s="449"/>
      <c r="O101" s="4"/>
      <c r="P101" s="4"/>
      <c r="Q101" s="449"/>
      <c r="R101" s="449"/>
      <c r="S101" s="445">
        <f t="shared" si="7"/>
        <v>0</v>
      </c>
      <c r="T101" s="445">
        <f t="shared" si="8"/>
        <v>0</v>
      </c>
      <c r="U101" s="445">
        <f t="shared" si="9"/>
        <v>0</v>
      </c>
      <c r="W101" s="450"/>
      <c r="X101" s="448"/>
      <c r="Y101" s="441"/>
      <c r="Z101" s="441"/>
      <c r="AA101" s="441"/>
      <c r="AB101" s="441"/>
      <c r="AC101" s="441"/>
      <c r="AD101" s="441"/>
      <c r="AE101" s="441"/>
      <c r="AF101" s="441"/>
      <c r="AG101" s="441"/>
      <c r="AH101" s="441"/>
      <c r="AI101" s="441"/>
      <c r="AJ101" s="441"/>
      <c r="AK101" s="441"/>
      <c r="AL101" s="441"/>
      <c r="AM101" s="441"/>
      <c r="AN101" s="441"/>
      <c r="AO101" s="441"/>
    </row>
    <row r="102" spans="1:41" ht="12.75" hidden="1" thickBot="1">
      <c r="A102" s="1" t="s">
        <v>1271</v>
      </c>
      <c r="B102" s="2" t="s">
        <v>1225</v>
      </c>
      <c r="C102" s="2" t="s">
        <v>1226</v>
      </c>
      <c r="D102" s="8" t="s">
        <v>567</v>
      </c>
      <c r="E102" s="5"/>
      <c r="F102" s="6"/>
      <c r="G102" s="6"/>
      <c r="H102" s="6"/>
      <c r="I102" s="6"/>
      <c r="J102" s="6"/>
      <c r="K102" s="6"/>
      <c r="L102" s="6"/>
      <c r="M102" s="6"/>
      <c r="N102" s="6"/>
      <c r="O102" s="6"/>
      <c r="P102" s="6"/>
      <c r="Q102" s="6"/>
      <c r="R102" s="6"/>
      <c r="S102" s="445">
        <f t="shared" si="7"/>
        <v>0</v>
      </c>
      <c r="T102" s="445">
        <f t="shared" si="8"/>
        <v>0</v>
      </c>
      <c r="U102" s="445">
        <f t="shared" si="9"/>
        <v>0</v>
      </c>
      <c r="W102" s="450"/>
      <c r="X102" s="448"/>
      <c r="Y102" s="441"/>
      <c r="Z102" s="441"/>
      <c r="AA102" s="441"/>
      <c r="AB102" s="441"/>
      <c r="AC102" s="441"/>
      <c r="AD102" s="441"/>
      <c r="AE102" s="441"/>
      <c r="AF102" s="441"/>
      <c r="AG102" s="441"/>
      <c r="AH102" s="441"/>
      <c r="AI102" s="441"/>
      <c r="AJ102" s="441"/>
      <c r="AK102" s="441"/>
      <c r="AL102" s="441"/>
      <c r="AM102" s="441"/>
      <c r="AN102" s="441"/>
      <c r="AO102" s="441"/>
    </row>
    <row r="103" spans="1:41" ht="12.75" hidden="1" thickBot="1">
      <c r="A103" s="1" t="s">
        <v>1271</v>
      </c>
      <c r="B103" s="2" t="s">
        <v>320</v>
      </c>
      <c r="C103" s="2" t="s">
        <v>1088</v>
      </c>
      <c r="D103" s="8" t="s">
        <v>567</v>
      </c>
      <c r="E103" s="3"/>
      <c r="F103" s="4"/>
      <c r="G103" s="449"/>
      <c r="H103" s="4"/>
      <c r="I103" s="4"/>
      <c r="J103" s="4"/>
      <c r="K103" s="4"/>
      <c r="L103" s="4"/>
      <c r="M103" s="449"/>
      <c r="N103" s="449"/>
      <c r="O103" s="4"/>
      <c r="P103" s="4"/>
      <c r="Q103" s="449"/>
      <c r="R103" s="449"/>
      <c r="S103" s="445">
        <f t="shared" si="7"/>
        <v>0</v>
      </c>
      <c r="T103" s="445">
        <f t="shared" si="8"/>
        <v>0</v>
      </c>
      <c r="U103" s="445">
        <f t="shared" si="9"/>
        <v>0</v>
      </c>
      <c r="W103" s="450"/>
      <c r="X103" s="448"/>
      <c r="Y103" s="441"/>
      <c r="Z103" s="441"/>
      <c r="AA103" s="441"/>
      <c r="AB103" s="441"/>
      <c r="AC103" s="441"/>
      <c r="AD103" s="441"/>
      <c r="AE103" s="441"/>
      <c r="AF103" s="441"/>
      <c r="AG103" s="441"/>
      <c r="AH103" s="441"/>
      <c r="AI103" s="441"/>
      <c r="AJ103" s="441"/>
      <c r="AK103" s="441"/>
      <c r="AL103" s="441"/>
      <c r="AM103" s="441"/>
      <c r="AN103" s="441"/>
      <c r="AO103" s="441"/>
    </row>
    <row r="104" spans="1:41" ht="12.75" hidden="1" thickBot="1">
      <c r="A104" s="1" t="s">
        <v>1271</v>
      </c>
      <c r="B104" s="2" t="s">
        <v>321</v>
      </c>
      <c r="C104" s="2" t="s">
        <v>1089</v>
      </c>
      <c r="D104" s="8" t="s">
        <v>567</v>
      </c>
      <c r="E104" s="5"/>
      <c r="F104" s="6"/>
      <c r="G104" s="451"/>
      <c r="H104" s="6"/>
      <c r="I104" s="6"/>
      <c r="J104" s="6"/>
      <c r="K104" s="6"/>
      <c r="L104" s="6"/>
      <c r="M104" s="451"/>
      <c r="N104" s="451"/>
      <c r="O104" s="6"/>
      <c r="P104" s="6"/>
      <c r="Q104" s="451"/>
      <c r="R104" s="451"/>
      <c r="S104" s="445">
        <f t="shared" si="7"/>
        <v>0</v>
      </c>
      <c r="T104" s="445">
        <f t="shared" si="8"/>
        <v>0</v>
      </c>
      <c r="U104" s="445">
        <f t="shared" si="9"/>
        <v>0</v>
      </c>
      <c r="W104" s="450"/>
      <c r="X104" s="448"/>
      <c r="Y104" s="441"/>
      <c r="Z104" s="441"/>
      <c r="AA104" s="441"/>
      <c r="AB104" s="441"/>
      <c r="AC104" s="441"/>
      <c r="AD104" s="441"/>
      <c r="AE104" s="441"/>
      <c r="AF104" s="441"/>
      <c r="AG104" s="441"/>
      <c r="AH104" s="441"/>
      <c r="AI104" s="441"/>
      <c r="AJ104" s="441"/>
      <c r="AK104" s="441"/>
      <c r="AL104" s="441"/>
      <c r="AM104" s="441"/>
      <c r="AN104" s="441"/>
      <c r="AO104" s="441"/>
    </row>
    <row r="105" spans="1:41" ht="12.75" hidden="1" thickBot="1">
      <c r="A105" s="1" t="s">
        <v>1271</v>
      </c>
      <c r="B105" s="2" t="s">
        <v>1227</v>
      </c>
      <c r="C105" s="2" t="s">
        <v>1228</v>
      </c>
      <c r="D105" s="8" t="s">
        <v>567</v>
      </c>
      <c r="E105" s="3"/>
      <c r="F105" s="4"/>
      <c r="G105" s="4"/>
      <c r="H105" s="4"/>
      <c r="I105" s="4"/>
      <c r="J105" s="4"/>
      <c r="K105" s="4"/>
      <c r="L105" s="4"/>
      <c r="M105" s="4"/>
      <c r="N105" s="4"/>
      <c r="O105" s="4"/>
      <c r="P105" s="4"/>
      <c r="Q105" s="4"/>
      <c r="R105" s="4"/>
      <c r="S105" s="445">
        <f t="shared" si="7"/>
        <v>0</v>
      </c>
      <c r="T105" s="445">
        <f t="shared" si="8"/>
        <v>0</v>
      </c>
      <c r="U105" s="445">
        <f t="shared" si="9"/>
        <v>0</v>
      </c>
      <c r="W105" s="450"/>
      <c r="X105" s="448"/>
      <c r="Y105" s="441"/>
      <c r="Z105" s="441"/>
      <c r="AA105" s="441"/>
      <c r="AB105" s="441"/>
      <c r="AC105" s="441"/>
      <c r="AD105" s="441"/>
      <c r="AE105" s="441"/>
      <c r="AF105" s="441"/>
      <c r="AG105" s="441"/>
      <c r="AH105" s="441"/>
      <c r="AI105" s="441"/>
      <c r="AJ105" s="441"/>
      <c r="AK105" s="441"/>
      <c r="AL105" s="441"/>
      <c r="AM105" s="441"/>
      <c r="AN105" s="441"/>
      <c r="AO105" s="441"/>
    </row>
    <row r="106" spans="1:41" ht="12.75" hidden="1" thickBot="1">
      <c r="A106" s="1" t="s">
        <v>1271</v>
      </c>
      <c r="B106" s="2" t="s">
        <v>322</v>
      </c>
      <c r="C106" s="2" t="s">
        <v>1090</v>
      </c>
      <c r="D106" s="8" t="s">
        <v>567</v>
      </c>
      <c r="E106" s="5"/>
      <c r="F106" s="6"/>
      <c r="G106" s="451"/>
      <c r="H106" s="6"/>
      <c r="I106" s="6"/>
      <c r="J106" s="6"/>
      <c r="K106" s="6"/>
      <c r="L106" s="6"/>
      <c r="M106" s="451"/>
      <c r="N106" s="451"/>
      <c r="O106" s="6"/>
      <c r="P106" s="6"/>
      <c r="Q106" s="451"/>
      <c r="R106" s="451"/>
      <c r="S106" s="445">
        <f t="shared" si="7"/>
        <v>0</v>
      </c>
      <c r="T106" s="445">
        <f t="shared" si="8"/>
        <v>0</v>
      </c>
      <c r="U106" s="445">
        <f t="shared" si="9"/>
        <v>0</v>
      </c>
      <c r="W106" s="450"/>
      <c r="X106" s="448"/>
      <c r="Y106" s="441"/>
      <c r="Z106" s="441"/>
      <c r="AA106" s="441"/>
      <c r="AB106" s="441"/>
      <c r="AC106" s="441"/>
      <c r="AD106" s="441"/>
      <c r="AE106" s="441"/>
      <c r="AF106" s="441"/>
      <c r="AG106" s="441"/>
      <c r="AH106" s="441"/>
      <c r="AI106" s="441"/>
      <c r="AJ106" s="441"/>
      <c r="AK106" s="441"/>
      <c r="AL106" s="441"/>
      <c r="AM106" s="441"/>
      <c r="AN106" s="441"/>
      <c r="AO106" s="441"/>
    </row>
    <row r="107" spans="1:41" ht="12.75" hidden="1" thickBot="1">
      <c r="A107" s="1" t="s">
        <v>1271</v>
      </c>
      <c r="B107" s="2" t="s">
        <v>323</v>
      </c>
      <c r="C107" s="2" t="s">
        <v>1091</v>
      </c>
      <c r="D107" s="453" t="s">
        <v>459</v>
      </c>
      <c r="E107" s="3"/>
      <c r="F107" s="4"/>
      <c r="G107" s="449"/>
      <c r="H107" s="4"/>
      <c r="I107" s="4"/>
      <c r="J107" s="4"/>
      <c r="K107" s="4"/>
      <c r="L107" s="4"/>
      <c r="M107" s="449"/>
      <c r="N107" s="449"/>
      <c r="O107" s="4"/>
      <c r="P107" s="4"/>
      <c r="Q107" s="449"/>
      <c r="R107" s="449"/>
      <c r="S107" s="445">
        <f t="shared" si="7"/>
        <v>0</v>
      </c>
      <c r="T107" s="445">
        <f t="shared" si="8"/>
        <v>0</v>
      </c>
      <c r="U107" s="445">
        <f t="shared" si="9"/>
        <v>0</v>
      </c>
      <c r="W107" s="450"/>
      <c r="X107" s="448"/>
      <c r="Y107" s="441"/>
      <c r="Z107" s="441"/>
      <c r="AA107" s="441"/>
      <c r="AB107" s="441"/>
      <c r="AC107" s="441"/>
      <c r="AD107" s="441"/>
      <c r="AE107" s="441"/>
      <c r="AF107" s="441"/>
      <c r="AG107" s="441"/>
      <c r="AH107" s="441"/>
      <c r="AI107" s="441"/>
      <c r="AJ107" s="441"/>
      <c r="AK107" s="441"/>
      <c r="AL107" s="441"/>
      <c r="AM107" s="441"/>
      <c r="AN107" s="441"/>
      <c r="AO107" s="441"/>
    </row>
    <row r="108" spans="1:41" ht="12.75" hidden="1" thickBot="1">
      <c r="A108" s="1" t="s">
        <v>1271</v>
      </c>
      <c r="B108" s="2" t="s">
        <v>328</v>
      </c>
      <c r="C108" s="2" t="s">
        <v>1092</v>
      </c>
      <c r="D108" s="8" t="s">
        <v>567</v>
      </c>
      <c r="E108" s="5"/>
      <c r="F108" s="6"/>
      <c r="G108" s="451"/>
      <c r="H108" s="6"/>
      <c r="I108" s="6"/>
      <c r="J108" s="6"/>
      <c r="K108" s="6"/>
      <c r="L108" s="6"/>
      <c r="M108" s="451"/>
      <c r="N108" s="451"/>
      <c r="O108" s="6"/>
      <c r="P108" s="6"/>
      <c r="Q108" s="451"/>
      <c r="R108" s="451"/>
      <c r="S108" s="445">
        <f t="shared" si="7"/>
        <v>0</v>
      </c>
      <c r="T108" s="445">
        <f t="shared" si="8"/>
        <v>0</v>
      </c>
      <c r="U108" s="445">
        <f t="shared" si="9"/>
        <v>0</v>
      </c>
      <c r="W108" s="450"/>
      <c r="X108" s="448"/>
      <c r="Y108" s="441"/>
      <c r="Z108" s="441"/>
      <c r="AA108" s="441"/>
      <c r="AB108" s="441"/>
      <c r="AC108" s="441"/>
      <c r="AD108" s="441"/>
      <c r="AE108" s="441"/>
      <c r="AF108" s="441"/>
      <c r="AG108" s="441"/>
      <c r="AH108" s="441"/>
      <c r="AI108" s="441"/>
      <c r="AJ108" s="441"/>
      <c r="AK108" s="441"/>
      <c r="AL108" s="441"/>
      <c r="AM108" s="441"/>
      <c r="AN108" s="441"/>
      <c r="AO108" s="441"/>
    </row>
    <row r="109" spans="1:41" ht="12.75" hidden="1" thickBot="1">
      <c r="A109" s="1" t="s">
        <v>1271</v>
      </c>
      <c r="B109" s="2" t="s">
        <v>329</v>
      </c>
      <c r="C109" s="2" t="s">
        <v>1093</v>
      </c>
      <c r="D109" s="453" t="s">
        <v>459</v>
      </c>
      <c r="E109" s="3"/>
      <c r="F109" s="4"/>
      <c r="G109" s="449"/>
      <c r="H109" s="4"/>
      <c r="I109" s="4"/>
      <c r="J109" s="4"/>
      <c r="K109" s="4"/>
      <c r="L109" s="4"/>
      <c r="M109" s="449"/>
      <c r="N109" s="449"/>
      <c r="O109" s="4"/>
      <c r="P109" s="4"/>
      <c r="Q109" s="449"/>
      <c r="R109" s="449"/>
      <c r="S109" s="445">
        <f t="shared" si="7"/>
        <v>0</v>
      </c>
      <c r="T109" s="445">
        <f t="shared" si="8"/>
        <v>0</v>
      </c>
      <c r="U109" s="445">
        <f t="shared" si="9"/>
        <v>0</v>
      </c>
      <c r="W109" s="450"/>
      <c r="X109" s="448"/>
      <c r="Y109" s="441"/>
      <c r="Z109" s="441"/>
      <c r="AA109" s="441"/>
      <c r="AB109" s="441"/>
      <c r="AC109" s="441"/>
      <c r="AD109" s="441"/>
      <c r="AE109" s="441"/>
      <c r="AF109" s="441"/>
      <c r="AG109" s="441"/>
      <c r="AH109" s="441"/>
      <c r="AI109" s="441"/>
      <c r="AJ109" s="441"/>
      <c r="AK109" s="441"/>
      <c r="AL109" s="441"/>
      <c r="AM109" s="441"/>
      <c r="AN109" s="441"/>
      <c r="AO109" s="441"/>
    </row>
    <row r="110" spans="1:41" ht="12.75" hidden="1" thickBot="1">
      <c r="A110" s="1" t="s">
        <v>1271</v>
      </c>
      <c r="B110" s="2" t="s">
        <v>330</v>
      </c>
      <c r="C110" s="2" t="s">
        <v>1094</v>
      </c>
      <c r="D110" s="8" t="s">
        <v>567</v>
      </c>
      <c r="E110" s="5"/>
      <c r="F110" s="6"/>
      <c r="G110" s="451"/>
      <c r="H110" s="6"/>
      <c r="I110" s="6"/>
      <c r="J110" s="6"/>
      <c r="K110" s="6"/>
      <c r="L110" s="6"/>
      <c r="M110" s="451"/>
      <c r="N110" s="451"/>
      <c r="O110" s="6"/>
      <c r="P110" s="6"/>
      <c r="Q110" s="451"/>
      <c r="R110" s="451"/>
      <c r="S110" s="445">
        <f t="shared" si="7"/>
        <v>0</v>
      </c>
      <c r="T110" s="445">
        <f t="shared" si="8"/>
        <v>0</v>
      </c>
      <c r="U110" s="445">
        <f t="shared" si="9"/>
        <v>0</v>
      </c>
      <c r="W110" s="450"/>
      <c r="X110" s="448"/>
      <c r="Y110" s="441"/>
      <c r="Z110" s="441"/>
      <c r="AA110" s="441"/>
      <c r="AB110" s="441"/>
      <c r="AC110" s="441"/>
      <c r="AD110" s="441"/>
      <c r="AE110" s="441"/>
      <c r="AF110" s="441"/>
      <c r="AG110" s="441"/>
      <c r="AH110" s="441"/>
      <c r="AI110" s="441"/>
      <c r="AJ110" s="441"/>
      <c r="AK110" s="441"/>
      <c r="AL110" s="441"/>
      <c r="AM110" s="441"/>
      <c r="AN110" s="441"/>
      <c r="AO110" s="441"/>
    </row>
    <row r="111" spans="1:41" ht="12.75" hidden="1" thickBot="1">
      <c r="A111" s="1" t="s">
        <v>1271</v>
      </c>
      <c r="B111" s="2" t="s">
        <v>331</v>
      </c>
      <c r="C111" s="2" t="s">
        <v>1095</v>
      </c>
      <c r="D111" s="453" t="s">
        <v>459</v>
      </c>
      <c r="E111" s="3"/>
      <c r="F111" s="4"/>
      <c r="G111" s="449"/>
      <c r="H111" s="4"/>
      <c r="I111" s="4"/>
      <c r="J111" s="4"/>
      <c r="K111" s="4"/>
      <c r="L111" s="4"/>
      <c r="M111" s="449"/>
      <c r="N111" s="449"/>
      <c r="O111" s="4"/>
      <c r="P111" s="4"/>
      <c r="Q111" s="449"/>
      <c r="R111" s="449"/>
      <c r="S111" s="445">
        <f t="shared" si="7"/>
        <v>0</v>
      </c>
      <c r="T111" s="445">
        <f t="shared" si="8"/>
        <v>0</v>
      </c>
      <c r="U111" s="445">
        <f t="shared" si="9"/>
        <v>0</v>
      </c>
      <c r="W111" s="450"/>
      <c r="X111" s="448"/>
      <c r="Y111" s="441"/>
      <c r="Z111" s="441"/>
      <c r="AA111" s="441"/>
      <c r="AB111" s="441"/>
      <c r="AC111" s="441"/>
      <c r="AD111" s="441"/>
      <c r="AE111" s="441"/>
      <c r="AF111" s="441"/>
      <c r="AG111" s="441"/>
      <c r="AH111" s="441"/>
      <c r="AI111" s="441"/>
      <c r="AJ111" s="441"/>
      <c r="AK111" s="441"/>
      <c r="AL111" s="441"/>
      <c r="AM111" s="441"/>
      <c r="AN111" s="441"/>
      <c r="AO111" s="441"/>
    </row>
    <row r="112" spans="1:41" ht="12.75" hidden="1" thickBot="1">
      <c r="A112" s="1" t="s">
        <v>1271</v>
      </c>
      <c r="B112" s="2" t="s">
        <v>332</v>
      </c>
      <c r="C112" s="2" t="s">
        <v>1096</v>
      </c>
      <c r="D112" s="453" t="s">
        <v>459</v>
      </c>
      <c r="E112" s="5"/>
      <c r="F112" s="6"/>
      <c r="G112" s="451"/>
      <c r="H112" s="6"/>
      <c r="I112" s="6"/>
      <c r="J112" s="6"/>
      <c r="K112" s="6"/>
      <c r="L112" s="6"/>
      <c r="M112" s="451"/>
      <c r="N112" s="451"/>
      <c r="O112" s="6"/>
      <c r="P112" s="6"/>
      <c r="Q112" s="451"/>
      <c r="R112" s="451"/>
      <c r="S112" s="445">
        <f t="shared" si="7"/>
        <v>0</v>
      </c>
      <c r="T112" s="445">
        <f t="shared" si="8"/>
        <v>0</v>
      </c>
      <c r="U112" s="445">
        <f t="shared" si="9"/>
        <v>0</v>
      </c>
      <c r="W112" s="450"/>
      <c r="X112" s="448"/>
      <c r="Y112" s="441"/>
      <c r="Z112" s="441"/>
      <c r="AA112" s="441"/>
      <c r="AB112" s="441"/>
      <c r="AC112" s="441"/>
      <c r="AD112" s="441"/>
      <c r="AE112" s="441"/>
      <c r="AF112" s="441"/>
      <c r="AG112" s="441"/>
      <c r="AH112" s="441"/>
      <c r="AI112" s="441"/>
      <c r="AJ112" s="441"/>
      <c r="AK112" s="441"/>
      <c r="AL112" s="441"/>
      <c r="AM112" s="441"/>
      <c r="AN112" s="441"/>
      <c r="AO112" s="441"/>
    </row>
    <row r="113" spans="1:44" ht="12.75" hidden="1" thickBot="1">
      <c r="A113" s="1" t="s">
        <v>1271</v>
      </c>
      <c r="B113" s="2" t="s">
        <v>333</v>
      </c>
      <c r="C113" s="2" t="s">
        <v>1097</v>
      </c>
      <c r="D113" s="8" t="s">
        <v>567</v>
      </c>
      <c r="E113" s="3"/>
      <c r="F113" s="4"/>
      <c r="G113" s="449"/>
      <c r="H113" s="4"/>
      <c r="I113" s="4"/>
      <c r="J113" s="4"/>
      <c r="K113" s="4"/>
      <c r="L113" s="4"/>
      <c r="M113" s="449"/>
      <c r="N113" s="449"/>
      <c r="O113" s="4"/>
      <c r="P113" s="4"/>
      <c r="Q113" s="449"/>
      <c r="R113" s="449"/>
      <c r="S113" s="445">
        <f t="shared" si="7"/>
        <v>0</v>
      </c>
      <c r="T113" s="445">
        <f t="shared" si="8"/>
        <v>0</v>
      </c>
      <c r="U113" s="445">
        <f t="shared" si="9"/>
        <v>0</v>
      </c>
      <c r="W113" s="450"/>
      <c r="X113" s="448"/>
      <c r="Y113" s="441"/>
      <c r="Z113" s="441"/>
      <c r="AA113" s="441"/>
      <c r="AB113" s="441"/>
      <c r="AC113" s="441"/>
      <c r="AD113" s="441"/>
      <c r="AE113" s="441"/>
      <c r="AF113" s="441"/>
      <c r="AG113" s="441"/>
      <c r="AH113" s="441"/>
      <c r="AI113" s="441"/>
      <c r="AJ113" s="441"/>
      <c r="AK113" s="441"/>
      <c r="AL113" s="441"/>
      <c r="AM113" s="441"/>
      <c r="AN113" s="441"/>
      <c r="AO113" s="441"/>
    </row>
    <row r="114" spans="1:44" ht="12.75" hidden="1" thickBot="1">
      <c r="A114" s="1" t="s">
        <v>1271</v>
      </c>
      <c r="B114" s="2" t="s">
        <v>334</v>
      </c>
      <c r="C114" s="2" t="s">
        <v>1098</v>
      </c>
      <c r="D114" s="453" t="s">
        <v>459</v>
      </c>
      <c r="E114" s="5"/>
      <c r="F114" s="6"/>
      <c r="G114" s="451"/>
      <c r="H114" s="6"/>
      <c r="I114" s="6"/>
      <c r="J114" s="6"/>
      <c r="K114" s="6"/>
      <c r="L114" s="6"/>
      <c r="M114" s="451"/>
      <c r="N114" s="451"/>
      <c r="O114" s="6"/>
      <c r="P114" s="6"/>
      <c r="Q114" s="451"/>
      <c r="R114" s="451"/>
      <c r="S114" s="445">
        <f t="shared" si="7"/>
        <v>0</v>
      </c>
      <c r="T114" s="445">
        <f t="shared" si="8"/>
        <v>0</v>
      </c>
      <c r="U114" s="445">
        <f t="shared" si="9"/>
        <v>0</v>
      </c>
      <c r="W114" s="450"/>
      <c r="X114" s="448"/>
      <c r="Y114" s="441"/>
      <c r="Z114" s="441"/>
      <c r="AA114" s="441"/>
      <c r="AB114" s="441"/>
      <c r="AC114" s="441"/>
      <c r="AD114" s="441"/>
      <c r="AE114" s="441"/>
      <c r="AF114" s="441"/>
      <c r="AG114" s="441"/>
      <c r="AH114" s="441"/>
      <c r="AI114" s="441"/>
      <c r="AJ114" s="441"/>
      <c r="AK114" s="441"/>
      <c r="AL114" s="441"/>
      <c r="AM114" s="441"/>
      <c r="AN114" s="441"/>
      <c r="AO114" s="441"/>
    </row>
    <row r="115" spans="1:44" ht="12.75" hidden="1" thickBot="1">
      <c r="A115" s="1" t="s">
        <v>1271</v>
      </c>
      <c r="B115" s="2" t="s">
        <v>620</v>
      </c>
      <c r="C115" s="2" t="s">
        <v>1099</v>
      </c>
      <c r="D115" s="8" t="s">
        <v>567</v>
      </c>
      <c r="E115" s="3"/>
      <c r="F115" s="4"/>
      <c r="G115" s="449"/>
      <c r="H115" s="4"/>
      <c r="I115" s="4"/>
      <c r="J115" s="4"/>
      <c r="K115" s="4"/>
      <c r="L115" s="4"/>
      <c r="M115" s="449"/>
      <c r="N115" s="449"/>
      <c r="O115" s="4"/>
      <c r="P115" s="4"/>
      <c r="Q115" s="449"/>
      <c r="R115" s="449"/>
      <c r="S115" s="445">
        <f t="shared" si="7"/>
        <v>0</v>
      </c>
      <c r="T115" s="445">
        <f t="shared" si="8"/>
        <v>0</v>
      </c>
      <c r="U115" s="445">
        <f t="shared" si="9"/>
        <v>0</v>
      </c>
      <c r="W115" s="450"/>
      <c r="X115" s="448"/>
      <c r="Y115" s="441"/>
      <c r="Z115" s="441"/>
      <c r="AA115" s="441"/>
      <c r="AB115" s="441"/>
      <c r="AC115" s="441"/>
      <c r="AD115" s="441"/>
      <c r="AE115" s="441"/>
      <c r="AF115" s="441"/>
      <c r="AG115" s="441"/>
      <c r="AH115" s="441"/>
      <c r="AI115" s="441"/>
      <c r="AJ115" s="441"/>
      <c r="AK115" s="441"/>
      <c r="AL115" s="441"/>
      <c r="AM115" s="441"/>
      <c r="AN115" s="441"/>
      <c r="AO115" s="441"/>
    </row>
    <row r="116" spans="1:44" ht="12.75" hidden="1" thickBot="1">
      <c r="A116" s="1" t="s">
        <v>1271</v>
      </c>
      <c r="B116" s="2" t="s">
        <v>360</v>
      </c>
      <c r="C116" s="2" t="s">
        <v>1100</v>
      </c>
      <c r="D116" s="8" t="s">
        <v>567</v>
      </c>
      <c r="E116" s="5"/>
      <c r="F116" s="6"/>
      <c r="G116" s="451"/>
      <c r="H116" s="6"/>
      <c r="I116" s="6"/>
      <c r="J116" s="6"/>
      <c r="K116" s="6"/>
      <c r="L116" s="6"/>
      <c r="M116" s="451"/>
      <c r="N116" s="451"/>
      <c r="O116" s="6"/>
      <c r="P116" s="6"/>
      <c r="Q116" s="451"/>
      <c r="R116" s="451"/>
      <c r="S116" s="445">
        <f t="shared" si="7"/>
        <v>0</v>
      </c>
      <c r="T116" s="445">
        <f t="shared" si="8"/>
        <v>0</v>
      </c>
      <c r="U116" s="445">
        <f t="shared" si="9"/>
        <v>0</v>
      </c>
      <c r="W116" s="450"/>
      <c r="X116" s="448"/>
      <c r="Y116" s="441"/>
      <c r="Z116" s="441"/>
      <c r="AA116" s="441"/>
      <c r="AB116" s="441"/>
      <c r="AC116" s="441"/>
      <c r="AD116" s="441"/>
      <c r="AE116" s="441"/>
      <c r="AF116" s="441"/>
      <c r="AG116" s="441"/>
      <c r="AH116" s="441"/>
      <c r="AI116" s="441"/>
      <c r="AJ116" s="441"/>
      <c r="AK116" s="441"/>
      <c r="AL116" s="441"/>
      <c r="AM116" s="441"/>
      <c r="AN116" s="441"/>
      <c r="AO116" s="441"/>
    </row>
    <row r="117" spans="1:44" ht="12.75" hidden="1" thickBot="1">
      <c r="A117" s="1" t="s">
        <v>1271</v>
      </c>
      <c r="B117" s="2" t="s">
        <v>335</v>
      </c>
      <c r="C117" s="2" t="s">
        <v>1101</v>
      </c>
      <c r="D117" s="8" t="s">
        <v>567</v>
      </c>
      <c r="E117" s="3"/>
      <c r="F117" s="4"/>
      <c r="G117" s="449"/>
      <c r="H117" s="4"/>
      <c r="I117" s="4"/>
      <c r="J117" s="4"/>
      <c r="K117" s="4"/>
      <c r="L117" s="4"/>
      <c r="M117" s="449"/>
      <c r="N117" s="449"/>
      <c r="O117" s="4"/>
      <c r="P117" s="4"/>
      <c r="Q117" s="449"/>
      <c r="R117" s="449"/>
      <c r="S117" s="445">
        <f t="shared" si="7"/>
        <v>0</v>
      </c>
      <c r="T117" s="445">
        <f t="shared" si="8"/>
        <v>0</v>
      </c>
      <c r="U117" s="445">
        <f t="shared" si="9"/>
        <v>0</v>
      </c>
      <c r="W117" s="450"/>
      <c r="X117" s="448"/>
      <c r="Y117" s="441"/>
      <c r="Z117" s="441"/>
      <c r="AA117" s="441"/>
      <c r="AB117" s="441"/>
      <c r="AC117" s="441"/>
      <c r="AD117" s="441"/>
      <c r="AE117" s="441"/>
      <c r="AF117" s="441"/>
      <c r="AG117" s="441"/>
      <c r="AH117" s="441"/>
      <c r="AI117" s="441"/>
      <c r="AJ117" s="441"/>
      <c r="AK117" s="441"/>
      <c r="AL117" s="441"/>
      <c r="AM117" s="441"/>
      <c r="AN117" s="441"/>
      <c r="AO117" s="441"/>
    </row>
    <row r="118" spans="1:44" ht="12.75" hidden="1" thickBot="1">
      <c r="A118" s="1" t="s">
        <v>1271</v>
      </c>
      <c r="B118" s="2" t="s">
        <v>336</v>
      </c>
      <c r="C118" s="2" t="s">
        <v>1102</v>
      </c>
      <c r="D118" s="8" t="s">
        <v>567</v>
      </c>
      <c r="E118" s="5"/>
      <c r="F118" s="6"/>
      <c r="G118" s="451"/>
      <c r="H118" s="6"/>
      <c r="I118" s="6"/>
      <c r="J118" s="6"/>
      <c r="K118" s="6"/>
      <c r="L118" s="6"/>
      <c r="M118" s="451"/>
      <c r="N118" s="451"/>
      <c r="O118" s="6"/>
      <c r="P118" s="6"/>
      <c r="Q118" s="451"/>
      <c r="R118" s="451"/>
      <c r="S118" s="445">
        <f t="shared" si="7"/>
        <v>0</v>
      </c>
      <c r="T118" s="445">
        <f t="shared" si="8"/>
        <v>0</v>
      </c>
      <c r="U118" s="445">
        <f t="shared" si="9"/>
        <v>0</v>
      </c>
      <c r="W118" s="450"/>
      <c r="X118" s="448"/>
      <c r="Y118" s="441"/>
      <c r="Z118" s="441"/>
      <c r="AA118" s="441"/>
      <c r="AB118" s="441"/>
      <c r="AC118" s="441"/>
      <c r="AD118" s="441"/>
      <c r="AE118" s="441"/>
      <c r="AF118" s="441"/>
      <c r="AG118" s="441"/>
      <c r="AH118" s="441"/>
      <c r="AI118" s="441"/>
      <c r="AJ118" s="441"/>
      <c r="AK118" s="441"/>
      <c r="AL118" s="441"/>
      <c r="AM118" s="441"/>
      <c r="AN118" s="441"/>
      <c r="AO118" s="441"/>
    </row>
    <row r="119" spans="1:44" ht="12.75" hidden="1" thickBot="1">
      <c r="A119" s="1" t="s">
        <v>1271</v>
      </c>
      <c r="B119" s="2" t="s">
        <v>337</v>
      </c>
      <c r="C119" s="2" t="s">
        <v>1103</v>
      </c>
      <c r="D119" s="8" t="s">
        <v>567</v>
      </c>
      <c r="E119" s="3"/>
      <c r="F119" s="4"/>
      <c r="G119" s="449"/>
      <c r="H119" s="4"/>
      <c r="I119" s="4"/>
      <c r="J119" s="4"/>
      <c r="K119" s="4"/>
      <c r="L119" s="4"/>
      <c r="M119" s="449"/>
      <c r="N119" s="449"/>
      <c r="O119" s="4"/>
      <c r="P119" s="4"/>
      <c r="Q119" s="449"/>
      <c r="R119" s="449"/>
      <c r="S119" s="445">
        <f t="shared" si="7"/>
        <v>0</v>
      </c>
      <c r="T119" s="445">
        <f t="shared" si="8"/>
        <v>0</v>
      </c>
      <c r="U119" s="445">
        <f t="shared" si="9"/>
        <v>0</v>
      </c>
      <c r="W119" s="450"/>
      <c r="X119" s="448"/>
      <c r="Y119" s="441"/>
      <c r="Z119" s="441"/>
      <c r="AA119" s="441"/>
      <c r="AB119" s="441"/>
      <c r="AC119" s="441"/>
      <c r="AD119" s="441"/>
      <c r="AE119" s="441"/>
      <c r="AF119" s="441"/>
      <c r="AG119" s="441"/>
      <c r="AH119" s="441"/>
      <c r="AI119" s="441"/>
      <c r="AJ119" s="441"/>
      <c r="AK119" s="441"/>
      <c r="AL119" s="441"/>
      <c r="AM119" s="441"/>
      <c r="AN119" s="441"/>
      <c r="AO119" s="441"/>
    </row>
    <row r="120" spans="1:44" ht="12.75" hidden="1" thickBot="1">
      <c r="A120" s="1" t="s">
        <v>1271</v>
      </c>
      <c r="B120" s="454" t="s">
        <v>7</v>
      </c>
      <c r="C120" s="455"/>
      <c r="D120" s="455"/>
      <c r="E120" s="7"/>
      <c r="F120" s="456"/>
      <c r="G120" s="456"/>
      <c r="H120" s="456"/>
      <c r="I120" s="456"/>
      <c r="J120" s="456"/>
      <c r="K120" s="456"/>
      <c r="L120" s="456"/>
      <c r="M120" s="456"/>
      <c r="N120" s="456"/>
      <c r="O120" s="456"/>
      <c r="P120" s="456"/>
      <c r="Q120" s="456"/>
      <c r="R120" s="456"/>
      <c r="S120" s="445">
        <f t="shared" si="7"/>
        <v>0</v>
      </c>
      <c r="T120" s="445">
        <f t="shared" si="8"/>
        <v>0</v>
      </c>
      <c r="U120" s="445">
        <f t="shared" si="9"/>
        <v>0</v>
      </c>
      <c r="W120" s="450"/>
      <c r="X120" s="448"/>
      <c r="Y120" s="441"/>
      <c r="Z120" s="441"/>
      <c r="AA120" s="441"/>
      <c r="AB120" s="441"/>
      <c r="AC120" s="441"/>
      <c r="AD120" s="441"/>
      <c r="AE120" s="441"/>
      <c r="AF120" s="441"/>
      <c r="AG120" s="441"/>
      <c r="AH120" s="441"/>
      <c r="AI120" s="441"/>
      <c r="AJ120" s="441"/>
      <c r="AK120" s="441"/>
      <c r="AL120" s="441"/>
      <c r="AM120" s="441"/>
      <c r="AN120" s="441"/>
      <c r="AO120" s="441"/>
    </row>
    <row r="121" spans="1:44" ht="12.75" hidden="1" thickBot="1">
      <c r="A121" s="1" t="s">
        <v>1272</v>
      </c>
      <c r="B121" s="2" t="s">
        <v>797</v>
      </c>
      <c r="C121" s="2" t="s">
        <v>1031</v>
      </c>
      <c r="D121" s="8" t="s">
        <v>830</v>
      </c>
      <c r="E121" s="457"/>
      <c r="F121" s="4"/>
      <c r="G121" s="4"/>
      <c r="H121" s="4"/>
      <c r="I121" s="4"/>
      <c r="J121" s="4"/>
      <c r="K121" s="4"/>
      <c r="L121" s="4"/>
      <c r="M121" s="4"/>
      <c r="N121" s="4"/>
      <c r="O121" s="4"/>
      <c r="P121" s="4"/>
      <c r="Q121" s="4"/>
      <c r="R121" s="449"/>
      <c r="S121" s="445">
        <f t="shared" si="7"/>
        <v>0</v>
      </c>
      <c r="T121" s="445">
        <f t="shared" si="8"/>
        <v>0</v>
      </c>
      <c r="U121" s="445">
        <f t="shared" si="9"/>
        <v>0</v>
      </c>
      <c r="W121" s="450">
        <f>SUM(F121:Q121)</f>
        <v>0</v>
      </c>
      <c r="X121" s="448">
        <f>R121-W121</f>
        <v>0</v>
      </c>
      <c r="Y121" s="441"/>
      <c r="Z121" s="441"/>
      <c r="AA121" s="441"/>
      <c r="AB121" s="441"/>
      <c r="AC121" s="441"/>
      <c r="AD121" s="441"/>
      <c r="AE121" s="441"/>
      <c r="AF121" s="441"/>
      <c r="AG121" s="441"/>
      <c r="AH121" s="441"/>
      <c r="AI121" s="441"/>
      <c r="AJ121" s="441"/>
      <c r="AK121" s="441"/>
      <c r="AL121" s="441"/>
      <c r="AM121" s="441"/>
      <c r="AN121" s="441"/>
      <c r="AO121" s="441"/>
      <c r="AP121" s="441"/>
      <c r="AQ121" s="441"/>
      <c r="AR121" s="441"/>
    </row>
    <row r="122" spans="1:44" ht="12.75" hidden="1" thickBot="1">
      <c r="A122" s="1" t="s">
        <v>1272</v>
      </c>
      <c r="B122" s="2" t="s">
        <v>797</v>
      </c>
      <c r="C122" s="2" t="s">
        <v>798</v>
      </c>
      <c r="D122" s="8" t="s">
        <v>830</v>
      </c>
      <c r="E122" s="458"/>
      <c r="F122" s="6"/>
      <c r="G122" s="6"/>
      <c r="H122" s="6"/>
      <c r="I122" s="6"/>
      <c r="J122" s="6"/>
      <c r="K122" s="6"/>
      <c r="L122" s="6"/>
      <c r="M122" s="6"/>
      <c r="N122" s="6"/>
      <c r="O122" s="6"/>
      <c r="P122" s="6"/>
      <c r="Q122" s="6"/>
      <c r="R122" s="451"/>
      <c r="S122" s="445">
        <f t="shared" si="7"/>
        <v>0</v>
      </c>
      <c r="T122" s="445">
        <f t="shared" si="8"/>
        <v>0</v>
      </c>
      <c r="U122" s="445">
        <f t="shared" si="9"/>
        <v>0</v>
      </c>
      <c r="W122" s="448"/>
      <c r="X122" s="448"/>
      <c r="Y122" s="441"/>
      <c r="Z122" s="441"/>
      <c r="AA122" s="441"/>
      <c r="AB122" s="441"/>
      <c r="AC122" s="441"/>
      <c r="AD122" s="441"/>
      <c r="AE122" s="441"/>
      <c r="AF122" s="441"/>
      <c r="AG122" s="441"/>
      <c r="AH122" s="441"/>
      <c r="AI122" s="441"/>
      <c r="AJ122" s="441"/>
      <c r="AK122" s="441"/>
      <c r="AL122" s="441"/>
      <c r="AM122" s="441"/>
      <c r="AN122" s="441"/>
      <c r="AO122" s="441"/>
      <c r="AP122" s="441"/>
      <c r="AQ122" s="441"/>
      <c r="AR122" s="441"/>
    </row>
    <row r="123" spans="1:44" ht="12.75" hidden="1" thickBot="1">
      <c r="A123" s="1" t="s">
        <v>1272</v>
      </c>
      <c r="B123" s="2" t="s">
        <v>793</v>
      </c>
      <c r="C123" s="2" t="s">
        <v>1032</v>
      </c>
      <c r="D123" s="8" t="s">
        <v>793</v>
      </c>
      <c r="E123" s="3">
        <f t="shared" ref="E123:R142" si="10">ROUND(SUMIFS(E$1410:E$1613,$A$1410:$A$1613,$A123,$B$1410:$B$1613,$B123),0)</f>
        <v>13359321</v>
      </c>
      <c r="F123" s="452">
        <f t="shared" si="10"/>
        <v>0</v>
      </c>
      <c r="G123" s="452">
        <f t="shared" si="10"/>
        <v>1179323</v>
      </c>
      <c r="H123" s="452">
        <f t="shared" si="10"/>
        <v>364042</v>
      </c>
      <c r="I123" s="452">
        <f t="shared" si="10"/>
        <v>0</v>
      </c>
      <c r="J123" s="452">
        <f t="shared" si="10"/>
        <v>0</v>
      </c>
      <c r="K123" s="452">
        <f t="shared" si="10"/>
        <v>0</v>
      </c>
      <c r="L123" s="452">
        <f t="shared" si="10"/>
        <v>0</v>
      </c>
      <c r="M123" s="452">
        <f t="shared" si="10"/>
        <v>-70730</v>
      </c>
      <c r="N123" s="452">
        <f t="shared" si="10"/>
        <v>127989</v>
      </c>
      <c r="O123" s="452">
        <f t="shared" si="10"/>
        <v>0</v>
      </c>
      <c r="P123" s="452">
        <f t="shared" si="10"/>
        <v>0</v>
      </c>
      <c r="Q123" s="452"/>
      <c r="R123" s="452">
        <f t="shared" si="10"/>
        <v>1600624</v>
      </c>
      <c r="S123" s="445">
        <f t="shared" si="7"/>
        <v>1543365</v>
      </c>
      <c r="T123" s="445">
        <f t="shared" si="8"/>
        <v>0</v>
      </c>
      <c r="U123" s="445">
        <f t="shared" si="9"/>
        <v>127989</v>
      </c>
      <c r="W123" s="448"/>
      <c r="X123" s="448"/>
      <c r="Y123" s="441"/>
      <c r="Z123" s="441"/>
      <c r="AA123" s="441"/>
      <c r="AB123" s="441"/>
      <c r="AC123" s="441"/>
      <c r="AD123" s="441"/>
      <c r="AE123" s="441"/>
      <c r="AF123" s="441"/>
      <c r="AG123" s="441"/>
      <c r="AH123" s="441"/>
      <c r="AI123" s="441"/>
      <c r="AJ123" s="441"/>
      <c r="AK123" s="441"/>
      <c r="AL123" s="441"/>
      <c r="AM123" s="441"/>
      <c r="AN123" s="441"/>
      <c r="AO123" s="441"/>
      <c r="AP123" s="441"/>
      <c r="AQ123" s="441"/>
      <c r="AR123" s="441"/>
    </row>
    <row r="124" spans="1:44" ht="12.75" hidden="1" thickBot="1">
      <c r="A124" s="1" t="s">
        <v>1272</v>
      </c>
      <c r="B124" s="2" t="s">
        <v>1111</v>
      </c>
      <c r="C124" s="2" t="s">
        <v>1199</v>
      </c>
      <c r="D124" s="8" t="s">
        <v>830</v>
      </c>
      <c r="E124" s="3">
        <f t="shared" si="10"/>
        <v>0</v>
      </c>
      <c r="F124" s="452">
        <f t="shared" si="10"/>
        <v>0</v>
      </c>
      <c r="G124" s="452">
        <f t="shared" si="10"/>
        <v>0</v>
      </c>
      <c r="H124" s="452">
        <f t="shared" si="10"/>
        <v>0</v>
      </c>
      <c r="I124" s="452">
        <f t="shared" si="10"/>
        <v>0</v>
      </c>
      <c r="J124" s="452">
        <f t="shared" si="10"/>
        <v>0</v>
      </c>
      <c r="K124" s="452">
        <f t="shared" si="10"/>
        <v>0</v>
      </c>
      <c r="L124" s="452">
        <f t="shared" si="10"/>
        <v>0</v>
      </c>
      <c r="M124" s="452">
        <f t="shared" si="10"/>
        <v>0</v>
      </c>
      <c r="N124" s="452">
        <f t="shared" si="10"/>
        <v>0</v>
      </c>
      <c r="O124" s="452">
        <f t="shared" si="10"/>
        <v>0</v>
      </c>
      <c r="P124" s="452">
        <f t="shared" si="10"/>
        <v>0</v>
      </c>
      <c r="Q124" s="452"/>
      <c r="R124" s="452">
        <f t="shared" si="10"/>
        <v>0</v>
      </c>
      <c r="S124" s="445">
        <f t="shared" si="7"/>
        <v>0</v>
      </c>
      <c r="T124" s="445">
        <f t="shared" si="8"/>
        <v>0</v>
      </c>
      <c r="U124" s="445">
        <f t="shared" si="9"/>
        <v>0</v>
      </c>
      <c r="W124" s="448"/>
      <c r="X124" s="448"/>
      <c r="Y124" s="441"/>
      <c r="Z124" s="441"/>
      <c r="AA124" s="441"/>
      <c r="AB124" s="441"/>
      <c r="AC124" s="441"/>
      <c r="AD124" s="441"/>
      <c r="AE124" s="441"/>
      <c r="AF124" s="441"/>
      <c r="AG124" s="441"/>
      <c r="AH124" s="441"/>
      <c r="AI124" s="441"/>
      <c r="AJ124" s="441"/>
      <c r="AK124" s="441"/>
      <c r="AL124" s="441"/>
      <c r="AM124" s="441"/>
      <c r="AN124" s="441"/>
      <c r="AO124" s="441"/>
      <c r="AP124" s="441"/>
      <c r="AQ124" s="441"/>
      <c r="AR124" s="441"/>
    </row>
    <row r="125" spans="1:44" ht="12.75" hidden="1" thickBot="1">
      <c r="A125" s="1" t="s">
        <v>1272</v>
      </c>
      <c r="B125" s="2" t="s">
        <v>801</v>
      </c>
      <c r="C125" s="2" t="s">
        <v>1243</v>
      </c>
      <c r="D125" s="8" t="s">
        <v>1205</v>
      </c>
      <c r="E125" s="3">
        <f t="shared" si="10"/>
        <v>0</v>
      </c>
      <c r="F125" s="452">
        <f t="shared" si="10"/>
        <v>0</v>
      </c>
      <c r="G125" s="452">
        <f t="shared" si="10"/>
        <v>0</v>
      </c>
      <c r="H125" s="452">
        <f t="shared" si="10"/>
        <v>0</v>
      </c>
      <c r="I125" s="452">
        <f t="shared" si="10"/>
        <v>0</v>
      </c>
      <c r="J125" s="452">
        <f t="shared" si="10"/>
        <v>0</v>
      </c>
      <c r="K125" s="452">
        <f t="shared" si="10"/>
        <v>0</v>
      </c>
      <c r="L125" s="452">
        <f t="shared" si="10"/>
        <v>0</v>
      </c>
      <c r="M125" s="452">
        <f t="shared" si="10"/>
        <v>0</v>
      </c>
      <c r="N125" s="452">
        <f t="shared" si="10"/>
        <v>0</v>
      </c>
      <c r="O125" s="452">
        <f t="shared" si="10"/>
        <v>0</v>
      </c>
      <c r="P125" s="452">
        <f t="shared" si="10"/>
        <v>0</v>
      </c>
      <c r="Q125" s="452"/>
      <c r="R125" s="452">
        <f t="shared" si="10"/>
        <v>0</v>
      </c>
      <c r="S125" s="445">
        <f t="shared" si="7"/>
        <v>0</v>
      </c>
      <c r="T125" s="445">
        <f t="shared" si="8"/>
        <v>0</v>
      </c>
      <c r="U125" s="445">
        <f t="shared" si="9"/>
        <v>0</v>
      </c>
      <c r="W125" s="450"/>
      <c r="X125" s="448"/>
      <c r="Y125" s="441"/>
      <c r="Z125" s="441"/>
      <c r="AA125" s="441"/>
      <c r="AB125" s="441"/>
      <c r="AC125" s="441"/>
      <c r="AD125" s="441"/>
      <c r="AE125" s="441"/>
      <c r="AF125" s="441"/>
      <c r="AG125" s="441"/>
      <c r="AH125" s="441"/>
      <c r="AI125" s="441"/>
      <c r="AJ125" s="441"/>
      <c r="AK125" s="441"/>
      <c r="AL125" s="441"/>
      <c r="AM125" s="441"/>
      <c r="AN125" s="441"/>
      <c r="AO125" s="441"/>
      <c r="AP125" s="441"/>
      <c r="AQ125" s="441"/>
      <c r="AR125" s="441"/>
    </row>
    <row r="126" spans="1:44" ht="12.75" hidden="1" thickBot="1">
      <c r="A126" s="1" t="s">
        <v>1272</v>
      </c>
      <c r="B126" s="2" t="s">
        <v>368</v>
      </c>
      <c r="C126" s="2" t="s">
        <v>1200</v>
      </c>
      <c r="D126" s="8" t="s">
        <v>417</v>
      </c>
      <c r="E126" s="3">
        <f t="shared" si="10"/>
        <v>0</v>
      </c>
      <c r="F126" s="452">
        <f t="shared" si="10"/>
        <v>0</v>
      </c>
      <c r="G126" s="452">
        <f t="shared" si="10"/>
        <v>0</v>
      </c>
      <c r="H126" s="452">
        <f t="shared" si="10"/>
        <v>0</v>
      </c>
      <c r="I126" s="452">
        <f t="shared" si="10"/>
        <v>0</v>
      </c>
      <c r="J126" s="452">
        <f t="shared" si="10"/>
        <v>0</v>
      </c>
      <c r="K126" s="452">
        <f t="shared" si="10"/>
        <v>0</v>
      </c>
      <c r="L126" s="452">
        <f t="shared" si="10"/>
        <v>0</v>
      </c>
      <c r="M126" s="452">
        <f t="shared" si="10"/>
        <v>0</v>
      </c>
      <c r="N126" s="452">
        <f t="shared" si="10"/>
        <v>0</v>
      </c>
      <c r="O126" s="452">
        <f t="shared" si="10"/>
        <v>0</v>
      </c>
      <c r="P126" s="452">
        <f t="shared" si="10"/>
        <v>0</v>
      </c>
      <c r="Q126" s="452"/>
      <c r="R126" s="452">
        <f t="shared" si="10"/>
        <v>0</v>
      </c>
      <c r="S126" s="445">
        <f t="shared" si="7"/>
        <v>0</v>
      </c>
      <c r="T126" s="445">
        <f t="shared" si="8"/>
        <v>0</v>
      </c>
      <c r="U126" s="445">
        <f t="shared" si="9"/>
        <v>0</v>
      </c>
      <c r="W126" s="450"/>
      <c r="X126" s="448"/>
      <c r="Y126" s="441"/>
      <c r="Z126" s="441"/>
      <c r="AA126" s="441"/>
      <c r="AB126" s="441"/>
      <c r="AC126" s="441"/>
      <c r="AD126" s="441"/>
      <c r="AE126" s="441"/>
      <c r="AF126" s="441"/>
      <c r="AG126" s="441"/>
      <c r="AH126" s="441"/>
      <c r="AI126" s="441"/>
      <c r="AJ126" s="441"/>
      <c r="AK126" s="441"/>
      <c r="AL126" s="441"/>
      <c r="AM126" s="441"/>
      <c r="AN126" s="441"/>
      <c r="AO126" s="441"/>
      <c r="AP126" s="441"/>
      <c r="AQ126" s="441"/>
      <c r="AR126" s="441"/>
    </row>
    <row r="127" spans="1:44" ht="12.75" hidden="1" thickBot="1">
      <c r="A127" s="1" t="s">
        <v>1272</v>
      </c>
      <c r="B127" s="2" t="s">
        <v>370</v>
      </c>
      <c r="C127" s="2" t="s">
        <v>118</v>
      </c>
      <c r="D127" s="8" t="s">
        <v>414</v>
      </c>
      <c r="E127" s="3">
        <f t="shared" si="10"/>
        <v>28606751</v>
      </c>
      <c r="F127" s="452">
        <f t="shared" si="10"/>
        <v>564620</v>
      </c>
      <c r="G127" s="452">
        <f t="shared" si="10"/>
        <v>1785633</v>
      </c>
      <c r="H127" s="452">
        <f t="shared" si="10"/>
        <v>779534</v>
      </c>
      <c r="I127" s="452">
        <f t="shared" si="10"/>
        <v>47773</v>
      </c>
      <c r="J127" s="452">
        <f t="shared" si="10"/>
        <v>0</v>
      </c>
      <c r="K127" s="452">
        <f t="shared" si="10"/>
        <v>0</v>
      </c>
      <c r="L127" s="452">
        <f t="shared" si="10"/>
        <v>40769</v>
      </c>
      <c r="M127" s="452">
        <f t="shared" si="10"/>
        <v>-151456</v>
      </c>
      <c r="N127" s="452">
        <f t="shared" si="10"/>
        <v>0</v>
      </c>
      <c r="O127" s="452">
        <f t="shared" si="10"/>
        <v>274067</v>
      </c>
      <c r="P127" s="452">
        <f t="shared" si="10"/>
        <v>0</v>
      </c>
      <c r="Q127" s="452"/>
      <c r="R127" s="452">
        <f t="shared" si="10"/>
        <v>3340941</v>
      </c>
      <c r="S127" s="445">
        <f t="shared" si="7"/>
        <v>2612940</v>
      </c>
      <c r="T127" s="445">
        <f t="shared" si="8"/>
        <v>0</v>
      </c>
      <c r="U127" s="445">
        <f t="shared" si="9"/>
        <v>274067</v>
      </c>
      <c r="W127" s="450"/>
      <c r="X127" s="448"/>
      <c r="Y127" s="441"/>
      <c r="Z127" s="441"/>
      <c r="AA127" s="441"/>
      <c r="AB127" s="441"/>
      <c r="AC127" s="441"/>
      <c r="AD127" s="441"/>
      <c r="AE127" s="441"/>
      <c r="AF127" s="441"/>
      <c r="AG127" s="441"/>
      <c r="AH127" s="441"/>
      <c r="AI127" s="441"/>
      <c r="AJ127" s="441"/>
      <c r="AK127" s="441"/>
      <c r="AL127" s="441"/>
      <c r="AM127" s="441"/>
      <c r="AN127" s="441"/>
      <c r="AO127" s="441"/>
      <c r="AP127" s="441"/>
      <c r="AQ127" s="441"/>
      <c r="AR127" s="441"/>
    </row>
    <row r="128" spans="1:44" ht="12.75" hidden="1" thickBot="1">
      <c r="A128" s="1" t="s">
        <v>1272</v>
      </c>
      <c r="B128" s="2" t="s">
        <v>371</v>
      </c>
      <c r="C128" s="2" t="s">
        <v>1201</v>
      </c>
      <c r="D128" s="8" t="s">
        <v>414</v>
      </c>
      <c r="E128" s="3">
        <f t="shared" si="10"/>
        <v>0</v>
      </c>
      <c r="F128" s="452">
        <f t="shared" si="10"/>
        <v>0</v>
      </c>
      <c r="G128" s="452">
        <f t="shared" si="10"/>
        <v>0</v>
      </c>
      <c r="H128" s="452">
        <f t="shared" si="10"/>
        <v>0</v>
      </c>
      <c r="I128" s="452">
        <f t="shared" si="10"/>
        <v>0</v>
      </c>
      <c r="J128" s="452">
        <f t="shared" si="10"/>
        <v>0</v>
      </c>
      <c r="K128" s="452">
        <f t="shared" si="10"/>
        <v>0</v>
      </c>
      <c r="L128" s="452">
        <f t="shared" si="10"/>
        <v>0</v>
      </c>
      <c r="M128" s="452">
        <f t="shared" si="10"/>
        <v>0</v>
      </c>
      <c r="N128" s="452">
        <f t="shared" si="10"/>
        <v>0</v>
      </c>
      <c r="O128" s="452">
        <f t="shared" si="10"/>
        <v>0</v>
      </c>
      <c r="P128" s="452">
        <f t="shared" si="10"/>
        <v>0</v>
      </c>
      <c r="Q128" s="452"/>
      <c r="R128" s="452">
        <f t="shared" si="10"/>
        <v>0</v>
      </c>
      <c r="S128" s="445">
        <f t="shared" si="7"/>
        <v>0</v>
      </c>
      <c r="T128" s="445">
        <f t="shared" si="8"/>
        <v>0</v>
      </c>
      <c r="U128" s="445">
        <f t="shared" si="9"/>
        <v>0</v>
      </c>
      <c r="W128" s="450"/>
      <c r="X128" s="448"/>
      <c r="Y128" s="441"/>
      <c r="Z128" s="441"/>
      <c r="AA128" s="441"/>
      <c r="AB128" s="441"/>
      <c r="AC128" s="441"/>
      <c r="AD128" s="441"/>
      <c r="AE128" s="441"/>
      <c r="AF128" s="441"/>
      <c r="AG128" s="441"/>
      <c r="AH128" s="441"/>
      <c r="AI128" s="441"/>
      <c r="AJ128" s="441"/>
      <c r="AK128" s="441"/>
      <c r="AL128" s="441"/>
      <c r="AM128" s="441"/>
      <c r="AN128" s="441"/>
      <c r="AO128" s="441"/>
      <c r="AP128" s="441"/>
      <c r="AQ128" s="441"/>
      <c r="AR128" s="441"/>
    </row>
    <row r="129" spans="1:44" ht="12.75" hidden="1" thickBot="1">
      <c r="A129" s="1" t="s">
        <v>1272</v>
      </c>
      <c r="B129" s="2" t="s">
        <v>372</v>
      </c>
      <c r="C129" s="2" t="s">
        <v>1202</v>
      </c>
      <c r="D129" s="8" t="s">
        <v>416</v>
      </c>
      <c r="E129" s="3">
        <f t="shared" si="10"/>
        <v>0</v>
      </c>
      <c r="F129" s="452">
        <f t="shared" si="10"/>
        <v>0</v>
      </c>
      <c r="G129" s="452">
        <f t="shared" si="10"/>
        <v>0</v>
      </c>
      <c r="H129" s="452">
        <f t="shared" si="10"/>
        <v>0</v>
      </c>
      <c r="I129" s="452">
        <f t="shared" si="10"/>
        <v>0</v>
      </c>
      <c r="J129" s="452">
        <f t="shared" si="10"/>
        <v>0</v>
      </c>
      <c r="K129" s="452">
        <f t="shared" si="10"/>
        <v>0</v>
      </c>
      <c r="L129" s="452">
        <f t="shared" si="10"/>
        <v>0</v>
      </c>
      <c r="M129" s="452">
        <f t="shared" si="10"/>
        <v>0</v>
      </c>
      <c r="N129" s="452">
        <f t="shared" si="10"/>
        <v>0</v>
      </c>
      <c r="O129" s="452">
        <f t="shared" si="10"/>
        <v>0</v>
      </c>
      <c r="P129" s="452">
        <f t="shared" si="10"/>
        <v>0</v>
      </c>
      <c r="Q129" s="452"/>
      <c r="R129" s="452">
        <f t="shared" si="10"/>
        <v>0</v>
      </c>
      <c r="S129" s="445">
        <f t="shared" si="7"/>
        <v>0</v>
      </c>
      <c r="T129" s="445">
        <f t="shared" si="8"/>
        <v>0</v>
      </c>
      <c r="U129" s="445">
        <f t="shared" si="9"/>
        <v>0</v>
      </c>
      <c r="W129" s="450"/>
      <c r="X129" s="448"/>
      <c r="Y129" s="441"/>
      <c r="Z129" s="441"/>
      <c r="AA129" s="441"/>
      <c r="AB129" s="441"/>
      <c r="AC129" s="441"/>
      <c r="AD129" s="441"/>
      <c r="AE129" s="441"/>
      <c r="AF129" s="441"/>
      <c r="AG129" s="441"/>
      <c r="AH129" s="441"/>
      <c r="AI129" s="441"/>
      <c r="AJ129" s="441"/>
      <c r="AK129" s="441"/>
      <c r="AL129" s="441"/>
      <c r="AM129" s="441"/>
      <c r="AN129" s="441"/>
      <c r="AO129" s="441"/>
      <c r="AP129" s="441"/>
      <c r="AQ129" s="441"/>
      <c r="AR129" s="441"/>
    </row>
    <row r="130" spans="1:44" ht="12.75" hidden="1" thickBot="1">
      <c r="A130" s="1" t="s">
        <v>1272</v>
      </c>
      <c r="B130" s="2" t="s">
        <v>374</v>
      </c>
      <c r="C130" s="2" t="s">
        <v>415</v>
      </c>
      <c r="D130" s="8" t="s">
        <v>414</v>
      </c>
      <c r="E130" s="3">
        <f t="shared" si="10"/>
        <v>0</v>
      </c>
      <c r="F130" s="452">
        <f t="shared" si="10"/>
        <v>0</v>
      </c>
      <c r="G130" s="452">
        <f t="shared" si="10"/>
        <v>0</v>
      </c>
      <c r="H130" s="452">
        <f t="shared" si="10"/>
        <v>0</v>
      </c>
      <c r="I130" s="452">
        <f t="shared" si="10"/>
        <v>0</v>
      </c>
      <c r="J130" s="452">
        <f t="shared" si="10"/>
        <v>0</v>
      </c>
      <c r="K130" s="452">
        <f t="shared" si="10"/>
        <v>0</v>
      </c>
      <c r="L130" s="452">
        <f t="shared" si="10"/>
        <v>0</v>
      </c>
      <c r="M130" s="452">
        <f t="shared" si="10"/>
        <v>0</v>
      </c>
      <c r="N130" s="452">
        <f t="shared" si="10"/>
        <v>0</v>
      </c>
      <c r="O130" s="452">
        <f t="shared" si="10"/>
        <v>0</v>
      </c>
      <c r="P130" s="452">
        <f t="shared" si="10"/>
        <v>0</v>
      </c>
      <c r="Q130" s="452"/>
      <c r="R130" s="452">
        <f t="shared" si="10"/>
        <v>0</v>
      </c>
      <c r="S130" s="445">
        <f t="shared" si="7"/>
        <v>0</v>
      </c>
      <c r="T130" s="445">
        <f t="shared" si="8"/>
        <v>0</v>
      </c>
      <c r="U130" s="445">
        <f t="shared" si="9"/>
        <v>0</v>
      </c>
      <c r="W130" s="450"/>
      <c r="X130" s="448"/>
      <c r="Y130" s="441"/>
      <c r="Z130" s="441"/>
      <c r="AA130" s="441"/>
      <c r="AB130" s="441"/>
      <c r="AC130" s="441"/>
      <c r="AD130" s="441"/>
      <c r="AE130" s="441"/>
      <c r="AF130" s="441"/>
      <c r="AG130" s="441"/>
      <c r="AH130" s="441"/>
      <c r="AI130" s="441"/>
      <c r="AJ130" s="441"/>
      <c r="AK130" s="441"/>
      <c r="AL130" s="441"/>
      <c r="AM130" s="441"/>
      <c r="AN130" s="441"/>
      <c r="AO130" s="441"/>
      <c r="AP130" s="441"/>
      <c r="AQ130" s="441"/>
      <c r="AR130" s="441"/>
    </row>
    <row r="131" spans="1:44" ht="12.75" hidden="1" thickBot="1">
      <c r="A131" s="1" t="s">
        <v>1272</v>
      </c>
      <c r="B131" s="2" t="s">
        <v>375</v>
      </c>
      <c r="C131" s="2" t="s">
        <v>406</v>
      </c>
      <c r="D131" s="8" t="s">
        <v>20</v>
      </c>
      <c r="E131" s="3">
        <f t="shared" si="10"/>
        <v>127422858</v>
      </c>
      <c r="F131" s="452">
        <f t="shared" si="10"/>
        <v>232650</v>
      </c>
      <c r="G131" s="452">
        <f t="shared" si="10"/>
        <v>1701095</v>
      </c>
      <c r="H131" s="452">
        <f t="shared" si="10"/>
        <v>3472273</v>
      </c>
      <c r="I131" s="452">
        <f t="shared" si="10"/>
        <v>0</v>
      </c>
      <c r="J131" s="452">
        <f t="shared" si="10"/>
        <v>161946</v>
      </c>
      <c r="K131" s="452">
        <f t="shared" si="10"/>
        <v>4564862</v>
      </c>
      <c r="L131" s="452">
        <f t="shared" si="10"/>
        <v>181598</v>
      </c>
      <c r="M131" s="452">
        <f t="shared" si="10"/>
        <v>-674631</v>
      </c>
      <c r="N131" s="452">
        <f t="shared" si="10"/>
        <v>0</v>
      </c>
      <c r="O131" s="452">
        <f t="shared" si="10"/>
        <v>1220775</v>
      </c>
      <c r="P131" s="452">
        <f t="shared" si="10"/>
        <v>0</v>
      </c>
      <c r="Q131" s="452"/>
      <c r="R131" s="452">
        <f t="shared" si="10"/>
        <v>10860569</v>
      </c>
      <c r="S131" s="445">
        <f t="shared" si="7"/>
        <v>5173368</v>
      </c>
      <c r="T131" s="445">
        <f t="shared" si="8"/>
        <v>4726808</v>
      </c>
      <c r="U131" s="445">
        <f t="shared" si="9"/>
        <v>1220775</v>
      </c>
      <c r="W131" s="450"/>
      <c r="X131" s="448"/>
      <c r="Y131" s="441"/>
      <c r="Z131" s="441"/>
      <c r="AA131" s="441"/>
      <c r="AB131" s="441"/>
      <c r="AC131" s="441"/>
      <c r="AD131" s="441"/>
      <c r="AE131" s="441"/>
      <c r="AF131" s="441"/>
      <c r="AG131" s="441"/>
      <c r="AH131" s="441"/>
      <c r="AI131" s="441"/>
      <c r="AJ131" s="441"/>
      <c r="AK131" s="441"/>
      <c r="AL131" s="441"/>
      <c r="AM131" s="441"/>
      <c r="AN131" s="441"/>
      <c r="AO131" s="441"/>
      <c r="AP131" s="441"/>
      <c r="AQ131" s="441"/>
      <c r="AR131" s="441"/>
    </row>
    <row r="132" spans="1:44" ht="12.75" hidden="1" thickBot="1">
      <c r="A132" s="1" t="s">
        <v>1272</v>
      </c>
      <c r="B132" s="2" t="s">
        <v>376</v>
      </c>
      <c r="C132" s="2" t="s">
        <v>404</v>
      </c>
      <c r="D132" s="8" t="s">
        <v>21</v>
      </c>
      <c r="E132" s="3">
        <f t="shared" si="10"/>
        <v>10127683</v>
      </c>
      <c r="F132" s="452">
        <f t="shared" si="10"/>
        <v>8840</v>
      </c>
      <c r="G132" s="452">
        <f t="shared" si="10"/>
        <v>121633</v>
      </c>
      <c r="H132" s="452">
        <f t="shared" si="10"/>
        <v>275979</v>
      </c>
      <c r="I132" s="452">
        <f t="shared" si="10"/>
        <v>0</v>
      </c>
      <c r="J132" s="452">
        <f t="shared" si="10"/>
        <v>12624</v>
      </c>
      <c r="K132" s="452">
        <f t="shared" si="10"/>
        <v>294033</v>
      </c>
      <c r="L132" s="452">
        <f t="shared" si="10"/>
        <v>14434</v>
      </c>
      <c r="M132" s="452">
        <f t="shared" si="10"/>
        <v>-53620</v>
      </c>
      <c r="N132" s="452">
        <f t="shared" si="10"/>
        <v>0</v>
      </c>
      <c r="O132" s="452">
        <f t="shared" si="10"/>
        <v>97028</v>
      </c>
      <c r="P132" s="452">
        <f t="shared" si="10"/>
        <v>0</v>
      </c>
      <c r="Q132" s="452"/>
      <c r="R132" s="452">
        <f t="shared" si="10"/>
        <v>770951</v>
      </c>
      <c r="S132" s="445">
        <f t="shared" si="7"/>
        <v>397612</v>
      </c>
      <c r="T132" s="445">
        <f t="shared" si="8"/>
        <v>306657</v>
      </c>
      <c r="U132" s="445">
        <f t="shared" si="9"/>
        <v>97028</v>
      </c>
      <c r="W132" s="450"/>
      <c r="X132" s="448"/>
      <c r="Y132" s="441"/>
      <c r="Z132" s="441"/>
      <c r="AA132" s="441"/>
      <c r="AB132" s="441"/>
      <c r="AC132" s="441"/>
      <c r="AD132" s="441"/>
      <c r="AE132" s="441"/>
      <c r="AF132" s="441"/>
      <c r="AG132" s="441"/>
      <c r="AH132" s="441"/>
      <c r="AI132" s="441"/>
      <c r="AJ132" s="441"/>
      <c r="AK132" s="441"/>
      <c r="AL132" s="441"/>
      <c r="AM132" s="441"/>
      <c r="AN132" s="441"/>
      <c r="AO132" s="441"/>
      <c r="AP132" s="441"/>
      <c r="AQ132" s="441"/>
      <c r="AR132" s="441"/>
    </row>
    <row r="133" spans="1:44" ht="12.75" hidden="1" thickBot="1">
      <c r="A133" s="1" t="s">
        <v>1272</v>
      </c>
      <c r="B133" s="2" t="s">
        <v>377</v>
      </c>
      <c r="C133" s="2" t="s">
        <v>407</v>
      </c>
      <c r="D133" s="8" t="s">
        <v>20</v>
      </c>
      <c r="E133" s="3">
        <f t="shared" si="10"/>
        <v>0</v>
      </c>
      <c r="F133" s="452">
        <f t="shared" si="10"/>
        <v>0</v>
      </c>
      <c r="G133" s="452">
        <f t="shared" si="10"/>
        <v>0</v>
      </c>
      <c r="H133" s="452">
        <f t="shared" si="10"/>
        <v>0</v>
      </c>
      <c r="I133" s="452">
        <f t="shared" si="10"/>
        <v>0</v>
      </c>
      <c r="J133" s="452">
        <f t="shared" si="10"/>
        <v>0</v>
      </c>
      <c r="K133" s="452">
        <f t="shared" si="10"/>
        <v>0</v>
      </c>
      <c r="L133" s="452">
        <f t="shared" si="10"/>
        <v>0</v>
      </c>
      <c r="M133" s="452">
        <f t="shared" si="10"/>
        <v>0</v>
      </c>
      <c r="N133" s="452">
        <f t="shared" si="10"/>
        <v>0</v>
      </c>
      <c r="O133" s="452">
        <f t="shared" si="10"/>
        <v>0</v>
      </c>
      <c r="P133" s="452">
        <f t="shared" si="10"/>
        <v>0</v>
      </c>
      <c r="Q133" s="452"/>
      <c r="R133" s="452">
        <f t="shared" si="10"/>
        <v>0</v>
      </c>
      <c r="S133" s="445">
        <f t="shared" ref="S133:S196" si="11">G133+H133+I133</f>
        <v>0</v>
      </c>
      <c r="T133" s="445">
        <f t="shared" ref="T133:T196" si="12">J133+K133</f>
        <v>0</v>
      </c>
      <c r="U133" s="445">
        <f t="shared" ref="U133:U196" si="13">N133+O133</f>
        <v>0</v>
      </c>
      <c r="W133" s="450"/>
      <c r="X133" s="448"/>
      <c r="Y133" s="441"/>
      <c r="Z133" s="441"/>
      <c r="AA133" s="441"/>
      <c r="AB133" s="441"/>
      <c r="AC133" s="441"/>
      <c r="AD133" s="441"/>
      <c r="AE133" s="441"/>
      <c r="AF133" s="441"/>
      <c r="AG133" s="441"/>
      <c r="AH133" s="441"/>
      <c r="AI133" s="441"/>
      <c r="AJ133" s="441"/>
      <c r="AK133" s="441"/>
      <c r="AL133" s="441"/>
      <c r="AM133" s="441"/>
      <c r="AN133" s="441"/>
      <c r="AO133" s="441"/>
      <c r="AP133" s="441"/>
      <c r="AQ133" s="441"/>
      <c r="AR133" s="441"/>
    </row>
    <row r="134" spans="1:44" ht="12.75" hidden="1" thickBot="1">
      <c r="A134" s="1" t="s">
        <v>1272</v>
      </c>
      <c r="B134" s="2" t="s">
        <v>378</v>
      </c>
      <c r="C134" s="2" t="s">
        <v>1033</v>
      </c>
      <c r="D134" s="8" t="s">
        <v>1006</v>
      </c>
      <c r="E134" s="3">
        <f t="shared" si="10"/>
        <v>55589071</v>
      </c>
      <c r="F134" s="452">
        <f t="shared" si="10"/>
        <v>44600</v>
      </c>
      <c r="G134" s="452">
        <f t="shared" si="10"/>
        <v>703202</v>
      </c>
      <c r="H134" s="452">
        <f t="shared" si="10"/>
        <v>1514802</v>
      </c>
      <c r="I134" s="452">
        <f t="shared" si="10"/>
        <v>0</v>
      </c>
      <c r="J134" s="452">
        <f t="shared" si="10"/>
        <v>61131</v>
      </c>
      <c r="K134" s="452">
        <f t="shared" si="10"/>
        <v>1788016</v>
      </c>
      <c r="L134" s="452">
        <f t="shared" si="10"/>
        <v>79223</v>
      </c>
      <c r="M134" s="452">
        <f t="shared" si="10"/>
        <v>-294312</v>
      </c>
      <c r="N134" s="452">
        <f t="shared" si="10"/>
        <v>0</v>
      </c>
      <c r="O134" s="452">
        <f t="shared" si="10"/>
        <v>532571</v>
      </c>
      <c r="P134" s="452">
        <f t="shared" si="10"/>
        <v>0</v>
      </c>
      <c r="Q134" s="452"/>
      <c r="R134" s="452">
        <f t="shared" si="10"/>
        <v>4429233</v>
      </c>
      <c r="S134" s="445">
        <f t="shared" si="11"/>
        <v>2218004</v>
      </c>
      <c r="T134" s="445">
        <f t="shared" si="12"/>
        <v>1849147</v>
      </c>
      <c r="U134" s="445">
        <f t="shared" si="13"/>
        <v>532571</v>
      </c>
      <c r="W134" s="450"/>
      <c r="X134" s="448"/>
      <c r="Y134" s="441"/>
      <c r="Z134" s="441"/>
      <c r="AA134" s="441"/>
      <c r="AB134" s="441"/>
      <c r="AC134" s="441"/>
      <c r="AD134" s="441"/>
      <c r="AE134" s="441"/>
      <c r="AF134" s="441"/>
      <c r="AG134" s="441"/>
      <c r="AH134" s="441"/>
      <c r="AI134" s="441"/>
      <c r="AJ134" s="441"/>
      <c r="AK134" s="441"/>
      <c r="AL134" s="441"/>
      <c r="AM134" s="441"/>
      <c r="AN134" s="441"/>
      <c r="AO134" s="441"/>
      <c r="AP134" s="441"/>
      <c r="AQ134" s="441"/>
      <c r="AR134" s="441"/>
    </row>
    <row r="135" spans="1:44" ht="12.75" hidden="1" thickBot="1">
      <c r="A135" s="1" t="s">
        <v>1272</v>
      </c>
      <c r="B135" s="2" t="s">
        <v>379</v>
      </c>
      <c r="C135" s="2" t="s">
        <v>408</v>
      </c>
      <c r="D135" s="8" t="s">
        <v>409</v>
      </c>
      <c r="E135" s="3">
        <f t="shared" si="10"/>
        <v>25576926</v>
      </c>
      <c r="F135" s="452">
        <f t="shared" si="10"/>
        <v>12000</v>
      </c>
      <c r="G135" s="452">
        <f t="shared" si="10"/>
        <v>277510</v>
      </c>
      <c r="H135" s="452">
        <f t="shared" si="10"/>
        <v>696971</v>
      </c>
      <c r="I135" s="452">
        <f t="shared" si="10"/>
        <v>0</v>
      </c>
      <c r="J135" s="452">
        <f t="shared" si="10"/>
        <v>24823</v>
      </c>
      <c r="K135" s="452">
        <f t="shared" si="10"/>
        <v>791708</v>
      </c>
      <c r="L135" s="452">
        <f t="shared" si="10"/>
        <v>36451</v>
      </c>
      <c r="M135" s="452">
        <f t="shared" si="10"/>
        <v>-135415</v>
      </c>
      <c r="N135" s="452">
        <f t="shared" si="10"/>
        <v>0</v>
      </c>
      <c r="O135" s="452">
        <f t="shared" si="10"/>
        <v>245040</v>
      </c>
      <c r="P135" s="452">
        <f t="shared" si="10"/>
        <v>0</v>
      </c>
      <c r="Q135" s="452"/>
      <c r="R135" s="452">
        <f t="shared" si="10"/>
        <v>1949088</v>
      </c>
      <c r="S135" s="445">
        <f t="shared" si="11"/>
        <v>974481</v>
      </c>
      <c r="T135" s="445">
        <f t="shared" si="12"/>
        <v>816531</v>
      </c>
      <c r="U135" s="445">
        <f t="shared" si="13"/>
        <v>245040</v>
      </c>
      <c r="W135" s="450"/>
      <c r="X135" s="448"/>
      <c r="Y135" s="441"/>
      <c r="Z135" s="441"/>
      <c r="AA135" s="441"/>
      <c r="AB135" s="441"/>
      <c r="AC135" s="441"/>
      <c r="AD135" s="441"/>
      <c r="AE135" s="441"/>
      <c r="AF135" s="441"/>
      <c r="AG135" s="441"/>
      <c r="AH135" s="441"/>
      <c r="AI135" s="441"/>
      <c r="AJ135" s="441"/>
      <c r="AK135" s="441"/>
      <c r="AL135" s="441"/>
      <c r="AM135" s="441"/>
      <c r="AN135" s="441"/>
      <c r="AO135" s="441"/>
      <c r="AP135" s="441"/>
      <c r="AQ135" s="441"/>
      <c r="AR135" s="441"/>
    </row>
    <row r="136" spans="1:44" ht="12.75" hidden="1" thickBot="1">
      <c r="A136" s="1" t="s">
        <v>1272</v>
      </c>
      <c r="B136" s="2" t="s">
        <v>381</v>
      </c>
      <c r="C136" s="2" t="s">
        <v>59</v>
      </c>
      <c r="D136" s="8" t="s">
        <v>14</v>
      </c>
      <c r="E136" s="3">
        <f t="shared" si="10"/>
        <v>72913022</v>
      </c>
      <c r="F136" s="452">
        <f t="shared" si="10"/>
        <v>573720</v>
      </c>
      <c r="G136" s="452">
        <f t="shared" si="10"/>
        <v>4551231</v>
      </c>
      <c r="H136" s="452">
        <f t="shared" si="10"/>
        <v>1986880</v>
      </c>
      <c r="I136" s="452">
        <f t="shared" si="10"/>
        <v>121765</v>
      </c>
      <c r="J136" s="452">
        <f t="shared" si="10"/>
        <v>0</v>
      </c>
      <c r="K136" s="452">
        <f t="shared" si="10"/>
        <v>0</v>
      </c>
      <c r="L136" s="452">
        <f t="shared" si="10"/>
        <v>103913</v>
      </c>
      <c r="M136" s="452">
        <f t="shared" si="10"/>
        <v>-386033</v>
      </c>
      <c r="N136" s="452">
        <f t="shared" si="10"/>
        <v>0</v>
      </c>
      <c r="O136" s="452">
        <f t="shared" si="10"/>
        <v>698543</v>
      </c>
      <c r="P136" s="452">
        <f t="shared" si="10"/>
        <v>0</v>
      </c>
      <c r="Q136" s="452"/>
      <c r="R136" s="452">
        <f t="shared" si="10"/>
        <v>7650019</v>
      </c>
      <c r="S136" s="445">
        <f t="shared" si="11"/>
        <v>6659876</v>
      </c>
      <c r="T136" s="445">
        <f t="shared" si="12"/>
        <v>0</v>
      </c>
      <c r="U136" s="445">
        <f t="shared" si="13"/>
        <v>698543</v>
      </c>
      <c r="W136" s="450"/>
      <c r="X136" s="448"/>
      <c r="Y136" s="441"/>
      <c r="Z136" s="441"/>
      <c r="AA136" s="441"/>
      <c r="AB136" s="441"/>
      <c r="AC136" s="441"/>
      <c r="AD136" s="441"/>
      <c r="AE136" s="441"/>
      <c r="AF136" s="441"/>
      <c r="AG136" s="441"/>
      <c r="AH136" s="441"/>
      <c r="AI136" s="441"/>
      <c r="AJ136" s="441"/>
      <c r="AK136" s="441"/>
      <c r="AL136" s="441"/>
      <c r="AM136" s="441"/>
      <c r="AN136" s="441"/>
      <c r="AO136" s="441"/>
      <c r="AP136" s="441"/>
      <c r="AQ136" s="441"/>
      <c r="AR136" s="441"/>
    </row>
    <row r="137" spans="1:44" ht="12.75" hidden="1" thickBot="1">
      <c r="A137" s="1" t="s">
        <v>1272</v>
      </c>
      <c r="B137" s="2" t="s">
        <v>382</v>
      </c>
      <c r="C137" s="2" t="s">
        <v>1244</v>
      </c>
      <c r="D137" s="8" t="s">
        <v>14</v>
      </c>
      <c r="E137" s="3">
        <f t="shared" si="10"/>
        <v>0</v>
      </c>
      <c r="F137" s="452">
        <f t="shared" si="10"/>
        <v>0</v>
      </c>
      <c r="G137" s="452">
        <f t="shared" si="10"/>
        <v>0</v>
      </c>
      <c r="H137" s="452">
        <f t="shared" si="10"/>
        <v>0</v>
      </c>
      <c r="I137" s="452">
        <f t="shared" si="10"/>
        <v>0</v>
      </c>
      <c r="J137" s="452">
        <f t="shared" si="10"/>
        <v>0</v>
      </c>
      <c r="K137" s="452">
        <f t="shared" si="10"/>
        <v>0</v>
      </c>
      <c r="L137" s="452">
        <f t="shared" si="10"/>
        <v>0</v>
      </c>
      <c r="M137" s="452">
        <f t="shared" si="10"/>
        <v>0</v>
      </c>
      <c r="N137" s="452">
        <f t="shared" si="10"/>
        <v>0</v>
      </c>
      <c r="O137" s="452">
        <f t="shared" si="10"/>
        <v>0</v>
      </c>
      <c r="P137" s="452">
        <f t="shared" si="10"/>
        <v>0</v>
      </c>
      <c r="Q137" s="452"/>
      <c r="R137" s="452">
        <f t="shared" si="10"/>
        <v>0</v>
      </c>
      <c r="S137" s="445">
        <f t="shared" si="11"/>
        <v>0</v>
      </c>
      <c r="T137" s="445">
        <f t="shared" si="12"/>
        <v>0</v>
      </c>
      <c r="U137" s="445">
        <f t="shared" si="13"/>
        <v>0</v>
      </c>
      <c r="W137" s="450"/>
      <c r="X137" s="448"/>
      <c r="Y137" s="441"/>
      <c r="Z137" s="441"/>
      <c r="AA137" s="441"/>
      <c r="AB137" s="441"/>
      <c r="AC137" s="441"/>
      <c r="AD137" s="441"/>
      <c r="AE137" s="441"/>
      <c r="AF137" s="441"/>
      <c r="AG137" s="441"/>
      <c r="AH137" s="441"/>
      <c r="AI137" s="441"/>
      <c r="AJ137" s="441"/>
      <c r="AK137" s="441"/>
      <c r="AL137" s="441"/>
      <c r="AM137" s="441"/>
      <c r="AN137" s="441"/>
      <c r="AO137" s="441"/>
      <c r="AP137" s="441"/>
      <c r="AQ137" s="441"/>
      <c r="AR137" s="441"/>
    </row>
    <row r="138" spans="1:44" ht="12.75" hidden="1" thickBot="1">
      <c r="A138" s="1" t="s">
        <v>1272</v>
      </c>
      <c r="B138" s="2" t="s">
        <v>384</v>
      </c>
      <c r="C138" s="2" t="s">
        <v>413</v>
      </c>
      <c r="D138" s="8" t="s">
        <v>14</v>
      </c>
      <c r="E138" s="3">
        <f t="shared" si="10"/>
        <v>0</v>
      </c>
      <c r="F138" s="452">
        <f t="shared" si="10"/>
        <v>0</v>
      </c>
      <c r="G138" s="452">
        <f t="shared" si="10"/>
        <v>0</v>
      </c>
      <c r="H138" s="452">
        <f t="shared" si="10"/>
        <v>0</v>
      </c>
      <c r="I138" s="452">
        <f t="shared" si="10"/>
        <v>0</v>
      </c>
      <c r="J138" s="452">
        <f t="shared" si="10"/>
        <v>0</v>
      </c>
      <c r="K138" s="452">
        <f t="shared" si="10"/>
        <v>0</v>
      </c>
      <c r="L138" s="452">
        <f t="shared" si="10"/>
        <v>0</v>
      </c>
      <c r="M138" s="452">
        <f t="shared" si="10"/>
        <v>0</v>
      </c>
      <c r="N138" s="452">
        <f t="shared" si="10"/>
        <v>0</v>
      </c>
      <c r="O138" s="452">
        <f t="shared" si="10"/>
        <v>0</v>
      </c>
      <c r="P138" s="452">
        <f t="shared" si="10"/>
        <v>0</v>
      </c>
      <c r="Q138" s="452"/>
      <c r="R138" s="452">
        <f t="shared" si="10"/>
        <v>0</v>
      </c>
      <c r="S138" s="445">
        <f t="shared" si="11"/>
        <v>0</v>
      </c>
      <c r="T138" s="445">
        <f t="shared" si="12"/>
        <v>0</v>
      </c>
      <c r="U138" s="445">
        <f t="shared" si="13"/>
        <v>0</v>
      </c>
      <c r="W138" s="450"/>
      <c r="X138" s="448"/>
      <c r="Y138" s="441"/>
      <c r="Z138" s="441"/>
      <c r="AA138" s="441"/>
      <c r="AB138" s="441"/>
      <c r="AC138" s="441"/>
      <c r="AD138" s="441"/>
      <c r="AE138" s="441"/>
      <c r="AF138" s="441"/>
      <c r="AG138" s="441"/>
      <c r="AH138" s="441"/>
      <c r="AI138" s="441"/>
      <c r="AJ138" s="441"/>
      <c r="AK138" s="441"/>
      <c r="AL138" s="441"/>
      <c r="AM138" s="441"/>
      <c r="AN138" s="441"/>
      <c r="AO138" s="441"/>
      <c r="AP138" s="441"/>
      <c r="AQ138" s="441"/>
      <c r="AR138" s="441"/>
    </row>
    <row r="139" spans="1:44" ht="12.75" hidden="1" thickBot="1">
      <c r="A139" s="1" t="s">
        <v>1272</v>
      </c>
      <c r="B139" s="2" t="s">
        <v>385</v>
      </c>
      <c r="C139" s="2" t="s">
        <v>424</v>
      </c>
      <c r="D139" s="8" t="s">
        <v>425</v>
      </c>
      <c r="E139" s="3">
        <f t="shared" si="10"/>
        <v>4744800</v>
      </c>
      <c r="F139" s="452">
        <f t="shared" si="10"/>
        <v>0</v>
      </c>
      <c r="G139" s="452">
        <f t="shared" si="10"/>
        <v>46357</v>
      </c>
      <c r="H139" s="452">
        <f t="shared" si="10"/>
        <v>129296</v>
      </c>
      <c r="I139" s="452">
        <f t="shared" si="10"/>
        <v>0</v>
      </c>
      <c r="J139" s="452">
        <f t="shared" si="10"/>
        <v>3444</v>
      </c>
      <c r="K139" s="452">
        <f t="shared" si="10"/>
        <v>92886</v>
      </c>
      <c r="L139" s="452">
        <f t="shared" si="10"/>
        <v>0</v>
      </c>
      <c r="M139" s="452">
        <f t="shared" si="10"/>
        <v>-25121</v>
      </c>
      <c r="N139" s="452">
        <f t="shared" si="10"/>
        <v>0</v>
      </c>
      <c r="O139" s="452">
        <f t="shared" si="10"/>
        <v>45458</v>
      </c>
      <c r="P139" s="452">
        <f t="shared" si="10"/>
        <v>0</v>
      </c>
      <c r="Q139" s="452"/>
      <c r="R139" s="452">
        <f t="shared" si="10"/>
        <v>292319</v>
      </c>
      <c r="S139" s="445">
        <f t="shared" si="11"/>
        <v>175653</v>
      </c>
      <c r="T139" s="445">
        <f t="shared" si="12"/>
        <v>96330</v>
      </c>
      <c r="U139" s="445">
        <f t="shared" si="13"/>
        <v>45458</v>
      </c>
      <c r="W139" s="450"/>
      <c r="X139" s="448"/>
      <c r="Y139" s="441"/>
      <c r="Z139" s="441"/>
      <c r="AA139" s="441"/>
      <c r="AB139" s="441"/>
      <c r="AC139" s="441"/>
      <c r="AD139" s="441"/>
      <c r="AE139" s="441"/>
      <c r="AF139" s="441"/>
      <c r="AG139" s="441"/>
      <c r="AH139" s="441"/>
      <c r="AI139" s="441"/>
      <c r="AJ139" s="441"/>
      <c r="AK139" s="441"/>
      <c r="AL139" s="441"/>
      <c r="AM139" s="441"/>
      <c r="AN139" s="441"/>
      <c r="AO139" s="441"/>
      <c r="AP139" s="441"/>
      <c r="AQ139" s="441"/>
      <c r="AR139" s="441"/>
    </row>
    <row r="140" spans="1:44" ht="12.75" hidden="1" thickBot="1">
      <c r="A140" s="1" t="s">
        <v>1272</v>
      </c>
      <c r="B140" s="2" t="s">
        <v>1223</v>
      </c>
      <c r="C140" s="2" t="s">
        <v>1224</v>
      </c>
      <c r="D140" s="8" t="s">
        <v>63</v>
      </c>
      <c r="E140" s="3">
        <f t="shared" si="10"/>
        <v>0</v>
      </c>
      <c r="F140" s="452">
        <f t="shared" si="10"/>
        <v>0</v>
      </c>
      <c r="G140" s="452">
        <f t="shared" si="10"/>
        <v>0</v>
      </c>
      <c r="H140" s="452">
        <f t="shared" si="10"/>
        <v>0</v>
      </c>
      <c r="I140" s="452">
        <f t="shared" si="10"/>
        <v>0</v>
      </c>
      <c r="J140" s="452">
        <f t="shared" si="10"/>
        <v>0</v>
      </c>
      <c r="K140" s="452">
        <f t="shared" si="10"/>
        <v>0</v>
      </c>
      <c r="L140" s="452">
        <f t="shared" si="10"/>
        <v>0</v>
      </c>
      <c r="M140" s="452">
        <f t="shared" si="10"/>
        <v>0</v>
      </c>
      <c r="N140" s="452">
        <f t="shared" si="10"/>
        <v>0</v>
      </c>
      <c r="O140" s="452">
        <f t="shared" si="10"/>
        <v>0</v>
      </c>
      <c r="P140" s="452">
        <f t="shared" si="10"/>
        <v>-286526</v>
      </c>
      <c r="Q140" s="452"/>
      <c r="R140" s="452">
        <f t="shared" si="10"/>
        <v>-286526</v>
      </c>
      <c r="S140" s="445">
        <f t="shared" si="11"/>
        <v>0</v>
      </c>
      <c r="T140" s="445">
        <f t="shared" si="12"/>
        <v>0</v>
      </c>
      <c r="U140" s="445">
        <f t="shared" si="13"/>
        <v>0</v>
      </c>
      <c r="W140" s="450"/>
      <c r="X140" s="448"/>
      <c r="Y140" s="441"/>
      <c r="Z140" s="441"/>
      <c r="AA140" s="441"/>
      <c r="AB140" s="441"/>
      <c r="AC140" s="441"/>
      <c r="AD140" s="441"/>
      <c r="AE140" s="441"/>
      <c r="AF140" s="441"/>
      <c r="AG140" s="441"/>
      <c r="AH140" s="441"/>
      <c r="AI140" s="441"/>
      <c r="AJ140" s="441"/>
      <c r="AK140" s="441"/>
      <c r="AL140" s="441"/>
      <c r="AM140" s="441"/>
      <c r="AN140" s="441"/>
      <c r="AO140" s="441"/>
      <c r="AP140" s="441"/>
      <c r="AQ140" s="441"/>
      <c r="AR140" s="441"/>
    </row>
    <row r="141" spans="1:44" ht="12.75" hidden="1" thickBot="1">
      <c r="A141" s="1" t="s">
        <v>1272</v>
      </c>
      <c r="B141" s="2" t="s">
        <v>386</v>
      </c>
      <c r="C141" s="2" t="s">
        <v>405</v>
      </c>
      <c r="D141" s="8" t="s">
        <v>63</v>
      </c>
      <c r="E141" s="3">
        <f t="shared" si="10"/>
        <v>0</v>
      </c>
      <c r="F141" s="452">
        <f t="shared" si="10"/>
        <v>0</v>
      </c>
      <c r="G141" s="452">
        <f t="shared" si="10"/>
        <v>0</v>
      </c>
      <c r="H141" s="452">
        <f t="shared" si="10"/>
        <v>0</v>
      </c>
      <c r="I141" s="452">
        <f t="shared" si="10"/>
        <v>0</v>
      </c>
      <c r="J141" s="452">
        <f t="shared" si="10"/>
        <v>0</v>
      </c>
      <c r="K141" s="452">
        <f t="shared" si="10"/>
        <v>0</v>
      </c>
      <c r="L141" s="452">
        <f t="shared" si="10"/>
        <v>0</v>
      </c>
      <c r="M141" s="452">
        <f t="shared" si="10"/>
        <v>0</v>
      </c>
      <c r="N141" s="452">
        <f t="shared" si="10"/>
        <v>0</v>
      </c>
      <c r="O141" s="452">
        <f t="shared" si="10"/>
        <v>0</v>
      </c>
      <c r="P141" s="452">
        <f t="shared" si="10"/>
        <v>0</v>
      </c>
      <c r="Q141" s="452"/>
      <c r="R141" s="452">
        <f t="shared" si="10"/>
        <v>0</v>
      </c>
      <c r="S141" s="445">
        <f t="shared" si="11"/>
        <v>0</v>
      </c>
      <c r="T141" s="445">
        <f t="shared" si="12"/>
        <v>0</v>
      </c>
      <c r="U141" s="445">
        <f t="shared" si="13"/>
        <v>0</v>
      </c>
      <c r="W141" s="450"/>
      <c r="X141" s="448"/>
      <c r="Y141" s="441"/>
      <c r="Z141" s="441"/>
      <c r="AA141" s="441"/>
      <c r="AB141" s="441"/>
      <c r="AC141" s="441"/>
      <c r="AD141" s="441"/>
      <c r="AE141" s="441"/>
      <c r="AF141" s="441"/>
      <c r="AG141" s="441"/>
      <c r="AH141" s="441"/>
      <c r="AI141" s="441"/>
      <c r="AJ141" s="441"/>
      <c r="AK141" s="441"/>
      <c r="AL141" s="441"/>
      <c r="AM141" s="441"/>
      <c r="AN141" s="441"/>
      <c r="AO141" s="441"/>
      <c r="AP141" s="441"/>
      <c r="AQ141" s="441"/>
      <c r="AR141" s="441"/>
    </row>
    <row r="142" spans="1:44" ht="12.75" hidden="1" thickBot="1">
      <c r="A142" s="1" t="s">
        <v>1272</v>
      </c>
      <c r="B142" s="2" t="s">
        <v>803</v>
      </c>
      <c r="C142" s="2" t="s">
        <v>804</v>
      </c>
      <c r="D142" s="8" t="s">
        <v>1205</v>
      </c>
      <c r="E142" s="3">
        <f t="shared" si="10"/>
        <v>0</v>
      </c>
      <c r="F142" s="452">
        <f t="shared" si="10"/>
        <v>0</v>
      </c>
      <c r="G142" s="452">
        <f t="shared" si="10"/>
        <v>0</v>
      </c>
      <c r="H142" s="452">
        <f t="shared" si="10"/>
        <v>0</v>
      </c>
      <c r="I142" s="452">
        <f t="shared" si="10"/>
        <v>0</v>
      </c>
      <c r="J142" s="452">
        <f t="shared" si="10"/>
        <v>0</v>
      </c>
      <c r="K142" s="452">
        <f t="shared" si="10"/>
        <v>0</v>
      </c>
      <c r="L142" s="452">
        <f t="shared" si="10"/>
        <v>0</v>
      </c>
      <c r="M142" s="452">
        <f t="shared" ref="G142:R160" si="14">ROUND(SUMIFS(M$1410:M$1613,$A$1410:$A$1613,$A142,$B$1410:$B$1613,$B142),0)</f>
        <v>0</v>
      </c>
      <c r="N142" s="452">
        <f t="shared" si="14"/>
        <v>0</v>
      </c>
      <c r="O142" s="452">
        <f t="shared" si="14"/>
        <v>0</v>
      </c>
      <c r="P142" s="452">
        <f t="shared" si="14"/>
        <v>0</v>
      </c>
      <c r="Q142" s="452"/>
      <c r="R142" s="452">
        <f t="shared" si="14"/>
        <v>0</v>
      </c>
      <c r="S142" s="445">
        <f t="shared" si="11"/>
        <v>0</v>
      </c>
      <c r="T142" s="445">
        <f t="shared" si="12"/>
        <v>0</v>
      </c>
      <c r="U142" s="445">
        <f t="shared" si="13"/>
        <v>0</v>
      </c>
      <c r="W142" s="450"/>
      <c r="X142" s="448"/>
      <c r="Y142" s="441"/>
      <c r="Z142" s="441"/>
      <c r="AA142" s="441"/>
      <c r="AB142" s="441"/>
      <c r="AC142" s="441"/>
      <c r="AD142" s="441"/>
      <c r="AE142" s="441"/>
      <c r="AF142" s="441"/>
      <c r="AG142" s="441"/>
      <c r="AH142" s="441"/>
      <c r="AI142" s="441"/>
      <c r="AJ142" s="441"/>
      <c r="AK142" s="441"/>
      <c r="AL142" s="441"/>
      <c r="AM142" s="441"/>
      <c r="AN142" s="441"/>
      <c r="AO142" s="441"/>
      <c r="AP142" s="441"/>
      <c r="AQ142" s="441"/>
      <c r="AR142" s="441"/>
    </row>
    <row r="143" spans="1:44" ht="12.75" hidden="1" thickBot="1">
      <c r="A143" s="1" t="s">
        <v>1272</v>
      </c>
      <c r="B143" s="2" t="s">
        <v>387</v>
      </c>
      <c r="C143" s="2" t="s">
        <v>411</v>
      </c>
      <c r="D143" s="8" t="s">
        <v>412</v>
      </c>
      <c r="E143" s="3">
        <f t="shared" ref="E143:F160" si="15">ROUND(SUMIFS(E$1410:E$1613,$A$1410:$A$1613,$A143,$B$1410:$B$1613,$B143),0)</f>
        <v>9522500</v>
      </c>
      <c r="F143" s="452">
        <f t="shared" si="15"/>
        <v>0</v>
      </c>
      <c r="G143" s="452">
        <f t="shared" si="14"/>
        <v>96653</v>
      </c>
      <c r="H143" s="452">
        <f t="shared" si="14"/>
        <v>259488</v>
      </c>
      <c r="I143" s="452">
        <f t="shared" si="14"/>
        <v>0</v>
      </c>
      <c r="J143" s="452">
        <f t="shared" si="14"/>
        <v>5582</v>
      </c>
      <c r="K143" s="452">
        <f t="shared" si="14"/>
        <v>176492</v>
      </c>
      <c r="L143" s="452">
        <f t="shared" si="14"/>
        <v>0</v>
      </c>
      <c r="M143" s="452">
        <f t="shared" si="14"/>
        <v>-50416</v>
      </c>
      <c r="N143" s="452">
        <f t="shared" si="14"/>
        <v>0</v>
      </c>
      <c r="O143" s="452">
        <f t="shared" si="14"/>
        <v>91230</v>
      </c>
      <c r="P143" s="452">
        <f t="shared" si="14"/>
        <v>0</v>
      </c>
      <c r="Q143" s="452"/>
      <c r="R143" s="452">
        <f t="shared" si="14"/>
        <v>579030</v>
      </c>
      <c r="S143" s="445">
        <f t="shared" si="11"/>
        <v>356141</v>
      </c>
      <c r="T143" s="445">
        <f t="shared" si="12"/>
        <v>182074</v>
      </c>
      <c r="U143" s="445">
        <f t="shared" si="13"/>
        <v>91230</v>
      </c>
      <c r="W143" s="450"/>
      <c r="X143" s="448"/>
      <c r="Y143" s="441"/>
      <c r="Z143" s="441"/>
      <c r="AA143" s="441"/>
      <c r="AB143" s="441"/>
      <c r="AC143" s="441"/>
      <c r="AD143" s="441"/>
      <c r="AE143" s="441"/>
      <c r="AF143" s="441"/>
      <c r="AG143" s="441"/>
      <c r="AH143" s="441"/>
      <c r="AI143" s="441"/>
      <c r="AJ143" s="441"/>
      <c r="AK143" s="441"/>
      <c r="AL143" s="441"/>
      <c r="AM143" s="441"/>
      <c r="AN143" s="441"/>
      <c r="AO143" s="441"/>
      <c r="AP143" s="441"/>
      <c r="AQ143" s="441"/>
      <c r="AR143" s="441"/>
    </row>
    <row r="144" spans="1:44" ht="12.75" hidden="1" thickBot="1">
      <c r="A144" s="1" t="s">
        <v>1272</v>
      </c>
      <c r="B144" s="2" t="s">
        <v>388</v>
      </c>
      <c r="C144" s="2" t="s">
        <v>54</v>
      </c>
      <c r="D144" s="8" t="s">
        <v>15</v>
      </c>
      <c r="E144" s="3">
        <f t="shared" si="15"/>
        <v>56255087</v>
      </c>
      <c r="F144" s="452">
        <f t="shared" si="15"/>
        <v>9000</v>
      </c>
      <c r="G144" s="452">
        <f t="shared" si="14"/>
        <v>497858</v>
      </c>
      <c r="H144" s="452">
        <f t="shared" si="14"/>
        <v>1532951</v>
      </c>
      <c r="I144" s="452">
        <f t="shared" si="14"/>
        <v>0</v>
      </c>
      <c r="J144" s="452">
        <f t="shared" si="14"/>
        <v>41979</v>
      </c>
      <c r="K144" s="452">
        <f t="shared" si="14"/>
        <v>1186514</v>
      </c>
      <c r="L144" s="452">
        <f t="shared" si="14"/>
        <v>0</v>
      </c>
      <c r="M144" s="452">
        <f t="shared" si="14"/>
        <v>-297839</v>
      </c>
      <c r="N144" s="452">
        <f t="shared" si="14"/>
        <v>0</v>
      </c>
      <c r="O144" s="452">
        <f t="shared" si="14"/>
        <v>538952</v>
      </c>
      <c r="P144" s="452">
        <f t="shared" si="14"/>
        <v>0</v>
      </c>
      <c r="Q144" s="452"/>
      <c r="R144" s="452">
        <f t="shared" si="14"/>
        <v>3509415</v>
      </c>
      <c r="S144" s="445">
        <f t="shared" si="11"/>
        <v>2030809</v>
      </c>
      <c r="T144" s="445">
        <f t="shared" si="12"/>
        <v>1228493</v>
      </c>
      <c r="U144" s="445">
        <f t="shared" si="13"/>
        <v>538952</v>
      </c>
      <c r="W144" s="450"/>
      <c r="X144" s="448"/>
      <c r="Y144" s="441"/>
      <c r="Z144" s="441"/>
      <c r="AA144" s="441"/>
      <c r="AB144" s="441"/>
      <c r="AC144" s="441"/>
      <c r="AD144" s="441"/>
      <c r="AE144" s="441"/>
      <c r="AF144" s="441"/>
      <c r="AG144" s="441"/>
      <c r="AH144" s="441"/>
      <c r="AI144" s="441"/>
      <c r="AJ144" s="441"/>
      <c r="AK144" s="441"/>
      <c r="AL144" s="441"/>
      <c r="AM144" s="441"/>
      <c r="AN144" s="441"/>
      <c r="AO144" s="441"/>
      <c r="AP144" s="441"/>
      <c r="AQ144" s="441"/>
      <c r="AR144" s="441"/>
    </row>
    <row r="145" spans="1:44" ht="12.75" hidden="1" thickBot="1">
      <c r="A145" s="1" t="s">
        <v>1272</v>
      </c>
      <c r="B145" s="2" t="s">
        <v>389</v>
      </c>
      <c r="C145" s="2" t="s">
        <v>419</v>
      </c>
      <c r="D145" s="8" t="s">
        <v>20</v>
      </c>
      <c r="E145" s="3">
        <f t="shared" si="15"/>
        <v>17230019</v>
      </c>
      <c r="F145" s="452">
        <f t="shared" si="15"/>
        <v>19170</v>
      </c>
      <c r="G145" s="452">
        <f t="shared" si="14"/>
        <v>230021</v>
      </c>
      <c r="H145" s="452">
        <f t="shared" si="14"/>
        <v>469518</v>
      </c>
      <c r="I145" s="452">
        <f t="shared" si="14"/>
        <v>0</v>
      </c>
      <c r="J145" s="452">
        <f t="shared" si="14"/>
        <v>27909</v>
      </c>
      <c r="K145" s="452">
        <f t="shared" si="14"/>
        <v>786690</v>
      </c>
      <c r="L145" s="452">
        <f t="shared" si="14"/>
        <v>24556</v>
      </c>
      <c r="M145" s="452">
        <f t="shared" si="14"/>
        <v>-91223</v>
      </c>
      <c r="N145" s="452">
        <f t="shared" si="14"/>
        <v>0</v>
      </c>
      <c r="O145" s="452">
        <f t="shared" si="14"/>
        <v>165072</v>
      </c>
      <c r="P145" s="452">
        <f t="shared" si="14"/>
        <v>0</v>
      </c>
      <c r="Q145" s="452"/>
      <c r="R145" s="452">
        <f t="shared" si="14"/>
        <v>1631712</v>
      </c>
      <c r="S145" s="445">
        <f t="shared" si="11"/>
        <v>699539</v>
      </c>
      <c r="T145" s="445">
        <f t="shared" si="12"/>
        <v>814599</v>
      </c>
      <c r="U145" s="445">
        <f t="shared" si="13"/>
        <v>165072</v>
      </c>
      <c r="W145" s="450"/>
      <c r="X145" s="448"/>
      <c r="Y145" s="441"/>
      <c r="Z145" s="441"/>
      <c r="AA145" s="441"/>
      <c r="AB145" s="441"/>
      <c r="AC145" s="441"/>
      <c r="AD145" s="441"/>
      <c r="AE145" s="441"/>
      <c r="AF145" s="441"/>
      <c r="AG145" s="441"/>
      <c r="AH145" s="441"/>
      <c r="AI145" s="441"/>
      <c r="AJ145" s="441"/>
      <c r="AK145" s="441"/>
      <c r="AL145" s="441"/>
      <c r="AM145" s="441"/>
      <c r="AN145" s="441"/>
      <c r="AO145" s="441"/>
      <c r="AP145" s="441"/>
      <c r="AQ145" s="441"/>
      <c r="AR145" s="441"/>
    </row>
    <row r="146" spans="1:44" ht="12.75" hidden="1" thickBot="1">
      <c r="A146" s="1" t="s">
        <v>1272</v>
      </c>
      <c r="B146" s="2" t="s">
        <v>390</v>
      </c>
      <c r="C146" s="2" t="s">
        <v>418</v>
      </c>
      <c r="D146" s="2" t="s">
        <v>21</v>
      </c>
      <c r="E146" s="3">
        <f t="shared" si="15"/>
        <v>963928</v>
      </c>
      <c r="F146" s="452">
        <f t="shared" si="15"/>
        <v>3570</v>
      </c>
      <c r="G146" s="452">
        <f t="shared" si="14"/>
        <v>11577</v>
      </c>
      <c r="H146" s="452">
        <f t="shared" si="14"/>
        <v>26267</v>
      </c>
      <c r="I146" s="452">
        <f t="shared" si="14"/>
        <v>0</v>
      </c>
      <c r="J146" s="452">
        <f t="shared" si="14"/>
        <v>1791</v>
      </c>
      <c r="K146" s="452">
        <f t="shared" si="14"/>
        <v>41713</v>
      </c>
      <c r="L146" s="452">
        <f t="shared" si="14"/>
        <v>1374</v>
      </c>
      <c r="M146" s="452">
        <f t="shared" si="14"/>
        <v>-5103</v>
      </c>
      <c r="N146" s="452">
        <f t="shared" si="14"/>
        <v>0</v>
      </c>
      <c r="O146" s="452">
        <f t="shared" si="14"/>
        <v>9235</v>
      </c>
      <c r="P146" s="452">
        <f t="shared" si="14"/>
        <v>0</v>
      </c>
      <c r="Q146" s="452"/>
      <c r="R146" s="452">
        <f t="shared" si="14"/>
        <v>90423</v>
      </c>
      <c r="S146" s="445">
        <f t="shared" si="11"/>
        <v>37844</v>
      </c>
      <c r="T146" s="445">
        <f t="shared" si="12"/>
        <v>43504</v>
      </c>
      <c r="U146" s="445">
        <f t="shared" si="13"/>
        <v>9235</v>
      </c>
      <c r="W146" s="450"/>
      <c r="X146" s="448"/>
      <c r="Y146" s="441"/>
      <c r="Z146" s="441"/>
      <c r="AA146" s="441"/>
      <c r="AB146" s="441"/>
      <c r="AC146" s="441"/>
      <c r="AD146" s="441"/>
      <c r="AE146" s="441"/>
      <c r="AF146" s="441"/>
      <c r="AG146" s="441"/>
      <c r="AH146" s="441"/>
      <c r="AI146" s="441"/>
      <c r="AJ146" s="441"/>
      <c r="AK146" s="441"/>
      <c r="AL146" s="441"/>
      <c r="AM146" s="441"/>
      <c r="AN146" s="441"/>
      <c r="AO146" s="441"/>
      <c r="AP146" s="441"/>
      <c r="AQ146" s="441"/>
      <c r="AR146" s="441"/>
    </row>
    <row r="147" spans="1:44" ht="12.75" hidden="1" thickBot="1">
      <c r="A147" s="1" t="s">
        <v>1272</v>
      </c>
      <c r="B147" s="2" t="s">
        <v>391</v>
      </c>
      <c r="C147" s="2" t="s">
        <v>1034</v>
      </c>
      <c r="D147" s="8" t="s">
        <v>422</v>
      </c>
      <c r="E147" s="3">
        <f t="shared" si="15"/>
        <v>19781342</v>
      </c>
      <c r="F147" s="452">
        <f t="shared" si="15"/>
        <v>20000</v>
      </c>
      <c r="G147" s="452">
        <f t="shared" si="14"/>
        <v>250234</v>
      </c>
      <c r="H147" s="452">
        <f t="shared" si="14"/>
        <v>539042</v>
      </c>
      <c r="I147" s="452">
        <f t="shared" si="14"/>
        <v>0</v>
      </c>
      <c r="J147" s="452">
        <f t="shared" si="14"/>
        <v>24213</v>
      </c>
      <c r="K147" s="452">
        <f t="shared" si="14"/>
        <v>707978</v>
      </c>
      <c r="L147" s="452">
        <f t="shared" si="14"/>
        <v>28192</v>
      </c>
      <c r="M147" s="452">
        <f t="shared" si="14"/>
        <v>-104731</v>
      </c>
      <c r="N147" s="452">
        <f t="shared" si="14"/>
        <v>0</v>
      </c>
      <c r="O147" s="452">
        <f t="shared" si="14"/>
        <v>189515</v>
      </c>
      <c r="P147" s="452">
        <f t="shared" si="14"/>
        <v>0</v>
      </c>
      <c r="Q147" s="452"/>
      <c r="R147" s="452">
        <f t="shared" si="14"/>
        <v>1654442</v>
      </c>
      <c r="S147" s="445">
        <f t="shared" si="11"/>
        <v>789276</v>
      </c>
      <c r="T147" s="445">
        <f t="shared" si="12"/>
        <v>732191</v>
      </c>
      <c r="U147" s="445">
        <f t="shared" si="13"/>
        <v>189515</v>
      </c>
      <c r="W147" s="450"/>
      <c r="X147" s="448"/>
      <c r="Y147" s="441"/>
      <c r="Z147" s="441"/>
      <c r="AA147" s="441"/>
      <c r="AB147" s="441"/>
      <c r="AC147" s="441"/>
      <c r="AD147" s="441"/>
      <c r="AE147" s="441"/>
      <c r="AF147" s="441"/>
      <c r="AG147" s="441"/>
      <c r="AH147" s="441"/>
      <c r="AI147" s="441"/>
      <c r="AJ147" s="441"/>
      <c r="AK147" s="441"/>
      <c r="AL147" s="441"/>
      <c r="AM147" s="441"/>
      <c r="AN147" s="441"/>
      <c r="AO147" s="441"/>
      <c r="AP147" s="441"/>
      <c r="AQ147" s="441"/>
      <c r="AR147" s="441"/>
    </row>
    <row r="148" spans="1:44" ht="12.75" hidden="1" thickBot="1">
      <c r="A148" s="1" t="s">
        <v>1272</v>
      </c>
      <c r="B148" s="2" t="s">
        <v>392</v>
      </c>
      <c r="C148" s="2" t="s">
        <v>420</v>
      </c>
      <c r="D148" s="8" t="s">
        <v>421</v>
      </c>
      <c r="E148" s="3">
        <f t="shared" si="15"/>
        <v>121550529</v>
      </c>
      <c r="F148" s="452">
        <f t="shared" si="15"/>
        <v>21300</v>
      </c>
      <c r="G148" s="452">
        <f t="shared" si="14"/>
        <v>988206</v>
      </c>
      <c r="H148" s="452">
        <f t="shared" si="14"/>
        <v>3312252</v>
      </c>
      <c r="I148" s="452">
        <f t="shared" si="14"/>
        <v>0</v>
      </c>
      <c r="J148" s="452">
        <f t="shared" si="14"/>
        <v>125065</v>
      </c>
      <c r="K148" s="452">
        <f t="shared" si="14"/>
        <v>3449389</v>
      </c>
      <c r="L148" s="452">
        <f t="shared" si="14"/>
        <v>173229</v>
      </c>
      <c r="M148" s="452">
        <f t="shared" si="14"/>
        <v>-643541</v>
      </c>
      <c r="N148" s="452">
        <f t="shared" si="14"/>
        <v>0</v>
      </c>
      <c r="O148" s="452">
        <f t="shared" si="14"/>
        <v>1164515</v>
      </c>
      <c r="P148" s="452">
        <f t="shared" si="14"/>
        <v>0</v>
      </c>
      <c r="Q148" s="452"/>
      <c r="R148" s="452">
        <f t="shared" si="14"/>
        <v>8590415</v>
      </c>
      <c r="S148" s="445">
        <f t="shared" si="11"/>
        <v>4300458</v>
      </c>
      <c r="T148" s="445">
        <f t="shared" si="12"/>
        <v>3574454</v>
      </c>
      <c r="U148" s="445">
        <f t="shared" si="13"/>
        <v>1164515</v>
      </c>
      <c r="W148" s="450"/>
      <c r="X148" s="448"/>
      <c r="Y148" s="441"/>
      <c r="Z148" s="441"/>
      <c r="AA148" s="441"/>
      <c r="AB148" s="441"/>
      <c r="AC148" s="441"/>
      <c r="AD148" s="441"/>
      <c r="AE148" s="441"/>
      <c r="AF148" s="441"/>
      <c r="AG148" s="441"/>
      <c r="AH148" s="441"/>
      <c r="AI148" s="441"/>
      <c r="AJ148" s="441"/>
      <c r="AK148" s="441"/>
      <c r="AL148" s="441"/>
      <c r="AM148" s="441"/>
      <c r="AN148" s="441"/>
      <c r="AO148" s="441"/>
      <c r="AP148" s="441"/>
      <c r="AQ148" s="441"/>
      <c r="AR148" s="441"/>
    </row>
    <row r="149" spans="1:44" ht="12.75" hidden="1" thickBot="1">
      <c r="A149" s="1" t="s">
        <v>1272</v>
      </c>
      <c r="B149" s="2" t="s">
        <v>394</v>
      </c>
      <c r="C149" s="2" t="s">
        <v>423</v>
      </c>
      <c r="D149" s="8" t="s">
        <v>17</v>
      </c>
      <c r="E149" s="3">
        <f t="shared" si="15"/>
        <v>0</v>
      </c>
      <c r="F149" s="452">
        <f t="shared" si="15"/>
        <v>0</v>
      </c>
      <c r="G149" s="452">
        <f t="shared" si="14"/>
        <v>0</v>
      </c>
      <c r="H149" s="452">
        <f t="shared" si="14"/>
        <v>0</v>
      </c>
      <c r="I149" s="452">
        <f t="shared" si="14"/>
        <v>0</v>
      </c>
      <c r="J149" s="452">
        <f t="shared" si="14"/>
        <v>0</v>
      </c>
      <c r="K149" s="452">
        <f t="shared" si="14"/>
        <v>0</v>
      </c>
      <c r="L149" s="452">
        <f t="shared" si="14"/>
        <v>0</v>
      </c>
      <c r="M149" s="452">
        <f t="shared" si="14"/>
        <v>0</v>
      </c>
      <c r="N149" s="452">
        <f t="shared" si="14"/>
        <v>0</v>
      </c>
      <c r="O149" s="452">
        <f t="shared" si="14"/>
        <v>0</v>
      </c>
      <c r="P149" s="452">
        <f t="shared" si="14"/>
        <v>0</v>
      </c>
      <c r="Q149" s="452"/>
      <c r="R149" s="452">
        <f t="shared" si="14"/>
        <v>0</v>
      </c>
      <c r="S149" s="445">
        <f t="shared" si="11"/>
        <v>0</v>
      </c>
      <c r="T149" s="445">
        <f t="shared" si="12"/>
        <v>0</v>
      </c>
      <c r="U149" s="445">
        <f t="shared" si="13"/>
        <v>0</v>
      </c>
      <c r="W149" s="450"/>
      <c r="X149" s="448"/>
      <c r="Y149" s="441"/>
      <c r="Z149" s="441"/>
      <c r="AA149" s="441"/>
      <c r="AB149" s="441"/>
      <c r="AC149" s="441"/>
      <c r="AD149" s="441"/>
      <c r="AE149" s="441"/>
      <c r="AF149" s="441"/>
      <c r="AG149" s="441"/>
      <c r="AH149" s="441"/>
      <c r="AI149" s="441"/>
      <c r="AJ149" s="441"/>
      <c r="AK149" s="441"/>
      <c r="AL149" s="441"/>
      <c r="AM149" s="441"/>
      <c r="AN149" s="441"/>
      <c r="AO149" s="441"/>
      <c r="AP149" s="441"/>
      <c r="AQ149" s="441"/>
      <c r="AR149" s="441"/>
    </row>
    <row r="150" spans="1:44" ht="12.75" hidden="1" thickBot="1">
      <c r="A150" s="1" t="s">
        <v>1272</v>
      </c>
      <c r="B150" s="2" t="s">
        <v>395</v>
      </c>
      <c r="C150" s="2" t="s">
        <v>423</v>
      </c>
      <c r="D150" s="8" t="s">
        <v>17</v>
      </c>
      <c r="E150" s="3">
        <f t="shared" si="15"/>
        <v>0</v>
      </c>
      <c r="F150" s="452">
        <f t="shared" si="15"/>
        <v>0</v>
      </c>
      <c r="G150" s="452">
        <f t="shared" si="14"/>
        <v>0</v>
      </c>
      <c r="H150" s="452">
        <f t="shared" si="14"/>
        <v>0</v>
      </c>
      <c r="I150" s="452">
        <f t="shared" si="14"/>
        <v>0</v>
      </c>
      <c r="J150" s="452">
        <f t="shared" si="14"/>
        <v>0</v>
      </c>
      <c r="K150" s="452">
        <f t="shared" si="14"/>
        <v>0</v>
      </c>
      <c r="L150" s="452">
        <f t="shared" si="14"/>
        <v>0</v>
      </c>
      <c r="M150" s="452">
        <f t="shared" si="14"/>
        <v>0</v>
      </c>
      <c r="N150" s="452">
        <f t="shared" si="14"/>
        <v>0</v>
      </c>
      <c r="O150" s="452">
        <f t="shared" si="14"/>
        <v>0</v>
      </c>
      <c r="P150" s="452">
        <f t="shared" si="14"/>
        <v>0</v>
      </c>
      <c r="Q150" s="452"/>
      <c r="R150" s="452">
        <f t="shared" si="14"/>
        <v>0</v>
      </c>
      <c r="S150" s="445">
        <f t="shared" si="11"/>
        <v>0</v>
      </c>
      <c r="T150" s="445">
        <f t="shared" si="12"/>
        <v>0</v>
      </c>
      <c r="U150" s="445">
        <f t="shared" si="13"/>
        <v>0</v>
      </c>
      <c r="W150" s="450"/>
      <c r="X150" s="448"/>
      <c r="Y150" s="441"/>
      <c r="Z150" s="441"/>
      <c r="AA150" s="441"/>
      <c r="AB150" s="441"/>
      <c r="AC150" s="441"/>
      <c r="AD150" s="441"/>
      <c r="AE150" s="441"/>
      <c r="AF150" s="441"/>
      <c r="AG150" s="441"/>
      <c r="AH150" s="441"/>
      <c r="AI150" s="441"/>
      <c r="AJ150" s="441"/>
      <c r="AK150" s="441"/>
      <c r="AL150" s="441"/>
      <c r="AM150" s="441"/>
      <c r="AN150" s="441"/>
      <c r="AO150" s="441"/>
      <c r="AP150" s="441"/>
      <c r="AQ150" s="441"/>
      <c r="AR150" s="441"/>
    </row>
    <row r="151" spans="1:44" ht="12.75" hidden="1" thickBot="1">
      <c r="A151" s="1" t="s">
        <v>1272</v>
      </c>
      <c r="B151" s="2" t="s">
        <v>396</v>
      </c>
      <c r="C151" s="2" t="s">
        <v>423</v>
      </c>
      <c r="D151" s="8" t="s">
        <v>17</v>
      </c>
      <c r="E151" s="3">
        <f t="shared" si="15"/>
        <v>0</v>
      </c>
      <c r="F151" s="452">
        <f t="shared" si="15"/>
        <v>0</v>
      </c>
      <c r="G151" s="452">
        <f t="shared" si="14"/>
        <v>0</v>
      </c>
      <c r="H151" s="452">
        <f t="shared" si="14"/>
        <v>0</v>
      </c>
      <c r="I151" s="452">
        <f t="shared" si="14"/>
        <v>0</v>
      </c>
      <c r="J151" s="452">
        <f t="shared" si="14"/>
        <v>0</v>
      </c>
      <c r="K151" s="452">
        <f t="shared" si="14"/>
        <v>0</v>
      </c>
      <c r="L151" s="452">
        <f t="shared" si="14"/>
        <v>0</v>
      </c>
      <c r="M151" s="452">
        <f t="shared" si="14"/>
        <v>0</v>
      </c>
      <c r="N151" s="452">
        <f t="shared" si="14"/>
        <v>0</v>
      </c>
      <c r="O151" s="452">
        <f t="shared" si="14"/>
        <v>0</v>
      </c>
      <c r="P151" s="452">
        <f t="shared" si="14"/>
        <v>0</v>
      </c>
      <c r="Q151" s="452"/>
      <c r="R151" s="452">
        <f t="shared" si="14"/>
        <v>0</v>
      </c>
      <c r="S151" s="445">
        <f t="shared" si="11"/>
        <v>0</v>
      </c>
      <c r="T151" s="445">
        <f t="shared" si="12"/>
        <v>0</v>
      </c>
      <c r="U151" s="445">
        <f t="shared" si="13"/>
        <v>0</v>
      </c>
      <c r="W151" s="450"/>
      <c r="X151" s="448"/>
      <c r="Y151" s="441"/>
      <c r="Z151" s="441"/>
      <c r="AA151" s="441"/>
      <c r="AB151" s="441"/>
      <c r="AC151" s="441"/>
      <c r="AD151" s="441"/>
      <c r="AE151" s="441"/>
      <c r="AF151" s="441"/>
      <c r="AG151" s="441"/>
      <c r="AH151" s="441"/>
      <c r="AI151" s="441"/>
      <c r="AJ151" s="441"/>
      <c r="AK151" s="441"/>
      <c r="AL151" s="441"/>
      <c r="AM151" s="441"/>
      <c r="AN151" s="441"/>
      <c r="AO151" s="441"/>
      <c r="AP151" s="441"/>
      <c r="AQ151" s="441"/>
      <c r="AR151" s="441"/>
    </row>
    <row r="152" spans="1:44" ht="12.75" hidden="1" thickBot="1">
      <c r="A152" s="1" t="s">
        <v>1272</v>
      </c>
      <c r="B152" s="2" t="s">
        <v>397</v>
      </c>
      <c r="C152" s="2" t="s">
        <v>55</v>
      </c>
      <c r="D152" s="8" t="s">
        <v>18</v>
      </c>
      <c r="E152" s="3">
        <f t="shared" si="15"/>
        <v>0</v>
      </c>
      <c r="F152" s="452">
        <f t="shared" si="15"/>
        <v>0</v>
      </c>
      <c r="G152" s="452">
        <f t="shared" si="14"/>
        <v>0</v>
      </c>
      <c r="H152" s="452">
        <f t="shared" si="14"/>
        <v>0</v>
      </c>
      <c r="I152" s="452">
        <f t="shared" si="14"/>
        <v>0</v>
      </c>
      <c r="J152" s="452">
        <f t="shared" si="14"/>
        <v>0</v>
      </c>
      <c r="K152" s="452">
        <f t="shared" si="14"/>
        <v>0</v>
      </c>
      <c r="L152" s="452">
        <f t="shared" si="14"/>
        <v>0</v>
      </c>
      <c r="M152" s="452">
        <f t="shared" si="14"/>
        <v>0</v>
      </c>
      <c r="N152" s="452">
        <f t="shared" si="14"/>
        <v>0</v>
      </c>
      <c r="O152" s="452">
        <f t="shared" si="14"/>
        <v>0</v>
      </c>
      <c r="P152" s="452">
        <f t="shared" si="14"/>
        <v>0</v>
      </c>
      <c r="Q152" s="452"/>
      <c r="R152" s="452">
        <f t="shared" si="14"/>
        <v>0</v>
      </c>
      <c r="S152" s="445">
        <f t="shared" si="11"/>
        <v>0</v>
      </c>
      <c r="T152" s="445">
        <f t="shared" si="12"/>
        <v>0</v>
      </c>
      <c r="U152" s="445">
        <f t="shared" si="13"/>
        <v>0</v>
      </c>
      <c r="W152" s="450"/>
      <c r="X152" s="448"/>
      <c r="Y152" s="441"/>
      <c r="Z152" s="441"/>
      <c r="AA152" s="441"/>
      <c r="AB152" s="441"/>
      <c r="AC152" s="441"/>
      <c r="AD152" s="441"/>
      <c r="AE152" s="441"/>
      <c r="AF152" s="441"/>
      <c r="AG152" s="441"/>
      <c r="AH152" s="441"/>
      <c r="AI152" s="441"/>
      <c r="AJ152" s="441"/>
      <c r="AK152" s="441"/>
      <c r="AL152" s="441"/>
      <c r="AM152" s="441"/>
      <c r="AN152" s="441"/>
      <c r="AO152" s="441"/>
      <c r="AP152" s="441"/>
      <c r="AQ152" s="441"/>
      <c r="AR152" s="441"/>
    </row>
    <row r="153" spans="1:44" ht="12.75" hidden="1" thickBot="1">
      <c r="A153" s="1" t="s">
        <v>1272</v>
      </c>
      <c r="B153" s="2" t="s">
        <v>398</v>
      </c>
      <c r="C153" s="2" t="s">
        <v>55</v>
      </c>
      <c r="D153" s="8" t="s">
        <v>18</v>
      </c>
      <c r="E153" s="3">
        <f t="shared" si="15"/>
        <v>0</v>
      </c>
      <c r="F153" s="452">
        <f t="shared" si="15"/>
        <v>0</v>
      </c>
      <c r="G153" s="452">
        <f t="shared" si="14"/>
        <v>0</v>
      </c>
      <c r="H153" s="452">
        <f t="shared" si="14"/>
        <v>0</v>
      </c>
      <c r="I153" s="452">
        <f t="shared" si="14"/>
        <v>0</v>
      </c>
      <c r="J153" s="452">
        <f t="shared" si="14"/>
        <v>0</v>
      </c>
      <c r="K153" s="452">
        <f t="shared" si="14"/>
        <v>0</v>
      </c>
      <c r="L153" s="452">
        <f t="shared" si="14"/>
        <v>0</v>
      </c>
      <c r="M153" s="452">
        <f t="shared" si="14"/>
        <v>0</v>
      </c>
      <c r="N153" s="452">
        <f t="shared" si="14"/>
        <v>0</v>
      </c>
      <c r="O153" s="452">
        <f t="shared" si="14"/>
        <v>0</v>
      </c>
      <c r="P153" s="452">
        <f t="shared" si="14"/>
        <v>0</v>
      </c>
      <c r="Q153" s="452"/>
      <c r="R153" s="452">
        <f t="shared" si="14"/>
        <v>0</v>
      </c>
      <c r="S153" s="445">
        <f t="shared" si="11"/>
        <v>0</v>
      </c>
      <c r="T153" s="445">
        <f t="shared" si="12"/>
        <v>0</v>
      </c>
      <c r="U153" s="445">
        <f t="shared" si="13"/>
        <v>0</v>
      </c>
      <c r="W153" s="450"/>
      <c r="X153" s="448"/>
      <c r="Y153" s="441"/>
      <c r="Z153" s="441"/>
      <c r="AA153" s="441"/>
      <c r="AB153" s="441"/>
      <c r="AC153" s="441"/>
      <c r="AD153" s="441"/>
      <c r="AE153" s="441"/>
      <c r="AF153" s="441"/>
      <c r="AG153" s="441"/>
      <c r="AH153" s="441"/>
      <c r="AI153" s="441"/>
      <c r="AJ153" s="441"/>
      <c r="AK153" s="441"/>
      <c r="AL153" s="441"/>
      <c r="AM153" s="441"/>
      <c r="AN153" s="441"/>
      <c r="AO153" s="441"/>
      <c r="AP153" s="441"/>
      <c r="AQ153" s="441"/>
      <c r="AR153" s="441"/>
    </row>
    <row r="154" spans="1:44" ht="12.75" hidden="1" thickBot="1">
      <c r="A154" s="1" t="s">
        <v>1272</v>
      </c>
      <c r="B154" s="2" t="s">
        <v>805</v>
      </c>
      <c r="C154" s="2" t="s">
        <v>806</v>
      </c>
      <c r="D154" s="8" t="s">
        <v>1205</v>
      </c>
      <c r="E154" s="3">
        <f t="shared" si="15"/>
        <v>0</v>
      </c>
      <c r="F154" s="452">
        <f t="shared" si="15"/>
        <v>0</v>
      </c>
      <c r="G154" s="452">
        <f t="shared" si="14"/>
        <v>0</v>
      </c>
      <c r="H154" s="452">
        <f t="shared" si="14"/>
        <v>0</v>
      </c>
      <c r="I154" s="452">
        <f t="shared" si="14"/>
        <v>0</v>
      </c>
      <c r="J154" s="452">
        <f t="shared" si="14"/>
        <v>0</v>
      </c>
      <c r="K154" s="452">
        <f t="shared" si="14"/>
        <v>0</v>
      </c>
      <c r="L154" s="452">
        <f t="shared" si="14"/>
        <v>0</v>
      </c>
      <c r="M154" s="452">
        <f t="shared" si="14"/>
        <v>0</v>
      </c>
      <c r="N154" s="452">
        <f t="shared" si="14"/>
        <v>0</v>
      </c>
      <c r="O154" s="452">
        <f t="shared" si="14"/>
        <v>0</v>
      </c>
      <c r="P154" s="452">
        <f t="shared" si="14"/>
        <v>0</v>
      </c>
      <c r="Q154" s="452"/>
      <c r="R154" s="452">
        <f t="shared" si="14"/>
        <v>0</v>
      </c>
      <c r="S154" s="445">
        <f t="shared" si="11"/>
        <v>0</v>
      </c>
      <c r="T154" s="445">
        <f t="shared" si="12"/>
        <v>0</v>
      </c>
      <c r="U154" s="445">
        <f t="shared" si="13"/>
        <v>0</v>
      </c>
      <c r="W154" s="450"/>
      <c r="X154" s="448"/>
      <c r="Y154" s="441"/>
      <c r="Z154" s="441"/>
      <c r="AA154" s="441"/>
      <c r="AB154" s="441"/>
      <c r="AC154" s="441"/>
      <c r="AD154" s="441"/>
      <c r="AE154" s="441"/>
      <c r="AF154" s="441"/>
      <c r="AG154" s="441"/>
      <c r="AH154" s="441"/>
      <c r="AI154" s="441"/>
      <c r="AJ154" s="441"/>
      <c r="AK154" s="441"/>
      <c r="AL154" s="441"/>
      <c r="AM154" s="441"/>
      <c r="AN154" s="441"/>
      <c r="AO154" s="441"/>
      <c r="AP154" s="441"/>
      <c r="AQ154" s="441"/>
      <c r="AR154" s="441"/>
    </row>
    <row r="155" spans="1:44" ht="12.75" thickBot="1">
      <c r="A155" s="1" t="s">
        <v>1272</v>
      </c>
      <c r="B155" s="2" t="s">
        <v>399</v>
      </c>
      <c r="C155" s="2" t="s">
        <v>430</v>
      </c>
      <c r="D155" s="8" t="s">
        <v>13</v>
      </c>
      <c r="E155" s="3">
        <f t="shared" si="15"/>
        <v>0</v>
      </c>
      <c r="F155" s="452">
        <f t="shared" si="15"/>
        <v>0</v>
      </c>
      <c r="G155" s="452">
        <f t="shared" si="14"/>
        <v>0</v>
      </c>
      <c r="H155" s="452">
        <f t="shared" si="14"/>
        <v>0</v>
      </c>
      <c r="I155" s="452">
        <f t="shared" si="14"/>
        <v>0</v>
      </c>
      <c r="J155" s="452">
        <f t="shared" si="14"/>
        <v>0</v>
      </c>
      <c r="K155" s="452">
        <f t="shared" si="14"/>
        <v>0</v>
      </c>
      <c r="L155" s="452">
        <f t="shared" si="14"/>
        <v>0</v>
      </c>
      <c r="M155" s="452">
        <f t="shared" si="14"/>
        <v>0</v>
      </c>
      <c r="N155" s="452">
        <f t="shared" si="14"/>
        <v>0</v>
      </c>
      <c r="O155" s="452">
        <f t="shared" si="14"/>
        <v>0</v>
      </c>
      <c r="P155" s="452">
        <f t="shared" si="14"/>
        <v>0</v>
      </c>
      <c r="Q155" s="452"/>
      <c r="R155" s="452">
        <f t="shared" si="14"/>
        <v>0</v>
      </c>
      <c r="S155" s="445">
        <f t="shared" si="11"/>
        <v>0</v>
      </c>
      <c r="T155" s="445">
        <f t="shared" si="12"/>
        <v>0</v>
      </c>
      <c r="U155" s="445">
        <f t="shared" si="13"/>
        <v>0</v>
      </c>
      <c r="W155" s="450"/>
      <c r="X155" s="448"/>
      <c r="Y155" s="441"/>
      <c r="Z155" s="441"/>
      <c r="AA155" s="441"/>
      <c r="AB155" s="441"/>
      <c r="AC155" s="441"/>
      <c r="AD155" s="441"/>
      <c r="AE155" s="441"/>
      <c r="AF155" s="441"/>
      <c r="AG155" s="441"/>
      <c r="AH155" s="441"/>
      <c r="AI155" s="441"/>
      <c r="AJ155" s="441"/>
      <c r="AK155" s="441"/>
      <c r="AL155" s="441"/>
      <c r="AM155" s="441"/>
      <c r="AN155" s="441"/>
      <c r="AO155" s="441"/>
      <c r="AP155" s="441"/>
      <c r="AQ155" s="441"/>
      <c r="AR155" s="441"/>
    </row>
    <row r="156" spans="1:44" ht="12.75" thickBot="1">
      <c r="A156" s="1" t="s">
        <v>1272</v>
      </c>
      <c r="B156" s="2" t="s">
        <v>400</v>
      </c>
      <c r="C156" s="2" t="s">
        <v>427</v>
      </c>
      <c r="D156" s="8" t="s">
        <v>13</v>
      </c>
      <c r="E156" s="3">
        <f t="shared" si="15"/>
        <v>328329893</v>
      </c>
      <c r="F156" s="452">
        <f t="shared" si="15"/>
        <v>3889640</v>
      </c>
      <c r="G156" s="452">
        <f t="shared" si="14"/>
        <v>17128971</v>
      </c>
      <c r="H156" s="452">
        <f t="shared" si="14"/>
        <v>8946990</v>
      </c>
      <c r="I156" s="452">
        <f t="shared" si="14"/>
        <v>439962</v>
      </c>
      <c r="J156" s="452">
        <f t="shared" si="14"/>
        <v>0</v>
      </c>
      <c r="K156" s="452">
        <f t="shared" si="14"/>
        <v>0</v>
      </c>
      <c r="L156" s="452">
        <f t="shared" si="14"/>
        <v>467923</v>
      </c>
      <c r="M156" s="452">
        <f t="shared" si="14"/>
        <v>-1738319</v>
      </c>
      <c r="N156" s="452">
        <f t="shared" si="14"/>
        <v>3145565</v>
      </c>
      <c r="O156" s="452">
        <f t="shared" si="14"/>
        <v>0</v>
      </c>
      <c r="P156" s="452">
        <f t="shared" si="14"/>
        <v>0</v>
      </c>
      <c r="Q156" s="452"/>
      <c r="R156" s="452">
        <f t="shared" si="14"/>
        <v>32280731</v>
      </c>
      <c r="S156" s="445">
        <f t="shared" si="11"/>
        <v>26515923</v>
      </c>
      <c r="T156" s="445">
        <f t="shared" si="12"/>
        <v>0</v>
      </c>
      <c r="U156" s="445">
        <f t="shared" si="13"/>
        <v>3145565</v>
      </c>
      <c r="W156" s="450"/>
      <c r="X156" s="448"/>
      <c r="Y156" s="441"/>
      <c r="Z156" s="441"/>
      <c r="AA156" s="441"/>
      <c r="AB156" s="441"/>
      <c r="AC156" s="441"/>
      <c r="AD156" s="441"/>
      <c r="AE156" s="441"/>
      <c r="AF156" s="441"/>
      <c r="AG156" s="441"/>
      <c r="AH156" s="441"/>
      <c r="AI156" s="441"/>
      <c r="AJ156" s="441"/>
      <c r="AK156" s="441"/>
      <c r="AL156" s="441"/>
      <c r="AM156" s="441"/>
      <c r="AN156" s="441"/>
      <c r="AO156" s="441"/>
      <c r="AP156" s="441"/>
      <c r="AQ156" s="441"/>
      <c r="AR156" s="441"/>
    </row>
    <row r="157" spans="1:44" ht="12.75" thickBot="1">
      <c r="A157" s="1" t="s">
        <v>1272</v>
      </c>
      <c r="B157" s="2" t="s">
        <v>401</v>
      </c>
      <c r="C157" s="2" t="s">
        <v>428</v>
      </c>
      <c r="D157" s="8" t="s">
        <v>13</v>
      </c>
      <c r="E157" s="3">
        <f t="shared" si="15"/>
        <v>0</v>
      </c>
      <c r="F157" s="452">
        <f t="shared" si="15"/>
        <v>0</v>
      </c>
      <c r="G157" s="452">
        <f t="shared" si="14"/>
        <v>0</v>
      </c>
      <c r="H157" s="452">
        <f t="shared" si="14"/>
        <v>0</v>
      </c>
      <c r="I157" s="452">
        <f t="shared" si="14"/>
        <v>0</v>
      </c>
      <c r="J157" s="452">
        <f t="shared" si="14"/>
        <v>0</v>
      </c>
      <c r="K157" s="452">
        <f t="shared" si="14"/>
        <v>0</v>
      </c>
      <c r="L157" s="452">
        <f t="shared" si="14"/>
        <v>0</v>
      </c>
      <c r="M157" s="452">
        <f t="shared" si="14"/>
        <v>0</v>
      </c>
      <c r="N157" s="452">
        <f t="shared" si="14"/>
        <v>0</v>
      </c>
      <c r="O157" s="452">
        <f t="shared" si="14"/>
        <v>0</v>
      </c>
      <c r="P157" s="452">
        <f t="shared" si="14"/>
        <v>0</v>
      </c>
      <c r="Q157" s="452"/>
      <c r="R157" s="452">
        <f t="shared" si="14"/>
        <v>0</v>
      </c>
      <c r="S157" s="445">
        <f t="shared" si="11"/>
        <v>0</v>
      </c>
      <c r="T157" s="445">
        <f t="shared" si="12"/>
        <v>0</v>
      </c>
      <c r="U157" s="445">
        <f t="shared" si="13"/>
        <v>0</v>
      </c>
      <c r="W157" s="450"/>
      <c r="X157" s="448"/>
      <c r="Y157" s="441"/>
      <c r="Z157" s="441"/>
      <c r="AA157" s="441"/>
      <c r="AB157" s="441"/>
      <c r="AC157" s="441"/>
      <c r="AD157" s="441"/>
      <c r="AE157" s="441"/>
      <c r="AF157" s="441"/>
      <c r="AG157" s="441"/>
      <c r="AH157" s="441"/>
      <c r="AI157" s="441"/>
      <c r="AJ157" s="441"/>
      <c r="AK157" s="441"/>
      <c r="AL157" s="441"/>
      <c r="AM157" s="441"/>
      <c r="AN157" s="441"/>
      <c r="AO157" s="441"/>
      <c r="AP157" s="441"/>
      <c r="AQ157" s="441"/>
      <c r="AR157" s="441"/>
    </row>
    <row r="158" spans="1:44" ht="12.75" thickBot="1">
      <c r="A158" s="1" t="s">
        <v>1272</v>
      </c>
      <c r="B158" s="2" t="s">
        <v>402</v>
      </c>
      <c r="C158" s="2" t="s">
        <v>429</v>
      </c>
      <c r="D158" s="8" t="s">
        <v>13</v>
      </c>
      <c r="E158" s="3">
        <f t="shared" si="15"/>
        <v>0</v>
      </c>
      <c r="F158" s="452">
        <f t="shared" si="15"/>
        <v>0</v>
      </c>
      <c r="G158" s="452">
        <f t="shared" si="14"/>
        <v>0</v>
      </c>
      <c r="H158" s="452">
        <f t="shared" si="14"/>
        <v>0</v>
      </c>
      <c r="I158" s="452">
        <f t="shared" si="14"/>
        <v>0</v>
      </c>
      <c r="J158" s="452">
        <f t="shared" si="14"/>
        <v>0</v>
      </c>
      <c r="K158" s="452">
        <f t="shared" si="14"/>
        <v>0</v>
      </c>
      <c r="L158" s="452">
        <f t="shared" si="14"/>
        <v>0</v>
      </c>
      <c r="M158" s="452">
        <f t="shared" si="14"/>
        <v>0</v>
      </c>
      <c r="N158" s="452">
        <f t="shared" si="14"/>
        <v>0</v>
      </c>
      <c r="O158" s="452">
        <f t="shared" si="14"/>
        <v>0</v>
      </c>
      <c r="P158" s="452">
        <f t="shared" si="14"/>
        <v>0</v>
      </c>
      <c r="Q158" s="452"/>
      <c r="R158" s="452">
        <f t="shared" si="14"/>
        <v>0</v>
      </c>
      <c r="S158" s="445">
        <f t="shared" si="11"/>
        <v>0</v>
      </c>
      <c r="T158" s="445">
        <f t="shared" si="12"/>
        <v>0</v>
      </c>
      <c r="U158" s="445">
        <f t="shared" si="13"/>
        <v>0</v>
      </c>
      <c r="W158" s="450"/>
      <c r="X158" s="448"/>
      <c r="Y158" s="441"/>
      <c r="Z158" s="441"/>
      <c r="AA158" s="441"/>
      <c r="AB158" s="441"/>
      <c r="AC158" s="441"/>
      <c r="AD158" s="441"/>
      <c r="AE158" s="441"/>
      <c r="AF158" s="441"/>
      <c r="AG158" s="441"/>
      <c r="AH158" s="441"/>
      <c r="AI158" s="441"/>
      <c r="AJ158" s="441"/>
      <c r="AK158" s="441"/>
      <c r="AL158" s="441"/>
      <c r="AM158" s="441"/>
      <c r="AN158" s="441"/>
      <c r="AO158" s="441"/>
      <c r="AP158" s="441"/>
      <c r="AQ158" s="441"/>
      <c r="AR158" s="441"/>
    </row>
    <row r="159" spans="1:44" ht="12.75" hidden="1" thickBot="1">
      <c r="A159" s="1" t="s">
        <v>1272</v>
      </c>
      <c r="B159" s="2" t="s">
        <v>706</v>
      </c>
      <c r="C159" s="2" t="s">
        <v>1204</v>
      </c>
      <c r="D159" s="8" t="s">
        <v>641</v>
      </c>
      <c r="E159" s="3">
        <f t="shared" si="15"/>
        <v>0</v>
      </c>
      <c r="F159" s="452">
        <f t="shared" si="15"/>
        <v>0</v>
      </c>
      <c r="G159" s="452">
        <f t="shared" si="14"/>
        <v>0</v>
      </c>
      <c r="H159" s="452">
        <f t="shared" si="14"/>
        <v>0</v>
      </c>
      <c r="I159" s="452">
        <f t="shared" si="14"/>
        <v>0</v>
      </c>
      <c r="J159" s="452">
        <f t="shared" si="14"/>
        <v>0</v>
      </c>
      <c r="K159" s="452">
        <f t="shared" si="14"/>
        <v>0</v>
      </c>
      <c r="L159" s="452">
        <f t="shared" si="14"/>
        <v>0</v>
      </c>
      <c r="M159" s="452">
        <f t="shared" si="14"/>
        <v>0</v>
      </c>
      <c r="N159" s="452">
        <f t="shared" si="14"/>
        <v>0</v>
      </c>
      <c r="O159" s="452">
        <f t="shared" si="14"/>
        <v>0</v>
      </c>
      <c r="P159" s="452">
        <f t="shared" si="14"/>
        <v>0</v>
      </c>
      <c r="Q159" s="452"/>
      <c r="R159" s="452">
        <f t="shared" si="14"/>
        <v>0</v>
      </c>
      <c r="S159" s="445">
        <f t="shared" si="11"/>
        <v>0</v>
      </c>
      <c r="T159" s="445">
        <f t="shared" si="12"/>
        <v>0</v>
      </c>
      <c r="U159" s="445">
        <f t="shared" si="13"/>
        <v>0</v>
      </c>
      <c r="W159" s="450"/>
      <c r="X159" s="448"/>
      <c r="Y159" s="441"/>
      <c r="Z159" s="441"/>
      <c r="AA159" s="441"/>
      <c r="AB159" s="441"/>
      <c r="AC159" s="441"/>
      <c r="AD159" s="441"/>
      <c r="AE159" s="441"/>
      <c r="AF159" s="441"/>
      <c r="AG159" s="441"/>
      <c r="AH159" s="441"/>
      <c r="AI159" s="441"/>
      <c r="AJ159" s="441"/>
      <c r="AK159" s="441"/>
      <c r="AL159" s="441"/>
      <c r="AM159" s="441"/>
      <c r="AN159" s="441"/>
      <c r="AO159" s="441"/>
      <c r="AP159" s="441"/>
      <c r="AQ159" s="441"/>
      <c r="AR159" s="441"/>
    </row>
    <row r="160" spans="1:44" ht="12.75" hidden="1" thickBot="1">
      <c r="A160" s="1" t="s">
        <v>1272</v>
      </c>
      <c r="B160" s="2" t="s">
        <v>1230</v>
      </c>
      <c r="C160" s="2" t="s">
        <v>1245</v>
      </c>
      <c r="D160" s="8" t="s">
        <v>641</v>
      </c>
      <c r="E160" s="3">
        <f t="shared" si="15"/>
        <v>0</v>
      </c>
      <c r="F160" s="452">
        <f t="shared" si="15"/>
        <v>0</v>
      </c>
      <c r="G160" s="452">
        <f t="shared" si="14"/>
        <v>0</v>
      </c>
      <c r="H160" s="452">
        <f t="shared" si="14"/>
        <v>0</v>
      </c>
      <c r="I160" s="452">
        <f t="shared" si="14"/>
        <v>0</v>
      </c>
      <c r="J160" s="452">
        <f t="shared" si="14"/>
        <v>0</v>
      </c>
      <c r="K160" s="452">
        <f t="shared" si="14"/>
        <v>0</v>
      </c>
      <c r="L160" s="452">
        <f t="shared" si="14"/>
        <v>0</v>
      </c>
      <c r="M160" s="452">
        <f t="shared" si="14"/>
        <v>0</v>
      </c>
      <c r="N160" s="452">
        <f t="shared" si="14"/>
        <v>0</v>
      </c>
      <c r="O160" s="452">
        <f t="shared" si="14"/>
        <v>0</v>
      </c>
      <c r="P160" s="452">
        <f t="shared" si="14"/>
        <v>0</v>
      </c>
      <c r="Q160" s="452"/>
      <c r="R160" s="452">
        <f t="shared" si="14"/>
        <v>0</v>
      </c>
      <c r="S160" s="445">
        <f t="shared" si="11"/>
        <v>0</v>
      </c>
      <c r="T160" s="445">
        <f t="shared" si="12"/>
        <v>0</v>
      </c>
      <c r="U160" s="445">
        <f t="shared" si="13"/>
        <v>0</v>
      </c>
      <c r="W160" s="450"/>
      <c r="X160" s="448"/>
      <c r="Y160" s="441"/>
      <c r="Z160" s="441"/>
      <c r="AA160" s="441"/>
      <c r="AB160" s="441"/>
      <c r="AC160" s="441"/>
      <c r="AD160" s="441"/>
      <c r="AE160" s="441"/>
      <c r="AF160" s="441"/>
      <c r="AG160" s="441"/>
      <c r="AH160" s="441"/>
      <c r="AI160" s="441"/>
      <c r="AJ160" s="441"/>
      <c r="AK160" s="441"/>
      <c r="AL160" s="441"/>
      <c r="AM160" s="441"/>
      <c r="AN160" s="441"/>
      <c r="AO160" s="441"/>
      <c r="AP160" s="441"/>
      <c r="AQ160" s="441"/>
      <c r="AR160" s="441"/>
    </row>
    <row r="161" spans="1:44" ht="12.75" hidden="1" thickBot="1">
      <c r="A161" s="1" t="s">
        <v>1272</v>
      </c>
      <c r="B161" s="2" t="s">
        <v>362</v>
      </c>
      <c r="C161" s="2" t="s">
        <v>363</v>
      </c>
      <c r="D161" s="8" t="s">
        <v>1205</v>
      </c>
      <c r="E161" s="457"/>
      <c r="F161" s="4"/>
      <c r="G161" s="4"/>
      <c r="H161" s="4"/>
      <c r="I161" s="4"/>
      <c r="J161" s="4"/>
      <c r="K161" s="4"/>
      <c r="L161" s="4"/>
      <c r="M161" s="4"/>
      <c r="N161" s="4"/>
      <c r="O161" s="4"/>
      <c r="P161" s="4"/>
      <c r="Q161" s="4"/>
      <c r="R161" s="4"/>
      <c r="S161" s="445">
        <f t="shared" si="11"/>
        <v>0</v>
      </c>
      <c r="T161" s="445">
        <f t="shared" si="12"/>
        <v>0</v>
      </c>
      <c r="U161" s="445">
        <f t="shared" si="13"/>
        <v>0</v>
      </c>
      <c r="W161" s="450"/>
      <c r="X161" s="448"/>
      <c r="Y161" s="441"/>
      <c r="Z161" s="441"/>
      <c r="AA161" s="441"/>
      <c r="AB161" s="441"/>
      <c r="AC161" s="441"/>
      <c r="AD161" s="441"/>
      <c r="AE161" s="441"/>
      <c r="AF161" s="441"/>
      <c r="AG161" s="441"/>
      <c r="AH161" s="441"/>
      <c r="AI161" s="441"/>
      <c r="AJ161" s="441"/>
      <c r="AK161" s="441"/>
      <c r="AL161" s="441"/>
      <c r="AM161" s="441"/>
      <c r="AN161" s="441"/>
      <c r="AO161" s="441"/>
      <c r="AP161" s="441"/>
      <c r="AQ161" s="441"/>
      <c r="AR161" s="441"/>
    </row>
    <row r="162" spans="1:44" ht="12.75" hidden="1" thickBot="1">
      <c r="A162" s="1" t="s">
        <v>1272</v>
      </c>
      <c r="B162" s="2" t="s">
        <v>342</v>
      </c>
      <c r="C162" s="2" t="s">
        <v>1035</v>
      </c>
      <c r="D162" s="8" t="s">
        <v>459</v>
      </c>
      <c r="E162" s="459"/>
      <c r="F162" s="6"/>
      <c r="G162" s="451"/>
      <c r="H162" s="6"/>
      <c r="I162" s="6"/>
      <c r="J162" s="6"/>
      <c r="K162" s="6"/>
      <c r="L162" s="6"/>
      <c r="M162" s="451"/>
      <c r="N162" s="451"/>
      <c r="O162" s="6"/>
      <c r="P162" s="6"/>
      <c r="Q162" s="451"/>
      <c r="R162" s="451"/>
      <c r="S162" s="445">
        <f t="shared" si="11"/>
        <v>0</v>
      </c>
      <c r="T162" s="445">
        <f t="shared" si="12"/>
        <v>0</v>
      </c>
      <c r="U162" s="445">
        <f t="shared" si="13"/>
        <v>0</v>
      </c>
      <c r="W162" s="450"/>
      <c r="X162" s="448"/>
      <c r="Y162" s="441"/>
      <c r="Z162" s="441"/>
      <c r="AA162" s="441"/>
      <c r="AB162" s="441"/>
      <c r="AC162" s="441"/>
      <c r="AD162" s="441"/>
      <c r="AE162" s="441"/>
      <c r="AF162" s="441"/>
      <c r="AG162" s="441"/>
      <c r="AH162" s="441"/>
      <c r="AI162" s="441"/>
      <c r="AJ162" s="441"/>
      <c r="AK162" s="441"/>
      <c r="AL162" s="441"/>
      <c r="AM162" s="441"/>
      <c r="AN162" s="441"/>
      <c r="AO162" s="441"/>
      <c r="AP162" s="441"/>
      <c r="AQ162" s="441"/>
      <c r="AR162" s="441"/>
    </row>
    <row r="163" spans="1:44" ht="12.75" hidden="1" thickBot="1">
      <c r="A163" s="1" t="s">
        <v>1272</v>
      </c>
      <c r="B163" s="2" t="s">
        <v>213</v>
      </c>
      <c r="C163" s="2" t="s">
        <v>1036</v>
      </c>
      <c r="D163" s="8" t="s">
        <v>459</v>
      </c>
      <c r="E163" s="460"/>
      <c r="F163" s="4"/>
      <c r="G163" s="449"/>
      <c r="H163" s="4"/>
      <c r="I163" s="4"/>
      <c r="J163" s="4"/>
      <c r="K163" s="4"/>
      <c r="L163" s="4"/>
      <c r="M163" s="449"/>
      <c r="N163" s="449"/>
      <c r="O163" s="4"/>
      <c r="P163" s="4"/>
      <c r="Q163" s="449"/>
      <c r="R163" s="449"/>
      <c r="S163" s="445">
        <f t="shared" si="11"/>
        <v>0</v>
      </c>
      <c r="T163" s="445">
        <f t="shared" si="12"/>
        <v>0</v>
      </c>
      <c r="U163" s="445">
        <f t="shared" si="13"/>
        <v>0</v>
      </c>
      <c r="W163" s="450"/>
      <c r="X163" s="448"/>
      <c r="Y163" s="441"/>
      <c r="Z163" s="441"/>
      <c r="AA163" s="441"/>
      <c r="AB163" s="441"/>
      <c r="AC163" s="441"/>
      <c r="AD163" s="441"/>
      <c r="AE163" s="441"/>
      <c r="AF163" s="441"/>
      <c r="AG163" s="441"/>
      <c r="AH163" s="441"/>
      <c r="AI163" s="441"/>
      <c r="AJ163" s="441"/>
      <c r="AK163" s="441"/>
      <c r="AL163" s="441"/>
      <c r="AM163" s="441"/>
      <c r="AN163" s="441"/>
      <c r="AO163" s="441"/>
      <c r="AP163" s="441"/>
      <c r="AQ163" s="441"/>
      <c r="AR163" s="441"/>
    </row>
    <row r="164" spans="1:44" ht="12.75" hidden="1" thickBot="1">
      <c r="A164" s="1" t="s">
        <v>1272</v>
      </c>
      <c r="B164" s="2" t="s">
        <v>214</v>
      </c>
      <c r="C164" s="2" t="s">
        <v>1037</v>
      </c>
      <c r="D164" s="8" t="s">
        <v>459</v>
      </c>
      <c r="E164" s="459"/>
      <c r="F164" s="6"/>
      <c r="G164" s="451"/>
      <c r="H164" s="6"/>
      <c r="I164" s="6"/>
      <c r="J164" s="6"/>
      <c r="K164" s="6"/>
      <c r="L164" s="6"/>
      <c r="M164" s="451"/>
      <c r="N164" s="451"/>
      <c r="O164" s="6"/>
      <c r="P164" s="6"/>
      <c r="Q164" s="451"/>
      <c r="R164" s="451"/>
      <c r="S164" s="445">
        <f t="shared" si="11"/>
        <v>0</v>
      </c>
      <c r="T164" s="445">
        <f t="shared" si="12"/>
        <v>0</v>
      </c>
      <c r="U164" s="445">
        <f t="shared" si="13"/>
        <v>0</v>
      </c>
      <c r="W164" s="450"/>
      <c r="X164" s="448"/>
      <c r="Y164" s="441"/>
      <c r="Z164" s="441"/>
      <c r="AA164" s="441"/>
      <c r="AB164" s="441"/>
      <c r="AC164" s="441"/>
      <c r="AD164" s="441"/>
      <c r="AE164" s="441"/>
      <c r="AF164" s="441"/>
      <c r="AG164" s="441"/>
      <c r="AH164" s="441"/>
      <c r="AI164" s="441"/>
      <c r="AJ164" s="441"/>
      <c r="AK164" s="441"/>
      <c r="AL164" s="441"/>
      <c r="AM164" s="441"/>
      <c r="AN164" s="441"/>
      <c r="AO164" s="441"/>
      <c r="AP164" s="441"/>
      <c r="AQ164" s="441"/>
      <c r="AR164" s="441"/>
    </row>
    <row r="165" spans="1:44" ht="12.75" hidden="1" thickBot="1">
      <c r="A165" s="1" t="s">
        <v>1272</v>
      </c>
      <c r="B165" s="2" t="s">
        <v>1231</v>
      </c>
      <c r="C165" s="2" t="s">
        <v>1232</v>
      </c>
      <c r="D165" s="8" t="s">
        <v>459</v>
      </c>
      <c r="E165" s="460"/>
      <c r="F165" s="4"/>
      <c r="G165" s="4"/>
      <c r="H165" s="4"/>
      <c r="I165" s="4"/>
      <c r="J165" s="4"/>
      <c r="K165" s="4"/>
      <c r="L165" s="4"/>
      <c r="M165" s="4"/>
      <c r="N165" s="4"/>
      <c r="O165" s="4"/>
      <c r="P165" s="4"/>
      <c r="Q165" s="4"/>
      <c r="R165" s="4"/>
      <c r="S165" s="445">
        <f t="shared" si="11"/>
        <v>0</v>
      </c>
      <c r="T165" s="445">
        <f t="shared" si="12"/>
        <v>0</v>
      </c>
      <c r="U165" s="445">
        <f t="shared" si="13"/>
        <v>0</v>
      </c>
      <c r="W165" s="450"/>
      <c r="X165" s="448"/>
      <c r="Y165" s="441"/>
      <c r="Z165" s="441"/>
      <c r="AA165" s="441"/>
      <c r="AB165" s="441"/>
      <c r="AC165" s="441"/>
      <c r="AD165" s="441"/>
      <c r="AE165" s="441"/>
      <c r="AF165" s="441"/>
      <c r="AG165" s="441"/>
      <c r="AH165" s="441"/>
      <c r="AI165" s="441"/>
      <c r="AJ165" s="441"/>
      <c r="AK165" s="441"/>
      <c r="AL165" s="441"/>
      <c r="AM165" s="441"/>
      <c r="AN165" s="441"/>
      <c r="AO165" s="441"/>
      <c r="AP165" s="441"/>
      <c r="AQ165" s="441"/>
      <c r="AR165" s="441"/>
    </row>
    <row r="166" spans="1:44" ht="12.75" hidden="1" thickBot="1">
      <c r="A166" s="1" t="s">
        <v>1272</v>
      </c>
      <c r="B166" s="2" t="s">
        <v>215</v>
      </c>
      <c r="C166" s="2" t="s">
        <v>1038</v>
      </c>
      <c r="D166" s="8" t="s">
        <v>459</v>
      </c>
      <c r="E166" s="459"/>
      <c r="F166" s="6"/>
      <c r="G166" s="451"/>
      <c r="H166" s="6"/>
      <c r="I166" s="6"/>
      <c r="J166" s="6"/>
      <c r="K166" s="6"/>
      <c r="L166" s="6"/>
      <c r="M166" s="451"/>
      <c r="N166" s="451"/>
      <c r="O166" s="6"/>
      <c r="P166" s="6"/>
      <c r="Q166" s="451"/>
      <c r="R166" s="451"/>
      <c r="S166" s="445">
        <f t="shared" si="11"/>
        <v>0</v>
      </c>
      <c r="T166" s="445">
        <f t="shared" si="12"/>
        <v>0</v>
      </c>
      <c r="U166" s="445">
        <f t="shared" si="13"/>
        <v>0</v>
      </c>
      <c r="W166" s="450"/>
      <c r="X166" s="448"/>
      <c r="Y166" s="441"/>
      <c r="Z166" s="441"/>
      <c r="AA166" s="441"/>
      <c r="AB166" s="441"/>
      <c r="AC166" s="441"/>
      <c r="AD166" s="441"/>
      <c r="AE166" s="441"/>
      <c r="AF166" s="441"/>
      <c r="AG166" s="441"/>
      <c r="AH166" s="441"/>
      <c r="AI166" s="441"/>
      <c r="AJ166" s="441"/>
      <c r="AK166" s="441"/>
      <c r="AL166" s="441"/>
      <c r="AM166" s="441"/>
      <c r="AN166" s="441"/>
      <c r="AO166" s="441"/>
      <c r="AP166" s="441"/>
      <c r="AQ166" s="441"/>
      <c r="AR166" s="441"/>
    </row>
    <row r="167" spans="1:44" ht="12.75" hidden="1" thickBot="1">
      <c r="A167" s="1" t="s">
        <v>1272</v>
      </c>
      <c r="B167" s="2" t="s">
        <v>216</v>
      </c>
      <c r="C167" s="2" t="s">
        <v>1039</v>
      </c>
      <c r="D167" s="8" t="s">
        <v>459</v>
      </c>
      <c r="E167" s="460"/>
      <c r="F167" s="4"/>
      <c r="G167" s="449"/>
      <c r="H167" s="4"/>
      <c r="I167" s="4"/>
      <c r="J167" s="4"/>
      <c r="K167" s="4"/>
      <c r="L167" s="4"/>
      <c r="M167" s="449"/>
      <c r="N167" s="449"/>
      <c r="O167" s="4"/>
      <c r="P167" s="4"/>
      <c r="Q167" s="449"/>
      <c r="R167" s="449"/>
      <c r="S167" s="445">
        <f t="shared" si="11"/>
        <v>0</v>
      </c>
      <c r="T167" s="445">
        <f t="shared" si="12"/>
        <v>0</v>
      </c>
      <c r="U167" s="445">
        <f t="shared" si="13"/>
        <v>0</v>
      </c>
      <c r="W167" s="450"/>
      <c r="X167" s="448"/>
      <c r="Y167" s="441"/>
      <c r="Z167" s="441"/>
      <c r="AA167" s="441"/>
      <c r="AB167" s="441"/>
      <c r="AC167" s="441"/>
      <c r="AD167" s="441"/>
      <c r="AE167" s="441"/>
      <c r="AF167" s="441"/>
      <c r="AG167" s="441"/>
      <c r="AH167" s="441"/>
      <c r="AI167" s="441"/>
      <c r="AJ167" s="441"/>
      <c r="AK167" s="441"/>
      <c r="AL167" s="441"/>
      <c r="AM167" s="441"/>
      <c r="AN167" s="441"/>
      <c r="AO167" s="441"/>
      <c r="AP167" s="441"/>
      <c r="AQ167" s="441"/>
      <c r="AR167" s="441"/>
    </row>
    <row r="168" spans="1:44" ht="12.75" hidden="1" thickBot="1">
      <c r="A168" s="1" t="s">
        <v>1272</v>
      </c>
      <c r="B168" s="2" t="s">
        <v>217</v>
      </c>
      <c r="C168" s="2" t="s">
        <v>1040</v>
      </c>
      <c r="D168" s="8" t="s">
        <v>459</v>
      </c>
      <c r="E168" s="459"/>
      <c r="F168" s="6"/>
      <c r="G168" s="451"/>
      <c r="H168" s="6"/>
      <c r="I168" s="6"/>
      <c r="J168" s="6"/>
      <c r="K168" s="6"/>
      <c r="L168" s="6"/>
      <c r="M168" s="451"/>
      <c r="N168" s="451"/>
      <c r="O168" s="6"/>
      <c r="P168" s="6"/>
      <c r="Q168" s="451"/>
      <c r="R168" s="451"/>
      <c r="S168" s="445">
        <f t="shared" si="11"/>
        <v>0</v>
      </c>
      <c r="T168" s="445">
        <f t="shared" si="12"/>
        <v>0</v>
      </c>
      <c r="U168" s="445">
        <f t="shared" si="13"/>
        <v>0</v>
      </c>
      <c r="W168" s="450"/>
      <c r="X168" s="448"/>
      <c r="Y168" s="441"/>
      <c r="Z168" s="441"/>
      <c r="AA168" s="441"/>
      <c r="AB168" s="441"/>
      <c r="AC168" s="441"/>
      <c r="AD168" s="441"/>
      <c r="AE168" s="441"/>
      <c r="AF168" s="441"/>
      <c r="AG168" s="441"/>
      <c r="AH168" s="441"/>
      <c r="AI168" s="441"/>
      <c r="AJ168" s="441"/>
      <c r="AK168" s="441"/>
      <c r="AL168" s="441"/>
      <c r="AM168" s="441"/>
      <c r="AN168" s="441"/>
      <c r="AO168" s="441"/>
      <c r="AP168" s="441"/>
      <c r="AQ168" s="441"/>
      <c r="AR168" s="441"/>
    </row>
    <row r="169" spans="1:44" ht="12.75" hidden="1" thickBot="1">
      <c r="A169" s="1" t="s">
        <v>1272</v>
      </c>
      <c r="B169" s="2" t="s">
        <v>344</v>
      </c>
      <c r="C169" s="2" t="s">
        <v>1041</v>
      </c>
      <c r="D169" s="8" t="s">
        <v>459</v>
      </c>
      <c r="E169" s="460"/>
      <c r="F169" s="4"/>
      <c r="G169" s="449"/>
      <c r="H169" s="4"/>
      <c r="I169" s="4"/>
      <c r="J169" s="4"/>
      <c r="K169" s="4"/>
      <c r="L169" s="4"/>
      <c r="M169" s="449"/>
      <c r="N169" s="449"/>
      <c r="O169" s="4"/>
      <c r="P169" s="4"/>
      <c r="Q169" s="449"/>
      <c r="R169" s="449"/>
      <c r="S169" s="445">
        <f t="shared" si="11"/>
        <v>0</v>
      </c>
      <c r="T169" s="445">
        <f t="shared" si="12"/>
        <v>0</v>
      </c>
      <c r="U169" s="445">
        <f t="shared" si="13"/>
        <v>0</v>
      </c>
      <c r="W169" s="450"/>
      <c r="X169" s="448"/>
      <c r="Y169" s="441"/>
      <c r="Z169" s="441"/>
      <c r="AA169" s="441"/>
      <c r="AB169" s="441"/>
      <c r="AC169" s="441"/>
      <c r="AD169" s="441"/>
      <c r="AE169" s="441"/>
      <c r="AF169" s="441"/>
      <c r="AG169" s="441"/>
      <c r="AH169" s="441"/>
      <c r="AI169" s="441"/>
      <c r="AJ169" s="441"/>
      <c r="AK169" s="441"/>
      <c r="AL169" s="441"/>
      <c r="AM169" s="441"/>
      <c r="AN169" s="441"/>
      <c r="AO169" s="441"/>
      <c r="AP169" s="441"/>
      <c r="AQ169" s="441"/>
      <c r="AR169" s="441"/>
    </row>
    <row r="170" spans="1:44" ht="12.75" hidden="1" thickBot="1">
      <c r="A170" s="1" t="s">
        <v>1272</v>
      </c>
      <c r="B170" s="2" t="s">
        <v>1233</v>
      </c>
      <c r="C170" s="2" t="s">
        <v>1234</v>
      </c>
      <c r="D170" s="8" t="s">
        <v>459</v>
      </c>
      <c r="E170" s="459"/>
      <c r="F170" s="6"/>
      <c r="G170" s="6"/>
      <c r="H170" s="6"/>
      <c r="I170" s="6"/>
      <c r="J170" s="6"/>
      <c r="K170" s="6"/>
      <c r="L170" s="6"/>
      <c r="M170" s="6"/>
      <c r="N170" s="6"/>
      <c r="O170" s="6"/>
      <c r="P170" s="6"/>
      <c r="Q170" s="6"/>
      <c r="R170" s="6"/>
      <c r="S170" s="445">
        <f t="shared" si="11"/>
        <v>0</v>
      </c>
      <c r="T170" s="445">
        <f t="shared" si="12"/>
        <v>0</v>
      </c>
      <c r="U170" s="445">
        <f t="shared" si="13"/>
        <v>0</v>
      </c>
      <c r="W170" s="450"/>
      <c r="X170" s="448"/>
      <c r="Y170" s="441"/>
      <c r="Z170" s="441"/>
      <c r="AA170" s="441"/>
      <c r="AB170" s="441"/>
      <c r="AC170" s="441"/>
      <c r="AD170" s="441"/>
      <c r="AE170" s="441"/>
      <c r="AF170" s="441"/>
      <c r="AG170" s="441"/>
      <c r="AH170" s="441"/>
      <c r="AI170" s="441"/>
      <c r="AJ170" s="441"/>
      <c r="AK170" s="441"/>
      <c r="AL170" s="441"/>
      <c r="AM170" s="441"/>
      <c r="AN170" s="441"/>
      <c r="AO170" s="441"/>
      <c r="AP170" s="441"/>
      <c r="AQ170" s="441"/>
      <c r="AR170" s="441"/>
    </row>
    <row r="171" spans="1:44" ht="12.75" hidden="1" thickBot="1">
      <c r="A171" s="1" t="s">
        <v>1272</v>
      </c>
      <c r="B171" s="2" t="s">
        <v>218</v>
      </c>
      <c r="C171" s="2" t="s">
        <v>1042</v>
      </c>
      <c r="D171" s="8" t="s">
        <v>459</v>
      </c>
      <c r="E171" s="460"/>
      <c r="F171" s="4"/>
      <c r="G171" s="449"/>
      <c r="H171" s="4"/>
      <c r="I171" s="4"/>
      <c r="J171" s="4"/>
      <c r="K171" s="4"/>
      <c r="L171" s="4"/>
      <c r="M171" s="449"/>
      <c r="N171" s="449"/>
      <c r="O171" s="4"/>
      <c r="P171" s="4"/>
      <c r="Q171" s="449"/>
      <c r="R171" s="449"/>
      <c r="S171" s="445">
        <f t="shared" si="11"/>
        <v>0</v>
      </c>
      <c r="T171" s="445">
        <f t="shared" si="12"/>
        <v>0</v>
      </c>
      <c r="U171" s="445">
        <f t="shared" si="13"/>
        <v>0</v>
      </c>
      <c r="W171" s="450"/>
      <c r="X171" s="448"/>
      <c r="Y171" s="441"/>
      <c r="Z171" s="441"/>
      <c r="AA171" s="441"/>
      <c r="AB171" s="441"/>
      <c r="AC171" s="441"/>
      <c r="AD171" s="441"/>
      <c r="AE171" s="441"/>
      <c r="AF171" s="441"/>
      <c r="AG171" s="441"/>
      <c r="AH171" s="441"/>
      <c r="AI171" s="441"/>
      <c r="AJ171" s="441"/>
      <c r="AK171" s="441"/>
      <c r="AL171" s="441"/>
      <c r="AM171" s="441"/>
      <c r="AN171" s="441"/>
      <c r="AO171" s="441"/>
      <c r="AP171" s="441"/>
      <c r="AQ171" s="441"/>
      <c r="AR171" s="441"/>
    </row>
    <row r="172" spans="1:44" ht="12.75" hidden="1" thickBot="1">
      <c r="A172" s="1" t="s">
        <v>1272</v>
      </c>
      <c r="B172" s="2" t="s">
        <v>223</v>
      </c>
      <c r="C172" s="2" t="s">
        <v>1043</v>
      </c>
      <c r="D172" s="8" t="s">
        <v>459</v>
      </c>
      <c r="E172" s="459"/>
      <c r="F172" s="6"/>
      <c r="G172" s="451"/>
      <c r="H172" s="6"/>
      <c r="I172" s="6"/>
      <c r="J172" s="6"/>
      <c r="K172" s="6"/>
      <c r="L172" s="6"/>
      <c r="M172" s="451"/>
      <c r="N172" s="451"/>
      <c r="O172" s="6"/>
      <c r="P172" s="6"/>
      <c r="Q172" s="451"/>
      <c r="R172" s="451"/>
      <c r="S172" s="445">
        <f t="shared" si="11"/>
        <v>0</v>
      </c>
      <c r="T172" s="445">
        <f t="shared" si="12"/>
        <v>0</v>
      </c>
      <c r="U172" s="445">
        <f t="shared" si="13"/>
        <v>0</v>
      </c>
      <c r="W172" s="450"/>
      <c r="X172" s="448"/>
      <c r="Y172" s="441"/>
      <c r="Z172" s="441"/>
      <c r="AA172" s="441"/>
      <c r="AB172" s="441"/>
      <c r="AC172" s="441"/>
      <c r="AD172" s="441"/>
      <c r="AE172" s="441"/>
      <c r="AF172" s="441"/>
      <c r="AG172" s="441"/>
      <c r="AH172" s="441"/>
      <c r="AI172" s="441"/>
      <c r="AJ172" s="441"/>
      <c r="AK172" s="441"/>
      <c r="AL172" s="441"/>
      <c r="AM172" s="441"/>
      <c r="AN172" s="441"/>
      <c r="AO172" s="441"/>
      <c r="AP172" s="441"/>
      <c r="AQ172" s="441"/>
      <c r="AR172" s="441"/>
    </row>
    <row r="173" spans="1:44" ht="12.75" hidden="1" thickBot="1">
      <c r="A173" s="1" t="s">
        <v>1272</v>
      </c>
      <c r="B173" s="2" t="s">
        <v>231</v>
      </c>
      <c r="C173" s="2" t="s">
        <v>1044</v>
      </c>
      <c r="D173" s="8" t="s">
        <v>459</v>
      </c>
      <c r="E173" s="460"/>
      <c r="F173" s="4"/>
      <c r="G173" s="449"/>
      <c r="H173" s="4"/>
      <c r="I173" s="4"/>
      <c r="J173" s="4"/>
      <c r="K173" s="4"/>
      <c r="L173" s="4"/>
      <c r="M173" s="449"/>
      <c r="N173" s="449"/>
      <c r="O173" s="4"/>
      <c r="P173" s="4"/>
      <c r="Q173" s="449"/>
      <c r="R173" s="449"/>
      <c r="S173" s="445">
        <f t="shared" si="11"/>
        <v>0</v>
      </c>
      <c r="T173" s="445">
        <f t="shared" si="12"/>
        <v>0</v>
      </c>
      <c r="U173" s="445">
        <f t="shared" si="13"/>
        <v>0</v>
      </c>
      <c r="W173" s="450"/>
      <c r="X173" s="448"/>
      <c r="Y173" s="441"/>
      <c r="Z173" s="441"/>
      <c r="AA173" s="441"/>
      <c r="AB173" s="441"/>
      <c r="AC173" s="441"/>
      <c r="AD173" s="441"/>
      <c r="AE173" s="441"/>
      <c r="AF173" s="441"/>
      <c r="AG173" s="441"/>
      <c r="AH173" s="441"/>
      <c r="AI173" s="441"/>
      <c r="AJ173" s="441"/>
      <c r="AK173" s="441"/>
      <c r="AL173" s="441"/>
      <c r="AM173" s="441"/>
      <c r="AN173" s="441"/>
      <c r="AO173" s="441"/>
      <c r="AP173" s="441"/>
      <c r="AQ173" s="441"/>
      <c r="AR173" s="441"/>
    </row>
    <row r="174" spans="1:44" ht="12.75" hidden="1" thickBot="1">
      <c r="A174" s="1" t="s">
        <v>1272</v>
      </c>
      <c r="B174" s="2" t="s">
        <v>232</v>
      </c>
      <c r="C174" s="2" t="s">
        <v>1045</v>
      </c>
      <c r="D174" s="8" t="s">
        <v>459</v>
      </c>
      <c r="E174" s="459"/>
      <c r="F174" s="6"/>
      <c r="G174" s="451"/>
      <c r="H174" s="6"/>
      <c r="I174" s="6"/>
      <c r="J174" s="6"/>
      <c r="K174" s="6"/>
      <c r="L174" s="6"/>
      <c r="M174" s="451"/>
      <c r="N174" s="451"/>
      <c r="O174" s="6"/>
      <c r="P174" s="6"/>
      <c r="Q174" s="451"/>
      <c r="R174" s="451"/>
      <c r="S174" s="445">
        <f t="shared" si="11"/>
        <v>0</v>
      </c>
      <c r="T174" s="445">
        <f t="shared" si="12"/>
        <v>0</v>
      </c>
      <c r="U174" s="445">
        <f t="shared" si="13"/>
        <v>0</v>
      </c>
      <c r="W174" s="450"/>
      <c r="X174" s="448"/>
      <c r="Y174" s="441"/>
      <c r="Z174" s="441"/>
      <c r="AA174" s="441"/>
      <c r="AB174" s="441"/>
      <c r="AC174" s="441"/>
      <c r="AD174" s="441"/>
      <c r="AE174" s="441"/>
      <c r="AF174" s="441"/>
      <c r="AG174" s="441"/>
      <c r="AH174" s="441"/>
      <c r="AI174" s="441"/>
      <c r="AJ174" s="441"/>
      <c r="AK174" s="441"/>
      <c r="AL174" s="441"/>
      <c r="AM174" s="441"/>
      <c r="AN174" s="441"/>
      <c r="AO174" s="441"/>
      <c r="AP174" s="441"/>
      <c r="AQ174" s="441"/>
      <c r="AR174" s="441"/>
    </row>
    <row r="175" spans="1:44" ht="12.75" hidden="1" thickBot="1">
      <c r="A175" s="1" t="s">
        <v>1272</v>
      </c>
      <c r="B175" s="2" t="s">
        <v>234</v>
      </c>
      <c r="C175" s="2" t="s">
        <v>1046</v>
      </c>
      <c r="D175" s="8" t="s">
        <v>459</v>
      </c>
      <c r="E175" s="460"/>
      <c r="F175" s="4"/>
      <c r="G175" s="449"/>
      <c r="H175" s="4"/>
      <c r="I175" s="4"/>
      <c r="J175" s="4"/>
      <c r="K175" s="4"/>
      <c r="L175" s="4"/>
      <c r="M175" s="449"/>
      <c r="N175" s="449"/>
      <c r="O175" s="4"/>
      <c r="P175" s="4"/>
      <c r="Q175" s="449"/>
      <c r="R175" s="449"/>
      <c r="S175" s="445">
        <f t="shared" si="11"/>
        <v>0</v>
      </c>
      <c r="T175" s="445">
        <f t="shared" si="12"/>
        <v>0</v>
      </c>
      <c r="U175" s="445">
        <f t="shared" si="13"/>
        <v>0</v>
      </c>
      <c r="W175" s="450"/>
      <c r="X175" s="448"/>
      <c r="Y175" s="441"/>
      <c r="Z175" s="441"/>
      <c r="AA175" s="441"/>
      <c r="AB175" s="441"/>
      <c r="AC175" s="441"/>
      <c r="AD175" s="441"/>
      <c r="AE175" s="441"/>
      <c r="AF175" s="441"/>
      <c r="AG175" s="441"/>
      <c r="AH175" s="441"/>
      <c r="AI175" s="441"/>
      <c r="AJ175" s="441"/>
      <c r="AK175" s="441"/>
      <c r="AL175" s="441"/>
      <c r="AM175" s="441"/>
      <c r="AN175" s="441"/>
      <c r="AO175" s="441"/>
      <c r="AP175" s="441"/>
      <c r="AQ175" s="441"/>
      <c r="AR175" s="441"/>
    </row>
    <row r="176" spans="1:44" ht="12.75" hidden="1" thickBot="1">
      <c r="A176" s="1" t="s">
        <v>1272</v>
      </c>
      <c r="B176" s="2" t="s">
        <v>353</v>
      </c>
      <c r="C176" s="2" t="s">
        <v>1047</v>
      </c>
      <c r="D176" s="8" t="s">
        <v>459</v>
      </c>
      <c r="E176" s="459"/>
      <c r="F176" s="6"/>
      <c r="G176" s="451"/>
      <c r="H176" s="6"/>
      <c r="I176" s="6"/>
      <c r="J176" s="6"/>
      <c r="K176" s="6"/>
      <c r="L176" s="6"/>
      <c r="M176" s="451"/>
      <c r="N176" s="451"/>
      <c r="O176" s="6"/>
      <c r="P176" s="6"/>
      <c r="Q176" s="451"/>
      <c r="R176" s="451"/>
      <c r="S176" s="445">
        <f t="shared" si="11"/>
        <v>0</v>
      </c>
      <c r="T176" s="445">
        <f t="shared" si="12"/>
        <v>0</v>
      </c>
      <c r="U176" s="445">
        <f t="shared" si="13"/>
        <v>0</v>
      </c>
      <c r="W176" s="450"/>
      <c r="X176" s="448"/>
      <c r="Y176" s="441"/>
      <c r="Z176" s="441"/>
      <c r="AA176" s="441"/>
      <c r="AB176" s="441"/>
      <c r="AC176" s="441"/>
      <c r="AD176" s="441"/>
      <c r="AE176" s="441"/>
      <c r="AF176" s="441"/>
      <c r="AG176" s="441"/>
      <c r="AH176" s="441"/>
      <c r="AI176" s="441"/>
      <c r="AJ176" s="441"/>
      <c r="AK176" s="441"/>
      <c r="AL176" s="441"/>
      <c r="AM176" s="441"/>
      <c r="AN176" s="441"/>
      <c r="AO176" s="441"/>
      <c r="AP176" s="441"/>
      <c r="AQ176" s="441"/>
      <c r="AR176" s="441"/>
    </row>
    <row r="177" spans="1:44" ht="12.75" hidden="1" thickBot="1">
      <c r="A177" s="1" t="s">
        <v>1272</v>
      </c>
      <c r="B177" s="2" t="s">
        <v>235</v>
      </c>
      <c r="C177" s="2" t="s">
        <v>1048</v>
      </c>
      <c r="D177" s="8" t="s">
        <v>459</v>
      </c>
      <c r="E177" s="460"/>
      <c r="F177" s="4"/>
      <c r="G177" s="449"/>
      <c r="H177" s="4"/>
      <c r="I177" s="4"/>
      <c r="J177" s="4"/>
      <c r="K177" s="4"/>
      <c r="L177" s="4"/>
      <c r="M177" s="449"/>
      <c r="N177" s="449"/>
      <c r="O177" s="4"/>
      <c r="P177" s="4"/>
      <c r="Q177" s="449"/>
      <c r="R177" s="449"/>
      <c r="S177" s="445">
        <f t="shared" si="11"/>
        <v>0</v>
      </c>
      <c r="T177" s="445">
        <f t="shared" si="12"/>
        <v>0</v>
      </c>
      <c r="U177" s="445">
        <f t="shared" si="13"/>
        <v>0</v>
      </c>
      <c r="W177" s="450"/>
      <c r="X177" s="448"/>
      <c r="Y177" s="441"/>
      <c r="Z177" s="441"/>
      <c r="AA177" s="441"/>
      <c r="AB177" s="441"/>
      <c r="AC177" s="441"/>
      <c r="AD177" s="441"/>
      <c r="AE177" s="441"/>
      <c r="AF177" s="441"/>
      <c r="AG177" s="441"/>
      <c r="AH177" s="441"/>
      <c r="AI177" s="441"/>
      <c r="AJ177" s="441"/>
      <c r="AK177" s="441"/>
      <c r="AL177" s="441"/>
      <c r="AM177" s="441"/>
      <c r="AN177" s="441"/>
      <c r="AO177" s="441"/>
      <c r="AP177" s="441"/>
      <c r="AQ177" s="441"/>
      <c r="AR177" s="441"/>
    </row>
    <row r="178" spans="1:44" ht="12.75" hidden="1" thickBot="1">
      <c r="A178" s="1" t="s">
        <v>1272</v>
      </c>
      <c r="B178" s="2" t="s">
        <v>236</v>
      </c>
      <c r="C178" s="2" t="s">
        <v>1049</v>
      </c>
      <c r="D178" s="8" t="s">
        <v>459</v>
      </c>
      <c r="E178" s="459"/>
      <c r="F178" s="6"/>
      <c r="G178" s="451"/>
      <c r="H178" s="6"/>
      <c r="I178" s="6"/>
      <c r="J178" s="6"/>
      <c r="K178" s="6"/>
      <c r="L178" s="6"/>
      <c r="M178" s="451"/>
      <c r="N178" s="451"/>
      <c r="O178" s="6"/>
      <c r="P178" s="6"/>
      <c r="Q178" s="451"/>
      <c r="R178" s="451"/>
      <c r="S178" s="445">
        <f t="shared" si="11"/>
        <v>0</v>
      </c>
      <c r="T178" s="445">
        <f t="shared" si="12"/>
        <v>0</v>
      </c>
      <c r="U178" s="445">
        <f t="shared" si="13"/>
        <v>0</v>
      </c>
      <c r="W178" s="450"/>
      <c r="X178" s="448"/>
      <c r="Y178" s="441"/>
      <c r="Z178" s="441"/>
      <c r="AA178" s="441"/>
      <c r="AB178" s="441"/>
      <c r="AC178" s="441"/>
      <c r="AD178" s="441"/>
      <c r="AE178" s="441"/>
      <c r="AF178" s="441"/>
      <c r="AG178" s="441"/>
      <c r="AH178" s="441"/>
      <c r="AI178" s="441"/>
      <c r="AJ178" s="441"/>
      <c r="AK178" s="441"/>
      <c r="AL178" s="441"/>
      <c r="AM178" s="441"/>
      <c r="AN178" s="441"/>
      <c r="AO178" s="441"/>
      <c r="AP178" s="441"/>
      <c r="AQ178" s="441"/>
      <c r="AR178" s="441"/>
    </row>
    <row r="179" spans="1:44" ht="12.75" hidden="1" thickBot="1">
      <c r="A179" s="1" t="s">
        <v>1272</v>
      </c>
      <c r="B179" s="2" t="s">
        <v>354</v>
      </c>
      <c r="C179" s="2" t="s">
        <v>1050</v>
      </c>
      <c r="D179" s="8" t="s">
        <v>459</v>
      </c>
      <c r="E179" s="460"/>
      <c r="F179" s="4"/>
      <c r="G179" s="449"/>
      <c r="H179" s="4"/>
      <c r="I179" s="4"/>
      <c r="J179" s="4"/>
      <c r="K179" s="4"/>
      <c r="L179" s="4"/>
      <c r="M179" s="449"/>
      <c r="N179" s="449"/>
      <c r="O179" s="4"/>
      <c r="P179" s="4"/>
      <c r="Q179" s="449"/>
      <c r="R179" s="449"/>
      <c r="S179" s="445">
        <f t="shared" si="11"/>
        <v>0</v>
      </c>
      <c r="T179" s="445">
        <f t="shared" si="12"/>
        <v>0</v>
      </c>
      <c r="U179" s="445">
        <f t="shared" si="13"/>
        <v>0</v>
      </c>
      <c r="W179" s="450"/>
      <c r="X179" s="448"/>
      <c r="Y179" s="441"/>
      <c r="Z179" s="441"/>
      <c r="AA179" s="441"/>
      <c r="AB179" s="441"/>
      <c r="AC179" s="441"/>
      <c r="AD179" s="441"/>
      <c r="AE179" s="441"/>
      <c r="AF179" s="441"/>
      <c r="AG179" s="441"/>
      <c r="AH179" s="441"/>
      <c r="AI179" s="441"/>
      <c r="AJ179" s="441"/>
      <c r="AK179" s="441"/>
      <c r="AL179" s="441"/>
      <c r="AM179" s="441"/>
      <c r="AN179" s="441"/>
      <c r="AO179" s="441"/>
      <c r="AP179" s="441"/>
      <c r="AQ179" s="441"/>
      <c r="AR179" s="441"/>
    </row>
    <row r="180" spans="1:44" ht="12.75" hidden="1" thickBot="1">
      <c r="A180" s="1" t="s">
        <v>1272</v>
      </c>
      <c r="B180" s="2" t="s">
        <v>355</v>
      </c>
      <c r="C180" s="2" t="s">
        <v>1051</v>
      </c>
      <c r="D180" s="8" t="s">
        <v>459</v>
      </c>
      <c r="E180" s="459"/>
      <c r="F180" s="6"/>
      <c r="G180" s="451"/>
      <c r="H180" s="6"/>
      <c r="I180" s="6"/>
      <c r="J180" s="6"/>
      <c r="K180" s="6"/>
      <c r="L180" s="6"/>
      <c r="M180" s="451"/>
      <c r="N180" s="451"/>
      <c r="O180" s="6"/>
      <c r="P180" s="6"/>
      <c r="Q180" s="451"/>
      <c r="R180" s="451"/>
      <c r="S180" s="445">
        <f t="shared" si="11"/>
        <v>0</v>
      </c>
      <c r="T180" s="445">
        <f t="shared" si="12"/>
        <v>0</v>
      </c>
      <c r="U180" s="445">
        <f t="shared" si="13"/>
        <v>0</v>
      </c>
      <c r="W180" s="450"/>
      <c r="X180" s="448"/>
      <c r="Y180" s="441"/>
      <c r="Z180" s="441"/>
      <c r="AA180" s="441"/>
      <c r="AB180" s="441"/>
      <c r="AC180" s="441"/>
      <c r="AD180" s="441"/>
      <c r="AE180" s="441"/>
      <c r="AF180" s="441"/>
      <c r="AG180" s="441"/>
      <c r="AH180" s="441"/>
      <c r="AI180" s="441"/>
      <c r="AJ180" s="441"/>
      <c r="AK180" s="441"/>
      <c r="AL180" s="441"/>
      <c r="AM180" s="441"/>
      <c r="AN180" s="441"/>
      <c r="AO180" s="441"/>
      <c r="AP180" s="441"/>
      <c r="AQ180" s="441"/>
      <c r="AR180" s="441"/>
    </row>
    <row r="181" spans="1:44" ht="12.75" hidden="1" thickBot="1">
      <c r="A181" s="1" t="s">
        <v>1272</v>
      </c>
      <c r="B181" s="2" t="s">
        <v>359</v>
      </c>
      <c r="C181" s="2" t="s">
        <v>1052</v>
      </c>
      <c r="D181" s="8" t="s">
        <v>459</v>
      </c>
      <c r="E181" s="460"/>
      <c r="F181" s="4"/>
      <c r="G181" s="449"/>
      <c r="H181" s="4"/>
      <c r="I181" s="4"/>
      <c r="J181" s="4"/>
      <c r="K181" s="4"/>
      <c r="L181" s="4"/>
      <c r="M181" s="449"/>
      <c r="N181" s="449"/>
      <c r="O181" s="4"/>
      <c r="P181" s="4"/>
      <c r="Q181" s="449"/>
      <c r="R181" s="449"/>
      <c r="S181" s="445">
        <f t="shared" si="11"/>
        <v>0</v>
      </c>
      <c r="T181" s="445">
        <f t="shared" si="12"/>
        <v>0</v>
      </c>
      <c r="U181" s="445">
        <f t="shared" si="13"/>
        <v>0</v>
      </c>
      <c r="W181" s="450"/>
      <c r="X181" s="448"/>
      <c r="Y181" s="441"/>
      <c r="Z181" s="441"/>
      <c r="AA181" s="441"/>
      <c r="AB181" s="441"/>
      <c r="AC181" s="441"/>
      <c r="AD181" s="441"/>
      <c r="AE181" s="441"/>
      <c r="AF181" s="441"/>
      <c r="AG181" s="441"/>
      <c r="AH181" s="441"/>
      <c r="AI181" s="441"/>
      <c r="AJ181" s="441"/>
      <c r="AK181" s="441"/>
      <c r="AL181" s="441"/>
      <c r="AM181" s="441"/>
      <c r="AN181" s="441"/>
      <c r="AO181" s="441"/>
      <c r="AP181" s="441"/>
      <c r="AQ181" s="441"/>
      <c r="AR181" s="441"/>
    </row>
    <row r="182" spans="1:44" ht="12.75" hidden="1" thickBot="1">
      <c r="A182" s="1" t="s">
        <v>1272</v>
      </c>
      <c r="B182" s="2" t="s">
        <v>356</v>
      </c>
      <c r="C182" s="2" t="s">
        <v>1053</v>
      </c>
      <c r="D182" s="8" t="s">
        <v>459</v>
      </c>
      <c r="E182" s="459"/>
      <c r="F182" s="6"/>
      <c r="G182" s="451"/>
      <c r="H182" s="6"/>
      <c r="I182" s="6"/>
      <c r="J182" s="6"/>
      <c r="K182" s="6"/>
      <c r="L182" s="6"/>
      <c r="M182" s="451"/>
      <c r="N182" s="451"/>
      <c r="O182" s="6"/>
      <c r="P182" s="6"/>
      <c r="Q182" s="451"/>
      <c r="R182" s="451"/>
      <c r="S182" s="445">
        <f t="shared" si="11"/>
        <v>0</v>
      </c>
      <c r="T182" s="445">
        <f t="shared" si="12"/>
        <v>0</v>
      </c>
      <c r="U182" s="445">
        <f t="shared" si="13"/>
        <v>0</v>
      </c>
      <c r="W182" s="450"/>
      <c r="X182" s="448"/>
      <c r="Y182" s="441"/>
      <c r="Z182" s="441"/>
      <c r="AA182" s="441"/>
      <c r="AB182" s="441"/>
      <c r="AC182" s="441"/>
      <c r="AD182" s="441"/>
      <c r="AE182" s="441"/>
      <c r="AF182" s="441"/>
      <c r="AG182" s="441"/>
      <c r="AH182" s="441"/>
      <c r="AI182" s="441"/>
      <c r="AJ182" s="441"/>
      <c r="AK182" s="441"/>
      <c r="AL182" s="441"/>
      <c r="AM182" s="441"/>
      <c r="AN182" s="441"/>
      <c r="AO182" s="441"/>
      <c r="AP182" s="441"/>
      <c r="AQ182" s="441"/>
      <c r="AR182" s="441"/>
    </row>
    <row r="183" spans="1:44" ht="12.75" hidden="1" thickBot="1">
      <c r="A183" s="1" t="s">
        <v>1272</v>
      </c>
      <c r="B183" s="2" t="s">
        <v>357</v>
      </c>
      <c r="C183" s="2" t="s">
        <v>1054</v>
      </c>
      <c r="D183" s="8" t="s">
        <v>459</v>
      </c>
      <c r="E183" s="460"/>
      <c r="F183" s="4"/>
      <c r="G183" s="449"/>
      <c r="H183" s="4"/>
      <c r="I183" s="4"/>
      <c r="J183" s="4"/>
      <c r="K183" s="4"/>
      <c r="L183" s="4"/>
      <c r="M183" s="449"/>
      <c r="N183" s="449"/>
      <c r="O183" s="4"/>
      <c r="P183" s="4"/>
      <c r="Q183" s="449"/>
      <c r="R183" s="449"/>
      <c r="S183" s="445">
        <f t="shared" si="11"/>
        <v>0</v>
      </c>
      <c r="T183" s="445">
        <f t="shared" si="12"/>
        <v>0</v>
      </c>
      <c r="U183" s="445">
        <f t="shared" si="13"/>
        <v>0</v>
      </c>
      <c r="W183" s="450"/>
      <c r="X183" s="448"/>
      <c r="Y183" s="441"/>
      <c r="Z183" s="441"/>
      <c r="AA183" s="441"/>
      <c r="AB183" s="441"/>
      <c r="AC183" s="441"/>
      <c r="AD183" s="441"/>
      <c r="AE183" s="441"/>
      <c r="AF183" s="441"/>
      <c r="AG183" s="441"/>
      <c r="AH183" s="441"/>
      <c r="AI183" s="441"/>
      <c r="AJ183" s="441"/>
      <c r="AK183" s="441"/>
      <c r="AL183" s="441"/>
      <c r="AM183" s="441"/>
      <c r="AN183" s="441"/>
      <c r="AO183" s="441"/>
      <c r="AP183" s="441"/>
      <c r="AQ183" s="441"/>
      <c r="AR183" s="441"/>
    </row>
    <row r="184" spans="1:44" ht="12.75" hidden="1" thickBot="1">
      <c r="A184" s="1" t="s">
        <v>1272</v>
      </c>
      <c r="B184" s="2" t="s">
        <v>358</v>
      </c>
      <c r="C184" s="2" t="s">
        <v>1055</v>
      </c>
      <c r="D184" s="8" t="s">
        <v>459</v>
      </c>
      <c r="E184" s="459"/>
      <c r="F184" s="6"/>
      <c r="G184" s="451"/>
      <c r="H184" s="6"/>
      <c r="I184" s="6"/>
      <c r="J184" s="6"/>
      <c r="K184" s="6"/>
      <c r="L184" s="6"/>
      <c r="M184" s="451"/>
      <c r="N184" s="451"/>
      <c r="O184" s="6"/>
      <c r="P184" s="6"/>
      <c r="Q184" s="451"/>
      <c r="R184" s="451"/>
      <c r="S184" s="445">
        <f t="shared" si="11"/>
        <v>0</v>
      </c>
      <c r="T184" s="445">
        <f t="shared" si="12"/>
        <v>0</v>
      </c>
      <c r="U184" s="445">
        <f t="shared" si="13"/>
        <v>0</v>
      </c>
      <c r="W184" s="450"/>
      <c r="X184" s="448"/>
      <c r="Y184" s="441"/>
      <c r="Z184" s="441"/>
      <c r="AA184" s="441"/>
      <c r="AB184" s="441"/>
      <c r="AC184" s="441"/>
      <c r="AD184" s="441"/>
      <c r="AE184" s="441"/>
      <c r="AF184" s="441"/>
      <c r="AG184" s="441"/>
      <c r="AH184" s="441"/>
      <c r="AI184" s="441"/>
      <c r="AJ184" s="441"/>
      <c r="AK184" s="441"/>
      <c r="AL184" s="441"/>
      <c r="AM184" s="441"/>
      <c r="AN184" s="441"/>
      <c r="AO184" s="441"/>
      <c r="AP184" s="441"/>
      <c r="AQ184" s="441"/>
      <c r="AR184" s="441"/>
    </row>
    <row r="185" spans="1:44" ht="12.75" hidden="1" thickBot="1">
      <c r="A185" s="1" t="s">
        <v>1272</v>
      </c>
      <c r="B185" s="2" t="s">
        <v>250</v>
      </c>
      <c r="C185" s="2" t="s">
        <v>1056</v>
      </c>
      <c r="D185" s="8" t="s">
        <v>459</v>
      </c>
      <c r="E185" s="460"/>
      <c r="F185" s="4"/>
      <c r="G185" s="449"/>
      <c r="H185" s="4"/>
      <c r="I185" s="4"/>
      <c r="J185" s="4"/>
      <c r="K185" s="4"/>
      <c r="L185" s="4"/>
      <c r="M185" s="449"/>
      <c r="N185" s="449"/>
      <c r="O185" s="4"/>
      <c r="P185" s="4"/>
      <c r="Q185" s="449"/>
      <c r="R185" s="449"/>
      <c r="S185" s="445">
        <f t="shared" si="11"/>
        <v>0</v>
      </c>
      <c r="T185" s="445">
        <f t="shared" si="12"/>
        <v>0</v>
      </c>
      <c r="U185" s="445">
        <f t="shared" si="13"/>
        <v>0</v>
      </c>
      <c r="W185" s="450"/>
      <c r="X185" s="448"/>
      <c r="Y185" s="441"/>
      <c r="Z185" s="441"/>
      <c r="AA185" s="441"/>
      <c r="AB185" s="441"/>
      <c r="AC185" s="441"/>
      <c r="AD185" s="441"/>
      <c r="AE185" s="441"/>
      <c r="AF185" s="441"/>
      <c r="AG185" s="441"/>
      <c r="AH185" s="441"/>
      <c r="AI185" s="441"/>
      <c r="AJ185" s="441"/>
      <c r="AK185" s="441"/>
      <c r="AL185" s="441"/>
      <c r="AM185" s="441"/>
      <c r="AN185" s="441"/>
      <c r="AO185" s="441"/>
      <c r="AP185" s="441"/>
      <c r="AQ185" s="441"/>
      <c r="AR185" s="441"/>
    </row>
    <row r="186" spans="1:44" ht="12.75" hidden="1" thickBot="1">
      <c r="A186" s="1" t="s">
        <v>1272</v>
      </c>
      <c r="B186" s="2" t="s">
        <v>251</v>
      </c>
      <c r="C186" s="2" t="s">
        <v>1057</v>
      </c>
      <c r="D186" s="8" t="s">
        <v>459</v>
      </c>
      <c r="E186" s="459"/>
      <c r="F186" s="6"/>
      <c r="G186" s="451"/>
      <c r="H186" s="6"/>
      <c r="I186" s="6"/>
      <c r="J186" s="6"/>
      <c r="K186" s="6"/>
      <c r="L186" s="6"/>
      <c r="M186" s="451"/>
      <c r="N186" s="451"/>
      <c r="O186" s="6"/>
      <c r="P186" s="6"/>
      <c r="Q186" s="451"/>
      <c r="R186" s="451"/>
      <c r="S186" s="445">
        <f t="shared" si="11"/>
        <v>0</v>
      </c>
      <c r="T186" s="445">
        <f t="shared" si="12"/>
        <v>0</v>
      </c>
      <c r="U186" s="445">
        <f t="shared" si="13"/>
        <v>0</v>
      </c>
      <c r="W186" s="450"/>
      <c r="X186" s="448"/>
      <c r="Y186" s="441"/>
      <c r="Z186" s="441"/>
      <c r="AA186" s="441"/>
      <c r="AB186" s="441"/>
      <c r="AC186" s="441"/>
      <c r="AD186" s="441"/>
      <c r="AE186" s="441"/>
      <c r="AF186" s="441"/>
      <c r="AG186" s="441"/>
      <c r="AH186" s="441"/>
      <c r="AI186" s="441"/>
      <c r="AJ186" s="441"/>
      <c r="AK186" s="441"/>
      <c r="AL186" s="441"/>
      <c r="AM186" s="441"/>
      <c r="AN186" s="441"/>
      <c r="AO186" s="441"/>
      <c r="AP186" s="441"/>
      <c r="AQ186" s="441"/>
      <c r="AR186" s="441"/>
    </row>
    <row r="187" spans="1:44" ht="12.75" hidden="1" thickBot="1">
      <c r="A187" s="1" t="s">
        <v>1272</v>
      </c>
      <c r="B187" s="2" t="s">
        <v>254</v>
      </c>
      <c r="C187" s="2" t="s">
        <v>1058</v>
      </c>
      <c r="D187" s="8" t="s">
        <v>459</v>
      </c>
      <c r="E187" s="460"/>
      <c r="F187" s="4"/>
      <c r="G187" s="449"/>
      <c r="H187" s="4"/>
      <c r="I187" s="4"/>
      <c r="J187" s="4"/>
      <c r="K187" s="4"/>
      <c r="L187" s="4"/>
      <c r="M187" s="449"/>
      <c r="N187" s="449"/>
      <c r="O187" s="4"/>
      <c r="P187" s="4"/>
      <c r="Q187" s="449"/>
      <c r="R187" s="449"/>
      <c r="S187" s="445">
        <f t="shared" si="11"/>
        <v>0</v>
      </c>
      <c r="T187" s="445">
        <f t="shared" si="12"/>
        <v>0</v>
      </c>
      <c r="U187" s="445">
        <f t="shared" si="13"/>
        <v>0</v>
      </c>
      <c r="W187" s="450"/>
      <c r="X187" s="448"/>
      <c r="Y187" s="441"/>
      <c r="Z187" s="441"/>
      <c r="AA187" s="441"/>
      <c r="AB187" s="441"/>
      <c r="AC187" s="441"/>
      <c r="AD187" s="441"/>
      <c r="AE187" s="441"/>
      <c r="AF187" s="441"/>
      <c r="AG187" s="441"/>
      <c r="AH187" s="441"/>
      <c r="AI187" s="441"/>
      <c r="AJ187" s="441"/>
      <c r="AK187" s="441"/>
      <c r="AL187" s="441"/>
      <c r="AM187" s="441"/>
      <c r="AN187" s="441"/>
      <c r="AO187" s="441"/>
      <c r="AP187" s="441"/>
      <c r="AQ187" s="441"/>
      <c r="AR187" s="441"/>
    </row>
    <row r="188" spans="1:44" ht="12.75" hidden="1" thickBot="1">
      <c r="A188" s="1" t="s">
        <v>1272</v>
      </c>
      <c r="B188" s="2" t="s">
        <v>260</v>
      </c>
      <c r="C188" s="2" t="s">
        <v>1059</v>
      </c>
      <c r="D188" s="8" t="s">
        <v>459</v>
      </c>
      <c r="E188" s="459"/>
      <c r="F188" s="6"/>
      <c r="G188" s="451"/>
      <c r="H188" s="6"/>
      <c r="I188" s="6"/>
      <c r="J188" s="6"/>
      <c r="K188" s="6"/>
      <c r="L188" s="6"/>
      <c r="M188" s="451"/>
      <c r="N188" s="451"/>
      <c r="O188" s="6"/>
      <c r="P188" s="6"/>
      <c r="Q188" s="451"/>
      <c r="R188" s="451"/>
      <c r="S188" s="445">
        <f t="shared" si="11"/>
        <v>0</v>
      </c>
      <c r="T188" s="445">
        <f t="shared" si="12"/>
        <v>0</v>
      </c>
      <c r="U188" s="445">
        <f t="shared" si="13"/>
        <v>0</v>
      </c>
      <c r="W188" s="450"/>
      <c r="X188" s="448"/>
      <c r="Y188" s="441"/>
      <c r="Z188" s="441"/>
      <c r="AA188" s="441"/>
      <c r="AB188" s="441"/>
      <c r="AC188" s="441"/>
      <c r="AD188" s="441"/>
      <c r="AE188" s="441"/>
      <c r="AF188" s="441"/>
      <c r="AG188" s="441"/>
      <c r="AH188" s="441"/>
      <c r="AI188" s="441"/>
      <c r="AJ188" s="441"/>
      <c r="AK188" s="441"/>
      <c r="AL188" s="441"/>
      <c r="AM188" s="441"/>
      <c r="AN188" s="441"/>
      <c r="AO188" s="441"/>
      <c r="AP188" s="441"/>
      <c r="AQ188" s="441"/>
      <c r="AR188" s="441"/>
    </row>
    <row r="189" spans="1:44" ht="12.75" hidden="1" thickBot="1">
      <c r="A189" s="1" t="s">
        <v>1272</v>
      </c>
      <c r="B189" s="2" t="s">
        <v>262</v>
      </c>
      <c r="C189" s="2" t="s">
        <v>1060</v>
      </c>
      <c r="D189" s="8" t="s">
        <v>459</v>
      </c>
      <c r="E189" s="460"/>
      <c r="F189" s="4"/>
      <c r="G189" s="449"/>
      <c r="H189" s="4"/>
      <c r="I189" s="4"/>
      <c r="J189" s="4"/>
      <c r="K189" s="4"/>
      <c r="L189" s="4"/>
      <c r="M189" s="449"/>
      <c r="N189" s="449"/>
      <c r="O189" s="4"/>
      <c r="P189" s="4"/>
      <c r="Q189" s="449"/>
      <c r="R189" s="449"/>
      <c r="S189" s="445">
        <f t="shared" si="11"/>
        <v>0</v>
      </c>
      <c r="T189" s="445">
        <f t="shared" si="12"/>
        <v>0</v>
      </c>
      <c r="U189" s="445">
        <f t="shared" si="13"/>
        <v>0</v>
      </c>
      <c r="W189" s="450"/>
      <c r="X189" s="448"/>
      <c r="Y189" s="441"/>
      <c r="Z189" s="441"/>
      <c r="AA189" s="441"/>
      <c r="AB189" s="441"/>
      <c r="AC189" s="441"/>
      <c r="AD189" s="441"/>
      <c r="AE189" s="441"/>
      <c r="AF189" s="441"/>
      <c r="AG189" s="441"/>
      <c r="AH189" s="441"/>
      <c r="AI189" s="441"/>
      <c r="AJ189" s="441"/>
      <c r="AK189" s="441"/>
      <c r="AL189" s="441"/>
      <c r="AM189" s="441"/>
      <c r="AN189" s="441"/>
      <c r="AO189" s="441"/>
      <c r="AP189" s="441"/>
      <c r="AQ189" s="441"/>
      <c r="AR189" s="441"/>
    </row>
    <row r="190" spans="1:44" ht="12.75" hidden="1" thickBot="1">
      <c r="A190" s="1" t="s">
        <v>1272</v>
      </c>
      <c r="B190" s="2" t="s">
        <v>340</v>
      </c>
      <c r="C190" s="2" t="s">
        <v>1061</v>
      </c>
      <c r="D190" s="8" t="s">
        <v>567</v>
      </c>
      <c r="E190" s="459"/>
      <c r="F190" s="6"/>
      <c r="G190" s="451"/>
      <c r="H190" s="6"/>
      <c r="I190" s="6"/>
      <c r="J190" s="6"/>
      <c r="K190" s="6"/>
      <c r="L190" s="6"/>
      <c r="M190" s="451"/>
      <c r="N190" s="451"/>
      <c r="O190" s="6"/>
      <c r="P190" s="6"/>
      <c r="Q190" s="6"/>
      <c r="R190" s="451"/>
      <c r="S190" s="445">
        <f t="shared" si="11"/>
        <v>0</v>
      </c>
      <c r="T190" s="445">
        <f t="shared" si="12"/>
        <v>0</v>
      </c>
      <c r="U190" s="445">
        <f t="shared" si="13"/>
        <v>0</v>
      </c>
      <c r="W190" s="450"/>
      <c r="X190" s="448"/>
      <c r="Y190" s="441"/>
      <c r="Z190" s="441"/>
      <c r="AA190" s="441"/>
      <c r="AB190" s="441"/>
      <c r="AC190" s="441"/>
      <c r="AD190" s="441"/>
      <c r="AE190" s="441"/>
      <c r="AF190" s="441"/>
      <c r="AG190" s="441"/>
      <c r="AH190" s="441"/>
      <c r="AI190" s="441"/>
      <c r="AJ190" s="441"/>
      <c r="AK190" s="441"/>
      <c r="AL190" s="441"/>
      <c r="AM190" s="441"/>
      <c r="AN190" s="441"/>
      <c r="AO190" s="441"/>
      <c r="AP190" s="441"/>
      <c r="AQ190" s="441"/>
      <c r="AR190" s="441"/>
    </row>
    <row r="191" spans="1:44" ht="12.75" hidden="1" thickBot="1">
      <c r="A191" s="1" t="s">
        <v>1272</v>
      </c>
      <c r="B191" s="2" t="s">
        <v>692</v>
      </c>
      <c r="C191" s="2" t="s">
        <v>1062</v>
      </c>
      <c r="D191" s="8" t="s">
        <v>567</v>
      </c>
      <c r="E191" s="460"/>
      <c r="F191" s="4"/>
      <c r="G191" s="449"/>
      <c r="H191" s="4"/>
      <c r="I191" s="4"/>
      <c r="J191" s="4"/>
      <c r="K191" s="4"/>
      <c r="L191" s="4"/>
      <c r="M191" s="449"/>
      <c r="N191" s="449"/>
      <c r="O191" s="4"/>
      <c r="P191" s="4"/>
      <c r="Q191" s="4"/>
      <c r="R191" s="449"/>
      <c r="S191" s="445">
        <f t="shared" si="11"/>
        <v>0</v>
      </c>
      <c r="T191" s="445">
        <f t="shared" si="12"/>
        <v>0</v>
      </c>
      <c r="U191" s="445">
        <f t="shared" si="13"/>
        <v>0</v>
      </c>
      <c r="W191" s="450"/>
      <c r="X191" s="448"/>
      <c r="Y191" s="441"/>
      <c r="Z191" s="441"/>
      <c r="AA191" s="441"/>
      <c r="AB191" s="441"/>
      <c r="AC191" s="441"/>
      <c r="AD191" s="441"/>
      <c r="AE191" s="441"/>
      <c r="AF191" s="441"/>
      <c r="AG191" s="441"/>
      <c r="AH191" s="441"/>
      <c r="AI191" s="441"/>
      <c r="AJ191" s="441"/>
      <c r="AK191" s="441"/>
      <c r="AL191" s="441"/>
      <c r="AM191" s="441"/>
      <c r="AN191" s="441"/>
      <c r="AO191" s="441"/>
      <c r="AP191" s="441"/>
      <c r="AQ191" s="441"/>
      <c r="AR191" s="441"/>
    </row>
    <row r="192" spans="1:44" ht="12.75" hidden="1" thickBot="1">
      <c r="A192" s="1" t="s">
        <v>1272</v>
      </c>
      <c r="B192" s="2" t="s">
        <v>292</v>
      </c>
      <c r="C192" s="2" t="s">
        <v>1063</v>
      </c>
      <c r="D192" s="8" t="s">
        <v>567</v>
      </c>
      <c r="E192" s="459"/>
      <c r="F192" s="6"/>
      <c r="G192" s="451"/>
      <c r="H192" s="6"/>
      <c r="I192" s="6"/>
      <c r="J192" s="6"/>
      <c r="K192" s="6"/>
      <c r="L192" s="6"/>
      <c r="M192" s="451"/>
      <c r="N192" s="451"/>
      <c r="O192" s="6"/>
      <c r="P192" s="6"/>
      <c r="Q192" s="451"/>
      <c r="R192" s="451"/>
      <c r="S192" s="445">
        <f t="shared" si="11"/>
        <v>0</v>
      </c>
      <c r="T192" s="445">
        <f t="shared" si="12"/>
        <v>0</v>
      </c>
      <c r="U192" s="445">
        <f t="shared" si="13"/>
        <v>0</v>
      </c>
      <c r="W192" s="450"/>
      <c r="X192" s="448"/>
      <c r="Y192" s="441"/>
      <c r="Z192" s="441"/>
      <c r="AA192" s="441"/>
      <c r="AB192" s="441"/>
      <c r="AC192" s="441"/>
      <c r="AD192" s="441"/>
      <c r="AE192" s="441"/>
      <c r="AF192" s="441"/>
      <c r="AG192" s="441"/>
      <c r="AH192" s="441"/>
      <c r="AI192" s="441"/>
      <c r="AJ192" s="441"/>
      <c r="AK192" s="441"/>
      <c r="AL192" s="441"/>
      <c r="AM192" s="441"/>
      <c r="AN192" s="441"/>
      <c r="AO192" s="441"/>
      <c r="AP192" s="441"/>
      <c r="AQ192" s="441"/>
      <c r="AR192" s="441"/>
    </row>
    <row r="193" spans="1:44" ht="12.75" hidden="1" thickBot="1">
      <c r="A193" s="1" t="s">
        <v>1272</v>
      </c>
      <c r="B193" s="2" t="s">
        <v>293</v>
      </c>
      <c r="C193" s="2" t="s">
        <v>1064</v>
      </c>
      <c r="D193" s="8" t="s">
        <v>567</v>
      </c>
      <c r="E193" s="460"/>
      <c r="F193" s="4"/>
      <c r="G193" s="449"/>
      <c r="H193" s="4"/>
      <c r="I193" s="4"/>
      <c r="J193" s="4"/>
      <c r="K193" s="4"/>
      <c r="L193" s="4"/>
      <c r="M193" s="449"/>
      <c r="N193" s="449"/>
      <c r="O193" s="4"/>
      <c r="P193" s="4"/>
      <c r="Q193" s="449"/>
      <c r="R193" s="449"/>
      <c r="S193" s="445">
        <f t="shared" si="11"/>
        <v>0</v>
      </c>
      <c r="T193" s="445">
        <f t="shared" si="12"/>
        <v>0</v>
      </c>
      <c r="U193" s="445">
        <f t="shared" si="13"/>
        <v>0</v>
      </c>
      <c r="W193" s="450"/>
      <c r="X193" s="448"/>
      <c r="Y193" s="441"/>
      <c r="Z193" s="441"/>
      <c r="AA193" s="441"/>
      <c r="AB193" s="441"/>
      <c r="AC193" s="441"/>
      <c r="AD193" s="441"/>
      <c r="AE193" s="441"/>
      <c r="AF193" s="441"/>
      <c r="AG193" s="441"/>
      <c r="AH193" s="441"/>
      <c r="AI193" s="441"/>
      <c r="AJ193" s="441"/>
      <c r="AK193" s="441"/>
      <c r="AL193" s="441"/>
      <c r="AM193" s="441"/>
      <c r="AN193" s="441"/>
      <c r="AO193" s="441"/>
      <c r="AP193" s="441"/>
      <c r="AQ193" s="441"/>
      <c r="AR193" s="441"/>
    </row>
    <row r="194" spans="1:44" ht="12.75" hidden="1" thickBot="1">
      <c r="A194" s="1" t="s">
        <v>1272</v>
      </c>
      <c r="B194" s="2" t="s">
        <v>295</v>
      </c>
      <c r="C194" s="2" t="s">
        <v>1065</v>
      </c>
      <c r="D194" s="8" t="s">
        <v>567</v>
      </c>
      <c r="E194" s="459"/>
      <c r="F194" s="6"/>
      <c r="G194" s="451"/>
      <c r="H194" s="6"/>
      <c r="I194" s="6"/>
      <c r="J194" s="6"/>
      <c r="K194" s="6"/>
      <c r="L194" s="6"/>
      <c r="M194" s="451"/>
      <c r="N194" s="451"/>
      <c r="O194" s="6"/>
      <c r="P194" s="6"/>
      <c r="Q194" s="451"/>
      <c r="R194" s="451"/>
      <c r="S194" s="445">
        <f t="shared" si="11"/>
        <v>0</v>
      </c>
      <c r="T194" s="445">
        <f t="shared" si="12"/>
        <v>0</v>
      </c>
      <c r="U194" s="445">
        <f t="shared" si="13"/>
        <v>0</v>
      </c>
      <c r="W194" s="450"/>
      <c r="X194" s="448"/>
      <c r="Y194" s="441"/>
      <c r="Z194" s="441"/>
      <c r="AA194" s="441"/>
      <c r="AB194" s="441"/>
      <c r="AC194" s="441"/>
      <c r="AD194" s="441"/>
      <c r="AE194" s="441"/>
      <c r="AF194" s="441"/>
      <c r="AG194" s="441"/>
      <c r="AH194" s="441"/>
      <c r="AI194" s="441"/>
      <c r="AJ194" s="441"/>
      <c r="AK194" s="441"/>
      <c r="AL194" s="441"/>
      <c r="AM194" s="441"/>
      <c r="AN194" s="441"/>
      <c r="AO194" s="441"/>
      <c r="AP194" s="441"/>
      <c r="AQ194" s="441"/>
      <c r="AR194" s="441"/>
    </row>
    <row r="195" spans="1:44" ht="12.75" hidden="1" thickBot="1">
      <c r="A195" s="1" t="s">
        <v>1272</v>
      </c>
      <c r="B195" s="2" t="s">
        <v>296</v>
      </c>
      <c r="C195" s="2" t="s">
        <v>1066</v>
      </c>
      <c r="D195" s="8" t="s">
        <v>567</v>
      </c>
      <c r="E195" s="460"/>
      <c r="F195" s="4"/>
      <c r="G195" s="449"/>
      <c r="H195" s="4"/>
      <c r="I195" s="4"/>
      <c r="J195" s="4"/>
      <c r="K195" s="4"/>
      <c r="L195" s="4"/>
      <c r="M195" s="449"/>
      <c r="N195" s="449"/>
      <c r="O195" s="4"/>
      <c r="P195" s="4"/>
      <c r="Q195" s="449"/>
      <c r="R195" s="449"/>
      <c r="S195" s="445">
        <f t="shared" si="11"/>
        <v>0</v>
      </c>
      <c r="T195" s="445">
        <f t="shared" si="12"/>
        <v>0</v>
      </c>
      <c r="U195" s="445">
        <f t="shared" si="13"/>
        <v>0</v>
      </c>
      <c r="W195" s="450"/>
      <c r="X195" s="448"/>
      <c r="Y195" s="441"/>
      <c r="Z195" s="441"/>
      <c r="AA195" s="441"/>
      <c r="AB195" s="441"/>
      <c r="AC195" s="441"/>
      <c r="AD195" s="441"/>
      <c r="AE195" s="441"/>
      <c r="AF195" s="441"/>
      <c r="AG195" s="441"/>
      <c r="AH195" s="441"/>
      <c r="AI195" s="441"/>
      <c r="AJ195" s="441"/>
      <c r="AK195" s="441"/>
      <c r="AL195" s="441"/>
      <c r="AM195" s="441"/>
      <c r="AN195" s="441"/>
      <c r="AO195" s="441"/>
      <c r="AP195" s="441"/>
      <c r="AQ195" s="441"/>
      <c r="AR195" s="441"/>
    </row>
    <row r="196" spans="1:44" ht="12.75" hidden="1" thickBot="1">
      <c r="A196" s="1" t="s">
        <v>1272</v>
      </c>
      <c r="B196" s="2" t="s">
        <v>297</v>
      </c>
      <c r="C196" s="2" t="s">
        <v>1067</v>
      </c>
      <c r="D196" s="8" t="s">
        <v>459</v>
      </c>
      <c r="E196" s="459"/>
      <c r="F196" s="6"/>
      <c r="G196" s="451"/>
      <c r="H196" s="6"/>
      <c r="I196" s="6"/>
      <c r="J196" s="6"/>
      <c r="K196" s="6"/>
      <c r="L196" s="6"/>
      <c r="M196" s="451"/>
      <c r="N196" s="451"/>
      <c r="O196" s="6"/>
      <c r="P196" s="6"/>
      <c r="Q196" s="451"/>
      <c r="R196" s="451"/>
      <c r="S196" s="445">
        <f t="shared" si="11"/>
        <v>0</v>
      </c>
      <c r="T196" s="445">
        <f t="shared" si="12"/>
        <v>0</v>
      </c>
      <c r="U196" s="445">
        <f t="shared" si="13"/>
        <v>0</v>
      </c>
      <c r="W196" s="450"/>
      <c r="X196" s="448"/>
      <c r="Y196" s="441"/>
      <c r="Z196" s="441"/>
      <c r="AA196" s="441"/>
      <c r="AB196" s="441"/>
      <c r="AC196" s="441"/>
      <c r="AD196" s="441"/>
      <c r="AE196" s="441"/>
      <c r="AF196" s="441"/>
      <c r="AG196" s="441"/>
      <c r="AH196" s="441"/>
      <c r="AI196" s="441"/>
      <c r="AJ196" s="441"/>
      <c r="AK196" s="441"/>
      <c r="AL196" s="441"/>
      <c r="AM196" s="441"/>
      <c r="AN196" s="441"/>
      <c r="AO196" s="441"/>
      <c r="AP196" s="441"/>
      <c r="AQ196" s="441"/>
      <c r="AR196" s="441"/>
    </row>
    <row r="197" spans="1:44" ht="12.75" hidden="1" thickBot="1">
      <c r="A197" s="1" t="s">
        <v>1272</v>
      </c>
      <c r="B197" s="2" t="s">
        <v>299</v>
      </c>
      <c r="C197" s="2" t="s">
        <v>1068</v>
      </c>
      <c r="D197" s="8" t="s">
        <v>459</v>
      </c>
      <c r="E197" s="460"/>
      <c r="F197" s="4"/>
      <c r="G197" s="449"/>
      <c r="H197" s="4"/>
      <c r="I197" s="4"/>
      <c r="J197" s="4"/>
      <c r="K197" s="4"/>
      <c r="L197" s="4"/>
      <c r="M197" s="449"/>
      <c r="N197" s="449"/>
      <c r="O197" s="4"/>
      <c r="P197" s="4"/>
      <c r="Q197" s="449"/>
      <c r="R197" s="449"/>
      <c r="S197" s="445">
        <f t="shared" ref="S197:S236" si="16">G197+H197+I197</f>
        <v>0</v>
      </c>
      <c r="T197" s="445">
        <f t="shared" ref="T197:T236" si="17">J197+K197</f>
        <v>0</v>
      </c>
      <c r="U197" s="445">
        <f t="shared" ref="U197:U236" si="18">N197+O197</f>
        <v>0</v>
      </c>
      <c r="W197" s="450"/>
      <c r="X197" s="448"/>
      <c r="Y197" s="441"/>
      <c r="Z197" s="441"/>
      <c r="AA197" s="441"/>
      <c r="AB197" s="441"/>
      <c r="AC197" s="441"/>
      <c r="AD197" s="441"/>
      <c r="AE197" s="441"/>
      <c r="AF197" s="441"/>
      <c r="AG197" s="441"/>
      <c r="AH197" s="441"/>
      <c r="AI197" s="441"/>
      <c r="AJ197" s="441"/>
      <c r="AK197" s="441"/>
      <c r="AL197" s="441"/>
      <c r="AM197" s="441"/>
      <c r="AN197" s="441"/>
      <c r="AO197" s="441"/>
      <c r="AP197" s="441"/>
      <c r="AQ197" s="441"/>
      <c r="AR197" s="441"/>
    </row>
    <row r="198" spans="1:44" ht="12.75" hidden="1" thickBot="1">
      <c r="A198" s="1" t="s">
        <v>1272</v>
      </c>
      <c r="B198" s="2" t="s">
        <v>300</v>
      </c>
      <c r="C198" s="2" t="s">
        <v>1069</v>
      </c>
      <c r="D198" s="8" t="s">
        <v>567</v>
      </c>
      <c r="E198" s="459"/>
      <c r="F198" s="6"/>
      <c r="G198" s="451"/>
      <c r="H198" s="6"/>
      <c r="I198" s="6"/>
      <c r="J198" s="6"/>
      <c r="K198" s="6"/>
      <c r="L198" s="6"/>
      <c r="M198" s="451"/>
      <c r="N198" s="451"/>
      <c r="O198" s="6"/>
      <c r="P198" s="6"/>
      <c r="Q198" s="451"/>
      <c r="R198" s="451"/>
      <c r="S198" s="445">
        <f t="shared" si="16"/>
        <v>0</v>
      </c>
      <c r="T198" s="445">
        <f t="shared" si="17"/>
        <v>0</v>
      </c>
      <c r="U198" s="445">
        <f t="shared" si="18"/>
        <v>0</v>
      </c>
      <c r="W198" s="450"/>
      <c r="X198" s="448"/>
      <c r="Y198" s="441"/>
      <c r="Z198" s="441"/>
      <c r="AA198" s="441"/>
      <c r="AB198" s="441"/>
      <c r="AC198" s="441"/>
      <c r="AD198" s="441"/>
      <c r="AE198" s="441"/>
      <c r="AF198" s="441"/>
      <c r="AG198" s="441"/>
      <c r="AH198" s="441"/>
      <c r="AI198" s="441"/>
      <c r="AJ198" s="441"/>
      <c r="AK198" s="441"/>
      <c r="AL198" s="441"/>
      <c r="AM198" s="441"/>
      <c r="AN198" s="441"/>
      <c r="AO198" s="441"/>
      <c r="AP198" s="441"/>
      <c r="AQ198" s="441"/>
      <c r="AR198" s="441"/>
    </row>
    <row r="199" spans="1:44" ht="12.75" hidden="1" thickBot="1">
      <c r="A199" s="1" t="s">
        <v>1272</v>
      </c>
      <c r="B199" s="2" t="s">
        <v>301</v>
      </c>
      <c r="C199" s="2" t="s">
        <v>1070</v>
      </c>
      <c r="D199" s="8" t="s">
        <v>567</v>
      </c>
      <c r="E199" s="460"/>
      <c r="F199" s="4"/>
      <c r="G199" s="449"/>
      <c r="H199" s="4"/>
      <c r="I199" s="4"/>
      <c r="J199" s="4"/>
      <c r="K199" s="4"/>
      <c r="L199" s="4"/>
      <c r="M199" s="449"/>
      <c r="N199" s="449"/>
      <c r="O199" s="4"/>
      <c r="P199" s="4"/>
      <c r="Q199" s="449"/>
      <c r="R199" s="449"/>
      <c r="S199" s="445">
        <f t="shared" si="16"/>
        <v>0</v>
      </c>
      <c r="T199" s="445">
        <f t="shared" si="17"/>
        <v>0</v>
      </c>
      <c r="U199" s="445">
        <f t="shared" si="18"/>
        <v>0</v>
      </c>
      <c r="W199" s="450"/>
      <c r="X199" s="448"/>
      <c r="Y199" s="441"/>
      <c r="Z199" s="441"/>
      <c r="AA199" s="441"/>
      <c r="AB199" s="441"/>
      <c r="AC199" s="441"/>
      <c r="AD199" s="441"/>
      <c r="AE199" s="441"/>
      <c r="AF199" s="441"/>
      <c r="AG199" s="441"/>
      <c r="AH199" s="441"/>
      <c r="AI199" s="441"/>
      <c r="AJ199" s="441"/>
      <c r="AK199" s="441"/>
      <c r="AL199" s="441"/>
      <c r="AM199" s="441"/>
      <c r="AN199" s="441"/>
      <c r="AO199" s="441"/>
      <c r="AP199" s="441"/>
      <c r="AQ199" s="441"/>
      <c r="AR199" s="441"/>
    </row>
    <row r="200" spans="1:44" ht="12.75" hidden="1" thickBot="1">
      <c r="A200" s="1" t="s">
        <v>1272</v>
      </c>
      <c r="B200" s="2" t="s">
        <v>302</v>
      </c>
      <c r="C200" s="2" t="s">
        <v>1071</v>
      </c>
      <c r="D200" s="8" t="s">
        <v>567</v>
      </c>
      <c r="E200" s="459"/>
      <c r="F200" s="6"/>
      <c r="G200" s="451"/>
      <c r="H200" s="6"/>
      <c r="I200" s="6"/>
      <c r="J200" s="6"/>
      <c r="K200" s="6"/>
      <c r="L200" s="6"/>
      <c r="M200" s="451"/>
      <c r="N200" s="451"/>
      <c r="O200" s="6"/>
      <c r="P200" s="6"/>
      <c r="Q200" s="451"/>
      <c r="R200" s="451"/>
      <c r="S200" s="445">
        <f t="shared" si="16"/>
        <v>0</v>
      </c>
      <c r="T200" s="445">
        <f t="shared" si="17"/>
        <v>0</v>
      </c>
      <c r="U200" s="445">
        <f t="shared" si="18"/>
        <v>0</v>
      </c>
      <c r="W200" s="450"/>
      <c r="X200" s="448"/>
      <c r="Y200" s="441"/>
      <c r="Z200" s="441"/>
      <c r="AA200" s="441"/>
      <c r="AB200" s="441"/>
      <c r="AC200" s="441"/>
      <c r="AD200" s="441"/>
      <c r="AE200" s="441"/>
      <c r="AF200" s="441"/>
      <c r="AG200" s="441"/>
      <c r="AH200" s="441"/>
      <c r="AI200" s="441"/>
      <c r="AJ200" s="441"/>
      <c r="AK200" s="441"/>
      <c r="AL200" s="441"/>
      <c r="AM200" s="441"/>
      <c r="AN200" s="441"/>
      <c r="AO200" s="441"/>
      <c r="AP200" s="441"/>
      <c r="AQ200" s="441"/>
      <c r="AR200" s="441"/>
    </row>
    <row r="201" spans="1:44" ht="12.75" hidden="1" thickBot="1">
      <c r="A201" s="1" t="s">
        <v>1272</v>
      </c>
      <c r="B201" s="2" t="s">
        <v>303</v>
      </c>
      <c r="C201" s="2" t="s">
        <v>1072</v>
      </c>
      <c r="D201" s="8" t="s">
        <v>567</v>
      </c>
      <c r="E201" s="460"/>
      <c r="F201" s="4"/>
      <c r="G201" s="449"/>
      <c r="H201" s="4"/>
      <c r="I201" s="4"/>
      <c r="J201" s="4"/>
      <c r="K201" s="4"/>
      <c r="L201" s="4"/>
      <c r="M201" s="449"/>
      <c r="N201" s="449"/>
      <c r="O201" s="4"/>
      <c r="P201" s="4"/>
      <c r="Q201" s="449"/>
      <c r="R201" s="449"/>
      <c r="S201" s="445">
        <f t="shared" si="16"/>
        <v>0</v>
      </c>
      <c r="T201" s="445">
        <f t="shared" si="17"/>
        <v>0</v>
      </c>
      <c r="U201" s="445">
        <f t="shared" si="18"/>
        <v>0</v>
      </c>
      <c r="W201" s="450"/>
      <c r="X201" s="448"/>
      <c r="Y201" s="441"/>
      <c r="Z201" s="441"/>
      <c r="AA201" s="441"/>
      <c r="AB201" s="441"/>
      <c r="AC201" s="441"/>
      <c r="AD201" s="441"/>
      <c r="AE201" s="441"/>
      <c r="AF201" s="441"/>
      <c r="AG201" s="441"/>
      <c r="AH201" s="441"/>
      <c r="AI201" s="441"/>
      <c r="AJ201" s="441"/>
      <c r="AK201" s="441"/>
      <c r="AL201" s="441"/>
      <c r="AM201" s="441"/>
      <c r="AN201" s="441"/>
      <c r="AO201" s="441"/>
      <c r="AP201" s="441"/>
      <c r="AQ201" s="441"/>
      <c r="AR201" s="441"/>
    </row>
    <row r="202" spans="1:44" ht="12.75" hidden="1" thickBot="1">
      <c r="A202" s="1" t="s">
        <v>1272</v>
      </c>
      <c r="B202" s="2" t="s">
        <v>304</v>
      </c>
      <c r="C202" s="2" t="s">
        <v>1073</v>
      </c>
      <c r="D202" s="8" t="s">
        <v>567</v>
      </c>
      <c r="E202" s="459"/>
      <c r="F202" s="6"/>
      <c r="G202" s="451"/>
      <c r="H202" s="6"/>
      <c r="I202" s="6"/>
      <c r="J202" s="6"/>
      <c r="K202" s="6"/>
      <c r="L202" s="6"/>
      <c r="M202" s="451"/>
      <c r="N202" s="451"/>
      <c r="O202" s="6"/>
      <c r="P202" s="6"/>
      <c r="Q202" s="451"/>
      <c r="R202" s="451"/>
      <c r="S202" s="445">
        <f t="shared" si="16"/>
        <v>0</v>
      </c>
      <c r="T202" s="445">
        <f t="shared" si="17"/>
        <v>0</v>
      </c>
      <c r="U202" s="445">
        <f t="shared" si="18"/>
        <v>0</v>
      </c>
      <c r="W202" s="450"/>
      <c r="X202" s="448"/>
      <c r="Y202" s="441"/>
      <c r="Z202" s="441"/>
      <c r="AA202" s="441"/>
      <c r="AB202" s="441"/>
      <c r="AC202" s="441"/>
      <c r="AD202" s="441"/>
      <c r="AE202" s="441"/>
      <c r="AF202" s="441"/>
      <c r="AG202" s="441"/>
      <c r="AH202" s="441"/>
      <c r="AI202" s="441"/>
      <c r="AJ202" s="441"/>
      <c r="AK202" s="441"/>
      <c r="AL202" s="441"/>
      <c r="AM202" s="441"/>
      <c r="AN202" s="441"/>
      <c r="AO202" s="441"/>
      <c r="AP202" s="441"/>
      <c r="AQ202" s="441"/>
      <c r="AR202" s="441"/>
    </row>
    <row r="203" spans="1:44" ht="12.75" hidden="1" thickBot="1">
      <c r="A203" s="1" t="s">
        <v>1272</v>
      </c>
      <c r="B203" s="2" t="s">
        <v>305</v>
      </c>
      <c r="C203" s="2" t="s">
        <v>1074</v>
      </c>
      <c r="D203" s="8" t="s">
        <v>567</v>
      </c>
      <c r="E203" s="460"/>
      <c r="F203" s="4"/>
      <c r="G203" s="449"/>
      <c r="H203" s="4"/>
      <c r="I203" s="4"/>
      <c r="J203" s="4"/>
      <c r="K203" s="4"/>
      <c r="L203" s="4"/>
      <c r="M203" s="449"/>
      <c r="N203" s="449"/>
      <c r="O203" s="4"/>
      <c r="P203" s="4"/>
      <c r="Q203" s="449"/>
      <c r="R203" s="449"/>
      <c r="S203" s="445">
        <f t="shared" si="16"/>
        <v>0</v>
      </c>
      <c r="T203" s="445">
        <f t="shared" si="17"/>
        <v>0</v>
      </c>
      <c r="U203" s="445">
        <f t="shared" si="18"/>
        <v>0</v>
      </c>
      <c r="W203" s="450"/>
      <c r="X203" s="448"/>
      <c r="Y203" s="441"/>
      <c r="Z203" s="441"/>
      <c r="AA203" s="441"/>
      <c r="AB203" s="441"/>
      <c r="AC203" s="441"/>
      <c r="AD203" s="441"/>
      <c r="AE203" s="441"/>
      <c r="AF203" s="441"/>
      <c r="AG203" s="441"/>
      <c r="AH203" s="441"/>
      <c r="AI203" s="441"/>
      <c r="AJ203" s="441"/>
      <c r="AK203" s="441"/>
      <c r="AL203" s="441"/>
      <c r="AM203" s="441"/>
      <c r="AN203" s="441"/>
      <c r="AO203" s="441"/>
      <c r="AP203" s="441"/>
      <c r="AQ203" s="441"/>
      <c r="AR203" s="441"/>
    </row>
    <row r="204" spans="1:44" ht="12.75" hidden="1" thickBot="1">
      <c r="A204" s="1" t="s">
        <v>1272</v>
      </c>
      <c r="B204" s="2" t="s">
        <v>306</v>
      </c>
      <c r="C204" s="2" t="s">
        <v>1075</v>
      </c>
      <c r="D204" s="453" t="s">
        <v>459</v>
      </c>
      <c r="E204" s="459"/>
      <c r="F204" s="6"/>
      <c r="G204" s="451"/>
      <c r="H204" s="6"/>
      <c r="I204" s="6"/>
      <c r="J204" s="6"/>
      <c r="K204" s="6"/>
      <c r="L204" s="6"/>
      <c r="M204" s="451"/>
      <c r="N204" s="451"/>
      <c r="O204" s="6"/>
      <c r="P204" s="6"/>
      <c r="Q204" s="451"/>
      <c r="R204" s="451"/>
      <c r="S204" s="445">
        <f t="shared" si="16"/>
        <v>0</v>
      </c>
      <c r="T204" s="445">
        <f t="shared" si="17"/>
        <v>0</v>
      </c>
      <c r="U204" s="445">
        <f t="shared" si="18"/>
        <v>0</v>
      </c>
      <c r="W204" s="450"/>
      <c r="X204" s="448"/>
      <c r="Y204" s="441"/>
      <c r="Z204" s="441"/>
      <c r="AA204" s="441"/>
      <c r="AB204" s="441"/>
      <c r="AC204" s="441"/>
      <c r="AD204" s="441"/>
      <c r="AE204" s="441"/>
      <c r="AF204" s="441"/>
      <c r="AG204" s="441"/>
      <c r="AH204" s="441"/>
      <c r="AI204" s="441"/>
      <c r="AJ204" s="441"/>
      <c r="AK204" s="441"/>
      <c r="AL204" s="441"/>
      <c r="AM204" s="441"/>
      <c r="AN204" s="441"/>
      <c r="AO204" s="441"/>
      <c r="AP204" s="441"/>
      <c r="AQ204" s="441"/>
      <c r="AR204" s="441"/>
    </row>
    <row r="205" spans="1:44" ht="12.75" hidden="1" thickBot="1">
      <c r="A205" s="1" t="s">
        <v>1272</v>
      </c>
      <c r="B205" s="2" t="s">
        <v>307</v>
      </c>
      <c r="C205" s="2" t="s">
        <v>1076</v>
      </c>
      <c r="D205" s="8" t="s">
        <v>567</v>
      </c>
      <c r="E205" s="460"/>
      <c r="F205" s="4"/>
      <c r="G205" s="449"/>
      <c r="H205" s="4"/>
      <c r="I205" s="4"/>
      <c r="J205" s="4"/>
      <c r="K205" s="4"/>
      <c r="L205" s="4"/>
      <c r="M205" s="449"/>
      <c r="N205" s="449"/>
      <c r="O205" s="4"/>
      <c r="P205" s="4"/>
      <c r="Q205" s="449"/>
      <c r="R205" s="449"/>
      <c r="S205" s="445">
        <f t="shared" si="16"/>
        <v>0</v>
      </c>
      <c r="T205" s="445">
        <f t="shared" si="17"/>
        <v>0</v>
      </c>
      <c r="U205" s="445">
        <f t="shared" si="18"/>
        <v>0</v>
      </c>
      <c r="W205" s="450"/>
      <c r="X205" s="448"/>
      <c r="Y205" s="441"/>
      <c r="Z205" s="441"/>
      <c r="AA205" s="441"/>
      <c r="AB205" s="441"/>
      <c r="AC205" s="441"/>
      <c r="AD205" s="441"/>
      <c r="AE205" s="441"/>
      <c r="AF205" s="441"/>
      <c r="AG205" s="441"/>
      <c r="AH205" s="441"/>
      <c r="AI205" s="441"/>
      <c r="AJ205" s="441"/>
      <c r="AK205" s="441"/>
      <c r="AL205" s="441"/>
      <c r="AM205" s="441"/>
      <c r="AN205" s="441"/>
      <c r="AO205" s="441"/>
      <c r="AP205" s="441"/>
      <c r="AQ205" s="441"/>
      <c r="AR205" s="441"/>
    </row>
    <row r="206" spans="1:44" ht="12.75" hidden="1" thickBot="1">
      <c r="A206" s="1" t="s">
        <v>1272</v>
      </c>
      <c r="B206" s="2" t="s">
        <v>308</v>
      </c>
      <c r="C206" s="2" t="s">
        <v>1077</v>
      </c>
      <c r="D206" s="453" t="s">
        <v>459</v>
      </c>
      <c r="E206" s="459"/>
      <c r="F206" s="6"/>
      <c r="G206" s="451"/>
      <c r="H206" s="6"/>
      <c r="I206" s="6"/>
      <c r="J206" s="6"/>
      <c r="K206" s="6"/>
      <c r="L206" s="6"/>
      <c r="M206" s="451"/>
      <c r="N206" s="451"/>
      <c r="O206" s="6"/>
      <c r="P206" s="6"/>
      <c r="Q206" s="451"/>
      <c r="R206" s="451"/>
      <c r="S206" s="445">
        <f t="shared" si="16"/>
        <v>0</v>
      </c>
      <c r="T206" s="445">
        <f t="shared" si="17"/>
        <v>0</v>
      </c>
      <c r="U206" s="445">
        <f t="shared" si="18"/>
        <v>0</v>
      </c>
      <c r="W206" s="450"/>
      <c r="X206" s="448"/>
      <c r="Y206" s="441"/>
      <c r="Z206" s="441"/>
      <c r="AA206" s="441"/>
      <c r="AB206" s="441"/>
      <c r="AC206" s="441"/>
      <c r="AD206" s="441"/>
      <c r="AE206" s="441"/>
      <c r="AF206" s="441"/>
      <c r="AG206" s="441"/>
      <c r="AH206" s="441"/>
      <c r="AI206" s="441"/>
      <c r="AJ206" s="441"/>
      <c r="AK206" s="441"/>
      <c r="AL206" s="441"/>
      <c r="AM206" s="441"/>
      <c r="AN206" s="441"/>
      <c r="AO206" s="441"/>
      <c r="AP206" s="441"/>
      <c r="AQ206" s="441"/>
      <c r="AR206" s="441"/>
    </row>
    <row r="207" spans="1:44" ht="12.75" hidden="1" thickBot="1">
      <c r="A207" s="1" t="s">
        <v>1272</v>
      </c>
      <c r="B207" s="2" t="s">
        <v>309</v>
      </c>
      <c r="C207" s="2" t="s">
        <v>1078</v>
      </c>
      <c r="D207" s="8" t="s">
        <v>567</v>
      </c>
      <c r="E207" s="460"/>
      <c r="F207" s="4"/>
      <c r="G207" s="449"/>
      <c r="H207" s="4"/>
      <c r="I207" s="4"/>
      <c r="J207" s="4"/>
      <c r="K207" s="4"/>
      <c r="L207" s="4"/>
      <c r="M207" s="449"/>
      <c r="N207" s="449"/>
      <c r="O207" s="4"/>
      <c r="P207" s="4"/>
      <c r="Q207" s="449"/>
      <c r="R207" s="449"/>
      <c r="S207" s="445">
        <f t="shared" si="16"/>
        <v>0</v>
      </c>
      <c r="T207" s="445">
        <f t="shared" si="17"/>
        <v>0</v>
      </c>
      <c r="U207" s="445">
        <f t="shared" si="18"/>
        <v>0</v>
      </c>
      <c r="W207" s="450"/>
      <c r="X207" s="448"/>
      <c r="Y207" s="441"/>
      <c r="Z207" s="441"/>
      <c r="AA207" s="441"/>
      <c r="AB207" s="441"/>
      <c r="AC207" s="441"/>
      <c r="AD207" s="441"/>
      <c r="AE207" s="441"/>
      <c r="AF207" s="441"/>
      <c r="AG207" s="441"/>
      <c r="AH207" s="441"/>
      <c r="AI207" s="441"/>
      <c r="AJ207" s="441"/>
      <c r="AK207" s="441"/>
      <c r="AL207" s="441"/>
      <c r="AM207" s="441"/>
      <c r="AN207" s="441"/>
      <c r="AO207" s="441"/>
      <c r="AP207" s="441"/>
      <c r="AQ207" s="441"/>
      <c r="AR207" s="441"/>
    </row>
    <row r="208" spans="1:44" ht="12.75" hidden="1" thickBot="1">
      <c r="A208" s="1" t="s">
        <v>1272</v>
      </c>
      <c r="B208" s="2" t="s">
        <v>310</v>
      </c>
      <c r="C208" s="2" t="s">
        <v>1079</v>
      </c>
      <c r="D208" s="453" t="s">
        <v>459</v>
      </c>
      <c r="E208" s="459"/>
      <c r="F208" s="6"/>
      <c r="G208" s="451"/>
      <c r="H208" s="6"/>
      <c r="I208" s="6"/>
      <c r="J208" s="6"/>
      <c r="K208" s="6"/>
      <c r="L208" s="6"/>
      <c r="M208" s="451"/>
      <c r="N208" s="451"/>
      <c r="O208" s="6"/>
      <c r="P208" s="6"/>
      <c r="Q208" s="451"/>
      <c r="R208" s="451"/>
      <c r="S208" s="445">
        <f t="shared" si="16"/>
        <v>0</v>
      </c>
      <c r="T208" s="445">
        <f t="shared" si="17"/>
        <v>0</v>
      </c>
      <c r="U208" s="445">
        <f t="shared" si="18"/>
        <v>0</v>
      </c>
      <c r="W208" s="450"/>
      <c r="X208" s="448"/>
      <c r="Y208" s="441"/>
      <c r="Z208" s="441"/>
      <c r="AA208" s="441"/>
      <c r="AB208" s="441"/>
      <c r="AC208" s="441"/>
      <c r="AD208" s="441"/>
      <c r="AE208" s="441"/>
      <c r="AF208" s="441"/>
      <c r="AG208" s="441"/>
      <c r="AH208" s="441"/>
      <c r="AI208" s="441"/>
      <c r="AJ208" s="441"/>
      <c r="AK208" s="441"/>
      <c r="AL208" s="441"/>
      <c r="AM208" s="441"/>
      <c r="AN208" s="441"/>
      <c r="AO208" s="441"/>
      <c r="AP208" s="441"/>
      <c r="AQ208" s="441"/>
      <c r="AR208" s="441"/>
    </row>
    <row r="209" spans="1:44" ht="12.75" hidden="1" thickBot="1">
      <c r="A209" s="1" t="s">
        <v>1272</v>
      </c>
      <c r="B209" s="2" t="s">
        <v>311</v>
      </c>
      <c r="C209" s="2" t="s">
        <v>1080</v>
      </c>
      <c r="D209" s="8" t="s">
        <v>567</v>
      </c>
      <c r="E209" s="460"/>
      <c r="F209" s="4"/>
      <c r="G209" s="449"/>
      <c r="H209" s="4"/>
      <c r="I209" s="4"/>
      <c r="J209" s="4"/>
      <c r="K209" s="4"/>
      <c r="L209" s="4"/>
      <c r="M209" s="449"/>
      <c r="N209" s="449"/>
      <c r="O209" s="4"/>
      <c r="P209" s="4"/>
      <c r="Q209" s="449"/>
      <c r="R209" s="449"/>
      <c r="S209" s="445">
        <f t="shared" si="16"/>
        <v>0</v>
      </c>
      <c r="T209" s="445">
        <f t="shared" si="17"/>
        <v>0</v>
      </c>
      <c r="U209" s="445">
        <f t="shared" si="18"/>
        <v>0</v>
      </c>
      <c r="W209" s="450"/>
      <c r="X209" s="448"/>
      <c r="Y209" s="441"/>
      <c r="Z209" s="441"/>
      <c r="AA209" s="441"/>
      <c r="AB209" s="441"/>
      <c r="AC209" s="441"/>
      <c r="AD209" s="441"/>
      <c r="AE209" s="441"/>
      <c r="AF209" s="441"/>
      <c r="AG209" s="441"/>
      <c r="AH209" s="441"/>
      <c r="AI209" s="441"/>
      <c r="AJ209" s="441"/>
      <c r="AK209" s="441"/>
      <c r="AL209" s="441"/>
      <c r="AM209" s="441"/>
      <c r="AN209" s="441"/>
      <c r="AO209" s="441"/>
      <c r="AP209" s="441"/>
      <c r="AQ209" s="441"/>
      <c r="AR209" s="441"/>
    </row>
    <row r="210" spans="1:44" ht="12.75" hidden="1" thickBot="1">
      <c r="A210" s="1" t="s">
        <v>1272</v>
      </c>
      <c r="B210" s="2" t="s">
        <v>339</v>
      </c>
      <c r="C210" s="2" t="s">
        <v>1081</v>
      </c>
      <c r="D210" s="453" t="s">
        <v>459</v>
      </c>
      <c r="E210" s="459"/>
      <c r="F210" s="6"/>
      <c r="G210" s="451"/>
      <c r="H210" s="6"/>
      <c r="I210" s="6"/>
      <c r="J210" s="6"/>
      <c r="K210" s="6"/>
      <c r="L210" s="6"/>
      <c r="M210" s="451"/>
      <c r="N210" s="451"/>
      <c r="O210" s="6"/>
      <c r="P210" s="6"/>
      <c r="Q210" s="451"/>
      <c r="R210" s="451"/>
      <c r="S210" s="445">
        <f t="shared" si="16"/>
        <v>0</v>
      </c>
      <c r="T210" s="445">
        <f t="shared" si="17"/>
        <v>0</v>
      </c>
      <c r="U210" s="445">
        <f t="shared" si="18"/>
        <v>0</v>
      </c>
      <c r="W210" s="450"/>
      <c r="X210" s="448"/>
      <c r="Y210" s="441"/>
      <c r="Z210" s="441"/>
      <c r="AA210" s="441"/>
      <c r="AB210" s="441"/>
      <c r="AC210" s="441"/>
      <c r="AD210" s="441"/>
      <c r="AE210" s="441"/>
      <c r="AF210" s="441"/>
      <c r="AG210" s="441"/>
      <c r="AH210" s="441"/>
      <c r="AI210" s="441"/>
      <c r="AJ210" s="441"/>
      <c r="AK210" s="441"/>
      <c r="AL210" s="441"/>
      <c r="AM210" s="441"/>
      <c r="AN210" s="441"/>
      <c r="AO210" s="441"/>
      <c r="AP210" s="441"/>
      <c r="AQ210" s="441"/>
      <c r="AR210" s="441"/>
    </row>
    <row r="211" spans="1:44" ht="12.75" hidden="1" thickBot="1">
      <c r="A211" s="1" t="s">
        <v>1272</v>
      </c>
      <c r="B211" s="2" t="s">
        <v>312</v>
      </c>
      <c r="C211" s="2" t="s">
        <v>1082</v>
      </c>
      <c r="D211" s="8" t="s">
        <v>567</v>
      </c>
      <c r="E211" s="460"/>
      <c r="F211" s="4"/>
      <c r="G211" s="449"/>
      <c r="H211" s="4"/>
      <c r="I211" s="4"/>
      <c r="J211" s="4"/>
      <c r="K211" s="4"/>
      <c r="L211" s="4"/>
      <c r="M211" s="449"/>
      <c r="N211" s="449"/>
      <c r="O211" s="4"/>
      <c r="P211" s="4"/>
      <c r="Q211" s="449"/>
      <c r="R211" s="449"/>
      <c r="S211" s="445">
        <f t="shared" si="16"/>
        <v>0</v>
      </c>
      <c r="T211" s="445">
        <f t="shared" si="17"/>
        <v>0</v>
      </c>
      <c r="U211" s="445">
        <f t="shared" si="18"/>
        <v>0</v>
      </c>
      <c r="W211" s="450"/>
      <c r="X211" s="448"/>
      <c r="Y211" s="441"/>
      <c r="Z211" s="441"/>
      <c r="AA211" s="441"/>
      <c r="AB211" s="441"/>
      <c r="AC211" s="441"/>
      <c r="AD211" s="441"/>
      <c r="AE211" s="441"/>
      <c r="AF211" s="441"/>
      <c r="AG211" s="441"/>
      <c r="AH211" s="441"/>
      <c r="AI211" s="441"/>
      <c r="AJ211" s="441"/>
      <c r="AK211" s="441"/>
      <c r="AL211" s="441"/>
      <c r="AM211" s="441"/>
      <c r="AN211" s="441"/>
      <c r="AO211" s="441"/>
      <c r="AP211" s="441"/>
      <c r="AQ211" s="441"/>
      <c r="AR211" s="441"/>
    </row>
    <row r="212" spans="1:44" ht="12.75" hidden="1" thickBot="1">
      <c r="A212" s="1" t="s">
        <v>1272</v>
      </c>
      <c r="B212" s="2" t="s">
        <v>688</v>
      </c>
      <c r="C212" s="2" t="s">
        <v>1083</v>
      </c>
      <c r="D212" s="8" t="s">
        <v>567</v>
      </c>
      <c r="E212" s="459"/>
      <c r="F212" s="6"/>
      <c r="G212" s="451"/>
      <c r="H212" s="6"/>
      <c r="I212" s="6"/>
      <c r="J212" s="6"/>
      <c r="K212" s="6"/>
      <c r="L212" s="6"/>
      <c r="M212" s="451"/>
      <c r="N212" s="451"/>
      <c r="O212" s="6"/>
      <c r="P212" s="6"/>
      <c r="Q212" s="6"/>
      <c r="R212" s="451"/>
      <c r="S212" s="445">
        <f t="shared" si="16"/>
        <v>0</v>
      </c>
      <c r="T212" s="445">
        <f t="shared" si="17"/>
        <v>0</v>
      </c>
      <c r="U212" s="445">
        <f t="shared" si="18"/>
        <v>0</v>
      </c>
      <c r="W212" s="450"/>
      <c r="X212" s="448"/>
      <c r="Y212" s="441"/>
      <c r="Z212" s="441"/>
      <c r="AA212" s="441"/>
      <c r="AB212" s="441"/>
      <c r="AC212" s="441"/>
      <c r="AD212" s="441"/>
      <c r="AE212" s="441"/>
      <c r="AF212" s="441"/>
      <c r="AG212" s="441"/>
      <c r="AH212" s="441"/>
      <c r="AI212" s="441"/>
      <c r="AJ212" s="441"/>
      <c r="AK212" s="441"/>
      <c r="AL212" s="441"/>
      <c r="AM212" s="441"/>
      <c r="AN212" s="441"/>
      <c r="AO212" s="441"/>
      <c r="AP212" s="441"/>
      <c r="AQ212" s="441"/>
      <c r="AR212" s="441"/>
    </row>
    <row r="213" spans="1:44" ht="12.75" hidden="1" thickBot="1">
      <c r="A213" s="1" t="s">
        <v>1272</v>
      </c>
      <c r="B213" s="2" t="s">
        <v>341</v>
      </c>
      <c r="C213" s="2" t="s">
        <v>1084</v>
      </c>
      <c r="D213" s="8" t="s">
        <v>567</v>
      </c>
      <c r="E213" s="460"/>
      <c r="F213" s="4"/>
      <c r="G213" s="449"/>
      <c r="H213" s="4"/>
      <c r="I213" s="4"/>
      <c r="J213" s="4"/>
      <c r="K213" s="4"/>
      <c r="L213" s="4"/>
      <c r="M213" s="449"/>
      <c r="N213" s="449"/>
      <c r="O213" s="4"/>
      <c r="P213" s="4"/>
      <c r="Q213" s="4"/>
      <c r="R213" s="449"/>
      <c r="S213" s="445">
        <f t="shared" si="16"/>
        <v>0</v>
      </c>
      <c r="T213" s="445">
        <f t="shared" si="17"/>
        <v>0</v>
      </c>
      <c r="U213" s="445">
        <f t="shared" si="18"/>
        <v>0</v>
      </c>
      <c r="W213" s="450"/>
      <c r="X213" s="448"/>
      <c r="Y213" s="441"/>
      <c r="Z213" s="441"/>
      <c r="AA213" s="441"/>
      <c r="AB213" s="441"/>
      <c r="AC213" s="441"/>
      <c r="AD213" s="441"/>
      <c r="AE213" s="441"/>
      <c r="AF213" s="441"/>
      <c r="AG213" s="441"/>
      <c r="AH213" s="441"/>
      <c r="AI213" s="441"/>
      <c r="AJ213" s="441"/>
      <c r="AK213" s="441"/>
      <c r="AL213" s="441"/>
      <c r="AM213" s="441"/>
      <c r="AN213" s="441"/>
      <c r="AO213" s="441"/>
      <c r="AP213" s="441"/>
      <c r="AQ213" s="441"/>
      <c r="AR213" s="441"/>
    </row>
    <row r="214" spans="1:44" ht="12.75" hidden="1" thickBot="1">
      <c r="A214" s="1" t="s">
        <v>1272</v>
      </c>
      <c r="B214" s="2" t="s">
        <v>317</v>
      </c>
      <c r="C214" s="2" t="s">
        <v>1085</v>
      </c>
      <c r="D214" s="8" t="s">
        <v>567</v>
      </c>
      <c r="E214" s="459"/>
      <c r="F214" s="6"/>
      <c r="G214" s="451"/>
      <c r="H214" s="6"/>
      <c r="I214" s="6"/>
      <c r="J214" s="6"/>
      <c r="K214" s="6"/>
      <c r="L214" s="6"/>
      <c r="M214" s="451"/>
      <c r="N214" s="451"/>
      <c r="O214" s="6"/>
      <c r="P214" s="6"/>
      <c r="Q214" s="451"/>
      <c r="R214" s="451"/>
      <c r="S214" s="445">
        <f t="shared" si="16"/>
        <v>0</v>
      </c>
      <c r="T214" s="445">
        <f t="shared" si="17"/>
        <v>0</v>
      </c>
      <c r="U214" s="445">
        <f t="shared" si="18"/>
        <v>0</v>
      </c>
      <c r="W214" s="450"/>
      <c r="X214" s="448"/>
      <c r="Y214" s="441"/>
      <c r="Z214" s="441"/>
      <c r="AA214" s="441"/>
      <c r="AB214" s="441"/>
      <c r="AC214" s="441"/>
      <c r="AD214" s="441"/>
      <c r="AE214" s="441"/>
      <c r="AF214" s="441"/>
      <c r="AG214" s="441"/>
      <c r="AH214" s="441"/>
      <c r="AI214" s="441"/>
      <c r="AJ214" s="441"/>
      <c r="AK214" s="441"/>
      <c r="AL214" s="441"/>
      <c r="AM214" s="441"/>
      <c r="AN214" s="441"/>
      <c r="AO214" s="441"/>
      <c r="AP214" s="441"/>
      <c r="AQ214" s="441"/>
      <c r="AR214" s="441"/>
    </row>
    <row r="215" spans="1:44" ht="12.75" hidden="1" thickBot="1">
      <c r="A215" s="1" t="s">
        <v>1272</v>
      </c>
      <c r="B215" s="2" t="s">
        <v>1235</v>
      </c>
      <c r="C215" s="2" t="s">
        <v>1236</v>
      </c>
      <c r="D215" s="8" t="s">
        <v>567</v>
      </c>
      <c r="E215" s="460"/>
      <c r="F215" s="4"/>
      <c r="G215" s="449"/>
      <c r="H215" s="4"/>
      <c r="I215" s="4"/>
      <c r="J215" s="4"/>
      <c r="K215" s="4"/>
      <c r="L215" s="4"/>
      <c r="M215" s="449"/>
      <c r="N215" s="449"/>
      <c r="O215" s="4"/>
      <c r="P215" s="4"/>
      <c r="Q215" s="449"/>
      <c r="R215" s="449"/>
      <c r="S215" s="445">
        <f t="shared" si="16"/>
        <v>0</v>
      </c>
      <c r="T215" s="445">
        <f t="shared" si="17"/>
        <v>0</v>
      </c>
      <c r="U215" s="445">
        <f t="shared" si="18"/>
        <v>0</v>
      </c>
      <c r="W215" s="450"/>
      <c r="X215" s="448"/>
      <c r="Y215" s="441"/>
      <c r="Z215" s="441"/>
      <c r="AA215" s="441"/>
      <c r="AB215" s="441"/>
      <c r="AC215" s="441"/>
      <c r="AD215" s="441"/>
      <c r="AE215" s="441"/>
      <c r="AF215" s="441"/>
      <c r="AG215" s="441"/>
      <c r="AH215" s="441"/>
      <c r="AI215" s="441"/>
      <c r="AJ215" s="441"/>
      <c r="AK215" s="441"/>
      <c r="AL215" s="441"/>
      <c r="AM215" s="441"/>
      <c r="AN215" s="441"/>
      <c r="AO215" s="441"/>
      <c r="AP215" s="441"/>
      <c r="AQ215" s="441"/>
      <c r="AR215" s="441"/>
    </row>
    <row r="216" spans="1:44" ht="12.75" hidden="1" thickBot="1">
      <c r="A216" s="1" t="s">
        <v>1272</v>
      </c>
      <c r="B216" s="2" t="s">
        <v>318</v>
      </c>
      <c r="C216" s="2" t="s">
        <v>1086</v>
      </c>
      <c r="D216" s="8" t="s">
        <v>567</v>
      </c>
      <c r="E216" s="459"/>
      <c r="F216" s="6"/>
      <c r="G216" s="6"/>
      <c r="H216" s="6"/>
      <c r="I216" s="6"/>
      <c r="J216" s="6"/>
      <c r="K216" s="6"/>
      <c r="L216" s="6"/>
      <c r="M216" s="6"/>
      <c r="N216" s="6"/>
      <c r="O216" s="6"/>
      <c r="P216" s="6"/>
      <c r="Q216" s="6"/>
      <c r="R216" s="6"/>
      <c r="S216" s="445">
        <f t="shared" si="16"/>
        <v>0</v>
      </c>
      <c r="T216" s="445">
        <f t="shared" si="17"/>
        <v>0</v>
      </c>
      <c r="U216" s="445">
        <f t="shared" si="18"/>
        <v>0</v>
      </c>
      <c r="W216" s="450"/>
      <c r="X216" s="448"/>
      <c r="Y216" s="441"/>
      <c r="Z216" s="441"/>
      <c r="AA216" s="441"/>
      <c r="AB216" s="441"/>
      <c r="AC216" s="441"/>
      <c r="AD216" s="441"/>
      <c r="AE216" s="441"/>
      <c r="AF216" s="441"/>
      <c r="AG216" s="441"/>
      <c r="AH216" s="441"/>
      <c r="AI216" s="441"/>
      <c r="AJ216" s="441"/>
      <c r="AK216" s="441"/>
      <c r="AL216" s="441"/>
      <c r="AM216" s="441"/>
      <c r="AN216" s="441"/>
      <c r="AO216" s="441"/>
      <c r="AP216" s="441"/>
      <c r="AQ216" s="441"/>
      <c r="AR216" s="441"/>
    </row>
    <row r="217" spans="1:44" ht="12.75" hidden="1" thickBot="1">
      <c r="A217" s="1" t="s">
        <v>1272</v>
      </c>
      <c r="B217" s="2" t="s">
        <v>1237</v>
      </c>
      <c r="C217" s="2" t="s">
        <v>1238</v>
      </c>
      <c r="D217" s="8" t="s">
        <v>567</v>
      </c>
      <c r="E217" s="460"/>
      <c r="F217" s="4"/>
      <c r="G217" s="449"/>
      <c r="H217" s="4"/>
      <c r="I217" s="4"/>
      <c r="J217" s="4"/>
      <c r="K217" s="4"/>
      <c r="L217" s="4"/>
      <c r="M217" s="449"/>
      <c r="N217" s="449"/>
      <c r="O217" s="4"/>
      <c r="P217" s="4"/>
      <c r="Q217" s="449"/>
      <c r="R217" s="449"/>
      <c r="S217" s="445">
        <f t="shared" si="16"/>
        <v>0</v>
      </c>
      <c r="T217" s="445">
        <f t="shared" si="17"/>
        <v>0</v>
      </c>
      <c r="U217" s="445">
        <f t="shared" si="18"/>
        <v>0</v>
      </c>
      <c r="W217" s="450"/>
      <c r="X217" s="448"/>
      <c r="Y217" s="441"/>
      <c r="Z217" s="441"/>
      <c r="AA217" s="441"/>
      <c r="AB217" s="441"/>
      <c r="AC217" s="441"/>
      <c r="AD217" s="441"/>
      <c r="AE217" s="441"/>
      <c r="AF217" s="441"/>
      <c r="AG217" s="441"/>
      <c r="AH217" s="441"/>
      <c r="AI217" s="441"/>
      <c r="AJ217" s="441"/>
      <c r="AK217" s="441"/>
      <c r="AL217" s="441"/>
      <c r="AM217" s="441"/>
      <c r="AN217" s="441"/>
      <c r="AO217" s="441"/>
      <c r="AP217" s="441"/>
      <c r="AQ217" s="441"/>
      <c r="AR217" s="441"/>
    </row>
    <row r="218" spans="1:44" ht="12.75" hidden="1" thickBot="1">
      <c r="A218" s="1" t="s">
        <v>1272</v>
      </c>
      <c r="B218" s="2" t="s">
        <v>319</v>
      </c>
      <c r="C218" s="2" t="s">
        <v>1087</v>
      </c>
      <c r="D218" s="8" t="s">
        <v>567</v>
      </c>
      <c r="E218" s="459"/>
      <c r="F218" s="6"/>
      <c r="G218" s="6"/>
      <c r="H218" s="6"/>
      <c r="I218" s="6"/>
      <c r="J218" s="6"/>
      <c r="K218" s="6"/>
      <c r="L218" s="6"/>
      <c r="M218" s="6"/>
      <c r="N218" s="6"/>
      <c r="O218" s="6"/>
      <c r="P218" s="6"/>
      <c r="Q218" s="6"/>
      <c r="R218" s="6"/>
      <c r="S218" s="445">
        <f t="shared" si="16"/>
        <v>0</v>
      </c>
      <c r="T218" s="445">
        <f t="shared" si="17"/>
        <v>0</v>
      </c>
      <c r="U218" s="445">
        <f t="shared" si="18"/>
        <v>0</v>
      </c>
      <c r="W218" s="450"/>
      <c r="X218" s="448"/>
      <c r="Y218" s="441"/>
      <c r="Z218" s="441"/>
      <c r="AA218" s="441"/>
      <c r="AB218" s="441"/>
      <c r="AC218" s="441"/>
      <c r="AD218" s="441"/>
      <c r="AE218" s="441"/>
      <c r="AF218" s="441"/>
      <c r="AG218" s="441"/>
      <c r="AH218" s="441"/>
      <c r="AI218" s="441"/>
      <c r="AJ218" s="441"/>
      <c r="AK218" s="441"/>
      <c r="AL218" s="441"/>
      <c r="AM218" s="441"/>
      <c r="AN218" s="441"/>
      <c r="AO218" s="441"/>
      <c r="AP218" s="441"/>
      <c r="AQ218" s="441"/>
      <c r="AR218" s="441"/>
    </row>
    <row r="219" spans="1:44" ht="12.75" hidden="1" thickBot="1">
      <c r="A219" s="1" t="s">
        <v>1272</v>
      </c>
      <c r="B219" s="2" t="s">
        <v>1225</v>
      </c>
      <c r="C219" s="2" t="s">
        <v>1226</v>
      </c>
      <c r="D219" s="8" t="s">
        <v>567</v>
      </c>
      <c r="E219" s="460"/>
      <c r="F219" s="4"/>
      <c r="G219" s="449"/>
      <c r="H219" s="4"/>
      <c r="I219" s="4"/>
      <c r="J219" s="4"/>
      <c r="K219" s="4"/>
      <c r="L219" s="4"/>
      <c r="M219" s="449"/>
      <c r="N219" s="449"/>
      <c r="O219" s="4"/>
      <c r="P219" s="4"/>
      <c r="Q219" s="449"/>
      <c r="R219" s="449"/>
      <c r="S219" s="445">
        <f t="shared" si="16"/>
        <v>0</v>
      </c>
      <c r="T219" s="445">
        <f t="shared" si="17"/>
        <v>0</v>
      </c>
      <c r="U219" s="445">
        <f t="shared" si="18"/>
        <v>0</v>
      </c>
      <c r="W219" s="450"/>
      <c r="X219" s="448"/>
      <c r="Y219" s="441"/>
      <c r="Z219" s="441"/>
      <c r="AA219" s="441"/>
      <c r="AB219" s="441"/>
      <c r="AC219" s="441"/>
      <c r="AD219" s="441"/>
      <c r="AE219" s="441"/>
      <c r="AF219" s="441"/>
      <c r="AG219" s="441"/>
      <c r="AH219" s="441"/>
      <c r="AI219" s="441"/>
      <c r="AJ219" s="441"/>
      <c r="AK219" s="441"/>
      <c r="AL219" s="441"/>
      <c r="AM219" s="441"/>
      <c r="AN219" s="441"/>
      <c r="AO219" s="441"/>
      <c r="AP219" s="441"/>
      <c r="AQ219" s="441"/>
      <c r="AR219" s="441"/>
    </row>
    <row r="220" spans="1:44" ht="12.75" hidden="1" thickBot="1">
      <c r="A220" s="1" t="s">
        <v>1272</v>
      </c>
      <c r="B220" s="2" t="s">
        <v>320</v>
      </c>
      <c r="C220" s="2" t="s">
        <v>1088</v>
      </c>
      <c r="D220" s="8" t="s">
        <v>567</v>
      </c>
      <c r="E220" s="459"/>
      <c r="F220" s="6"/>
      <c r="G220" s="451"/>
      <c r="H220" s="6"/>
      <c r="I220" s="6"/>
      <c r="J220" s="6"/>
      <c r="K220" s="6"/>
      <c r="L220" s="6"/>
      <c r="M220" s="451"/>
      <c r="N220" s="451"/>
      <c r="O220" s="6"/>
      <c r="P220" s="6"/>
      <c r="Q220" s="451"/>
      <c r="R220" s="451"/>
      <c r="S220" s="445">
        <f t="shared" si="16"/>
        <v>0</v>
      </c>
      <c r="T220" s="445">
        <f t="shared" si="17"/>
        <v>0</v>
      </c>
      <c r="U220" s="445">
        <f t="shared" si="18"/>
        <v>0</v>
      </c>
      <c r="W220" s="450"/>
      <c r="X220" s="448"/>
      <c r="Y220" s="441"/>
      <c r="Z220" s="441"/>
      <c r="AA220" s="441"/>
      <c r="AB220" s="441"/>
      <c r="AC220" s="441"/>
      <c r="AD220" s="441"/>
      <c r="AE220" s="441"/>
      <c r="AF220" s="441"/>
      <c r="AG220" s="441"/>
      <c r="AH220" s="441"/>
      <c r="AI220" s="441"/>
      <c r="AJ220" s="441"/>
      <c r="AK220" s="441"/>
      <c r="AL220" s="441"/>
      <c r="AM220" s="441"/>
      <c r="AN220" s="441"/>
      <c r="AO220" s="441"/>
      <c r="AP220" s="441"/>
      <c r="AQ220" s="441"/>
      <c r="AR220" s="441"/>
    </row>
    <row r="221" spans="1:44" ht="12.75" hidden="1" thickBot="1">
      <c r="A221" s="1" t="s">
        <v>1272</v>
      </c>
      <c r="B221" s="2" t="s">
        <v>321</v>
      </c>
      <c r="C221" s="2" t="s">
        <v>1089</v>
      </c>
      <c r="D221" s="8" t="s">
        <v>567</v>
      </c>
      <c r="E221" s="460"/>
      <c r="F221" s="4"/>
      <c r="G221" s="4"/>
      <c r="H221" s="4"/>
      <c r="I221" s="4"/>
      <c r="J221" s="4"/>
      <c r="K221" s="4"/>
      <c r="L221" s="4"/>
      <c r="M221" s="4"/>
      <c r="N221" s="4"/>
      <c r="O221" s="4"/>
      <c r="P221" s="4"/>
      <c r="Q221" s="4"/>
      <c r="R221" s="4"/>
      <c r="S221" s="445">
        <f t="shared" si="16"/>
        <v>0</v>
      </c>
      <c r="T221" s="445">
        <f t="shared" si="17"/>
        <v>0</v>
      </c>
      <c r="U221" s="445">
        <f t="shared" si="18"/>
        <v>0</v>
      </c>
      <c r="W221" s="450"/>
      <c r="X221" s="448"/>
      <c r="Y221" s="441"/>
      <c r="Z221" s="441"/>
      <c r="AA221" s="441"/>
      <c r="AB221" s="441"/>
      <c r="AC221" s="441"/>
      <c r="AD221" s="441"/>
      <c r="AE221" s="441"/>
      <c r="AF221" s="441"/>
      <c r="AG221" s="441"/>
      <c r="AH221" s="441"/>
      <c r="AI221" s="441"/>
      <c r="AJ221" s="441"/>
      <c r="AK221" s="441"/>
      <c r="AL221" s="441"/>
      <c r="AM221" s="441"/>
      <c r="AN221" s="441"/>
      <c r="AO221" s="441"/>
      <c r="AP221" s="441"/>
      <c r="AQ221" s="441"/>
      <c r="AR221" s="441"/>
    </row>
    <row r="222" spans="1:44" ht="12.75" hidden="1" thickBot="1">
      <c r="A222" s="1" t="s">
        <v>1272</v>
      </c>
      <c r="B222" s="2" t="s">
        <v>1227</v>
      </c>
      <c r="C222" s="2" t="s">
        <v>1228</v>
      </c>
      <c r="D222" s="8" t="s">
        <v>567</v>
      </c>
      <c r="E222" s="459"/>
      <c r="F222" s="6"/>
      <c r="G222" s="451"/>
      <c r="H222" s="6"/>
      <c r="I222" s="6"/>
      <c r="J222" s="6"/>
      <c r="K222" s="6"/>
      <c r="L222" s="6"/>
      <c r="M222" s="451"/>
      <c r="N222" s="451"/>
      <c r="O222" s="6"/>
      <c r="P222" s="6"/>
      <c r="Q222" s="451"/>
      <c r="R222" s="451"/>
      <c r="S222" s="445">
        <f t="shared" si="16"/>
        <v>0</v>
      </c>
      <c r="T222" s="445">
        <f t="shared" si="17"/>
        <v>0</v>
      </c>
      <c r="U222" s="445">
        <f t="shared" si="18"/>
        <v>0</v>
      </c>
      <c r="W222" s="450"/>
      <c r="X222" s="448"/>
      <c r="Y222" s="441"/>
      <c r="Z222" s="441"/>
      <c r="AA222" s="441"/>
      <c r="AB222" s="441"/>
      <c r="AC222" s="441"/>
      <c r="AD222" s="441"/>
      <c r="AE222" s="441"/>
      <c r="AF222" s="441"/>
      <c r="AG222" s="441"/>
      <c r="AH222" s="441"/>
      <c r="AI222" s="441"/>
      <c r="AJ222" s="441"/>
      <c r="AK222" s="441"/>
      <c r="AL222" s="441"/>
      <c r="AM222" s="441"/>
      <c r="AN222" s="441"/>
      <c r="AO222" s="441"/>
      <c r="AP222" s="441"/>
      <c r="AQ222" s="441"/>
      <c r="AR222" s="441"/>
    </row>
    <row r="223" spans="1:44" ht="12.75" hidden="1" thickBot="1">
      <c r="A223" s="1" t="s">
        <v>1272</v>
      </c>
      <c r="B223" s="2" t="s">
        <v>322</v>
      </c>
      <c r="C223" s="2" t="s">
        <v>1090</v>
      </c>
      <c r="D223" s="8" t="s">
        <v>567</v>
      </c>
      <c r="E223" s="460"/>
      <c r="F223" s="4"/>
      <c r="G223" s="449"/>
      <c r="H223" s="4"/>
      <c r="I223" s="4"/>
      <c r="J223" s="4"/>
      <c r="K223" s="4"/>
      <c r="L223" s="4"/>
      <c r="M223" s="449"/>
      <c r="N223" s="449"/>
      <c r="O223" s="4"/>
      <c r="P223" s="4"/>
      <c r="Q223" s="449"/>
      <c r="R223" s="449"/>
      <c r="S223" s="445">
        <f t="shared" si="16"/>
        <v>0</v>
      </c>
      <c r="T223" s="445">
        <f t="shared" si="17"/>
        <v>0</v>
      </c>
      <c r="U223" s="445">
        <f t="shared" si="18"/>
        <v>0</v>
      </c>
      <c r="W223" s="450"/>
      <c r="X223" s="448"/>
      <c r="Y223" s="441"/>
      <c r="Z223" s="441"/>
      <c r="AA223" s="441"/>
      <c r="AB223" s="441"/>
      <c r="AC223" s="441"/>
      <c r="AD223" s="441"/>
      <c r="AE223" s="441"/>
      <c r="AF223" s="441"/>
      <c r="AG223" s="441"/>
      <c r="AH223" s="441"/>
      <c r="AI223" s="441"/>
      <c r="AJ223" s="441"/>
      <c r="AK223" s="441"/>
      <c r="AL223" s="441"/>
      <c r="AM223" s="441"/>
      <c r="AN223" s="441"/>
      <c r="AO223" s="441"/>
      <c r="AP223" s="441"/>
      <c r="AQ223" s="441"/>
      <c r="AR223" s="441"/>
    </row>
    <row r="224" spans="1:44" ht="12.75" hidden="1" thickBot="1">
      <c r="A224" s="1" t="s">
        <v>1272</v>
      </c>
      <c r="B224" s="2" t="s">
        <v>323</v>
      </c>
      <c r="C224" s="2" t="s">
        <v>1091</v>
      </c>
      <c r="D224" s="453" t="s">
        <v>459</v>
      </c>
      <c r="E224" s="459"/>
      <c r="F224" s="6"/>
      <c r="G224" s="451"/>
      <c r="H224" s="6"/>
      <c r="I224" s="6"/>
      <c r="J224" s="6"/>
      <c r="K224" s="6"/>
      <c r="L224" s="6"/>
      <c r="M224" s="451"/>
      <c r="N224" s="451"/>
      <c r="O224" s="6"/>
      <c r="P224" s="6"/>
      <c r="Q224" s="451"/>
      <c r="R224" s="451"/>
      <c r="S224" s="445">
        <f t="shared" si="16"/>
        <v>0</v>
      </c>
      <c r="T224" s="445">
        <f t="shared" si="17"/>
        <v>0</v>
      </c>
      <c r="U224" s="445">
        <f t="shared" si="18"/>
        <v>0</v>
      </c>
      <c r="W224" s="450"/>
      <c r="X224" s="448"/>
      <c r="Y224" s="441"/>
      <c r="Z224" s="441"/>
      <c r="AA224" s="441"/>
      <c r="AB224" s="441"/>
      <c r="AC224" s="441"/>
      <c r="AD224" s="441"/>
      <c r="AE224" s="441"/>
      <c r="AF224" s="441"/>
      <c r="AG224" s="441"/>
      <c r="AH224" s="441"/>
      <c r="AI224" s="441"/>
      <c r="AJ224" s="441"/>
      <c r="AK224" s="441"/>
      <c r="AL224" s="441"/>
      <c r="AM224" s="441"/>
      <c r="AN224" s="441"/>
      <c r="AO224" s="441"/>
      <c r="AP224" s="441"/>
      <c r="AQ224" s="441"/>
      <c r="AR224" s="441"/>
    </row>
    <row r="225" spans="1:56" ht="12.75" hidden="1" thickBot="1">
      <c r="A225" s="1" t="s">
        <v>1272</v>
      </c>
      <c r="B225" s="2" t="s">
        <v>328</v>
      </c>
      <c r="C225" s="2" t="s">
        <v>1092</v>
      </c>
      <c r="D225" s="8" t="s">
        <v>567</v>
      </c>
      <c r="E225" s="460"/>
      <c r="F225" s="4"/>
      <c r="G225" s="449"/>
      <c r="H225" s="4"/>
      <c r="I225" s="4"/>
      <c r="J225" s="4"/>
      <c r="K225" s="4"/>
      <c r="L225" s="4"/>
      <c r="M225" s="449"/>
      <c r="N225" s="449"/>
      <c r="O225" s="4"/>
      <c r="P225" s="4"/>
      <c r="Q225" s="449"/>
      <c r="R225" s="449"/>
      <c r="S225" s="445">
        <f t="shared" si="16"/>
        <v>0</v>
      </c>
      <c r="T225" s="445">
        <f t="shared" si="17"/>
        <v>0</v>
      </c>
      <c r="U225" s="445">
        <f t="shared" si="18"/>
        <v>0</v>
      </c>
      <c r="W225" s="450"/>
      <c r="X225" s="448"/>
      <c r="Y225" s="441"/>
      <c r="Z225" s="441"/>
      <c r="AA225" s="441"/>
      <c r="AB225" s="441"/>
      <c r="AC225" s="441"/>
      <c r="AD225" s="441"/>
      <c r="AE225" s="441"/>
      <c r="AF225" s="441"/>
      <c r="AG225" s="441"/>
      <c r="AH225" s="441"/>
      <c r="AI225" s="441"/>
      <c r="AJ225" s="441"/>
      <c r="AK225" s="441"/>
      <c r="AL225" s="441"/>
      <c r="AM225" s="441"/>
      <c r="AN225" s="441"/>
      <c r="AO225" s="441"/>
      <c r="AP225" s="441"/>
      <c r="AQ225" s="441"/>
      <c r="AR225" s="441"/>
    </row>
    <row r="226" spans="1:56" ht="12.75" hidden="1" thickBot="1">
      <c r="A226" s="1" t="s">
        <v>1272</v>
      </c>
      <c r="B226" s="2" t="s">
        <v>329</v>
      </c>
      <c r="C226" s="2" t="s">
        <v>1093</v>
      </c>
      <c r="D226" s="453" t="s">
        <v>459</v>
      </c>
      <c r="E226" s="459"/>
      <c r="F226" s="6"/>
      <c r="G226" s="451"/>
      <c r="H226" s="6"/>
      <c r="I226" s="6"/>
      <c r="J226" s="6"/>
      <c r="K226" s="6"/>
      <c r="L226" s="6"/>
      <c r="M226" s="451"/>
      <c r="N226" s="451"/>
      <c r="O226" s="6"/>
      <c r="P226" s="6"/>
      <c r="Q226" s="451"/>
      <c r="R226" s="451"/>
      <c r="S226" s="445">
        <f t="shared" si="16"/>
        <v>0</v>
      </c>
      <c r="T226" s="445">
        <f t="shared" si="17"/>
        <v>0</v>
      </c>
      <c r="U226" s="445">
        <f t="shared" si="18"/>
        <v>0</v>
      </c>
      <c r="W226" s="450"/>
      <c r="X226" s="448"/>
      <c r="Y226" s="441"/>
      <c r="Z226" s="441"/>
      <c r="AA226" s="441"/>
      <c r="AB226" s="441"/>
      <c r="AC226" s="441"/>
      <c r="AD226" s="441"/>
      <c r="AE226" s="441"/>
      <c r="AF226" s="441"/>
      <c r="AG226" s="441"/>
      <c r="AH226" s="441"/>
      <c r="AI226" s="441"/>
      <c r="AJ226" s="441"/>
      <c r="AK226" s="441"/>
      <c r="AL226" s="441"/>
      <c r="AM226" s="441"/>
      <c r="AN226" s="441"/>
      <c r="AO226" s="441"/>
      <c r="AP226" s="441"/>
      <c r="AQ226" s="441"/>
      <c r="AR226" s="441"/>
    </row>
    <row r="227" spans="1:56" ht="12.75" hidden="1" thickBot="1">
      <c r="A227" s="1" t="s">
        <v>1272</v>
      </c>
      <c r="B227" s="2" t="s">
        <v>330</v>
      </c>
      <c r="C227" s="2" t="s">
        <v>1094</v>
      </c>
      <c r="D227" s="8" t="s">
        <v>567</v>
      </c>
      <c r="E227" s="460"/>
      <c r="F227" s="4"/>
      <c r="G227" s="449"/>
      <c r="H227" s="4"/>
      <c r="I227" s="4"/>
      <c r="J227" s="4"/>
      <c r="K227" s="4"/>
      <c r="L227" s="4"/>
      <c r="M227" s="449"/>
      <c r="N227" s="449"/>
      <c r="O227" s="4"/>
      <c r="P227" s="4"/>
      <c r="Q227" s="449"/>
      <c r="R227" s="449"/>
      <c r="S227" s="445">
        <f t="shared" si="16"/>
        <v>0</v>
      </c>
      <c r="T227" s="445">
        <f t="shared" si="17"/>
        <v>0</v>
      </c>
      <c r="U227" s="445">
        <f t="shared" si="18"/>
        <v>0</v>
      </c>
      <c r="W227" s="450"/>
      <c r="X227" s="448"/>
      <c r="Y227" s="441"/>
      <c r="Z227" s="441"/>
      <c r="AA227" s="441"/>
      <c r="AB227" s="441"/>
      <c r="AC227" s="441"/>
      <c r="AD227" s="441"/>
      <c r="AE227" s="441"/>
      <c r="AF227" s="441"/>
      <c r="AG227" s="441"/>
      <c r="AH227" s="441"/>
      <c r="AI227" s="441"/>
      <c r="AJ227" s="441"/>
      <c r="AK227" s="441"/>
      <c r="AL227" s="441"/>
      <c r="AM227" s="441"/>
      <c r="AN227" s="441"/>
      <c r="AO227" s="441"/>
      <c r="AP227" s="441"/>
      <c r="AQ227" s="441"/>
      <c r="AR227" s="441"/>
    </row>
    <row r="228" spans="1:56" ht="12.75" hidden="1" thickBot="1">
      <c r="A228" s="1" t="s">
        <v>1272</v>
      </c>
      <c r="B228" s="2" t="s">
        <v>331</v>
      </c>
      <c r="C228" s="2" t="s">
        <v>1095</v>
      </c>
      <c r="D228" s="453" t="s">
        <v>459</v>
      </c>
      <c r="E228" s="459"/>
      <c r="F228" s="6"/>
      <c r="G228" s="451"/>
      <c r="H228" s="6"/>
      <c r="I228" s="6"/>
      <c r="J228" s="6"/>
      <c r="K228" s="6"/>
      <c r="L228" s="6"/>
      <c r="M228" s="451"/>
      <c r="N228" s="451"/>
      <c r="O228" s="6"/>
      <c r="P228" s="6"/>
      <c r="Q228" s="451"/>
      <c r="R228" s="451"/>
      <c r="S228" s="445">
        <f t="shared" si="16"/>
        <v>0</v>
      </c>
      <c r="T228" s="445">
        <f t="shared" si="17"/>
        <v>0</v>
      </c>
      <c r="U228" s="445">
        <f t="shared" si="18"/>
        <v>0</v>
      </c>
      <c r="W228" s="450"/>
      <c r="X228" s="448"/>
      <c r="Y228" s="441"/>
      <c r="Z228" s="441"/>
      <c r="AA228" s="441"/>
      <c r="AB228" s="441"/>
      <c r="AC228" s="441"/>
      <c r="AD228" s="441"/>
      <c r="AE228" s="441"/>
      <c r="AF228" s="441"/>
      <c r="AG228" s="441"/>
      <c r="AH228" s="441"/>
      <c r="AI228" s="441"/>
      <c r="AJ228" s="441"/>
      <c r="AK228" s="441"/>
      <c r="AL228" s="441"/>
      <c r="AM228" s="441"/>
      <c r="AN228" s="441"/>
      <c r="AO228" s="441"/>
      <c r="AP228" s="441"/>
      <c r="AQ228" s="441"/>
      <c r="AR228" s="441"/>
    </row>
    <row r="229" spans="1:56" ht="12.75" hidden="1" thickBot="1">
      <c r="A229" s="1" t="s">
        <v>1272</v>
      </c>
      <c r="B229" s="2" t="s">
        <v>332</v>
      </c>
      <c r="C229" s="2" t="s">
        <v>1096</v>
      </c>
      <c r="D229" s="453" t="s">
        <v>459</v>
      </c>
      <c r="E229" s="460"/>
      <c r="F229" s="4"/>
      <c r="G229" s="449"/>
      <c r="H229" s="4"/>
      <c r="I229" s="4"/>
      <c r="J229" s="4"/>
      <c r="K229" s="4"/>
      <c r="L229" s="4"/>
      <c r="M229" s="449"/>
      <c r="N229" s="449"/>
      <c r="O229" s="4"/>
      <c r="P229" s="4"/>
      <c r="Q229" s="449"/>
      <c r="R229" s="449"/>
      <c r="S229" s="445">
        <f t="shared" si="16"/>
        <v>0</v>
      </c>
      <c r="T229" s="445">
        <f t="shared" si="17"/>
        <v>0</v>
      </c>
      <c r="U229" s="445">
        <f t="shared" si="18"/>
        <v>0</v>
      </c>
      <c r="W229" s="450"/>
      <c r="X229" s="448"/>
      <c r="Y229" s="441"/>
      <c r="Z229" s="441"/>
      <c r="AA229" s="441"/>
      <c r="AB229" s="441"/>
      <c r="AC229" s="441"/>
      <c r="AD229" s="441"/>
      <c r="AE229" s="441"/>
      <c r="AF229" s="441"/>
      <c r="AG229" s="441"/>
      <c r="AH229" s="441"/>
      <c r="AI229" s="441"/>
      <c r="AJ229" s="441"/>
      <c r="AK229" s="441"/>
      <c r="AL229" s="441"/>
      <c r="AM229" s="441"/>
      <c r="AN229" s="441"/>
      <c r="AO229" s="441"/>
      <c r="AP229" s="441"/>
      <c r="AQ229" s="441"/>
      <c r="AR229" s="441"/>
    </row>
    <row r="230" spans="1:56" ht="12.75" hidden="1" thickBot="1">
      <c r="A230" s="1" t="s">
        <v>1272</v>
      </c>
      <c r="B230" s="2" t="s">
        <v>333</v>
      </c>
      <c r="C230" s="2" t="s">
        <v>1097</v>
      </c>
      <c r="D230" s="8" t="s">
        <v>567</v>
      </c>
      <c r="E230" s="459"/>
      <c r="F230" s="6"/>
      <c r="G230" s="451"/>
      <c r="H230" s="6"/>
      <c r="I230" s="6"/>
      <c r="J230" s="6"/>
      <c r="K230" s="6"/>
      <c r="L230" s="6"/>
      <c r="M230" s="451"/>
      <c r="N230" s="451"/>
      <c r="O230" s="6"/>
      <c r="P230" s="6"/>
      <c r="Q230" s="451"/>
      <c r="R230" s="451"/>
      <c r="S230" s="445">
        <f t="shared" si="16"/>
        <v>0</v>
      </c>
      <c r="T230" s="445">
        <f t="shared" si="17"/>
        <v>0</v>
      </c>
      <c r="U230" s="445">
        <f t="shared" si="18"/>
        <v>0</v>
      </c>
      <c r="W230" s="450"/>
      <c r="X230" s="448"/>
      <c r="Y230" s="441"/>
      <c r="Z230" s="441"/>
      <c r="AA230" s="441"/>
      <c r="AB230" s="441"/>
      <c r="AC230" s="441"/>
      <c r="AD230" s="441"/>
      <c r="AE230" s="441"/>
      <c r="AF230" s="441"/>
      <c r="AG230" s="441"/>
      <c r="AH230" s="441"/>
      <c r="AI230" s="441"/>
      <c r="AJ230" s="441"/>
      <c r="AK230" s="441"/>
      <c r="AL230" s="441"/>
      <c r="AM230" s="441"/>
      <c r="AN230" s="441"/>
      <c r="AO230" s="441"/>
      <c r="AP230" s="441"/>
      <c r="AQ230" s="441"/>
      <c r="AR230" s="441"/>
    </row>
    <row r="231" spans="1:56" ht="12.75" hidden="1" thickBot="1">
      <c r="A231" s="1" t="s">
        <v>1272</v>
      </c>
      <c r="B231" s="2" t="s">
        <v>334</v>
      </c>
      <c r="C231" s="2" t="s">
        <v>1098</v>
      </c>
      <c r="D231" s="453" t="s">
        <v>459</v>
      </c>
      <c r="E231" s="460"/>
      <c r="F231" s="4"/>
      <c r="G231" s="449"/>
      <c r="H231" s="4"/>
      <c r="I231" s="4"/>
      <c r="J231" s="4"/>
      <c r="K231" s="4"/>
      <c r="L231" s="4"/>
      <c r="M231" s="449"/>
      <c r="N231" s="449"/>
      <c r="O231" s="4"/>
      <c r="P231" s="4"/>
      <c r="Q231" s="449"/>
      <c r="R231" s="449"/>
      <c r="S231" s="445">
        <f t="shared" si="16"/>
        <v>0</v>
      </c>
      <c r="T231" s="445">
        <f t="shared" si="17"/>
        <v>0</v>
      </c>
      <c r="U231" s="445">
        <f t="shared" si="18"/>
        <v>0</v>
      </c>
      <c r="W231" s="450"/>
      <c r="X231" s="448"/>
      <c r="Y231" s="441"/>
      <c r="Z231" s="441"/>
      <c r="AA231" s="441"/>
      <c r="AB231" s="441"/>
      <c r="AC231" s="441"/>
      <c r="AD231" s="441"/>
      <c r="AE231" s="441"/>
      <c r="AF231" s="441"/>
      <c r="AG231" s="441"/>
      <c r="AH231" s="441"/>
      <c r="AI231" s="441"/>
      <c r="AJ231" s="441"/>
      <c r="AK231" s="441"/>
      <c r="AL231" s="441"/>
      <c r="AM231" s="441"/>
      <c r="AN231" s="441"/>
      <c r="AO231" s="441"/>
      <c r="AP231" s="441"/>
      <c r="AQ231" s="441"/>
      <c r="AR231" s="441"/>
    </row>
    <row r="232" spans="1:56" ht="12.75" hidden="1" thickBot="1">
      <c r="A232" s="1" t="s">
        <v>1272</v>
      </c>
      <c r="B232" s="2" t="s">
        <v>620</v>
      </c>
      <c r="C232" s="2" t="s">
        <v>1099</v>
      </c>
      <c r="D232" s="8" t="s">
        <v>567</v>
      </c>
      <c r="E232" s="459"/>
      <c r="F232" s="6"/>
      <c r="G232" s="451"/>
      <c r="H232" s="6"/>
      <c r="I232" s="6"/>
      <c r="J232" s="6"/>
      <c r="K232" s="6"/>
      <c r="L232" s="6"/>
      <c r="M232" s="451"/>
      <c r="N232" s="451"/>
      <c r="O232" s="6"/>
      <c r="P232" s="6"/>
      <c r="Q232" s="451"/>
      <c r="R232" s="451"/>
      <c r="S232" s="445">
        <f t="shared" si="16"/>
        <v>0</v>
      </c>
      <c r="T232" s="445">
        <f t="shared" si="17"/>
        <v>0</v>
      </c>
      <c r="U232" s="445">
        <f t="shared" si="18"/>
        <v>0</v>
      </c>
      <c r="W232" s="450"/>
      <c r="X232" s="448"/>
      <c r="Y232" s="441"/>
      <c r="Z232" s="441"/>
      <c r="AA232" s="441"/>
      <c r="AB232" s="441"/>
      <c r="AC232" s="441"/>
      <c r="AD232" s="441"/>
      <c r="AE232" s="441"/>
      <c r="AF232" s="441"/>
      <c r="AG232" s="441"/>
      <c r="AH232" s="441"/>
      <c r="AI232" s="441"/>
      <c r="AJ232" s="441"/>
      <c r="AK232" s="441"/>
      <c r="AL232" s="441"/>
      <c r="AM232" s="441"/>
      <c r="AN232" s="441"/>
      <c r="AO232" s="441"/>
      <c r="AP232" s="441"/>
      <c r="AQ232" s="441"/>
      <c r="AR232" s="441"/>
    </row>
    <row r="233" spans="1:56" ht="12.75" hidden="1" thickBot="1">
      <c r="A233" s="1" t="s">
        <v>1272</v>
      </c>
      <c r="B233" s="2" t="s">
        <v>360</v>
      </c>
      <c r="C233" s="2" t="s">
        <v>1100</v>
      </c>
      <c r="D233" s="8" t="s">
        <v>567</v>
      </c>
      <c r="E233" s="460"/>
      <c r="F233" s="4"/>
      <c r="G233" s="449"/>
      <c r="H233" s="4"/>
      <c r="I233" s="4"/>
      <c r="J233" s="4"/>
      <c r="K233" s="4"/>
      <c r="L233" s="4"/>
      <c r="M233" s="449"/>
      <c r="N233" s="449"/>
      <c r="O233" s="4"/>
      <c r="P233" s="4"/>
      <c r="Q233" s="449"/>
      <c r="R233" s="449"/>
      <c r="S233" s="445">
        <f t="shared" si="16"/>
        <v>0</v>
      </c>
      <c r="T233" s="445">
        <f t="shared" si="17"/>
        <v>0</v>
      </c>
      <c r="U233" s="445">
        <f t="shared" si="18"/>
        <v>0</v>
      </c>
      <c r="W233" s="450"/>
      <c r="X233" s="448"/>
      <c r="Y233" s="441"/>
      <c r="Z233" s="441"/>
      <c r="AA233" s="441"/>
      <c r="AB233" s="441"/>
      <c r="AC233" s="441"/>
      <c r="AD233" s="441"/>
      <c r="AE233" s="441"/>
      <c r="AF233" s="441"/>
      <c r="AG233" s="441"/>
      <c r="AH233" s="441"/>
      <c r="AI233" s="441"/>
      <c r="AJ233" s="441"/>
      <c r="AK233" s="441"/>
      <c r="AL233" s="441"/>
      <c r="AM233" s="441"/>
      <c r="AN233" s="441"/>
      <c r="AO233" s="441"/>
      <c r="AP233" s="441"/>
      <c r="AQ233" s="441"/>
      <c r="AR233" s="441"/>
    </row>
    <row r="234" spans="1:56" ht="12.75" hidden="1" thickBot="1">
      <c r="A234" s="1" t="s">
        <v>1272</v>
      </c>
      <c r="B234" s="2" t="s">
        <v>335</v>
      </c>
      <c r="C234" s="2" t="s">
        <v>1101</v>
      </c>
      <c r="D234" s="8" t="s">
        <v>567</v>
      </c>
      <c r="E234" s="459"/>
      <c r="F234" s="6"/>
      <c r="G234" s="451"/>
      <c r="H234" s="6"/>
      <c r="I234" s="6"/>
      <c r="J234" s="6"/>
      <c r="K234" s="6"/>
      <c r="L234" s="6"/>
      <c r="M234" s="451"/>
      <c r="N234" s="451"/>
      <c r="O234" s="6"/>
      <c r="P234" s="6"/>
      <c r="Q234" s="451"/>
      <c r="R234" s="451"/>
      <c r="S234" s="445">
        <f t="shared" si="16"/>
        <v>0</v>
      </c>
      <c r="T234" s="445">
        <f t="shared" si="17"/>
        <v>0</v>
      </c>
      <c r="U234" s="445">
        <f t="shared" si="18"/>
        <v>0</v>
      </c>
      <c r="W234" s="450"/>
      <c r="X234" s="448"/>
      <c r="Y234" s="441"/>
      <c r="Z234" s="441"/>
      <c r="AA234" s="441"/>
      <c r="AB234" s="441"/>
      <c r="AC234" s="441"/>
      <c r="AD234" s="441"/>
      <c r="AE234" s="441"/>
      <c r="AF234" s="441"/>
      <c r="AG234" s="441"/>
      <c r="AH234" s="441"/>
      <c r="AI234" s="441"/>
      <c r="AJ234" s="441"/>
      <c r="AK234" s="441"/>
      <c r="AL234" s="441"/>
      <c r="AM234" s="441"/>
      <c r="AN234" s="441"/>
      <c r="AO234" s="441"/>
      <c r="AP234" s="441"/>
      <c r="AQ234" s="441"/>
      <c r="AR234" s="441"/>
    </row>
    <row r="235" spans="1:56" ht="12.75" hidden="1" thickBot="1">
      <c r="A235" s="1" t="s">
        <v>1272</v>
      </c>
      <c r="B235" s="2" t="s">
        <v>336</v>
      </c>
      <c r="C235" s="2" t="s">
        <v>1102</v>
      </c>
      <c r="D235" s="8" t="s">
        <v>567</v>
      </c>
      <c r="E235" s="460"/>
      <c r="F235" s="4"/>
      <c r="G235" s="449"/>
      <c r="H235" s="4"/>
      <c r="I235" s="4"/>
      <c r="J235" s="4"/>
      <c r="K235" s="4"/>
      <c r="L235" s="4"/>
      <c r="M235" s="449"/>
      <c r="N235" s="449"/>
      <c r="O235" s="4"/>
      <c r="P235" s="4"/>
      <c r="Q235" s="449"/>
      <c r="R235" s="449"/>
      <c r="S235" s="445">
        <f t="shared" si="16"/>
        <v>0</v>
      </c>
      <c r="T235" s="445">
        <f t="shared" si="17"/>
        <v>0</v>
      </c>
      <c r="U235" s="445">
        <f t="shared" si="18"/>
        <v>0</v>
      </c>
      <c r="W235" s="450"/>
      <c r="X235" s="448"/>
      <c r="Y235" s="441"/>
      <c r="Z235" s="441"/>
      <c r="AA235" s="441"/>
      <c r="AB235" s="441"/>
      <c r="AC235" s="441"/>
      <c r="AD235" s="441"/>
      <c r="AE235" s="441"/>
      <c r="AF235" s="441"/>
      <c r="AG235" s="441"/>
      <c r="AH235" s="441"/>
      <c r="AI235" s="441"/>
      <c r="AJ235" s="441"/>
      <c r="AK235" s="441"/>
      <c r="AL235" s="441"/>
      <c r="AM235" s="441"/>
      <c r="AN235" s="441"/>
      <c r="AO235" s="441"/>
      <c r="AP235" s="441"/>
      <c r="AQ235" s="441"/>
      <c r="AR235" s="441"/>
    </row>
    <row r="236" spans="1:56" ht="12.75" hidden="1" thickBot="1">
      <c r="A236" s="1" t="s">
        <v>1272</v>
      </c>
      <c r="B236" s="2" t="s">
        <v>337</v>
      </c>
      <c r="C236" s="2" t="s">
        <v>1103</v>
      </c>
      <c r="D236" s="8" t="s">
        <v>567</v>
      </c>
      <c r="E236" s="459"/>
      <c r="F236" s="6"/>
      <c r="G236" s="451"/>
      <c r="H236" s="6"/>
      <c r="I236" s="6"/>
      <c r="J236" s="6"/>
      <c r="K236" s="6"/>
      <c r="L236" s="6"/>
      <c r="M236" s="451"/>
      <c r="N236" s="451"/>
      <c r="O236" s="6"/>
      <c r="P236" s="6"/>
      <c r="Q236" s="451"/>
      <c r="R236" s="451"/>
      <c r="S236" s="445">
        <f t="shared" si="16"/>
        <v>0</v>
      </c>
      <c r="T236" s="445">
        <f t="shared" si="17"/>
        <v>0</v>
      </c>
      <c r="U236" s="445">
        <f t="shared" si="18"/>
        <v>0</v>
      </c>
      <c r="W236" s="450"/>
      <c r="X236" s="448"/>
      <c r="Y236" s="441"/>
      <c r="Z236" s="441"/>
      <c r="AA236" s="441"/>
      <c r="AB236" s="441"/>
      <c r="AC236" s="441"/>
      <c r="AD236" s="441"/>
      <c r="AE236" s="441"/>
      <c r="AF236" s="441"/>
      <c r="AG236" s="441"/>
      <c r="AH236" s="441"/>
      <c r="AI236" s="441"/>
      <c r="AJ236" s="441"/>
      <c r="AK236" s="441"/>
      <c r="AL236" s="441"/>
      <c r="AM236" s="441"/>
      <c r="AN236" s="441"/>
      <c r="AO236" s="441"/>
      <c r="AP236" s="441"/>
      <c r="AQ236" s="441"/>
      <c r="AR236" s="441"/>
    </row>
    <row r="237" spans="1:56" ht="12.75" hidden="1" thickBot="1">
      <c r="A237" s="1" t="s">
        <v>1272</v>
      </c>
      <c r="B237" s="454" t="s">
        <v>7</v>
      </c>
      <c r="C237" s="455"/>
      <c r="D237" s="7"/>
      <c r="E237" s="7"/>
      <c r="F237" s="456"/>
      <c r="G237" s="456"/>
      <c r="H237" s="456"/>
      <c r="I237" s="456"/>
      <c r="J237" s="456"/>
      <c r="K237" s="456"/>
      <c r="L237" s="456"/>
      <c r="M237" s="456"/>
      <c r="N237" s="456"/>
      <c r="O237" s="456"/>
      <c r="P237" s="456"/>
      <c r="Q237" s="456"/>
      <c r="R237" s="456"/>
      <c r="S237" s="445">
        <f t="shared" ref="S237:S239" si="19">G237+H237+I237</f>
        <v>0</v>
      </c>
      <c r="T237" s="445">
        <f t="shared" ref="T237:T239" si="20">J237+K237</f>
        <v>0</v>
      </c>
      <c r="U237" s="445">
        <f t="shared" ref="U237:U239" si="21">N237+O237</f>
        <v>0</v>
      </c>
      <c r="W237" s="450"/>
      <c r="X237" s="448"/>
      <c r="Y237" s="441"/>
      <c r="Z237" s="441"/>
      <c r="AA237" s="441"/>
      <c r="AB237" s="441"/>
      <c r="AC237" s="441"/>
      <c r="AD237" s="441"/>
      <c r="AE237" s="441"/>
      <c r="AF237" s="441"/>
      <c r="AG237" s="441"/>
      <c r="AH237" s="441"/>
      <c r="AI237" s="441"/>
      <c r="AJ237" s="441"/>
      <c r="AK237" s="441"/>
      <c r="AL237" s="441"/>
      <c r="AM237" s="441"/>
      <c r="AN237" s="441"/>
      <c r="AO237" s="441"/>
      <c r="AP237" s="441"/>
      <c r="AQ237" s="441"/>
      <c r="AR237" s="441"/>
    </row>
    <row r="238" spans="1:56" ht="12.75" hidden="1" thickBot="1">
      <c r="A238" s="1" t="s">
        <v>1273</v>
      </c>
      <c r="B238" s="2" t="s">
        <v>797</v>
      </c>
      <c r="C238" s="2" t="s">
        <v>1031</v>
      </c>
      <c r="D238" s="8" t="s">
        <v>830</v>
      </c>
      <c r="E238" s="457"/>
      <c r="F238" s="4"/>
      <c r="G238" s="4"/>
      <c r="H238" s="4"/>
      <c r="I238" s="4"/>
      <c r="J238" s="4"/>
      <c r="K238" s="4"/>
      <c r="L238" s="4"/>
      <c r="M238" s="4"/>
      <c r="N238" s="4"/>
      <c r="O238" s="4"/>
      <c r="P238" s="4"/>
      <c r="Q238" s="4"/>
      <c r="R238" s="449"/>
      <c r="S238" s="445">
        <f t="shared" si="19"/>
        <v>0</v>
      </c>
      <c r="T238" s="445">
        <f t="shared" si="20"/>
        <v>0</v>
      </c>
      <c r="U238" s="445">
        <f t="shared" si="21"/>
        <v>0</v>
      </c>
      <c r="W238" s="450"/>
      <c r="X238" s="448"/>
      <c r="Y238" s="441"/>
      <c r="Z238" s="441"/>
      <c r="AA238" s="441"/>
      <c r="AB238" s="441"/>
      <c r="AC238" s="441"/>
      <c r="AD238" s="441"/>
      <c r="AE238" s="441"/>
      <c r="AF238" s="441"/>
      <c r="AG238" s="441"/>
      <c r="AH238" s="441"/>
      <c r="AI238" s="441"/>
      <c r="AJ238" s="441"/>
      <c r="AK238" s="441"/>
      <c r="AL238" s="441"/>
      <c r="AM238" s="441"/>
      <c r="AN238" s="441"/>
      <c r="AO238" s="441"/>
      <c r="AP238" s="448"/>
      <c r="AQ238" s="448"/>
      <c r="AR238" s="448"/>
      <c r="AS238" s="448"/>
      <c r="AT238" s="448"/>
      <c r="AU238" s="448"/>
      <c r="AV238" s="448"/>
      <c r="AW238" s="448"/>
      <c r="AX238" s="448"/>
      <c r="AY238" s="448"/>
      <c r="AZ238" s="448"/>
      <c r="BA238" s="448"/>
      <c r="BB238" s="448"/>
      <c r="BC238" s="448"/>
      <c r="BD238" s="448"/>
    </row>
    <row r="239" spans="1:56" ht="12.75" hidden="1" thickBot="1">
      <c r="A239" s="1" t="s">
        <v>1273</v>
      </c>
      <c r="B239" s="2" t="s">
        <v>797</v>
      </c>
      <c r="C239" s="2" t="s">
        <v>798</v>
      </c>
      <c r="D239" s="8" t="s">
        <v>830</v>
      </c>
      <c r="E239" s="458"/>
      <c r="F239" s="6"/>
      <c r="G239" s="6"/>
      <c r="H239" s="6"/>
      <c r="I239" s="6"/>
      <c r="J239" s="6"/>
      <c r="K239" s="6"/>
      <c r="L239" s="6"/>
      <c r="M239" s="6"/>
      <c r="N239" s="6"/>
      <c r="O239" s="6"/>
      <c r="P239" s="6"/>
      <c r="Q239" s="6"/>
      <c r="R239" s="451"/>
      <c r="S239" s="445">
        <f t="shared" si="19"/>
        <v>0</v>
      </c>
      <c r="T239" s="445">
        <f t="shared" si="20"/>
        <v>0</v>
      </c>
      <c r="U239" s="445">
        <f t="shared" si="21"/>
        <v>0</v>
      </c>
      <c r="W239" s="450"/>
      <c r="X239" s="448"/>
      <c r="Y239" s="441"/>
      <c r="Z239" s="441"/>
      <c r="AA239" s="441"/>
      <c r="AB239" s="441"/>
      <c r="AC239" s="441"/>
      <c r="AD239" s="441"/>
      <c r="AE239" s="441"/>
      <c r="AF239" s="441"/>
      <c r="AG239" s="441"/>
      <c r="AH239" s="441"/>
      <c r="AI239" s="441"/>
      <c r="AJ239" s="441"/>
      <c r="AK239" s="441"/>
      <c r="AL239" s="441"/>
      <c r="AM239" s="441"/>
      <c r="AN239" s="441"/>
      <c r="AO239" s="441"/>
      <c r="AP239" s="448"/>
      <c r="AQ239" s="448"/>
      <c r="AR239" s="448"/>
      <c r="AS239" s="448"/>
      <c r="AT239" s="448"/>
      <c r="AU239" s="448"/>
      <c r="AV239" s="448"/>
      <c r="AW239" s="448"/>
      <c r="AX239" s="448"/>
      <c r="AY239" s="448"/>
      <c r="AZ239" s="448"/>
      <c r="BA239" s="448"/>
      <c r="BB239" s="448"/>
      <c r="BC239" s="448"/>
      <c r="BD239" s="448"/>
    </row>
    <row r="240" spans="1:56" ht="12.75" hidden="1" thickBot="1">
      <c r="A240" s="1" t="s">
        <v>1273</v>
      </c>
      <c r="B240" s="2" t="s">
        <v>793</v>
      </c>
      <c r="C240" s="2" t="s">
        <v>1032</v>
      </c>
      <c r="D240" s="8" t="s">
        <v>793</v>
      </c>
      <c r="E240" s="3">
        <f t="shared" ref="E240:R259" si="22">ROUND(SUMIFS(E$1410:E$1613,$A$1410:$A$1613,$A240,$B$1410:$B$1613,$B240),0)</f>
        <v>12095163</v>
      </c>
      <c r="F240" s="452">
        <f t="shared" si="22"/>
        <v>0</v>
      </c>
      <c r="G240" s="452">
        <f t="shared" si="22"/>
        <v>1201604</v>
      </c>
      <c r="H240" s="452">
        <f t="shared" si="22"/>
        <v>329593</v>
      </c>
      <c r="I240" s="452">
        <f t="shared" si="22"/>
        <v>0</v>
      </c>
      <c r="J240" s="452">
        <f t="shared" si="22"/>
        <v>0</v>
      </c>
      <c r="K240" s="452">
        <f t="shared" si="22"/>
        <v>0</v>
      </c>
      <c r="L240" s="452">
        <f t="shared" si="22"/>
        <v>0</v>
      </c>
      <c r="M240" s="452">
        <f t="shared" si="22"/>
        <v>-17056</v>
      </c>
      <c r="N240" s="452">
        <f t="shared" si="22"/>
        <v>125413</v>
      </c>
      <c r="O240" s="452">
        <f t="shared" si="22"/>
        <v>0</v>
      </c>
      <c r="P240" s="452">
        <f t="shared" si="22"/>
        <v>0</v>
      </c>
      <c r="Q240" s="452"/>
      <c r="R240" s="452">
        <f t="shared" si="22"/>
        <v>1639553</v>
      </c>
      <c r="S240" s="445">
        <f t="shared" ref="S240:S303" si="23">G240+H240+I240</f>
        <v>1531197</v>
      </c>
      <c r="T240" s="445">
        <f t="shared" ref="T240:T303" si="24">J240+K240</f>
        <v>0</v>
      </c>
      <c r="U240" s="445">
        <f t="shared" ref="U240:U303" si="25">N240+O240</f>
        <v>125413</v>
      </c>
      <c r="W240" s="450"/>
      <c r="X240" s="448"/>
      <c r="Y240" s="441"/>
      <c r="Z240" s="441"/>
      <c r="AA240" s="441"/>
      <c r="AB240" s="441"/>
      <c r="AC240" s="441"/>
      <c r="AD240" s="441"/>
      <c r="AE240" s="441"/>
      <c r="AF240" s="441"/>
      <c r="AG240" s="441"/>
      <c r="AH240" s="441"/>
      <c r="AI240" s="441"/>
      <c r="AJ240" s="441"/>
      <c r="AK240" s="441"/>
      <c r="AL240" s="441"/>
      <c r="AM240" s="441"/>
      <c r="AN240" s="441"/>
      <c r="AO240" s="441"/>
      <c r="AP240" s="448"/>
      <c r="AQ240" s="448"/>
      <c r="AR240" s="448"/>
      <c r="AS240" s="448"/>
      <c r="AT240" s="448"/>
      <c r="AU240" s="448"/>
      <c r="AV240" s="448"/>
      <c r="AW240" s="448"/>
      <c r="AX240" s="448"/>
      <c r="AY240" s="448"/>
      <c r="AZ240" s="448"/>
      <c r="BA240" s="448"/>
      <c r="BB240" s="448"/>
      <c r="BC240" s="448"/>
      <c r="BD240" s="448"/>
    </row>
    <row r="241" spans="1:56" ht="12.75" hidden="1" thickBot="1">
      <c r="A241" s="1" t="s">
        <v>1273</v>
      </c>
      <c r="B241" s="2" t="s">
        <v>1111</v>
      </c>
      <c r="C241" s="2" t="s">
        <v>1199</v>
      </c>
      <c r="D241" s="8" t="s">
        <v>830</v>
      </c>
      <c r="E241" s="3">
        <f t="shared" si="22"/>
        <v>0</v>
      </c>
      <c r="F241" s="452">
        <f t="shared" si="22"/>
        <v>0</v>
      </c>
      <c r="G241" s="452">
        <f t="shared" si="22"/>
        <v>0</v>
      </c>
      <c r="H241" s="452">
        <f t="shared" si="22"/>
        <v>0</v>
      </c>
      <c r="I241" s="452">
        <f t="shared" si="22"/>
        <v>0</v>
      </c>
      <c r="J241" s="452">
        <f t="shared" si="22"/>
        <v>0</v>
      </c>
      <c r="K241" s="452">
        <f t="shared" si="22"/>
        <v>0</v>
      </c>
      <c r="L241" s="452">
        <f t="shared" si="22"/>
        <v>0</v>
      </c>
      <c r="M241" s="452">
        <f t="shared" si="22"/>
        <v>0</v>
      </c>
      <c r="N241" s="452">
        <f t="shared" si="22"/>
        <v>0</v>
      </c>
      <c r="O241" s="452">
        <f t="shared" si="22"/>
        <v>0</v>
      </c>
      <c r="P241" s="452">
        <f t="shared" si="22"/>
        <v>0</v>
      </c>
      <c r="Q241" s="452"/>
      <c r="R241" s="452">
        <f t="shared" si="22"/>
        <v>0</v>
      </c>
      <c r="S241" s="445">
        <f t="shared" si="23"/>
        <v>0</v>
      </c>
      <c r="T241" s="445">
        <f t="shared" si="24"/>
        <v>0</v>
      </c>
      <c r="U241" s="445">
        <f t="shared" si="25"/>
        <v>0</v>
      </c>
      <c r="W241" s="450"/>
      <c r="X241" s="448"/>
      <c r="Y241" s="441"/>
      <c r="Z241" s="441"/>
      <c r="AA241" s="441"/>
      <c r="AB241" s="441"/>
      <c r="AC241" s="441"/>
      <c r="AD241" s="441"/>
      <c r="AE241" s="441"/>
      <c r="AF241" s="441"/>
      <c r="AG241" s="441"/>
      <c r="AH241" s="441"/>
      <c r="AI241" s="441"/>
      <c r="AJ241" s="441"/>
      <c r="AK241" s="441"/>
      <c r="AL241" s="441"/>
      <c r="AM241" s="441"/>
      <c r="AN241" s="441"/>
      <c r="AO241" s="441"/>
      <c r="AP241" s="448"/>
      <c r="AQ241" s="448"/>
      <c r="AR241" s="448"/>
      <c r="AS241" s="448"/>
      <c r="AT241" s="448"/>
      <c r="AU241" s="448"/>
      <c r="AV241" s="448"/>
      <c r="AW241" s="448"/>
      <c r="AX241" s="448"/>
      <c r="AY241" s="448"/>
      <c r="AZ241" s="448"/>
      <c r="BA241" s="448"/>
      <c r="BB241" s="448"/>
      <c r="BC241" s="448"/>
      <c r="BD241" s="448"/>
    </row>
    <row r="242" spans="1:56" ht="12.75" hidden="1" thickBot="1">
      <c r="A242" s="1" t="s">
        <v>1273</v>
      </c>
      <c r="B242" s="2" t="s">
        <v>801</v>
      </c>
      <c r="C242" s="2" t="s">
        <v>1243</v>
      </c>
      <c r="D242" s="8" t="s">
        <v>1205</v>
      </c>
      <c r="E242" s="3">
        <f t="shared" si="22"/>
        <v>0</v>
      </c>
      <c r="F242" s="452">
        <f t="shared" si="22"/>
        <v>0</v>
      </c>
      <c r="G242" s="452">
        <f t="shared" si="22"/>
        <v>0</v>
      </c>
      <c r="H242" s="452">
        <f t="shared" si="22"/>
        <v>0</v>
      </c>
      <c r="I242" s="452">
        <f t="shared" si="22"/>
        <v>0</v>
      </c>
      <c r="J242" s="452">
        <f t="shared" si="22"/>
        <v>0</v>
      </c>
      <c r="K242" s="452">
        <f t="shared" si="22"/>
        <v>0</v>
      </c>
      <c r="L242" s="452">
        <f t="shared" si="22"/>
        <v>0</v>
      </c>
      <c r="M242" s="452">
        <f t="shared" si="22"/>
        <v>0</v>
      </c>
      <c r="N242" s="452">
        <f t="shared" si="22"/>
        <v>0</v>
      </c>
      <c r="O242" s="452">
        <f t="shared" si="22"/>
        <v>0</v>
      </c>
      <c r="P242" s="452">
        <f t="shared" si="22"/>
        <v>0</v>
      </c>
      <c r="Q242" s="452"/>
      <c r="R242" s="452">
        <f t="shared" si="22"/>
        <v>0</v>
      </c>
      <c r="S242" s="445">
        <f t="shared" si="23"/>
        <v>0</v>
      </c>
      <c r="T242" s="445">
        <f t="shared" si="24"/>
        <v>0</v>
      </c>
      <c r="U242" s="445">
        <f t="shared" si="25"/>
        <v>0</v>
      </c>
      <c r="W242" s="450"/>
      <c r="X242" s="448"/>
      <c r="Y242" s="441"/>
      <c r="Z242" s="441"/>
      <c r="AA242" s="441"/>
      <c r="AB242" s="441"/>
      <c r="AC242" s="441"/>
      <c r="AD242" s="441"/>
      <c r="AE242" s="441"/>
      <c r="AF242" s="441"/>
      <c r="AG242" s="441"/>
      <c r="AH242" s="441"/>
      <c r="AI242" s="441"/>
      <c r="AJ242" s="441"/>
      <c r="AK242" s="441"/>
      <c r="AL242" s="441"/>
      <c r="AM242" s="441"/>
      <c r="AN242" s="441"/>
      <c r="AO242" s="441"/>
      <c r="AP242" s="448"/>
      <c r="AQ242" s="448"/>
      <c r="AR242" s="448"/>
      <c r="AS242" s="448"/>
      <c r="AT242" s="448"/>
      <c r="AU242" s="448"/>
      <c r="AV242" s="448"/>
      <c r="AW242" s="448"/>
      <c r="AX242" s="448"/>
      <c r="AY242" s="448"/>
      <c r="AZ242" s="448"/>
      <c r="BA242" s="448"/>
      <c r="BB242" s="448"/>
      <c r="BC242" s="448"/>
      <c r="BD242" s="448"/>
    </row>
    <row r="243" spans="1:56" ht="12.75" hidden="1" thickBot="1">
      <c r="A243" s="1" t="s">
        <v>1273</v>
      </c>
      <c r="B243" s="2" t="s">
        <v>368</v>
      </c>
      <c r="C243" s="2" t="s">
        <v>1200</v>
      </c>
      <c r="D243" s="8" t="s">
        <v>417</v>
      </c>
      <c r="E243" s="3">
        <f t="shared" si="22"/>
        <v>0</v>
      </c>
      <c r="F243" s="452">
        <f t="shared" si="22"/>
        <v>0</v>
      </c>
      <c r="G243" s="452">
        <f t="shared" si="22"/>
        <v>0</v>
      </c>
      <c r="H243" s="452">
        <f t="shared" si="22"/>
        <v>0</v>
      </c>
      <c r="I243" s="452">
        <f t="shared" si="22"/>
        <v>0</v>
      </c>
      <c r="J243" s="452">
        <f t="shared" si="22"/>
        <v>0</v>
      </c>
      <c r="K243" s="452">
        <f t="shared" si="22"/>
        <v>0</v>
      </c>
      <c r="L243" s="452">
        <f t="shared" si="22"/>
        <v>0</v>
      </c>
      <c r="M243" s="452">
        <f t="shared" si="22"/>
        <v>0</v>
      </c>
      <c r="N243" s="452">
        <f t="shared" si="22"/>
        <v>0</v>
      </c>
      <c r="O243" s="452">
        <f t="shared" si="22"/>
        <v>0</v>
      </c>
      <c r="P243" s="452">
        <f t="shared" si="22"/>
        <v>0</v>
      </c>
      <c r="Q243" s="452"/>
      <c r="R243" s="452">
        <f t="shared" si="22"/>
        <v>0</v>
      </c>
      <c r="S243" s="445">
        <f t="shared" si="23"/>
        <v>0</v>
      </c>
      <c r="T243" s="445">
        <f t="shared" si="24"/>
        <v>0</v>
      </c>
      <c r="U243" s="445">
        <f t="shared" si="25"/>
        <v>0</v>
      </c>
      <c r="W243" s="450"/>
      <c r="X243" s="448"/>
      <c r="Y243" s="441"/>
      <c r="Z243" s="441"/>
      <c r="AA243" s="441"/>
      <c r="AB243" s="441"/>
      <c r="AC243" s="441"/>
      <c r="AD243" s="441"/>
      <c r="AE243" s="441"/>
      <c r="AF243" s="441"/>
      <c r="AG243" s="441"/>
      <c r="AH243" s="441"/>
      <c r="AI243" s="441"/>
      <c r="AJ243" s="441"/>
      <c r="AK243" s="441"/>
      <c r="AL243" s="441"/>
      <c r="AM243" s="441"/>
      <c r="AN243" s="441"/>
      <c r="AO243" s="441"/>
      <c r="AP243" s="448"/>
      <c r="AQ243" s="448"/>
      <c r="AR243" s="448"/>
      <c r="AS243" s="448"/>
      <c r="AT243" s="448"/>
      <c r="AU243" s="448"/>
      <c r="AV243" s="448"/>
      <c r="AW243" s="448"/>
      <c r="AX243" s="448"/>
      <c r="AY243" s="448"/>
      <c r="AZ243" s="448"/>
      <c r="BA243" s="448"/>
      <c r="BB243" s="448"/>
      <c r="BC243" s="448"/>
      <c r="BD243" s="448"/>
    </row>
    <row r="244" spans="1:56" ht="12.75" hidden="1" thickBot="1">
      <c r="A244" s="1" t="s">
        <v>1273</v>
      </c>
      <c r="B244" s="2" t="s">
        <v>370</v>
      </c>
      <c r="C244" s="2" t="s">
        <v>118</v>
      </c>
      <c r="D244" s="8" t="s">
        <v>414</v>
      </c>
      <c r="E244" s="3">
        <f t="shared" si="22"/>
        <v>29862341</v>
      </c>
      <c r="F244" s="452">
        <f t="shared" si="22"/>
        <v>564835</v>
      </c>
      <c r="G244" s="452">
        <f t="shared" si="22"/>
        <v>1864007</v>
      </c>
      <c r="H244" s="452">
        <f t="shared" si="22"/>
        <v>813749</v>
      </c>
      <c r="I244" s="452">
        <f t="shared" si="22"/>
        <v>49870</v>
      </c>
      <c r="J244" s="452">
        <f t="shared" si="22"/>
        <v>0</v>
      </c>
      <c r="K244" s="452">
        <f t="shared" si="22"/>
        <v>0</v>
      </c>
      <c r="L244" s="452">
        <f t="shared" si="22"/>
        <v>50362</v>
      </c>
      <c r="M244" s="452">
        <f t="shared" si="22"/>
        <v>-42112</v>
      </c>
      <c r="N244" s="452">
        <f t="shared" si="22"/>
        <v>0</v>
      </c>
      <c r="O244" s="452">
        <f t="shared" si="22"/>
        <v>309639</v>
      </c>
      <c r="P244" s="452">
        <f t="shared" si="22"/>
        <v>0</v>
      </c>
      <c r="Q244" s="452"/>
      <c r="R244" s="452">
        <f t="shared" si="22"/>
        <v>3610351</v>
      </c>
      <c r="S244" s="445">
        <f t="shared" si="23"/>
        <v>2727626</v>
      </c>
      <c r="T244" s="445">
        <f t="shared" si="24"/>
        <v>0</v>
      </c>
      <c r="U244" s="445">
        <f t="shared" si="25"/>
        <v>309639</v>
      </c>
      <c r="W244" s="450"/>
      <c r="X244" s="448"/>
      <c r="Y244" s="441"/>
      <c r="Z244" s="441"/>
      <c r="AA244" s="441"/>
      <c r="AB244" s="441"/>
      <c r="AC244" s="441"/>
      <c r="AD244" s="441"/>
      <c r="AE244" s="441"/>
      <c r="AF244" s="441"/>
      <c r="AG244" s="441"/>
      <c r="AH244" s="441"/>
      <c r="AI244" s="441"/>
      <c r="AJ244" s="441"/>
      <c r="AK244" s="441"/>
      <c r="AL244" s="441"/>
      <c r="AM244" s="441"/>
      <c r="AN244" s="441"/>
      <c r="AO244" s="441"/>
      <c r="AP244" s="448"/>
      <c r="AQ244" s="448"/>
      <c r="AR244" s="448"/>
      <c r="AS244" s="448"/>
      <c r="AT244" s="448"/>
      <c r="AU244" s="448"/>
      <c r="AV244" s="448"/>
      <c r="AW244" s="448"/>
      <c r="AX244" s="448"/>
      <c r="AY244" s="448"/>
      <c r="AZ244" s="448"/>
      <c r="BA244" s="448"/>
      <c r="BB244" s="448"/>
      <c r="BC244" s="448"/>
      <c r="BD244" s="448"/>
    </row>
    <row r="245" spans="1:56" ht="12.75" hidden="1" thickBot="1">
      <c r="A245" s="1" t="s">
        <v>1273</v>
      </c>
      <c r="B245" s="2" t="s">
        <v>371</v>
      </c>
      <c r="C245" s="2" t="s">
        <v>1201</v>
      </c>
      <c r="D245" s="8" t="s">
        <v>414</v>
      </c>
      <c r="E245" s="3">
        <f t="shared" si="22"/>
        <v>0</v>
      </c>
      <c r="F245" s="452">
        <f t="shared" si="22"/>
        <v>0</v>
      </c>
      <c r="G245" s="452">
        <f t="shared" si="22"/>
        <v>0</v>
      </c>
      <c r="H245" s="452">
        <f t="shared" si="22"/>
        <v>0</v>
      </c>
      <c r="I245" s="452">
        <f t="shared" si="22"/>
        <v>0</v>
      </c>
      <c r="J245" s="452">
        <f t="shared" si="22"/>
        <v>0</v>
      </c>
      <c r="K245" s="452">
        <f t="shared" si="22"/>
        <v>0</v>
      </c>
      <c r="L245" s="452">
        <f t="shared" si="22"/>
        <v>0</v>
      </c>
      <c r="M245" s="452">
        <f t="shared" si="22"/>
        <v>0</v>
      </c>
      <c r="N245" s="452">
        <f t="shared" si="22"/>
        <v>0</v>
      </c>
      <c r="O245" s="452">
        <f t="shared" si="22"/>
        <v>0</v>
      </c>
      <c r="P245" s="452">
        <f t="shared" si="22"/>
        <v>0</v>
      </c>
      <c r="Q245" s="452"/>
      <c r="R245" s="452">
        <f t="shared" si="22"/>
        <v>0</v>
      </c>
      <c r="S245" s="445">
        <f t="shared" si="23"/>
        <v>0</v>
      </c>
      <c r="T245" s="445">
        <f t="shared" si="24"/>
        <v>0</v>
      </c>
      <c r="U245" s="445">
        <f t="shared" si="25"/>
        <v>0</v>
      </c>
      <c r="W245" s="450"/>
      <c r="X245" s="448"/>
      <c r="Y245" s="441"/>
      <c r="Z245" s="441"/>
      <c r="AA245" s="441"/>
      <c r="AB245" s="441"/>
      <c r="AC245" s="441"/>
      <c r="AD245" s="441"/>
      <c r="AE245" s="441"/>
      <c r="AF245" s="441"/>
      <c r="AG245" s="441"/>
      <c r="AH245" s="441"/>
      <c r="AI245" s="441"/>
      <c r="AJ245" s="441"/>
      <c r="AK245" s="441"/>
      <c r="AL245" s="441"/>
      <c r="AM245" s="441"/>
      <c r="AN245" s="441"/>
      <c r="AO245" s="441"/>
      <c r="AP245" s="448"/>
      <c r="AQ245" s="448"/>
      <c r="AR245" s="448"/>
      <c r="AS245" s="448"/>
      <c r="AT245" s="448"/>
      <c r="AU245" s="448"/>
      <c r="AV245" s="448"/>
      <c r="AW245" s="448"/>
      <c r="AX245" s="448"/>
      <c r="AY245" s="448"/>
      <c r="AZ245" s="448"/>
      <c r="BA245" s="448"/>
      <c r="BB245" s="448"/>
      <c r="BC245" s="448"/>
      <c r="BD245" s="448"/>
    </row>
    <row r="246" spans="1:56" ht="12.75" hidden="1" thickBot="1">
      <c r="A246" s="1" t="s">
        <v>1273</v>
      </c>
      <c r="B246" s="2" t="s">
        <v>372</v>
      </c>
      <c r="C246" s="2" t="s">
        <v>1202</v>
      </c>
      <c r="D246" s="8" t="s">
        <v>416</v>
      </c>
      <c r="E246" s="3">
        <f t="shared" si="22"/>
        <v>0</v>
      </c>
      <c r="F246" s="452">
        <f t="shared" si="22"/>
        <v>0</v>
      </c>
      <c r="G246" s="452">
        <f t="shared" si="22"/>
        <v>0</v>
      </c>
      <c r="H246" s="452">
        <f t="shared" si="22"/>
        <v>0</v>
      </c>
      <c r="I246" s="452">
        <f t="shared" si="22"/>
        <v>0</v>
      </c>
      <c r="J246" s="452">
        <f t="shared" si="22"/>
        <v>0</v>
      </c>
      <c r="K246" s="452">
        <f t="shared" si="22"/>
        <v>0</v>
      </c>
      <c r="L246" s="452">
        <f t="shared" si="22"/>
        <v>0</v>
      </c>
      <c r="M246" s="452">
        <f t="shared" si="22"/>
        <v>0</v>
      </c>
      <c r="N246" s="452">
        <f t="shared" si="22"/>
        <v>0</v>
      </c>
      <c r="O246" s="452">
        <f t="shared" si="22"/>
        <v>0</v>
      </c>
      <c r="P246" s="452">
        <f t="shared" si="22"/>
        <v>0</v>
      </c>
      <c r="Q246" s="452"/>
      <c r="R246" s="452">
        <f t="shared" si="22"/>
        <v>0</v>
      </c>
      <c r="S246" s="445">
        <f t="shared" si="23"/>
        <v>0</v>
      </c>
      <c r="T246" s="445">
        <f t="shared" si="24"/>
        <v>0</v>
      </c>
      <c r="U246" s="445">
        <f t="shared" si="25"/>
        <v>0</v>
      </c>
      <c r="W246" s="450"/>
      <c r="X246" s="448"/>
      <c r="Y246" s="441"/>
      <c r="Z246" s="441"/>
      <c r="AA246" s="441"/>
      <c r="AB246" s="441"/>
      <c r="AC246" s="441"/>
      <c r="AD246" s="441"/>
      <c r="AE246" s="441"/>
      <c r="AF246" s="441"/>
      <c r="AG246" s="441"/>
      <c r="AH246" s="441"/>
      <c r="AI246" s="441"/>
      <c r="AJ246" s="441"/>
      <c r="AK246" s="441"/>
      <c r="AL246" s="441"/>
      <c r="AM246" s="441"/>
      <c r="AN246" s="441"/>
      <c r="AO246" s="441"/>
      <c r="AP246" s="448"/>
      <c r="AQ246" s="448"/>
      <c r="AR246" s="448"/>
      <c r="AS246" s="448"/>
      <c r="AT246" s="448"/>
      <c r="AU246" s="448"/>
      <c r="AV246" s="448"/>
      <c r="AW246" s="448"/>
      <c r="AX246" s="448"/>
      <c r="AY246" s="448"/>
      <c r="AZ246" s="448"/>
      <c r="BA246" s="448"/>
      <c r="BB246" s="448"/>
      <c r="BC246" s="448"/>
      <c r="BD246" s="448"/>
    </row>
    <row r="247" spans="1:56" ht="12.75" hidden="1" thickBot="1">
      <c r="A247" s="1" t="s">
        <v>1273</v>
      </c>
      <c r="B247" s="2" t="s">
        <v>374</v>
      </c>
      <c r="C247" s="2" t="s">
        <v>415</v>
      </c>
      <c r="D247" s="8" t="s">
        <v>414</v>
      </c>
      <c r="E247" s="3">
        <f t="shared" si="22"/>
        <v>0</v>
      </c>
      <c r="F247" s="452">
        <f t="shared" si="22"/>
        <v>0</v>
      </c>
      <c r="G247" s="452">
        <f t="shared" si="22"/>
        <v>0</v>
      </c>
      <c r="H247" s="452">
        <f t="shared" si="22"/>
        <v>0</v>
      </c>
      <c r="I247" s="452">
        <f t="shared" si="22"/>
        <v>0</v>
      </c>
      <c r="J247" s="452">
        <f t="shared" si="22"/>
        <v>0</v>
      </c>
      <c r="K247" s="452">
        <f t="shared" si="22"/>
        <v>0</v>
      </c>
      <c r="L247" s="452">
        <f t="shared" si="22"/>
        <v>0</v>
      </c>
      <c r="M247" s="452">
        <f t="shared" si="22"/>
        <v>0</v>
      </c>
      <c r="N247" s="452">
        <f t="shared" si="22"/>
        <v>0</v>
      </c>
      <c r="O247" s="452">
        <f t="shared" si="22"/>
        <v>0</v>
      </c>
      <c r="P247" s="452">
        <f t="shared" si="22"/>
        <v>0</v>
      </c>
      <c r="Q247" s="452"/>
      <c r="R247" s="452">
        <f t="shared" si="22"/>
        <v>0</v>
      </c>
      <c r="S247" s="445">
        <f t="shared" si="23"/>
        <v>0</v>
      </c>
      <c r="T247" s="445">
        <f t="shared" si="24"/>
        <v>0</v>
      </c>
      <c r="U247" s="445">
        <f t="shared" si="25"/>
        <v>0</v>
      </c>
      <c r="W247" s="450"/>
      <c r="X247" s="448"/>
      <c r="Y247" s="441"/>
      <c r="Z247" s="441"/>
      <c r="AA247" s="441"/>
      <c r="AB247" s="441"/>
      <c r="AC247" s="441"/>
      <c r="AD247" s="441"/>
      <c r="AE247" s="441"/>
      <c r="AF247" s="441"/>
      <c r="AG247" s="441"/>
      <c r="AH247" s="441"/>
      <c r="AI247" s="441"/>
      <c r="AJ247" s="441"/>
      <c r="AK247" s="441"/>
      <c r="AL247" s="441"/>
      <c r="AM247" s="441"/>
      <c r="AN247" s="441"/>
      <c r="AO247" s="441"/>
      <c r="AP247" s="448"/>
      <c r="AQ247" s="448"/>
      <c r="AR247" s="448"/>
      <c r="AS247" s="448"/>
      <c r="AT247" s="448"/>
      <c r="AU247" s="448"/>
      <c r="AV247" s="448"/>
      <c r="AW247" s="448"/>
      <c r="AX247" s="448"/>
      <c r="AY247" s="448"/>
      <c r="AZ247" s="448"/>
      <c r="BA247" s="448"/>
      <c r="BB247" s="448"/>
      <c r="BC247" s="448"/>
      <c r="BD247" s="448"/>
    </row>
    <row r="248" spans="1:56" ht="12.75" hidden="1" thickBot="1">
      <c r="A248" s="1" t="s">
        <v>1273</v>
      </c>
      <c r="B248" s="2" t="s">
        <v>375</v>
      </c>
      <c r="C248" s="2" t="s">
        <v>406</v>
      </c>
      <c r="D248" s="8" t="s">
        <v>20</v>
      </c>
      <c r="E248" s="3">
        <f t="shared" si="22"/>
        <v>130807807</v>
      </c>
      <c r="F248" s="452">
        <f t="shared" si="22"/>
        <v>232650</v>
      </c>
      <c r="G248" s="452">
        <f t="shared" si="22"/>
        <v>1746284</v>
      </c>
      <c r="H248" s="452">
        <f t="shared" si="22"/>
        <v>3564513</v>
      </c>
      <c r="I248" s="452">
        <f t="shared" si="22"/>
        <v>0</v>
      </c>
      <c r="J248" s="452">
        <f t="shared" si="22"/>
        <v>158104</v>
      </c>
      <c r="K248" s="452">
        <f t="shared" si="22"/>
        <v>4456551</v>
      </c>
      <c r="L248" s="452">
        <f t="shared" si="22"/>
        <v>220606</v>
      </c>
      <c r="M248" s="452">
        <f t="shared" si="22"/>
        <v>-184464</v>
      </c>
      <c r="N248" s="452">
        <f t="shared" si="22"/>
        <v>0</v>
      </c>
      <c r="O248" s="452">
        <f t="shared" si="22"/>
        <v>1356328</v>
      </c>
      <c r="P248" s="452">
        <f t="shared" si="22"/>
        <v>0</v>
      </c>
      <c r="Q248" s="452"/>
      <c r="R248" s="452">
        <f t="shared" si="22"/>
        <v>11550573</v>
      </c>
      <c r="S248" s="445">
        <f t="shared" si="23"/>
        <v>5310797</v>
      </c>
      <c r="T248" s="445">
        <f t="shared" si="24"/>
        <v>4614655</v>
      </c>
      <c r="U248" s="445">
        <f t="shared" si="25"/>
        <v>1356328</v>
      </c>
      <c r="W248" s="450"/>
      <c r="X248" s="448"/>
      <c r="Y248" s="441"/>
      <c r="Z248" s="441"/>
      <c r="AA248" s="441"/>
      <c r="AB248" s="441"/>
      <c r="AC248" s="441"/>
      <c r="AD248" s="441"/>
      <c r="AE248" s="441"/>
      <c r="AF248" s="441"/>
      <c r="AG248" s="441"/>
      <c r="AH248" s="441"/>
      <c r="AI248" s="441"/>
      <c r="AJ248" s="441"/>
      <c r="AK248" s="441"/>
      <c r="AL248" s="441"/>
      <c r="AM248" s="441"/>
      <c r="AN248" s="441"/>
      <c r="AO248" s="441"/>
      <c r="AP248" s="448"/>
      <c r="AQ248" s="448"/>
      <c r="AR248" s="448"/>
      <c r="AS248" s="448"/>
      <c r="AT248" s="448"/>
      <c r="AU248" s="448"/>
      <c r="AV248" s="448"/>
      <c r="AW248" s="448"/>
      <c r="AX248" s="448"/>
      <c r="AY248" s="448"/>
      <c r="AZ248" s="448"/>
      <c r="BA248" s="448"/>
      <c r="BB248" s="448"/>
      <c r="BC248" s="448"/>
      <c r="BD248" s="448"/>
    </row>
    <row r="249" spans="1:56" ht="12.75" hidden="1" thickBot="1">
      <c r="A249" s="1" t="s">
        <v>1273</v>
      </c>
      <c r="B249" s="2" t="s">
        <v>376</v>
      </c>
      <c r="C249" s="2" t="s">
        <v>404</v>
      </c>
      <c r="D249" s="8" t="s">
        <v>21</v>
      </c>
      <c r="E249" s="3">
        <f t="shared" si="22"/>
        <v>10824710</v>
      </c>
      <c r="F249" s="452">
        <f t="shared" si="22"/>
        <v>8840</v>
      </c>
      <c r="G249" s="452">
        <f t="shared" si="22"/>
        <v>130005</v>
      </c>
      <c r="H249" s="452">
        <f t="shared" si="22"/>
        <v>294973</v>
      </c>
      <c r="I249" s="452">
        <f t="shared" si="22"/>
        <v>0</v>
      </c>
      <c r="J249" s="452">
        <f t="shared" si="22"/>
        <v>12792</v>
      </c>
      <c r="K249" s="452">
        <f t="shared" si="22"/>
        <v>297942</v>
      </c>
      <c r="L249" s="452">
        <f t="shared" si="22"/>
        <v>18256</v>
      </c>
      <c r="M249" s="452">
        <f t="shared" si="22"/>
        <v>-15265</v>
      </c>
      <c r="N249" s="452">
        <f t="shared" si="22"/>
        <v>0</v>
      </c>
      <c r="O249" s="452">
        <f t="shared" si="22"/>
        <v>112240</v>
      </c>
      <c r="P249" s="452">
        <f t="shared" si="22"/>
        <v>0</v>
      </c>
      <c r="Q249" s="452"/>
      <c r="R249" s="452">
        <f t="shared" si="22"/>
        <v>859782</v>
      </c>
      <c r="S249" s="445">
        <f t="shared" si="23"/>
        <v>424978</v>
      </c>
      <c r="T249" s="445">
        <f t="shared" si="24"/>
        <v>310734</v>
      </c>
      <c r="U249" s="445">
        <f t="shared" si="25"/>
        <v>112240</v>
      </c>
      <c r="W249" s="450"/>
      <c r="X249" s="448"/>
      <c r="Y249" s="441"/>
      <c r="Z249" s="441"/>
      <c r="AA249" s="441"/>
      <c r="AB249" s="441"/>
      <c r="AC249" s="441"/>
      <c r="AD249" s="441"/>
      <c r="AE249" s="441"/>
      <c r="AF249" s="441"/>
      <c r="AG249" s="441"/>
      <c r="AH249" s="441"/>
      <c r="AI249" s="441"/>
      <c r="AJ249" s="441"/>
      <c r="AK249" s="441"/>
      <c r="AL249" s="441"/>
      <c r="AM249" s="441"/>
      <c r="AN249" s="441"/>
      <c r="AO249" s="441"/>
      <c r="AP249" s="448"/>
      <c r="AQ249" s="448"/>
      <c r="AR249" s="448"/>
      <c r="AS249" s="448"/>
      <c r="AT249" s="448"/>
      <c r="AU249" s="448"/>
      <c r="AV249" s="448"/>
      <c r="AW249" s="448"/>
      <c r="AX249" s="448"/>
      <c r="AY249" s="448"/>
      <c r="AZ249" s="448"/>
      <c r="BA249" s="448"/>
      <c r="BB249" s="448"/>
      <c r="BC249" s="448"/>
      <c r="BD249" s="448"/>
    </row>
    <row r="250" spans="1:56" ht="12.75" hidden="1" thickBot="1">
      <c r="A250" s="1" t="s">
        <v>1273</v>
      </c>
      <c r="B250" s="2" t="s">
        <v>377</v>
      </c>
      <c r="C250" s="2" t="s">
        <v>407</v>
      </c>
      <c r="D250" s="8" t="s">
        <v>20</v>
      </c>
      <c r="E250" s="3">
        <f t="shared" si="22"/>
        <v>0</v>
      </c>
      <c r="F250" s="452">
        <f t="shared" si="22"/>
        <v>0</v>
      </c>
      <c r="G250" s="452">
        <f t="shared" si="22"/>
        <v>0</v>
      </c>
      <c r="H250" s="452">
        <f t="shared" si="22"/>
        <v>0</v>
      </c>
      <c r="I250" s="452">
        <f t="shared" si="22"/>
        <v>0</v>
      </c>
      <c r="J250" s="452">
        <f t="shared" si="22"/>
        <v>0</v>
      </c>
      <c r="K250" s="452">
        <f t="shared" si="22"/>
        <v>0</v>
      </c>
      <c r="L250" s="452">
        <f t="shared" si="22"/>
        <v>0</v>
      </c>
      <c r="M250" s="452">
        <f t="shared" si="22"/>
        <v>0</v>
      </c>
      <c r="N250" s="452">
        <f t="shared" si="22"/>
        <v>0</v>
      </c>
      <c r="O250" s="452">
        <f t="shared" si="22"/>
        <v>0</v>
      </c>
      <c r="P250" s="452">
        <f t="shared" si="22"/>
        <v>0</v>
      </c>
      <c r="Q250" s="452"/>
      <c r="R250" s="452">
        <f t="shared" si="22"/>
        <v>0</v>
      </c>
      <c r="S250" s="445">
        <f t="shared" si="23"/>
        <v>0</v>
      </c>
      <c r="T250" s="445">
        <f t="shared" si="24"/>
        <v>0</v>
      </c>
      <c r="U250" s="445">
        <f t="shared" si="25"/>
        <v>0</v>
      </c>
      <c r="W250" s="450"/>
      <c r="X250" s="448"/>
      <c r="Y250" s="441"/>
      <c r="Z250" s="441"/>
      <c r="AA250" s="441"/>
      <c r="AB250" s="441"/>
      <c r="AC250" s="441"/>
      <c r="AD250" s="441"/>
      <c r="AE250" s="441"/>
      <c r="AF250" s="441"/>
      <c r="AG250" s="441"/>
      <c r="AH250" s="441"/>
      <c r="AI250" s="441"/>
      <c r="AJ250" s="441"/>
      <c r="AK250" s="441"/>
      <c r="AL250" s="441"/>
      <c r="AM250" s="441"/>
      <c r="AN250" s="441"/>
      <c r="AO250" s="441"/>
      <c r="AP250" s="448"/>
      <c r="AQ250" s="448"/>
      <c r="AR250" s="448"/>
      <c r="AS250" s="448"/>
      <c r="AT250" s="448"/>
      <c r="AU250" s="448"/>
      <c r="AV250" s="448"/>
      <c r="AW250" s="448"/>
      <c r="AX250" s="448"/>
      <c r="AY250" s="448"/>
      <c r="AZ250" s="448"/>
      <c r="BA250" s="448"/>
      <c r="BB250" s="448"/>
      <c r="BC250" s="448"/>
      <c r="BD250" s="448"/>
    </row>
    <row r="251" spans="1:56" ht="12.75" hidden="1" thickBot="1">
      <c r="A251" s="1" t="s">
        <v>1273</v>
      </c>
      <c r="B251" s="2" t="s">
        <v>378</v>
      </c>
      <c r="C251" s="2" t="s">
        <v>1033</v>
      </c>
      <c r="D251" s="8" t="s">
        <v>1006</v>
      </c>
      <c r="E251" s="3">
        <f t="shared" si="22"/>
        <v>57508342</v>
      </c>
      <c r="F251" s="452">
        <f t="shared" si="22"/>
        <v>44800</v>
      </c>
      <c r="G251" s="452">
        <f t="shared" si="22"/>
        <v>727481</v>
      </c>
      <c r="H251" s="452">
        <f t="shared" si="22"/>
        <v>1567102</v>
      </c>
      <c r="I251" s="452">
        <f t="shared" si="22"/>
        <v>0</v>
      </c>
      <c r="J251" s="452">
        <f t="shared" si="22"/>
        <v>58994</v>
      </c>
      <c r="K251" s="452">
        <f t="shared" si="22"/>
        <v>1725717</v>
      </c>
      <c r="L251" s="452">
        <f t="shared" si="22"/>
        <v>96987</v>
      </c>
      <c r="M251" s="452">
        <f t="shared" si="22"/>
        <v>-81098</v>
      </c>
      <c r="N251" s="452">
        <f t="shared" si="22"/>
        <v>0</v>
      </c>
      <c r="O251" s="452">
        <f t="shared" si="22"/>
        <v>596296</v>
      </c>
      <c r="P251" s="452">
        <f t="shared" si="22"/>
        <v>0</v>
      </c>
      <c r="Q251" s="452"/>
      <c r="R251" s="452">
        <f t="shared" si="22"/>
        <v>4736280</v>
      </c>
      <c r="S251" s="445">
        <f t="shared" si="23"/>
        <v>2294583</v>
      </c>
      <c r="T251" s="445">
        <f t="shared" si="24"/>
        <v>1784711</v>
      </c>
      <c r="U251" s="445">
        <f t="shared" si="25"/>
        <v>596296</v>
      </c>
      <c r="W251" s="450"/>
      <c r="X251" s="448"/>
      <c r="Y251" s="441"/>
      <c r="Z251" s="441"/>
      <c r="AA251" s="441"/>
      <c r="AB251" s="441"/>
      <c r="AC251" s="441"/>
      <c r="AD251" s="441"/>
      <c r="AE251" s="441"/>
      <c r="AF251" s="441"/>
      <c r="AG251" s="441"/>
      <c r="AH251" s="441"/>
      <c r="AI251" s="441"/>
      <c r="AJ251" s="441"/>
      <c r="AK251" s="441"/>
      <c r="AL251" s="441"/>
      <c r="AM251" s="441"/>
      <c r="AN251" s="441"/>
      <c r="AO251" s="441"/>
      <c r="AP251" s="448"/>
      <c r="AQ251" s="448"/>
      <c r="AR251" s="448"/>
      <c r="AS251" s="448"/>
      <c r="AT251" s="448"/>
      <c r="AU251" s="448"/>
      <c r="AV251" s="448"/>
      <c r="AW251" s="448"/>
      <c r="AX251" s="448"/>
      <c r="AY251" s="448"/>
      <c r="AZ251" s="448"/>
      <c r="BA251" s="448"/>
      <c r="BB251" s="448"/>
      <c r="BC251" s="448"/>
      <c r="BD251" s="448"/>
    </row>
    <row r="252" spans="1:56" ht="12.75" hidden="1" thickBot="1">
      <c r="A252" s="1" t="s">
        <v>1273</v>
      </c>
      <c r="B252" s="2" t="s">
        <v>379</v>
      </c>
      <c r="C252" s="2" t="s">
        <v>408</v>
      </c>
      <c r="D252" s="8" t="s">
        <v>409</v>
      </c>
      <c r="E252" s="3">
        <f t="shared" si="22"/>
        <v>27203323</v>
      </c>
      <c r="F252" s="452">
        <f t="shared" si="22"/>
        <v>12000</v>
      </c>
      <c r="G252" s="452">
        <f t="shared" si="22"/>
        <v>295156</v>
      </c>
      <c r="H252" s="452">
        <f t="shared" si="22"/>
        <v>741291</v>
      </c>
      <c r="I252" s="452">
        <f t="shared" si="22"/>
        <v>0</v>
      </c>
      <c r="J252" s="452">
        <f t="shared" si="22"/>
        <v>25808</v>
      </c>
      <c r="K252" s="452">
        <f t="shared" si="22"/>
        <v>825130</v>
      </c>
      <c r="L252" s="452">
        <f t="shared" si="22"/>
        <v>45878</v>
      </c>
      <c r="M252" s="452">
        <f t="shared" si="22"/>
        <v>-38362</v>
      </c>
      <c r="N252" s="452">
        <f t="shared" si="22"/>
        <v>0</v>
      </c>
      <c r="O252" s="452">
        <f t="shared" si="22"/>
        <v>282068</v>
      </c>
      <c r="P252" s="452">
        <f t="shared" si="22"/>
        <v>0</v>
      </c>
      <c r="Q252" s="452"/>
      <c r="R252" s="452">
        <f t="shared" si="22"/>
        <v>2188968</v>
      </c>
      <c r="S252" s="445">
        <f t="shared" si="23"/>
        <v>1036447</v>
      </c>
      <c r="T252" s="445">
        <f t="shared" si="24"/>
        <v>850938</v>
      </c>
      <c r="U252" s="445">
        <f t="shared" si="25"/>
        <v>282068</v>
      </c>
      <c r="W252" s="450"/>
      <c r="X252" s="448"/>
      <c r="Y252" s="441"/>
      <c r="Z252" s="441"/>
      <c r="AA252" s="441"/>
      <c r="AB252" s="441"/>
      <c r="AC252" s="441"/>
      <c r="AD252" s="441"/>
      <c r="AE252" s="441"/>
      <c r="AF252" s="441"/>
      <c r="AG252" s="441"/>
      <c r="AH252" s="441"/>
      <c r="AI252" s="441"/>
      <c r="AJ252" s="441"/>
      <c r="AK252" s="441"/>
      <c r="AL252" s="441"/>
      <c r="AM252" s="441"/>
      <c r="AN252" s="441"/>
      <c r="AO252" s="441"/>
      <c r="AP252" s="448"/>
      <c r="AQ252" s="448"/>
      <c r="AR252" s="448"/>
      <c r="AS252" s="448"/>
      <c r="AT252" s="448"/>
      <c r="AU252" s="448"/>
      <c r="AV252" s="448"/>
      <c r="AW252" s="448"/>
      <c r="AX252" s="448"/>
      <c r="AY252" s="448"/>
      <c r="AZ252" s="448"/>
      <c r="BA252" s="448"/>
      <c r="BB252" s="448"/>
      <c r="BC252" s="448"/>
      <c r="BD252" s="448"/>
    </row>
    <row r="253" spans="1:56" ht="12.75" hidden="1" thickBot="1">
      <c r="A253" s="1" t="s">
        <v>1273</v>
      </c>
      <c r="B253" s="2" t="s">
        <v>381</v>
      </c>
      <c r="C253" s="2" t="s">
        <v>59</v>
      </c>
      <c r="D253" s="8" t="s">
        <v>14</v>
      </c>
      <c r="E253" s="3">
        <f t="shared" si="22"/>
        <v>76141682</v>
      </c>
      <c r="F253" s="452">
        <f t="shared" si="22"/>
        <v>573938</v>
      </c>
      <c r="G253" s="452">
        <f t="shared" si="22"/>
        <v>4752764</v>
      </c>
      <c r="H253" s="452">
        <f t="shared" si="22"/>
        <v>2074861</v>
      </c>
      <c r="I253" s="452">
        <f t="shared" si="22"/>
        <v>127157</v>
      </c>
      <c r="J253" s="452">
        <f t="shared" si="22"/>
        <v>0</v>
      </c>
      <c r="K253" s="452">
        <f t="shared" si="22"/>
        <v>0</v>
      </c>
      <c r="L253" s="452">
        <f t="shared" si="22"/>
        <v>128412</v>
      </c>
      <c r="M253" s="452">
        <f t="shared" si="22"/>
        <v>-107374</v>
      </c>
      <c r="N253" s="452">
        <f t="shared" si="22"/>
        <v>0</v>
      </c>
      <c r="O253" s="452">
        <f t="shared" si="22"/>
        <v>789503</v>
      </c>
      <c r="P253" s="452">
        <f t="shared" si="22"/>
        <v>0</v>
      </c>
      <c r="Q253" s="452"/>
      <c r="R253" s="452">
        <f t="shared" si="22"/>
        <v>8339260</v>
      </c>
      <c r="S253" s="445">
        <f t="shared" si="23"/>
        <v>6954782</v>
      </c>
      <c r="T253" s="445">
        <f t="shared" si="24"/>
        <v>0</v>
      </c>
      <c r="U253" s="445">
        <f t="shared" si="25"/>
        <v>789503</v>
      </c>
      <c r="W253" s="450"/>
      <c r="X253" s="448"/>
      <c r="Y253" s="441"/>
      <c r="Z253" s="441"/>
      <c r="AA253" s="441"/>
      <c r="AB253" s="441"/>
      <c r="AC253" s="441"/>
      <c r="AD253" s="441"/>
      <c r="AE253" s="441"/>
      <c r="AF253" s="441"/>
      <c r="AG253" s="441"/>
      <c r="AH253" s="441"/>
      <c r="AI253" s="441"/>
      <c r="AJ253" s="441"/>
      <c r="AK253" s="441"/>
      <c r="AL253" s="441"/>
      <c r="AM253" s="441"/>
      <c r="AN253" s="441"/>
      <c r="AO253" s="441"/>
      <c r="AP253" s="448"/>
      <c r="AQ253" s="448"/>
      <c r="AR253" s="448"/>
      <c r="AS253" s="448"/>
      <c r="AT253" s="448"/>
      <c r="AU253" s="448"/>
      <c r="AV253" s="448"/>
      <c r="AW253" s="448"/>
      <c r="AX253" s="448"/>
      <c r="AY253" s="448"/>
      <c r="AZ253" s="448"/>
      <c r="BA253" s="448"/>
      <c r="BB253" s="448"/>
      <c r="BC253" s="448"/>
      <c r="BD253" s="448"/>
    </row>
    <row r="254" spans="1:56" ht="12.75" hidden="1" thickBot="1">
      <c r="A254" s="1" t="s">
        <v>1273</v>
      </c>
      <c r="B254" s="2" t="s">
        <v>382</v>
      </c>
      <c r="C254" s="2" t="s">
        <v>1244</v>
      </c>
      <c r="D254" s="8" t="s">
        <v>14</v>
      </c>
      <c r="E254" s="3">
        <f t="shared" si="22"/>
        <v>0</v>
      </c>
      <c r="F254" s="452">
        <f t="shared" si="22"/>
        <v>0</v>
      </c>
      <c r="G254" s="452">
        <f t="shared" si="22"/>
        <v>0</v>
      </c>
      <c r="H254" s="452">
        <f t="shared" si="22"/>
        <v>0</v>
      </c>
      <c r="I254" s="452">
        <f t="shared" si="22"/>
        <v>0</v>
      </c>
      <c r="J254" s="452">
        <f t="shared" si="22"/>
        <v>0</v>
      </c>
      <c r="K254" s="452">
        <f t="shared" si="22"/>
        <v>0</v>
      </c>
      <c r="L254" s="452">
        <f t="shared" si="22"/>
        <v>0</v>
      </c>
      <c r="M254" s="452">
        <f t="shared" si="22"/>
        <v>0</v>
      </c>
      <c r="N254" s="452">
        <f t="shared" si="22"/>
        <v>0</v>
      </c>
      <c r="O254" s="452">
        <f t="shared" si="22"/>
        <v>0</v>
      </c>
      <c r="P254" s="452">
        <f t="shared" si="22"/>
        <v>0</v>
      </c>
      <c r="Q254" s="452"/>
      <c r="R254" s="452">
        <f t="shared" si="22"/>
        <v>0</v>
      </c>
      <c r="S254" s="445">
        <f t="shared" si="23"/>
        <v>0</v>
      </c>
      <c r="T254" s="445">
        <f t="shared" si="24"/>
        <v>0</v>
      </c>
      <c r="U254" s="445">
        <f t="shared" si="25"/>
        <v>0</v>
      </c>
      <c r="W254" s="450"/>
      <c r="X254" s="448"/>
      <c r="Y254" s="441"/>
      <c r="Z254" s="441"/>
      <c r="AA254" s="441"/>
      <c r="AB254" s="441"/>
      <c r="AC254" s="441"/>
      <c r="AD254" s="441"/>
      <c r="AE254" s="441"/>
      <c r="AF254" s="441"/>
      <c r="AG254" s="441"/>
      <c r="AH254" s="441"/>
      <c r="AI254" s="441"/>
      <c r="AJ254" s="441"/>
      <c r="AK254" s="441"/>
      <c r="AL254" s="441"/>
      <c r="AM254" s="441"/>
      <c r="AN254" s="441"/>
      <c r="AO254" s="441"/>
      <c r="AP254" s="448"/>
      <c r="AQ254" s="448"/>
      <c r="AR254" s="448"/>
      <c r="AS254" s="448"/>
      <c r="AT254" s="448"/>
      <c r="AU254" s="448"/>
      <c r="AV254" s="448"/>
      <c r="AW254" s="448"/>
      <c r="AX254" s="448"/>
      <c r="AY254" s="448"/>
      <c r="AZ254" s="448"/>
      <c r="BA254" s="448"/>
      <c r="BB254" s="448"/>
      <c r="BC254" s="448"/>
      <c r="BD254" s="448"/>
    </row>
    <row r="255" spans="1:56" ht="12.75" hidden="1" thickBot="1">
      <c r="A255" s="1" t="s">
        <v>1273</v>
      </c>
      <c r="B255" s="2" t="s">
        <v>384</v>
      </c>
      <c r="C255" s="2" t="s">
        <v>413</v>
      </c>
      <c r="D255" s="8" t="s">
        <v>14</v>
      </c>
      <c r="E255" s="3">
        <f t="shared" si="22"/>
        <v>0</v>
      </c>
      <c r="F255" s="452">
        <f t="shared" si="22"/>
        <v>0</v>
      </c>
      <c r="G255" s="452">
        <f t="shared" si="22"/>
        <v>0</v>
      </c>
      <c r="H255" s="452">
        <f t="shared" si="22"/>
        <v>0</v>
      </c>
      <c r="I255" s="452">
        <f t="shared" si="22"/>
        <v>0</v>
      </c>
      <c r="J255" s="452">
        <f t="shared" si="22"/>
        <v>0</v>
      </c>
      <c r="K255" s="452">
        <f t="shared" si="22"/>
        <v>0</v>
      </c>
      <c r="L255" s="452">
        <f t="shared" si="22"/>
        <v>0</v>
      </c>
      <c r="M255" s="452">
        <f t="shared" si="22"/>
        <v>0</v>
      </c>
      <c r="N255" s="452">
        <f t="shared" si="22"/>
        <v>0</v>
      </c>
      <c r="O255" s="452">
        <f t="shared" si="22"/>
        <v>0</v>
      </c>
      <c r="P255" s="452">
        <f t="shared" si="22"/>
        <v>0</v>
      </c>
      <c r="Q255" s="452"/>
      <c r="R255" s="452">
        <f t="shared" si="22"/>
        <v>0</v>
      </c>
      <c r="S255" s="445">
        <f t="shared" si="23"/>
        <v>0</v>
      </c>
      <c r="T255" s="445">
        <f t="shared" si="24"/>
        <v>0</v>
      </c>
      <c r="U255" s="445">
        <f t="shared" si="25"/>
        <v>0</v>
      </c>
      <c r="W255" s="450"/>
      <c r="X255" s="448"/>
      <c r="Y255" s="441"/>
      <c r="Z255" s="441"/>
      <c r="AA255" s="441"/>
      <c r="AB255" s="441"/>
      <c r="AC255" s="441"/>
      <c r="AD255" s="441"/>
      <c r="AE255" s="441"/>
      <c r="AF255" s="441"/>
      <c r="AG255" s="441"/>
      <c r="AH255" s="441"/>
      <c r="AI255" s="441"/>
      <c r="AJ255" s="441"/>
      <c r="AK255" s="441"/>
      <c r="AL255" s="441"/>
      <c r="AM255" s="441"/>
      <c r="AN255" s="441"/>
      <c r="AO255" s="441"/>
      <c r="AP255" s="448"/>
      <c r="AQ255" s="448"/>
      <c r="AR255" s="448"/>
      <c r="AS255" s="448"/>
      <c r="AT255" s="448"/>
      <c r="AU255" s="448"/>
      <c r="AV255" s="448"/>
      <c r="AW255" s="448"/>
      <c r="AX255" s="448"/>
      <c r="AY255" s="448"/>
      <c r="AZ255" s="448"/>
      <c r="BA255" s="448"/>
      <c r="BB255" s="448"/>
      <c r="BC255" s="448"/>
      <c r="BD255" s="448"/>
    </row>
    <row r="256" spans="1:56" ht="12.75" hidden="1" thickBot="1">
      <c r="A256" s="1" t="s">
        <v>1273</v>
      </c>
      <c r="B256" s="2" t="s">
        <v>385</v>
      </c>
      <c r="C256" s="2" t="s">
        <v>424</v>
      </c>
      <c r="D256" s="8" t="s">
        <v>425</v>
      </c>
      <c r="E256" s="3">
        <f t="shared" si="22"/>
        <v>4351200</v>
      </c>
      <c r="F256" s="452">
        <f t="shared" si="22"/>
        <v>0</v>
      </c>
      <c r="G256" s="452">
        <f t="shared" si="22"/>
        <v>42511</v>
      </c>
      <c r="H256" s="452">
        <f t="shared" si="22"/>
        <v>118570</v>
      </c>
      <c r="I256" s="452">
        <f t="shared" si="22"/>
        <v>0</v>
      </c>
      <c r="J256" s="452">
        <f t="shared" si="22"/>
        <v>3444</v>
      </c>
      <c r="K256" s="452">
        <f t="shared" si="22"/>
        <v>92886</v>
      </c>
      <c r="L256" s="452">
        <f t="shared" si="22"/>
        <v>0</v>
      </c>
      <c r="M256" s="452">
        <f t="shared" si="22"/>
        <v>-6136</v>
      </c>
      <c r="N256" s="452">
        <f t="shared" si="22"/>
        <v>0</v>
      </c>
      <c r="O256" s="452">
        <f t="shared" si="22"/>
        <v>45117</v>
      </c>
      <c r="P256" s="452">
        <f t="shared" si="22"/>
        <v>0</v>
      </c>
      <c r="Q256" s="452"/>
      <c r="R256" s="452">
        <f t="shared" si="22"/>
        <v>296392</v>
      </c>
      <c r="S256" s="445">
        <f t="shared" si="23"/>
        <v>161081</v>
      </c>
      <c r="T256" s="445">
        <f t="shared" si="24"/>
        <v>96330</v>
      </c>
      <c r="U256" s="445">
        <f t="shared" si="25"/>
        <v>45117</v>
      </c>
      <c r="W256" s="450"/>
      <c r="X256" s="448"/>
      <c r="Y256" s="441"/>
      <c r="Z256" s="441"/>
      <c r="AA256" s="441"/>
      <c r="AB256" s="441"/>
      <c r="AC256" s="441"/>
      <c r="AD256" s="441"/>
      <c r="AE256" s="441"/>
      <c r="AF256" s="441"/>
      <c r="AG256" s="441"/>
      <c r="AH256" s="441"/>
      <c r="AI256" s="441"/>
      <c r="AJ256" s="441"/>
      <c r="AK256" s="441"/>
      <c r="AL256" s="441"/>
      <c r="AM256" s="441"/>
      <c r="AN256" s="441"/>
      <c r="AO256" s="441"/>
      <c r="AP256" s="448"/>
      <c r="AQ256" s="448"/>
      <c r="AR256" s="448"/>
      <c r="AS256" s="448"/>
      <c r="AT256" s="448"/>
      <c r="AU256" s="448"/>
      <c r="AV256" s="448"/>
      <c r="AW256" s="448"/>
      <c r="AX256" s="448"/>
      <c r="AY256" s="448"/>
      <c r="AZ256" s="448"/>
      <c r="BA256" s="448"/>
      <c r="BB256" s="448"/>
      <c r="BC256" s="448"/>
      <c r="BD256" s="448"/>
    </row>
    <row r="257" spans="1:56" ht="12.75" hidden="1" thickBot="1">
      <c r="A257" s="1" t="s">
        <v>1273</v>
      </c>
      <c r="B257" s="2" t="s">
        <v>1223</v>
      </c>
      <c r="C257" s="2" t="s">
        <v>1224</v>
      </c>
      <c r="D257" s="8" t="s">
        <v>63</v>
      </c>
      <c r="E257" s="3">
        <f t="shared" si="22"/>
        <v>0</v>
      </c>
      <c r="F257" s="452">
        <f t="shared" si="22"/>
        <v>0</v>
      </c>
      <c r="G257" s="452">
        <f t="shared" si="22"/>
        <v>0</v>
      </c>
      <c r="H257" s="452">
        <f t="shared" si="22"/>
        <v>0</v>
      </c>
      <c r="I257" s="452">
        <f t="shared" si="22"/>
        <v>0</v>
      </c>
      <c r="J257" s="452">
        <f t="shared" si="22"/>
        <v>0</v>
      </c>
      <c r="K257" s="452">
        <f t="shared" si="22"/>
        <v>0</v>
      </c>
      <c r="L257" s="452">
        <f t="shared" si="22"/>
        <v>0</v>
      </c>
      <c r="M257" s="452">
        <f t="shared" si="22"/>
        <v>0</v>
      </c>
      <c r="N257" s="452">
        <f t="shared" si="22"/>
        <v>0</v>
      </c>
      <c r="O257" s="452">
        <f t="shared" si="22"/>
        <v>0</v>
      </c>
      <c r="P257" s="452">
        <f t="shared" si="22"/>
        <v>-286526</v>
      </c>
      <c r="Q257" s="452"/>
      <c r="R257" s="452">
        <f t="shared" si="22"/>
        <v>-286526</v>
      </c>
      <c r="S257" s="445">
        <f t="shared" si="23"/>
        <v>0</v>
      </c>
      <c r="T257" s="445">
        <f t="shared" si="24"/>
        <v>0</v>
      </c>
      <c r="U257" s="445">
        <f t="shared" si="25"/>
        <v>0</v>
      </c>
      <c r="W257" s="450"/>
      <c r="X257" s="448"/>
      <c r="Y257" s="441"/>
      <c r="Z257" s="441"/>
      <c r="AA257" s="441"/>
      <c r="AB257" s="441"/>
      <c r="AC257" s="441"/>
      <c r="AD257" s="441"/>
      <c r="AE257" s="441"/>
      <c r="AF257" s="441"/>
      <c r="AG257" s="441"/>
      <c r="AH257" s="441"/>
      <c r="AI257" s="441"/>
      <c r="AJ257" s="441"/>
      <c r="AK257" s="441"/>
      <c r="AL257" s="441"/>
      <c r="AM257" s="441"/>
      <c r="AN257" s="441"/>
      <c r="AO257" s="441"/>
      <c r="AP257" s="448"/>
      <c r="AQ257" s="448"/>
      <c r="AR257" s="448"/>
      <c r="AS257" s="448"/>
      <c r="AT257" s="448"/>
      <c r="AU257" s="448"/>
      <c r="AV257" s="448"/>
      <c r="AW257" s="448"/>
      <c r="AX257" s="448"/>
      <c r="AY257" s="448"/>
      <c r="AZ257" s="448"/>
      <c r="BA257" s="448"/>
      <c r="BB257" s="448"/>
      <c r="BC257" s="448"/>
      <c r="BD257" s="448"/>
    </row>
    <row r="258" spans="1:56" ht="12.75" hidden="1" thickBot="1">
      <c r="A258" s="1" t="s">
        <v>1273</v>
      </c>
      <c r="B258" s="2" t="s">
        <v>386</v>
      </c>
      <c r="C258" s="2" t="s">
        <v>405</v>
      </c>
      <c r="D258" s="8" t="s">
        <v>63</v>
      </c>
      <c r="E258" s="3">
        <f t="shared" si="22"/>
        <v>0</v>
      </c>
      <c r="F258" s="452">
        <f t="shared" si="22"/>
        <v>0</v>
      </c>
      <c r="G258" s="452">
        <f t="shared" si="22"/>
        <v>0</v>
      </c>
      <c r="H258" s="452">
        <f t="shared" si="22"/>
        <v>0</v>
      </c>
      <c r="I258" s="452">
        <f t="shared" si="22"/>
        <v>0</v>
      </c>
      <c r="J258" s="452">
        <f t="shared" si="22"/>
        <v>0</v>
      </c>
      <c r="K258" s="452">
        <f t="shared" si="22"/>
        <v>0</v>
      </c>
      <c r="L258" s="452">
        <f t="shared" si="22"/>
        <v>0</v>
      </c>
      <c r="M258" s="452">
        <f t="shared" si="22"/>
        <v>0</v>
      </c>
      <c r="N258" s="452">
        <f t="shared" si="22"/>
        <v>0</v>
      </c>
      <c r="O258" s="452">
        <f t="shared" si="22"/>
        <v>0</v>
      </c>
      <c r="P258" s="452">
        <f t="shared" si="22"/>
        <v>0</v>
      </c>
      <c r="Q258" s="452"/>
      <c r="R258" s="452">
        <f t="shared" si="22"/>
        <v>0</v>
      </c>
      <c r="S258" s="445">
        <f t="shared" si="23"/>
        <v>0</v>
      </c>
      <c r="T258" s="445">
        <f t="shared" si="24"/>
        <v>0</v>
      </c>
      <c r="U258" s="445">
        <f t="shared" si="25"/>
        <v>0</v>
      </c>
      <c r="W258" s="450"/>
      <c r="X258" s="448"/>
      <c r="Y258" s="441"/>
      <c r="Z258" s="441"/>
      <c r="AA258" s="441"/>
      <c r="AB258" s="441"/>
      <c r="AC258" s="441"/>
      <c r="AD258" s="441"/>
      <c r="AE258" s="441"/>
      <c r="AF258" s="441"/>
      <c r="AG258" s="441"/>
      <c r="AH258" s="441"/>
      <c r="AI258" s="441"/>
      <c r="AJ258" s="441"/>
      <c r="AK258" s="441"/>
      <c r="AL258" s="441"/>
      <c r="AM258" s="441"/>
      <c r="AN258" s="441"/>
      <c r="AO258" s="441"/>
      <c r="AP258" s="448"/>
      <c r="AQ258" s="448"/>
      <c r="AR258" s="448"/>
      <c r="AS258" s="448"/>
      <c r="AT258" s="448"/>
      <c r="AU258" s="448"/>
      <c r="AV258" s="448"/>
      <c r="AW258" s="448"/>
      <c r="AX258" s="448"/>
      <c r="AY258" s="448"/>
      <c r="AZ258" s="448"/>
      <c r="BA258" s="448"/>
      <c r="BB258" s="448"/>
      <c r="BC258" s="448"/>
      <c r="BD258" s="448"/>
    </row>
    <row r="259" spans="1:56" ht="12.75" hidden="1" thickBot="1">
      <c r="A259" s="1" t="s">
        <v>1273</v>
      </c>
      <c r="B259" s="2" t="s">
        <v>803</v>
      </c>
      <c r="C259" s="2" t="s">
        <v>804</v>
      </c>
      <c r="D259" s="8" t="s">
        <v>1205</v>
      </c>
      <c r="E259" s="3">
        <f t="shared" si="22"/>
        <v>0</v>
      </c>
      <c r="F259" s="452">
        <f t="shared" si="22"/>
        <v>0</v>
      </c>
      <c r="G259" s="452">
        <f t="shared" si="22"/>
        <v>0</v>
      </c>
      <c r="H259" s="452">
        <f t="shared" si="22"/>
        <v>0</v>
      </c>
      <c r="I259" s="452">
        <f t="shared" si="22"/>
        <v>0</v>
      </c>
      <c r="J259" s="452">
        <f t="shared" si="22"/>
        <v>0</v>
      </c>
      <c r="K259" s="452">
        <f t="shared" si="22"/>
        <v>0</v>
      </c>
      <c r="L259" s="452">
        <f t="shared" si="22"/>
        <v>0</v>
      </c>
      <c r="M259" s="452">
        <f t="shared" ref="G259:R277" si="26">ROUND(SUMIFS(M$1410:M$1613,$A$1410:$A$1613,$A259,$B$1410:$B$1613,$B259),0)</f>
        <v>0</v>
      </c>
      <c r="N259" s="452">
        <f t="shared" si="26"/>
        <v>0</v>
      </c>
      <c r="O259" s="452">
        <f t="shared" si="26"/>
        <v>0</v>
      </c>
      <c r="P259" s="452">
        <f t="shared" si="26"/>
        <v>0</v>
      </c>
      <c r="Q259" s="452"/>
      <c r="R259" s="452">
        <f t="shared" si="26"/>
        <v>0</v>
      </c>
      <c r="S259" s="445">
        <f t="shared" si="23"/>
        <v>0</v>
      </c>
      <c r="T259" s="445">
        <f t="shared" si="24"/>
        <v>0</v>
      </c>
      <c r="U259" s="445">
        <f t="shared" si="25"/>
        <v>0</v>
      </c>
      <c r="W259" s="450"/>
      <c r="X259" s="448"/>
      <c r="Y259" s="441"/>
      <c r="Z259" s="441"/>
      <c r="AA259" s="441"/>
      <c r="AB259" s="441"/>
      <c r="AC259" s="441"/>
      <c r="AD259" s="441"/>
      <c r="AE259" s="441"/>
      <c r="AF259" s="441"/>
      <c r="AG259" s="441"/>
      <c r="AH259" s="441"/>
      <c r="AI259" s="441"/>
      <c r="AJ259" s="441"/>
      <c r="AK259" s="441"/>
      <c r="AL259" s="441"/>
      <c r="AM259" s="441"/>
      <c r="AN259" s="441"/>
      <c r="AO259" s="441"/>
      <c r="AP259" s="448"/>
      <c r="AQ259" s="448"/>
      <c r="AR259" s="448"/>
      <c r="AS259" s="448"/>
      <c r="AT259" s="448"/>
      <c r="AU259" s="448"/>
      <c r="AV259" s="448"/>
      <c r="AW259" s="448"/>
      <c r="AX259" s="448"/>
      <c r="AY259" s="448"/>
      <c r="AZ259" s="448"/>
      <c r="BA259" s="448"/>
      <c r="BB259" s="448"/>
      <c r="BC259" s="448"/>
      <c r="BD259" s="448"/>
    </row>
    <row r="260" spans="1:56" ht="12.75" hidden="1" thickBot="1">
      <c r="A260" s="1" t="s">
        <v>1273</v>
      </c>
      <c r="B260" s="2" t="s">
        <v>387</v>
      </c>
      <c r="C260" s="2" t="s">
        <v>411</v>
      </c>
      <c r="D260" s="8" t="s">
        <v>412</v>
      </c>
      <c r="E260" s="3">
        <f t="shared" ref="E260:F277" si="27">ROUND(SUMIFS(E$1410:E$1613,$A$1410:$A$1613,$A260,$B$1410:$B$1613,$B260),0)</f>
        <v>9371000</v>
      </c>
      <c r="F260" s="452">
        <f t="shared" si="27"/>
        <v>0</v>
      </c>
      <c r="G260" s="452">
        <f t="shared" si="26"/>
        <v>95116</v>
      </c>
      <c r="H260" s="452">
        <f t="shared" si="26"/>
        <v>255360</v>
      </c>
      <c r="I260" s="452">
        <f t="shared" si="26"/>
        <v>0</v>
      </c>
      <c r="J260" s="452">
        <f t="shared" si="26"/>
        <v>4974</v>
      </c>
      <c r="K260" s="452">
        <f t="shared" si="26"/>
        <v>157257</v>
      </c>
      <c r="L260" s="452">
        <f t="shared" si="26"/>
        <v>0</v>
      </c>
      <c r="M260" s="452">
        <f t="shared" si="26"/>
        <v>-13215</v>
      </c>
      <c r="N260" s="452">
        <f t="shared" si="26"/>
        <v>0</v>
      </c>
      <c r="O260" s="452">
        <f t="shared" si="26"/>
        <v>97167</v>
      </c>
      <c r="P260" s="452">
        <f t="shared" si="26"/>
        <v>0</v>
      </c>
      <c r="Q260" s="452"/>
      <c r="R260" s="452">
        <f t="shared" si="26"/>
        <v>596658</v>
      </c>
      <c r="S260" s="445">
        <f t="shared" si="23"/>
        <v>350476</v>
      </c>
      <c r="T260" s="445">
        <f t="shared" si="24"/>
        <v>162231</v>
      </c>
      <c r="U260" s="445">
        <f t="shared" si="25"/>
        <v>97167</v>
      </c>
      <c r="W260" s="450"/>
      <c r="X260" s="448"/>
      <c r="Y260" s="441"/>
      <c r="Z260" s="441"/>
      <c r="AA260" s="441"/>
      <c r="AB260" s="441"/>
      <c r="AC260" s="441"/>
      <c r="AD260" s="441"/>
      <c r="AE260" s="441"/>
      <c r="AF260" s="441"/>
      <c r="AG260" s="441"/>
      <c r="AH260" s="441"/>
      <c r="AI260" s="441"/>
      <c r="AJ260" s="441"/>
      <c r="AK260" s="441"/>
      <c r="AL260" s="441"/>
      <c r="AM260" s="441"/>
      <c r="AN260" s="441"/>
      <c r="AO260" s="441"/>
      <c r="AP260" s="448"/>
      <c r="AQ260" s="448"/>
      <c r="AR260" s="448"/>
      <c r="AS260" s="448"/>
      <c r="AT260" s="448"/>
      <c r="AU260" s="448"/>
      <c r="AV260" s="448"/>
      <c r="AW260" s="448"/>
      <c r="AX260" s="448"/>
      <c r="AY260" s="448"/>
      <c r="AZ260" s="448"/>
      <c r="BA260" s="448"/>
      <c r="BB260" s="448"/>
      <c r="BC260" s="448"/>
      <c r="BD260" s="448"/>
    </row>
    <row r="261" spans="1:56" ht="12.75" hidden="1" thickBot="1">
      <c r="A261" s="1" t="s">
        <v>1273</v>
      </c>
      <c r="B261" s="2" t="s">
        <v>388</v>
      </c>
      <c r="C261" s="2" t="s">
        <v>54</v>
      </c>
      <c r="D261" s="8" t="s">
        <v>15</v>
      </c>
      <c r="E261" s="3">
        <f t="shared" si="27"/>
        <v>68950546</v>
      </c>
      <c r="F261" s="452">
        <f t="shared" si="27"/>
        <v>9000</v>
      </c>
      <c r="G261" s="452">
        <f t="shared" si="26"/>
        <v>610212</v>
      </c>
      <c r="H261" s="452">
        <f t="shared" si="26"/>
        <v>1878902</v>
      </c>
      <c r="I261" s="452">
        <f t="shared" si="26"/>
        <v>0</v>
      </c>
      <c r="J261" s="452">
        <f t="shared" si="26"/>
        <v>44107</v>
      </c>
      <c r="K261" s="452">
        <f t="shared" si="26"/>
        <v>1262916</v>
      </c>
      <c r="L261" s="452">
        <f t="shared" si="26"/>
        <v>0</v>
      </c>
      <c r="M261" s="452">
        <f t="shared" si="26"/>
        <v>-97233</v>
      </c>
      <c r="N261" s="452">
        <f t="shared" si="26"/>
        <v>0</v>
      </c>
      <c r="O261" s="452">
        <f t="shared" si="26"/>
        <v>714939</v>
      </c>
      <c r="P261" s="452">
        <f t="shared" si="26"/>
        <v>0</v>
      </c>
      <c r="Q261" s="452"/>
      <c r="R261" s="452">
        <f t="shared" si="26"/>
        <v>4422843</v>
      </c>
      <c r="S261" s="445">
        <f t="shared" si="23"/>
        <v>2489114</v>
      </c>
      <c r="T261" s="445">
        <f t="shared" si="24"/>
        <v>1307023</v>
      </c>
      <c r="U261" s="445">
        <f t="shared" si="25"/>
        <v>714939</v>
      </c>
      <c r="W261" s="450"/>
      <c r="X261" s="448"/>
      <c r="Y261" s="441"/>
      <c r="Z261" s="441"/>
      <c r="AA261" s="441"/>
      <c r="AB261" s="441"/>
      <c r="AC261" s="441"/>
      <c r="AD261" s="441"/>
      <c r="AE261" s="441"/>
      <c r="AF261" s="441"/>
      <c r="AG261" s="441"/>
      <c r="AH261" s="441"/>
      <c r="AI261" s="441"/>
      <c r="AJ261" s="441"/>
      <c r="AK261" s="441"/>
      <c r="AL261" s="441"/>
      <c r="AM261" s="441"/>
      <c r="AN261" s="441"/>
      <c r="AO261" s="441"/>
      <c r="AP261" s="448"/>
      <c r="AQ261" s="448"/>
      <c r="AR261" s="448"/>
      <c r="AS261" s="448"/>
      <c r="AT261" s="448"/>
      <c r="AU261" s="448"/>
      <c r="AV261" s="448"/>
      <c r="AW261" s="448"/>
      <c r="AX261" s="448"/>
      <c r="AY261" s="448"/>
      <c r="AZ261" s="448"/>
      <c r="BA261" s="448"/>
      <c r="BB261" s="448"/>
      <c r="BC261" s="448"/>
      <c r="BD261" s="448"/>
    </row>
    <row r="262" spans="1:56" ht="12.75" hidden="1" thickBot="1">
      <c r="A262" s="1" t="s">
        <v>1273</v>
      </c>
      <c r="B262" s="2" t="s">
        <v>389</v>
      </c>
      <c r="C262" s="2" t="s">
        <v>419</v>
      </c>
      <c r="D262" s="8" t="s">
        <v>20</v>
      </c>
      <c r="E262" s="3">
        <f t="shared" si="27"/>
        <v>18186183</v>
      </c>
      <c r="F262" s="452">
        <f t="shared" si="27"/>
        <v>19080</v>
      </c>
      <c r="G262" s="452">
        <f t="shared" si="26"/>
        <v>242786</v>
      </c>
      <c r="H262" s="452">
        <f t="shared" si="26"/>
        <v>495573</v>
      </c>
      <c r="I262" s="452">
        <f t="shared" si="26"/>
        <v>0</v>
      </c>
      <c r="J262" s="452">
        <f t="shared" si="26"/>
        <v>27887</v>
      </c>
      <c r="K262" s="452">
        <f t="shared" si="26"/>
        <v>786071</v>
      </c>
      <c r="L262" s="452">
        <f t="shared" si="26"/>
        <v>30671</v>
      </c>
      <c r="M262" s="452">
        <f t="shared" si="26"/>
        <v>-25646</v>
      </c>
      <c r="N262" s="452">
        <f t="shared" si="26"/>
        <v>0</v>
      </c>
      <c r="O262" s="452">
        <f t="shared" si="26"/>
        <v>188570</v>
      </c>
      <c r="P262" s="452">
        <f t="shared" si="26"/>
        <v>0</v>
      </c>
      <c r="Q262" s="452"/>
      <c r="R262" s="452">
        <f t="shared" si="26"/>
        <v>1764992</v>
      </c>
      <c r="S262" s="445">
        <f t="shared" si="23"/>
        <v>738359</v>
      </c>
      <c r="T262" s="445">
        <f t="shared" si="24"/>
        <v>813958</v>
      </c>
      <c r="U262" s="445">
        <f t="shared" si="25"/>
        <v>188570</v>
      </c>
      <c r="W262" s="450"/>
      <c r="X262" s="448"/>
      <c r="Y262" s="441"/>
      <c r="Z262" s="441"/>
      <c r="AA262" s="441"/>
      <c r="AB262" s="441"/>
      <c r="AC262" s="441"/>
      <c r="AD262" s="441"/>
      <c r="AE262" s="441"/>
      <c r="AF262" s="441"/>
      <c r="AG262" s="441"/>
      <c r="AH262" s="441"/>
      <c r="AI262" s="441"/>
      <c r="AJ262" s="441"/>
      <c r="AK262" s="441"/>
      <c r="AL262" s="441"/>
      <c r="AM262" s="441"/>
      <c r="AN262" s="441"/>
      <c r="AO262" s="441"/>
      <c r="AP262" s="448"/>
      <c r="AQ262" s="448"/>
      <c r="AR262" s="448"/>
      <c r="AS262" s="448"/>
      <c r="AT262" s="448"/>
      <c r="AU262" s="448"/>
      <c r="AV262" s="448"/>
      <c r="AW262" s="448"/>
      <c r="AX262" s="448"/>
      <c r="AY262" s="448"/>
      <c r="AZ262" s="448"/>
      <c r="BA262" s="448"/>
      <c r="BB262" s="448"/>
      <c r="BC262" s="448"/>
      <c r="BD262" s="448"/>
    </row>
    <row r="263" spans="1:56" ht="12.75" hidden="1" thickBot="1">
      <c r="A263" s="1" t="s">
        <v>1273</v>
      </c>
      <c r="B263" s="2" t="s">
        <v>390</v>
      </c>
      <c r="C263" s="2" t="s">
        <v>418</v>
      </c>
      <c r="D263" s="2" t="s">
        <v>21</v>
      </c>
      <c r="E263" s="3">
        <f t="shared" si="27"/>
        <v>1034858</v>
      </c>
      <c r="F263" s="452">
        <f t="shared" si="27"/>
        <v>3570</v>
      </c>
      <c r="G263" s="452">
        <f t="shared" si="26"/>
        <v>12429</v>
      </c>
      <c r="H263" s="452">
        <f t="shared" si="26"/>
        <v>28200</v>
      </c>
      <c r="I263" s="452">
        <f t="shared" si="26"/>
        <v>0</v>
      </c>
      <c r="J263" s="452">
        <f t="shared" si="26"/>
        <v>1828</v>
      </c>
      <c r="K263" s="452">
        <f t="shared" si="26"/>
        <v>42581</v>
      </c>
      <c r="L263" s="452">
        <f t="shared" si="26"/>
        <v>1745</v>
      </c>
      <c r="M263" s="452">
        <f t="shared" si="26"/>
        <v>-1459</v>
      </c>
      <c r="N263" s="452">
        <f t="shared" si="26"/>
        <v>0</v>
      </c>
      <c r="O263" s="452">
        <f t="shared" si="26"/>
        <v>10730</v>
      </c>
      <c r="P263" s="452">
        <f t="shared" si="26"/>
        <v>0</v>
      </c>
      <c r="Q263" s="452"/>
      <c r="R263" s="452">
        <f t="shared" si="26"/>
        <v>99624</v>
      </c>
      <c r="S263" s="445">
        <f t="shared" si="23"/>
        <v>40629</v>
      </c>
      <c r="T263" s="445">
        <f t="shared" si="24"/>
        <v>44409</v>
      </c>
      <c r="U263" s="445">
        <f t="shared" si="25"/>
        <v>10730</v>
      </c>
      <c r="W263" s="450"/>
      <c r="X263" s="448"/>
      <c r="Y263" s="441"/>
      <c r="Z263" s="441"/>
      <c r="AA263" s="441"/>
      <c r="AB263" s="441"/>
      <c r="AC263" s="441"/>
      <c r="AD263" s="441"/>
      <c r="AE263" s="441"/>
      <c r="AF263" s="441"/>
      <c r="AG263" s="441"/>
      <c r="AH263" s="441"/>
      <c r="AI263" s="441"/>
      <c r="AJ263" s="441"/>
      <c r="AK263" s="441"/>
      <c r="AL263" s="441"/>
      <c r="AM263" s="441"/>
      <c r="AN263" s="441"/>
      <c r="AO263" s="441"/>
      <c r="AP263" s="448"/>
      <c r="AQ263" s="448"/>
      <c r="AR263" s="448"/>
      <c r="AS263" s="448"/>
      <c r="AT263" s="448"/>
      <c r="AU263" s="448"/>
      <c r="AV263" s="448"/>
      <c r="AW263" s="448"/>
      <c r="AX263" s="448"/>
      <c r="AY263" s="448"/>
      <c r="AZ263" s="448"/>
      <c r="BA263" s="448"/>
      <c r="BB263" s="448"/>
      <c r="BC263" s="448"/>
      <c r="BD263" s="448"/>
    </row>
    <row r="264" spans="1:56" ht="12.75" hidden="1" thickBot="1">
      <c r="A264" s="1" t="s">
        <v>1273</v>
      </c>
      <c r="B264" s="2" t="s">
        <v>391</v>
      </c>
      <c r="C264" s="2" t="s">
        <v>1034</v>
      </c>
      <c r="D264" s="8" t="s">
        <v>422</v>
      </c>
      <c r="E264" s="3">
        <f t="shared" si="27"/>
        <v>20709793</v>
      </c>
      <c r="F264" s="452">
        <f t="shared" si="27"/>
        <v>20000</v>
      </c>
      <c r="G264" s="452">
        <f t="shared" si="26"/>
        <v>261979</v>
      </c>
      <c r="H264" s="452">
        <f t="shared" si="26"/>
        <v>564342</v>
      </c>
      <c r="I264" s="452">
        <f t="shared" si="26"/>
        <v>0</v>
      </c>
      <c r="J264" s="452">
        <f t="shared" si="26"/>
        <v>24053</v>
      </c>
      <c r="K264" s="452">
        <f t="shared" si="26"/>
        <v>702512</v>
      </c>
      <c r="L264" s="452">
        <f t="shared" si="26"/>
        <v>34927</v>
      </c>
      <c r="M264" s="452">
        <f t="shared" si="26"/>
        <v>-29205</v>
      </c>
      <c r="N264" s="452">
        <f t="shared" si="26"/>
        <v>0</v>
      </c>
      <c r="O264" s="452">
        <f t="shared" si="26"/>
        <v>214737</v>
      </c>
      <c r="P264" s="452">
        <f t="shared" si="26"/>
        <v>0</v>
      </c>
      <c r="Q264" s="452"/>
      <c r="R264" s="452">
        <f t="shared" si="26"/>
        <v>1793345</v>
      </c>
      <c r="S264" s="445">
        <f t="shared" si="23"/>
        <v>826321</v>
      </c>
      <c r="T264" s="445">
        <f t="shared" si="24"/>
        <v>726565</v>
      </c>
      <c r="U264" s="445">
        <f t="shared" si="25"/>
        <v>214737</v>
      </c>
      <c r="W264" s="450"/>
      <c r="X264" s="448"/>
      <c r="Y264" s="441"/>
      <c r="Z264" s="441"/>
      <c r="AA264" s="441"/>
      <c r="AB264" s="441"/>
      <c r="AC264" s="441"/>
      <c r="AD264" s="441"/>
      <c r="AE264" s="441"/>
      <c r="AF264" s="441"/>
      <c r="AG264" s="441"/>
      <c r="AH264" s="441"/>
      <c r="AI264" s="441"/>
      <c r="AJ264" s="441"/>
      <c r="AK264" s="441"/>
      <c r="AL264" s="441"/>
      <c r="AM264" s="441"/>
      <c r="AN264" s="441"/>
      <c r="AO264" s="441"/>
      <c r="AP264" s="448"/>
      <c r="AQ264" s="448"/>
      <c r="AR264" s="448"/>
      <c r="AS264" s="448"/>
      <c r="AT264" s="448"/>
      <c r="AU264" s="448"/>
      <c r="AV264" s="448"/>
      <c r="AW264" s="448"/>
      <c r="AX264" s="448"/>
      <c r="AY264" s="448"/>
      <c r="AZ264" s="448"/>
      <c r="BA264" s="448"/>
      <c r="BB264" s="448"/>
      <c r="BC264" s="448"/>
      <c r="BD264" s="448"/>
    </row>
    <row r="265" spans="1:56" ht="12.75" hidden="1" thickBot="1">
      <c r="A265" s="1" t="s">
        <v>1273</v>
      </c>
      <c r="B265" s="2" t="s">
        <v>392</v>
      </c>
      <c r="C265" s="2" t="s">
        <v>420</v>
      </c>
      <c r="D265" s="8" t="s">
        <v>421</v>
      </c>
      <c r="E265" s="3">
        <f t="shared" si="27"/>
        <v>130494762</v>
      </c>
      <c r="F265" s="452">
        <f t="shared" si="27"/>
        <v>21300</v>
      </c>
      <c r="G265" s="452">
        <f t="shared" si="26"/>
        <v>1060922</v>
      </c>
      <c r="H265" s="452">
        <f t="shared" si="26"/>
        <v>3555982</v>
      </c>
      <c r="I265" s="452">
        <f t="shared" si="26"/>
        <v>0</v>
      </c>
      <c r="J265" s="452">
        <f t="shared" si="26"/>
        <v>127667</v>
      </c>
      <c r="K265" s="452">
        <f t="shared" si="26"/>
        <v>3521158</v>
      </c>
      <c r="L265" s="452">
        <f t="shared" si="26"/>
        <v>220078</v>
      </c>
      <c r="M265" s="452">
        <f t="shared" si="26"/>
        <v>-184022</v>
      </c>
      <c r="N265" s="452">
        <f t="shared" si="26"/>
        <v>0</v>
      </c>
      <c r="O265" s="452">
        <f t="shared" si="26"/>
        <v>1353083</v>
      </c>
      <c r="P265" s="452">
        <f t="shared" si="26"/>
        <v>0</v>
      </c>
      <c r="Q265" s="452"/>
      <c r="R265" s="452">
        <f t="shared" si="26"/>
        <v>9676168</v>
      </c>
      <c r="S265" s="445">
        <f t="shared" si="23"/>
        <v>4616904</v>
      </c>
      <c r="T265" s="445">
        <f t="shared" si="24"/>
        <v>3648825</v>
      </c>
      <c r="U265" s="445">
        <f t="shared" si="25"/>
        <v>1353083</v>
      </c>
      <c r="W265" s="450"/>
      <c r="X265" s="448"/>
      <c r="Y265" s="441"/>
      <c r="Z265" s="441"/>
      <c r="AA265" s="441"/>
      <c r="AB265" s="441"/>
      <c r="AC265" s="441"/>
      <c r="AD265" s="441"/>
      <c r="AE265" s="441"/>
      <c r="AF265" s="441"/>
      <c r="AG265" s="441"/>
      <c r="AH265" s="441"/>
      <c r="AI265" s="441"/>
      <c r="AJ265" s="441"/>
      <c r="AK265" s="441"/>
      <c r="AL265" s="441"/>
      <c r="AM265" s="441"/>
      <c r="AN265" s="441"/>
      <c r="AO265" s="441"/>
      <c r="AP265" s="448"/>
      <c r="AQ265" s="448"/>
      <c r="AR265" s="448"/>
      <c r="AS265" s="448"/>
      <c r="AT265" s="448"/>
      <c r="AU265" s="448"/>
      <c r="AV265" s="448"/>
      <c r="AW265" s="448"/>
      <c r="AX265" s="448"/>
      <c r="AY265" s="448"/>
      <c r="AZ265" s="448"/>
      <c r="BA265" s="448"/>
      <c r="BB265" s="448"/>
      <c r="BC265" s="448"/>
      <c r="BD265" s="448"/>
    </row>
    <row r="266" spans="1:56" ht="12.75" hidden="1" thickBot="1">
      <c r="A266" s="1" t="s">
        <v>1273</v>
      </c>
      <c r="B266" s="2" t="s">
        <v>394</v>
      </c>
      <c r="C266" s="2" t="s">
        <v>423</v>
      </c>
      <c r="D266" s="8" t="s">
        <v>17</v>
      </c>
      <c r="E266" s="3">
        <f t="shared" si="27"/>
        <v>0</v>
      </c>
      <c r="F266" s="452">
        <f t="shared" si="27"/>
        <v>0</v>
      </c>
      <c r="G266" s="452">
        <f t="shared" si="26"/>
        <v>0</v>
      </c>
      <c r="H266" s="452">
        <f t="shared" si="26"/>
        <v>0</v>
      </c>
      <c r="I266" s="452">
        <f t="shared" si="26"/>
        <v>0</v>
      </c>
      <c r="J266" s="452">
        <f t="shared" si="26"/>
        <v>0</v>
      </c>
      <c r="K266" s="452">
        <f t="shared" si="26"/>
        <v>0</v>
      </c>
      <c r="L266" s="452">
        <f t="shared" si="26"/>
        <v>0</v>
      </c>
      <c r="M266" s="452">
        <f t="shared" si="26"/>
        <v>0</v>
      </c>
      <c r="N266" s="452">
        <f t="shared" si="26"/>
        <v>0</v>
      </c>
      <c r="O266" s="452">
        <f t="shared" si="26"/>
        <v>0</v>
      </c>
      <c r="P266" s="452">
        <f t="shared" si="26"/>
        <v>0</v>
      </c>
      <c r="Q266" s="452"/>
      <c r="R266" s="452">
        <f t="shared" si="26"/>
        <v>0</v>
      </c>
      <c r="S266" s="445">
        <f t="shared" si="23"/>
        <v>0</v>
      </c>
      <c r="T266" s="445">
        <f t="shared" si="24"/>
        <v>0</v>
      </c>
      <c r="U266" s="445">
        <f t="shared" si="25"/>
        <v>0</v>
      </c>
      <c r="W266" s="450"/>
      <c r="X266" s="448"/>
      <c r="Y266" s="441"/>
      <c r="Z266" s="441"/>
      <c r="AA266" s="441"/>
      <c r="AB266" s="441"/>
      <c r="AC266" s="441"/>
      <c r="AD266" s="441"/>
      <c r="AE266" s="441"/>
      <c r="AF266" s="441"/>
      <c r="AG266" s="441"/>
      <c r="AH266" s="441"/>
      <c r="AI266" s="441"/>
      <c r="AJ266" s="441"/>
      <c r="AK266" s="441"/>
      <c r="AL266" s="441"/>
      <c r="AM266" s="441"/>
      <c r="AN266" s="441"/>
      <c r="AO266" s="441"/>
      <c r="AP266" s="448"/>
      <c r="AQ266" s="448"/>
      <c r="AR266" s="448"/>
      <c r="AS266" s="448"/>
      <c r="AT266" s="448"/>
      <c r="AU266" s="448"/>
      <c r="AV266" s="448"/>
      <c r="AW266" s="448"/>
      <c r="AX266" s="448"/>
      <c r="AY266" s="448"/>
      <c r="AZ266" s="448"/>
      <c r="BA266" s="448"/>
      <c r="BB266" s="448"/>
      <c r="BC266" s="448"/>
      <c r="BD266" s="448"/>
    </row>
    <row r="267" spans="1:56" ht="12.75" hidden="1" thickBot="1">
      <c r="A267" s="1" t="s">
        <v>1273</v>
      </c>
      <c r="B267" s="2" t="s">
        <v>395</v>
      </c>
      <c r="C267" s="2" t="s">
        <v>423</v>
      </c>
      <c r="D267" s="8" t="s">
        <v>17</v>
      </c>
      <c r="E267" s="3">
        <f t="shared" si="27"/>
        <v>0</v>
      </c>
      <c r="F267" s="452">
        <f t="shared" si="27"/>
        <v>0</v>
      </c>
      <c r="G267" s="452">
        <f t="shared" si="26"/>
        <v>0</v>
      </c>
      <c r="H267" s="452">
        <f t="shared" si="26"/>
        <v>0</v>
      </c>
      <c r="I267" s="452">
        <f t="shared" si="26"/>
        <v>0</v>
      </c>
      <c r="J267" s="452">
        <f t="shared" si="26"/>
        <v>0</v>
      </c>
      <c r="K267" s="452">
        <f t="shared" si="26"/>
        <v>0</v>
      </c>
      <c r="L267" s="452">
        <f t="shared" si="26"/>
        <v>0</v>
      </c>
      <c r="M267" s="452">
        <f t="shared" si="26"/>
        <v>0</v>
      </c>
      <c r="N267" s="452">
        <f t="shared" si="26"/>
        <v>0</v>
      </c>
      <c r="O267" s="452">
        <f t="shared" si="26"/>
        <v>0</v>
      </c>
      <c r="P267" s="452">
        <f t="shared" si="26"/>
        <v>0</v>
      </c>
      <c r="Q267" s="452"/>
      <c r="R267" s="452">
        <f t="shared" si="26"/>
        <v>0</v>
      </c>
      <c r="S267" s="445">
        <f t="shared" si="23"/>
        <v>0</v>
      </c>
      <c r="T267" s="445">
        <f t="shared" si="24"/>
        <v>0</v>
      </c>
      <c r="U267" s="445">
        <f t="shared" si="25"/>
        <v>0</v>
      </c>
      <c r="W267" s="450"/>
      <c r="X267" s="448"/>
      <c r="Y267" s="441"/>
      <c r="Z267" s="441"/>
      <c r="AA267" s="441"/>
      <c r="AB267" s="441"/>
      <c r="AC267" s="441"/>
      <c r="AD267" s="441"/>
      <c r="AE267" s="441"/>
      <c r="AF267" s="441"/>
      <c r="AG267" s="441"/>
      <c r="AH267" s="441"/>
      <c r="AI267" s="441"/>
      <c r="AJ267" s="441"/>
      <c r="AK267" s="441"/>
      <c r="AL267" s="441"/>
      <c r="AM267" s="441"/>
      <c r="AN267" s="441"/>
      <c r="AO267" s="441"/>
      <c r="AP267" s="448"/>
      <c r="AQ267" s="448"/>
      <c r="AR267" s="448"/>
      <c r="AS267" s="448"/>
      <c r="AT267" s="448"/>
      <c r="AU267" s="448"/>
      <c r="AV267" s="448"/>
      <c r="AW267" s="448"/>
      <c r="AX267" s="448"/>
      <c r="AY267" s="448"/>
      <c r="AZ267" s="448"/>
      <c r="BA267" s="448"/>
      <c r="BB267" s="448"/>
      <c r="BC267" s="448"/>
      <c r="BD267" s="448"/>
    </row>
    <row r="268" spans="1:56" ht="12.75" hidden="1" thickBot="1">
      <c r="A268" s="1" t="s">
        <v>1273</v>
      </c>
      <c r="B268" s="2" t="s">
        <v>396</v>
      </c>
      <c r="C268" s="2" t="s">
        <v>423</v>
      </c>
      <c r="D268" s="8" t="s">
        <v>17</v>
      </c>
      <c r="E268" s="3">
        <f t="shared" si="27"/>
        <v>0</v>
      </c>
      <c r="F268" s="452">
        <f t="shared" si="27"/>
        <v>0</v>
      </c>
      <c r="G268" s="452">
        <f t="shared" si="26"/>
        <v>0</v>
      </c>
      <c r="H268" s="452">
        <f t="shared" si="26"/>
        <v>0</v>
      </c>
      <c r="I268" s="452">
        <f t="shared" si="26"/>
        <v>0</v>
      </c>
      <c r="J268" s="452">
        <f t="shared" si="26"/>
        <v>0</v>
      </c>
      <c r="K268" s="452">
        <f t="shared" si="26"/>
        <v>0</v>
      </c>
      <c r="L268" s="452">
        <f t="shared" si="26"/>
        <v>0</v>
      </c>
      <c r="M268" s="452">
        <f t="shared" si="26"/>
        <v>0</v>
      </c>
      <c r="N268" s="452">
        <f t="shared" si="26"/>
        <v>0</v>
      </c>
      <c r="O268" s="452">
        <f t="shared" si="26"/>
        <v>0</v>
      </c>
      <c r="P268" s="452">
        <f t="shared" si="26"/>
        <v>0</v>
      </c>
      <c r="Q268" s="452"/>
      <c r="R268" s="452">
        <f t="shared" si="26"/>
        <v>0</v>
      </c>
      <c r="S268" s="445">
        <f t="shared" si="23"/>
        <v>0</v>
      </c>
      <c r="T268" s="445">
        <f t="shared" si="24"/>
        <v>0</v>
      </c>
      <c r="U268" s="445">
        <f t="shared" si="25"/>
        <v>0</v>
      </c>
      <c r="W268" s="450"/>
      <c r="X268" s="448"/>
      <c r="Y268" s="441"/>
      <c r="Z268" s="441"/>
      <c r="AA268" s="441"/>
      <c r="AB268" s="441"/>
      <c r="AC268" s="441"/>
      <c r="AD268" s="441"/>
      <c r="AE268" s="441"/>
      <c r="AF268" s="441"/>
      <c r="AG268" s="441"/>
      <c r="AH268" s="441"/>
      <c r="AI268" s="441"/>
      <c r="AJ268" s="441"/>
      <c r="AK268" s="441"/>
      <c r="AL268" s="441"/>
      <c r="AM268" s="441"/>
      <c r="AN268" s="441"/>
      <c r="AO268" s="441"/>
      <c r="AP268" s="448"/>
      <c r="AQ268" s="448"/>
      <c r="AR268" s="448"/>
      <c r="AS268" s="448"/>
      <c r="AT268" s="448"/>
      <c r="AU268" s="448"/>
      <c r="AV268" s="448"/>
      <c r="AW268" s="448"/>
      <c r="AX268" s="448"/>
      <c r="AY268" s="448"/>
      <c r="AZ268" s="448"/>
      <c r="BA268" s="448"/>
      <c r="BB268" s="448"/>
      <c r="BC268" s="448"/>
      <c r="BD268" s="448"/>
    </row>
    <row r="269" spans="1:56" ht="12.75" hidden="1" thickBot="1">
      <c r="A269" s="1" t="s">
        <v>1273</v>
      </c>
      <c r="B269" s="2" t="s">
        <v>397</v>
      </c>
      <c r="C269" s="2" t="s">
        <v>55</v>
      </c>
      <c r="D269" s="8" t="s">
        <v>18</v>
      </c>
      <c r="E269" s="3">
        <f t="shared" si="27"/>
        <v>0</v>
      </c>
      <c r="F269" s="452">
        <f t="shared" si="27"/>
        <v>0</v>
      </c>
      <c r="G269" s="452">
        <f t="shared" si="26"/>
        <v>0</v>
      </c>
      <c r="H269" s="452">
        <f t="shared" si="26"/>
        <v>0</v>
      </c>
      <c r="I269" s="452">
        <f t="shared" si="26"/>
        <v>0</v>
      </c>
      <c r="J269" s="452">
        <f t="shared" si="26"/>
        <v>0</v>
      </c>
      <c r="K269" s="452">
        <f t="shared" si="26"/>
        <v>0</v>
      </c>
      <c r="L269" s="452">
        <f t="shared" si="26"/>
        <v>0</v>
      </c>
      <c r="M269" s="452">
        <f t="shared" si="26"/>
        <v>0</v>
      </c>
      <c r="N269" s="452">
        <f t="shared" si="26"/>
        <v>0</v>
      </c>
      <c r="O269" s="452">
        <f t="shared" si="26"/>
        <v>0</v>
      </c>
      <c r="P269" s="452">
        <f t="shared" si="26"/>
        <v>0</v>
      </c>
      <c r="Q269" s="452"/>
      <c r="R269" s="452">
        <f t="shared" si="26"/>
        <v>0</v>
      </c>
      <c r="S269" s="445">
        <f t="shared" si="23"/>
        <v>0</v>
      </c>
      <c r="T269" s="445">
        <f t="shared" si="24"/>
        <v>0</v>
      </c>
      <c r="U269" s="445">
        <f t="shared" si="25"/>
        <v>0</v>
      </c>
      <c r="W269" s="450"/>
      <c r="X269" s="448"/>
      <c r="Y269" s="441"/>
      <c r="Z269" s="441"/>
      <c r="AA269" s="441"/>
      <c r="AB269" s="441"/>
      <c r="AC269" s="441"/>
      <c r="AD269" s="441"/>
      <c r="AE269" s="441"/>
      <c r="AF269" s="441"/>
      <c r="AG269" s="441"/>
      <c r="AH269" s="441"/>
      <c r="AI269" s="441"/>
      <c r="AJ269" s="441"/>
      <c r="AK269" s="441"/>
      <c r="AL269" s="441"/>
      <c r="AM269" s="441"/>
      <c r="AN269" s="441"/>
      <c r="AO269" s="441"/>
      <c r="AP269" s="448"/>
      <c r="AQ269" s="448"/>
      <c r="AR269" s="448"/>
      <c r="AS269" s="448"/>
      <c r="AT269" s="448"/>
      <c r="AU269" s="448"/>
      <c r="AV269" s="448"/>
      <c r="AW269" s="448"/>
      <c r="AX269" s="448"/>
      <c r="AY269" s="448"/>
      <c r="AZ269" s="448"/>
      <c r="BA269" s="448"/>
      <c r="BB269" s="448"/>
      <c r="BC269" s="448"/>
      <c r="BD269" s="448"/>
    </row>
    <row r="270" spans="1:56" ht="12.75" hidden="1" thickBot="1">
      <c r="A270" s="1" t="s">
        <v>1273</v>
      </c>
      <c r="B270" s="2" t="s">
        <v>398</v>
      </c>
      <c r="C270" s="2" t="s">
        <v>55</v>
      </c>
      <c r="D270" s="8" t="s">
        <v>18</v>
      </c>
      <c r="E270" s="3">
        <f t="shared" si="27"/>
        <v>0</v>
      </c>
      <c r="F270" s="452">
        <f t="shared" si="27"/>
        <v>0</v>
      </c>
      <c r="G270" s="452">
        <f t="shared" si="26"/>
        <v>0</v>
      </c>
      <c r="H270" s="452">
        <f t="shared" si="26"/>
        <v>0</v>
      </c>
      <c r="I270" s="452">
        <f t="shared" si="26"/>
        <v>0</v>
      </c>
      <c r="J270" s="452">
        <f t="shared" si="26"/>
        <v>0</v>
      </c>
      <c r="K270" s="452">
        <f t="shared" si="26"/>
        <v>0</v>
      </c>
      <c r="L270" s="452">
        <f t="shared" si="26"/>
        <v>0</v>
      </c>
      <c r="M270" s="452">
        <f t="shared" si="26"/>
        <v>0</v>
      </c>
      <c r="N270" s="452">
        <f t="shared" si="26"/>
        <v>0</v>
      </c>
      <c r="O270" s="452">
        <f t="shared" si="26"/>
        <v>0</v>
      </c>
      <c r="P270" s="452">
        <f t="shared" si="26"/>
        <v>0</v>
      </c>
      <c r="Q270" s="452"/>
      <c r="R270" s="452">
        <f t="shared" si="26"/>
        <v>0</v>
      </c>
      <c r="S270" s="445">
        <f t="shared" si="23"/>
        <v>0</v>
      </c>
      <c r="T270" s="445">
        <f t="shared" si="24"/>
        <v>0</v>
      </c>
      <c r="U270" s="445">
        <f t="shared" si="25"/>
        <v>0</v>
      </c>
      <c r="W270" s="450"/>
      <c r="X270" s="448"/>
      <c r="Y270" s="441"/>
      <c r="Z270" s="441"/>
      <c r="AA270" s="441"/>
      <c r="AB270" s="441"/>
      <c r="AC270" s="441"/>
      <c r="AD270" s="441"/>
      <c r="AE270" s="441"/>
      <c r="AF270" s="441"/>
      <c r="AG270" s="441"/>
      <c r="AH270" s="441"/>
      <c r="AI270" s="441"/>
      <c r="AJ270" s="441"/>
      <c r="AK270" s="441"/>
      <c r="AL270" s="441"/>
      <c r="AM270" s="441"/>
      <c r="AN270" s="441"/>
      <c r="AO270" s="441"/>
      <c r="AP270" s="448"/>
      <c r="AQ270" s="448"/>
      <c r="AR270" s="448"/>
      <c r="AS270" s="448"/>
      <c r="AT270" s="448"/>
      <c r="AU270" s="448"/>
      <c r="AV270" s="448"/>
      <c r="AW270" s="448"/>
      <c r="AX270" s="448"/>
      <c r="AY270" s="448"/>
      <c r="AZ270" s="448"/>
      <c r="BA270" s="448"/>
      <c r="BB270" s="448"/>
      <c r="BC270" s="448"/>
      <c r="BD270" s="448"/>
    </row>
    <row r="271" spans="1:56" ht="12.75" hidden="1" thickBot="1">
      <c r="A271" s="1" t="s">
        <v>1273</v>
      </c>
      <c r="B271" s="2" t="s">
        <v>805</v>
      </c>
      <c r="C271" s="2" t="s">
        <v>806</v>
      </c>
      <c r="D271" s="8" t="s">
        <v>1205</v>
      </c>
      <c r="E271" s="3">
        <f t="shared" si="27"/>
        <v>0</v>
      </c>
      <c r="F271" s="452">
        <f t="shared" si="27"/>
        <v>0</v>
      </c>
      <c r="G271" s="452">
        <f t="shared" si="26"/>
        <v>0</v>
      </c>
      <c r="H271" s="452">
        <f t="shared" si="26"/>
        <v>0</v>
      </c>
      <c r="I271" s="452">
        <f t="shared" si="26"/>
        <v>0</v>
      </c>
      <c r="J271" s="452">
        <f t="shared" si="26"/>
        <v>0</v>
      </c>
      <c r="K271" s="452">
        <f t="shared" si="26"/>
        <v>0</v>
      </c>
      <c r="L271" s="452">
        <f t="shared" si="26"/>
        <v>0</v>
      </c>
      <c r="M271" s="452">
        <f t="shared" si="26"/>
        <v>0</v>
      </c>
      <c r="N271" s="452">
        <f t="shared" si="26"/>
        <v>0</v>
      </c>
      <c r="O271" s="452">
        <f t="shared" si="26"/>
        <v>0</v>
      </c>
      <c r="P271" s="452">
        <f t="shared" si="26"/>
        <v>0</v>
      </c>
      <c r="Q271" s="452"/>
      <c r="R271" s="452">
        <f t="shared" si="26"/>
        <v>0</v>
      </c>
      <c r="S271" s="445">
        <f t="shared" si="23"/>
        <v>0</v>
      </c>
      <c r="T271" s="445">
        <f t="shared" si="24"/>
        <v>0</v>
      </c>
      <c r="U271" s="445">
        <f t="shared" si="25"/>
        <v>0</v>
      </c>
      <c r="W271" s="450"/>
      <c r="X271" s="448"/>
      <c r="Y271" s="441"/>
      <c r="Z271" s="441"/>
      <c r="AA271" s="441"/>
      <c r="AB271" s="441"/>
      <c r="AC271" s="441"/>
      <c r="AD271" s="441"/>
      <c r="AE271" s="441"/>
      <c r="AF271" s="441"/>
      <c r="AG271" s="441"/>
      <c r="AH271" s="441"/>
      <c r="AI271" s="441"/>
      <c r="AJ271" s="441"/>
      <c r="AK271" s="441"/>
      <c r="AL271" s="441"/>
      <c r="AM271" s="441"/>
      <c r="AN271" s="441"/>
      <c r="AO271" s="441"/>
      <c r="AP271" s="448"/>
      <c r="AQ271" s="448"/>
      <c r="AR271" s="448"/>
      <c r="AS271" s="448"/>
      <c r="AT271" s="448"/>
      <c r="AU271" s="448"/>
      <c r="AV271" s="448"/>
      <c r="AW271" s="448"/>
      <c r="AX271" s="448"/>
      <c r="AY271" s="448"/>
      <c r="AZ271" s="448"/>
      <c r="BA271" s="448"/>
      <c r="BB271" s="448"/>
      <c r="BC271" s="448"/>
      <c r="BD271" s="448"/>
    </row>
    <row r="272" spans="1:56" ht="12.75" thickBot="1">
      <c r="A272" s="1" t="s">
        <v>1273</v>
      </c>
      <c r="B272" s="2" t="s">
        <v>399</v>
      </c>
      <c r="C272" s="2" t="s">
        <v>430</v>
      </c>
      <c r="D272" s="8" t="s">
        <v>13</v>
      </c>
      <c r="E272" s="3">
        <f t="shared" si="27"/>
        <v>0</v>
      </c>
      <c r="F272" s="452">
        <f t="shared" si="27"/>
        <v>0</v>
      </c>
      <c r="G272" s="452">
        <f t="shared" si="26"/>
        <v>0</v>
      </c>
      <c r="H272" s="452">
        <f t="shared" si="26"/>
        <v>0</v>
      </c>
      <c r="I272" s="452">
        <f t="shared" si="26"/>
        <v>0</v>
      </c>
      <c r="J272" s="452">
        <f t="shared" si="26"/>
        <v>0</v>
      </c>
      <c r="K272" s="452">
        <f t="shared" si="26"/>
        <v>0</v>
      </c>
      <c r="L272" s="452">
        <f t="shared" si="26"/>
        <v>0</v>
      </c>
      <c r="M272" s="452">
        <f t="shared" si="26"/>
        <v>0</v>
      </c>
      <c r="N272" s="452">
        <f t="shared" si="26"/>
        <v>0</v>
      </c>
      <c r="O272" s="452">
        <f t="shared" si="26"/>
        <v>0</v>
      </c>
      <c r="P272" s="452">
        <f t="shared" si="26"/>
        <v>0</v>
      </c>
      <c r="Q272" s="452"/>
      <c r="R272" s="452">
        <f t="shared" si="26"/>
        <v>0</v>
      </c>
      <c r="S272" s="445">
        <f t="shared" si="23"/>
        <v>0</v>
      </c>
      <c r="T272" s="445">
        <f t="shared" si="24"/>
        <v>0</v>
      </c>
      <c r="U272" s="445">
        <f t="shared" si="25"/>
        <v>0</v>
      </c>
      <c r="W272" s="450"/>
      <c r="X272" s="448"/>
      <c r="Y272" s="441"/>
      <c r="Z272" s="441"/>
      <c r="AA272" s="441"/>
      <c r="AB272" s="441"/>
      <c r="AC272" s="441"/>
      <c r="AD272" s="441"/>
      <c r="AE272" s="441"/>
      <c r="AF272" s="441"/>
      <c r="AG272" s="441"/>
      <c r="AH272" s="441"/>
      <c r="AI272" s="441"/>
      <c r="AJ272" s="441"/>
      <c r="AK272" s="441"/>
      <c r="AL272" s="441"/>
      <c r="AM272" s="441"/>
      <c r="AN272" s="441"/>
      <c r="AO272" s="441"/>
      <c r="AP272" s="448"/>
      <c r="AQ272" s="448"/>
      <c r="AR272" s="448"/>
      <c r="AS272" s="448"/>
      <c r="AT272" s="448"/>
      <c r="AU272" s="448"/>
      <c r="AV272" s="448"/>
      <c r="AW272" s="448"/>
      <c r="AX272" s="448"/>
      <c r="AY272" s="448"/>
      <c r="AZ272" s="448"/>
      <c r="BA272" s="448"/>
      <c r="BB272" s="448"/>
      <c r="BC272" s="448"/>
      <c r="BD272" s="448"/>
    </row>
    <row r="273" spans="1:56" ht="12.75" thickBot="1">
      <c r="A273" s="1" t="s">
        <v>1273</v>
      </c>
      <c r="B273" s="2" t="s">
        <v>400</v>
      </c>
      <c r="C273" s="2" t="s">
        <v>427</v>
      </c>
      <c r="D273" s="8" t="s">
        <v>13</v>
      </c>
      <c r="E273" s="3">
        <f t="shared" si="27"/>
        <v>309085717</v>
      </c>
      <c r="F273" s="452">
        <f t="shared" si="27"/>
        <v>3891812</v>
      </c>
      <c r="G273" s="452">
        <f t="shared" si="26"/>
        <v>16125002</v>
      </c>
      <c r="H273" s="452">
        <f t="shared" si="26"/>
        <v>8422586</v>
      </c>
      <c r="I273" s="452">
        <f t="shared" si="26"/>
        <v>414175</v>
      </c>
      <c r="J273" s="452">
        <f t="shared" si="26"/>
        <v>0</v>
      </c>
      <c r="K273" s="452">
        <f t="shared" si="26"/>
        <v>0</v>
      </c>
      <c r="L273" s="452">
        <f t="shared" si="26"/>
        <v>521269</v>
      </c>
      <c r="M273" s="452">
        <f t="shared" si="26"/>
        <v>-435869</v>
      </c>
      <c r="N273" s="452">
        <f t="shared" si="26"/>
        <v>3204868</v>
      </c>
      <c r="O273" s="452">
        <f t="shared" si="26"/>
        <v>0</v>
      </c>
      <c r="P273" s="452">
        <f t="shared" si="26"/>
        <v>0</v>
      </c>
      <c r="Q273" s="452"/>
      <c r="R273" s="452">
        <f t="shared" si="26"/>
        <v>32143843</v>
      </c>
      <c r="S273" s="445">
        <f t="shared" si="23"/>
        <v>24961763</v>
      </c>
      <c r="T273" s="445">
        <f t="shared" si="24"/>
        <v>0</v>
      </c>
      <c r="U273" s="445">
        <f t="shared" si="25"/>
        <v>3204868</v>
      </c>
      <c r="W273" s="450"/>
      <c r="X273" s="448"/>
      <c r="Y273" s="441"/>
      <c r="Z273" s="441"/>
      <c r="AA273" s="441"/>
      <c r="AB273" s="441"/>
      <c r="AC273" s="441"/>
      <c r="AD273" s="441"/>
      <c r="AE273" s="441"/>
      <c r="AF273" s="441"/>
      <c r="AG273" s="441"/>
      <c r="AH273" s="441"/>
      <c r="AI273" s="441"/>
      <c r="AJ273" s="441"/>
      <c r="AK273" s="441"/>
      <c r="AL273" s="441"/>
      <c r="AM273" s="441"/>
      <c r="AN273" s="441"/>
      <c r="AO273" s="441"/>
      <c r="AP273" s="448"/>
      <c r="AQ273" s="448"/>
      <c r="AR273" s="448"/>
      <c r="AS273" s="448"/>
      <c r="AT273" s="448"/>
      <c r="AU273" s="448"/>
      <c r="AV273" s="448"/>
      <c r="AW273" s="448"/>
      <c r="AX273" s="448"/>
      <c r="AY273" s="448"/>
      <c r="AZ273" s="448"/>
      <c r="BA273" s="448"/>
      <c r="BB273" s="448"/>
      <c r="BC273" s="448"/>
      <c r="BD273" s="448"/>
    </row>
    <row r="274" spans="1:56" ht="12.75" thickBot="1">
      <c r="A274" s="1" t="s">
        <v>1273</v>
      </c>
      <c r="B274" s="2" t="s">
        <v>401</v>
      </c>
      <c r="C274" s="2" t="s">
        <v>428</v>
      </c>
      <c r="D274" s="8" t="s">
        <v>13</v>
      </c>
      <c r="E274" s="3">
        <f t="shared" si="27"/>
        <v>0</v>
      </c>
      <c r="F274" s="452">
        <f t="shared" si="27"/>
        <v>0</v>
      </c>
      <c r="G274" s="452">
        <f t="shared" si="26"/>
        <v>0</v>
      </c>
      <c r="H274" s="452">
        <f t="shared" si="26"/>
        <v>0</v>
      </c>
      <c r="I274" s="452">
        <f t="shared" si="26"/>
        <v>0</v>
      </c>
      <c r="J274" s="452">
        <f t="shared" si="26"/>
        <v>0</v>
      </c>
      <c r="K274" s="452">
        <f t="shared" si="26"/>
        <v>0</v>
      </c>
      <c r="L274" s="452">
        <f t="shared" si="26"/>
        <v>0</v>
      </c>
      <c r="M274" s="452">
        <f t="shared" si="26"/>
        <v>0</v>
      </c>
      <c r="N274" s="452">
        <f t="shared" si="26"/>
        <v>0</v>
      </c>
      <c r="O274" s="452">
        <f t="shared" si="26"/>
        <v>0</v>
      </c>
      <c r="P274" s="452">
        <f t="shared" si="26"/>
        <v>0</v>
      </c>
      <c r="Q274" s="452"/>
      <c r="R274" s="452">
        <f t="shared" si="26"/>
        <v>0</v>
      </c>
      <c r="S274" s="445">
        <f t="shared" si="23"/>
        <v>0</v>
      </c>
      <c r="T274" s="445">
        <f t="shared" si="24"/>
        <v>0</v>
      </c>
      <c r="U274" s="445">
        <f t="shared" si="25"/>
        <v>0</v>
      </c>
      <c r="W274" s="450"/>
      <c r="X274" s="448"/>
      <c r="Y274" s="441"/>
      <c r="Z274" s="441"/>
      <c r="AA274" s="441"/>
      <c r="AB274" s="441"/>
      <c r="AC274" s="441"/>
      <c r="AD274" s="441"/>
      <c r="AE274" s="441"/>
      <c r="AF274" s="441"/>
      <c r="AG274" s="441"/>
      <c r="AH274" s="441"/>
      <c r="AI274" s="441"/>
      <c r="AJ274" s="441"/>
      <c r="AK274" s="441"/>
      <c r="AL274" s="441"/>
      <c r="AM274" s="441"/>
      <c r="AN274" s="441"/>
      <c r="AO274" s="441"/>
      <c r="AP274" s="448"/>
      <c r="AQ274" s="448"/>
      <c r="AR274" s="448"/>
      <c r="AS274" s="448"/>
      <c r="AT274" s="448"/>
      <c r="AU274" s="448"/>
      <c r="AV274" s="448"/>
      <c r="AW274" s="448"/>
      <c r="AX274" s="448"/>
      <c r="AY274" s="448"/>
      <c r="AZ274" s="448"/>
      <c r="BA274" s="448"/>
      <c r="BB274" s="448"/>
      <c r="BC274" s="448"/>
      <c r="BD274" s="448"/>
    </row>
    <row r="275" spans="1:56" ht="12.75" thickBot="1">
      <c r="A275" s="1" t="s">
        <v>1273</v>
      </c>
      <c r="B275" s="2" t="s">
        <v>402</v>
      </c>
      <c r="C275" s="2" t="s">
        <v>429</v>
      </c>
      <c r="D275" s="8" t="s">
        <v>13</v>
      </c>
      <c r="E275" s="3">
        <f t="shared" si="27"/>
        <v>0</v>
      </c>
      <c r="F275" s="452">
        <f t="shared" si="27"/>
        <v>0</v>
      </c>
      <c r="G275" s="452">
        <f t="shared" si="26"/>
        <v>0</v>
      </c>
      <c r="H275" s="452">
        <f t="shared" si="26"/>
        <v>0</v>
      </c>
      <c r="I275" s="452">
        <f t="shared" si="26"/>
        <v>0</v>
      </c>
      <c r="J275" s="452">
        <f t="shared" si="26"/>
        <v>0</v>
      </c>
      <c r="K275" s="452">
        <f t="shared" si="26"/>
        <v>0</v>
      </c>
      <c r="L275" s="452">
        <f t="shared" si="26"/>
        <v>0</v>
      </c>
      <c r="M275" s="452">
        <f t="shared" si="26"/>
        <v>0</v>
      </c>
      <c r="N275" s="452">
        <f t="shared" si="26"/>
        <v>0</v>
      </c>
      <c r="O275" s="452">
        <f t="shared" si="26"/>
        <v>0</v>
      </c>
      <c r="P275" s="452">
        <f t="shared" si="26"/>
        <v>0</v>
      </c>
      <c r="Q275" s="452"/>
      <c r="R275" s="452">
        <f t="shared" si="26"/>
        <v>0</v>
      </c>
      <c r="S275" s="445">
        <f t="shared" si="23"/>
        <v>0</v>
      </c>
      <c r="T275" s="445">
        <f t="shared" si="24"/>
        <v>0</v>
      </c>
      <c r="U275" s="445">
        <f t="shared" si="25"/>
        <v>0</v>
      </c>
      <c r="W275" s="450"/>
      <c r="X275" s="448"/>
      <c r="Y275" s="441"/>
      <c r="Z275" s="441"/>
      <c r="AA275" s="441"/>
      <c r="AB275" s="441"/>
      <c r="AC275" s="441"/>
      <c r="AD275" s="441"/>
      <c r="AE275" s="441"/>
      <c r="AF275" s="441"/>
      <c r="AG275" s="441"/>
      <c r="AH275" s="441"/>
      <c r="AI275" s="441"/>
      <c r="AJ275" s="441"/>
      <c r="AK275" s="441"/>
      <c r="AL275" s="441"/>
      <c r="AM275" s="441"/>
      <c r="AN275" s="441"/>
      <c r="AO275" s="441"/>
      <c r="AP275" s="448"/>
      <c r="AQ275" s="448"/>
      <c r="AR275" s="448"/>
      <c r="AS275" s="448"/>
      <c r="AT275" s="448"/>
      <c r="AU275" s="448"/>
      <c r="AV275" s="448"/>
      <c r="AW275" s="448"/>
      <c r="AX275" s="448"/>
      <c r="AY275" s="448"/>
      <c r="AZ275" s="448"/>
      <c r="BA275" s="448"/>
      <c r="BB275" s="448"/>
      <c r="BC275" s="448"/>
      <c r="BD275" s="448"/>
    </row>
    <row r="276" spans="1:56" ht="12.75" hidden="1" thickBot="1">
      <c r="A276" s="1" t="s">
        <v>1273</v>
      </c>
      <c r="B276" s="2" t="s">
        <v>706</v>
      </c>
      <c r="C276" s="2" t="s">
        <v>1204</v>
      </c>
      <c r="D276" s="8" t="s">
        <v>641</v>
      </c>
      <c r="E276" s="3">
        <f t="shared" si="27"/>
        <v>0</v>
      </c>
      <c r="F276" s="452">
        <f t="shared" si="27"/>
        <v>0</v>
      </c>
      <c r="G276" s="452">
        <f t="shared" si="26"/>
        <v>0</v>
      </c>
      <c r="H276" s="452">
        <f t="shared" si="26"/>
        <v>0</v>
      </c>
      <c r="I276" s="452">
        <f t="shared" si="26"/>
        <v>0</v>
      </c>
      <c r="J276" s="452">
        <f t="shared" si="26"/>
        <v>0</v>
      </c>
      <c r="K276" s="452">
        <f t="shared" si="26"/>
        <v>0</v>
      </c>
      <c r="L276" s="452">
        <f t="shared" si="26"/>
        <v>0</v>
      </c>
      <c r="M276" s="452">
        <f t="shared" si="26"/>
        <v>0</v>
      </c>
      <c r="N276" s="452">
        <f t="shared" si="26"/>
        <v>0</v>
      </c>
      <c r="O276" s="452">
        <f t="shared" si="26"/>
        <v>0</v>
      </c>
      <c r="P276" s="452">
        <f t="shared" si="26"/>
        <v>0</v>
      </c>
      <c r="Q276" s="452"/>
      <c r="R276" s="452">
        <f t="shared" si="26"/>
        <v>0</v>
      </c>
      <c r="S276" s="445">
        <f t="shared" si="23"/>
        <v>0</v>
      </c>
      <c r="T276" s="445">
        <f t="shared" si="24"/>
        <v>0</v>
      </c>
      <c r="U276" s="445">
        <f t="shared" si="25"/>
        <v>0</v>
      </c>
      <c r="W276" s="450"/>
      <c r="X276" s="448"/>
      <c r="Y276" s="441"/>
      <c r="Z276" s="441"/>
      <c r="AA276" s="441"/>
      <c r="AB276" s="441"/>
      <c r="AC276" s="441"/>
      <c r="AD276" s="441"/>
      <c r="AE276" s="441"/>
      <c r="AF276" s="441"/>
      <c r="AG276" s="441"/>
      <c r="AH276" s="441"/>
      <c r="AI276" s="441"/>
      <c r="AJ276" s="441"/>
      <c r="AK276" s="441"/>
      <c r="AL276" s="441"/>
      <c r="AM276" s="441"/>
      <c r="AN276" s="441"/>
      <c r="AO276" s="441"/>
      <c r="AP276" s="448"/>
      <c r="AQ276" s="448"/>
      <c r="AR276" s="448"/>
      <c r="AS276" s="448"/>
      <c r="AT276" s="448"/>
      <c r="AU276" s="448"/>
      <c r="AV276" s="448"/>
      <c r="AW276" s="448"/>
      <c r="AX276" s="448"/>
      <c r="AY276" s="448"/>
      <c r="AZ276" s="448"/>
      <c r="BA276" s="448"/>
      <c r="BB276" s="448"/>
      <c r="BC276" s="448"/>
      <c r="BD276" s="448"/>
    </row>
    <row r="277" spans="1:56" ht="12.75" hidden="1" thickBot="1">
      <c r="A277" s="1" t="s">
        <v>1273</v>
      </c>
      <c r="B277" s="2" t="s">
        <v>1230</v>
      </c>
      <c r="C277" s="2" t="s">
        <v>1245</v>
      </c>
      <c r="D277" s="8" t="s">
        <v>641</v>
      </c>
      <c r="E277" s="3">
        <f t="shared" si="27"/>
        <v>0</v>
      </c>
      <c r="F277" s="452">
        <f t="shared" si="27"/>
        <v>0</v>
      </c>
      <c r="G277" s="452">
        <f t="shared" si="26"/>
        <v>0</v>
      </c>
      <c r="H277" s="452">
        <f t="shared" si="26"/>
        <v>0</v>
      </c>
      <c r="I277" s="452">
        <f t="shared" si="26"/>
        <v>0</v>
      </c>
      <c r="J277" s="452">
        <f t="shared" si="26"/>
        <v>0</v>
      </c>
      <c r="K277" s="452">
        <f t="shared" si="26"/>
        <v>0</v>
      </c>
      <c r="L277" s="452">
        <f t="shared" si="26"/>
        <v>0</v>
      </c>
      <c r="M277" s="452">
        <f t="shared" si="26"/>
        <v>0</v>
      </c>
      <c r="N277" s="452">
        <f t="shared" si="26"/>
        <v>0</v>
      </c>
      <c r="O277" s="452">
        <f t="shared" si="26"/>
        <v>0</v>
      </c>
      <c r="P277" s="452">
        <f t="shared" si="26"/>
        <v>0</v>
      </c>
      <c r="Q277" s="452"/>
      <c r="R277" s="452">
        <f t="shared" si="26"/>
        <v>0</v>
      </c>
      <c r="S277" s="445">
        <f t="shared" si="23"/>
        <v>0</v>
      </c>
      <c r="T277" s="445">
        <f t="shared" si="24"/>
        <v>0</v>
      </c>
      <c r="U277" s="445">
        <f t="shared" si="25"/>
        <v>0</v>
      </c>
      <c r="W277" s="450"/>
      <c r="X277" s="448"/>
      <c r="Y277" s="441"/>
      <c r="Z277" s="441"/>
      <c r="AA277" s="441"/>
      <c r="AB277" s="441"/>
      <c r="AC277" s="441"/>
      <c r="AD277" s="441"/>
      <c r="AE277" s="441"/>
      <c r="AF277" s="441"/>
      <c r="AG277" s="441"/>
      <c r="AH277" s="441"/>
      <c r="AI277" s="441"/>
      <c r="AJ277" s="441"/>
      <c r="AK277" s="441"/>
      <c r="AL277" s="441"/>
      <c r="AM277" s="441"/>
      <c r="AN277" s="441"/>
      <c r="AO277" s="441"/>
      <c r="AP277" s="448"/>
      <c r="AQ277" s="448"/>
      <c r="AR277" s="448"/>
      <c r="AS277" s="448"/>
      <c r="AT277" s="448"/>
      <c r="AU277" s="448"/>
      <c r="AV277" s="448"/>
      <c r="AW277" s="448"/>
      <c r="AX277" s="448"/>
      <c r="AY277" s="448"/>
      <c r="AZ277" s="448"/>
      <c r="BA277" s="448"/>
      <c r="BB277" s="448"/>
      <c r="BC277" s="448"/>
      <c r="BD277" s="448"/>
    </row>
    <row r="278" spans="1:56" ht="12.75" hidden="1" thickBot="1">
      <c r="A278" s="1" t="s">
        <v>1273</v>
      </c>
      <c r="B278" s="2" t="s">
        <v>362</v>
      </c>
      <c r="C278" s="2" t="s">
        <v>363</v>
      </c>
      <c r="D278" s="8" t="s">
        <v>1205</v>
      </c>
      <c r="E278" s="457"/>
      <c r="F278" s="4"/>
      <c r="G278" s="4"/>
      <c r="H278" s="4"/>
      <c r="I278" s="4"/>
      <c r="J278" s="4"/>
      <c r="K278" s="4"/>
      <c r="L278" s="4"/>
      <c r="M278" s="4"/>
      <c r="N278" s="4"/>
      <c r="O278" s="4"/>
      <c r="P278" s="4"/>
      <c r="Q278" s="4"/>
      <c r="R278" s="4"/>
      <c r="S278" s="445">
        <f t="shared" si="23"/>
        <v>0</v>
      </c>
      <c r="T278" s="445">
        <f t="shared" si="24"/>
        <v>0</v>
      </c>
      <c r="U278" s="445">
        <f t="shared" si="25"/>
        <v>0</v>
      </c>
      <c r="W278" s="450"/>
      <c r="X278" s="448"/>
      <c r="Y278" s="441"/>
      <c r="Z278" s="441"/>
      <c r="AA278" s="441"/>
      <c r="AB278" s="441"/>
      <c r="AC278" s="441"/>
      <c r="AD278" s="441"/>
      <c r="AE278" s="441"/>
      <c r="AF278" s="441"/>
      <c r="AG278" s="441"/>
      <c r="AH278" s="441"/>
      <c r="AI278" s="441"/>
      <c r="AJ278" s="441"/>
      <c r="AK278" s="441"/>
      <c r="AL278" s="441"/>
      <c r="AM278" s="441"/>
      <c r="AN278" s="441"/>
      <c r="AO278" s="441"/>
      <c r="AP278" s="448"/>
      <c r="AQ278" s="448"/>
      <c r="AR278" s="448"/>
      <c r="AS278" s="448"/>
      <c r="AT278" s="448"/>
      <c r="AU278" s="448"/>
      <c r="AV278" s="448"/>
      <c r="AW278" s="448"/>
      <c r="AX278" s="448"/>
      <c r="AY278" s="448"/>
      <c r="AZ278" s="448"/>
      <c r="BA278" s="448"/>
      <c r="BB278" s="448"/>
      <c r="BC278" s="448"/>
      <c r="BD278" s="448"/>
    </row>
    <row r="279" spans="1:56" ht="12.75" hidden="1" thickBot="1">
      <c r="A279" s="1" t="s">
        <v>1273</v>
      </c>
      <c r="B279" s="2" t="s">
        <v>342</v>
      </c>
      <c r="C279" s="2" t="s">
        <v>1035</v>
      </c>
      <c r="D279" s="8" t="s">
        <v>459</v>
      </c>
      <c r="E279" s="459"/>
      <c r="F279" s="6"/>
      <c r="G279" s="451"/>
      <c r="H279" s="6"/>
      <c r="I279" s="6"/>
      <c r="J279" s="6"/>
      <c r="K279" s="6"/>
      <c r="L279" s="6"/>
      <c r="M279" s="451"/>
      <c r="N279" s="451"/>
      <c r="O279" s="6"/>
      <c r="P279" s="6"/>
      <c r="Q279" s="451"/>
      <c r="R279" s="451"/>
      <c r="S279" s="445">
        <f t="shared" si="23"/>
        <v>0</v>
      </c>
      <c r="T279" s="445">
        <f t="shared" si="24"/>
        <v>0</v>
      </c>
      <c r="U279" s="445">
        <f t="shared" si="25"/>
        <v>0</v>
      </c>
      <c r="W279" s="450"/>
      <c r="X279" s="448"/>
      <c r="Y279" s="441"/>
      <c r="Z279" s="441"/>
      <c r="AA279" s="441"/>
      <c r="AB279" s="441"/>
      <c r="AC279" s="441"/>
      <c r="AD279" s="441"/>
      <c r="AE279" s="441"/>
      <c r="AF279" s="441"/>
      <c r="AG279" s="441"/>
      <c r="AH279" s="441"/>
      <c r="AI279" s="441"/>
      <c r="AJ279" s="441"/>
      <c r="AK279" s="441"/>
      <c r="AL279" s="441"/>
      <c r="AM279" s="441"/>
      <c r="AN279" s="441"/>
      <c r="AO279" s="441"/>
      <c r="AP279" s="448"/>
      <c r="AQ279" s="448"/>
      <c r="AR279" s="448"/>
      <c r="AS279" s="448"/>
      <c r="AT279" s="448"/>
      <c r="AU279" s="448"/>
      <c r="AV279" s="448"/>
      <c r="AW279" s="448"/>
      <c r="AX279" s="448"/>
      <c r="AY279" s="448"/>
      <c r="AZ279" s="448"/>
      <c r="BA279" s="448"/>
      <c r="BB279" s="448"/>
      <c r="BC279" s="448"/>
      <c r="BD279" s="448"/>
    </row>
    <row r="280" spans="1:56" ht="12.75" hidden="1" thickBot="1">
      <c r="A280" s="1" t="s">
        <v>1273</v>
      </c>
      <c r="B280" s="2" t="s">
        <v>213</v>
      </c>
      <c r="C280" s="2" t="s">
        <v>1036</v>
      </c>
      <c r="D280" s="8" t="s">
        <v>459</v>
      </c>
      <c r="E280" s="460"/>
      <c r="F280" s="4"/>
      <c r="G280" s="449"/>
      <c r="H280" s="4"/>
      <c r="I280" s="4"/>
      <c r="J280" s="4"/>
      <c r="K280" s="4"/>
      <c r="L280" s="4"/>
      <c r="M280" s="449"/>
      <c r="N280" s="449"/>
      <c r="O280" s="4"/>
      <c r="P280" s="4"/>
      <c r="Q280" s="449"/>
      <c r="R280" s="449"/>
      <c r="S280" s="445">
        <f t="shared" si="23"/>
        <v>0</v>
      </c>
      <c r="T280" s="445">
        <f t="shared" si="24"/>
        <v>0</v>
      </c>
      <c r="U280" s="445">
        <f t="shared" si="25"/>
        <v>0</v>
      </c>
      <c r="W280" s="450"/>
      <c r="X280" s="448"/>
      <c r="Y280" s="441"/>
      <c r="Z280" s="441"/>
      <c r="AA280" s="441"/>
      <c r="AB280" s="441"/>
      <c r="AC280" s="441"/>
      <c r="AD280" s="441"/>
      <c r="AE280" s="441"/>
      <c r="AF280" s="441"/>
      <c r="AG280" s="441"/>
      <c r="AH280" s="441"/>
      <c r="AI280" s="441"/>
      <c r="AJ280" s="441"/>
      <c r="AK280" s="441"/>
      <c r="AL280" s="441"/>
      <c r="AM280" s="441"/>
      <c r="AN280" s="441"/>
      <c r="AO280" s="441"/>
      <c r="AP280" s="448"/>
      <c r="AQ280" s="448"/>
      <c r="AR280" s="448"/>
      <c r="AS280" s="448"/>
      <c r="AT280" s="448"/>
      <c r="AU280" s="448"/>
      <c r="AV280" s="448"/>
      <c r="AW280" s="448"/>
      <c r="AX280" s="448"/>
      <c r="AY280" s="448"/>
      <c r="AZ280" s="448"/>
      <c r="BA280" s="448"/>
      <c r="BB280" s="448"/>
      <c r="BC280" s="448"/>
      <c r="BD280" s="448"/>
    </row>
    <row r="281" spans="1:56" ht="12.75" hidden="1" thickBot="1">
      <c r="A281" s="1" t="s">
        <v>1273</v>
      </c>
      <c r="B281" s="2" t="s">
        <v>214</v>
      </c>
      <c r="C281" s="2" t="s">
        <v>1037</v>
      </c>
      <c r="D281" s="8" t="s">
        <v>459</v>
      </c>
      <c r="E281" s="459"/>
      <c r="F281" s="6"/>
      <c r="G281" s="451"/>
      <c r="H281" s="6"/>
      <c r="I281" s="6"/>
      <c r="J281" s="6"/>
      <c r="K281" s="6"/>
      <c r="L281" s="6"/>
      <c r="M281" s="451"/>
      <c r="N281" s="451"/>
      <c r="O281" s="6"/>
      <c r="P281" s="6"/>
      <c r="Q281" s="451"/>
      <c r="R281" s="451"/>
      <c r="S281" s="445">
        <f t="shared" si="23"/>
        <v>0</v>
      </c>
      <c r="T281" s="445">
        <f t="shared" si="24"/>
        <v>0</v>
      </c>
      <c r="U281" s="445">
        <f t="shared" si="25"/>
        <v>0</v>
      </c>
      <c r="W281" s="450"/>
      <c r="X281" s="448"/>
      <c r="Y281" s="441"/>
      <c r="Z281" s="441"/>
      <c r="AA281" s="441"/>
      <c r="AB281" s="441"/>
      <c r="AC281" s="441"/>
      <c r="AD281" s="441"/>
      <c r="AE281" s="441"/>
      <c r="AF281" s="441"/>
      <c r="AG281" s="441"/>
      <c r="AH281" s="441"/>
      <c r="AI281" s="441"/>
      <c r="AJ281" s="441"/>
      <c r="AK281" s="441"/>
      <c r="AL281" s="441"/>
      <c r="AM281" s="441"/>
      <c r="AN281" s="441"/>
      <c r="AO281" s="441"/>
      <c r="AP281" s="448"/>
      <c r="AQ281" s="448"/>
      <c r="AR281" s="448"/>
      <c r="AS281" s="448"/>
      <c r="AT281" s="448"/>
      <c r="AU281" s="448"/>
      <c r="AV281" s="448"/>
      <c r="AW281" s="448"/>
      <c r="AX281" s="448"/>
      <c r="AY281" s="448"/>
      <c r="AZ281" s="448"/>
      <c r="BA281" s="448"/>
      <c r="BB281" s="448"/>
      <c r="BC281" s="448"/>
      <c r="BD281" s="448"/>
    </row>
    <row r="282" spans="1:56" ht="12.75" hidden="1" thickBot="1">
      <c r="A282" s="1" t="s">
        <v>1273</v>
      </c>
      <c r="B282" s="2" t="s">
        <v>1231</v>
      </c>
      <c r="C282" s="2" t="s">
        <v>1232</v>
      </c>
      <c r="D282" s="8" t="s">
        <v>459</v>
      </c>
      <c r="E282" s="460"/>
      <c r="F282" s="4"/>
      <c r="G282" s="4"/>
      <c r="H282" s="4"/>
      <c r="I282" s="4"/>
      <c r="J282" s="4"/>
      <c r="K282" s="4"/>
      <c r="L282" s="4"/>
      <c r="M282" s="4"/>
      <c r="N282" s="4"/>
      <c r="O282" s="4"/>
      <c r="P282" s="4"/>
      <c r="Q282" s="4"/>
      <c r="R282" s="4"/>
      <c r="S282" s="445">
        <f t="shared" si="23"/>
        <v>0</v>
      </c>
      <c r="T282" s="445">
        <f t="shared" si="24"/>
        <v>0</v>
      </c>
      <c r="U282" s="445">
        <f t="shared" si="25"/>
        <v>0</v>
      </c>
      <c r="W282" s="450"/>
      <c r="X282" s="448"/>
      <c r="Y282" s="441"/>
      <c r="Z282" s="441"/>
      <c r="AA282" s="441"/>
      <c r="AB282" s="441"/>
      <c r="AC282" s="441"/>
      <c r="AD282" s="441"/>
      <c r="AE282" s="441"/>
      <c r="AF282" s="441"/>
      <c r="AG282" s="441"/>
      <c r="AH282" s="441"/>
      <c r="AI282" s="441"/>
      <c r="AJ282" s="441"/>
      <c r="AK282" s="441"/>
      <c r="AL282" s="441"/>
      <c r="AM282" s="441"/>
      <c r="AN282" s="441"/>
      <c r="AO282" s="441"/>
      <c r="AP282" s="448"/>
      <c r="AQ282" s="448"/>
      <c r="AR282" s="448"/>
      <c r="AS282" s="448"/>
      <c r="AT282" s="448"/>
      <c r="AU282" s="448"/>
      <c r="AV282" s="448"/>
      <c r="AW282" s="448"/>
      <c r="AX282" s="448"/>
      <c r="AY282" s="448"/>
      <c r="AZ282" s="448"/>
      <c r="BA282" s="448"/>
      <c r="BB282" s="448"/>
      <c r="BC282" s="448"/>
      <c r="BD282" s="448"/>
    </row>
    <row r="283" spans="1:56" ht="12.75" hidden="1" thickBot="1">
      <c r="A283" s="1" t="s">
        <v>1273</v>
      </c>
      <c r="B283" s="2" t="s">
        <v>215</v>
      </c>
      <c r="C283" s="2" t="s">
        <v>1038</v>
      </c>
      <c r="D283" s="8" t="s">
        <v>459</v>
      </c>
      <c r="E283" s="459"/>
      <c r="F283" s="6"/>
      <c r="G283" s="451"/>
      <c r="H283" s="6"/>
      <c r="I283" s="6"/>
      <c r="J283" s="6"/>
      <c r="K283" s="6"/>
      <c r="L283" s="6"/>
      <c r="M283" s="451"/>
      <c r="N283" s="451"/>
      <c r="O283" s="6"/>
      <c r="P283" s="6"/>
      <c r="Q283" s="451"/>
      <c r="R283" s="451"/>
      <c r="S283" s="445">
        <f t="shared" si="23"/>
        <v>0</v>
      </c>
      <c r="T283" s="445">
        <f t="shared" si="24"/>
        <v>0</v>
      </c>
      <c r="U283" s="445">
        <f t="shared" si="25"/>
        <v>0</v>
      </c>
      <c r="W283" s="450"/>
      <c r="X283" s="448"/>
      <c r="Y283" s="441"/>
      <c r="Z283" s="441"/>
      <c r="AA283" s="441"/>
      <c r="AB283" s="441"/>
      <c r="AC283" s="441"/>
      <c r="AD283" s="441"/>
      <c r="AE283" s="441"/>
      <c r="AF283" s="441"/>
      <c r="AG283" s="441"/>
      <c r="AH283" s="441"/>
      <c r="AI283" s="441"/>
      <c r="AJ283" s="441"/>
      <c r="AK283" s="441"/>
      <c r="AL283" s="441"/>
      <c r="AM283" s="441"/>
      <c r="AN283" s="441"/>
      <c r="AO283" s="441"/>
      <c r="AP283" s="448"/>
      <c r="AQ283" s="448"/>
      <c r="AR283" s="448"/>
      <c r="AS283" s="448"/>
      <c r="AT283" s="448"/>
      <c r="AU283" s="448"/>
      <c r="AV283" s="448"/>
      <c r="AW283" s="448"/>
      <c r="AX283" s="448"/>
      <c r="AY283" s="448"/>
      <c r="AZ283" s="448"/>
      <c r="BA283" s="448"/>
      <c r="BB283" s="448"/>
      <c r="BC283" s="448"/>
      <c r="BD283" s="448"/>
    </row>
    <row r="284" spans="1:56" ht="12.75" hidden="1" thickBot="1">
      <c r="A284" s="1" t="s">
        <v>1273</v>
      </c>
      <c r="B284" s="2" t="s">
        <v>216</v>
      </c>
      <c r="C284" s="2" t="s">
        <v>1039</v>
      </c>
      <c r="D284" s="8" t="s">
        <v>459</v>
      </c>
      <c r="E284" s="460"/>
      <c r="F284" s="4"/>
      <c r="G284" s="449"/>
      <c r="H284" s="4"/>
      <c r="I284" s="4"/>
      <c r="J284" s="4"/>
      <c r="K284" s="4"/>
      <c r="L284" s="4"/>
      <c r="M284" s="449"/>
      <c r="N284" s="449"/>
      <c r="O284" s="4"/>
      <c r="P284" s="4"/>
      <c r="Q284" s="449"/>
      <c r="R284" s="449"/>
      <c r="S284" s="445">
        <f t="shared" si="23"/>
        <v>0</v>
      </c>
      <c r="T284" s="445">
        <f t="shared" si="24"/>
        <v>0</v>
      </c>
      <c r="U284" s="445">
        <f t="shared" si="25"/>
        <v>0</v>
      </c>
      <c r="W284" s="450"/>
      <c r="X284" s="448"/>
      <c r="Y284" s="441"/>
      <c r="Z284" s="441"/>
      <c r="AA284" s="441"/>
      <c r="AB284" s="441"/>
      <c r="AC284" s="441"/>
      <c r="AD284" s="441"/>
      <c r="AE284" s="441"/>
      <c r="AF284" s="441"/>
      <c r="AG284" s="441"/>
      <c r="AH284" s="441"/>
      <c r="AI284" s="441"/>
      <c r="AJ284" s="441"/>
      <c r="AK284" s="441"/>
      <c r="AL284" s="441"/>
      <c r="AM284" s="441"/>
      <c r="AN284" s="441"/>
      <c r="AO284" s="441"/>
      <c r="AP284" s="448"/>
      <c r="AQ284" s="448"/>
      <c r="AR284" s="448"/>
      <c r="AS284" s="448"/>
      <c r="AT284" s="448"/>
      <c r="AU284" s="448"/>
      <c r="AV284" s="448"/>
      <c r="AW284" s="448"/>
      <c r="AX284" s="448"/>
      <c r="AY284" s="448"/>
      <c r="AZ284" s="448"/>
      <c r="BA284" s="448"/>
      <c r="BB284" s="448"/>
      <c r="BC284" s="448"/>
      <c r="BD284" s="448"/>
    </row>
    <row r="285" spans="1:56" ht="12.75" hidden="1" thickBot="1">
      <c r="A285" s="1" t="s">
        <v>1273</v>
      </c>
      <c r="B285" s="2" t="s">
        <v>217</v>
      </c>
      <c r="C285" s="2" t="s">
        <v>1040</v>
      </c>
      <c r="D285" s="8" t="s">
        <v>459</v>
      </c>
      <c r="E285" s="459"/>
      <c r="F285" s="6"/>
      <c r="G285" s="451"/>
      <c r="H285" s="6"/>
      <c r="I285" s="6"/>
      <c r="J285" s="6"/>
      <c r="K285" s="6"/>
      <c r="L285" s="6"/>
      <c r="M285" s="451"/>
      <c r="N285" s="451"/>
      <c r="O285" s="6"/>
      <c r="P285" s="6"/>
      <c r="Q285" s="451"/>
      <c r="R285" s="451"/>
      <c r="S285" s="445">
        <f t="shared" si="23"/>
        <v>0</v>
      </c>
      <c r="T285" s="445">
        <f t="shared" si="24"/>
        <v>0</v>
      </c>
      <c r="U285" s="445">
        <f t="shared" si="25"/>
        <v>0</v>
      </c>
      <c r="W285" s="450"/>
      <c r="X285" s="448"/>
      <c r="Y285" s="441"/>
      <c r="Z285" s="441"/>
      <c r="AA285" s="441"/>
      <c r="AB285" s="441"/>
      <c r="AC285" s="441"/>
      <c r="AD285" s="441"/>
      <c r="AE285" s="441"/>
      <c r="AF285" s="441"/>
      <c r="AG285" s="441"/>
      <c r="AH285" s="441"/>
      <c r="AI285" s="441"/>
      <c r="AJ285" s="441"/>
      <c r="AK285" s="441"/>
      <c r="AL285" s="441"/>
      <c r="AM285" s="441"/>
      <c r="AN285" s="441"/>
      <c r="AO285" s="441"/>
      <c r="AP285" s="448"/>
      <c r="AQ285" s="448"/>
      <c r="AR285" s="448"/>
      <c r="AS285" s="448"/>
      <c r="AT285" s="448"/>
      <c r="AU285" s="448"/>
      <c r="AV285" s="448"/>
      <c r="AW285" s="448"/>
      <c r="AX285" s="448"/>
      <c r="AY285" s="448"/>
      <c r="AZ285" s="448"/>
      <c r="BA285" s="448"/>
      <c r="BB285" s="448"/>
      <c r="BC285" s="448"/>
      <c r="BD285" s="448"/>
    </row>
    <row r="286" spans="1:56" ht="12.75" hidden="1" thickBot="1">
      <c r="A286" s="1" t="s">
        <v>1273</v>
      </c>
      <c r="B286" s="2" t="s">
        <v>344</v>
      </c>
      <c r="C286" s="2" t="s">
        <v>1041</v>
      </c>
      <c r="D286" s="8" t="s">
        <v>459</v>
      </c>
      <c r="E286" s="460"/>
      <c r="F286" s="4"/>
      <c r="G286" s="449"/>
      <c r="H286" s="4"/>
      <c r="I286" s="4"/>
      <c r="J286" s="4"/>
      <c r="K286" s="4"/>
      <c r="L286" s="4"/>
      <c r="M286" s="449"/>
      <c r="N286" s="449"/>
      <c r="O286" s="4"/>
      <c r="P286" s="4"/>
      <c r="Q286" s="449"/>
      <c r="R286" s="449"/>
      <c r="S286" s="445">
        <f t="shared" si="23"/>
        <v>0</v>
      </c>
      <c r="T286" s="445">
        <f t="shared" si="24"/>
        <v>0</v>
      </c>
      <c r="U286" s="445">
        <f t="shared" si="25"/>
        <v>0</v>
      </c>
      <c r="W286" s="450"/>
      <c r="X286" s="448"/>
      <c r="Y286" s="441"/>
      <c r="Z286" s="441"/>
      <c r="AA286" s="441"/>
      <c r="AB286" s="441"/>
      <c r="AC286" s="441"/>
      <c r="AD286" s="441"/>
      <c r="AE286" s="441"/>
      <c r="AF286" s="441"/>
      <c r="AG286" s="441"/>
      <c r="AH286" s="441"/>
      <c r="AI286" s="441"/>
      <c r="AJ286" s="441"/>
      <c r="AK286" s="441"/>
      <c r="AL286" s="441"/>
      <c r="AM286" s="441"/>
      <c r="AN286" s="441"/>
      <c r="AO286" s="441"/>
      <c r="AP286" s="448"/>
      <c r="AQ286" s="448"/>
      <c r="AR286" s="448"/>
      <c r="AS286" s="448"/>
      <c r="AT286" s="448"/>
      <c r="AU286" s="448"/>
      <c r="AV286" s="448"/>
      <c r="AW286" s="448"/>
      <c r="AX286" s="448"/>
      <c r="AY286" s="448"/>
      <c r="AZ286" s="448"/>
      <c r="BA286" s="448"/>
      <c r="BB286" s="448"/>
      <c r="BC286" s="448"/>
      <c r="BD286" s="448"/>
    </row>
    <row r="287" spans="1:56" ht="12.75" hidden="1" thickBot="1">
      <c r="A287" s="1" t="s">
        <v>1273</v>
      </c>
      <c r="B287" s="2" t="s">
        <v>1233</v>
      </c>
      <c r="C287" s="2" t="s">
        <v>1234</v>
      </c>
      <c r="D287" s="8" t="s">
        <v>459</v>
      </c>
      <c r="E287" s="459"/>
      <c r="F287" s="6"/>
      <c r="G287" s="6"/>
      <c r="H287" s="6"/>
      <c r="I287" s="6"/>
      <c r="J287" s="6"/>
      <c r="K287" s="6"/>
      <c r="L287" s="6"/>
      <c r="M287" s="6"/>
      <c r="N287" s="6"/>
      <c r="O287" s="6"/>
      <c r="P287" s="6"/>
      <c r="Q287" s="6"/>
      <c r="R287" s="6"/>
      <c r="S287" s="445">
        <f t="shared" si="23"/>
        <v>0</v>
      </c>
      <c r="T287" s="445">
        <f t="shared" si="24"/>
        <v>0</v>
      </c>
      <c r="U287" s="445">
        <f t="shared" si="25"/>
        <v>0</v>
      </c>
      <c r="W287" s="450"/>
      <c r="X287" s="448"/>
      <c r="Y287" s="441"/>
      <c r="Z287" s="441"/>
      <c r="AA287" s="441"/>
      <c r="AB287" s="441"/>
      <c r="AC287" s="441"/>
      <c r="AD287" s="441"/>
      <c r="AE287" s="441"/>
      <c r="AF287" s="441"/>
      <c r="AG287" s="441"/>
      <c r="AH287" s="441"/>
      <c r="AI287" s="441"/>
      <c r="AJ287" s="441"/>
      <c r="AK287" s="441"/>
      <c r="AL287" s="441"/>
      <c r="AM287" s="441"/>
      <c r="AN287" s="441"/>
      <c r="AO287" s="441"/>
      <c r="AP287" s="448"/>
      <c r="AQ287" s="448"/>
      <c r="AR287" s="448"/>
      <c r="AS287" s="448"/>
      <c r="AT287" s="448"/>
      <c r="AU287" s="448"/>
      <c r="AV287" s="448"/>
      <c r="AW287" s="448"/>
      <c r="AX287" s="448"/>
      <c r="AY287" s="448"/>
      <c r="AZ287" s="448"/>
      <c r="BA287" s="448"/>
      <c r="BB287" s="448"/>
      <c r="BC287" s="448"/>
      <c r="BD287" s="448"/>
    </row>
    <row r="288" spans="1:56" ht="12.75" hidden="1" thickBot="1">
      <c r="A288" s="1" t="s">
        <v>1273</v>
      </c>
      <c r="B288" s="2" t="s">
        <v>218</v>
      </c>
      <c r="C288" s="2" t="s">
        <v>1042</v>
      </c>
      <c r="D288" s="8" t="s">
        <v>459</v>
      </c>
      <c r="E288" s="460"/>
      <c r="F288" s="4"/>
      <c r="G288" s="449"/>
      <c r="H288" s="4"/>
      <c r="I288" s="4"/>
      <c r="J288" s="4"/>
      <c r="K288" s="4"/>
      <c r="L288" s="4"/>
      <c r="M288" s="449"/>
      <c r="N288" s="449"/>
      <c r="O288" s="4"/>
      <c r="P288" s="4"/>
      <c r="Q288" s="449"/>
      <c r="R288" s="449"/>
      <c r="S288" s="445">
        <f t="shared" si="23"/>
        <v>0</v>
      </c>
      <c r="T288" s="445">
        <f t="shared" si="24"/>
        <v>0</v>
      </c>
      <c r="U288" s="445">
        <f t="shared" si="25"/>
        <v>0</v>
      </c>
      <c r="W288" s="450"/>
      <c r="X288" s="448"/>
      <c r="Y288" s="441"/>
      <c r="Z288" s="441"/>
      <c r="AA288" s="441"/>
      <c r="AB288" s="441"/>
      <c r="AC288" s="441"/>
      <c r="AD288" s="441"/>
      <c r="AE288" s="441"/>
      <c r="AF288" s="441"/>
      <c r="AG288" s="441"/>
      <c r="AH288" s="441"/>
      <c r="AI288" s="441"/>
      <c r="AJ288" s="441"/>
      <c r="AK288" s="441"/>
      <c r="AL288" s="441"/>
      <c r="AM288" s="441"/>
      <c r="AN288" s="441"/>
      <c r="AO288" s="441"/>
      <c r="AP288" s="448"/>
      <c r="AQ288" s="448"/>
      <c r="AR288" s="448"/>
      <c r="AS288" s="448"/>
      <c r="AT288" s="448"/>
      <c r="AU288" s="448"/>
      <c r="AV288" s="448"/>
      <c r="AW288" s="448"/>
      <c r="AX288" s="448"/>
      <c r="AY288" s="448"/>
      <c r="AZ288" s="448"/>
      <c r="BA288" s="448"/>
      <c r="BB288" s="448"/>
      <c r="BC288" s="448"/>
      <c r="BD288" s="448"/>
    </row>
    <row r="289" spans="1:56" ht="12.75" hidden="1" thickBot="1">
      <c r="A289" s="1" t="s">
        <v>1273</v>
      </c>
      <c r="B289" s="2" t="s">
        <v>223</v>
      </c>
      <c r="C289" s="2" t="s">
        <v>1043</v>
      </c>
      <c r="D289" s="8" t="s">
        <v>459</v>
      </c>
      <c r="E289" s="459"/>
      <c r="F289" s="6"/>
      <c r="G289" s="451"/>
      <c r="H289" s="6"/>
      <c r="I289" s="6"/>
      <c r="J289" s="6"/>
      <c r="K289" s="6"/>
      <c r="L289" s="6"/>
      <c r="M289" s="451"/>
      <c r="N289" s="451"/>
      <c r="O289" s="6"/>
      <c r="P289" s="6"/>
      <c r="Q289" s="451"/>
      <c r="R289" s="451"/>
      <c r="S289" s="445">
        <f t="shared" si="23"/>
        <v>0</v>
      </c>
      <c r="T289" s="445">
        <f t="shared" si="24"/>
        <v>0</v>
      </c>
      <c r="U289" s="445">
        <f t="shared" si="25"/>
        <v>0</v>
      </c>
      <c r="W289" s="450"/>
      <c r="X289" s="448"/>
      <c r="Y289" s="441"/>
      <c r="Z289" s="441"/>
      <c r="AA289" s="441"/>
      <c r="AB289" s="441"/>
      <c r="AC289" s="441"/>
      <c r="AD289" s="441"/>
      <c r="AE289" s="441"/>
      <c r="AF289" s="441"/>
      <c r="AG289" s="441"/>
      <c r="AH289" s="441"/>
      <c r="AI289" s="441"/>
      <c r="AJ289" s="441"/>
      <c r="AK289" s="441"/>
      <c r="AL289" s="441"/>
      <c r="AM289" s="441"/>
      <c r="AN289" s="441"/>
      <c r="AO289" s="441"/>
      <c r="AP289" s="448"/>
      <c r="AQ289" s="448"/>
      <c r="AR289" s="448"/>
      <c r="AS289" s="448"/>
      <c r="AT289" s="448"/>
      <c r="AU289" s="448"/>
      <c r="AV289" s="448"/>
      <c r="AW289" s="448"/>
      <c r="AX289" s="448"/>
      <c r="AY289" s="448"/>
      <c r="AZ289" s="448"/>
      <c r="BA289" s="448"/>
      <c r="BB289" s="448"/>
      <c r="BC289" s="448"/>
      <c r="BD289" s="448"/>
    </row>
    <row r="290" spans="1:56" ht="12.75" hidden="1" thickBot="1">
      <c r="A290" s="1" t="s">
        <v>1273</v>
      </c>
      <c r="B290" s="2" t="s">
        <v>231</v>
      </c>
      <c r="C290" s="2" t="s">
        <v>1044</v>
      </c>
      <c r="D290" s="8" t="s">
        <v>459</v>
      </c>
      <c r="E290" s="460"/>
      <c r="F290" s="4"/>
      <c r="G290" s="449"/>
      <c r="H290" s="4"/>
      <c r="I290" s="4"/>
      <c r="J290" s="4"/>
      <c r="K290" s="4"/>
      <c r="L290" s="4"/>
      <c r="M290" s="449"/>
      <c r="N290" s="449"/>
      <c r="O290" s="4"/>
      <c r="P290" s="4"/>
      <c r="Q290" s="449"/>
      <c r="R290" s="449"/>
      <c r="S290" s="445">
        <f t="shared" si="23"/>
        <v>0</v>
      </c>
      <c r="T290" s="445">
        <f t="shared" si="24"/>
        <v>0</v>
      </c>
      <c r="U290" s="445">
        <f t="shared" si="25"/>
        <v>0</v>
      </c>
      <c r="W290" s="450"/>
      <c r="X290" s="448"/>
      <c r="Y290" s="441"/>
      <c r="Z290" s="441"/>
      <c r="AA290" s="441"/>
      <c r="AB290" s="441"/>
      <c r="AC290" s="441"/>
      <c r="AD290" s="441"/>
      <c r="AE290" s="441"/>
      <c r="AF290" s="441"/>
      <c r="AG290" s="441"/>
      <c r="AH290" s="441"/>
      <c r="AI290" s="441"/>
      <c r="AJ290" s="441"/>
      <c r="AK290" s="441"/>
      <c r="AL290" s="441"/>
      <c r="AM290" s="441"/>
      <c r="AN290" s="441"/>
      <c r="AO290" s="441"/>
      <c r="AP290" s="448"/>
      <c r="AQ290" s="448"/>
      <c r="AR290" s="448"/>
      <c r="AS290" s="448"/>
      <c r="AT290" s="448"/>
      <c r="AU290" s="448"/>
      <c r="AV290" s="448"/>
      <c r="AW290" s="448"/>
      <c r="AX290" s="448"/>
      <c r="AY290" s="448"/>
      <c r="AZ290" s="448"/>
      <c r="BA290" s="448"/>
      <c r="BB290" s="448"/>
      <c r="BC290" s="448"/>
      <c r="BD290" s="448"/>
    </row>
    <row r="291" spans="1:56" ht="12.75" hidden="1" thickBot="1">
      <c r="A291" s="1" t="s">
        <v>1273</v>
      </c>
      <c r="B291" s="2" t="s">
        <v>232</v>
      </c>
      <c r="C291" s="2" t="s">
        <v>1045</v>
      </c>
      <c r="D291" s="8" t="s">
        <v>459</v>
      </c>
      <c r="E291" s="459"/>
      <c r="F291" s="6"/>
      <c r="G291" s="451"/>
      <c r="H291" s="6"/>
      <c r="I291" s="6"/>
      <c r="J291" s="6"/>
      <c r="K291" s="6"/>
      <c r="L291" s="6"/>
      <c r="M291" s="451"/>
      <c r="N291" s="451"/>
      <c r="O291" s="6"/>
      <c r="P291" s="6"/>
      <c r="Q291" s="451"/>
      <c r="R291" s="451"/>
      <c r="S291" s="445">
        <f t="shared" si="23"/>
        <v>0</v>
      </c>
      <c r="T291" s="445">
        <f t="shared" si="24"/>
        <v>0</v>
      </c>
      <c r="U291" s="445">
        <f t="shared" si="25"/>
        <v>0</v>
      </c>
      <c r="W291" s="450"/>
      <c r="X291" s="448"/>
      <c r="Y291" s="441"/>
      <c r="Z291" s="441"/>
      <c r="AA291" s="441"/>
      <c r="AB291" s="441"/>
      <c r="AC291" s="441"/>
      <c r="AD291" s="441"/>
      <c r="AE291" s="441"/>
      <c r="AF291" s="441"/>
      <c r="AG291" s="441"/>
      <c r="AH291" s="441"/>
      <c r="AI291" s="441"/>
      <c r="AJ291" s="441"/>
      <c r="AK291" s="441"/>
      <c r="AL291" s="441"/>
      <c r="AM291" s="441"/>
      <c r="AN291" s="441"/>
      <c r="AO291" s="441"/>
      <c r="AP291" s="448"/>
      <c r="AQ291" s="448"/>
      <c r="AR291" s="448"/>
      <c r="AS291" s="448"/>
      <c r="AT291" s="448"/>
      <c r="AU291" s="448"/>
      <c r="AV291" s="448"/>
      <c r="AW291" s="448"/>
      <c r="AX291" s="448"/>
      <c r="AY291" s="448"/>
      <c r="AZ291" s="448"/>
      <c r="BA291" s="448"/>
      <c r="BB291" s="448"/>
      <c r="BC291" s="448"/>
      <c r="BD291" s="448"/>
    </row>
    <row r="292" spans="1:56" ht="12.75" hidden="1" thickBot="1">
      <c r="A292" s="1" t="s">
        <v>1273</v>
      </c>
      <c r="B292" s="2" t="s">
        <v>234</v>
      </c>
      <c r="C292" s="2" t="s">
        <v>1046</v>
      </c>
      <c r="D292" s="8" t="s">
        <v>459</v>
      </c>
      <c r="E292" s="460"/>
      <c r="F292" s="4"/>
      <c r="G292" s="449"/>
      <c r="H292" s="4"/>
      <c r="I292" s="4"/>
      <c r="J292" s="4"/>
      <c r="K292" s="4"/>
      <c r="L292" s="4"/>
      <c r="M292" s="449"/>
      <c r="N292" s="449"/>
      <c r="O292" s="4"/>
      <c r="P292" s="4"/>
      <c r="Q292" s="449"/>
      <c r="R292" s="449"/>
      <c r="S292" s="445">
        <f t="shared" si="23"/>
        <v>0</v>
      </c>
      <c r="T292" s="445">
        <f t="shared" si="24"/>
        <v>0</v>
      </c>
      <c r="U292" s="445">
        <f t="shared" si="25"/>
        <v>0</v>
      </c>
      <c r="W292" s="450"/>
      <c r="X292" s="448"/>
      <c r="Y292" s="441"/>
      <c r="Z292" s="441"/>
      <c r="AA292" s="441"/>
      <c r="AB292" s="441"/>
      <c r="AC292" s="441"/>
      <c r="AD292" s="441"/>
      <c r="AE292" s="441"/>
      <c r="AF292" s="441"/>
      <c r="AG292" s="441"/>
      <c r="AH292" s="441"/>
      <c r="AI292" s="441"/>
      <c r="AJ292" s="441"/>
      <c r="AK292" s="441"/>
      <c r="AL292" s="441"/>
      <c r="AM292" s="441"/>
      <c r="AN292" s="441"/>
      <c r="AO292" s="441"/>
      <c r="AP292" s="448"/>
      <c r="AQ292" s="448"/>
      <c r="AR292" s="448"/>
      <c r="AS292" s="448"/>
      <c r="AT292" s="448"/>
      <c r="AU292" s="448"/>
      <c r="AV292" s="448"/>
      <c r="AW292" s="448"/>
      <c r="AX292" s="448"/>
      <c r="AY292" s="448"/>
      <c r="AZ292" s="448"/>
      <c r="BA292" s="448"/>
      <c r="BB292" s="448"/>
      <c r="BC292" s="448"/>
      <c r="BD292" s="448"/>
    </row>
    <row r="293" spans="1:56" ht="12.75" hidden="1" thickBot="1">
      <c r="A293" s="1" t="s">
        <v>1273</v>
      </c>
      <c r="B293" s="2" t="s">
        <v>353</v>
      </c>
      <c r="C293" s="2" t="s">
        <v>1047</v>
      </c>
      <c r="D293" s="8" t="s">
        <v>459</v>
      </c>
      <c r="E293" s="459"/>
      <c r="F293" s="6"/>
      <c r="G293" s="451"/>
      <c r="H293" s="6"/>
      <c r="I293" s="6"/>
      <c r="J293" s="6"/>
      <c r="K293" s="6"/>
      <c r="L293" s="6"/>
      <c r="M293" s="451"/>
      <c r="N293" s="451"/>
      <c r="O293" s="6"/>
      <c r="P293" s="6"/>
      <c r="Q293" s="451"/>
      <c r="R293" s="451"/>
      <c r="S293" s="445">
        <f t="shared" si="23"/>
        <v>0</v>
      </c>
      <c r="T293" s="445">
        <f t="shared" si="24"/>
        <v>0</v>
      </c>
      <c r="U293" s="445">
        <f t="shared" si="25"/>
        <v>0</v>
      </c>
      <c r="W293" s="450"/>
      <c r="X293" s="448"/>
      <c r="Y293" s="441"/>
      <c r="Z293" s="441"/>
      <c r="AA293" s="441"/>
      <c r="AB293" s="441"/>
      <c r="AC293" s="441"/>
      <c r="AD293" s="441"/>
      <c r="AE293" s="441"/>
      <c r="AF293" s="441"/>
      <c r="AG293" s="441"/>
      <c r="AH293" s="441"/>
      <c r="AI293" s="441"/>
      <c r="AJ293" s="441"/>
      <c r="AK293" s="441"/>
      <c r="AL293" s="441"/>
      <c r="AM293" s="441"/>
      <c r="AN293" s="441"/>
      <c r="AO293" s="441"/>
      <c r="AP293" s="448"/>
      <c r="AQ293" s="448"/>
      <c r="AR293" s="448"/>
      <c r="AS293" s="448"/>
      <c r="AT293" s="448"/>
      <c r="AU293" s="448"/>
      <c r="AV293" s="448"/>
      <c r="AW293" s="448"/>
      <c r="AX293" s="448"/>
      <c r="AY293" s="448"/>
      <c r="AZ293" s="448"/>
      <c r="BA293" s="448"/>
      <c r="BB293" s="448"/>
      <c r="BC293" s="448"/>
      <c r="BD293" s="448"/>
    </row>
    <row r="294" spans="1:56" ht="12.75" hidden="1" thickBot="1">
      <c r="A294" s="1" t="s">
        <v>1273</v>
      </c>
      <c r="B294" s="2" t="s">
        <v>235</v>
      </c>
      <c r="C294" s="2" t="s">
        <v>1048</v>
      </c>
      <c r="D294" s="8" t="s">
        <v>459</v>
      </c>
      <c r="E294" s="460"/>
      <c r="F294" s="4"/>
      <c r="G294" s="449"/>
      <c r="H294" s="4"/>
      <c r="I294" s="4"/>
      <c r="J294" s="4"/>
      <c r="K294" s="4"/>
      <c r="L294" s="4"/>
      <c r="M294" s="449"/>
      <c r="N294" s="449"/>
      <c r="O294" s="4"/>
      <c r="P294" s="4"/>
      <c r="Q294" s="449"/>
      <c r="R294" s="449"/>
      <c r="S294" s="445">
        <f t="shared" si="23"/>
        <v>0</v>
      </c>
      <c r="T294" s="445">
        <f t="shared" si="24"/>
        <v>0</v>
      </c>
      <c r="U294" s="445">
        <f t="shared" si="25"/>
        <v>0</v>
      </c>
      <c r="W294" s="450"/>
      <c r="X294" s="448"/>
      <c r="Y294" s="441"/>
      <c r="Z294" s="441"/>
      <c r="AA294" s="441"/>
      <c r="AB294" s="441"/>
      <c r="AC294" s="441"/>
      <c r="AD294" s="441"/>
      <c r="AE294" s="441"/>
      <c r="AF294" s="441"/>
      <c r="AG294" s="441"/>
      <c r="AH294" s="441"/>
      <c r="AI294" s="441"/>
      <c r="AJ294" s="441"/>
      <c r="AK294" s="441"/>
      <c r="AL294" s="441"/>
      <c r="AM294" s="441"/>
      <c r="AN294" s="441"/>
      <c r="AO294" s="441"/>
      <c r="AP294" s="448"/>
      <c r="AQ294" s="448"/>
      <c r="AR294" s="448"/>
      <c r="AS294" s="448"/>
      <c r="AT294" s="448"/>
      <c r="AU294" s="448"/>
      <c r="AV294" s="448"/>
      <c r="AW294" s="448"/>
      <c r="AX294" s="448"/>
      <c r="AY294" s="448"/>
      <c r="AZ294" s="448"/>
      <c r="BA294" s="448"/>
      <c r="BB294" s="448"/>
      <c r="BC294" s="448"/>
      <c r="BD294" s="448"/>
    </row>
    <row r="295" spans="1:56" ht="12.75" hidden="1" thickBot="1">
      <c r="A295" s="1" t="s">
        <v>1273</v>
      </c>
      <c r="B295" s="2" t="s">
        <v>236</v>
      </c>
      <c r="C295" s="2" t="s">
        <v>1049</v>
      </c>
      <c r="D295" s="8" t="s">
        <v>459</v>
      </c>
      <c r="E295" s="459"/>
      <c r="F295" s="6"/>
      <c r="G295" s="451"/>
      <c r="H295" s="6"/>
      <c r="I295" s="6"/>
      <c r="J295" s="6"/>
      <c r="K295" s="6"/>
      <c r="L295" s="6"/>
      <c r="M295" s="451"/>
      <c r="N295" s="451"/>
      <c r="O295" s="6"/>
      <c r="P295" s="6"/>
      <c r="Q295" s="451"/>
      <c r="R295" s="451"/>
      <c r="S295" s="445">
        <f t="shared" si="23"/>
        <v>0</v>
      </c>
      <c r="T295" s="445">
        <f t="shared" si="24"/>
        <v>0</v>
      </c>
      <c r="U295" s="445">
        <f t="shared" si="25"/>
        <v>0</v>
      </c>
      <c r="W295" s="450"/>
      <c r="X295" s="448"/>
      <c r="Y295" s="441"/>
      <c r="Z295" s="441"/>
      <c r="AA295" s="441"/>
      <c r="AB295" s="441"/>
      <c r="AC295" s="441"/>
      <c r="AD295" s="441"/>
      <c r="AE295" s="441"/>
      <c r="AF295" s="441"/>
      <c r="AG295" s="441"/>
      <c r="AH295" s="441"/>
      <c r="AI295" s="441"/>
      <c r="AJ295" s="441"/>
      <c r="AK295" s="441"/>
      <c r="AL295" s="441"/>
      <c r="AM295" s="441"/>
      <c r="AN295" s="441"/>
      <c r="AO295" s="441"/>
      <c r="AP295" s="448"/>
      <c r="AQ295" s="448"/>
      <c r="AR295" s="448"/>
      <c r="AS295" s="448"/>
      <c r="AT295" s="448"/>
      <c r="AU295" s="448"/>
      <c r="AV295" s="448"/>
      <c r="AW295" s="448"/>
      <c r="AX295" s="448"/>
      <c r="AY295" s="448"/>
      <c r="AZ295" s="448"/>
      <c r="BA295" s="448"/>
      <c r="BB295" s="448"/>
      <c r="BC295" s="448"/>
      <c r="BD295" s="448"/>
    </row>
    <row r="296" spans="1:56" ht="12.75" hidden="1" thickBot="1">
      <c r="A296" s="1" t="s">
        <v>1273</v>
      </c>
      <c r="B296" s="2" t="s">
        <v>354</v>
      </c>
      <c r="C296" s="2" t="s">
        <v>1050</v>
      </c>
      <c r="D296" s="8" t="s">
        <v>459</v>
      </c>
      <c r="E296" s="460"/>
      <c r="F296" s="4"/>
      <c r="G296" s="449"/>
      <c r="H296" s="4"/>
      <c r="I296" s="4"/>
      <c r="J296" s="4"/>
      <c r="K296" s="4"/>
      <c r="L296" s="4"/>
      <c r="M296" s="449"/>
      <c r="N296" s="449"/>
      <c r="O296" s="4"/>
      <c r="P296" s="4"/>
      <c r="Q296" s="449"/>
      <c r="R296" s="449"/>
      <c r="S296" s="445">
        <f t="shared" si="23"/>
        <v>0</v>
      </c>
      <c r="T296" s="445">
        <f t="shared" si="24"/>
        <v>0</v>
      </c>
      <c r="U296" s="445">
        <f t="shared" si="25"/>
        <v>0</v>
      </c>
      <c r="W296" s="450"/>
      <c r="X296" s="448"/>
      <c r="Y296" s="441"/>
      <c r="Z296" s="441"/>
      <c r="AA296" s="441"/>
      <c r="AB296" s="441"/>
      <c r="AC296" s="441"/>
      <c r="AD296" s="441"/>
      <c r="AE296" s="441"/>
      <c r="AF296" s="441"/>
      <c r="AG296" s="441"/>
      <c r="AH296" s="441"/>
      <c r="AI296" s="441"/>
      <c r="AJ296" s="441"/>
      <c r="AK296" s="441"/>
      <c r="AL296" s="441"/>
      <c r="AM296" s="441"/>
      <c r="AN296" s="441"/>
      <c r="AO296" s="441"/>
      <c r="AP296" s="448"/>
      <c r="AQ296" s="448"/>
      <c r="AR296" s="448"/>
      <c r="AS296" s="448"/>
      <c r="AT296" s="448"/>
      <c r="AU296" s="448"/>
      <c r="AV296" s="448"/>
      <c r="AW296" s="448"/>
      <c r="AX296" s="448"/>
      <c r="AY296" s="448"/>
      <c r="AZ296" s="448"/>
      <c r="BA296" s="448"/>
      <c r="BB296" s="448"/>
      <c r="BC296" s="448"/>
      <c r="BD296" s="448"/>
    </row>
    <row r="297" spans="1:56" ht="12.75" hidden="1" thickBot="1">
      <c r="A297" s="1" t="s">
        <v>1273</v>
      </c>
      <c r="B297" s="2" t="s">
        <v>355</v>
      </c>
      <c r="C297" s="2" t="s">
        <v>1051</v>
      </c>
      <c r="D297" s="8" t="s">
        <v>459</v>
      </c>
      <c r="E297" s="459"/>
      <c r="F297" s="6"/>
      <c r="G297" s="451"/>
      <c r="H297" s="6"/>
      <c r="I297" s="6"/>
      <c r="J297" s="6"/>
      <c r="K297" s="6"/>
      <c r="L297" s="6"/>
      <c r="M297" s="451"/>
      <c r="N297" s="451"/>
      <c r="O297" s="6"/>
      <c r="P297" s="6"/>
      <c r="Q297" s="451"/>
      <c r="R297" s="451"/>
      <c r="S297" s="445">
        <f t="shared" si="23"/>
        <v>0</v>
      </c>
      <c r="T297" s="445">
        <f t="shared" si="24"/>
        <v>0</v>
      </c>
      <c r="U297" s="445">
        <f t="shared" si="25"/>
        <v>0</v>
      </c>
      <c r="W297" s="450"/>
      <c r="X297" s="448"/>
      <c r="Y297" s="441"/>
      <c r="Z297" s="441"/>
      <c r="AA297" s="441"/>
      <c r="AB297" s="441"/>
      <c r="AC297" s="441"/>
      <c r="AD297" s="441"/>
      <c r="AE297" s="441"/>
      <c r="AF297" s="441"/>
      <c r="AG297" s="441"/>
      <c r="AH297" s="441"/>
      <c r="AI297" s="441"/>
      <c r="AJ297" s="441"/>
      <c r="AK297" s="441"/>
      <c r="AL297" s="441"/>
      <c r="AM297" s="441"/>
      <c r="AN297" s="441"/>
      <c r="AO297" s="441"/>
      <c r="AP297" s="448"/>
      <c r="AQ297" s="448"/>
      <c r="AR297" s="448"/>
      <c r="AS297" s="448"/>
      <c r="AT297" s="448"/>
      <c r="AU297" s="448"/>
      <c r="AV297" s="448"/>
      <c r="AW297" s="448"/>
      <c r="AX297" s="448"/>
      <c r="AY297" s="448"/>
      <c r="AZ297" s="448"/>
      <c r="BA297" s="448"/>
      <c r="BB297" s="448"/>
      <c r="BC297" s="448"/>
      <c r="BD297" s="448"/>
    </row>
    <row r="298" spans="1:56" ht="12.75" hidden="1" thickBot="1">
      <c r="A298" s="1" t="s">
        <v>1273</v>
      </c>
      <c r="B298" s="2" t="s">
        <v>359</v>
      </c>
      <c r="C298" s="2" t="s">
        <v>1052</v>
      </c>
      <c r="D298" s="8" t="s">
        <v>459</v>
      </c>
      <c r="E298" s="460"/>
      <c r="F298" s="4"/>
      <c r="G298" s="449"/>
      <c r="H298" s="4"/>
      <c r="I298" s="4"/>
      <c r="J298" s="4"/>
      <c r="K298" s="4"/>
      <c r="L298" s="4"/>
      <c r="M298" s="449"/>
      <c r="N298" s="449"/>
      <c r="O298" s="4"/>
      <c r="P298" s="4"/>
      <c r="Q298" s="449"/>
      <c r="R298" s="449"/>
      <c r="S298" s="445">
        <f t="shared" si="23"/>
        <v>0</v>
      </c>
      <c r="T298" s="445">
        <f t="shared" si="24"/>
        <v>0</v>
      </c>
      <c r="U298" s="445">
        <f t="shared" si="25"/>
        <v>0</v>
      </c>
      <c r="W298" s="450"/>
      <c r="X298" s="448"/>
      <c r="Y298" s="441"/>
      <c r="Z298" s="441"/>
      <c r="AA298" s="441"/>
      <c r="AB298" s="441"/>
      <c r="AC298" s="441"/>
      <c r="AD298" s="441"/>
      <c r="AE298" s="441"/>
      <c r="AF298" s="441"/>
      <c r="AG298" s="441"/>
      <c r="AH298" s="441"/>
      <c r="AI298" s="441"/>
      <c r="AJ298" s="441"/>
      <c r="AK298" s="441"/>
      <c r="AL298" s="441"/>
      <c r="AM298" s="441"/>
      <c r="AN298" s="441"/>
      <c r="AO298" s="441"/>
      <c r="AP298" s="448"/>
      <c r="AQ298" s="448"/>
      <c r="AR298" s="448"/>
      <c r="AS298" s="448"/>
      <c r="AT298" s="448"/>
      <c r="AU298" s="448"/>
      <c r="AV298" s="448"/>
      <c r="AW298" s="448"/>
      <c r="AX298" s="448"/>
      <c r="AY298" s="448"/>
      <c r="AZ298" s="448"/>
      <c r="BA298" s="448"/>
      <c r="BB298" s="448"/>
      <c r="BC298" s="448"/>
      <c r="BD298" s="448"/>
    </row>
    <row r="299" spans="1:56" ht="12.75" hidden="1" thickBot="1">
      <c r="A299" s="1" t="s">
        <v>1273</v>
      </c>
      <c r="B299" s="2" t="s">
        <v>356</v>
      </c>
      <c r="C299" s="2" t="s">
        <v>1053</v>
      </c>
      <c r="D299" s="8" t="s">
        <v>459</v>
      </c>
      <c r="E299" s="459"/>
      <c r="F299" s="6"/>
      <c r="G299" s="451"/>
      <c r="H299" s="6"/>
      <c r="I299" s="6"/>
      <c r="J299" s="6"/>
      <c r="K299" s="6"/>
      <c r="L299" s="6"/>
      <c r="M299" s="451"/>
      <c r="N299" s="451"/>
      <c r="O299" s="6"/>
      <c r="P299" s="6"/>
      <c r="Q299" s="451"/>
      <c r="R299" s="451"/>
      <c r="S299" s="445">
        <f t="shared" si="23"/>
        <v>0</v>
      </c>
      <c r="T299" s="445">
        <f t="shared" si="24"/>
        <v>0</v>
      </c>
      <c r="U299" s="445">
        <f t="shared" si="25"/>
        <v>0</v>
      </c>
      <c r="W299" s="450"/>
      <c r="X299" s="448"/>
      <c r="Y299" s="441"/>
      <c r="Z299" s="441"/>
      <c r="AA299" s="441"/>
      <c r="AB299" s="441"/>
      <c r="AC299" s="441"/>
      <c r="AD299" s="441"/>
      <c r="AE299" s="441"/>
      <c r="AF299" s="441"/>
      <c r="AG299" s="441"/>
      <c r="AH299" s="441"/>
      <c r="AI299" s="441"/>
      <c r="AJ299" s="441"/>
      <c r="AK299" s="441"/>
      <c r="AL299" s="441"/>
      <c r="AM299" s="441"/>
      <c r="AN299" s="441"/>
      <c r="AO299" s="441"/>
      <c r="AP299" s="448"/>
      <c r="AQ299" s="448"/>
      <c r="AR299" s="448"/>
      <c r="AS299" s="448"/>
      <c r="AT299" s="448"/>
      <c r="AU299" s="448"/>
      <c r="AV299" s="448"/>
      <c r="AW299" s="448"/>
      <c r="AX299" s="448"/>
      <c r="AY299" s="448"/>
      <c r="AZ299" s="448"/>
      <c r="BA299" s="448"/>
      <c r="BB299" s="448"/>
      <c r="BC299" s="448"/>
      <c r="BD299" s="448"/>
    </row>
    <row r="300" spans="1:56" ht="12.75" hidden="1" thickBot="1">
      <c r="A300" s="1" t="s">
        <v>1273</v>
      </c>
      <c r="B300" s="2" t="s">
        <v>357</v>
      </c>
      <c r="C300" s="2" t="s">
        <v>1054</v>
      </c>
      <c r="D300" s="8" t="s">
        <v>459</v>
      </c>
      <c r="E300" s="460"/>
      <c r="F300" s="4"/>
      <c r="G300" s="449"/>
      <c r="H300" s="4"/>
      <c r="I300" s="4"/>
      <c r="J300" s="4"/>
      <c r="K300" s="4"/>
      <c r="L300" s="4"/>
      <c r="M300" s="449"/>
      <c r="N300" s="449"/>
      <c r="O300" s="4"/>
      <c r="P300" s="4"/>
      <c r="Q300" s="449"/>
      <c r="R300" s="449"/>
      <c r="S300" s="445">
        <f t="shared" si="23"/>
        <v>0</v>
      </c>
      <c r="T300" s="445">
        <f t="shared" si="24"/>
        <v>0</v>
      </c>
      <c r="U300" s="445">
        <f t="shared" si="25"/>
        <v>0</v>
      </c>
      <c r="W300" s="450"/>
      <c r="X300" s="448"/>
      <c r="Y300" s="441"/>
      <c r="Z300" s="441"/>
      <c r="AA300" s="441"/>
      <c r="AB300" s="441"/>
      <c r="AC300" s="441"/>
      <c r="AD300" s="441"/>
      <c r="AE300" s="441"/>
      <c r="AF300" s="441"/>
      <c r="AG300" s="441"/>
      <c r="AH300" s="441"/>
      <c r="AI300" s="441"/>
      <c r="AJ300" s="441"/>
      <c r="AK300" s="441"/>
      <c r="AL300" s="441"/>
      <c r="AM300" s="441"/>
      <c r="AN300" s="441"/>
      <c r="AO300" s="441"/>
      <c r="AP300" s="448"/>
      <c r="AQ300" s="448"/>
      <c r="AR300" s="448"/>
      <c r="AS300" s="448"/>
      <c r="AT300" s="448"/>
      <c r="AU300" s="448"/>
      <c r="AV300" s="448"/>
      <c r="AW300" s="448"/>
      <c r="AX300" s="448"/>
      <c r="AY300" s="448"/>
      <c r="AZ300" s="448"/>
      <c r="BA300" s="448"/>
      <c r="BB300" s="448"/>
      <c r="BC300" s="448"/>
      <c r="BD300" s="448"/>
    </row>
    <row r="301" spans="1:56" ht="12.75" hidden="1" thickBot="1">
      <c r="A301" s="1" t="s">
        <v>1273</v>
      </c>
      <c r="B301" s="2" t="s">
        <v>358</v>
      </c>
      <c r="C301" s="2" t="s">
        <v>1055</v>
      </c>
      <c r="D301" s="8" t="s">
        <v>459</v>
      </c>
      <c r="E301" s="459"/>
      <c r="F301" s="6"/>
      <c r="G301" s="451"/>
      <c r="H301" s="6"/>
      <c r="I301" s="6"/>
      <c r="J301" s="6"/>
      <c r="K301" s="6"/>
      <c r="L301" s="6"/>
      <c r="M301" s="451"/>
      <c r="N301" s="451"/>
      <c r="O301" s="6"/>
      <c r="P301" s="6"/>
      <c r="Q301" s="451"/>
      <c r="R301" s="451"/>
      <c r="S301" s="445">
        <f t="shared" si="23"/>
        <v>0</v>
      </c>
      <c r="T301" s="445">
        <f t="shared" si="24"/>
        <v>0</v>
      </c>
      <c r="U301" s="445">
        <f t="shared" si="25"/>
        <v>0</v>
      </c>
      <c r="W301" s="450"/>
      <c r="X301" s="448"/>
      <c r="Y301" s="441"/>
      <c r="Z301" s="441"/>
      <c r="AA301" s="441"/>
      <c r="AB301" s="441"/>
      <c r="AC301" s="441"/>
      <c r="AD301" s="441"/>
      <c r="AE301" s="441"/>
      <c r="AF301" s="441"/>
      <c r="AG301" s="441"/>
      <c r="AH301" s="441"/>
      <c r="AI301" s="441"/>
      <c r="AJ301" s="441"/>
      <c r="AK301" s="441"/>
      <c r="AL301" s="441"/>
      <c r="AM301" s="441"/>
      <c r="AN301" s="441"/>
      <c r="AO301" s="441"/>
      <c r="AP301" s="448"/>
      <c r="AQ301" s="448"/>
      <c r="AR301" s="448"/>
      <c r="AS301" s="448"/>
      <c r="AT301" s="448"/>
      <c r="AU301" s="448"/>
      <c r="AV301" s="448"/>
      <c r="AW301" s="448"/>
      <c r="AX301" s="448"/>
      <c r="AY301" s="448"/>
      <c r="AZ301" s="448"/>
      <c r="BA301" s="448"/>
      <c r="BB301" s="448"/>
      <c r="BC301" s="448"/>
      <c r="BD301" s="448"/>
    </row>
    <row r="302" spans="1:56" ht="12.75" hidden="1" thickBot="1">
      <c r="A302" s="1" t="s">
        <v>1273</v>
      </c>
      <c r="B302" s="2" t="s">
        <v>250</v>
      </c>
      <c r="C302" s="2" t="s">
        <v>1056</v>
      </c>
      <c r="D302" s="8" t="s">
        <v>459</v>
      </c>
      <c r="E302" s="460"/>
      <c r="F302" s="4"/>
      <c r="G302" s="449"/>
      <c r="H302" s="4"/>
      <c r="I302" s="4"/>
      <c r="J302" s="4"/>
      <c r="K302" s="4"/>
      <c r="L302" s="4"/>
      <c r="M302" s="449"/>
      <c r="N302" s="449"/>
      <c r="O302" s="4"/>
      <c r="P302" s="4"/>
      <c r="Q302" s="449"/>
      <c r="R302" s="449"/>
      <c r="S302" s="445">
        <f t="shared" si="23"/>
        <v>0</v>
      </c>
      <c r="T302" s="445">
        <f t="shared" si="24"/>
        <v>0</v>
      </c>
      <c r="U302" s="445">
        <f t="shared" si="25"/>
        <v>0</v>
      </c>
      <c r="W302" s="450"/>
      <c r="X302" s="448"/>
      <c r="Y302" s="441"/>
      <c r="Z302" s="441"/>
      <c r="AA302" s="441"/>
      <c r="AB302" s="441"/>
      <c r="AC302" s="441"/>
      <c r="AD302" s="441"/>
      <c r="AE302" s="441"/>
      <c r="AF302" s="441"/>
      <c r="AG302" s="441"/>
      <c r="AH302" s="441"/>
      <c r="AI302" s="441"/>
      <c r="AJ302" s="441"/>
      <c r="AK302" s="441"/>
      <c r="AL302" s="441"/>
      <c r="AM302" s="441"/>
      <c r="AN302" s="441"/>
      <c r="AO302" s="441"/>
      <c r="AP302" s="448"/>
      <c r="AQ302" s="448"/>
      <c r="AR302" s="448"/>
      <c r="AS302" s="448"/>
      <c r="AT302" s="448"/>
      <c r="AU302" s="448"/>
      <c r="AV302" s="448"/>
      <c r="AW302" s="448"/>
      <c r="AX302" s="448"/>
      <c r="AY302" s="448"/>
      <c r="AZ302" s="448"/>
      <c r="BA302" s="448"/>
      <c r="BB302" s="448"/>
      <c r="BC302" s="448"/>
      <c r="BD302" s="448"/>
    </row>
    <row r="303" spans="1:56" ht="12.75" hidden="1" thickBot="1">
      <c r="A303" s="1" t="s">
        <v>1273</v>
      </c>
      <c r="B303" s="2" t="s">
        <v>251</v>
      </c>
      <c r="C303" s="2" t="s">
        <v>1057</v>
      </c>
      <c r="D303" s="8" t="s">
        <v>459</v>
      </c>
      <c r="E303" s="459"/>
      <c r="F303" s="6"/>
      <c r="G303" s="451"/>
      <c r="H303" s="6"/>
      <c r="I303" s="6"/>
      <c r="J303" s="6"/>
      <c r="K303" s="6"/>
      <c r="L303" s="6"/>
      <c r="M303" s="451"/>
      <c r="N303" s="451"/>
      <c r="O303" s="6"/>
      <c r="P303" s="6"/>
      <c r="Q303" s="451"/>
      <c r="R303" s="451"/>
      <c r="S303" s="445">
        <f t="shared" si="23"/>
        <v>0</v>
      </c>
      <c r="T303" s="445">
        <f t="shared" si="24"/>
        <v>0</v>
      </c>
      <c r="U303" s="445">
        <f t="shared" si="25"/>
        <v>0</v>
      </c>
      <c r="W303" s="450"/>
      <c r="X303" s="448"/>
      <c r="Y303" s="441"/>
      <c r="Z303" s="441"/>
      <c r="AA303" s="441"/>
      <c r="AB303" s="441"/>
      <c r="AC303" s="441"/>
      <c r="AD303" s="441"/>
      <c r="AE303" s="441"/>
      <c r="AF303" s="441"/>
      <c r="AG303" s="441"/>
      <c r="AH303" s="441"/>
      <c r="AI303" s="441"/>
      <c r="AJ303" s="441"/>
      <c r="AK303" s="441"/>
      <c r="AL303" s="441"/>
      <c r="AM303" s="441"/>
      <c r="AN303" s="441"/>
      <c r="AO303" s="441"/>
      <c r="AP303" s="448"/>
      <c r="AQ303" s="448"/>
      <c r="AR303" s="448"/>
      <c r="AS303" s="448"/>
      <c r="AT303" s="448"/>
      <c r="AU303" s="448"/>
      <c r="AV303" s="448"/>
      <c r="AW303" s="448"/>
      <c r="AX303" s="448"/>
      <c r="AY303" s="448"/>
      <c r="AZ303" s="448"/>
      <c r="BA303" s="448"/>
      <c r="BB303" s="448"/>
      <c r="BC303" s="448"/>
      <c r="BD303" s="448"/>
    </row>
    <row r="304" spans="1:56" ht="12.75" hidden="1" thickBot="1">
      <c r="A304" s="1" t="s">
        <v>1273</v>
      </c>
      <c r="B304" s="2" t="s">
        <v>254</v>
      </c>
      <c r="C304" s="2" t="s">
        <v>1058</v>
      </c>
      <c r="D304" s="8" t="s">
        <v>459</v>
      </c>
      <c r="E304" s="460"/>
      <c r="F304" s="4"/>
      <c r="G304" s="449"/>
      <c r="H304" s="4"/>
      <c r="I304" s="4"/>
      <c r="J304" s="4"/>
      <c r="K304" s="4"/>
      <c r="L304" s="4"/>
      <c r="M304" s="449"/>
      <c r="N304" s="449"/>
      <c r="O304" s="4"/>
      <c r="P304" s="4"/>
      <c r="Q304" s="449"/>
      <c r="R304" s="449"/>
      <c r="S304" s="445">
        <f t="shared" ref="S304:S352" si="28">G304+H304+I304</f>
        <v>0</v>
      </c>
      <c r="T304" s="445">
        <f t="shared" ref="T304:T352" si="29">J304+K304</f>
        <v>0</v>
      </c>
      <c r="U304" s="445">
        <f t="shared" ref="U304:U352" si="30">N304+O304</f>
        <v>0</v>
      </c>
      <c r="W304" s="450"/>
      <c r="X304" s="448"/>
      <c r="Y304" s="441"/>
      <c r="Z304" s="441"/>
      <c r="AA304" s="441"/>
      <c r="AB304" s="441"/>
      <c r="AC304" s="441"/>
      <c r="AD304" s="441"/>
      <c r="AE304" s="441"/>
      <c r="AF304" s="441"/>
      <c r="AG304" s="441"/>
      <c r="AH304" s="441"/>
      <c r="AI304" s="441"/>
      <c r="AJ304" s="441"/>
      <c r="AK304" s="441"/>
      <c r="AL304" s="441"/>
      <c r="AM304" s="441"/>
      <c r="AN304" s="441"/>
      <c r="AO304" s="441"/>
      <c r="AP304" s="448"/>
      <c r="AQ304" s="448"/>
      <c r="AR304" s="448"/>
      <c r="AS304" s="448"/>
      <c r="AT304" s="448"/>
      <c r="AU304" s="448"/>
      <c r="AV304" s="448"/>
      <c r="AW304" s="448"/>
      <c r="AX304" s="448"/>
      <c r="AY304" s="448"/>
      <c r="AZ304" s="448"/>
      <c r="BA304" s="448"/>
      <c r="BB304" s="448"/>
      <c r="BC304" s="448"/>
      <c r="BD304" s="448"/>
    </row>
    <row r="305" spans="1:56" ht="12.75" hidden="1" thickBot="1">
      <c r="A305" s="1" t="s">
        <v>1273</v>
      </c>
      <c r="B305" s="2" t="s">
        <v>260</v>
      </c>
      <c r="C305" s="2" t="s">
        <v>1059</v>
      </c>
      <c r="D305" s="8" t="s">
        <v>459</v>
      </c>
      <c r="E305" s="459"/>
      <c r="F305" s="6"/>
      <c r="G305" s="451"/>
      <c r="H305" s="6"/>
      <c r="I305" s="6"/>
      <c r="J305" s="6"/>
      <c r="K305" s="6"/>
      <c r="L305" s="6"/>
      <c r="M305" s="451"/>
      <c r="N305" s="451"/>
      <c r="O305" s="6"/>
      <c r="P305" s="6"/>
      <c r="Q305" s="451"/>
      <c r="R305" s="451"/>
      <c r="S305" s="445">
        <f t="shared" si="28"/>
        <v>0</v>
      </c>
      <c r="T305" s="445">
        <f t="shared" si="29"/>
        <v>0</v>
      </c>
      <c r="U305" s="445">
        <f t="shared" si="30"/>
        <v>0</v>
      </c>
      <c r="W305" s="450"/>
      <c r="X305" s="448"/>
      <c r="Y305" s="441"/>
      <c r="Z305" s="441"/>
      <c r="AA305" s="441"/>
      <c r="AB305" s="441"/>
      <c r="AC305" s="441"/>
      <c r="AD305" s="441"/>
      <c r="AE305" s="441"/>
      <c r="AF305" s="441"/>
      <c r="AG305" s="441"/>
      <c r="AH305" s="441"/>
      <c r="AI305" s="441"/>
      <c r="AJ305" s="441"/>
      <c r="AK305" s="441"/>
      <c r="AL305" s="441"/>
      <c r="AM305" s="441"/>
      <c r="AN305" s="441"/>
      <c r="AO305" s="441"/>
      <c r="AP305" s="448"/>
      <c r="AQ305" s="448"/>
      <c r="AR305" s="448"/>
      <c r="AS305" s="448"/>
      <c r="AT305" s="448"/>
      <c r="AU305" s="448"/>
      <c r="AV305" s="448"/>
      <c r="AW305" s="448"/>
      <c r="AX305" s="448"/>
      <c r="AY305" s="448"/>
      <c r="AZ305" s="448"/>
      <c r="BA305" s="448"/>
      <c r="BB305" s="448"/>
      <c r="BC305" s="448"/>
      <c r="BD305" s="448"/>
    </row>
    <row r="306" spans="1:56" ht="12.75" hidden="1" thickBot="1">
      <c r="A306" s="1" t="s">
        <v>1273</v>
      </c>
      <c r="B306" s="2" t="s">
        <v>262</v>
      </c>
      <c r="C306" s="2" t="s">
        <v>1060</v>
      </c>
      <c r="D306" s="8" t="s">
        <v>459</v>
      </c>
      <c r="E306" s="460"/>
      <c r="F306" s="4"/>
      <c r="G306" s="449"/>
      <c r="H306" s="4"/>
      <c r="I306" s="4"/>
      <c r="J306" s="4"/>
      <c r="K306" s="4"/>
      <c r="L306" s="4"/>
      <c r="M306" s="449"/>
      <c r="N306" s="449"/>
      <c r="O306" s="4"/>
      <c r="P306" s="4"/>
      <c r="Q306" s="449"/>
      <c r="R306" s="449"/>
      <c r="S306" s="445">
        <f t="shared" si="28"/>
        <v>0</v>
      </c>
      <c r="T306" s="445">
        <f t="shared" si="29"/>
        <v>0</v>
      </c>
      <c r="U306" s="445">
        <f t="shared" si="30"/>
        <v>0</v>
      </c>
      <c r="W306" s="450"/>
      <c r="X306" s="448"/>
      <c r="Y306" s="441"/>
      <c r="Z306" s="441"/>
      <c r="AA306" s="441"/>
      <c r="AB306" s="441"/>
      <c r="AC306" s="441"/>
      <c r="AD306" s="441"/>
      <c r="AE306" s="441"/>
      <c r="AF306" s="441"/>
      <c r="AG306" s="441"/>
      <c r="AH306" s="441"/>
      <c r="AI306" s="441"/>
      <c r="AJ306" s="441"/>
      <c r="AK306" s="441"/>
      <c r="AL306" s="441"/>
      <c r="AM306" s="441"/>
      <c r="AN306" s="441"/>
      <c r="AO306" s="441"/>
      <c r="AP306" s="448"/>
      <c r="AQ306" s="448"/>
      <c r="AR306" s="448"/>
      <c r="AS306" s="448"/>
      <c r="AT306" s="448"/>
      <c r="AU306" s="448"/>
      <c r="AV306" s="448"/>
      <c r="AW306" s="448"/>
      <c r="AX306" s="448"/>
      <c r="AY306" s="448"/>
      <c r="AZ306" s="448"/>
      <c r="BA306" s="448"/>
      <c r="BB306" s="448"/>
      <c r="BC306" s="448"/>
      <c r="BD306" s="448"/>
    </row>
    <row r="307" spans="1:56" ht="12.75" hidden="1" thickBot="1">
      <c r="A307" s="1" t="s">
        <v>1273</v>
      </c>
      <c r="B307" s="2" t="s">
        <v>340</v>
      </c>
      <c r="C307" s="2" t="s">
        <v>1061</v>
      </c>
      <c r="D307" s="8" t="s">
        <v>567</v>
      </c>
      <c r="E307" s="459"/>
      <c r="F307" s="6"/>
      <c r="G307" s="451"/>
      <c r="H307" s="6"/>
      <c r="I307" s="6"/>
      <c r="J307" s="6"/>
      <c r="K307" s="6"/>
      <c r="L307" s="6"/>
      <c r="M307" s="451"/>
      <c r="N307" s="451"/>
      <c r="O307" s="6"/>
      <c r="P307" s="6"/>
      <c r="Q307" s="6"/>
      <c r="R307" s="451"/>
      <c r="S307" s="445">
        <f t="shared" si="28"/>
        <v>0</v>
      </c>
      <c r="T307" s="445">
        <f t="shared" si="29"/>
        <v>0</v>
      </c>
      <c r="U307" s="445">
        <f t="shared" si="30"/>
        <v>0</v>
      </c>
      <c r="W307" s="450"/>
      <c r="X307" s="448"/>
      <c r="Y307" s="441"/>
      <c r="Z307" s="441"/>
      <c r="AA307" s="441"/>
      <c r="AB307" s="441"/>
      <c r="AC307" s="441"/>
      <c r="AD307" s="441"/>
      <c r="AE307" s="441"/>
      <c r="AF307" s="441"/>
      <c r="AG307" s="441"/>
      <c r="AH307" s="441"/>
      <c r="AI307" s="441"/>
      <c r="AJ307" s="441"/>
      <c r="AK307" s="441"/>
      <c r="AL307" s="441"/>
      <c r="AM307" s="441"/>
      <c r="AN307" s="441"/>
      <c r="AO307" s="441"/>
      <c r="AP307" s="448"/>
      <c r="AQ307" s="448"/>
      <c r="AR307" s="448"/>
      <c r="AS307" s="448"/>
      <c r="AT307" s="448"/>
      <c r="AU307" s="448"/>
      <c r="AV307" s="448"/>
      <c r="AW307" s="448"/>
      <c r="AX307" s="448"/>
      <c r="AY307" s="448"/>
      <c r="AZ307" s="448"/>
      <c r="BA307" s="448"/>
      <c r="BB307" s="448"/>
      <c r="BC307" s="448"/>
      <c r="BD307" s="448"/>
    </row>
    <row r="308" spans="1:56" ht="12.75" hidden="1" thickBot="1">
      <c r="A308" s="1" t="s">
        <v>1273</v>
      </c>
      <c r="B308" s="2" t="s">
        <v>692</v>
      </c>
      <c r="C308" s="2" t="s">
        <v>1062</v>
      </c>
      <c r="D308" s="8" t="s">
        <v>567</v>
      </c>
      <c r="E308" s="460"/>
      <c r="F308" s="4"/>
      <c r="G308" s="449"/>
      <c r="H308" s="4"/>
      <c r="I308" s="4"/>
      <c r="J308" s="4"/>
      <c r="K308" s="4"/>
      <c r="L308" s="4"/>
      <c r="M308" s="449"/>
      <c r="N308" s="449"/>
      <c r="O308" s="4"/>
      <c r="P308" s="4"/>
      <c r="Q308" s="4"/>
      <c r="R308" s="449"/>
      <c r="S308" s="445">
        <f t="shared" si="28"/>
        <v>0</v>
      </c>
      <c r="T308" s="445">
        <f t="shared" si="29"/>
        <v>0</v>
      </c>
      <c r="U308" s="445">
        <f t="shared" si="30"/>
        <v>0</v>
      </c>
      <c r="W308" s="450"/>
      <c r="X308" s="448"/>
      <c r="Y308" s="441"/>
      <c r="Z308" s="441"/>
      <c r="AA308" s="441"/>
      <c r="AB308" s="441"/>
      <c r="AC308" s="441"/>
      <c r="AD308" s="441"/>
      <c r="AE308" s="441"/>
      <c r="AF308" s="441"/>
      <c r="AG308" s="441"/>
      <c r="AH308" s="441"/>
      <c r="AI308" s="441"/>
      <c r="AJ308" s="441"/>
      <c r="AK308" s="441"/>
      <c r="AL308" s="441"/>
      <c r="AM308" s="441"/>
      <c r="AN308" s="441"/>
      <c r="AO308" s="441"/>
      <c r="AP308" s="448"/>
      <c r="AQ308" s="448"/>
      <c r="AR308" s="448"/>
      <c r="AS308" s="448"/>
      <c r="AT308" s="448"/>
      <c r="AU308" s="448"/>
      <c r="AV308" s="448"/>
      <c r="AW308" s="448"/>
      <c r="AX308" s="448"/>
      <c r="AY308" s="448"/>
      <c r="AZ308" s="448"/>
      <c r="BA308" s="448"/>
      <c r="BB308" s="448"/>
      <c r="BC308" s="448"/>
      <c r="BD308" s="448"/>
    </row>
    <row r="309" spans="1:56" ht="12.75" hidden="1" thickBot="1">
      <c r="A309" s="1" t="s">
        <v>1273</v>
      </c>
      <c r="B309" s="2" t="s">
        <v>292</v>
      </c>
      <c r="C309" s="2" t="s">
        <v>1063</v>
      </c>
      <c r="D309" s="8" t="s">
        <v>567</v>
      </c>
      <c r="E309" s="459"/>
      <c r="F309" s="6"/>
      <c r="G309" s="451"/>
      <c r="H309" s="6"/>
      <c r="I309" s="6"/>
      <c r="J309" s="6"/>
      <c r="K309" s="6"/>
      <c r="L309" s="6"/>
      <c r="M309" s="451"/>
      <c r="N309" s="451"/>
      <c r="O309" s="6"/>
      <c r="P309" s="6"/>
      <c r="Q309" s="451"/>
      <c r="R309" s="451"/>
      <c r="S309" s="445">
        <f t="shared" si="28"/>
        <v>0</v>
      </c>
      <c r="T309" s="445">
        <f t="shared" si="29"/>
        <v>0</v>
      </c>
      <c r="U309" s="445">
        <f t="shared" si="30"/>
        <v>0</v>
      </c>
      <c r="W309" s="450"/>
      <c r="X309" s="448"/>
      <c r="Y309" s="441"/>
      <c r="Z309" s="441"/>
      <c r="AA309" s="441"/>
      <c r="AB309" s="441"/>
      <c r="AC309" s="441"/>
      <c r="AD309" s="441"/>
      <c r="AE309" s="441"/>
      <c r="AF309" s="441"/>
      <c r="AG309" s="441"/>
      <c r="AH309" s="441"/>
      <c r="AI309" s="441"/>
      <c r="AJ309" s="441"/>
      <c r="AK309" s="441"/>
      <c r="AL309" s="441"/>
      <c r="AM309" s="441"/>
      <c r="AN309" s="441"/>
      <c r="AO309" s="441"/>
      <c r="AP309" s="448"/>
      <c r="AQ309" s="448"/>
      <c r="AR309" s="448"/>
      <c r="AS309" s="448"/>
      <c r="AT309" s="448"/>
      <c r="AU309" s="448"/>
      <c r="AV309" s="448"/>
      <c r="AW309" s="448"/>
      <c r="AX309" s="448"/>
      <c r="AY309" s="448"/>
      <c r="AZ309" s="448"/>
      <c r="BA309" s="448"/>
      <c r="BB309" s="448"/>
      <c r="BC309" s="448"/>
      <c r="BD309" s="448"/>
    </row>
    <row r="310" spans="1:56" ht="12.75" hidden="1" thickBot="1">
      <c r="A310" s="1" t="s">
        <v>1273</v>
      </c>
      <c r="B310" s="2" t="s">
        <v>293</v>
      </c>
      <c r="C310" s="2" t="s">
        <v>1064</v>
      </c>
      <c r="D310" s="8" t="s">
        <v>567</v>
      </c>
      <c r="E310" s="460"/>
      <c r="F310" s="4"/>
      <c r="G310" s="449"/>
      <c r="H310" s="4"/>
      <c r="I310" s="4"/>
      <c r="J310" s="4"/>
      <c r="K310" s="4"/>
      <c r="L310" s="4"/>
      <c r="M310" s="449"/>
      <c r="N310" s="449"/>
      <c r="O310" s="4"/>
      <c r="P310" s="4"/>
      <c r="Q310" s="449"/>
      <c r="R310" s="449"/>
      <c r="S310" s="445">
        <f t="shared" si="28"/>
        <v>0</v>
      </c>
      <c r="T310" s="445">
        <f t="shared" si="29"/>
        <v>0</v>
      </c>
      <c r="U310" s="445">
        <f t="shared" si="30"/>
        <v>0</v>
      </c>
      <c r="W310" s="450"/>
      <c r="X310" s="448"/>
      <c r="Y310" s="441"/>
      <c r="Z310" s="441"/>
      <c r="AA310" s="441"/>
      <c r="AB310" s="441"/>
      <c r="AC310" s="441"/>
      <c r="AD310" s="441"/>
      <c r="AE310" s="441"/>
      <c r="AF310" s="441"/>
      <c r="AG310" s="441"/>
      <c r="AH310" s="441"/>
      <c r="AI310" s="441"/>
      <c r="AJ310" s="441"/>
      <c r="AK310" s="441"/>
      <c r="AL310" s="441"/>
      <c r="AM310" s="441"/>
      <c r="AN310" s="441"/>
      <c r="AO310" s="441"/>
      <c r="AP310" s="448"/>
      <c r="AQ310" s="448"/>
      <c r="AR310" s="448"/>
      <c r="AS310" s="448"/>
      <c r="AT310" s="448"/>
      <c r="AU310" s="448"/>
      <c r="AV310" s="448"/>
      <c r="AW310" s="448"/>
      <c r="AX310" s="448"/>
      <c r="AY310" s="448"/>
      <c r="AZ310" s="448"/>
      <c r="BA310" s="448"/>
      <c r="BB310" s="448"/>
      <c r="BC310" s="448"/>
      <c r="BD310" s="448"/>
    </row>
    <row r="311" spans="1:56" ht="12.75" hidden="1" thickBot="1">
      <c r="A311" s="1" t="s">
        <v>1273</v>
      </c>
      <c r="B311" s="2" t="s">
        <v>295</v>
      </c>
      <c r="C311" s="2" t="s">
        <v>1065</v>
      </c>
      <c r="D311" s="8" t="s">
        <v>567</v>
      </c>
      <c r="E311" s="459"/>
      <c r="F311" s="6"/>
      <c r="G311" s="451"/>
      <c r="H311" s="6"/>
      <c r="I311" s="6"/>
      <c r="J311" s="6"/>
      <c r="K311" s="6"/>
      <c r="L311" s="6"/>
      <c r="M311" s="451"/>
      <c r="N311" s="451"/>
      <c r="O311" s="6"/>
      <c r="P311" s="6"/>
      <c r="Q311" s="451"/>
      <c r="R311" s="451"/>
      <c r="S311" s="445">
        <f t="shared" si="28"/>
        <v>0</v>
      </c>
      <c r="T311" s="445">
        <f t="shared" si="29"/>
        <v>0</v>
      </c>
      <c r="U311" s="445">
        <f t="shared" si="30"/>
        <v>0</v>
      </c>
      <c r="W311" s="450"/>
      <c r="X311" s="448"/>
      <c r="Y311" s="441"/>
      <c r="Z311" s="441"/>
      <c r="AA311" s="441"/>
      <c r="AB311" s="441"/>
      <c r="AC311" s="441"/>
      <c r="AD311" s="441"/>
      <c r="AE311" s="441"/>
      <c r="AF311" s="441"/>
      <c r="AG311" s="441"/>
      <c r="AH311" s="441"/>
      <c r="AI311" s="441"/>
      <c r="AJ311" s="441"/>
      <c r="AK311" s="441"/>
      <c r="AL311" s="441"/>
      <c r="AM311" s="441"/>
      <c r="AN311" s="441"/>
      <c r="AO311" s="441"/>
      <c r="AP311" s="448"/>
      <c r="AQ311" s="448"/>
      <c r="AR311" s="448"/>
      <c r="AS311" s="448"/>
      <c r="AT311" s="448"/>
      <c r="AU311" s="448"/>
      <c r="AV311" s="448"/>
      <c r="AW311" s="448"/>
      <c r="AX311" s="448"/>
      <c r="AY311" s="448"/>
      <c r="AZ311" s="448"/>
      <c r="BA311" s="448"/>
      <c r="BB311" s="448"/>
      <c r="BC311" s="448"/>
      <c r="BD311" s="448"/>
    </row>
    <row r="312" spans="1:56" ht="12.75" hidden="1" thickBot="1">
      <c r="A312" s="1" t="s">
        <v>1273</v>
      </c>
      <c r="B312" s="2" t="s">
        <v>296</v>
      </c>
      <c r="C312" s="2" t="s">
        <v>1066</v>
      </c>
      <c r="D312" s="8" t="s">
        <v>567</v>
      </c>
      <c r="E312" s="460"/>
      <c r="F312" s="4"/>
      <c r="G312" s="449"/>
      <c r="H312" s="4"/>
      <c r="I312" s="4"/>
      <c r="J312" s="4"/>
      <c r="K312" s="4"/>
      <c r="L312" s="4"/>
      <c r="M312" s="449"/>
      <c r="N312" s="449"/>
      <c r="O312" s="4"/>
      <c r="P312" s="4"/>
      <c r="Q312" s="449"/>
      <c r="R312" s="449"/>
      <c r="S312" s="445">
        <f t="shared" si="28"/>
        <v>0</v>
      </c>
      <c r="T312" s="445">
        <f t="shared" si="29"/>
        <v>0</v>
      </c>
      <c r="U312" s="445">
        <f t="shared" si="30"/>
        <v>0</v>
      </c>
      <c r="W312" s="450"/>
      <c r="X312" s="448"/>
      <c r="Y312" s="441"/>
      <c r="Z312" s="441"/>
      <c r="AA312" s="441"/>
      <c r="AB312" s="441"/>
      <c r="AC312" s="441"/>
      <c r="AD312" s="441"/>
      <c r="AE312" s="441"/>
      <c r="AF312" s="441"/>
      <c r="AG312" s="441"/>
      <c r="AH312" s="441"/>
      <c r="AI312" s="441"/>
      <c r="AJ312" s="441"/>
      <c r="AK312" s="441"/>
      <c r="AL312" s="441"/>
      <c r="AM312" s="441"/>
      <c r="AN312" s="441"/>
      <c r="AO312" s="441"/>
      <c r="AP312" s="448"/>
      <c r="AQ312" s="448"/>
      <c r="AR312" s="448"/>
      <c r="AS312" s="448"/>
      <c r="AT312" s="448"/>
      <c r="AU312" s="448"/>
      <c r="AV312" s="448"/>
      <c r="AW312" s="448"/>
      <c r="AX312" s="448"/>
      <c r="AY312" s="448"/>
      <c r="AZ312" s="448"/>
      <c r="BA312" s="448"/>
      <c r="BB312" s="448"/>
      <c r="BC312" s="448"/>
      <c r="BD312" s="448"/>
    </row>
    <row r="313" spans="1:56" ht="12.75" hidden="1" thickBot="1">
      <c r="A313" s="1" t="s">
        <v>1273</v>
      </c>
      <c r="B313" s="2" t="s">
        <v>297</v>
      </c>
      <c r="C313" s="2" t="s">
        <v>1067</v>
      </c>
      <c r="D313" s="8" t="s">
        <v>459</v>
      </c>
      <c r="E313" s="459"/>
      <c r="F313" s="6"/>
      <c r="G313" s="451"/>
      <c r="H313" s="6"/>
      <c r="I313" s="6"/>
      <c r="J313" s="6"/>
      <c r="K313" s="6"/>
      <c r="L313" s="6"/>
      <c r="M313" s="451"/>
      <c r="N313" s="451"/>
      <c r="O313" s="6"/>
      <c r="P313" s="6"/>
      <c r="Q313" s="451"/>
      <c r="R313" s="451"/>
      <c r="S313" s="445">
        <f t="shared" si="28"/>
        <v>0</v>
      </c>
      <c r="T313" s="445">
        <f t="shared" si="29"/>
        <v>0</v>
      </c>
      <c r="U313" s="445">
        <f t="shared" si="30"/>
        <v>0</v>
      </c>
      <c r="W313" s="450"/>
      <c r="X313" s="448"/>
      <c r="Y313" s="441"/>
      <c r="Z313" s="441"/>
      <c r="AA313" s="441"/>
      <c r="AB313" s="441"/>
      <c r="AC313" s="441"/>
      <c r="AD313" s="441"/>
      <c r="AE313" s="441"/>
      <c r="AF313" s="441"/>
      <c r="AG313" s="441"/>
      <c r="AH313" s="441"/>
      <c r="AI313" s="441"/>
      <c r="AJ313" s="441"/>
      <c r="AK313" s="441"/>
      <c r="AL313" s="441"/>
      <c r="AM313" s="441"/>
      <c r="AN313" s="441"/>
      <c r="AO313" s="441"/>
      <c r="AP313" s="448"/>
      <c r="AQ313" s="448"/>
      <c r="AR313" s="448"/>
      <c r="AS313" s="448"/>
      <c r="AT313" s="448"/>
      <c r="AU313" s="448"/>
      <c r="AV313" s="448"/>
      <c r="AW313" s="448"/>
      <c r="AX313" s="448"/>
      <c r="AY313" s="448"/>
      <c r="AZ313" s="448"/>
      <c r="BA313" s="448"/>
      <c r="BB313" s="448"/>
      <c r="BC313" s="448"/>
      <c r="BD313" s="448"/>
    </row>
    <row r="314" spans="1:56" ht="12.75" hidden="1" thickBot="1">
      <c r="A314" s="1" t="s">
        <v>1273</v>
      </c>
      <c r="B314" s="2" t="s">
        <v>299</v>
      </c>
      <c r="C314" s="2" t="s">
        <v>1068</v>
      </c>
      <c r="D314" s="8" t="s">
        <v>459</v>
      </c>
      <c r="E314" s="460"/>
      <c r="F314" s="4"/>
      <c r="G314" s="449"/>
      <c r="H314" s="4"/>
      <c r="I314" s="4"/>
      <c r="J314" s="4"/>
      <c r="K314" s="4"/>
      <c r="L314" s="4"/>
      <c r="M314" s="449"/>
      <c r="N314" s="449"/>
      <c r="O314" s="4"/>
      <c r="P314" s="4"/>
      <c r="Q314" s="449"/>
      <c r="R314" s="449"/>
      <c r="S314" s="445">
        <f t="shared" si="28"/>
        <v>0</v>
      </c>
      <c r="T314" s="445">
        <f t="shared" si="29"/>
        <v>0</v>
      </c>
      <c r="U314" s="445">
        <f t="shared" si="30"/>
        <v>0</v>
      </c>
      <c r="W314" s="450"/>
      <c r="X314" s="448"/>
      <c r="Y314" s="441"/>
      <c r="Z314" s="441"/>
      <c r="AA314" s="441"/>
      <c r="AB314" s="441"/>
      <c r="AC314" s="441"/>
      <c r="AD314" s="441"/>
      <c r="AE314" s="441"/>
      <c r="AF314" s="441"/>
      <c r="AG314" s="441"/>
      <c r="AH314" s="441"/>
      <c r="AI314" s="441"/>
      <c r="AJ314" s="441"/>
      <c r="AK314" s="441"/>
      <c r="AL314" s="441"/>
      <c r="AM314" s="441"/>
      <c r="AN314" s="441"/>
      <c r="AO314" s="441"/>
      <c r="AP314" s="448"/>
      <c r="AQ314" s="448"/>
      <c r="AR314" s="448"/>
      <c r="AS314" s="448"/>
      <c r="AT314" s="448"/>
      <c r="AU314" s="448"/>
      <c r="AV314" s="448"/>
      <c r="AW314" s="448"/>
      <c r="AX314" s="448"/>
      <c r="AY314" s="448"/>
      <c r="AZ314" s="448"/>
      <c r="BA314" s="448"/>
      <c r="BB314" s="448"/>
      <c r="BC314" s="448"/>
      <c r="BD314" s="448"/>
    </row>
    <row r="315" spans="1:56" ht="12.75" hidden="1" thickBot="1">
      <c r="A315" s="1" t="s">
        <v>1273</v>
      </c>
      <c r="B315" s="2" t="s">
        <v>300</v>
      </c>
      <c r="C315" s="2" t="s">
        <v>1069</v>
      </c>
      <c r="D315" s="8" t="s">
        <v>567</v>
      </c>
      <c r="E315" s="459"/>
      <c r="F315" s="6"/>
      <c r="G315" s="451"/>
      <c r="H315" s="6"/>
      <c r="I315" s="6"/>
      <c r="J315" s="6"/>
      <c r="K315" s="6"/>
      <c r="L315" s="6"/>
      <c r="M315" s="451"/>
      <c r="N315" s="451"/>
      <c r="O315" s="6"/>
      <c r="P315" s="6"/>
      <c r="Q315" s="451"/>
      <c r="R315" s="451"/>
      <c r="S315" s="445">
        <f t="shared" si="28"/>
        <v>0</v>
      </c>
      <c r="T315" s="445">
        <f t="shared" si="29"/>
        <v>0</v>
      </c>
      <c r="U315" s="445">
        <f t="shared" si="30"/>
        <v>0</v>
      </c>
      <c r="W315" s="450"/>
      <c r="X315" s="448"/>
      <c r="Y315" s="441"/>
      <c r="Z315" s="441"/>
      <c r="AA315" s="441"/>
      <c r="AB315" s="441"/>
      <c r="AC315" s="441"/>
      <c r="AD315" s="441"/>
      <c r="AE315" s="441"/>
      <c r="AF315" s="441"/>
      <c r="AG315" s="441"/>
      <c r="AH315" s="441"/>
      <c r="AI315" s="441"/>
      <c r="AJ315" s="441"/>
      <c r="AK315" s="441"/>
      <c r="AL315" s="441"/>
      <c r="AM315" s="441"/>
      <c r="AN315" s="441"/>
      <c r="AO315" s="441"/>
      <c r="AP315" s="448"/>
      <c r="AQ315" s="448"/>
      <c r="AR315" s="448"/>
      <c r="AS315" s="448"/>
      <c r="AT315" s="448"/>
      <c r="AU315" s="448"/>
      <c r="AV315" s="448"/>
      <c r="AW315" s="448"/>
      <c r="AX315" s="448"/>
      <c r="AY315" s="448"/>
      <c r="AZ315" s="448"/>
      <c r="BA315" s="448"/>
      <c r="BB315" s="448"/>
      <c r="BC315" s="448"/>
      <c r="BD315" s="448"/>
    </row>
    <row r="316" spans="1:56" ht="12.75" hidden="1" thickBot="1">
      <c r="A316" s="1" t="s">
        <v>1273</v>
      </c>
      <c r="B316" s="2" t="s">
        <v>301</v>
      </c>
      <c r="C316" s="2" t="s">
        <v>1070</v>
      </c>
      <c r="D316" s="8" t="s">
        <v>567</v>
      </c>
      <c r="E316" s="460"/>
      <c r="F316" s="4"/>
      <c r="G316" s="449"/>
      <c r="H316" s="4"/>
      <c r="I316" s="4"/>
      <c r="J316" s="4"/>
      <c r="K316" s="4"/>
      <c r="L316" s="4"/>
      <c r="M316" s="449"/>
      <c r="N316" s="449"/>
      <c r="O316" s="4"/>
      <c r="P316" s="4"/>
      <c r="Q316" s="449"/>
      <c r="R316" s="449"/>
      <c r="S316" s="445">
        <f t="shared" si="28"/>
        <v>0</v>
      </c>
      <c r="T316" s="445">
        <f t="shared" si="29"/>
        <v>0</v>
      </c>
      <c r="U316" s="445">
        <f t="shared" si="30"/>
        <v>0</v>
      </c>
      <c r="W316" s="450"/>
      <c r="X316" s="448"/>
      <c r="Y316" s="441"/>
      <c r="Z316" s="441"/>
      <c r="AA316" s="441"/>
      <c r="AB316" s="441"/>
      <c r="AC316" s="441"/>
      <c r="AD316" s="441"/>
      <c r="AE316" s="441"/>
      <c r="AF316" s="441"/>
      <c r="AG316" s="441"/>
      <c r="AH316" s="441"/>
      <c r="AI316" s="441"/>
      <c r="AJ316" s="441"/>
      <c r="AK316" s="441"/>
      <c r="AL316" s="441"/>
      <c r="AM316" s="441"/>
      <c r="AN316" s="441"/>
      <c r="AO316" s="441"/>
      <c r="AP316" s="448"/>
      <c r="AQ316" s="448"/>
      <c r="AR316" s="448"/>
      <c r="AS316" s="448"/>
      <c r="AT316" s="448"/>
      <c r="AU316" s="448"/>
      <c r="AV316" s="448"/>
      <c r="AW316" s="448"/>
      <c r="AX316" s="448"/>
      <c r="AY316" s="448"/>
      <c r="AZ316" s="448"/>
      <c r="BA316" s="448"/>
      <c r="BB316" s="448"/>
      <c r="BC316" s="448"/>
      <c r="BD316" s="448"/>
    </row>
    <row r="317" spans="1:56" ht="12.75" hidden="1" thickBot="1">
      <c r="A317" s="1" t="s">
        <v>1273</v>
      </c>
      <c r="B317" s="2" t="s">
        <v>302</v>
      </c>
      <c r="C317" s="2" t="s">
        <v>1071</v>
      </c>
      <c r="D317" s="8" t="s">
        <v>567</v>
      </c>
      <c r="E317" s="459"/>
      <c r="F317" s="6"/>
      <c r="G317" s="451"/>
      <c r="H317" s="6"/>
      <c r="I317" s="6"/>
      <c r="J317" s="6"/>
      <c r="K317" s="6"/>
      <c r="L317" s="6"/>
      <c r="M317" s="451"/>
      <c r="N317" s="451"/>
      <c r="O317" s="6"/>
      <c r="P317" s="6"/>
      <c r="Q317" s="451"/>
      <c r="R317" s="451"/>
      <c r="S317" s="445">
        <f t="shared" si="28"/>
        <v>0</v>
      </c>
      <c r="T317" s="445">
        <f t="shared" si="29"/>
        <v>0</v>
      </c>
      <c r="U317" s="445">
        <f t="shared" si="30"/>
        <v>0</v>
      </c>
      <c r="W317" s="450"/>
      <c r="X317" s="448"/>
      <c r="Y317" s="441"/>
      <c r="Z317" s="441"/>
      <c r="AA317" s="441"/>
      <c r="AB317" s="441"/>
      <c r="AC317" s="441"/>
      <c r="AD317" s="441"/>
      <c r="AE317" s="441"/>
      <c r="AF317" s="441"/>
      <c r="AG317" s="441"/>
      <c r="AH317" s="441"/>
      <c r="AI317" s="441"/>
      <c r="AJ317" s="441"/>
      <c r="AK317" s="441"/>
      <c r="AL317" s="441"/>
      <c r="AM317" s="441"/>
      <c r="AN317" s="441"/>
      <c r="AO317" s="441"/>
      <c r="AP317" s="448"/>
      <c r="AQ317" s="448"/>
      <c r="AR317" s="448"/>
      <c r="AS317" s="448"/>
      <c r="AT317" s="448"/>
      <c r="AU317" s="448"/>
      <c r="AV317" s="448"/>
      <c r="AW317" s="448"/>
      <c r="AX317" s="448"/>
      <c r="AY317" s="448"/>
      <c r="AZ317" s="448"/>
      <c r="BA317" s="448"/>
      <c r="BB317" s="448"/>
      <c r="BC317" s="448"/>
      <c r="BD317" s="448"/>
    </row>
    <row r="318" spans="1:56" ht="12.75" hidden="1" thickBot="1">
      <c r="A318" s="1" t="s">
        <v>1273</v>
      </c>
      <c r="B318" s="2" t="s">
        <v>303</v>
      </c>
      <c r="C318" s="2" t="s">
        <v>1072</v>
      </c>
      <c r="D318" s="8" t="s">
        <v>567</v>
      </c>
      <c r="E318" s="460"/>
      <c r="F318" s="4"/>
      <c r="G318" s="449"/>
      <c r="H318" s="4"/>
      <c r="I318" s="4"/>
      <c r="J318" s="4"/>
      <c r="K318" s="4"/>
      <c r="L318" s="4"/>
      <c r="M318" s="449"/>
      <c r="N318" s="449"/>
      <c r="O318" s="4"/>
      <c r="P318" s="4"/>
      <c r="Q318" s="449"/>
      <c r="R318" s="449"/>
      <c r="S318" s="445">
        <f t="shared" si="28"/>
        <v>0</v>
      </c>
      <c r="T318" s="445">
        <f t="shared" si="29"/>
        <v>0</v>
      </c>
      <c r="U318" s="445">
        <f t="shared" si="30"/>
        <v>0</v>
      </c>
      <c r="W318" s="450"/>
      <c r="X318" s="448"/>
      <c r="Y318" s="441"/>
      <c r="Z318" s="441"/>
      <c r="AA318" s="441"/>
      <c r="AB318" s="441"/>
      <c r="AC318" s="441"/>
      <c r="AD318" s="441"/>
      <c r="AE318" s="441"/>
      <c r="AF318" s="441"/>
      <c r="AG318" s="441"/>
      <c r="AH318" s="441"/>
      <c r="AI318" s="441"/>
      <c r="AJ318" s="441"/>
      <c r="AK318" s="441"/>
      <c r="AL318" s="441"/>
      <c r="AM318" s="441"/>
      <c r="AN318" s="441"/>
      <c r="AO318" s="441"/>
      <c r="AP318" s="448"/>
      <c r="AQ318" s="448"/>
      <c r="AR318" s="448"/>
      <c r="AS318" s="448"/>
      <c r="AT318" s="448"/>
      <c r="AU318" s="448"/>
      <c r="AV318" s="448"/>
      <c r="AW318" s="448"/>
      <c r="AX318" s="448"/>
      <c r="AY318" s="448"/>
      <c r="AZ318" s="448"/>
      <c r="BA318" s="448"/>
      <c r="BB318" s="448"/>
      <c r="BC318" s="448"/>
      <c r="BD318" s="448"/>
    </row>
    <row r="319" spans="1:56" ht="12.75" hidden="1" thickBot="1">
      <c r="A319" s="1" t="s">
        <v>1273</v>
      </c>
      <c r="B319" s="2" t="s">
        <v>304</v>
      </c>
      <c r="C319" s="2" t="s">
        <v>1073</v>
      </c>
      <c r="D319" s="8" t="s">
        <v>567</v>
      </c>
      <c r="E319" s="459"/>
      <c r="F319" s="6"/>
      <c r="G319" s="451"/>
      <c r="H319" s="6"/>
      <c r="I319" s="6"/>
      <c r="J319" s="6"/>
      <c r="K319" s="6"/>
      <c r="L319" s="6"/>
      <c r="M319" s="451"/>
      <c r="N319" s="451"/>
      <c r="O319" s="6"/>
      <c r="P319" s="6"/>
      <c r="Q319" s="451"/>
      <c r="R319" s="451"/>
      <c r="S319" s="445">
        <f t="shared" si="28"/>
        <v>0</v>
      </c>
      <c r="T319" s="445">
        <f t="shared" si="29"/>
        <v>0</v>
      </c>
      <c r="U319" s="445">
        <f t="shared" si="30"/>
        <v>0</v>
      </c>
      <c r="W319" s="450"/>
      <c r="X319" s="448"/>
      <c r="Y319" s="441"/>
      <c r="Z319" s="441"/>
      <c r="AA319" s="441"/>
      <c r="AB319" s="441"/>
      <c r="AC319" s="441"/>
      <c r="AD319" s="441"/>
      <c r="AE319" s="441"/>
      <c r="AF319" s="441"/>
      <c r="AG319" s="441"/>
      <c r="AH319" s="441"/>
      <c r="AI319" s="441"/>
      <c r="AJ319" s="441"/>
      <c r="AK319" s="441"/>
      <c r="AL319" s="441"/>
      <c r="AM319" s="441"/>
      <c r="AN319" s="441"/>
      <c r="AO319" s="441"/>
      <c r="AP319" s="448"/>
      <c r="AQ319" s="448"/>
      <c r="AR319" s="448"/>
      <c r="AS319" s="448"/>
      <c r="AT319" s="448"/>
      <c r="AU319" s="448"/>
      <c r="AV319" s="448"/>
      <c r="AW319" s="448"/>
      <c r="AX319" s="448"/>
      <c r="AY319" s="448"/>
      <c r="AZ319" s="448"/>
      <c r="BA319" s="448"/>
      <c r="BB319" s="448"/>
      <c r="BC319" s="448"/>
      <c r="BD319" s="448"/>
    </row>
    <row r="320" spans="1:56" ht="12.75" hidden="1" thickBot="1">
      <c r="A320" s="1" t="s">
        <v>1273</v>
      </c>
      <c r="B320" s="2" t="s">
        <v>305</v>
      </c>
      <c r="C320" s="2" t="s">
        <v>1074</v>
      </c>
      <c r="D320" s="8" t="s">
        <v>567</v>
      </c>
      <c r="E320" s="460"/>
      <c r="F320" s="4"/>
      <c r="G320" s="449"/>
      <c r="H320" s="4"/>
      <c r="I320" s="4"/>
      <c r="J320" s="4"/>
      <c r="K320" s="4"/>
      <c r="L320" s="4"/>
      <c r="M320" s="449"/>
      <c r="N320" s="449"/>
      <c r="O320" s="4"/>
      <c r="P320" s="4"/>
      <c r="Q320" s="449"/>
      <c r="R320" s="449"/>
      <c r="S320" s="445">
        <f t="shared" si="28"/>
        <v>0</v>
      </c>
      <c r="T320" s="445">
        <f t="shared" si="29"/>
        <v>0</v>
      </c>
      <c r="U320" s="445">
        <f t="shared" si="30"/>
        <v>0</v>
      </c>
      <c r="W320" s="450"/>
      <c r="X320" s="448"/>
      <c r="Y320" s="441"/>
      <c r="Z320" s="441"/>
      <c r="AA320" s="441"/>
      <c r="AB320" s="441"/>
      <c r="AC320" s="441"/>
      <c r="AD320" s="441"/>
      <c r="AE320" s="441"/>
      <c r="AF320" s="441"/>
      <c r="AG320" s="441"/>
      <c r="AH320" s="441"/>
      <c r="AI320" s="441"/>
      <c r="AJ320" s="441"/>
      <c r="AK320" s="441"/>
      <c r="AL320" s="441"/>
      <c r="AM320" s="441"/>
      <c r="AN320" s="441"/>
      <c r="AO320" s="441"/>
      <c r="AP320" s="448"/>
      <c r="AQ320" s="448"/>
      <c r="AR320" s="448"/>
      <c r="AS320" s="448"/>
      <c r="AT320" s="448"/>
      <c r="AU320" s="448"/>
      <c r="AV320" s="448"/>
      <c r="AW320" s="448"/>
      <c r="AX320" s="448"/>
      <c r="AY320" s="448"/>
      <c r="AZ320" s="448"/>
      <c r="BA320" s="448"/>
      <c r="BB320" s="448"/>
      <c r="BC320" s="448"/>
      <c r="BD320" s="448"/>
    </row>
    <row r="321" spans="1:56" ht="12.75" hidden="1" thickBot="1">
      <c r="A321" s="1" t="s">
        <v>1273</v>
      </c>
      <c r="B321" s="2" t="s">
        <v>306</v>
      </c>
      <c r="C321" s="2" t="s">
        <v>1075</v>
      </c>
      <c r="D321" s="453" t="s">
        <v>459</v>
      </c>
      <c r="E321" s="459"/>
      <c r="F321" s="6"/>
      <c r="G321" s="451"/>
      <c r="H321" s="6"/>
      <c r="I321" s="6"/>
      <c r="J321" s="6"/>
      <c r="K321" s="6"/>
      <c r="L321" s="6"/>
      <c r="M321" s="451"/>
      <c r="N321" s="451"/>
      <c r="O321" s="6"/>
      <c r="P321" s="6"/>
      <c r="Q321" s="451"/>
      <c r="R321" s="451"/>
      <c r="S321" s="445">
        <f t="shared" si="28"/>
        <v>0</v>
      </c>
      <c r="T321" s="445">
        <f t="shared" si="29"/>
        <v>0</v>
      </c>
      <c r="U321" s="445">
        <f t="shared" si="30"/>
        <v>0</v>
      </c>
      <c r="W321" s="450"/>
      <c r="X321" s="448"/>
      <c r="Y321" s="441"/>
      <c r="Z321" s="441"/>
      <c r="AA321" s="441"/>
      <c r="AB321" s="441"/>
      <c r="AC321" s="441"/>
      <c r="AD321" s="441"/>
      <c r="AE321" s="441"/>
      <c r="AF321" s="441"/>
      <c r="AG321" s="441"/>
      <c r="AH321" s="441"/>
      <c r="AI321" s="441"/>
      <c r="AJ321" s="441"/>
      <c r="AK321" s="441"/>
      <c r="AL321" s="441"/>
      <c r="AM321" s="441"/>
      <c r="AN321" s="441"/>
      <c r="AO321" s="441"/>
      <c r="AP321" s="448"/>
      <c r="AQ321" s="448"/>
      <c r="AR321" s="448"/>
      <c r="AS321" s="448"/>
      <c r="AT321" s="448"/>
      <c r="AU321" s="448"/>
      <c r="AV321" s="448"/>
      <c r="AW321" s="448"/>
      <c r="AX321" s="448"/>
      <c r="AY321" s="448"/>
      <c r="AZ321" s="448"/>
      <c r="BA321" s="448"/>
      <c r="BB321" s="448"/>
      <c r="BC321" s="448"/>
      <c r="BD321" s="448"/>
    </row>
    <row r="322" spans="1:56" ht="12.75" hidden="1" thickBot="1">
      <c r="A322" s="1" t="s">
        <v>1273</v>
      </c>
      <c r="B322" s="2" t="s">
        <v>307</v>
      </c>
      <c r="C322" s="2" t="s">
        <v>1076</v>
      </c>
      <c r="D322" s="8" t="s">
        <v>567</v>
      </c>
      <c r="E322" s="460"/>
      <c r="F322" s="4"/>
      <c r="G322" s="449"/>
      <c r="H322" s="4"/>
      <c r="I322" s="4"/>
      <c r="J322" s="4"/>
      <c r="K322" s="4"/>
      <c r="L322" s="4"/>
      <c r="M322" s="449"/>
      <c r="N322" s="449"/>
      <c r="O322" s="4"/>
      <c r="P322" s="4"/>
      <c r="Q322" s="449"/>
      <c r="R322" s="449"/>
      <c r="S322" s="445">
        <f t="shared" si="28"/>
        <v>0</v>
      </c>
      <c r="T322" s="445">
        <f t="shared" si="29"/>
        <v>0</v>
      </c>
      <c r="U322" s="445">
        <f t="shared" si="30"/>
        <v>0</v>
      </c>
      <c r="W322" s="450"/>
      <c r="X322" s="448"/>
      <c r="Y322" s="441"/>
      <c r="Z322" s="441"/>
      <c r="AA322" s="441"/>
      <c r="AB322" s="441"/>
      <c r="AC322" s="441"/>
      <c r="AD322" s="441"/>
      <c r="AE322" s="441"/>
      <c r="AF322" s="441"/>
      <c r="AG322" s="441"/>
      <c r="AH322" s="441"/>
      <c r="AI322" s="441"/>
      <c r="AJ322" s="441"/>
      <c r="AK322" s="441"/>
      <c r="AL322" s="441"/>
      <c r="AM322" s="441"/>
      <c r="AN322" s="441"/>
      <c r="AO322" s="441"/>
      <c r="AP322" s="448"/>
      <c r="AQ322" s="448"/>
      <c r="AR322" s="448"/>
      <c r="AS322" s="448"/>
      <c r="AT322" s="448"/>
      <c r="AU322" s="448"/>
      <c r="AV322" s="448"/>
      <c r="AW322" s="448"/>
      <c r="AX322" s="448"/>
      <c r="AY322" s="448"/>
      <c r="AZ322" s="448"/>
      <c r="BA322" s="448"/>
      <c r="BB322" s="448"/>
      <c r="BC322" s="448"/>
      <c r="BD322" s="448"/>
    </row>
    <row r="323" spans="1:56" ht="12.75" hidden="1" thickBot="1">
      <c r="A323" s="1" t="s">
        <v>1273</v>
      </c>
      <c r="B323" s="2" t="s">
        <v>308</v>
      </c>
      <c r="C323" s="2" t="s">
        <v>1077</v>
      </c>
      <c r="D323" s="453" t="s">
        <v>459</v>
      </c>
      <c r="E323" s="459"/>
      <c r="F323" s="6"/>
      <c r="G323" s="451"/>
      <c r="H323" s="6"/>
      <c r="I323" s="6"/>
      <c r="J323" s="6"/>
      <c r="K323" s="6"/>
      <c r="L323" s="6"/>
      <c r="M323" s="451"/>
      <c r="N323" s="451"/>
      <c r="O323" s="6"/>
      <c r="P323" s="6"/>
      <c r="Q323" s="451"/>
      <c r="R323" s="451"/>
      <c r="S323" s="445">
        <f t="shared" si="28"/>
        <v>0</v>
      </c>
      <c r="T323" s="445">
        <f t="shared" si="29"/>
        <v>0</v>
      </c>
      <c r="U323" s="445">
        <f t="shared" si="30"/>
        <v>0</v>
      </c>
      <c r="W323" s="450"/>
      <c r="X323" s="448"/>
      <c r="Y323" s="441"/>
      <c r="Z323" s="441"/>
      <c r="AA323" s="441"/>
      <c r="AB323" s="441"/>
      <c r="AC323" s="441"/>
      <c r="AD323" s="441"/>
      <c r="AE323" s="441"/>
      <c r="AF323" s="441"/>
      <c r="AG323" s="441"/>
      <c r="AH323" s="441"/>
      <c r="AI323" s="441"/>
      <c r="AJ323" s="441"/>
      <c r="AK323" s="441"/>
      <c r="AL323" s="441"/>
      <c r="AM323" s="441"/>
      <c r="AN323" s="441"/>
      <c r="AO323" s="441"/>
      <c r="AP323" s="448"/>
      <c r="AQ323" s="448"/>
      <c r="AR323" s="448"/>
      <c r="AS323" s="448"/>
      <c r="AT323" s="448"/>
      <c r="AU323" s="448"/>
      <c r="AV323" s="448"/>
      <c r="AW323" s="448"/>
      <c r="AX323" s="448"/>
      <c r="AY323" s="448"/>
      <c r="AZ323" s="448"/>
      <c r="BA323" s="448"/>
      <c r="BB323" s="448"/>
      <c r="BC323" s="448"/>
      <c r="BD323" s="448"/>
    </row>
    <row r="324" spans="1:56" ht="12.75" hidden="1" thickBot="1">
      <c r="A324" s="1" t="s">
        <v>1273</v>
      </c>
      <c r="B324" s="2" t="s">
        <v>309</v>
      </c>
      <c r="C324" s="2" t="s">
        <v>1078</v>
      </c>
      <c r="D324" s="8" t="s">
        <v>567</v>
      </c>
      <c r="E324" s="460"/>
      <c r="F324" s="4"/>
      <c r="G324" s="449"/>
      <c r="H324" s="4"/>
      <c r="I324" s="4"/>
      <c r="J324" s="4"/>
      <c r="K324" s="4"/>
      <c r="L324" s="4"/>
      <c r="M324" s="449"/>
      <c r="N324" s="449"/>
      <c r="O324" s="4"/>
      <c r="P324" s="4"/>
      <c r="Q324" s="449"/>
      <c r="R324" s="449"/>
      <c r="S324" s="445">
        <f t="shared" si="28"/>
        <v>0</v>
      </c>
      <c r="T324" s="445">
        <f t="shared" si="29"/>
        <v>0</v>
      </c>
      <c r="U324" s="445">
        <f t="shared" si="30"/>
        <v>0</v>
      </c>
      <c r="W324" s="450"/>
      <c r="X324" s="448"/>
      <c r="Y324" s="441"/>
      <c r="Z324" s="441"/>
      <c r="AA324" s="441"/>
      <c r="AB324" s="441"/>
      <c r="AC324" s="441"/>
      <c r="AD324" s="441"/>
      <c r="AE324" s="441"/>
      <c r="AF324" s="441"/>
      <c r="AG324" s="441"/>
      <c r="AH324" s="441"/>
      <c r="AI324" s="441"/>
      <c r="AJ324" s="441"/>
      <c r="AK324" s="441"/>
      <c r="AL324" s="441"/>
      <c r="AM324" s="441"/>
      <c r="AN324" s="441"/>
      <c r="AO324" s="441"/>
      <c r="AP324" s="448"/>
      <c r="AQ324" s="448"/>
      <c r="AR324" s="448"/>
      <c r="AS324" s="448"/>
      <c r="AT324" s="448"/>
      <c r="AU324" s="448"/>
      <c r="AV324" s="448"/>
      <c r="AW324" s="448"/>
      <c r="AX324" s="448"/>
      <c r="AY324" s="448"/>
      <c r="AZ324" s="448"/>
      <c r="BA324" s="448"/>
      <c r="BB324" s="448"/>
      <c r="BC324" s="448"/>
      <c r="BD324" s="448"/>
    </row>
    <row r="325" spans="1:56" ht="12.75" hidden="1" thickBot="1">
      <c r="A325" s="1" t="s">
        <v>1273</v>
      </c>
      <c r="B325" s="2" t="s">
        <v>310</v>
      </c>
      <c r="C325" s="2" t="s">
        <v>1079</v>
      </c>
      <c r="D325" s="453" t="s">
        <v>459</v>
      </c>
      <c r="E325" s="459"/>
      <c r="F325" s="6"/>
      <c r="G325" s="451"/>
      <c r="H325" s="6"/>
      <c r="I325" s="6"/>
      <c r="J325" s="6"/>
      <c r="K325" s="6"/>
      <c r="L325" s="6"/>
      <c r="M325" s="451"/>
      <c r="N325" s="451"/>
      <c r="O325" s="6"/>
      <c r="P325" s="6"/>
      <c r="Q325" s="451"/>
      <c r="R325" s="451"/>
      <c r="S325" s="445">
        <f t="shared" si="28"/>
        <v>0</v>
      </c>
      <c r="T325" s="445">
        <f t="shared" si="29"/>
        <v>0</v>
      </c>
      <c r="U325" s="445">
        <f t="shared" si="30"/>
        <v>0</v>
      </c>
      <c r="W325" s="450"/>
      <c r="X325" s="448"/>
      <c r="Y325" s="441"/>
      <c r="Z325" s="441"/>
      <c r="AA325" s="441"/>
      <c r="AB325" s="441"/>
      <c r="AC325" s="441"/>
      <c r="AD325" s="441"/>
      <c r="AE325" s="441"/>
      <c r="AF325" s="441"/>
      <c r="AG325" s="441"/>
      <c r="AH325" s="441"/>
      <c r="AI325" s="441"/>
      <c r="AJ325" s="441"/>
      <c r="AK325" s="441"/>
      <c r="AL325" s="441"/>
      <c r="AM325" s="441"/>
      <c r="AN325" s="441"/>
      <c r="AO325" s="441"/>
      <c r="AP325" s="448"/>
      <c r="AQ325" s="448"/>
      <c r="AR325" s="448"/>
      <c r="AS325" s="448"/>
      <c r="AT325" s="448"/>
      <c r="AU325" s="448"/>
      <c r="AV325" s="448"/>
      <c r="AW325" s="448"/>
      <c r="AX325" s="448"/>
      <c r="AY325" s="448"/>
      <c r="AZ325" s="448"/>
      <c r="BA325" s="448"/>
      <c r="BB325" s="448"/>
      <c r="BC325" s="448"/>
      <c r="BD325" s="448"/>
    </row>
    <row r="326" spans="1:56" ht="12.75" hidden="1" thickBot="1">
      <c r="A326" s="1" t="s">
        <v>1273</v>
      </c>
      <c r="B326" s="2" t="s">
        <v>311</v>
      </c>
      <c r="C326" s="2" t="s">
        <v>1080</v>
      </c>
      <c r="D326" s="8" t="s">
        <v>567</v>
      </c>
      <c r="E326" s="460"/>
      <c r="F326" s="4"/>
      <c r="G326" s="449"/>
      <c r="H326" s="4"/>
      <c r="I326" s="4"/>
      <c r="J326" s="4"/>
      <c r="K326" s="4"/>
      <c r="L326" s="4"/>
      <c r="M326" s="449"/>
      <c r="N326" s="449"/>
      <c r="O326" s="4"/>
      <c r="P326" s="4"/>
      <c r="Q326" s="449"/>
      <c r="R326" s="449"/>
      <c r="S326" s="445">
        <f t="shared" si="28"/>
        <v>0</v>
      </c>
      <c r="T326" s="445">
        <f t="shared" si="29"/>
        <v>0</v>
      </c>
      <c r="U326" s="445">
        <f t="shared" si="30"/>
        <v>0</v>
      </c>
      <c r="W326" s="450"/>
      <c r="X326" s="448"/>
      <c r="Y326" s="441"/>
      <c r="Z326" s="441"/>
      <c r="AA326" s="441"/>
      <c r="AB326" s="441"/>
      <c r="AC326" s="441"/>
      <c r="AD326" s="441"/>
      <c r="AE326" s="441"/>
      <c r="AF326" s="441"/>
      <c r="AG326" s="441"/>
      <c r="AH326" s="441"/>
      <c r="AI326" s="441"/>
      <c r="AJ326" s="441"/>
      <c r="AK326" s="441"/>
      <c r="AL326" s="441"/>
      <c r="AM326" s="441"/>
      <c r="AN326" s="441"/>
      <c r="AO326" s="441"/>
      <c r="AP326" s="448"/>
      <c r="AQ326" s="448"/>
      <c r="AR326" s="448"/>
      <c r="AS326" s="448"/>
      <c r="AT326" s="448"/>
      <c r="AU326" s="448"/>
      <c r="AV326" s="448"/>
      <c r="AW326" s="448"/>
      <c r="AX326" s="448"/>
      <c r="AY326" s="448"/>
      <c r="AZ326" s="448"/>
      <c r="BA326" s="448"/>
      <c r="BB326" s="448"/>
      <c r="BC326" s="448"/>
      <c r="BD326" s="448"/>
    </row>
    <row r="327" spans="1:56" ht="12.75" hidden="1" thickBot="1">
      <c r="A327" s="1" t="s">
        <v>1273</v>
      </c>
      <c r="B327" s="2" t="s">
        <v>339</v>
      </c>
      <c r="C327" s="2" t="s">
        <v>1081</v>
      </c>
      <c r="D327" s="453" t="s">
        <v>459</v>
      </c>
      <c r="E327" s="459"/>
      <c r="F327" s="6"/>
      <c r="G327" s="451"/>
      <c r="H327" s="6"/>
      <c r="I327" s="6"/>
      <c r="J327" s="6"/>
      <c r="K327" s="6"/>
      <c r="L327" s="6"/>
      <c r="M327" s="451"/>
      <c r="N327" s="451"/>
      <c r="O327" s="6"/>
      <c r="P327" s="6"/>
      <c r="Q327" s="451"/>
      <c r="R327" s="451"/>
      <c r="S327" s="445">
        <f t="shared" si="28"/>
        <v>0</v>
      </c>
      <c r="T327" s="445">
        <f t="shared" si="29"/>
        <v>0</v>
      </c>
      <c r="U327" s="445">
        <f t="shared" si="30"/>
        <v>0</v>
      </c>
      <c r="W327" s="450"/>
      <c r="X327" s="448"/>
      <c r="Y327" s="441"/>
      <c r="Z327" s="441"/>
      <c r="AA327" s="441"/>
      <c r="AB327" s="441"/>
      <c r="AC327" s="441"/>
      <c r="AD327" s="441"/>
      <c r="AE327" s="441"/>
      <c r="AF327" s="441"/>
      <c r="AG327" s="441"/>
      <c r="AH327" s="441"/>
      <c r="AI327" s="441"/>
      <c r="AJ327" s="441"/>
      <c r="AK327" s="441"/>
      <c r="AL327" s="441"/>
      <c r="AM327" s="441"/>
      <c r="AN327" s="441"/>
      <c r="AO327" s="441"/>
      <c r="AP327" s="448"/>
      <c r="AQ327" s="448"/>
      <c r="AR327" s="448"/>
      <c r="AS327" s="448"/>
      <c r="AT327" s="448"/>
      <c r="AU327" s="448"/>
      <c r="AV327" s="448"/>
      <c r="AW327" s="448"/>
      <c r="AX327" s="448"/>
      <c r="AY327" s="448"/>
      <c r="AZ327" s="448"/>
      <c r="BA327" s="448"/>
      <c r="BB327" s="448"/>
      <c r="BC327" s="448"/>
      <c r="BD327" s="448"/>
    </row>
    <row r="328" spans="1:56" ht="12.75" hidden="1" thickBot="1">
      <c r="A328" s="1" t="s">
        <v>1273</v>
      </c>
      <c r="B328" s="2" t="s">
        <v>312</v>
      </c>
      <c r="C328" s="2" t="s">
        <v>1082</v>
      </c>
      <c r="D328" s="8" t="s">
        <v>567</v>
      </c>
      <c r="E328" s="460"/>
      <c r="F328" s="4"/>
      <c r="G328" s="449"/>
      <c r="H328" s="4"/>
      <c r="I328" s="4"/>
      <c r="J328" s="4"/>
      <c r="K328" s="4"/>
      <c r="L328" s="4"/>
      <c r="M328" s="449"/>
      <c r="N328" s="449"/>
      <c r="O328" s="4"/>
      <c r="P328" s="4"/>
      <c r="Q328" s="449"/>
      <c r="R328" s="449"/>
      <c r="S328" s="445">
        <f t="shared" si="28"/>
        <v>0</v>
      </c>
      <c r="T328" s="445">
        <f t="shared" si="29"/>
        <v>0</v>
      </c>
      <c r="U328" s="445">
        <f t="shared" si="30"/>
        <v>0</v>
      </c>
      <c r="W328" s="450"/>
      <c r="X328" s="448"/>
      <c r="Y328" s="441"/>
      <c r="Z328" s="441"/>
      <c r="AA328" s="441"/>
      <c r="AB328" s="441"/>
      <c r="AC328" s="441"/>
      <c r="AD328" s="441"/>
      <c r="AE328" s="441"/>
      <c r="AF328" s="441"/>
      <c r="AG328" s="441"/>
      <c r="AH328" s="441"/>
      <c r="AI328" s="441"/>
      <c r="AJ328" s="441"/>
      <c r="AK328" s="441"/>
      <c r="AL328" s="441"/>
      <c r="AM328" s="441"/>
      <c r="AN328" s="441"/>
      <c r="AO328" s="441"/>
      <c r="AP328" s="448"/>
      <c r="AQ328" s="448"/>
      <c r="AR328" s="448"/>
      <c r="AS328" s="448"/>
      <c r="AT328" s="448"/>
      <c r="AU328" s="448"/>
      <c r="AV328" s="448"/>
      <c r="AW328" s="448"/>
      <c r="AX328" s="448"/>
      <c r="AY328" s="448"/>
      <c r="AZ328" s="448"/>
      <c r="BA328" s="448"/>
      <c r="BB328" s="448"/>
      <c r="BC328" s="448"/>
      <c r="BD328" s="448"/>
    </row>
    <row r="329" spans="1:56" ht="12.75" hidden="1" thickBot="1">
      <c r="A329" s="1" t="s">
        <v>1273</v>
      </c>
      <c r="B329" s="2" t="s">
        <v>688</v>
      </c>
      <c r="C329" s="2" t="s">
        <v>1083</v>
      </c>
      <c r="D329" s="8" t="s">
        <v>567</v>
      </c>
      <c r="E329" s="459"/>
      <c r="F329" s="6"/>
      <c r="G329" s="451"/>
      <c r="H329" s="6"/>
      <c r="I329" s="6"/>
      <c r="J329" s="6"/>
      <c r="K329" s="6"/>
      <c r="L329" s="6"/>
      <c r="M329" s="451"/>
      <c r="N329" s="451"/>
      <c r="O329" s="6"/>
      <c r="P329" s="6"/>
      <c r="Q329" s="6"/>
      <c r="R329" s="451"/>
      <c r="S329" s="445">
        <f t="shared" si="28"/>
        <v>0</v>
      </c>
      <c r="T329" s="445">
        <f t="shared" si="29"/>
        <v>0</v>
      </c>
      <c r="U329" s="445">
        <f t="shared" si="30"/>
        <v>0</v>
      </c>
      <c r="W329" s="450"/>
      <c r="X329" s="448"/>
      <c r="Y329" s="441"/>
      <c r="Z329" s="441"/>
      <c r="AA329" s="441"/>
      <c r="AB329" s="441"/>
      <c r="AC329" s="441"/>
      <c r="AD329" s="441"/>
      <c r="AE329" s="441"/>
      <c r="AF329" s="441"/>
      <c r="AG329" s="441"/>
      <c r="AH329" s="441"/>
      <c r="AI329" s="441"/>
      <c r="AJ329" s="441"/>
      <c r="AK329" s="441"/>
      <c r="AL329" s="441"/>
      <c r="AM329" s="441"/>
      <c r="AN329" s="441"/>
      <c r="AO329" s="441"/>
      <c r="AP329" s="448"/>
      <c r="AQ329" s="448"/>
      <c r="AR329" s="448"/>
      <c r="AS329" s="448"/>
      <c r="AT329" s="448"/>
      <c r="AU329" s="448"/>
      <c r="AV329" s="448"/>
      <c r="AW329" s="448"/>
      <c r="AX329" s="448"/>
      <c r="AY329" s="448"/>
      <c r="AZ329" s="448"/>
      <c r="BA329" s="448"/>
      <c r="BB329" s="448"/>
      <c r="BC329" s="448"/>
      <c r="BD329" s="448"/>
    </row>
    <row r="330" spans="1:56" ht="12.75" hidden="1" thickBot="1">
      <c r="A330" s="1" t="s">
        <v>1273</v>
      </c>
      <c r="B330" s="2" t="s">
        <v>341</v>
      </c>
      <c r="C330" s="2" t="s">
        <v>1084</v>
      </c>
      <c r="D330" s="8" t="s">
        <v>567</v>
      </c>
      <c r="E330" s="460"/>
      <c r="F330" s="4"/>
      <c r="G330" s="449"/>
      <c r="H330" s="4"/>
      <c r="I330" s="4"/>
      <c r="J330" s="4"/>
      <c r="K330" s="4"/>
      <c r="L330" s="4"/>
      <c r="M330" s="449"/>
      <c r="N330" s="449"/>
      <c r="O330" s="4"/>
      <c r="P330" s="4"/>
      <c r="Q330" s="4"/>
      <c r="R330" s="449"/>
      <c r="S330" s="445">
        <f t="shared" si="28"/>
        <v>0</v>
      </c>
      <c r="T330" s="445">
        <f t="shared" si="29"/>
        <v>0</v>
      </c>
      <c r="U330" s="445">
        <f t="shared" si="30"/>
        <v>0</v>
      </c>
      <c r="W330" s="450"/>
      <c r="X330" s="448"/>
      <c r="Y330" s="441"/>
      <c r="Z330" s="441"/>
      <c r="AA330" s="441"/>
      <c r="AB330" s="441"/>
      <c r="AC330" s="441"/>
      <c r="AD330" s="441"/>
      <c r="AE330" s="441"/>
      <c r="AF330" s="441"/>
      <c r="AG330" s="441"/>
      <c r="AH330" s="441"/>
      <c r="AI330" s="441"/>
      <c r="AJ330" s="441"/>
      <c r="AK330" s="441"/>
      <c r="AL330" s="441"/>
      <c r="AM330" s="441"/>
      <c r="AN330" s="441"/>
      <c r="AO330" s="441"/>
      <c r="AP330" s="448"/>
      <c r="AQ330" s="448"/>
      <c r="AR330" s="448"/>
      <c r="AS330" s="448"/>
      <c r="AT330" s="448"/>
      <c r="AU330" s="448"/>
      <c r="AV330" s="448"/>
      <c r="AW330" s="448"/>
      <c r="AX330" s="448"/>
      <c r="AY330" s="448"/>
      <c r="AZ330" s="448"/>
      <c r="BA330" s="448"/>
      <c r="BB330" s="448"/>
      <c r="BC330" s="448"/>
      <c r="BD330" s="448"/>
    </row>
    <row r="331" spans="1:56" ht="12.75" hidden="1" thickBot="1">
      <c r="A331" s="1" t="s">
        <v>1273</v>
      </c>
      <c r="B331" s="2" t="s">
        <v>317</v>
      </c>
      <c r="C331" s="2" t="s">
        <v>1085</v>
      </c>
      <c r="D331" s="8" t="s">
        <v>567</v>
      </c>
      <c r="E331" s="459"/>
      <c r="F331" s="6"/>
      <c r="G331" s="451"/>
      <c r="H331" s="6"/>
      <c r="I331" s="6"/>
      <c r="J331" s="6"/>
      <c r="K331" s="6"/>
      <c r="L331" s="6"/>
      <c r="M331" s="451"/>
      <c r="N331" s="451"/>
      <c r="O331" s="6"/>
      <c r="P331" s="6"/>
      <c r="Q331" s="451"/>
      <c r="R331" s="451"/>
      <c r="S331" s="445">
        <f t="shared" si="28"/>
        <v>0</v>
      </c>
      <c r="T331" s="445">
        <f t="shared" si="29"/>
        <v>0</v>
      </c>
      <c r="U331" s="445">
        <f t="shared" si="30"/>
        <v>0</v>
      </c>
      <c r="W331" s="450"/>
      <c r="X331" s="448"/>
      <c r="Y331" s="441"/>
      <c r="Z331" s="441"/>
      <c r="AA331" s="441"/>
      <c r="AB331" s="441"/>
      <c r="AC331" s="441"/>
      <c r="AD331" s="441"/>
      <c r="AE331" s="441"/>
      <c r="AF331" s="441"/>
      <c r="AG331" s="441"/>
      <c r="AH331" s="441"/>
      <c r="AI331" s="441"/>
      <c r="AJ331" s="441"/>
      <c r="AK331" s="441"/>
      <c r="AL331" s="441"/>
      <c r="AM331" s="441"/>
      <c r="AN331" s="441"/>
      <c r="AO331" s="441"/>
      <c r="AP331" s="448"/>
      <c r="AQ331" s="448"/>
      <c r="AR331" s="448"/>
      <c r="AS331" s="448"/>
      <c r="AT331" s="448"/>
      <c r="AU331" s="448"/>
      <c r="AV331" s="448"/>
      <c r="AW331" s="448"/>
      <c r="AX331" s="448"/>
      <c r="AY331" s="448"/>
      <c r="AZ331" s="448"/>
      <c r="BA331" s="448"/>
      <c r="BB331" s="448"/>
      <c r="BC331" s="448"/>
      <c r="BD331" s="448"/>
    </row>
    <row r="332" spans="1:56" ht="12.75" hidden="1" thickBot="1">
      <c r="A332" s="1" t="s">
        <v>1273</v>
      </c>
      <c r="B332" s="2" t="s">
        <v>1235</v>
      </c>
      <c r="C332" s="2" t="s">
        <v>1236</v>
      </c>
      <c r="D332" s="8" t="s">
        <v>567</v>
      </c>
      <c r="E332" s="460"/>
      <c r="F332" s="4"/>
      <c r="G332" s="449"/>
      <c r="H332" s="4"/>
      <c r="I332" s="4"/>
      <c r="J332" s="4"/>
      <c r="K332" s="4"/>
      <c r="L332" s="4"/>
      <c r="M332" s="449"/>
      <c r="N332" s="449"/>
      <c r="O332" s="4"/>
      <c r="P332" s="4"/>
      <c r="Q332" s="449"/>
      <c r="R332" s="449"/>
      <c r="S332" s="445">
        <f t="shared" si="28"/>
        <v>0</v>
      </c>
      <c r="T332" s="445">
        <f t="shared" si="29"/>
        <v>0</v>
      </c>
      <c r="U332" s="445">
        <f t="shared" si="30"/>
        <v>0</v>
      </c>
      <c r="W332" s="450"/>
      <c r="X332" s="448"/>
      <c r="Y332" s="441"/>
      <c r="Z332" s="441"/>
      <c r="AA332" s="441"/>
      <c r="AB332" s="441"/>
      <c r="AC332" s="441"/>
      <c r="AD332" s="441"/>
      <c r="AE332" s="441"/>
      <c r="AF332" s="441"/>
      <c r="AG332" s="441"/>
      <c r="AH332" s="441"/>
      <c r="AI332" s="441"/>
      <c r="AJ332" s="441"/>
      <c r="AK332" s="441"/>
      <c r="AL332" s="441"/>
      <c r="AM332" s="441"/>
      <c r="AN332" s="441"/>
      <c r="AO332" s="441"/>
      <c r="AP332" s="448"/>
      <c r="AQ332" s="448"/>
      <c r="AR332" s="448"/>
      <c r="AS332" s="448"/>
      <c r="AT332" s="448"/>
      <c r="AU332" s="448"/>
      <c r="AV332" s="448"/>
      <c r="AW332" s="448"/>
      <c r="AX332" s="448"/>
      <c r="AY332" s="448"/>
      <c r="AZ332" s="448"/>
      <c r="BA332" s="448"/>
      <c r="BB332" s="448"/>
      <c r="BC332" s="448"/>
      <c r="BD332" s="448"/>
    </row>
    <row r="333" spans="1:56" ht="12.75" hidden="1" thickBot="1">
      <c r="A333" s="1" t="s">
        <v>1273</v>
      </c>
      <c r="B333" s="2" t="s">
        <v>318</v>
      </c>
      <c r="C333" s="2" t="s">
        <v>1086</v>
      </c>
      <c r="D333" s="8" t="s">
        <v>567</v>
      </c>
      <c r="E333" s="459"/>
      <c r="F333" s="6"/>
      <c r="G333" s="6"/>
      <c r="H333" s="6"/>
      <c r="I333" s="6"/>
      <c r="J333" s="6"/>
      <c r="K333" s="6"/>
      <c r="L333" s="6"/>
      <c r="M333" s="6"/>
      <c r="N333" s="6"/>
      <c r="O333" s="6"/>
      <c r="P333" s="6"/>
      <c r="Q333" s="6"/>
      <c r="R333" s="6"/>
      <c r="S333" s="445">
        <f t="shared" si="28"/>
        <v>0</v>
      </c>
      <c r="T333" s="445">
        <f t="shared" si="29"/>
        <v>0</v>
      </c>
      <c r="U333" s="445">
        <f t="shared" si="30"/>
        <v>0</v>
      </c>
      <c r="W333" s="450"/>
      <c r="X333" s="448"/>
      <c r="Y333" s="441"/>
      <c r="Z333" s="441"/>
      <c r="AA333" s="441"/>
      <c r="AB333" s="441"/>
      <c r="AC333" s="441"/>
      <c r="AD333" s="441"/>
      <c r="AE333" s="441"/>
      <c r="AF333" s="441"/>
      <c r="AG333" s="441"/>
      <c r="AH333" s="441"/>
      <c r="AI333" s="441"/>
      <c r="AJ333" s="441"/>
      <c r="AK333" s="441"/>
      <c r="AL333" s="441"/>
      <c r="AM333" s="441"/>
      <c r="AN333" s="441"/>
      <c r="AO333" s="441"/>
      <c r="AP333" s="448"/>
      <c r="AQ333" s="448"/>
      <c r="AR333" s="448"/>
      <c r="AS333" s="448"/>
      <c r="AT333" s="448"/>
      <c r="AU333" s="448"/>
      <c r="AV333" s="448"/>
      <c r="AW333" s="448"/>
      <c r="AX333" s="448"/>
      <c r="AY333" s="448"/>
      <c r="AZ333" s="448"/>
      <c r="BA333" s="448"/>
      <c r="BB333" s="448"/>
      <c r="BC333" s="448"/>
      <c r="BD333" s="448"/>
    </row>
    <row r="334" spans="1:56" ht="12.75" hidden="1" thickBot="1">
      <c r="A334" s="1" t="s">
        <v>1273</v>
      </c>
      <c r="B334" s="2" t="s">
        <v>1237</v>
      </c>
      <c r="C334" s="2" t="s">
        <v>1238</v>
      </c>
      <c r="D334" s="8" t="s">
        <v>567</v>
      </c>
      <c r="E334" s="460"/>
      <c r="F334" s="4"/>
      <c r="G334" s="449"/>
      <c r="H334" s="4"/>
      <c r="I334" s="4"/>
      <c r="J334" s="4"/>
      <c r="K334" s="4"/>
      <c r="L334" s="4"/>
      <c r="M334" s="449"/>
      <c r="N334" s="449"/>
      <c r="O334" s="4"/>
      <c r="P334" s="4"/>
      <c r="Q334" s="449"/>
      <c r="R334" s="449"/>
      <c r="S334" s="445">
        <f t="shared" si="28"/>
        <v>0</v>
      </c>
      <c r="T334" s="445">
        <f t="shared" si="29"/>
        <v>0</v>
      </c>
      <c r="U334" s="445">
        <f t="shared" si="30"/>
        <v>0</v>
      </c>
      <c r="W334" s="450"/>
      <c r="X334" s="448"/>
      <c r="Y334" s="441"/>
      <c r="Z334" s="441"/>
      <c r="AA334" s="441"/>
      <c r="AB334" s="441"/>
      <c r="AC334" s="441"/>
      <c r="AD334" s="441"/>
      <c r="AE334" s="441"/>
      <c r="AF334" s="441"/>
      <c r="AG334" s="441"/>
      <c r="AH334" s="441"/>
      <c r="AI334" s="441"/>
      <c r="AJ334" s="441"/>
      <c r="AK334" s="441"/>
      <c r="AL334" s="441"/>
      <c r="AM334" s="441"/>
      <c r="AN334" s="441"/>
      <c r="AO334" s="441"/>
      <c r="AP334" s="448"/>
      <c r="AQ334" s="448"/>
      <c r="AR334" s="448"/>
      <c r="AS334" s="448"/>
      <c r="AT334" s="448"/>
      <c r="AU334" s="448"/>
      <c r="AV334" s="448"/>
      <c r="AW334" s="448"/>
      <c r="AX334" s="448"/>
      <c r="AY334" s="448"/>
      <c r="AZ334" s="448"/>
      <c r="BA334" s="448"/>
      <c r="BB334" s="448"/>
      <c r="BC334" s="448"/>
      <c r="BD334" s="448"/>
    </row>
    <row r="335" spans="1:56" ht="12.75" hidden="1" thickBot="1">
      <c r="A335" s="1" t="s">
        <v>1273</v>
      </c>
      <c r="B335" s="2" t="s">
        <v>319</v>
      </c>
      <c r="C335" s="2" t="s">
        <v>1087</v>
      </c>
      <c r="D335" s="8" t="s">
        <v>567</v>
      </c>
      <c r="E335" s="459"/>
      <c r="F335" s="6"/>
      <c r="G335" s="6"/>
      <c r="H335" s="6"/>
      <c r="I335" s="6"/>
      <c r="J335" s="6"/>
      <c r="K335" s="6"/>
      <c r="L335" s="6"/>
      <c r="M335" s="6"/>
      <c r="N335" s="6"/>
      <c r="O335" s="6"/>
      <c r="P335" s="6"/>
      <c r="Q335" s="6"/>
      <c r="R335" s="6"/>
      <c r="S335" s="445">
        <f t="shared" si="28"/>
        <v>0</v>
      </c>
      <c r="T335" s="445">
        <f t="shared" si="29"/>
        <v>0</v>
      </c>
      <c r="U335" s="445">
        <f t="shared" si="30"/>
        <v>0</v>
      </c>
      <c r="W335" s="450"/>
      <c r="X335" s="448"/>
      <c r="Y335" s="441"/>
      <c r="Z335" s="441"/>
      <c r="AA335" s="441"/>
      <c r="AB335" s="441"/>
      <c r="AC335" s="441"/>
      <c r="AD335" s="441"/>
      <c r="AE335" s="441"/>
      <c r="AF335" s="441"/>
      <c r="AG335" s="441"/>
      <c r="AH335" s="441"/>
      <c r="AI335" s="441"/>
      <c r="AJ335" s="441"/>
      <c r="AK335" s="441"/>
      <c r="AL335" s="441"/>
      <c r="AM335" s="441"/>
      <c r="AN335" s="441"/>
      <c r="AO335" s="441"/>
      <c r="AP335" s="448"/>
      <c r="AQ335" s="448"/>
      <c r="AR335" s="448"/>
      <c r="AS335" s="448"/>
      <c r="AT335" s="448"/>
      <c r="AU335" s="448"/>
      <c r="AV335" s="448"/>
      <c r="AW335" s="448"/>
      <c r="AX335" s="448"/>
      <c r="AY335" s="448"/>
      <c r="AZ335" s="448"/>
      <c r="BA335" s="448"/>
      <c r="BB335" s="448"/>
      <c r="BC335" s="448"/>
      <c r="BD335" s="448"/>
    </row>
    <row r="336" spans="1:56" ht="12.75" hidden="1" thickBot="1">
      <c r="A336" s="1" t="s">
        <v>1273</v>
      </c>
      <c r="B336" s="2" t="s">
        <v>1225</v>
      </c>
      <c r="C336" s="2" t="s">
        <v>1226</v>
      </c>
      <c r="D336" s="8" t="s">
        <v>567</v>
      </c>
      <c r="E336" s="460"/>
      <c r="F336" s="4"/>
      <c r="G336" s="449"/>
      <c r="H336" s="4"/>
      <c r="I336" s="4"/>
      <c r="J336" s="4"/>
      <c r="K336" s="4"/>
      <c r="L336" s="4"/>
      <c r="M336" s="449"/>
      <c r="N336" s="449"/>
      <c r="O336" s="4"/>
      <c r="P336" s="4"/>
      <c r="Q336" s="449"/>
      <c r="R336" s="449"/>
      <c r="S336" s="445">
        <f t="shared" si="28"/>
        <v>0</v>
      </c>
      <c r="T336" s="445">
        <f t="shared" si="29"/>
        <v>0</v>
      </c>
      <c r="U336" s="445">
        <f t="shared" si="30"/>
        <v>0</v>
      </c>
      <c r="W336" s="450"/>
      <c r="X336" s="448"/>
      <c r="Y336" s="441"/>
      <c r="Z336" s="441"/>
      <c r="AA336" s="441"/>
      <c r="AB336" s="441"/>
      <c r="AC336" s="441"/>
      <c r="AD336" s="441"/>
      <c r="AE336" s="441"/>
      <c r="AF336" s="441"/>
      <c r="AG336" s="441"/>
      <c r="AH336" s="441"/>
      <c r="AI336" s="441"/>
      <c r="AJ336" s="441"/>
      <c r="AK336" s="441"/>
      <c r="AL336" s="441"/>
      <c r="AM336" s="441"/>
      <c r="AN336" s="441"/>
      <c r="AO336" s="441"/>
      <c r="AP336" s="448"/>
      <c r="AQ336" s="448"/>
      <c r="AR336" s="448"/>
      <c r="AS336" s="448"/>
      <c r="AT336" s="448"/>
      <c r="AU336" s="448"/>
      <c r="AV336" s="448"/>
      <c r="AW336" s="448"/>
      <c r="AX336" s="448"/>
      <c r="AY336" s="448"/>
      <c r="AZ336" s="448"/>
      <c r="BA336" s="448"/>
      <c r="BB336" s="448"/>
      <c r="BC336" s="448"/>
      <c r="BD336" s="448"/>
    </row>
    <row r="337" spans="1:56" ht="12.75" hidden="1" thickBot="1">
      <c r="A337" s="1" t="s">
        <v>1273</v>
      </c>
      <c r="B337" s="2" t="s">
        <v>320</v>
      </c>
      <c r="C337" s="2" t="s">
        <v>1088</v>
      </c>
      <c r="D337" s="8" t="s">
        <v>567</v>
      </c>
      <c r="E337" s="459"/>
      <c r="F337" s="6"/>
      <c r="G337" s="451"/>
      <c r="H337" s="6"/>
      <c r="I337" s="6"/>
      <c r="J337" s="6"/>
      <c r="K337" s="6"/>
      <c r="L337" s="6"/>
      <c r="M337" s="451"/>
      <c r="N337" s="451"/>
      <c r="O337" s="6"/>
      <c r="P337" s="6"/>
      <c r="Q337" s="451"/>
      <c r="R337" s="451"/>
      <c r="S337" s="445">
        <f t="shared" si="28"/>
        <v>0</v>
      </c>
      <c r="T337" s="445">
        <f t="shared" si="29"/>
        <v>0</v>
      </c>
      <c r="U337" s="445">
        <f t="shared" si="30"/>
        <v>0</v>
      </c>
      <c r="W337" s="450"/>
      <c r="X337" s="448"/>
      <c r="Y337" s="441"/>
      <c r="Z337" s="441"/>
      <c r="AA337" s="441"/>
      <c r="AB337" s="441"/>
      <c r="AC337" s="441"/>
      <c r="AD337" s="441"/>
      <c r="AE337" s="441"/>
      <c r="AF337" s="441"/>
      <c r="AG337" s="441"/>
      <c r="AH337" s="441"/>
      <c r="AI337" s="441"/>
      <c r="AJ337" s="441"/>
      <c r="AK337" s="441"/>
      <c r="AL337" s="441"/>
      <c r="AM337" s="441"/>
      <c r="AN337" s="441"/>
      <c r="AO337" s="441"/>
      <c r="AP337" s="448"/>
      <c r="AQ337" s="448"/>
      <c r="AR337" s="448"/>
      <c r="AS337" s="448"/>
      <c r="AT337" s="448"/>
      <c r="AU337" s="448"/>
      <c r="AV337" s="448"/>
      <c r="AW337" s="448"/>
      <c r="AX337" s="448"/>
      <c r="AY337" s="448"/>
      <c r="AZ337" s="448"/>
      <c r="BA337" s="448"/>
      <c r="BB337" s="448"/>
      <c r="BC337" s="448"/>
      <c r="BD337" s="448"/>
    </row>
    <row r="338" spans="1:56" ht="12.75" hidden="1" thickBot="1">
      <c r="A338" s="1" t="s">
        <v>1273</v>
      </c>
      <c r="B338" s="2" t="s">
        <v>321</v>
      </c>
      <c r="C338" s="2" t="s">
        <v>1089</v>
      </c>
      <c r="D338" s="8" t="s">
        <v>567</v>
      </c>
      <c r="E338" s="460"/>
      <c r="F338" s="4"/>
      <c r="G338" s="4"/>
      <c r="H338" s="4"/>
      <c r="I338" s="4"/>
      <c r="J338" s="4"/>
      <c r="K338" s="4"/>
      <c r="L338" s="4"/>
      <c r="M338" s="4"/>
      <c r="N338" s="4"/>
      <c r="O338" s="4"/>
      <c r="P338" s="4"/>
      <c r="Q338" s="4"/>
      <c r="R338" s="4"/>
      <c r="S338" s="445">
        <f t="shared" si="28"/>
        <v>0</v>
      </c>
      <c r="T338" s="445">
        <f t="shared" si="29"/>
        <v>0</v>
      </c>
      <c r="U338" s="445">
        <f t="shared" si="30"/>
        <v>0</v>
      </c>
      <c r="W338" s="450"/>
      <c r="X338" s="448"/>
      <c r="Y338" s="441"/>
      <c r="Z338" s="441"/>
      <c r="AA338" s="441"/>
      <c r="AB338" s="441"/>
      <c r="AC338" s="441"/>
      <c r="AD338" s="441"/>
      <c r="AE338" s="441"/>
      <c r="AF338" s="441"/>
      <c r="AG338" s="441"/>
      <c r="AH338" s="441"/>
      <c r="AI338" s="441"/>
      <c r="AJ338" s="441"/>
      <c r="AK338" s="441"/>
      <c r="AL338" s="441"/>
      <c r="AM338" s="441"/>
      <c r="AN338" s="441"/>
      <c r="AO338" s="441"/>
      <c r="AP338" s="448"/>
      <c r="AQ338" s="448"/>
      <c r="AR338" s="448"/>
      <c r="AS338" s="448"/>
      <c r="AT338" s="448"/>
      <c r="AU338" s="448"/>
      <c r="AV338" s="448"/>
      <c r="AW338" s="448"/>
      <c r="AX338" s="448"/>
      <c r="AY338" s="448"/>
      <c r="AZ338" s="448"/>
      <c r="BA338" s="448"/>
      <c r="BB338" s="448"/>
      <c r="BC338" s="448"/>
      <c r="BD338" s="448"/>
    </row>
    <row r="339" spans="1:56" ht="12.75" hidden="1" thickBot="1">
      <c r="A339" s="1" t="s">
        <v>1273</v>
      </c>
      <c r="B339" s="2" t="s">
        <v>1227</v>
      </c>
      <c r="C339" s="2" t="s">
        <v>1228</v>
      </c>
      <c r="D339" s="8" t="s">
        <v>567</v>
      </c>
      <c r="E339" s="459"/>
      <c r="F339" s="6"/>
      <c r="G339" s="451"/>
      <c r="H339" s="6"/>
      <c r="I339" s="6"/>
      <c r="J339" s="6"/>
      <c r="K339" s="6"/>
      <c r="L339" s="6"/>
      <c r="M339" s="451"/>
      <c r="N339" s="451"/>
      <c r="O339" s="6"/>
      <c r="P339" s="6"/>
      <c r="Q339" s="451"/>
      <c r="R339" s="451"/>
      <c r="S339" s="445">
        <f t="shared" si="28"/>
        <v>0</v>
      </c>
      <c r="T339" s="445">
        <f t="shared" si="29"/>
        <v>0</v>
      </c>
      <c r="U339" s="445">
        <f t="shared" si="30"/>
        <v>0</v>
      </c>
      <c r="W339" s="450"/>
      <c r="X339" s="448"/>
      <c r="Y339" s="441"/>
      <c r="Z339" s="441"/>
      <c r="AA339" s="441"/>
      <c r="AB339" s="441"/>
      <c r="AC339" s="441"/>
      <c r="AD339" s="441"/>
      <c r="AE339" s="441"/>
      <c r="AF339" s="441"/>
      <c r="AG339" s="441"/>
      <c r="AH339" s="441"/>
      <c r="AI339" s="441"/>
      <c r="AJ339" s="441"/>
      <c r="AK339" s="441"/>
      <c r="AL339" s="441"/>
      <c r="AM339" s="441"/>
      <c r="AN339" s="441"/>
      <c r="AO339" s="441"/>
      <c r="AP339" s="448"/>
      <c r="AQ339" s="448"/>
      <c r="AR339" s="448"/>
      <c r="AS339" s="448"/>
      <c r="AT339" s="448"/>
      <c r="AU339" s="448"/>
      <c r="AV339" s="448"/>
      <c r="AW339" s="448"/>
      <c r="AX339" s="448"/>
      <c r="AY339" s="448"/>
      <c r="AZ339" s="448"/>
      <c r="BA339" s="448"/>
      <c r="BB339" s="448"/>
      <c r="BC339" s="448"/>
      <c r="BD339" s="448"/>
    </row>
    <row r="340" spans="1:56" ht="12.75" hidden="1" thickBot="1">
      <c r="A340" s="1" t="s">
        <v>1273</v>
      </c>
      <c r="B340" s="2" t="s">
        <v>322</v>
      </c>
      <c r="C340" s="2" t="s">
        <v>1090</v>
      </c>
      <c r="D340" s="8" t="s">
        <v>567</v>
      </c>
      <c r="E340" s="460"/>
      <c r="F340" s="4"/>
      <c r="G340" s="449"/>
      <c r="H340" s="4"/>
      <c r="I340" s="4"/>
      <c r="J340" s="4"/>
      <c r="K340" s="4"/>
      <c r="L340" s="4"/>
      <c r="M340" s="449"/>
      <c r="N340" s="449"/>
      <c r="O340" s="4"/>
      <c r="P340" s="4"/>
      <c r="Q340" s="449"/>
      <c r="R340" s="449"/>
      <c r="S340" s="445">
        <f t="shared" si="28"/>
        <v>0</v>
      </c>
      <c r="T340" s="445">
        <f t="shared" si="29"/>
        <v>0</v>
      </c>
      <c r="U340" s="445">
        <f t="shared" si="30"/>
        <v>0</v>
      </c>
      <c r="W340" s="450"/>
      <c r="X340" s="448"/>
      <c r="Y340" s="441"/>
      <c r="Z340" s="441"/>
      <c r="AA340" s="441"/>
      <c r="AB340" s="441"/>
      <c r="AC340" s="441"/>
      <c r="AD340" s="441"/>
      <c r="AE340" s="441"/>
      <c r="AF340" s="441"/>
      <c r="AG340" s="441"/>
      <c r="AH340" s="441"/>
      <c r="AI340" s="441"/>
      <c r="AJ340" s="441"/>
      <c r="AK340" s="441"/>
      <c r="AL340" s="441"/>
      <c r="AM340" s="441"/>
      <c r="AN340" s="441"/>
      <c r="AO340" s="441"/>
      <c r="AP340" s="448"/>
      <c r="AQ340" s="448"/>
      <c r="AR340" s="448"/>
      <c r="AS340" s="448"/>
      <c r="AT340" s="448"/>
      <c r="AU340" s="448"/>
      <c r="AV340" s="448"/>
      <c r="AW340" s="448"/>
      <c r="AX340" s="448"/>
      <c r="AY340" s="448"/>
      <c r="AZ340" s="448"/>
      <c r="BA340" s="448"/>
      <c r="BB340" s="448"/>
      <c r="BC340" s="448"/>
      <c r="BD340" s="448"/>
    </row>
    <row r="341" spans="1:56" ht="12.75" hidden="1" thickBot="1">
      <c r="A341" s="1" t="s">
        <v>1273</v>
      </c>
      <c r="B341" s="2" t="s">
        <v>323</v>
      </c>
      <c r="C341" s="2" t="s">
        <v>1091</v>
      </c>
      <c r="D341" s="453" t="s">
        <v>459</v>
      </c>
      <c r="E341" s="459"/>
      <c r="F341" s="6"/>
      <c r="G341" s="451"/>
      <c r="H341" s="6"/>
      <c r="I341" s="6"/>
      <c r="J341" s="6"/>
      <c r="K341" s="6"/>
      <c r="L341" s="6"/>
      <c r="M341" s="451"/>
      <c r="N341" s="451"/>
      <c r="O341" s="6"/>
      <c r="P341" s="6"/>
      <c r="Q341" s="451"/>
      <c r="R341" s="451"/>
      <c r="S341" s="445">
        <f t="shared" si="28"/>
        <v>0</v>
      </c>
      <c r="T341" s="445">
        <f t="shared" si="29"/>
        <v>0</v>
      </c>
      <c r="U341" s="445">
        <f t="shared" si="30"/>
        <v>0</v>
      </c>
      <c r="W341" s="450"/>
      <c r="X341" s="448"/>
      <c r="Y341" s="441"/>
      <c r="Z341" s="441"/>
      <c r="AA341" s="441"/>
      <c r="AB341" s="441"/>
      <c r="AC341" s="441"/>
      <c r="AD341" s="441"/>
      <c r="AE341" s="441"/>
      <c r="AF341" s="441"/>
      <c r="AG341" s="441"/>
      <c r="AH341" s="441"/>
      <c r="AI341" s="441"/>
      <c r="AJ341" s="441"/>
      <c r="AK341" s="441"/>
      <c r="AL341" s="441"/>
      <c r="AM341" s="441"/>
      <c r="AN341" s="441"/>
      <c r="AO341" s="441"/>
      <c r="AP341" s="448"/>
      <c r="AQ341" s="448"/>
      <c r="AR341" s="448"/>
      <c r="AS341" s="448"/>
      <c r="AT341" s="448"/>
      <c r="AU341" s="448"/>
      <c r="AV341" s="448"/>
      <c r="AW341" s="448"/>
      <c r="AX341" s="448"/>
      <c r="AY341" s="448"/>
      <c r="AZ341" s="448"/>
      <c r="BA341" s="448"/>
      <c r="BB341" s="448"/>
      <c r="BC341" s="448"/>
      <c r="BD341" s="448"/>
    </row>
    <row r="342" spans="1:56" ht="12.75" hidden="1" thickBot="1">
      <c r="A342" s="1" t="s">
        <v>1273</v>
      </c>
      <c r="B342" s="2" t="s">
        <v>328</v>
      </c>
      <c r="C342" s="2" t="s">
        <v>1092</v>
      </c>
      <c r="D342" s="8" t="s">
        <v>567</v>
      </c>
      <c r="E342" s="460"/>
      <c r="F342" s="4"/>
      <c r="G342" s="449"/>
      <c r="H342" s="4"/>
      <c r="I342" s="4"/>
      <c r="J342" s="4"/>
      <c r="K342" s="4"/>
      <c r="L342" s="4"/>
      <c r="M342" s="449"/>
      <c r="N342" s="449"/>
      <c r="O342" s="4"/>
      <c r="P342" s="4"/>
      <c r="Q342" s="449"/>
      <c r="R342" s="449"/>
      <c r="S342" s="445">
        <f t="shared" si="28"/>
        <v>0</v>
      </c>
      <c r="T342" s="445">
        <f t="shared" si="29"/>
        <v>0</v>
      </c>
      <c r="U342" s="445">
        <f t="shared" si="30"/>
        <v>0</v>
      </c>
      <c r="W342" s="450"/>
      <c r="X342" s="448"/>
      <c r="Y342" s="441"/>
      <c r="Z342" s="441"/>
      <c r="AA342" s="441"/>
      <c r="AB342" s="441"/>
      <c r="AC342" s="441"/>
      <c r="AD342" s="441"/>
      <c r="AE342" s="441"/>
      <c r="AF342" s="441"/>
      <c r="AG342" s="441"/>
      <c r="AH342" s="441"/>
      <c r="AI342" s="441"/>
      <c r="AJ342" s="441"/>
      <c r="AK342" s="441"/>
      <c r="AL342" s="441"/>
      <c r="AM342" s="441"/>
      <c r="AN342" s="441"/>
      <c r="AO342" s="441"/>
      <c r="AP342" s="448"/>
      <c r="AQ342" s="448"/>
      <c r="AR342" s="448"/>
      <c r="AS342" s="448"/>
      <c r="AT342" s="448"/>
      <c r="AU342" s="448"/>
      <c r="AV342" s="448"/>
      <c r="AW342" s="448"/>
      <c r="AX342" s="448"/>
      <c r="AY342" s="448"/>
      <c r="AZ342" s="448"/>
      <c r="BA342" s="448"/>
      <c r="BB342" s="448"/>
      <c r="BC342" s="448"/>
      <c r="BD342" s="448"/>
    </row>
    <row r="343" spans="1:56" ht="12.75" hidden="1" thickBot="1">
      <c r="A343" s="1" t="s">
        <v>1273</v>
      </c>
      <c r="B343" s="2" t="s">
        <v>329</v>
      </c>
      <c r="C343" s="2" t="s">
        <v>1093</v>
      </c>
      <c r="D343" s="453" t="s">
        <v>459</v>
      </c>
      <c r="E343" s="459"/>
      <c r="F343" s="6"/>
      <c r="G343" s="451"/>
      <c r="H343" s="6"/>
      <c r="I343" s="6"/>
      <c r="J343" s="6"/>
      <c r="K343" s="6"/>
      <c r="L343" s="6"/>
      <c r="M343" s="451"/>
      <c r="N343" s="451"/>
      <c r="O343" s="6"/>
      <c r="P343" s="6"/>
      <c r="Q343" s="451"/>
      <c r="R343" s="451"/>
      <c r="S343" s="445">
        <f t="shared" si="28"/>
        <v>0</v>
      </c>
      <c r="T343" s="445">
        <f t="shared" si="29"/>
        <v>0</v>
      </c>
      <c r="U343" s="445">
        <f t="shared" si="30"/>
        <v>0</v>
      </c>
      <c r="W343" s="450"/>
      <c r="X343" s="448"/>
      <c r="Y343" s="441"/>
      <c r="Z343" s="441"/>
      <c r="AA343" s="441"/>
      <c r="AB343" s="441"/>
      <c r="AC343" s="441"/>
      <c r="AD343" s="441"/>
      <c r="AE343" s="441"/>
      <c r="AF343" s="441"/>
      <c r="AG343" s="441"/>
      <c r="AH343" s="441"/>
      <c r="AI343" s="441"/>
      <c r="AJ343" s="441"/>
      <c r="AK343" s="441"/>
      <c r="AL343" s="441"/>
      <c r="AM343" s="441"/>
      <c r="AN343" s="441"/>
      <c r="AO343" s="441"/>
      <c r="AP343" s="448"/>
      <c r="AQ343" s="448"/>
      <c r="AR343" s="448"/>
      <c r="AS343" s="448"/>
      <c r="AT343" s="448"/>
      <c r="AU343" s="448"/>
      <c r="AV343" s="448"/>
      <c r="AW343" s="448"/>
      <c r="AX343" s="448"/>
      <c r="AY343" s="448"/>
      <c r="AZ343" s="448"/>
      <c r="BA343" s="448"/>
      <c r="BB343" s="448"/>
      <c r="BC343" s="448"/>
      <c r="BD343" s="448"/>
    </row>
    <row r="344" spans="1:56" ht="12.75" hidden="1" thickBot="1">
      <c r="A344" s="1" t="s">
        <v>1273</v>
      </c>
      <c r="B344" s="2" t="s">
        <v>330</v>
      </c>
      <c r="C344" s="2" t="s">
        <v>1094</v>
      </c>
      <c r="D344" s="8" t="s">
        <v>567</v>
      </c>
      <c r="E344" s="460"/>
      <c r="F344" s="4"/>
      <c r="G344" s="449"/>
      <c r="H344" s="4"/>
      <c r="I344" s="4"/>
      <c r="J344" s="4"/>
      <c r="K344" s="4"/>
      <c r="L344" s="4"/>
      <c r="M344" s="449"/>
      <c r="N344" s="449"/>
      <c r="O344" s="4"/>
      <c r="P344" s="4"/>
      <c r="Q344" s="449"/>
      <c r="R344" s="449"/>
      <c r="S344" s="445">
        <f t="shared" si="28"/>
        <v>0</v>
      </c>
      <c r="T344" s="445">
        <f t="shared" si="29"/>
        <v>0</v>
      </c>
      <c r="U344" s="445">
        <f t="shared" si="30"/>
        <v>0</v>
      </c>
      <c r="W344" s="450"/>
      <c r="X344" s="448"/>
      <c r="Y344" s="441"/>
      <c r="Z344" s="441"/>
      <c r="AA344" s="441"/>
      <c r="AB344" s="441"/>
      <c r="AC344" s="441"/>
      <c r="AD344" s="441"/>
      <c r="AE344" s="441"/>
      <c r="AF344" s="441"/>
      <c r="AG344" s="441"/>
      <c r="AH344" s="441"/>
      <c r="AI344" s="441"/>
      <c r="AJ344" s="441"/>
      <c r="AK344" s="441"/>
      <c r="AL344" s="441"/>
      <c r="AM344" s="441"/>
      <c r="AN344" s="441"/>
      <c r="AO344" s="441"/>
      <c r="AP344" s="448"/>
      <c r="AQ344" s="448"/>
      <c r="AR344" s="448"/>
      <c r="AS344" s="448"/>
      <c r="AT344" s="448"/>
      <c r="AU344" s="448"/>
      <c r="AV344" s="448"/>
      <c r="AW344" s="448"/>
      <c r="AX344" s="448"/>
      <c r="AY344" s="448"/>
      <c r="AZ344" s="448"/>
      <c r="BA344" s="448"/>
      <c r="BB344" s="448"/>
      <c r="BC344" s="448"/>
      <c r="BD344" s="448"/>
    </row>
    <row r="345" spans="1:56" ht="12.75" hidden="1" thickBot="1">
      <c r="A345" s="1" t="s">
        <v>1273</v>
      </c>
      <c r="B345" s="2" t="s">
        <v>331</v>
      </c>
      <c r="C345" s="2" t="s">
        <v>1095</v>
      </c>
      <c r="D345" s="453" t="s">
        <v>459</v>
      </c>
      <c r="E345" s="459"/>
      <c r="F345" s="6"/>
      <c r="G345" s="451"/>
      <c r="H345" s="6"/>
      <c r="I345" s="6"/>
      <c r="J345" s="6"/>
      <c r="K345" s="6"/>
      <c r="L345" s="6"/>
      <c r="M345" s="451"/>
      <c r="N345" s="451"/>
      <c r="O345" s="6"/>
      <c r="P345" s="6"/>
      <c r="Q345" s="451"/>
      <c r="R345" s="451"/>
      <c r="S345" s="445">
        <f t="shared" si="28"/>
        <v>0</v>
      </c>
      <c r="T345" s="445">
        <f t="shared" si="29"/>
        <v>0</v>
      </c>
      <c r="U345" s="445">
        <f t="shared" si="30"/>
        <v>0</v>
      </c>
      <c r="W345" s="450"/>
      <c r="X345" s="448"/>
      <c r="Y345" s="441"/>
      <c r="Z345" s="441"/>
      <c r="AA345" s="441"/>
      <c r="AB345" s="441"/>
      <c r="AC345" s="441"/>
      <c r="AD345" s="441"/>
      <c r="AE345" s="441"/>
      <c r="AF345" s="441"/>
      <c r="AG345" s="441"/>
      <c r="AH345" s="441"/>
      <c r="AI345" s="441"/>
      <c r="AJ345" s="441"/>
      <c r="AK345" s="441"/>
      <c r="AL345" s="441"/>
      <c r="AM345" s="441"/>
      <c r="AN345" s="441"/>
      <c r="AO345" s="441"/>
      <c r="AP345" s="448"/>
      <c r="AQ345" s="448"/>
      <c r="AR345" s="448"/>
      <c r="AS345" s="448"/>
      <c r="AT345" s="448"/>
      <c r="AU345" s="448"/>
      <c r="AV345" s="448"/>
      <c r="AW345" s="448"/>
      <c r="AX345" s="448"/>
      <c r="AY345" s="448"/>
      <c r="AZ345" s="448"/>
      <c r="BA345" s="448"/>
      <c r="BB345" s="448"/>
      <c r="BC345" s="448"/>
      <c r="BD345" s="448"/>
    </row>
    <row r="346" spans="1:56" ht="12.75" hidden="1" thickBot="1">
      <c r="A346" s="1" t="s">
        <v>1273</v>
      </c>
      <c r="B346" s="2" t="s">
        <v>332</v>
      </c>
      <c r="C346" s="2" t="s">
        <v>1096</v>
      </c>
      <c r="D346" s="453" t="s">
        <v>459</v>
      </c>
      <c r="E346" s="460"/>
      <c r="F346" s="4"/>
      <c r="G346" s="449"/>
      <c r="H346" s="4"/>
      <c r="I346" s="4"/>
      <c r="J346" s="4"/>
      <c r="K346" s="4"/>
      <c r="L346" s="4"/>
      <c r="M346" s="449"/>
      <c r="N346" s="449"/>
      <c r="O346" s="4"/>
      <c r="P346" s="4"/>
      <c r="Q346" s="449"/>
      <c r="R346" s="449"/>
      <c r="S346" s="445">
        <f t="shared" si="28"/>
        <v>0</v>
      </c>
      <c r="T346" s="445">
        <f t="shared" si="29"/>
        <v>0</v>
      </c>
      <c r="U346" s="445">
        <f t="shared" si="30"/>
        <v>0</v>
      </c>
      <c r="W346" s="450"/>
      <c r="X346" s="448"/>
      <c r="Y346" s="441"/>
      <c r="Z346" s="441"/>
      <c r="AA346" s="441"/>
      <c r="AB346" s="441"/>
      <c r="AC346" s="441"/>
      <c r="AD346" s="441"/>
      <c r="AE346" s="441"/>
      <c r="AF346" s="441"/>
      <c r="AG346" s="441"/>
      <c r="AH346" s="441"/>
      <c r="AI346" s="441"/>
      <c r="AJ346" s="441"/>
      <c r="AK346" s="441"/>
      <c r="AL346" s="441"/>
      <c r="AM346" s="441"/>
      <c r="AN346" s="441"/>
      <c r="AO346" s="441"/>
      <c r="AP346" s="448"/>
      <c r="AQ346" s="448"/>
      <c r="AR346" s="448"/>
      <c r="AS346" s="448"/>
      <c r="AT346" s="448"/>
      <c r="AU346" s="448"/>
      <c r="AV346" s="448"/>
      <c r="AW346" s="448"/>
      <c r="AX346" s="448"/>
      <c r="AY346" s="448"/>
      <c r="AZ346" s="448"/>
      <c r="BA346" s="448"/>
      <c r="BB346" s="448"/>
      <c r="BC346" s="448"/>
      <c r="BD346" s="448"/>
    </row>
    <row r="347" spans="1:56" ht="12.75" hidden="1" thickBot="1">
      <c r="A347" s="1" t="s">
        <v>1273</v>
      </c>
      <c r="B347" s="2" t="s">
        <v>333</v>
      </c>
      <c r="C347" s="2" t="s">
        <v>1097</v>
      </c>
      <c r="D347" s="8" t="s">
        <v>567</v>
      </c>
      <c r="E347" s="459"/>
      <c r="F347" s="6"/>
      <c r="G347" s="451"/>
      <c r="H347" s="6"/>
      <c r="I347" s="6"/>
      <c r="J347" s="6"/>
      <c r="K347" s="6"/>
      <c r="L347" s="6"/>
      <c r="M347" s="451"/>
      <c r="N347" s="451"/>
      <c r="O347" s="6"/>
      <c r="P347" s="6"/>
      <c r="Q347" s="451"/>
      <c r="R347" s="451"/>
      <c r="S347" s="445">
        <f t="shared" si="28"/>
        <v>0</v>
      </c>
      <c r="T347" s="445">
        <f t="shared" si="29"/>
        <v>0</v>
      </c>
      <c r="U347" s="445">
        <f t="shared" si="30"/>
        <v>0</v>
      </c>
      <c r="W347" s="450"/>
      <c r="X347" s="448"/>
      <c r="Y347" s="441"/>
      <c r="Z347" s="441"/>
      <c r="AA347" s="441"/>
      <c r="AB347" s="441"/>
      <c r="AC347" s="441"/>
      <c r="AD347" s="441"/>
      <c r="AE347" s="441"/>
      <c r="AF347" s="441"/>
      <c r="AG347" s="441"/>
      <c r="AH347" s="441"/>
      <c r="AI347" s="441"/>
      <c r="AJ347" s="441"/>
      <c r="AK347" s="441"/>
      <c r="AL347" s="441"/>
      <c r="AM347" s="441"/>
      <c r="AN347" s="441"/>
      <c r="AO347" s="441"/>
      <c r="AP347" s="448"/>
      <c r="AQ347" s="448"/>
      <c r="AR347" s="448"/>
      <c r="AS347" s="448"/>
      <c r="AT347" s="448"/>
      <c r="AU347" s="448"/>
      <c r="AV347" s="448"/>
      <c r="AW347" s="448"/>
      <c r="AX347" s="448"/>
      <c r="AY347" s="448"/>
      <c r="AZ347" s="448"/>
      <c r="BA347" s="448"/>
      <c r="BB347" s="448"/>
      <c r="BC347" s="448"/>
      <c r="BD347" s="448"/>
    </row>
    <row r="348" spans="1:56" ht="12.75" hidden="1" thickBot="1">
      <c r="A348" s="1" t="s">
        <v>1273</v>
      </c>
      <c r="B348" s="2" t="s">
        <v>334</v>
      </c>
      <c r="C348" s="2" t="s">
        <v>1098</v>
      </c>
      <c r="D348" s="453" t="s">
        <v>459</v>
      </c>
      <c r="E348" s="460"/>
      <c r="F348" s="4"/>
      <c r="G348" s="449"/>
      <c r="H348" s="4"/>
      <c r="I348" s="4"/>
      <c r="J348" s="4"/>
      <c r="K348" s="4"/>
      <c r="L348" s="4"/>
      <c r="M348" s="449"/>
      <c r="N348" s="449"/>
      <c r="O348" s="4"/>
      <c r="P348" s="4"/>
      <c r="Q348" s="449"/>
      <c r="R348" s="449"/>
      <c r="S348" s="445">
        <f t="shared" si="28"/>
        <v>0</v>
      </c>
      <c r="T348" s="445">
        <f t="shared" si="29"/>
        <v>0</v>
      </c>
      <c r="U348" s="445">
        <f t="shared" si="30"/>
        <v>0</v>
      </c>
      <c r="W348" s="450"/>
      <c r="X348" s="448"/>
      <c r="Y348" s="441"/>
      <c r="Z348" s="441"/>
      <c r="AA348" s="441"/>
      <c r="AB348" s="441"/>
      <c r="AC348" s="441"/>
      <c r="AD348" s="441"/>
      <c r="AE348" s="441"/>
      <c r="AF348" s="441"/>
      <c r="AG348" s="441"/>
      <c r="AH348" s="441"/>
      <c r="AI348" s="441"/>
      <c r="AJ348" s="441"/>
      <c r="AK348" s="441"/>
      <c r="AL348" s="441"/>
      <c r="AM348" s="441"/>
      <c r="AN348" s="441"/>
      <c r="AO348" s="441"/>
      <c r="AP348" s="448"/>
      <c r="AQ348" s="448"/>
      <c r="AR348" s="448"/>
      <c r="AS348" s="448"/>
      <c r="AT348" s="448"/>
      <c r="AU348" s="448"/>
      <c r="AV348" s="448"/>
      <c r="AW348" s="448"/>
      <c r="AX348" s="448"/>
      <c r="AY348" s="448"/>
      <c r="AZ348" s="448"/>
      <c r="BA348" s="448"/>
      <c r="BB348" s="448"/>
      <c r="BC348" s="448"/>
      <c r="BD348" s="448"/>
    </row>
    <row r="349" spans="1:56" ht="12.75" hidden="1" thickBot="1">
      <c r="A349" s="1" t="s">
        <v>1273</v>
      </c>
      <c r="B349" s="2" t="s">
        <v>620</v>
      </c>
      <c r="C349" s="2" t="s">
        <v>1099</v>
      </c>
      <c r="D349" s="8" t="s">
        <v>567</v>
      </c>
      <c r="E349" s="459"/>
      <c r="F349" s="6"/>
      <c r="G349" s="451"/>
      <c r="H349" s="6"/>
      <c r="I349" s="6"/>
      <c r="J349" s="6"/>
      <c r="K349" s="6"/>
      <c r="L349" s="6"/>
      <c r="M349" s="451"/>
      <c r="N349" s="451"/>
      <c r="O349" s="6"/>
      <c r="P349" s="6"/>
      <c r="Q349" s="451"/>
      <c r="R349" s="451"/>
      <c r="S349" s="445">
        <f t="shared" si="28"/>
        <v>0</v>
      </c>
      <c r="T349" s="445">
        <f t="shared" si="29"/>
        <v>0</v>
      </c>
      <c r="U349" s="445">
        <f t="shared" si="30"/>
        <v>0</v>
      </c>
      <c r="W349" s="450"/>
      <c r="X349" s="448"/>
      <c r="Y349" s="441"/>
      <c r="Z349" s="441"/>
      <c r="AA349" s="441"/>
      <c r="AB349" s="441"/>
      <c r="AC349" s="441"/>
      <c r="AD349" s="441"/>
      <c r="AE349" s="441"/>
      <c r="AF349" s="441"/>
      <c r="AG349" s="441"/>
      <c r="AH349" s="441"/>
      <c r="AI349" s="441"/>
      <c r="AJ349" s="441"/>
      <c r="AK349" s="441"/>
      <c r="AL349" s="441"/>
      <c r="AM349" s="441"/>
      <c r="AN349" s="441"/>
      <c r="AO349" s="441"/>
      <c r="AP349" s="448"/>
      <c r="AQ349" s="448"/>
      <c r="AR349" s="448"/>
      <c r="AS349" s="448"/>
      <c r="AT349" s="448"/>
      <c r="AU349" s="448"/>
      <c r="AV349" s="448"/>
      <c r="AW349" s="448"/>
      <c r="AX349" s="448"/>
      <c r="AY349" s="448"/>
      <c r="AZ349" s="448"/>
      <c r="BA349" s="448"/>
      <c r="BB349" s="448"/>
      <c r="BC349" s="448"/>
      <c r="BD349" s="448"/>
    </row>
    <row r="350" spans="1:56" ht="12.75" hidden="1" thickBot="1">
      <c r="A350" s="1" t="s">
        <v>1273</v>
      </c>
      <c r="B350" s="2" t="s">
        <v>360</v>
      </c>
      <c r="C350" s="2" t="s">
        <v>1100</v>
      </c>
      <c r="D350" s="8" t="s">
        <v>567</v>
      </c>
      <c r="E350" s="460"/>
      <c r="F350" s="4"/>
      <c r="G350" s="449"/>
      <c r="H350" s="4"/>
      <c r="I350" s="4"/>
      <c r="J350" s="4"/>
      <c r="K350" s="4"/>
      <c r="L350" s="4"/>
      <c r="M350" s="449"/>
      <c r="N350" s="449"/>
      <c r="O350" s="4"/>
      <c r="P350" s="4"/>
      <c r="Q350" s="449"/>
      <c r="R350" s="449"/>
      <c r="S350" s="445">
        <f t="shared" si="28"/>
        <v>0</v>
      </c>
      <c r="T350" s="445">
        <f t="shared" si="29"/>
        <v>0</v>
      </c>
      <c r="U350" s="445">
        <f t="shared" si="30"/>
        <v>0</v>
      </c>
      <c r="W350" s="450"/>
      <c r="X350" s="448"/>
      <c r="Y350" s="441"/>
      <c r="Z350" s="441"/>
      <c r="AA350" s="441"/>
      <c r="AB350" s="441"/>
      <c r="AC350" s="441"/>
      <c r="AD350" s="441"/>
      <c r="AE350" s="441"/>
      <c r="AF350" s="441"/>
      <c r="AG350" s="441"/>
      <c r="AH350" s="441"/>
      <c r="AI350" s="441"/>
      <c r="AJ350" s="441"/>
      <c r="AK350" s="441"/>
      <c r="AL350" s="441"/>
      <c r="AM350" s="441"/>
      <c r="AN350" s="441"/>
      <c r="AO350" s="441"/>
      <c r="AP350" s="448"/>
      <c r="AQ350" s="448"/>
      <c r="AR350" s="448"/>
      <c r="AS350" s="448"/>
      <c r="AT350" s="448"/>
      <c r="AU350" s="448"/>
      <c r="AV350" s="448"/>
      <c r="AW350" s="448"/>
      <c r="AX350" s="448"/>
      <c r="AY350" s="448"/>
      <c r="AZ350" s="448"/>
      <c r="BA350" s="448"/>
      <c r="BB350" s="448"/>
      <c r="BC350" s="448"/>
      <c r="BD350" s="448"/>
    </row>
    <row r="351" spans="1:56" ht="12.75" hidden="1" thickBot="1">
      <c r="A351" s="1" t="s">
        <v>1273</v>
      </c>
      <c r="B351" s="2" t="s">
        <v>335</v>
      </c>
      <c r="C351" s="2" t="s">
        <v>1101</v>
      </c>
      <c r="D351" s="8" t="s">
        <v>567</v>
      </c>
      <c r="E351" s="459"/>
      <c r="F351" s="6"/>
      <c r="G351" s="451"/>
      <c r="H351" s="6"/>
      <c r="I351" s="6"/>
      <c r="J351" s="6"/>
      <c r="K351" s="6"/>
      <c r="L351" s="6"/>
      <c r="M351" s="451"/>
      <c r="N351" s="451"/>
      <c r="O351" s="6"/>
      <c r="P351" s="6"/>
      <c r="Q351" s="451"/>
      <c r="R351" s="451"/>
      <c r="S351" s="445">
        <f t="shared" si="28"/>
        <v>0</v>
      </c>
      <c r="T351" s="445">
        <f t="shared" si="29"/>
        <v>0</v>
      </c>
      <c r="U351" s="445">
        <f t="shared" si="30"/>
        <v>0</v>
      </c>
      <c r="W351" s="450"/>
      <c r="X351" s="448"/>
      <c r="Y351" s="441"/>
      <c r="Z351" s="441"/>
      <c r="AA351" s="441"/>
      <c r="AB351" s="441"/>
      <c r="AC351" s="441"/>
      <c r="AD351" s="441"/>
      <c r="AE351" s="441"/>
      <c r="AF351" s="441"/>
      <c r="AG351" s="441"/>
      <c r="AH351" s="441"/>
      <c r="AI351" s="441"/>
      <c r="AJ351" s="441"/>
      <c r="AK351" s="441"/>
      <c r="AL351" s="441"/>
      <c r="AM351" s="441"/>
      <c r="AN351" s="441"/>
      <c r="AO351" s="441"/>
      <c r="AP351" s="448"/>
      <c r="AQ351" s="448"/>
      <c r="AR351" s="448"/>
      <c r="AS351" s="448"/>
      <c r="AT351" s="448"/>
      <c r="AU351" s="448"/>
      <c r="AV351" s="448"/>
      <c r="AW351" s="448"/>
      <c r="AX351" s="448"/>
      <c r="AY351" s="448"/>
      <c r="AZ351" s="448"/>
      <c r="BA351" s="448"/>
      <c r="BB351" s="448"/>
      <c r="BC351" s="448"/>
      <c r="BD351" s="448"/>
    </row>
    <row r="352" spans="1:56" ht="12.75" hidden="1" thickBot="1">
      <c r="A352" s="1" t="s">
        <v>1273</v>
      </c>
      <c r="B352" s="2" t="s">
        <v>336</v>
      </c>
      <c r="C352" s="2" t="s">
        <v>1102</v>
      </c>
      <c r="D352" s="8" t="s">
        <v>567</v>
      </c>
      <c r="E352" s="460"/>
      <c r="F352" s="4"/>
      <c r="G352" s="449"/>
      <c r="H352" s="4"/>
      <c r="I352" s="4"/>
      <c r="J352" s="4"/>
      <c r="K352" s="4"/>
      <c r="L352" s="4"/>
      <c r="M352" s="449"/>
      <c r="N352" s="449"/>
      <c r="O352" s="4"/>
      <c r="P352" s="4"/>
      <c r="Q352" s="449"/>
      <c r="R352" s="449"/>
      <c r="S352" s="445">
        <f t="shared" si="28"/>
        <v>0</v>
      </c>
      <c r="T352" s="445">
        <f t="shared" si="29"/>
        <v>0</v>
      </c>
      <c r="U352" s="445">
        <f t="shared" si="30"/>
        <v>0</v>
      </c>
      <c r="W352" s="450"/>
      <c r="X352" s="448"/>
      <c r="Y352" s="441"/>
      <c r="Z352" s="441"/>
      <c r="AA352" s="441"/>
      <c r="AB352" s="441"/>
      <c r="AC352" s="441"/>
      <c r="AD352" s="441"/>
      <c r="AE352" s="441"/>
      <c r="AF352" s="441"/>
      <c r="AG352" s="441"/>
      <c r="AH352" s="441"/>
      <c r="AI352" s="441"/>
      <c r="AJ352" s="441"/>
      <c r="AK352" s="441"/>
      <c r="AL352" s="441"/>
      <c r="AM352" s="441"/>
      <c r="AN352" s="441"/>
      <c r="AO352" s="441"/>
      <c r="AP352" s="448"/>
      <c r="AQ352" s="448"/>
      <c r="AR352" s="448"/>
      <c r="AS352" s="448"/>
      <c r="AT352" s="448"/>
      <c r="AU352" s="448"/>
      <c r="AV352" s="448"/>
      <c r="AW352" s="448"/>
      <c r="AX352" s="448"/>
      <c r="AY352" s="448"/>
      <c r="AZ352" s="448"/>
      <c r="BA352" s="448"/>
      <c r="BB352" s="448"/>
      <c r="BC352" s="448"/>
      <c r="BD352" s="448"/>
    </row>
    <row r="353" spans="1:56" ht="12.75" hidden="1" thickBot="1">
      <c r="A353" s="1" t="s">
        <v>1273</v>
      </c>
      <c r="B353" s="2" t="s">
        <v>337</v>
      </c>
      <c r="C353" s="2" t="s">
        <v>1103</v>
      </c>
      <c r="D353" s="8" t="s">
        <v>567</v>
      </c>
      <c r="E353" s="459"/>
      <c r="F353" s="6"/>
      <c r="G353" s="451"/>
      <c r="H353" s="6"/>
      <c r="I353" s="6"/>
      <c r="J353" s="6"/>
      <c r="K353" s="6"/>
      <c r="L353" s="6"/>
      <c r="M353" s="451"/>
      <c r="N353" s="451"/>
      <c r="O353" s="6"/>
      <c r="P353" s="6"/>
      <c r="Q353" s="451"/>
      <c r="R353" s="451"/>
      <c r="S353" s="445">
        <f t="shared" ref="S353:S361" si="31">G353+H353+I353</f>
        <v>0</v>
      </c>
      <c r="T353" s="445">
        <f t="shared" ref="T353:T361" si="32">J353+K353</f>
        <v>0</v>
      </c>
      <c r="U353" s="445">
        <f t="shared" ref="U353:U361" si="33">N353+O353</f>
        <v>0</v>
      </c>
      <c r="W353" s="450"/>
      <c r="X353" s="448"/>
      <c r="Y353" s="441"/>
      <c r="Z353" s="441"/>
      <c r="AA353" s="441"/>
      <c r="AB353" s="441"/>
      <c r="AC353" s="441"/>
      <c r="AD353" s="441"/>
      <c r="AE353" s="441"/>
      <c r="AF353" s="441"/>
      <c r="AG353" s="441"/>
      <c r="AH353" s="441"/>
      <c r="AI353" s="441"/>
      <c r="AJ353" s="441"/>
      <c r="AK353" s="441"/>
      <c r="AL353" s="441"/>
      <c r="AM353" s="441"/>
      <c r="AN353" s="441"/>
      <c r="AO353" s="441"/>
      <c r="AP353" s="448"/>
      <c r="AQ353" s="448"/>
      <c r="AR353" s="448"/>
      <c r="AS353" s="448"/>
      <c r="AT353" s="448"/>
      <c r="AU353" s="448"/>
      <c r="AV353" s="448"/>
      <c r="AW353" s="448"/>
      <c r="AX353" s="448"/>
      <c r="AY353" s="448"/>
      <c r="AZ353" s="448"/>
      <c r="BA353" s="448"/>
      <c r="BB353" s="448"/>
      <c r="BC353" s="448"/>
      <c r="BD353" s="448"/>
    </row>
    <row r="354" spans="1:56" ht="12.75" hidden="1" thickBot="1">
      <c r="A354" s="1" t="s">
        <v>1274</v>
      </c>
      <c r="B354" s="454" t="s">
        <v>7</v>
      </c>
      <c r="C354" s="455"/>
      <c r="D354" s="7"/>
      <c r="E354" s="7"/>
      <c r="F354" s="456"/>
      <c r="G354" s="456"/>
      <c r="H354" s="456"/>
      <c r="I354" s="456"/>
      <c r="J354" s="456"/>
      <c r="K354" s="456"/>
      <c r="L354" s="456"/>
      <c r="M354" s="456"/>
      <c r="N354" s="456"/>
      <c r="O354" s="456"/>
      <c r="P354" s="456"/>
      <c r="Q354" s="456"/>
      <c r="R354" s="456"/>
      <c r="S354" s="445">
        <f t="shared" si="31"/>
        <v>0</v>
      </c>
      <c r="T354" s="445">
        <f t="shared" si="32"/>
        <v>0</v>
      </c>
      <c r="U354" s="445">
        <f t="shared" si="33"/>
        <v>0</v>
      </c>
      <c r="W354" s="450"/>
      <c r="X354" s="448"/>
      <c r="Y354" s="441"/>
      <c r="Z354" s="441"/>
      <c r="AA354" s="441"/>
      <c r="AB354" s="441"/>
      <c r="AC354" s="441"/>
      <c r="AD354" s="441"/>
      <c r="AE354" s="441"/>
      <c r="AF354" s="441"/>
      <c r="AG354" s="441"/>
      <c r="AH354" s="441"/>
      <c r="AI354" s="441"/>
      <c r="AJ354" s="441"/>
      <c r="AK354" s="441"/>
      <c r="AL354" s="441"/>
      <c r="AM354" s="441"/>
      <c r="AN354" s="441"/>
      <c r="AO354" s="441"/>
      <c r="AP354" s="448"/>
      <c r="AQ354" s="448"/>
      <c r="AR354" s="448"/>
      <c r="AS354" s="448"/>
      <c r="AT354" s="448"/>
      <c r="AU354" s="448"/>
      <c r="AV354" s="448"/>
      <c r="AW354" s="448"/>
      <c r="AX354" s="448"/>
      <c r="AY354" s="448"/>
      <c r="AZ354" s="448"/>
      <c r="BA354" s="448"/>
      <c r="BB354" s="448"/>
      <c r="BC354" s="448"/>
      <c r="BD354" s="448"/>
    </row>
    <row r="355" spans="1:56" ht="12.75" hidden="1" thickBot="1">
      <c r="A355" s="1" t="s">
        <v>1274</v>
      </c>
      <c r="B355" s="2" t="s">
        <v>797</v>
      </c>
      <c r="C355" s="2" t="s">
        <v>1031</v>
      </c>
      <c r="D355" s="8" t="s">
        <v>830</v>
      </c>
      <c r="E355" s="457"/>
      <c r="F355" s="4"/>
      <c r="G355" s="4"/>
      <c r="H355" s="4"/>
      <c r="I355" s="4"/>
      <c r="J355" s="4"/>
      <c r="K355" s="4"/>
      <c r="L355" s="4"/>
      <c r="M355" s="4"/>
      <c r="N355" s="4"/>
      <c r="O355" s="4"/>
      <c r="P355" s="4"/>
      <c r="Q355" s="4"/>
      <c r="R355" s="449"/>
      <c r="S355" s="445">
        <f t="shared" si="31"/>
        <v>0</v>
      </c>
      <c r="T355" s="445">
        <f t="shared" si="32"/>
        <v>0</v>
      </c>
      <c r="U355" s="445">
        <f t="shared" si="33"/>
        <v>0</v>
      </c>
      <c r="W355" s="450">
        <f t="shared" ref="W355:W401" si="34">SUM(F355:Q355)</f>
        <v>0</v>
      </c>
      <c r="X355" s="448">
        <f t="shared" ref="X355:X397" si="35">W355-R355</f>
        <v>0</v>
      </c>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8"/>
      <c r="BB355" s="448"/>
      <c r="BC355" s="448"/>
      <c r="BD355" s="448"/>
    </row>
    <row r="356" spans="1:56" ht="12.75" hidden="1" thickBot="1">
      <c r="A356" s="1" t="s">
        <v>1274</v>
      </c>
      <c r="B356" s="2" t="s">
        <v>797</v>
      </c>
      <c r="C356" s="2" t="s">
        <v>798</v>
      </c>
      <c r="D356" s="8" t="s">
        <v>830</v>
      </c>
      <c r="E356" s="458"/>
      <c r="F356" s="6"/>
      <c r="G356" s="6"/>
      <c r="H356" s="6"/>
      <c r="I356" s="6"/>
      <c r="J356" s="6"/>
      <c r="K356" s="6"/>
      <c r="L356" s="6"/>
      <c r="M356" s="6"/>
      <c r="N356" s="6"/>
      <c r="O356" s="6"/>
      <c r="P356" s="6"/>
      <c r="Q356" s="6"/>
      <c r="R356" s="451"/>
      <c r="S356" s="445">
        <f t="shared" si="31"/>
        <v>0</v>
      </c>
      <c r="T356" s="445">
        <f t="shared" si="32"/>
        <v>0</v>
      </c>
      <c r="U356" s="445">
        <f t="shared" si="33"/>
        <v>0</v>
      </c>
      <c r="W356" s="450">
        <f t="shared" si="34"/>
        <v>0</v>
      </c>
      <c r="X356" s="448">
        <f t="shared" si="35"/>
        <v>0</v>
      </c>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8"/>
      <c r="BB356" s="448"/>
      <c r="BC356" s="448"/>
      <c r="BD356" s="448"/>
    </row>
    <row r="357" spans="1:56" ht="12.75" hidden="1" thickBot="1">
      <c r="A357" s="1" t="s">
        <v>1274</v>
      </c>
      <c r="B357" s="2" t="s">
        <v>793</v>
      </c>
      <c r="C357" s="2" t="s">
        <v>1032</v>
      </c>
      <c r="D357" s="8" t="s">
        <v>793</v>
      </c>
      <c r="E357" s="3">
        <f t="shared" ref="E357:R376" si="36">ROUND(SUMIFS(E$1410:E$1613,$A$1410:$A$1613,$A357,$B$1410:$B$1613,$B357),0)</f>
        <v>8078182</v>
      </c>
      <c r="F357" s="452">
        <f t="shared" si="36"/>
        <v>0</v>
      </c>
      <c r="G357" s="452">
        <f t="shared" si="36"/>
        <v>1327575</v>
      </c>
      <c r="H357" s="452">
        <f t="shared" si="36"/>
        <v>220130</v>
      </c>
      <c r="I357" s="452">
        <f t="shared" si="36"/>
        <v>0</v>
      </c>
      <c r="J357" s="452">
        <f t="shared" si="36"/>
        <v>0</v>
      </c>
      <c r="K357" s="452">
        <f t="shared" si="36"/>
        <v>0</v>
      </c>
      <c r="L357" s="452">
        <f t="shared" si="36"/>
        <v>0</v>
      </c>
      <c r="M357" s="452">
        <f t="shared" si="36"/>
        <v>-7038</v>
      </c>
      <c r="N357" s="452">
        <f t="shared" si="36"/>
        <v>89427</v>
      </c>
      <c r="O357" s="452">
        <f t="shared" si="36"/>
        <v>0</v>
      </c>
      <c r="P357" s="452">
        <f t="shared" si="36"/>
        <v>0</v>
      </c>
      <c r="Q357" s="452"/>
      <c r="R357" s="452">
        <f t="shared" si="36"/>
        <v>1630094</v>
      </c>
      <c r="S357" s="445">
        <f t="shared" si="31"/>
        <v>1547705</v>
      </c>
      <c r="T357" s="445">
        <f t="shared" si="32"/>
        <v>0</v>
      </c>
      <c r="U357" s="445">
        <f t="shared" si="33"/>
        <v>89427</v>
      </c>
      <c r="W357" s="450">
        <f t="shared" si="34"/>
        <v>1630094</v>
      </c>
      <c r="X357" s="448">
        <f t="shared" si="35"/>
        <v>0</v>
      </c>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8"/>
      <c r="BB357" s="448"/>
      <c r="BC357" s="448"/>
      <c r="BD357" s="448"/>
    </row>
    <row r="358" spans="1:56" ht="12.75" hidden="1" thickBot="1">
      <c r="A358" s="1" t="s">
        <v>1274</v>
      </c>
      <c r="B358" s="2" t="s">
        <v>1111</v>
      </c>
      <c r="C358" s="2" t="s">
        <v>1199</v>
      </c>
      <c r="D358" s="8" t="s">
        <v>830</v>
      </c>
      <c r="E358" s="3">
        <f t="shared" si="36"/>
        <v>0</v>
      </c>
      <c r="F358" s="452">
        <f t="shared" si="36"/>
        <v>0</v>
      </c>
      <c r="G358" s="452">
        <f t="shared" si="36"/>
        <v>0</v>
      </c>
      <c r="H358" s="452">
        <f t="shared" si="36"/>
        <v>0</v>
      </c>
      <c r="I358" s="452">
        <f t="shared" si="36"/>
        <v>0</v>
      </c>
      <c r="J358" s="452">
        <f t="shared" si="36"/>
        <v>0</v>
      </c>
      <c r="K358" s="452">
        <f t="shared" si="36"/>
        <v>0</v>
      </c>
      <c r="L358" s="452">
        <f t="shared" si="36"/>
        <v>0</v>
      </c>
      <c r="M358" s="452">
        <f t="shared" si="36"/>
        <v>0</v>
      </c>
      <c r="N358" s="452">
        <f t="shared" si="36"/>
        <v>0</v>
      </c>
      <c r="O358" s="452">
        <f t="shared" si="36"/>
        <v>0</v>
      </c>
      <c r="P358" s="452">
        <f t="shared" si="36"/>
        <v>0</v>
      </c>
      <c r="Q358" s="452"/>
      <c r="R358" s="452">
        <f t="shared" si="36"/>
        <v>0</v>
      </c>
      <c r="S358" s="445">
        <f t="shared" si="31"/>
        <v>0</v>
      </c>
      <c r="T358" s="445">
        <f t="shared" si="32"/>
        <v>0</v>
      </c>
      <c r="U358" s="445">
        <f t="shared" si="33"/>
        <v>0</v>
      </c>
      <c r="W358" s="450">
        <f t="shared" si="34"/>
        <v>0</v>
      </c>
      <c r="X358" s="448">
        <f t="shared" si="35"/>
        <v>0</v>
      </c>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8"/>
      <c r="BB358" s="448"/>
      <c r="BC358" s="448"/>
      <c r="BD358" s="448"/>
    </row>
    <row r="359" spans="1:56" ht="12.75" hidden="1" thickBot="1">
      <c r="A359" s="1" t="s">
        <v>1274</v>
      </c>
      <c r="B359" s="2" t="s">
        <v>801</v>
      </c>
      <c r="C359" s="2" t="s">
        <v>1243</v>
      </c>
      <c r="D359" s="8" t="s">
        <v>1205</v>
      </c>
      <c r="E359" s="3">
        <f t="shared" si="36"/>
        <v>0</v>
      </c>
      <c r="F359" s="452">
        <f t="shared" si="36"/>
        <v>0</v>
      </c>
      <c r="G359" s="452">
        <f t="shared" si="36"/>
        <v>0</v>
      </c>
      <c r="H359" s="452">
        <f t="shared" si="36"/>
        <v>0</v>
      </c>
      <c r="I359" s="452">
        <f t="shared" si="36"/>
        <v>0</v>
      </c>
      <c r="J359" s="452">
        <f t="shared" si="36"/>
        <v>0</v>
      </c>
      <c r="K359" s="452">
        <f t="shared" si="36"/>
        <v>0</v>
      </c>
      <c r="L359" s="452">
        <f t="shared" si="36"/>
        <v>0</v>
      </c>
      <c r="M359" s="452">
        <f t="shared" si="36"/>
        <v>0</v>
      </c>
      <c r="N359" s="452">
        <f t="shared" si="36"/>
        <v>0</v>
      </c>
      <c r="O359" s="452">
        <f t="shared" si="36"/>
        <v>0</v>
      </c>
      <c r="P359" s="452">
        <f t="shared" si="36"/>
        <v>0</v>
      </c>
      <c r="Q359" s="452"/>
      <c r="R359" s="452">
        <f t="shared" si="36"/>
        <v>0</v>
      </c>
      <c r="S359" s="445">
        <f t="shared" si="31"/>
        <v>0</v>
      </c>
      <c r="T359" s="445">
        <f t="shared" si="32"/>
        <v>0</v>
      </c>
      <c r="U359" s="445">
        <f t="shared" si="33"/>
        <v>0</v>
      </c>
      <c r="W359" s="450">
        <f t="shared" si="34"/>
        <v>0</v>
      </c>
      <c r="X359" s="448">
        <f t="shared" si="35"/>
        <v>0</v>
      </c>
      <c r="Y359" s="441"/>
      <c r="Z359" s="441"/>
      <c r="AA359" s="441"/>
      <c r="AB359" s="441"/>
      <c r="AC359" s="441"/>
      <c r="AD359" s="441"/>
      <c r="AE359" s="441"/>
      <c r="AF359" s="441"/>
      <c r="AG359" s="441"/>
      <c r="AH359" s="441"/>
      <c r="AI359" s="441"/>
      <c r="AJ359" s="441"/>
      <c r="AK359" s="441"/>
      <c r="AL359" s="441"/>
      <c r="AM359" s="441"/>
      <c r="AN359" s="441"/>
      <c r="AO359" s="441"/>
      <c r="AP359" s="441"/>
      <c r="AQ359" s="441"/>
      <c r="AR359" s="441"/>
      <c r="AS359" s="441"/>
      <c r="AT359" s="441"/>
      <c r="AU359" s="441"/>
      <c r="AV359" s="441"/>
      <c r="AW359" s="441"/>
      <c r="AX359" s="441"/>
      <c r="AY359" s="441"/>
      <c r="AZ359" s="441"/>
      <c r="BA359" s="448"/>
      <c r="BB359" s="448"/>
      <c r="BC359" s="448"/>
      <c r="BD359" s="448"/>
    </row>
    <row r="360" spans="1:56" ht="12.75" hidden="1" thickBot="1">
      <c r="A360" s="1" t="s">
        <v>1274</v>
      </c>
      <c r="B360" s="2" t="s">
        <v>368</v>
      </c>
      <c r="C360" s="2" t="s">
        <v>1200</v>
      </c>
      <c r="D360" s="8" t="s">
        <v>417</v>
      </c>
      <c r="E360" s="3">
        <f t="shared" si="36"/>
        <v>0</v>
      </c>
      <c r="F360" s="452">
        <f t="shared" si="36"/>
        <v>0</v>
      </c>
      <c r="G360" s="452">
        <f t="shared" si="36"/>
        <v>0</v>
      </c>
      <c r="H360" s="452">
        <f t="shared" si="36"/>
        <v>0</v>
      </c>
      <c r="I360" s="452">
        <f t="shared" si="36"/>
        <v>0</v>
      </c>
      <c r="J360" s="452">
        <f t="shared" si="36"/>
        <v>0</v>
      </c>
      <c r="K360" s="452">
        <f t="shared" si="36"/>
        <v>0</v>
      </c>
      <c r="L360" s="452">
        <f t="shared" si="36"/>
        <v>0</v>
      </c>
      <c r="M360" s="452">
        <f t="shared" si="36"/>
        <v>0</v>
      </c>
      <c r="N360" s="452">
        <f t="shared" si="36"/>
        <v>0</v>
      </c>
      <c r="O360" s="452">
        <f t="shared" si="36"/>
        <v>0</v>
      </c>
      <c r="P360" s="452">
        <f t="shared" si="36"/>
        <v>0</v>
      </c>
      <c r="Q360" s="452"/>
      <c r="R360" s="452">
        <f t="shared" si="36"/>
        <v>0</v>
      </c>
      <c r="S360" s="445">
        <f t="shared" si="31"/>
        <v>0</v>
      </c>
      <c r="T360" s="445">
        <f t="shared" si="32"/>
        <v>0</v>
      </c>
      <c r="U360" s="445">
        <f t="shared" si="33"/>
        <v>0</v>
      </c>
      <c r="W360" s="450">
        <f t="shared" si="34"/>
        <v>0</v>
      </c>
      <c r="X360" s="448">
        <f t="shared" si="35"/>
        <v>0</v>
      </c>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8"/>
      <c r="BB360" s="448"/>
      <c r="BC360" s="448"/>
      <c r="BD360" s="448"/>
    </row>
    <row r="361" spans="1:56" ht="12.75" hidden="1" thickBot="1">
      <c r="A361" s="1" t="s">
        <v>1274</v>
      </c>
      <c r="B361" s="2" t="s">
        <v>370</v>
      </c>
      <c r="C361" s="2" t="s">
        <v>118</v>
      </c>
      <c r="D361" s="8" t="s">
        <v>414</v>
      </c>
      <c r="E361" s="3">
        <f t="shared" si="36"/>
        <v>28238912</v>
      </c>
      <c r="F361" s="452">
        <f t="shared" si="36"/>
        <v>565050</v>
      </c>
      <c r="G361" s="452">
        <f t="shared" si="36"/>
        <v>1762673</v>
      </c>
      <c r="H361" s="452">
        <f t="shared" si="36"/>
        <v>769510</v>
      </c>
      <c r="I361" s="452">
        <f t="shared" si="36"/>
        <v>47159</v>
      </c>
      <c r="J361" s="452">
        <f t="shared" si="36"/>
        <v>0</v>
      </c>
      <c r="K361" s="452">
        <f t="shared" si="36"/>
        <v>0</v>
      </c>
      <c r="L361" s="452">
        <f t="shared" si="36"/>
        <v>47394</v>
      </c>
      <c r="M361" s="452">
        <f t="shared" si="36"/>
        <v>-24602</v>
      </c>
      <c r="N361" s="452">
        <f t="shared" si="36"/>
        <v>0</v>
      </c>
      <c r="O361" s="452">
        <f t="shared" si="36"/>
        <v>312609</v>
      </c>
      <c r="P361" s="452">
        <f t="shared" si="36"/>
        <v>0</v>
      </c>
      <c r="Q361" s="452"/>
      <c r="R361" s="452">
        <f t="shared" si="36"/>
        <v>3479793</v>
      </c>
      <c r="S361" s="445">
        <f t="shared" si="31"/>
        <v>2579342</v>
      </c>
      <c r="T361" s="445">
        <f t="shared" si="32"/>
        <v>0</v>
      </c>
      <c r="U361" s="445">
        <f t="shared" si="33"/>
        <v>312609</v>
      </c>
      <c r="W361" s="450">
        <f t="shared" si="34"/>
        <v>3479793</v>
      </c>
      <c r="X361" s="448">
        <f t="shared" si="35"/>
        <v>0</v>
      </c>
      <c r="Y361" s="441"/>
      <c r="Z361" s="441"/>
      <c r="AA361" s="441"/>
      <c r="AB361" s="441"/>
      <c r="AC361" s="441"/>
      <c r="AD361" s="441"/>
      <c r="AE361" s="441"/>
      <c r="AF361" s="441"/>
      <c r="AG361" s="441"/>
      <c r="AH361" s="441"/>
      <c r="AI361" s="441"/>
      <c r="AJ361" s="441"/>
      <c r="AK361" s="441"/>
      <c r="AL361" s="441"/>
      <c r="AM361" s="441"/>
      <c r="AN361" s="441"/>
      <c r="AO361" s="441"/>
      <c r="AP361" s="441"/>
      <c r="AQ361" s="441"/>
      <c r="AR361" s="441"/>
      <c r="AS361" s="441"/>
      <c r="AT361" s="441"/>
      <c r="AU361" s="441"/>
      <c r="AV361" s="441"/>
      <c r="AW361" s="441"/>
      <c r="AX361" s="441"/>
      <c r="AY361" s="441"/>
      <c r="AZ361" s="441"/>
      <c r="BA361" s="448"/>
      <c r="BB361" s="448"/>
      <c r="BC361" s="448"/>
      <c r="BD361" s="448"/>
    </row>
    <row r="362" spans="1:56" ht="12.75" hidden="1" thickBot="1">
      <c r="A362" s="1" t="s">
        <v>1274</v>
      </c>
      <c r="B362" s="2" t="s">
        <v>371</v>
      </c>
      <c r="C362" s="2" t="s">
        <v>1201</v>
      </c>
      <c r="D362" s="8" t="s">
        <v>414</v>
      </c>
      <c r="E362" s="3">
        <f t="shared" si="36"/>
        <v>0</v>
      </c>
      <c r="F362" s="452">
        <f t="shared" si="36"/>
        <v>0</v>
      </c>
      <c r="G362" s="452">
        <f t="shared" si="36"/>
        <v>0</v>
      </c>
      <c r="H362" s="452">
        <f t="shared" si="36"/>
        <v>0</v>
      </c>
      <c r="I362" s="452">
        <f t="shared" si="36"/>
        <v>0</v>
      </c>
      <c r="J362" s="452">
        <f t="shared" si="36"/>
        <v>0</v>
      </c>
      <c r="K362" s="452">
        <f t="shared" si="36"/>
        <v>0</v>
      </c>
      <c r="L362" s="452">
        <f t="shared" si="36"/>
        <v>0</v>
      </c>
      <c r="M362" s="452">
        <f t="shared" si="36"/>
        <v>0</v>
      </c>
      <c r="N362" s="452">
        <f t="shared" si="36"/>
        <v>0</v>
      </c>
      <c r="O362" s="452">
        <f t="shared" si="36"/>
        <v>0</v>
      </c>
      <c r="P362" s="452">
        <f t="shared" si="36"/>
        <v>0</v>
      </c>
      <c r="Q362" s="452"/>
      <c r="R362" s="452">
        <f t="shared" si="36"/>
        <v>0</v>
      </c>
      <c r="S362" s="445">
        <f t="shared" ref="S362:S387" si="37">G362+H362+I362</f>
        <v>0</v>
      </c>
      <c r="T362" s="445">
        <f t="shared" ref="T362:T387" si="38">J362+K362</f>
        <v>0</v>
      </c>
      <c r="U362" s="445">
        <f t="shared" ref="U362:U387" si="39">N362+O362</f>
        <v>0</v>
      </c>
      <c r="W362" s="450">
        <f t="shared" si="34"/>
        <v>0</v>
      </c>
      <c r="X362" s="448">
        <f t="shared" si="35"/>
        <v>0</v>
      </c>
      <c r="Y362" s="441"/>
      <c r="Z362" s="441"/>
      <c r="AA362" s="441"/>
      <c r="AB362" s="441"/>
      <c r="AC362" s="441"/>
      <c r="AD362" s="441"/>
      <c r="AE362" s="441"/>
      <c r="AF362" s="441"/>
      <c r="AG362" s="441"/>
      <c r="AH362" s="441"/>
      <c r="AI362" s="441"/>
      <c r="AJ362" s="441"/>
      <c r="AK362" s="441"/>
      <c r="AL362" s="441"/>
      <c r="AM362" s="441"/>
      <c r="AN362" s="441"/>
      <c r="AO362" s="441"/>
      <c r="AP362" s="441"/>
      <c r="AQ362" s="441"/>
      <c r="AR362" s="441"/>
      <c r="AS362" s="441"/>
      <c r="AT362" s="441"/>
      <c r="AU362" s="441"/>
      <c r="AV362" s="441"/>
      <c r="AW362" s="441"/>
      <c r="AX362" s="441"/>
      <c r="AY362" s="441"/>
      <c r="AZ362" s="441"/>
      <c r="BA362" s="448"/>
      <c r="BB362" s="448"/>
      <c r="BC362" s="448"/>
      <c r="BD362" s="448"/>
    </row>
    <row r="363" spans="1:56" ht="12.75" hidden="1" thickBot="1">
      <c r="A363" s="1" t="s">
        <v>1274</v>
      </c>
      <c r="B363" s="2" t="s">
        <v>372</v>
      </c>
      <c r="C363" s="2" t="s">
        <v>1202</v>
      </c>
      <c r="D363" s="8" t="s">
        <v>416</v>
      </c>
      <c r="E363" s="3">
        <f t="shared" si="36"/>
        <v>0</v>
      </c>
      <c r="F363" s="452">
        <f t="shared" si="36"/>
        <v>0</v>
      </c>
      <c r="G363" s="452">
        <f t="shared" si="36"/>
        <v>0</v>
      </c>
      <c r="H363" s="452">
        <f t="shared" si="36"/>
        <v>0</v>
      </c>
      <c r="I363" s="452">
        <f t="shared" si="36"/>
        <v>0</v>
      </c>
      <c r="J363" s="452">
        <f t="shared" si="36"/>
        <v>0</v>
      </c>
      <c r="K363" s="452">
        <f t="shared" si="36"/>
        <v>0</v>
      </c>
      <c r="L363" s="452">
        <f t="shared" si="36"/>
        <v>0</v>
      </c>
      <c r="M363" s="452">
        <f t="shared" si="36"/>
        <v>0</v>
      </c>
      <c r="N363" s="452">
        <f t="shared" si="36"/>
        <v>0</v>
      </c>
      <c r="O363" s="452">
        <f t="shared" si="36"/>
        <v>0</v>
      </c>
      <c r="P363" s="452">
        <f t="shared" si="36"/>
        <v>0</v>
      </c>
      <c r="Q363" s="452"/>
      <c r="R363" s="452">
        <f t="shared" si="36"/>
        <v>0</v>
      </c>
      <c r="S363" s="445">
        <f t="shared" si="37"/>
        <v>0</v>
      </c>
      <c r="T363" s="445">
        <f t="shared" si="38"/>
        <v>0</v>
      </c>
      <c r="U363" s="445">
        <f t="shared" si="39"/>
        <v>0</v>
      </c>
      <c r="W363" s="450">
        <f t="shared" si="34"/>
        <v>0</v>
      </c>
      <c r="X363" s="448">
        <f t="shared" si="35"/>
        <v>0</v>
      </c>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8"/>
      <c r="BB363" s="448"/>
      <c r="BC363" s="448"/>
      <c r="BD363" s="448"/>
    </row>
    <row r="364" spans="1:56" ht="12.75" hidden="1" thickBot="1">
      <c r="A364" s="1" t="s">
        <v>1274</v>
      </c>
      <c r="B364" s="2" t="s">
        <v>374</v>
      </c>
      <c r="C364" s="2" t="s">
        <v>415</v>
      </c>
      <c r="D364" s="8" t="s">
        <v>414</v>
      </c>
      <c r="E364" s="3">
        <f t="shared" si="36"/>
        <v>0</v>
      </c>
      <c r="F364" s="452">
        <f t="shared" si="36"/>
        <v>0</v>
      </c>
      <c r="G364" s="452">
        <f t="shared" si="36"/>
        <v>0</v>
      </c>
      <c r="H364" s="452">
        <f t="shared" si="36"/>
        <v>0</v>
      </c>
      <c r="I364" s="452">
        <f t="shared" si="36"/>
        <v>0</v>
      </c>
      <c r="J364" s="452">
        <f t="shared" si="36"/>
        <v>0</v>
      </c>
      <c r="K364" s="452">
        <f t="shared" si="36"/>
        <v>0</v>
      </c>
      <c r="L364" s="452">
        <f t="shared" si="36"/>
        <v>0</v>
      </c>
      <c r="M364" s="452">
        <f t="shared" si="36"/>
        <v>0</v>
      </c>
      <c r="N364" s="452">
        <f t="shared" si="36"/>
        <v>0</v>
      </c>
      <c r="O364" s="452">
        <f t="shared" si="36"/>
        <v>0</v>
      </c>
      <c r="P364" s="452">
        <f t="shared" si="36"/>
        <v>0</v>
      </c>
      <c r="Q364" s="452"/>
      <c r="R364" s="452">
        <f t="shared" si="36"/>
        <v>0</v>
      </c>
      <c r="S364" s="445">
        <f t="shared" si="37"/>
        <v>0</v>
      </c>
      <c r="T364" s="445">
        <f t="shared" si="38"/>
        <v>0</v>
      </c>
      <c r="U364" s="445">
        <f t="shared" si="39"/>
        <v>0</v>
      </c>
      <c r="W364" s="450">
        <f t="shared" si="34"/>
        <v>0</v>
      </c>
      <c r="X364" s="448">
        <f t="shared" si="35"/>
        <v>0</v>
      </c>
      <c r="Y364" s="441"/>
      <c r="Z364" s="441"/>
      <c r="AA364" s="441"/>
      <c r="AB364" s="441"/>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8"/>
      <c r="BB364" s="448"/>
      <c r="BC364" s="448"/>
      <c r="BD364" s="448"/>
    </row>
    <row r="365" spans="1:56" ht="12.75" hidden="1" thickBot="1">
      <c r="A365" s="1" t="s">
        <v>1274</v>
      </c>
      <c r="B365" s="2" t="s">
        <v>375</v>
      </c>
      <c r="C365" s="2" t="s">
        <v>406</v>
      </c>
      <c r="D365" s="8" t="s">
        <v>20</v>
      </c>
      <c r="E365" s="3">
        <f t="shared" si="36"/>
        <v>127586690</v>
      </c>
      <c r="F365" s="452">
        <f t="shared" si="36"/>
        <v>232650</v>
      </c>
      <c r="G365" s="452">
        <f t="shared" si="36"/>
        <v>1703282</v>
      </c>
      <c r="H365" s="452">
        <f t="shared" si="36"/>
        <v>3476737</v>
      </c>
      <c r="I365" s="452">
        <f t="shared" si="36"/>
        <v>0</v>
      </c>
      <c r="J365" s="452">
        <f t="shared" si="36"/>
        <v>157387</v>
      </c>
      <c r="K365" s="452">
        <f t="shared" si="36"/>
        <v>4436354</v>
      </c>
      <c r="L365" s="452">
        <f t="shared" si="36"/>
        <v>214131</v>
      </c>
      <c r="M365" s="452">
        <f t="shared" si="36"/>
        <v>-111155</v>
      </c>
      <c r="N365" s="452">
        <f t="shared" si="36"/>
        <v>0</v>
      </c>
      <c r="O365" s="452">
        <f t="shared" si="36"/>
        <v>1412403</v>
      </c>
      <c r="P365" s="452">
        <f t="shared" si="36"/>
        <v>0</v>
      </c>
      <c r="Q365" s="452"/>
      <c r="R365" s="452">
        <f t="shared" si="36"/>
        <v>11521789</v>
      </c>
      <c r="S365" s="445">
        <f t="shared" si="37"/>
        <v>5180019</v>
      </c>
      <c r="T365" s="445">
        <f t="shared" si="38"/>
        <v>4593741</v>
      </c>
      <c r="U365" s="445">
        <f t="shared" si="39"/>
        <v>1412403</v>
      </c>
      <c r="W365" s="450">
        <f t="shared" si="34"/>
        <v>11521789</v>
      </c>
      <c r="X365" s="448">
        <f t="shared" si="35"/>
        <v>0</v>
      </c>
      <c r="Y365" s="441"/>
      <c r="Z365" s="441"/>
      <c r="AA365" s="441"/>
      <c r="AB365" s="441"/>
      <c r="AC365" s="441"/>
      <c r="AD365" s="441"/>
      <c r="AE365" s="441"/>
      <c r="AF365" s="441"/>
      <c r="AG365" s="441"/>
      <c r="AH365" s="441"/>
      <c r="AI365" s="441"/>
      <c r="AJ365" s="441"/>
      <c r="AK365" s="441"/>
      <c r="AL365" s="441"/>
      <c r="AM365" s="441"/>
      <c r="AN365" s="441"/>
      <c r="AO365" s="441"/>
      <c r="AP365" s="441"/>
      <c r="AQ365" s="441"/>
      <c r="AR365" s="441"/>
      <c r="AS365" s="441"/>
      <c r="AT365" s="441"/>
      <c r="AU365" s="441"/>
      <c r="AV365" s="441"/>
      <c r="AW365" s="441"/>
      <c r="AX365" s="441"/>
      <c r="AY365" s="441"/>
      <c r="AZ365" s="441"/>
      <c r="BA365" s="448"/>
      <c r="BB365" s="448"/>
      <c r="BC365" s="448"/>
      <c r="BD365" s="448"/>
    </row>
    <row r="366" spans="1:56" ht="12.75" hidden="1" thickBot="1">
      <c r="A366" s="1" t="s">
        <v>1274</v>
      </c>
      <c r="B366" s="2" t="s">
        <v>376</v>
      </c>
      <c r="C366" s="2" t="s">
        <v>404</v>
      </c>
      <c r="D366" s="8" t="s">
        <v>21</v>
      </c>
      <c r="E366" s="3">
        <f t="shared" si="36"/>
        <v>11224431</v>
      </c>
      <c r="F366" s="452">
        <f t="shared" si="36"/>
        <v>8840</v>
      </c>
      <c r="G366" s="452">
        <f t="shared" si="36"/>
        <v>134805</v>
      </c>
      <c r="H366" s="452">
        <f t="shared" si="36"/>
        <v>305866</v>
      </c>
      <c r="I366" s="452">
        <f t="shared" si="36"/>
        <v>0</v>
      </c>
      <c r="J366" s="452">
        <f t="shared" si="36"/>
        <v>13546</v>
      </c>
      <c r="K366" s="452">
        <f t="shared" si="36"/>
        <v>315518</v>
      </c>
      <c r="L366" s="452">
        <f t="shared" si="36"/>
        <v>18838</v>
      </c>
      <c r="M366" s="452">
        <f t="shared" si="36"/>
        <v>-9779</v>
      </c>
      <c r="N366" s="452">
        <f t="shared" si="36"/>
        <v>0</v>
      </c>
      <c r="O366" s="452">
        <f t="shared" si="36"/>
        <v>124256</v>
      </c>
      <c r="P366" s="452">
        <f t="shared" si="36"/>
        <v>0</v>
      </c>
      <c r="Q366" s="452"/>
      <c r="R366" s="452">
        <f t="shared" si="36"/>
        <v>911891</v>
      </c>
      <c r="S366" s="445">
        <f t="shared" si="37"/>
        <v>440671</v>
      </c>
      <c r="T366" s="445">
        <f t="shared" si="38"/>
        <v>329064</v>
      </c>
      <c r="U366" s="445">
        <f t="shared" si="39"/>
        <v>124256</v>
      </c>
      <c r="W366" s="450">
        <f t="shared" si="34"/>
        <v>911890</v>
      </c>
      <c r="X366" s="448">
        <f t="shared" si="35"/>
        <v>-1</v>
      </c>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8"/>
      <c r="BB366" s="448"/>
      <c r="BC366" s="448"/>
      <c r="BD366" s="448"/>
    </row>
    <row r="367" spans="1:56" ht="12.75" hidden="1" thickBot="1">
      <c r="A367" s="1" t="s">
        <v>1274</v>
      </c>
      <c r="B367" s="2" t="s">
        <v>377</v>
      </c>
      <c r="C367" s="2" t="s">
        <v>407</v>
      </c>
      <c r="D367" s="8" t="s">
        <v>20</v>
      </c>
      <c r="E367" s="3">
        <f t="shared" si="36"/>
        <v>0</v>
      </c>
      <c r="F367" s="452">
        <f t="shared" si="36"/>
        <v>0</v>
      </c>
      <c r="G367" s="452">
        <f t="shared" si="36"/>
        <v>0</v>
      </c>
      <c r="H367" s="452">
        <f t="shared" si="36"/>
        <v>0</v>
      </c>
      <c r="I367" s="452">
        <f t="shared" si="36"/>
        <v>0</v>
      </c>
      <c r="J367" s="452">
        <f t="shared" si="36"/>
        <v>0</v>
      </c>
      <c r="K367" s="452">
        <f t="shared" si="36"/>
        <v>0</v>
      </c>
      <c r="L367" s="452">
        <f t="shared" si="36"/>
        <v>0</v>
      </c>
      <c r="M367" s="452">
        <f t="shared" si="36"/>
        <v>0</v>
      </c>
      <c r="N367" s="452">
        <f t="shared" si="36"/>
        <v>0</v>
      </c>
      <c r="O367" s="452">
        <f t="shared" si="36"/>
        <v>0</v>
      </c>
      <c r="P367" s="452">
        <f t="shared" si="36"/>
        <v>0</v>
      </c>
      <c r="Q367" s="452"/>
      <c r="R367" s="452">
        <f t="shared" si="36"/>
        <v>0</v>
      </c>
      <c r="S367" s="445">
        <f t="shared" si="37"/>
        <v>0</v>
      </c>
      <c r="T367" s="445">
        <f t="shared" si="38"/>
        <v>0</v>
      </c>
      <c r="U367" s="445">
        <f t="shared" si="39"/>
        <v>0</v>
      </c>
      <c r="W367" s="450">
        <f t="shared" si="34"/>
        <v>0</v>
      </c>
      <c r="X367" s="448">
        <f t="shared" si="35"/>
        <v>0</v>
      </c>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8"/>
      <c r="BB367" s="448"/>
      <c r="BC367" s="448"/>
      <c r="BD367" s="448"/>
    </row>
    <row r="368" spans="1:56" ht="12.75" hidden="1" thickBot="1">
      <c r="A368" s="1" t="s">
        <v>1274</v>
      </c>
      <c r="B368" s="2" t="s">
        <v>378</v>
      </c>
      <c r="C368" s="2" t="s">
        <v>1033</v>
      </c>
      <c r="D368" s="8" t="s">
        <v>1006</v>
      </c>
      <c r="E368" s="3">
        <f t="shared" si="36"/>
        <v>56529299</v>
      </c>
      <c r="F368" s="452">
        <f t="shared" si="36"/>
        <v>45000</v>
      </c>
      <c r="G368" s="452">
        <f t="shared" si="36"/>
        <v>715096</v>
      </c>
      <c r="H368" s="452">
        <f t="shared" si="36"/>
        <v>1540423</v>
      </c>
      <c r="I368" s="452">
        <f t="shared" si="36"/>
        <v>0</v>
      </c>
      <c r="J368" s="452">
        <f t="shared" si="36"/>
        <v>62591</v>
      </c>
      <c r="K368" s="452">
        <f t="shared" si="36"/>
        <v>1830549</v>
      </c>
      <c r="L368" s="452">
        <f t="shared" si="36"/>
        <v>94874</v>
      </c>
      <c r="M368" s="452">
        <f t="shared" si="36"/>
        <v>-49249</v>
      </c>
      <c r="N368" s="452">
        <f t="shared" si="36"/>
        <v>0</v>
      </c>
      <c r="O368" s="452">
        <f t="shared" si="36"/>
        <v>625787</v>
      </c>
      <c r="P368" s="452">
        <f t="shared" si="36"/>
        <v>0</v>
      </c>
      <c r="Q368" s="452"/>
      <c r="R368" s="452">
        <f t="shared" si="36"/>
        <v>4865072</v>
      </c>
      <c r="S368" s="445">
        <f t="shared" si="37"/>
        <v>2255519</v>
      </c>
      <c r="T368" s="445">
        <f t="shared" si="38"/>
        <v>1893140</v>
      </c>
      <c r="U368" s="445">
        <f t="shared" si="39"/>
        <v>625787</v>
      </c>
      <c r="W368" s="450">
        <f t="shared" si="34"/>
        <v>4865071</v>
      </c>
      <c r="X368" s="448">
        <f t="shared" si="35"/>
        <v>-1</v>
      </c>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8"/>
      <c r="BB368" s="448"/>
      <c r="BC368" s="448"/>
      <c r="BD368" s="448"/>
    </row>
    <row r="369" spans="1:56" ht="12.75" hidden="1" thickBot="1">
      <c r="A369" s="1" t="s">
        <v>1274</v>
      </c>
      <c r="B369" s="2" t="s">
        <v>379</v>
      </c>
      <c r="C369" s="2" t="s">
        <v>408</v>
      </c>
      <c r="D369" s="8" t="s">
        <v>409</v>
      </c>
      <c r="E369" s="3">
        <f t="shared" si="36"/>
        <v>28136006</v>
      </c>
      <c r="F369" s="452">
        <f t="shared" si="36"/>
        <v>12300</v>
      </c>
      <c r="G369" s="452">
        <f t="shared" si="36"/>
        <v>305276</v>
      </c>
      <c r="H369" s="452">
        <f t="shared" si="36"/>
        <v>766706</v>
      </c>
      <c r="I369" s="452">
        <f t="shared" si="36"/>
        <v>0</v>
      </c>
      <c r="J369" s="452">
        <f t="shared" si="36"/>
        <v>27420</v>
      </c>
      <c r="K369" s="452">
        <f t="shared" si="36"/>
        <v>876633</v>
      </c>
      <c r="L369" s="452">
        <f t="shared" si="36"/>
        <v>47221</v>
      </c>
      <c r="M369" s="452">
        <f t="shared" si="36"/>
        <v>-24512</v>
      </c>
      <c r="N369" s="452">
        <f t="shared" si="36"/>
        <v>0</v>
      </c>
      <c r="O369" s="452">
        <f t="shared" si="36"/>
        <v>311470</v>
      </c>
      <c r="P369" s="452">
        <f t="shared" si="36"/>
        <v>0</v>
      </c>
      <c r="Q369" s="452"/>
      <c r="R369" s="452">
        <f t="shared" si="36"/>
        <v>2322513</v>
      </c>
      <c r="S369" s="445">
        <f t="shared" si="37"/>
        <v>1071982</v>
      </c>
      <c r="T369" s="445">
        <f t="shared" si="38"/>
        <v>904053</v>
      </c>
      <c r="U369" s="445">
        <f t="shared" si="39"/>
        <v>311470</v>
      </c>
      <c r="W369" s="450">
        <f t="shared" si="34"/>
        <v>2322514</v>
      </c>
      <c r="X369" s="448">
        <f t="shared" si="35"/>
        <v>1</v>
      </c>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8"/>
      <c r="BB369" s="448"/>
      <c r="BC369" s="448"/>
      <c r="BD369" s="448"/>
    </row>
    <row r="370" spans="1:56" ht="12.75" hidden="1" thickBot="1">
      <c r="A370" s="1" t="s">
        <v>1274</v>
      </c>
      <c r="B370" s="2" t="s">
        <v>381</v>
      </c>
      <c r="C370" s="2" t="s">
        <v>59</v>
      </c>
      <c r="D370" s="8" t="s">
        <v>14</v>
      </c>
      <c r="E370" s="3">
        <f t="shared" si="36"/>
        <v>71967151</v>
      </c>
      <c r="F370" s="452">
        <f t="shared" si="36"/>
        <v>574157</v>
      </c>
      <c r="G370" s="452">
        <f t="shared" si="36"/>
        <v>4492190</v>
      </c>
      <c r="H370" s="452">
        <f t="shared" si="36"/>
        <v>1961105</v>
      </c>
      <c r="I370" s="452">
        <f t="shared" si="36"/>
        <v>120185</v>
      </c>
      <c r="J370" s="452">
        <f t="shared" si="36"/>
        <v>0</v>
      </c>
      <c r="K370" s="452">
        <f t="shared" si="36"/>
        <v>0</v>
      </c>
      <c r="L370" s="452">
        <f t="shared" si="36"/>
        <v>120784</v>
      </c>
      <c r="M370" s="452">
        <f t="shared" si="36"/>
        <v>-62699</v>
      </c>
      <c r="N370" s="452">
        <f t="shared" si="36"/>
        <v>0</v>
      </c>
      <c r="O370" s="452">
        <f t="shared" si="36"/>
        <v>796686</v>
      </c>
      <c r="P370" s="452">
        <f t="shared" si="36"/>
        <v>0</v>
      </c>
      <c r="Q370" s="452"/>
      <c r="R370" s="452">
        <f t="shared" si="36"/>
        <v>8002408</v>
      </c>
      <c r="S370" s="445">
        <f t="shared" si="37"/>
        <v>6573480</v>
      </c>
      <c r="T370" s="445">
        <f t="shared" si="38"/>
        <v>0</v>
      </c>
      <c r="U370" s="445">
        <f t="shared" si="39"/>
        <v>796686</v>
      </c>
      <c r="W370" s="450">
        <f t="shared" si="34"/>
        <v>8002408</v>
      </c>
      <c r="X370" s="448">
        <f t="shared" si="35"/>
        <v>0</v>
      </c>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8"/>
      <c r="BB370" s="448"/>
      <c r="BC370" s="448"/>
      <c r="BD370" s="448"/>
    </row>
    <row r="371" spans="1:56" ht="12.75" hidden="1" thickBot="1">
      <c r="A371" s="1" t="s">
        <v>1274</v>
      </c>
      <c r="B371" s="2" t="s">
        <v>382</v>
      </c>
      <c r="C371" s="2" t="s">
        <v>1244</v>
      </c>
      <c r="D371" s="8" t="s">
        <v>14</v>
      </c>
      <c r="E371" s="3">
        <f t="shared" si="36"/>
        <v>0</v>
      </c>
      <c r="F371" s="452">
        <f t="shared" si="36"/>
        <v>0</v>
      </c>
      <c r="G371" s="452">
        <f t="shared" si="36"/>
        <v>0</v>
      </c>
      <c r="H371" s="452">
        <f t="shared" si="36"/>
        <v>0</v>
      </c>
      <c r="I371" s="452">
        <f t="shared" si="36"/>
        <v>0</v>
      </c>
      <c r="J371" s="452">
        <f t="shared" si="36"/>
        <v>0</v>
      </c>
      <c r="K371" s="452">
        <f t="shared" si="36"/>
        <v>0</v>
      </c>
      <c r="L371" s="452">
        <f t="shared" si="36"/>
        <v>0</v>
      </c>
      <c r="M371" s="452">
        <f t="shared" si="36"/>
        <v>0</v>
      </c>
      <c r="N371" s="452">
        <f t="shared" si="36"/>
        <v>0</v>
      </c>
      <c r="O371" s="452">
        <f t="shared" si="36"/>
        <v>0</v>
      </c>
      <c r="P371" s="452">
        <f t="shared" si="36"/>
        <v>0</v>
      </c>
      <c r="Q371" s="452"/>
      <c r="R371" s="452">
        <f t="shared" si="36"/>
        <v>0</v>
      </c>
      <c r="S371" s="445">
        <f t="shared" si="37"/>
        <v>0</v>
      </c>
      <c r="T371" s="445">
        <f t="shared" si="38"/>
        <v>0</v>
      </c>
      <c r="U371" s="445">
        <f t="shared" si="39"/>
        <v>0</v>
      </c>
      <c r="W371" s="450">
        <f t="shared" si="34"/>
        <v>0</v>
      </c>
      <c r="X371" s="448">
        <f t="shared" si="35"/>
        <v>0</v>
      </c>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8"/>
      <c r="BB371" s="448"/>
      <c r="BC371" s="448"/>
      <c r="BD371" s="448"/>
    </row>
    <row r="372" spans="1:56" ht="12.75" hidden="1" thickBot="1">
      <c r="A372" s="1" t="s">
        <v>1274</v>
      </c>
      <c r="B372" s="2" t="s">
        <v>384</v>
      </c>
      <c r="C372" s="2" t="s">
        <v>413</v>
      </c>
      <c r="D372" s="8" t="s">
        <v>14</v>
      </c>
      <c r="E372" s="3">
        <f t="shared" si="36"/>
        <v>0</v>
      </c>
      <c r="F372" s="452">
        <f t="shared" si="36"/>
        <v>0</v>
      </c>
      <c r="G372" s="452">
        <f t="shared" si="36"/>
        <v>0</v>
      </c>
      <c r="H372" s="452">
        <f t="shared" si="36"/>
        <v>0</v>
      </c>
      <c r="I372" s="452">
        <f t="shared" si="36"/>
        <v>0</v>
      </c>
      <c r="J372" s="452">
        <f t="shared" si="36"/>
        <v>0</v>
      </c>
      <c r="K372" s="452">
        <f t="shared" si="36"/>
        <v>0</v>
      </c>
      <c r="L372" s="452">
        <f t="shared" si="36"/>
        <v>0</v>
      </c>
      <c r="M372" s="452">
        <f t="shared" si="36"/>
        <v>0</v>
      </c>
      <c r="N372" s="452">
        <f t="shared" si="36"/>
        <v>0</v>
      </c>
      <c r="O372" s="452">
        <f t="shared" si="36"/>
        <v>0</v>
      </c>
      <c r="P372" s="452">
        <f t="shared" si="36"/>
        <v>0</v>
      </c>
      <c r="Q372" s="452"/>
      <c r="R372" s="452">
        <f t="shared" si="36"/>
        <v>0</v>
      </c>
      <c r="S372" s="445">
        <f t="shared" si="37"/>
        <v>0</v>
      </c>
      <c r="T372" s="445">
        <f t="shared" si="38"/>
        <v>0</v>
      </c>
      <c r="U372" s="445">
        <f t="shared" si="39"/>
        <v>0</v>
      </c>
      <c r="W372" s="450">
        <f t="shared" si="34"/>
        <v>0</v>
      </c>
      <c r="X372" s="448">
        <f t="shared" si="35"/>
        <v>0</v>
      </c>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8"/>
      <c r="BB372" s="448"/>
      <c r="BC372" s="448"/>
      <c r="BD372" s="448"/>
    </row>
    <row r="373" spans="1:56" ht="12.75" hidden="1" thickBot="1">
      <c r="A373" s="1" t="s">
        <v>1274</v>
      </c>
      <c r="B373" s="2" t="s">
        <v>385</v>
      </c>
      <c r="C373" s="2" t="s">
        <v>424</v>
      </c>
      <c r="D373" s="8" t="s">
        <v>425</v>
      </c>
      <c r="E373" s="3">
        <f t="shared" si="36"/>
        <v>4414320</v>
      </c>
      <c r="F373" s="452">
        <f t="shared" si="36"/>
        <v>0</v>
      </c>
      <c r="G373" s="452">
        <f t="shared" si="36"/>
        <v>43128</v>
      </c>
      <c r="H373" s="452">
        <f t="shared" si="36"/>
        <v>120290</v>
      </c>
      <c r="I373" s="452">
        <f t="shared" si="36"/>
        <v>0</v>
      </c>
      <c r="J373" s="452">
        <f t="shared" si="36"/>
        <v>3444</v>
      </c>
      <c r="K373" s="452">
        <f t="shared" si="36"/>
        <v>92886</v>
      </c>
      <c r="L373" s="452">
        <f t="shared" si="36"/>
        <v>0</v>
      </c>
      <c r="M373" s="452">
        <f t="shared" si="36"/>
        <v>-3846</v>
      </c>
      <c r="N373" s="452">
        <f t="shared" si="36"/>
        <v>0</v>
      </c>
      <c r="O373" s="452">
        <f t="shared" si="36"/>
        <v>48867</v>
      </c>
      <c r="P373" s="452">
        <f t="shared" si="36"/>
        <v>0</v>
      </c>
      <c r="Q373" s="452"/>
      <c r="R373" s="452">
        <f t="shared" si="36"/>
        <v>304769</v>
      </c>
      <c r="S373" s="445">
        <f t="shared" si="37"/>
        <v>163418</v>
      </c>
      <c r="T373" s="445">
        <f t="shared" si="38"/>
        <v>96330</v>
      </c>
      <c r="U373" s="445">
        <f t="shared" si="39"/>
        <v>48867</v>
      </c>
      <c r="W373" s="450">
        <f t="shared" si="34"/>
        <v>304769</v>
      </c>
      <c r="X373" s="448">
        <f t="shared" si="35"/>
        <v>0</v>
      </c>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8"/>
      <c r="BB373" s="448"/>
      <c r="BC373" s="448"/>
      <c r="BD373" s="448"/>
    </row>
    <row r="374" spans="1:56" ht="12.75" hidden="1" thickBot="1">
      <c r="A374" s="1" t="s">
        <v>1274</v>
      </c>
      <c r="B374" s="2" t="s">
        <v>1223</v>
      </c>
      <c r="C374" s="2" t="s">
        <v>1224</v>
      </c>
      <c r="D374" s="8" t="s">
        <v>63</v>
      </c>
      <c r="E374" s="3">
        <f t="shared" si="36"/>
        <v>0</v>
      </c>
      <c r="F374" s="452">
        <f t="shared" si="36"/>
        <v>0</v>
      </c>
      <c r="G374" s="452">
        <f t="shared" si="36"/>
        <v>0</v>
      </c>
      <c r="H374" s="452">
        <f t="shared" si="36"/>
        <v>0</v>
      </c>
      <c r="I374" s="452">
        <f t="shared" si="36"/>
        <v>0</v>
      </c>
      <c r="J374" s="452">
        <f t="shared" si="36"/>
        <v>0</v>
      </c>
      <c r="K374" s="452">
        <f t="shared" si="36"/>
        <v>0</v>
      </c>
      <c r="L374" s="452">
        <f t="shared" si="36"/>
        <v>0</v>
      </c>
      <c r="M374" s="452">
        <f t="shared" si="36"/>
        <v>0</v>
      </c>
      <c r="N374" s="452">
        <f t="shared" si="36"/>
        <v>0</v>
      </c>
      <c r="O374" s="452">
        <f t="shared" si="36"/>
        <v>0</v>
      </c>
      <c r="P374" s="452">
        <f t="shared" si="36"/>
        <v>-286526</v>
      </c>
      <c r="Q374" s="452"/>
      <c r="R374" s="452">
        <f t="shared" si="36"/>
        <v>-286526</v>
      </c>
      <c r="S374" s="445">
        <f t="shared" si="37"/>
        <v>0</v>
      </c>
      <c r="T374" s="445">
        <f t="shared" si="38"/>
        <v>0</v>
      </c>
      <c r="U374" s="445">
        <f t="shared" si="39"/>
        <v>0</v>
      </c>
      <c r="W374" s="450">
        <f t="shared" si="34"/>
        <v>-286526</v>
      </c>
      <c r="X374" s="448">
        <f t="shared" si="35"/>
        <v>0</v>
      </c>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8"/>
      <c r="BB374" s="448"/>
      <c r="BC374" s="448"/>
      <c r="BD374" s="448"/>
    </row>
    <row r="375" spans="1:56" ht="12.75" hidden="1" thickBot="1">
      <c r="A375" s="1" t="s">
        <v>1274</v>
      </c>
      <c r="B375" s="2" t="s">
        <v>386</v>
      </c>
      <c r="C375" s="2" t="s">
        <v>405</v>
      </c>
      <c r="D375" s="8" t="s">
        <v>63</v>
      </c>
      <c r="E375" s="3">
        <f t="shared" si="36"/>
        <v>0</v>
      </c>
      <c r="F375" s="452">
        <f t="shared" si="36"/>
        <v>0</v>
      </c>
      <c r="G375" s="452">
        <f t="shared" si="36"/>
        <v>0</v>
      </c>
      <c r="H375" s="452">
        <f t="shared" si="36"/>
        <v>0</v>
      </c>
      <c r="I375" s="452">
        <f t="shared" si="36"/>
        <v>0</v>
      </c>
      <c r="J375" s="452">
        <f t="shared" si="36"/>
        <v>0</v>
      </c>
      <c r="K375" s="452">
        <f t="shared" si="36"/>
        <v>0</v>
      </c>
      <c r="L375" s="452">
        <f t="shared" si="36"/>
        <v>0</v>
      </c>
      <c r="M375" s="452">
        <f t="shared" si="36"/>
        <v>0</v>
      </c>
      <c r="N375" s="452">
        <f t="shared" si="36"/>
        <v>0</v>
      </c>
      <c r="O375" s="452">
        <f t="shared" si="36"/>
        <v>0</v>
      </c>
      <c r="P375" s="452">
        <f t="shared" si="36"/>
        <v>0</v>
      </c>
      <c r="Q375" s="452"/>
      <c r="R375" s="452">
        <f t="shared" si="36"/>
        <v>0</v>
      </c>
      <c r="S375" s="445">
        <f t="shared" si="37"/>
        <v>0</v>
      </c>
      <c r="T375" s="445">
        <f t="shared" si="38"/>
        <v>0</v>
      </c>
      <c r="U375" s="445">
        <f t="shared" si="39"/>
        <v>0</v>
      </c>
      <c r="W375" s="450">
        <f t="shared" si="34"/>
        <v>0</v>
      </c>
      <c r="X375" s="448">
        <f t="shared" si="35"/>
        <v>0</v>
      </c>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8"/>
      <c r="BB375" s="448"/>
      <c r="BC375" s="448"/>
      <c r="BD375" s="448"/>
    </row>
    <row r="376" spans="1:56" ht="12.75" hidden="1" thickBot="1">
      <c r="A376" s="1" t="s">
        <v>1274</v>
      </c>
      <c r="B376" s="2" t="s">
        <v>803</v>
      </c>
      <c r="C376" s="2" t="s">
        <v>804</v>
      </c>
      <c r="D376" s="8" t="s">
        <v>1205</v>
      </c>
      <c r="E376" s="3">
        <f t="shared" si="36"/>
        <v>0</v>
      </c>
      <c r="F376" s="452">
        <f t="shared" si="36"/>
        <v>0</v>
      </c>
      <c r="G376" s="452">
        <f t="shared" si="36"/>
        <v>0</v>
      </c>
      <c r="H376" s="452">
        <f t="shared" si="36"/>
        <v>0</v>
      </c>
      <c r="I376" s="452">
        <f t="shared" si="36"/>
        <v>0</v>
      </c>
      <c r="J376" s="452">
        <f t="shared" si="36"/>
        <v>0</v>
      </c>
      <c r="K376" s="452">
        <f t="shared" si="36"/>
        <v>0</v>
      </c>
      <c r="L376" s="452">
        <f t="shared" si="36"/>
        <v>0</v>
      </c>
      <c r="M376" s="452">
        <f t="shared" ref="G376:R387" si="40">ROUND(SUMIFS(M$1410:M$1613,$A$1410:$A$1613,$A376,$B$1410:$B$1613,$B376),0)</f>
        <v>0</v>
      </c>
      <c r="N376" s="452">
        <f t="shared" si="40"/>
        <v>0</v>
      </c>
      <c r="O376" s="452">
        <f t="shared" si="40"/>
        <v>0</v>
      </c>
      <c r="P376" s="452">
        <f t="shared" si="40"/>
        <v>0</v>
      </c>
      <c r="Q376" s="452"/>
      <c r="R376" s="452">
        <f t="shared" si="40"/>
        <v>0</v>
      </c>
      <c r="S376" s="445">
        <f t="shared" si="37"/>
        <v>0</v>
      </c>
      <c r="T376" s="445">
        <f t="shared" si="38"/>
        <v>0</v>
      </c>
      <c r="U376" s="445">
        <f t="shared" si="39"/>
        <v>0</v>
      </c>
      <c r="W376" s="450">
        <f t="shared" si="34"/>
        <v>0</v>
      </c>
      <c r="X376" s="448">
        <f t="shared" si="35"/>
        <v>0</v>
      </c>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8"/>
      <c r="BB376" s="448"/>
      <c r="BC376" s="448"/>
      <c r="BD376" s="448"/>
    </row>
    <row r="377" spans="1:56" ht="12.75" hidden="1" thickBot="1">
      <c r="A377" s="1" t="s">
        <v>1274</v>
      </c>
      <c r="B377" s="2" t="s">
        <v>387</v>
      </c>
      <c r="C377" s="2" t="s">
        <v>411</v>
      </c>
      <c r="D377" s="8" t="s">
        <v>412</v>
      </c>
      <c r="E377" s="3">
        <f t="shared" ref="E377:F387" si="41">ROUND(SUMIFS(E$1410:E$1613,$A$1410:$A$1613,$A377,$B$1410:$B$1613,$B377),0)</f>
        <v>7236500</v>
      </c>
      <c r="F377" s="452">
        <f t="shared" si="41"/>
        <v>0</v>
      </c>
      <c r="G377" s="452">
        <f t="shared" si="40"/>
        <v>73450</v>
      </c>
      <c r="H377" s="452">
        <f t="shared" si="40"/>
        <v>197195</v>
      </c>
      <c r="I377" s="452">
        <f t="shared" si="40"/>
        <v>0</v>
      </c>
      <c r="J377" s="452">
        <f t="shared" si="40"/>
        <v>2758</v>
      </c>
      <c r="K377" s="452">
        <f t="shared" si="40"/>
        <v>87198</v>
      </c>
      <c r="L377" s="452">
        <f t="shared" si="40"/>
        <v>0</v>
      </c>
      <c r="M377" s="452">
        <f t="shared" si="40"/>
        <v>-6305</v>
      </c>
      <c r="N377" s="452">
        <f t="shared" si="40"/>
        <v>0</v>
      </c>
      <c r="O377" s="452">
        <f t="shared" si="40"/>
        <v>80109</v>
      </c>
      <c r="P377" s="452">
        <f t="shared" si="40"/>
        <v>0</v>
      </c>
      <c r="Q377" s="452"/>
      <c r="R377" s="452">
        <f t="shared" si="40"/>
        <v>434405</v>
      </c>
      <c r="S377" s="445">
        <f t="shared" si="37"/>
        <v>270645</v>
      </c>
      <c r="T377" s="445">
        <f t="shared" si="38"/>
        <v>89956</v>
      </c>
      <c r="U377" s="445">
        <f t="shared" si="39"/>
        <v>80109</v>
      </c>
      <c r="W377" s="450">
        <f t="shared" si="34"/>
        <v>434405</v>
      </c>
      <c r="X377" s="448">
        <f t="shared" si="35"/>
        <v>0</v>
      </c>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8"/>
      <c r="BB377" s="448"/>
      <c r="BC377" s="448"/>
      <c r="BD377" s="448"/>
    </row>
    <row r="378" spans="1:56" ht="12.75" hidden="1" thickBot="1">
      <c r="A378" s="1" t="s">
        <v>1274</v>
      </c>
      <c r="B378" s="2" t="s">
        <v>388</v>
      </c>
      <c r="C378" s="2" t="s">
        <v>54</v>
      </c>
      <c r="D378" s="8" t="s">
        <v>15</v>
      </c>
      <c r="E378" s="3">
        <f t="shared" si="41"/>
        <v>78019986</v>
      </c>
      <c r="F378" s="452">
        <f t="shared" si="41"/>
        <v>9000</v>
      </c>
      <c r="G378" s="452">
        <f t="shared" si="40"/>
        <v>690477</v>
      </c>
      <c r="H378" s="452">
        <f t="shared" si="40"/>
        <v>2126045</v>
      </c>
      <c r="I378" s="452">
        <f t="shared" si="40"/>
        <v>0</v>
      </c>
      <c r="J378" s="452">
        <f t="shared" si="40"/>
        <v>49240</v>
      </c>
      <c r="K378" s="452">
        <f t="shared" si="40"/>
        <v>1416350</v>
      </c>
      <c r="L378" s="452">
        <f t="shared" si="40"/>
        <v>0</v>
      </c>
      <c r="M378" s="452">
        <f t="shared" si="40"/>
        <v>-67972</v>
      </c>
      <c r="N378" s="452">
        <f t="shared" si="40"/>
        <v>0</v>
      </c>
      <c r="O378" s="452">
        <f t="shared" si="40"/>
        <v>863692</v>
      </c>
      <c r="P378" s="452">
        <f t="shared" si="40"/>
        <v>0</v>
      </c>
      <c r="Q378" s="452"/>
      <c r="R378" s="452">
        <f t="shared" si="40"/>
        <v>5086832</v>
      </c>
      <c r="S378" s="445">
        <f t="shared" si="37"/>
        <v>2816522</v>
      </c>
      <c r="T378" s="445">
        <f t="shared" si="38"/>
        <v>1465590</v>
      </c>
      <c r="U378" s="445">
        <f t="shared" si="39"/>
        <v>863692</v>
      </c>
      <c r="W378" s="450"/>
      <c r="X378" s="448"/>
      <c r="Y378" s="441"/>
      <c r="Z378" s="441"/>
      <c r="AA378" s="441"/>
      <c r="AB378" s="441"/>
      <c r="AC378" s="441"/>
      <c r="AD378" s="441"/>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8"/>
      <c r="BB378" s="448"/>
      <c r="BC378" s="448"/>
      <c r="BD378" s="448"/>
    </row>
    <row r="379" spans="1:56" ht="12.75" hidden="1" thickBot="1">
      <c r="A379" s="1" t="s">
        <v>1274</v>
      </c>
      <c r="B379" s="2" t="s">
        <v>389</v>
      </c>
      <c r="C379" s="2" t="s">
        <v>419</v>
      </c>
      <c r="D379" s="8" t="s">
        <v>20</v>
      </c>
      <c r="E379" s="3">
        <f t="shared" si="41"/>
        <v>17964058</v>
      </c>
      <c r="F379" s="452">
        <f t="shared" si="41"/>
        <v>19080</v>
      </c>
      <c r="G379" s="452">
        <f t="shared" si="40"/>
        <v>239820</v>
      </c>
      <c r="H379" s="452">
        <f t="shared" si="40"/>
        <v>489521</v>
      </c>
      <c r="I379" s="452">
        <f t="shared" si="40"/>
        <v>0</v>
      </c>
      <c r="J379" s="452">
        <f t="shared" si="40"/>
        <v>28159</v>
      </c>
      <c r="K379" s="452">
        <f t="shared" si="40"/>
        <v>793718</v>
      </c>
      <c r="L379" s="452">
        <f t="shared" si="40"/>
        <v>30149</v>
      </c>
      <c r="M379" s="452">
        <f t="shared" si="40"/>
        <v>-15651</v>
      </c>
      <c r="N379" s="452">
        <f t="shared" si="40"/>
        <v>0</v>
      </c>
      <c r="O379" s="452">
        <f t="shared" si="40"/>
        <v>198865</v>
      </c>
      <c r="P379" s="452">
        <f t="shared" si="40"/>
        <v>0</v>
      </c>
      <c r="Q379" s="452"/>
      <c r="R379" s="452">
        <f t="shared" si="40"/>
        <v>1783661</v>
      </c>
      <c r="S379" s="445">
        <f t="shared" si="37"/>
        <v>729341</v>
      </c>
      <c r="T379" s="445">
        <f t="shared" si="38"/>
        <v>821877</v>
      </c>
      <c r="U379" s="445">
        <f t="shared" si="39"/>
        <v>198865</v>
      </c>
      <c r="W379" s="450">
        <f t="shared" si="34"/>
        <v>1783661</v>
      </c>
      <c r="X379" s="448">
        <f t="shared" si="35"/>
        <v>0</v>
      </c>
      <c r="Y379" s="441"/>
      <c r="Z379" s="441"/>
      <c r="AA379" s="441"/>
      <c r="AB379" s="441"/>
      <c r="AC379" s="441"/>
      <c r="AD379" s="441"/>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8"/>
      <c r="BB379" s="448"/>
      <c r="BC379" s="448"/>
      <c r="BD379" s="448"/>
    </row>
    <row r="380" spans="1:56" ht="12.75" hidden="1" thickBot="1">
      <c r="A380" s="1" t="s">
        <v>1274</v>
      </c>
      <c r="B380" s="2" t="s">
        <v>390</v>
      </c>
      <c r="C380" s="2" t="s">
        <v>418</v>
      </c>
      <c r="D380" s="2" t="s">
        <v>21</v>
      </c>
      <c r="E380" s="3">
        <f t="shared" si="41"/>
        <v>1038168</v>
      </c>
      <c r="F380" s="452">
        <f t="shared" si="41"/>
        <v>3570</v>
      </c>
      <c r="G380" s="452">
        <f t="shared" si="40"/>
        <v>12468</v>
      </c>
      <c r="H380" s="452">
        <f t="shared" si="40"/>
        <v>28290</v>
      </c>
      <c r="I380" s="452">
        <f t="shared" si="40"/>
        <v>0</v>
      </c>
      <c r="J380" s="452">
        <f t="shared" si="40"/>
        <v>1872</v>
      </c>
      <c r="K380" s="452">
        <f t="shared" si="40"/>
        <v>43601</v>
      </c>
      <c r="L380" s="452">
        <f t="shared" si="40"/>
        <v>1742</v>
      </c>
      <c r="M380" s="452">
        <f t="shared" si="40"/>
        <v>-904</v>
      </c>
      <c r="N380" s="452">
        <f t="shared" si="40"/>
        <v>0</v>
      </c>
      <c r="O380" s="452">
        <f t="shared" si="40"/>
        <v>11493</v>
      </c>
      <c r="P380" s="452">
        <f t="shared" si="40"/>
        <v>0</v>
      </c>
      <c r="Q380" s="452"/>
      <c r="R380" s="452">
        <f t="shared" si="40"/>
        <v>102132</v>
      </c>
      <c r="S380" s="445">
        <f t="shared" si="37"/>
        <v>40758</v>
      </c>
      <c r="T380" s="445">
        <f t="shared" si="38"/>
        <v>45473</v>
      </c>
      <c r="U380" s="445">
        <f t="shared" si="39"/>
        <v>11493</v>
      </c>
      <c r="W380" s="450">
        <f t="shared" si="34"/>
        <v>102132</v>
      </c>
      <c r="X380" s="448">
        <f t="shared" si="35"/>
        <v>0</v>
      </c>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8"/>
      <c r="BB380" s="448"/>
      <c r="BC380" s="448"/>
      <c r="BD380" s="448"/>
    </row>
    <row r="381" spans="1:56" ht="12.75" hidden="1" thickBot="1">
      <c r="A381" s="1" t="s">
        <v>1274</v>
      </c>
      <c r="B381" s="2" t="s">
        <v>391</v>
      </c>
      <c r="C381" s="2" t="s">
        <v>1034</v>
      </c>
      <c r="D381" s="8" t="s">
        <v>422</v>
      </c>
      <c r="E381" s="3">
        <f t="shared" si="41"/>
        <v>20494105</v>
      </c>
      <c r="F381" s="452">
        <f t="shared" si="41"/>
        <v>20000</v>
      </c>
      <c r="G381" s="452">
        <f t="shared" si="40"/>
        <v>259250</v>
      </c>
      <c r="H381" s="452">
        <f t="shared" si="40"/>
        <v>558464</v>
      </c>
      <c r="I381" s="452">
        <f t="shared" si="40"/>
        <v>0</v>
      </c>
      <c r="J381" s="452">
        <f t="shared" si="40"/>
        <v>24449</v>
      </c>
      <c r="K381" s="452">
        <f t="shared" si="40"/>
        <v>715781</v>
      </c>
      <c r="L381" s="452">
        <f t="shared" si="40"/>
        <v>34396</v>
      </c>
      <c r="M381" s="452">
        <f t="shared" si="40"/>
        <v>-17855</v>
      </c>
      <c r="N381" s="452">
        <f t="shared" si="40"/>
        <v>0</v>
      </c>
      <c r="O381" s="452">
        <f t="shared" si="40"/>
        <v>226873</v>
      </c>
      <c r="P381" s="452">
        <f t="shared" si="40"/>
        <v>0</v>
      </c>
      <c r="Q381" s="452"/>
      <c r="R381" s="452">
        <f t="shared" si="40"/>
        <v>1821359</v>
      </c>
      <c r="S381" s="445">
        <f t="shared" si="37"/>
        <v>817714</v>
      </c>
      <c r="T381" s="445">
        <f t="shared" si="38"/>
        <v>740230</v>
      </c>
      <c r="U381" s="445">
        <f t="shared" si="39"/>
        <v>226873</v>
      </c>
      <c r="W381" s="450">
        <f t="shared" si="34"/>
        <v>1821358</v>
      </c>
      <c r="X381" s="448">
        <f t="shared" si="35"/>
        <v>-1</v>
      </c>
      <c r="Y381" s="441"/>
      <c r="Z381" s="441"/>
      <c r="AA381" s="441"/>
      <c r="AB381" s="441"/>
      <c r="AC381" s="441"/>
      <c r="AD381" s="441"/>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8"/>
      <c r="BB381" s="448"/>
      <c r="BC381" s="448"/>
      <c r="BD381" s="448"/>
    </row>
    <row r="382" spans="1:56" ht="12.75" hidden="1" thickBot="1">
      <c r="A382" s="1" t="s">
        <v>1274</v>
      </c>
      <c r="B382" s="2" t="s">
        <v>392</v>
      </c>
      <c r="C382" s="2" t="s">
        <v>420</v>
      </c>
      <c r="D382" s="8" t="s">
        <v>421</v>
      </c>
      <c r="E382" s="3">
        <f t="shared" si="41"/>
        <v>130912123</v>
      </c>
      <c r="F382" s="452">
        <f t="shared" si="41"/>
        <v>21300</v>
      </c>
      <c r="G382" s="452">
        <f t="shared" si="40"/>
        <v>1064316</v>
      </c>
      <c r="H382" s="452">
        <f t="shared" si="40"/>
        <v>3567355</v>
      </c>
      <c r="I382" s="452">
        <f t="shared" si="40"/>
        <v>0</v>
      </c>
      <c r="J382" s="452">
        <f t="shared" si="40"/>
        <v>130724</v>
      </c>
      <c r="K382" s="452">
        <f t="shared" si="40"/>
        <v>3605494</v>
      </c>
      <c r="L382" s="452">
        <f t="shared" si="40"/>
        <v>219713</v>
      </c>
      <c r="M382" s="452">
        <f t="shared" si="40"/>
        <v>-114052</v>
      </c>
      <c r="N382" s="452">
        <f t="shared" si="40"/>
        <v>0</v>
      </c>
      <c r="O382" s="452">
        <f t="shared" si="40"/>
        <v>1449216</v>
      </c>
      <c r="P382" s="452">
        <f t="shared" si="40"/>
        <v>0</v>
      </c>
      <c r="Q382" s="452"/>
      <c r="R382" s="452">
        <f t="shared" si="40"/>
        <v>9944065</v>
      </c>
      <c r="S382" s="445">
        <f t="shared" si="37"/>
        <v>4631671</v>
      </c>
      <c r="T382" s="445">
        <f t="shared" si="38"/>
        <v>3736218</v>
      </c>
      <c r="U382" s="445">
        <f t="shared" si="39"/>
        <v>1449216</v>
      </c>
      <c r="W382" s="450">
        <f t="shared" si="34"/>
        <v>9944066</v>
      </c>
      <c r="X382" s="448">
        <f t="shared" si="35"/>
        <v>1</v>
      </c>
      <c r="Y382" s="441"/>
      <c r="Z382" s="441"/>
      <c r="AA382" s="441"/>
      <c r="AB382" s="441"/>
      <c r="AC382" s="441"/>
      <c r="AD382" s="441"/>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8"/>
      <c r="BB382" s="448"/>
      <c r="BC382" s="448"/>
      <c r="BD382" s="448"/>
    </row>
    <row r="383" spans="1:56" ht="12.75" hidden="1" thickBot="1">
      <c r="A383" s="1" t="s">
        <v>1274</v>
      </c>
      <c r="B383" s="2" t="s">
        <v>394</v>
      </c>
      <c r="C383" s="2" t="s">
        <v>423</v>
      </c>
      <c r="D383" s="8" t="s">
        <v>17</v>
      </c>
      <c r="E383" s="3">
        <f t="shared" si="41"/>
        <v>0</v>
      </c>
      <c r="F383" s="452">
        <f t="shared" si="41"/>
        <v>0</v>
      </c>
      <c r="G383" s="452">
        <f t="shared" si="40"/>
        <v>0</v>
      </c>
      <c r="H383" s="452">
        <f t="shared" si="40"/>
        <v>0</v>
      </c>
      <c r="I383" s="452">
        <f t="shared" si="40"/>
        <v>0</v>
      </c>
      <c r="J383" s="452">
        <f t="shared" si="40"/>
        <v>0</v>
      </c>
      <c r="K383" s="452">
        <f t="shared" si="40"/>
        <v>0</v>
      </c>
      <c r="L383" s="452">
        <f t="shared" si="40"/>
        <v>0</v>
      </c>
      <c r="M383" s="452">
        <f t="shared" si="40"/>
        <v>0</v>
      </c>
      <c r="N383" s="452">
        <f t="shared" si="40"/>
        <v>0</v>
      </c>
      <c r="O383" s="452">
        <f t="shared" si="40"/>
        <v>0</v>
      </c>
      <c r="P383" s="452">
        <f t="shared" si="40"/>
        <v>0</v>
      </c>
      <c r="Q383" s="452"/>
      <c r="R383" s="452">
        <f t="shared" si="40"/>
        <v>0</v>
      </c>
      <c r="S383" s="445">
        <f t="shared" si="37"/>
        <v>0</v>
      </c>
      <c r="T383" s="445">
        <f t="shared" si="38"/>
        <v>0</v>
      </c>
      <c r="U383" s="445">
        <f t="shared" si="39"/>
        <v>0</v>
      </c>
      <c r="W383" s="450">
        <f t="shared" si="34"/>
        <v>0</v>
      </c>
      <c r="X383" s="448">
        <f t="shared" si="35"/>
        <v>0</v>
      </c>
      <c r="Y383" s="441"/>
      <c r="Z383" s="441"/>
      <c r="AA383" s="441"/>
      <c r="AB383" s="441"/>
      <c r="AC383" s="441"/>
      <c r="AD383" s="441"/>
      <c r="AE383" s="441"/>
      <c r="AF383" s="441"/>
      <c r="AG383" s="441"/>
      <c r="AH383" s="441"/>
      <c r="AI383" s="441"/>
      <c r="AJ383" s="441"/>
      <c r="AK383" s="441"/>
      <c r="AL383" s="441"/>
      <c r="AM383" s="441"/>
      <c r="AN383" s="441"/>
      <c r="AO383" s="441"/>
      <c r="AP383" s="441"/>
      <c r="AQ383" s="441"/>
      <c r="AR383" s="441"/>
      <c r="AS383" s="441"/>
      <c r="AT383" s="441"/>
      <c r="AU383" s="441"/>
      <c r="AV383" s="441"/>
      <c r="AW383" s="441"/>
      <c r="AX383" s="441"/>
      <c r="AY383" s="441"/>
      <c r="AZ383" s="441"/>
      <c r="BA383" s="448"/>
      <c r="BB383" s="448"/>
      <c r="BC383" s="448"/>
      <c r="BD383" s="448"/>
    </row>
    <row r="384" spans="1:56" ht="12.75" hidden="1" thickBot="1">
      <c r="A384" s="1" t="s">
        <v>1274</v>
      </c>
      <c r="B384" s="2" t="s">
        <v>395</v>
      </c>
      <c r="C384" s="2" t="s">
        <v>423</v>
      </c>
      <c r="D384" s="8" t="s">
        <v>17</v>
      </c>
      <c r="E384" s="3">
        <f t="shared" si="41"/>
        <v>0</v>
      </c>
      <c r="F384" s="452">
        <f t="shared" si="41"/>
        <v>0</v>
      </c>
      <c r="G384" s="452">
        <f t="shared" si="40"/>
        <v>0</v>
      </c>
      <c r="H384" s="452">
        <f t="shared" si="40"/>
        <v>0</v>
      </c>
      <c r="I384" s="452">
        <f t="shared" si="40"/>
        <v>0</v>
      </c>
      <c r="J384" s="452">
        <f t="shared" si="40"/>
        <v>0</v>
      </c>
      <c r="K384" s="452">
        <f t="shared" si="40"/>
        <v>0</v>
      </c>
      <c r="L384" s="452">
        <f t="shared" si="40"/>
        <v>0</v>
      </c>
      <c r="M384" s="452">
        <f t="shared" si="40"/>
        <v>0</v>
      </c>
      <c r="N384" s="452">
        <f t="shared" si="40"/>
        <v>0</v>
      </c>
      <c r="O384" s="452">
        <f t="shared" si="40"/>
        <v>0</v>
      </c>
      <c r="P384" s="452">
        <f t="shared" si="40"/>
        <v>0</v>
      </c>
      <c r="Q384" s="452"/>
      <c r="R384" s="452">
        <f t="shared" si="40"/>
        <v>0</v>
      </c>
      <c r="S384" s="445">
        <f t="shared" si="37"/>
        <v>0</v>
      </c>
      <c r="T384" s="445">
        <f t="shared" si="38"/>
        <v>0</v>
      </c>
      <c r="U384" s="445">
        <f t="shared" si="39"/>
        <v>0</v>
      </c>
      <c r="W384" s="450">
        <f t="shared" si="34"/>
        <v>0</v>
      </c>
      <c r="X384" s="448">
        <f t="shared" si="35"/>
        <v>0</v>
      </c>
      <c r="Y384" s="441"/>
      <c r="Z384" s="441"/>
      <c r="AA384" s="441"/>
      <c r="AB384" s="441"/>
      <c r="AC384" s="441"/>
      <c r="AD384" s="441"/>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8"/>
      <c r="BB384" s="448"/>
      <c r="BC384" s="448"/>
      <c r="BD384" s="448"/>
    </row>
    <row r="385" spans="1:56" ht="12.75" hidden="1" thickBot="1">
      <c r="A385" s="1" t="s">
        <v>1274</v>
      </c>
      <c r="B385" s="2" t="s">
        <v>396</v>
      </c>
      <c r="C385" s="2" t="s">
        <v>423</v>
      </c>
      <c r="D385" s="8" t="s">
        <v>17</v>
      </c>
      <c r="E385" s="3">
        <f t="shared" si="41"/>
        <v>0</v>
      </c>
      <c r="F385" s="452">
        <f t="shared" si="41"/>
        <v>0</v>
      </c>
      <c r="G385" s="452">
        <f t="shared" si="40"/>
        <v>0</v>
      </c>
      <c r="H385" s="452">
        <f t="shared" si="40"/>
        <v>0</v>
      </c>
      <c r="I385" s="452">
        <f t="shared" si="40"/>
        <v>0</v>
      </c>
      <c r="J385" s="452">
        <f t="shared" si="40"/>
        <v>0</v>
      </c>
      <c r="K385" s="452">
        <f t="shared" si="40"/>
        <v>0</v>
      </c>
      <c r="L385" s="452">
        <f t="shared" si="40"/>
        <v>0</v>
      </c>
      <c r="M385" s="452">
        <f t="shared" si="40"/>
        <v>0</v>
      </c>
      <c r="N385" s="452">
        <f t="shared" si="40"/>
        <v>0</v>
      </c>
      <c r="O385" s="452">
        <f t="shared" si="40"/>
        <v>0</v>
      </c>
      <c r="P385" s="452">
        <f t="shared" si="40"/>
        <v>0</v>
      </c>
      <c r="Q385" s="452"/>
      <c r="R385" s="452">
        <f t="shared" si="40"/>
        <v>0</v>
      </c>
      <c r="S385" s="445">
        <f t="shared" si="37"/>
        <v>0</v>
      </c>
      <c r="T385" s="445">
        <f t="shared" si="38"/>
        <v>0</v>
      </c>
      <c r="U385" s="445">
        <f t="shared" si="39"/>
        <v>0</v>
      </c>
      <c r="W385" s="450">
        <f t="shared" si="34"/>
        <v>0</v>
      </c>
      <c r="X385" s="448">
        <f t="shared" si="35"/>
        <v>0</v>
      </c>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8"/>
      <c r="BB385" s="448"/>
      <c r="BC385" s="448"/>
      <c r="BD385" s="448"/>
    </row>
    <row r="386" spans="1:56" ht="12.75" hidden="1" thickBot="1">
      <c r="A386" s="1" t="s">
        <v>1274</v>
      </c>
      <c r="B386" s="2" t="s">
        <v>397</v>
      </c>
      <c r="C386" s="2" t="s">
        <v>55</v>
      </c>
      <c r="D386" s="8" t="s">
        <v>18</v>
      </c>
      <c r="E386" s="3">
        <f t="shared" si="41"/>
        <v>0</v>
      </c>
      <c r="F386" s="452">
        <f t="shared" si="41"/>
        <v>0</v>
      </c>
      <c r="G386" s="452">
        <f t="shared" si="40"/>
        <v>0</v>
      </c>
      <c r="H386" s="452">
        <f t="shared" si="40"/>
        <v>0</v>
      </c>
      <c r="I386" s="452">
        <f t="shared" si="40"/>
        <v>0</v>
      </c>
      <c r="J386" s="452">
        <f t="shared" si="40"/>
        <v>0</v>
      </c>
      <c r="K386" s="452">
        <f t="shared" si="40"/>
        <v>0</v>
      </c>
      <c r="L386" s="452">
        <f t="shared" si="40"/>
        <v>0</v>
      </c>
      <c r="M386" s="452">
        <f t="shared" si="40"/>
        <v>0</v>
      </c>
      <c r="N386" s="452">
        <f t="shared" si="40"/>
        <v>0</v>
      </c>
      <c r="O386" s="452">
        <f t="shared" si="40"/>
        <v>0</v>
      </c>
      <c r="P386" s="452">
        <f t="shared" si="40"/>
        <v>0</v>
      </c>
      <c r="Q386" s="452"/>
      <c r="R386" s="452">
        <f t="shared" si="40"/>
        <v>0</v>
      </c>
      <c r="S386" s="445">
        <f t="shared" si="37"/>
        <v>0</v>
      </c>
      <c r="T386" s="445">
        <f t="shared" si="38"/>
        <v>0</v>
      </c>
      <c r="U386" s="445">
        <f t="shared" si="39"/>
        <v>0</v>
      </c>
      <c r="W386" s="450">
        <f t="shared" si="34"/>
        <v>0</v>
      </c>
      <c r="X386" s="448">
        <f t="shared" si="35"/>
        <v>0</v>
      </c>
      <c r="Y386" s="441"/>
      <c r="Z386" s="441"/>
      <c r="AA386" s="441"/>
      <c r="AB386" s="441"/>
      <c r="AC386" s="441"/>
      <c r="AD386" s="441"/>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8"/>
      <c r="BB386" s="448"/>
      <c r="BC386" s="448"/>
      <c r="BD386" s="448"/>
    </row>
    <row r="387" spans="1:56" ht="12.75" hidden="1" thickBot="1">
      <c r="A387" s="1" t="s">
        <v>1274</v>
      </c>
      <c r="B387" s="2" t="s">
        <v>398</v>
      </c>
      <c r="C387" s="2" t="s">
        <v>55</v>
      </c>
      <c r="D387" s="8" t="s">
        <v>18</v>
      </c>
      <c r="E387" s="3">
        <f t="shared" si="41"/>
        <v>0</v>
      </c>
      <c r="F387" s="452">
        <f t="shared" si="41"/>
        <v>0</v>
      </c>
      <c r="G387" s="452">
        <f t="shared" si="40"/>
        <v>0</v>
      </c>
      <c r="H387" s="452">
        <f t="shared" si="40"/>
        <v>0</v>
      </c>
      <c r="I387" s="452">
        <f t="shared" si="40"/>
        <v>0</v>
      </c>
      <c r="J387" s="452">
        <f t="shared" si="40"/>
        <v>0</v>
      </c>
      <c r="K387" s="452">
        <f t="shared" si="40"/>
        <v>0</v>
      </c>
      <c r="L387" s="452">
        <f t="shared" si="40"/>
        <v>0</v>
      </c>
      <c r="M387" s="452">
        <f t="shared" si="40"/>
        <v>0</v>
      </c>
      <c r="N387" s="452">
        <f t="shared" si="40"/>
        <v>0</v>
      </c>
      <c r="O387" s="452">
        <f t="shared" si="40"/>
        <v>0</v>
      </c>
      <c r="P387" s="452">
        <f t="shared" si="40"/>
        <v>0</v>
      </c>
      <c r="Q387" s="452"/>
      <c r="R387" s="452">
        <f t="shared" si="40"/>
        <v>0</v>
      </c>
      <c r="S387" s="445">
        <f t="shared" si="37"/>
        <v>0</v>
      </c>
      <c r="T387" s="445">
        <f t="shared" si="38"/>
        <v>0</v>
      </c>
      <c r="U387" s="445">
        <f t="shared" si="39"/>
        <v>0</v>
      </c>
      <c r="W387" s="450">
        <f t="shared" si="34"/>
        <v>0</v>
      </c>
      <c r="X387" s="448">
        <f t="shared" si="35"/>
        <v>0</v>
      </c>
      <c r="Y387" s="441"/>
      <c r="Z387" s="441"/>
      <c r="AA387" s="441"/>
      <c r="AB387" s="441"/>
      <c r="AC387" s="441"/>
      <c r="AD387" s="441"/>
      <c r="AE387" s="441"/>
      <c r="AF387" s="441"/>
      <c r="AG387" s="441"/>
      <c r="AH387" s="441"/>
      <c r="AI387" s="441"/>
      <c r="AJ387" s="441"/>
      <c r="AK387" s="441"/>
      <c r="AL387" s="441"/>
      <c r="AM387" s="441"/>
      <c r="AN387" s="441"/>
      <c r="AO387" s="441"/>
      <c r="AP387" s="441"/>
      <c r="AQ387" s="441"/>
      <c r="AR387" s="441"/>
      <c r="AS387" s="441"/>
      <c r="AT387" s="441"/>
      <c r="AU387" s="441"/>
      <c r="AV387" s="441"/>
      <c r="AW387" s="441"/>
      <c r="AX387" s="441"/>
      <c r="AY387" s="441"/>
      <c r="AZ387" s="441"/>
      <c r="BA387" s="448"/>
      <c r="BB387" s="448"/>
      <c r="BC387" s="448"/>
      <c r="BD387" s="448"/>
    </row>
    <row r="388" spans="1:56" ht="12.75" hidden="1" thickBot="1">
      <c r="A388" s="1" t="s">
        <v>1274</v>
      </c>
      <c r="B388" s="2" t="s">
        <v>805</v>
      </c>
      <c r="C388" s="2" t="s">
        <v>806</v>
      </c>
      <c r="D388" s="8" t="s">
        <v>1205</v>
      </c>
      <c r="E388" s="458"/>
      <c r="F388" s="6"/>
      <c r="G388" s="6"/>
      <c r="H388" s="6"/>
      <c r="I388" s="6"/>
      <c r="J388" s="6"/>
      <c r="K388" s="6"/>
      <c r="L388" s="6"/>
      <c r="M388" s="6"/>
      <c r="N388" s="6"/>
      <c r="O388" s="6"/>
      <c r="P388" s="6"/>
      <c r="Q388" s="6"/>
      <c r="R388" s="6"/>
      <c r="S388" s="445">
        <f t="shared" ref="S388:S451" si="42">G388+H388+I388</f>
        <v>0</v>
      </c>
      <c r="T388" s="445">
        <f t="shared" ref="T388:T451" si="43">J388+K388</f>
        <v>0</v>
      </c>
      <c r="U388" s="445">
        <f t="shared" ref="U388:U451" si="44">N388+O388</f>
        <v>0</v>
      </c>
      <c r="W388" s="450">
        <f t="shared" si="34"/>
        <v>0</v>
      </c>
      <c r="X388" s="448">
        <f t="shared" si="35"/>
        <v>0</v>
      </c>
      <c r="Y388" s="441"/>
      <c r="Z388" s="441"/>
      <c r="AA388" s="441"/>
      <c r="AB388" s="441"/>
      <c r="AC388" s="441"/>
      <c r="AD388" s="441"/>
      <c r="AE388" s="441"/>
      <c r="AF388" s="441"/>
      <c r="AG388" s="441"/>
      <c r="AH388" s="441"/>
      <c r="AI388" s="441"/>
      <c r="AJ388" s="441"/>
      <c r="AK388" s="441"/>
      <c r="AL388" s="441"/>
      <c r="AM388" s="441"/>
      <c r="AN388" s="441"/>
      <c r="AO388" s="441"/>
      <c r="AP388" s="441"/>
      <c r="AQ388" s="441"/>
      <c r="AR388" s="441"/>
      <c r="AS388" s="441"/>
      <c r="AT388" s="441"/>
      <c r="AU388" s="441"/>
      <c r="AV388" s="441"/>
      <c r="AW388" s="441"/>
      <c r="AX388" s="441"/>
      <c r="AY388" s="441"/>
      <c r="AZ388" s="441"/>
      <c r="BA388" s="448"/>
      <c r="BB388" s="448"/>
      <c r="BC388" s="448"/>
      <c r="BD388" s="448"/>
    </row>
    <row r="389" spans="1:56" ht="12.75" thickBot="1">
      <c r="A389" s="1" t="s">
        <v>1274</v>
      </c>
      <c r="B389" s="2" t="s">
        <v>399</v>
      </c>
      <c r="C389" s="2" t="s">
        <v>430</v>
      </c>
      <c r="D389" s="8" t="s">
        <v>13</v>
      </c>
      <c r="E389" s="460"/>
      <c r="F389" s="4"/>
      <c r="G389" s="449"/>
      <c r="H389" s="449"/>
      <c r="I389" s="449"/>
      <c r="J389" s="4"/>
      <c r="K389" s="4"/>
      <c r="L389" s="449"/>
      <c r="M389" s="449"/>
      <c r="N389" s="449"/>
      <c r="O389" s="4"/>
      <c r="P389" s="4"/>
      <c r="Q389" s="449"/>
      <c r="R389" s="449"/>
      <c r="S389" s="445">
        <f t="shared" si="42"/>
        <v>0</v>
      </c>
      <c r="T389" s="445">
        <f t="shared" si="43"/>
        <v>0</v>
      </c>
      <c r="U389" s="445">
        <f t="shared" si="44"/>
        <v>0</v>
      </c>
      <c r="W389" s="450">
        <f t="shared" si="34"/>
        <v>0</v>
      </c>
      <c r="X389" s="448">
        <f t="shared" si="35"/>
        <v>0</v>
      </c>
      <c r="Y389" s="441"/>
      <c r="Z389" s="441"/>
      <c r="AA389" s="441"/>
      <c r="AB389" s="441"/>
      <c r="AC389" s="441"/>
      <c r="AD389" s="441"/>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8"/>
      <c r="BB389" s="448"/>
      <c r="BC389" s="448"/>
      <c r="BD389" s="448"/>
    </row>
    <row r="390" spans="1:56" ht="12.75" thickBot="1">
      <c r="A390" s="1" t="s">
        <v>1274</v>
      </c>
      <c r="B390" s="2" t="s">
        <v>400</v>
      </c>
      <c r="C390" s="2" t="s">
        <v>427</v>
      </c>
      <c r="D390" s="8" t="s">
        <v>13</v>
      </c>
      <c r="E390" s="3">
        <f t="shared" ref="E390:R390" si="45">ROUND(SUMIFS(E$1410:E$1613,$A$1410:$A$1613,$A390,$B$1410:$B$1613,$B390),0)</f>
        <v>258348857</v>
      </c>
      <c r="F390" s="452">
        <f t="shared" si="45"/>
        <v>3893994</v>
      </c>
      <c r="G390" s="452">
        <f t="shared" si="45"/>
        <v>13478060</v>
      </c>
      <c r="H390" s="452">
        <f t="shared" si="45"/>
        <v>7040006</v>
      </c>
      <c r="I390" s="452">
        <f t="shared" si="45"/>
        <v>346187</v>
      </c>
      <c r="J390" s="452">
        <f t="shared" si="45"/>
        <v>0</v>
      </c>
      <c r="K390" s="452">
        <f t="shared" si="45"/>
        <v>0</v>
      </c>
      <c r="L390" s="452">
        <f t="shared" si="45"/>
        <v>433592</v>
      </c>
      <c r="M390" s="452">
        <f t="shared" si="45"/>
        <v>-225077</v>
      </c>
      <c r="N390" s="452">
        <f t="shared" si="45"/>
        <v>2859958</v>
      </c>
      <c r="O390" s="452">
        <f t="shared" si="45"/>
        <v>0</v>
      </c>
      <c r="P390" s="452">
        <f t="shared" si="45"/>
        <v>0</v>
      </c>
      <c r="Q390" s="452"/>
      <c r="R390" s="452">
        <f t="shared" si="45"/>
        <v>27826721</v>
      </c>
      <c r="S390" s="445">
        <f t="shared" si="42"/>
        <v>20864253</v>
      </c>
      <c r="T390" s="445">
        <f t="shared" si="43"/>
        <v>0</v>
      </c>
      <c r="U390" s="445">
        <f t="shared" si="44"/>
        <v>2859958</v>
      </c>
      <c r="W390" s="450">
        <f t="shared" si="34"/>
        <v>27826720</v>
      </c>
      <c r="X390" s="448">
        <f t="shared" si="35"/>
        <v>-1</v>
      </c>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8"/>
      <c r="BB390" s="448"/>
      <c r="BC390" s="448"/>
      <c r="BD390" s="448"/>
    </row>
    <row r="391" spans="1:56" ht="12.75" thickBot="1">
      <c r="A391" s="1" t="s">
        <v>1274</v>
      </c>
      <c r="B391" s="2" t="s">
        <v>401</v>
      </c>
      <c r="C391" s="2" t="s">
        <v>428</v>
      </c>
      <c r="D391" s="8" t="s">
        <v>13</v>
      </c>
      <c r="E391" s="460"/>
      <c r="F391" s="449"/>
      <c r="G391" s="449"/>
      <c r="H391" s="449"/>
      <c r="I391" s="449"/>
      <c r="J391" s="4"/>
      <c r="K391" s="4"/>
      <c r="L391" s="449"/>
      <c r="M391" s="449"/>
      <c r="N391" s="449"/>
      <c r="O391" s="4"/>
      <c r="P391" s="4"/>
      <c r="Q391" s="449"/>
      <c r="R391" s="449"/>
      <c r="S391" s="445">
        <f t="shared" si="42"/>
        <v>0</v>
      </c>
      <c r="T391" s="445">
        <f t="shared" si="43"/>
        <v>0</v>
      </c>
      <c r="U391" s="445">
        <f t="shared" si="44"/>
        <v>0</v>
      </c>
      <c r="W391" s="450">
        <f t="shared" si="34"/>
        <v>0</v>
      </c>
      <c r="X391" s="448">
        <f t="shared" si="35"/>
        <v>0</v>
      </c>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8"/>
      <c r="BB391" s="448"/>
      <c r="BC391" s="448"/>
      <c r="BD391" s="448"/>
    </row>
    <row r="392" spans="1:56" ht="12.75" thickBot="1">
      <c r="A392" s="1" t="s">
        <v>1274</v>
      </c>
      <c r="B392" s="2" t="s">
        <v>402</v>
      </c>
      <c r="C392" s="2" t="s">
        <v>429</v>
      </c>
      <c r="D392" s="8" t="s">
        <v>13</v>
      </c>
      <c r="E392" s="459"/>
      <c r="F392" s="451"/>
      <c r="G392" s="451"/>
      <c r="H392" s="451"/>
      <c r="I392" s="451"/>
      <c r="J392" s="6"/>
      <c r="K392" s="6"/>
      <c r="L392" s="451"/>
      <c r="M392" s="451"/>
      <c r="N392" s="451"/>
      <c r="O392" s="6"/>
      <c r="P392" s="6"/>
      <c r="Q392" s="451"/>
      <c r="R392" s="451"/>
      <c r="S392" s="445">
        <f t="shared" si="42"/>
        <v>0</v>
      </c>
      <c r="T392" s="445">
        <f t="shared" si="43"/>
        <v>0</v>
      </c>
      <c r="U392" s="445">
        <f t="shared" si="44"/>
        <v>0</v>
      </c>
      <c r="W392" s="450">
        <f t="shared" si="34"/>
        <v>0</v>
      </c>
      <c r="X392" s="448">
        <f t="shared" si="35"/>
        <v>0</v>
      </c>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8"/>
      <c r="BB392" s="448"/>
      <c r="BC392" s="448"/>
      <c r="BD392" s="448"/>
    </row>
    <row r="393" spans="1:56" ht="12.75" hidden="1" thickBot="1">
      <c r="A393" s="1" t="s">
        <v>1274</v>
      </c>
      <c r="B393" s="2" t="s">
        <v>706</v>
      </c>
      <c r="C393" s="2" t="s">
        <v>1204</v>
      </c>
      <c r="D393" s="8" t="s">
        <v>641</v>
      </c>
      <c r="E393" s="460"/>
      <c r="F393" s="449"/>
      <c r="G393" s="449"/>
      <c r="H393" s="449"/>
      <c r="I393" s="449"/>
      <c r="J393" s="4"/>
      <c r="K393" s="4"/>
      <c r="L393" s="449"/>
      <c r="M393" s="449"/>
      <c r="N393" s="449"/>
      <c r="O393" s="4"/>
      <c r="P393" s="4"/>
      <c r="Q393" s="4"/>
      <c r="R393" s="449"/>
      <c r="S393" s="445">
        <f t="shared" si="42"/>
        <v>0</v>
      </c>
      <c r="T393" s="445">
        <f t="shared" si="43"/>
        <v>0</v>
      </c>
      <c r="U393" s="445">
        <f t="shared" si="44"/>
        <v>0</v>
      </c>
      <c r="W393" s="450">
        <f t="shared" si="34"/>
        <v>0</v>
      </c>
      <c r="X393" s="448">
        <f t="shared" si="35"/>
        <v>0</v>
      </c>
      <c r="Y393" s="441"/>
      <c r="Z393" s="441"/>
      <c r="AA393" s="441"/>
      <c r="AB393" s="441"/>
      <c r="AC393" s="441"/>
      <c r="AD393" s="441"/>
      <c r="AE393" s="441"/>
      <c r="AF393" s="441"/>
      <c r="AG393" s="441"/>
      <c r="AH393" s="441"/>
      <c r="AI393" s="441"/>
      <c r="AJ393" s="441"/>
      <c r="AK393" s="441"/>
      <c r="AL393" s="441"/>
      <c r="AM393" s="441"/>
      <c r="AN393" s="441"/>
      <c r="AO393" s="441"/>
      <c r="AP393" s="441"/>
      <c r="AQ393" s="441"/>
      <c r="AR393" s="441"/>
      <c r="AS393" s="441"/>
      <c r="AT393" s="441"/>
      <c r="AU393" s="441"/>
      <c r="AV393" s="441"/>
      <c r="AW393" s="441"/>
      <c r="AX393" s="441"/>
      <c r="AY393" s="441"/>
      <c r="AZ393" s="441"/>
      <c r="BA393" s="448"/>
      <c r="BB393" s="448"/>
      <c r="BC393" s="448"/>
      <c r="BD393" s="448"/>
    </row>
    <row r="394" spans="1:56" ht="12.75" hidden="1" thickBot="1">
      <c r="A394" s="1" t="s">
        <v>1274</v>
      </c>
      <c r="B394" s="2" t="s">
        <v>1230</v>
      </c>
      <c r="C394" s="2" t="s">
        <v>1245</v>
      </c>
      <c r="D394" s="8" t="s">
        <v>641</v>
      </c>
      <c r="E394" s="459"/>
      <c r="F394" s="451"/>
      <c r="G394" s="451"/>
      <c r="H394" s="451"/>
      <c r="I394" s="451"/>
      <c r="J394" s="6"/>
      <c r="K394" s="6"/>
      <c r="L394" s="451"/>
      <c r="M394" s="451"/>
      <c r="N394" s="451"/>
      <c r="O394" s="6"/>
      <c r="P394" s="6"/>
      <c r="Q394" s="6"/>
      <c r="R394" s="451"/>
      <c r="S394" s="445">
        <f t="shared" si="42"/>
        <v>0</v>
      </c>
      <c r="T394" s="445">
        <f t="shared" si="43"/>
        <v>0</v>
      </c>
      <c r="U394" s="445">
        <f t="shared" si="44"/>
        <v>0</v>
      </c>
      <c r="W394" s="450">
        <f t="shared" si="34"/>
        <v>0</v>
      </c>
      <c r="X394" s="448">
        <f t="shared" si="35"/>
        <v>0</v>
      </c>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8"/>
      <c r="BB394" s="448"/>
      <c r="BC394" s="448"/>
      <c r="BD394" s="448"/>
    </row>
    <row r="395" spans="1:56" ht="12.75" hidden="1" thickBot="1">
      <c r="A395" s="1" t="s">
        <v>1274</v>
      </c>
      <c r="B395" s="2" t="s">
        <v>362</v>
      </c>
      <c r="C395" s="2" t="s">
        <v>363</v>
      </c>
      <c r="D395" s="8" t="s">
        <v>1205</v>
      </c>
      <c r="E395" s="457"/>
      <c r="F395" s="4"/>
      <c r="G395" s="4"/>
      <c r="H395" s="4"/>
      <c r="I395" s="4"/>
      <c r="J395" s="4"/>
      <c r="K395" s="4"/>
      <c r="L395" s="4"/>
      <c r="M395" s="4"/>
      <c r="N395" s="4"/>
      <c r="O395" s="4"/>
      <c r="P395" s="4"/>
      <c r="Q395" s="4"/>
      <c r="R395" s="4"/>
      <c r="S395" s="445">
        <f t="shared" si="42"/>
        <v>0</v>
      </c>
      <c r="T395" s="445">
        <f t="shared" si="43"/>
        <v>0</v>
      </c>
      <c r="U395" s="445">
        <f t="shared" si="44"/>
        <v>0</v>
      </c>
      <c r="W395" s="450">
        <f t="shared" si="34"/>
        <v>0</v>
      </c>
      <c r="X395" s="448">
        <f t="shared" si="35"/>
        <v>0</v>
      </c>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8"/>
      <c r="BB395" s="448"/>
      <c r="BC395" s="448"/>
      <c r="BD395" s="448"/>
    </row>
    <row r="396" spans="1:56" ht="12.75" hidden="1" thickBot="1">
      <c r="A396" s="1" t="s">
        <v>1274</v>
      </c>
      <c r="B396" s="2" t="s">
        <v>342</v>
      </c>
      <c r="C396" s="2" t="s">
        <v>1035</v>
      </c>
      <c r="D396" s="8" t="s">
        <v>459</v>
      </c>
      <c r="E396" s="459"/>
      <c r="F396" s="6"/>
      <c r="G396" s="451"/>
      <c r="H396" s="6"/>
      <c r="I396" s="6"/>
      <c r="J396" s="6"/>
      <c r="K396" s="6"/>
      <c r="L396" s="6"/>
      <c r="M396" s="451"/>
      <c r="N396" s="451"/>
      <c r="O396" s="6"/>
      <c r="P396" s="6"/>
      <c r="Q396" s="451"/>
      <c r="R396" s="451"/>
      <c r="S396" s="445">
        <f t="shared" si="42"/>
        <v>0</v>
      </c>
      <c r="T396" s="445">
        <f t="shared" si="43"/>
        <v>0</v>
      </c>
      <c r="U396" s="445">
        <f t="shared" si="44"/>
        <v>0</v>
      </c>
      <c r="W396" s="450">
        <f t="shared" si="34"/>
        <v>0</v>
      </c>
      <c r="X396" s="448">
        <f t="shared" si="35"/>
        <v>0</v>
      </c>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8"/>
      <c r="BB396" s="448"/>
      <c r="BC396" s="448"/>
      <c r="BD396" s="448"/>
    </row>
    <row r="397" spans="1:56" ht="12.75" hidden="1" thickBot="1">
      <c r="A397" s="1" t="s">
        <v>1274</v>
      </c>
      <c r="B397" s="2" t="s">
        <v>213</v>
      </c>
      <c r="C397" s="2" t="s">
        <v>1036</v>
      </c>
      <c r="D397" s="8" t="s">
        <v>459</v>
      </c>
      <c r="E397" s="460"/>
      <c r="F397" s="4"/>
      <c r="G397" s="449"/>
      <c r="H397" s="4"/>
      <c r="I397" s="4"/>
      <c r="J397" s="4"/>
      <c r="K397" s="4"/>
      <c r="L397" s="4"/>
      <c r="M397" s="449"/>
      <c r="N397" s="449"/>
      <c r="O397" s="4"/>
      <c r="P397" s="4"/>
      <c r="Q397" s="449"/>
      <c r="R397" s="449"/>
      <c r="S397" s="445">
        <f t="shared" si="42"/>
        <v>0</v>
      </c>
      <c r="T397" s="445">
        <f t="shared" si="43"/>
        <v>0</v>
      </c>
      <c r="U397" s="445">
        <f t="shared" si="44"/>
        <v>0</v>
      </c>
      <c r="W397" s="450">
        <f t="shared" si="34"/>
        <v>0</v>
      </c>
      <c r="X397" s="448">
        <f t="shared" si="35"/>
        <v>0</v>
      </c>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8"/>
      <c r="BB397" s="448"/>
      <c r="BC397" s="448"/>
      <c r="BD397" s="448"/>
    </row>
    <row r="398" spans="1:56" ht="12.75" hidden="1" thickBot="1">
      <c r="A398" s="1" t="s">
        <v>1274</v>
      </c>
      <c r="B398" s="2" t="s">
        <v>214</v>
      </c>
      <c r="C398" s="2" t="s">
        <v>1037</v>
      </c>
      <c r="D398" s="8" t="s">
        <v>459</v>
      </c>
      <c r="E398" s="459"/>
      <c r="F398" s="6"/>
      <c r="G398" s="451"/>
      <c r="H398" s="6"/>
      <c r="I398" s="6"/>
      <c r="J398" s="6"/>
      <c r="K398" s="6"/>
      <c r="L398" s="6"/>
      <c r="M398" s="451"/>
      <c r="N398" s="451"/>
      <c r="O398" s="6"/>
      <c r="P398" s="6"/>
      <c r="Q398" s="451"/>
      <c r="R398" s="451"/>
      <c r="S398" s="445">
        <f t="shared" si="42"/>
        <v>0</v>
      </c>
      <c r="T398" s="445">
        <f t="shared" si="43"/>
        <v>0</v>
      </c>
      <c r="U398" s="445">
        <f t="shared" si="44"/>
        <v>0</v>
      </c>
      <c r="W398" s="450">
        <f t="shared" si="34"/>
        <v>0</v>
      </c>
      <c r="X398" s="448">
        <f t="shared" ref="X398:X461" si="46">W398-R398</f>
        <v>0</v>
      </c>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8"/>
      <c r="BB398" s="448"/>
      <c r="BC398" s="448"/>
      <c r="BD398" s="448"/>
    </row>
    <row r="399" spans="1:56" ht="12.75" hidden="1" thickBot="1">
      <c r="A399" s="1" t="s">
        <v>1274</v>
      </c>
      <c r="B399" s="2" t="s">
        <v>1231</v>
      </c>
      <c r="C399" s="2" t="s">
        <v>1232</v>
      </c>
      <c r="D399" s="8" t="s">
        <v>459</v>
      </c>
      <c r="E399" s="460"/>
      <c r="F399" s="4"/>
      <c r="G399" s="4"/>
      <c r="H399" s="4"/>
      <c r="I399" s="4"/>
      <c r="J399" s="4"/>
      <c r="K399" s="4"/>
      <c r="L399" s="4"/>
      <c r="M399" s="4"/>
      <c r="N399" s="4"/>
      <c r="O399" s="4"/>
      <c r="P399" s="4"/>
      <c r="Q399" s="4"/>
      <c r="R399" s="4"/>
      <c r="S399" s="445">
        <f t="shared" si="42"/>
        <v>0</v>
      </c>
      <c r="T399" s="445">
        <f t="shared" si="43"/>
        <v>0</v>
      </c>
      <c r="U399" s="445">
        <f t="shared" si="44"/>
        <v>0</v>
      </c>
      <c r="W399" s="450">
        <f t="shared" si="34"/>
        <v>0</v>
      </c>
      <c r="X399" s="448">
        <f t="shared" si="46"/>
        <v>0</v>
      </c>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8"/>
      <c r="BB399" s="448"/>
      <c r="BC399" s="448"/>
      <c r="BD399" s="448"/>
    </row>
    <row r="400" spans="1:56" ht="12.75" hidden="1" thickBot="1">
      <c r="A400" s="1" t="s">
        <v>1274</v>
      </c>
      <c r="B400" s="2" t="s">
        <v>215</v>
      </c>
      <c r="C400" s="2" t="s">
        <v>1038</v>
      </c>
      <c r="D400" s="8" t="s">
        <v>459</v>
      </c>
      <c r="E400" s="459"/>
      <c r="F400" s="6"/>
      <c r="G400" s="451"/>
      <c r="H400" s="6"/>
      <c r="I400" s="6"/>
      <c r="J400" s="6"/>
      <c r="K400" s="6"/>
      <c r="L400" s="6"/>
      <c r="M400" s="451"/>
      <c r="N400" s="451"/>
      <c r="O400" s="6"/>
      <c r="P400" s="6"/>
      <c r="Q400" s="451"/>
      <c r="R400" s="451"/>
      <c r="S400" s="445">
        <f t="shared" si="42"/>
        <v>0</v>
      </c>
      <c r="T400" s="445">
        <f t="shared" si="43"/>
        <v>0</v>
      </c>
      <c r="U400" s="445">
        <f t="shared" si="44"/>
        <v>0</v>
      </c>
      <c r="W400" s="450">
        <f t="shared" si="34"/>
        <v>0</v>
      </c>
      <c r="X400" s="448">
        <f t="shared" si="46"/>
        <v>0</v>
      </c>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8"/>
      <c r="BB400" s="448"/>
      <c r="BC400" s="448"/>
      <c r="BD400" s="448"/>
    </row>
    <row r="401" spans="1:56" ht="12.75" hidden="1" thickBot="1">
      <c r="A401" s="1" t="s">
        <v>1274</v>
      </c>
      <c r="B401" s="2" t="s">
        <v>216</v>
      </c>
      <c r="C401" s="2" t="s">
        <v>1039</v>
      </c>
      <c r="D401" s="8" t="s">
        <v>459</v>
      </c>
      <c r="E401" s="460"/>
      <c r="F401" s="4"/>
      <c r="G401" s="449"/>
      <c r="H401" s="4"/>
      <c r="I401" s="4"/>
      <c r="J401" s="4"/>
      <c r="K401" s="4"/>
      <c r="L401" s="4"/>
      <c r="M401" s="449"/>
      <c r="N401" s="449"/>
      <c r="O401" s="4"/>
      <c r="P401" s="4"/>
      <c r="Q401" s="449"/>
      <c r="R401" s="449"/>
      <c r="S401" s="445">
        <f t="shared" si="42"/>
        <v>0</v>
      </c>
      <c r="T401" s="445">
        <f t="shared" si="43"/>
        <v>0</v>
      </c>
      <c r="U401" s="445">
        <f t="shared" si="44"/>
        <v>0</v>
      </c>
      <c r="W401" s="450">
        <f t="shared" si="34"/>
        <v>0</v>
      </c>
      <c r="X401" s="448">
        <f t="shared" si="46"/>
        <v>0</v>
      </c>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8"/>
      <c r="BB401" s="448"/>
      <c r="BC401" s="448"/>
      <c r="BD401" s="448"/>
    </row>
    <row r="402" spans="1:56" ht="12.75" hidden="1" thickBot="1">
      <c r="A402" s="1" t="s">
        <v>1274</v>
      </c>
      <c r="B402" s="2" t="s">
        <v>217</v>
      </c>
      <c r="C402" s="2" t="s">
        <v>1040</v>
      </c>
      <c r="D402" s="8" t="s">
        <v>459</v>
      </c>
      <c r="E402" s="459"/>
      <c r="F402" s="6"/>
      <c r="G402" s="451"/>
      <c r="H402" s="6"/>
      <c r="I402" s="6"/>
      <c r="J402" s="6"/>
      <c r="K402" s="6"/>
      <c r="L402" s="6"/>
      <c r="M402" s="451"/>
      <c r="N402" s="451"/>
      <c r="O402" s="6"/>
      <c r="P402" s="6"/>
      <c r="Q402" s="451"/>
      <c r="R402" s="451"/>
      <c r="S402" s="445">
        <f t="shared" si="42"/>
        <v>0</v>
      </c>
      <c r="T402" s="445">
        <f t="shared" si="43"/>
        <v>0</v>
      </c>
      <c r="U402" s="445">
        <f t="shared" si="44"/>
        <v>0</v>
      </c>
      <c r="W402" s="450">
        <f t="shared" ref="W402:W465" si="47">SUM(F402:Q402)</f>
        <v>0</v>
      </c>
      <c r="X402" s="448">
        <f t="shared" si="46"/>
        <v>0</v>
      </c>
      <c r="Y402" s="441"/>
      <c r="Z402" s="441"/>
      <c r="AA402" s="441"/>
      <c r="AB402" s="441"/>
      <c r="AC402" s="441"/>
      <c r="AD402" s="441"/>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8"/>
      <c r="BB402" s="448"/>
      <c r="BC402" s="448"/>
      <c r="BD402" s="448"/>
    </row>
    <row r="403" spans="1:56" ht="12.75" hidden="1" thickBot="1">
      <c r="A403" s="1" t="s">
        <v>1274</v>
      </c>
      <c r="B403" s="2" t="s">
        <v>344</v>
      </c>
      <c r="C403" s="2" t="s">
        <v>1041</v>
      </c>
      <c r="D403" s="8" t="s">
        <v>459</v>
      </c>
      <c r="E403" s="460"/>
      <c r="F403" s="4"/>
      <c r="G403" s="449"/>
      <c r="H403" s="4"/>
      <c r="I403" s="4"/>
      <c r="J403" s="4"/>
      <c r="K403" s="4"/>
      <c r="L403" s="4"/>
      <c r="M403" s="449"/>
      <c r="N403" s="449"/>
      <c r="O403" s="4"/>
      <c r="P403" s="4"/>
      <c r="Q403" s="449"/>
      <c r="R403" s="449"/>
      <c r="S403" s="445">
        <f t="shared" si="42"/>
        <v>0</v>
      </c>
      <c r="T403" s="445">
        <f t="shared" si="43"/>
        <v>0</v>
      </c>
      <c r="U403" s="445">
        <f t="shared" si="44"/>
        <v>0</v>
      </c>
      <c r="W403" s="450">
        <f t="shared" si="47"/>
        <v>0</v>
      </c>
      <c r="X403" s="448">
        <f t="shared" si="46"/>
        <v>0</v>
      </c>
      <c r="Y403" s="441"/>
      <c r="Z403" s="441"/>
      <c r="AA403" s="441"/>
      <c r="AB403" s="441"/>
      <c r="AC403" s="441"/>
      <c r="AD403" s="441"/>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8"/>
      <c r="BB403" s="448"/>
      <c r="BC403" s="448"/>
      <c r="BD403" s="448"/>
    </row>
    <row r="404" spans="1:56" ht="12.75" hidden="1" thickBot="1">
      <c r="A404" s="1" t="s">
        <v>1274</v>
      </c>
      <c r="B404" s="2" t="s">
        <v>1233</v>
      </c>
      <c r="C404" s="2" t="s">
        <v>1234</v>
      </c>
      <c r="D404" s="8" t="s">
        <v>459</v>
      </c>
      <c r="E404" s="459"/>
      <c r="F404" s="6"/>
      <c r="G404" s="6"/>
      <c r="H404" s="6"/>
      <c r="I404" s="6"/>
      <c r="J404" s="6"/>
      <c r="K404" s="6"/>
      <c r="L404" s="6"/>
      <c r="M404" s="6"/>
      <c r="N404" s="6"/>
      <c r="O404" s="6"/>
      <c r="P404" s="6"/>
      <c r="Q404" s="6"/>
      <c r="R404" s="6"/>
      <c r="S404" s="445">
        <f t="shared" si="42"/>
        <v>0</v>
      </c>
      <c r="T404" s="445">
        <f t="shared" si="43"/>
        <v>0</v>
      </c>
      <c r="U404" s="445">
        <f t="shared" si="44"/>
        <v>0</v>
      </c>
      <c r="W404" s="450">
        <f t="shared" si="47"/>
        <v>0</v>
      </c>
      <c r="X404" s="448">
        <f t="shared" si="46"/>
        <v>0</v>
      </c>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8"/>
      <c r="BB404" s="448"/>
      <c r="BC404" s="448"/>
      <c r="BD404" s="448"/>
    </row>
    <row r="405" spans="1:56" ht="12.75" hidden="1" thickBot="1">
      <c r="A405" s="1" t="s">
        <v>1274</v>
      </c>
      <c r="B405" s="2" t="s">
        <v>218</v>
      </c>
      <c r="C405" s="2" t="s">
        <v>1042</v>
      </c>
      <c r="D405" s="8" t="s">
        <v>459</v>
      </c>
      <c r="E405" s="460"/>
      <c r="F405" s="4"/>
      <c r="G405" s="449"/>
      <c r="H405" s="4"/>
      <c r="I405" s="4"/>
      <c r="J405" s="4"/>
      <c r="K405" s="4"/>
      <c r="L405" s="4"/>
      <c r="M405" s="449"/>
      <c r="N405" s="449"/>
      <c r="O405" s="4"/>
      <c r="P405" s="4"/>
      <c r="Q405" s="449"/>
      <c r="R405" s="449"/>
      <c r="S405" s="445">
        <f t="shared" si="42"/>
        <v>0</v>
      </c>
      <c r="T405" s="445">
        <f t="shared" si="43"/>
        <v>0</v>
      </c>
      <c r="U405" s="445">
        <f t="shared" si="44"/>
        <v>0</v>
      </c>
      <c r="W405" s="450">
        <f t="shared" si="47"/>
        <v>0</v>
      </c>
      <c r="X405" s="448">
        <f t="shared" si="46"/>
        <v>0</v>
      </c>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8"/>
      <c r="BB405" s="448"/>
      <c r="BC405" s="448"/>
      <c r="BD405" s="448"/>
    </row>
    <row r="406" spans="1:56" ht="12.75" hidden="1" thickBot="1">
      <c r="A406" s="1" t="s">
        <v>1274</v>
      </c>
      <c r="B406" s="2" t="s">
        <v>223</v>
      </c>
      <c r="C406" s="2" t="s">
        <v>1043</v>
      </c>
      <c r="D406" s="8" t="s">
        <v>459</v>
      </c>
      <c r="E406" s="459"/>
      <c r="F406" s="6"/>
      <c r="G406" s="451"/>
      <c r="H406" s="6"/>
      <c r="I406" s="6"/>
      <c r="J406" s="6"/>
      <c r="K406" s="6"/>
      <c r="L406" s="6"/>
      <c r="M406" s="451"/>
      <c r="N406" s="451"/>
      <c r="O406" s="6"/>
      <c r="P406" s="6"/>
      <c r="Q406" s="451"/>
      <c r="R406" s="451"/>
      <c r="S406" s="445">
        <f t="shared" si="42"/>
        <v>0</v>
      </c>
      <c r="T406" s="445">
        <f t="shared" si="43"/>
        <v>0</v>
      </c>
      <c r="U406" s="445">
        <f t="shared" si="44"/>
        <v>0</v>
      </c>
      <c r="W406" s="450">
        <f t="shared" si="47"/>
        <v>0</v>
      </c>
      <c r="X406" s="448">
        <f t="shared" si="46"/>
        <v>0</v>
      </c>
      <c r="Y406" s="441"/>
      <c r="Z406" s="441"/>
      <c r="AA406" s="441"/>
      <c r="AB406" s="441"/>
      <c r="AC406" s="441"/>
      <c r="AD406" s="441"/>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8"/>
      <c r="BB406" s="448"/>
      <c r="BC406" s="448"/>
      <c r="BD406" s="448"/>
    </row>
    <row r="407" spans="1:56" ht="12.75" hidden="1" thickBot="1">
      <c r="A407" s="1" t="s">
        <v>1274</v>
      </c>
      <c r="B407" s="2" t="s">
        <v>231</v>
      </c>
      <c r="C407" s="2" t="s">
        <v>1044</v>
      </c>
      <c r="D407" s="8" t="s">
        <v>459</v>
      </c>
      <c r="E407" s="460"/>
      <c r="F407" s="4"/>
      <c r="G407" s="449"/>
      <c r="H407" s="4"/>
      <c r="I407" s="4"/>
      <c r="J407" s="4"/>
      <c r="K407" s="4"/>
      <c r="L407" s="4"/>
      <c r="M407" s="449"/>
      <c r="N407" s="449"/>
      <c r="O407" s="4"/>
      <c r="P407" s="4"/>
      <c r="Q407" s="449"/>
      <c r="R407" s="449"/>
      <c r="S407" s="445">
        <f t="shared" si="42"/>
        <v>0</v>
      </c>
      <c r="T407" s="445">
        <f t="shared" si="43"/>
        <v>0</v>
      </c>
      <c r="U407" s="445">
        <f t="shared" si="44"/>
        <v>0</v>
      </c>
      <c r="W407" s="450">
        <f t="shared" si="47"/>
        <v>0</v>
      </c>
      <c r="X407" s="448">
        <f t="shared" si="46"/>
        <v>0</v>
      </c>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8"/>
      <c r="BB407" s="448"/>
      <c r="BC407" s="448"/>
      <c r="BD407" s="448"/>
    </row>
    <row r="408" spans="1:56" ht="12.75" hidden="1" thickBot="1">
      <c r="A408" s="1" t="s">
        <v>1274</v>
      </c>
      <c r="B408" s="2" t="s">
        <v>232</v>
      </c>
      <c r="C408" s="2" t="s">
        <v>1045</v>
      </c>
      <c r="D408" s="8" t="s">
        <v>459</v>
      </c>
      <c r="E408" s="459"/>
      <c r="F408" s="6"/>
      <c r="G408" s="451"/>
      <c r="H408" s="6"/>
      <c r="I408" s="6"/>
      <c r="J408" s="6"/>
      <c r="K408" s="6"/>
      <c r="L408" s="6"/>
      <c r="M408" s="451"/>
      <c r="N408" s="451"/>
      <c r="O408" s="6"/>
      <c r="P408" s="6"/>
      <c r="Q408" s="451"/>
      <c r="R408" s="451"/>
      <c r="S408" s="445">
        <f t="shared" si="42"/>
        <v>0</v>
      </c>
      <c r="T408" s="445">
        <f t="shared" si="43"/>
        <v>0</v>
      </c>
      <c r="U408" s="445">
        <f t="shared" si="44"/>
        <v>0</v>
      </c>
      <c r="W408" s="450">
        <f t="shared" si="47"/>
        <v>0</v>
      </c>
      <c r="X408" s="448">
        <f t="shared" si="46"/>
        <v>0</v>
      </c>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8"/>
      <c r="BB408" s="448"/>
      <c r="BC408" s="448"/>
      <c r="BD408" s="448"/>
    </row>
    <row r="409" spans="1:56" ht="12.75" hidden="1" thickBot="1">
      <c r="A409" s="1" t="s">
        <v>1274</v>
      </c>
      <c r="B409" s="2" t="s">
        <v>234</v>
      </c>
      <c r="C409" s="2" t="s">
        <v>1046</v>
      </c>
      <c r="D409" s="8" t="s">
        <v>459</v>
      </c>
      <c r="E409" s="460"/>
      <c r="F409" s="4"/>
      <c r="G409" s="449"/>
      <c r="H409" s="4"/>
      <c r="I409" s="4"/>
      <c r="J409" s="4"/>
      <c r="K409" s="4"/>
      <c r="L409" s="4"/>
      <c r="M409" s="449"/>
      <c r="N409" s="449"/>
      <c r="O409" s="4"/>
      <c r="P409" s="4"/>
      <c r="Q409" s="449"/>
      <c r="R409" s="449"/>
      <c r="S409" s="445">
        <f t="shared" si="42"/>
        <v>0</v>
      </c>
      <c r="T409" s="445">
        <f t="shared" si="43"/>
        <v>0</v>
      </c>
      <c r="U409" s="445">
        <f t="shared" si="44"/>
        <v>0</v>
      </c>
      <c r="W409" s="450">
        <f t="shared" si="47"/>
        <v>0</v>
      </c>
      <c r="X409" s="448">
        <f t="shared" si="46"/>
        <v>0</v>
      </c>
      <c r="Y409" s="441"/>
      <c r="Z409" s="441"/>
      <c r="AA409" s="441"/>
      <c r="AB409" s="441"/>
      <c r="AC409" s="441"/>
      <c r="AD409" s="441"/>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8"/>
      <c r="BB409" s="448"/>
      <c r="BC409" s="448"/>
      <c r="BD409" s="448"/>
    </row>
    <row r="410" spans="1:56" ht="12.75" hidden="1" thickBot="1">
      <c r="A410" s="1" t="s">
        <v>1274</v>
      </c>
      <c r="B410" s="2" t="s">
        <v>353</v>
      </c>
      <c r="C410" s="2" t="s">
        <v>1047</v>
      </c>
      <c r="D410" s="8" t="s">
        <v>459</v>
      </c>
      <c r="E410" s="459"/>
      <c r="F410" s="6"/>
      <c r="G410" s="451"/>
      <c r="H410" s="6"/>
      <c r="I410" s="6"/>
      <c r="J410" s="6"/>
      <c r="K410" s="6"/>
      <c r="L410" s="6"/>
      <c r="M410" s="451"/>
      <c r="N410" s="451"/>
      <c r="O410" s="6"/>
      <c r="P410" s="6"/>
      <c r="Q410" s="451"/>
      <c r="R410" s="451"/>
      <c r="S410" s="445">
        <f t="shared" si="42"/>
        <v>0</v>
      </c>
      <c r="T410" s="445">
        <f t="shared" si="43"/>
        <v>0</v>
      </c>
      <c r="U410" s="445">
        <f t="shared" si="44"/>
        <v>0</v>
      </c>
      <c r="W410" s="450">
        <f t="shared" si="47"/>
        <v>0</v>
      </c>
      <c r="X410" s="448">
        <f t="shared" si="46"/>
        <v>0</v>
      </c>
      <c r="Y410" s="441"/>
      <c r="Z410" s="441"/>
      <c r="AA410" s="441"/>
      <c r="AB410" s="441"/>
      <c r="AC410" s="441"/>
      <c r="AD410" s="441"/>
      <c r="AE410" s="441"/>
      <c r="AF410" s="441"/>
      <c r="AG410" s="441"/>
      <c r="AH410" s="441"/>
      <c r="AI410" s="441"/>
      <c r="AJ410" s="441"/>
      <c r="AK410" s="441"/>
      <c r="AL410" s="441"/>
      <c r="AM410" s="441"/>
      <c r="AN410" s="441"/>
      <c r="AO410" s="441"/>
      <c r="AP410" s="441"/>
      <c r="AQ410" s="441"/>
      <c r="AR410" s="441"/>
      <c r="AS410" s="441"/>
      <c r="AT410" s="441"/>
      <c r="AU410" s="441"/>
      <c r="AV410" s="441"/>
      <c r="AW410" s="441"/>
      <c r="AX410" s="441"/>
      <c r="AY410" s="441"/>
      <c r="AZ410" s="441"/>
      <c r="BA410" s="448"/>
      <c r="BB410" s="448"/>
      <c r="BC410" s="448"/>
      <c r="BD410" s="448"/>
    </row>
    <row r="411" spans="1:56" ht="12.75" hidden="1" thickBot="1">
      <c r="A411" s="1" t="s">
        <v>1274</v>
      </c>
      <c r="B411" s="2" t="s">
        <v>235</v>
      </c>
      <c r="C411" s="2" t="s">
        <v>1048</v>
      </c>
      <c r="D411" s="8" t="s">
        <v>459</v>
      </c>
      <c r="E411" s="460"/>
      <c r="F411" s="4"/>
      <c r="G411" s="449"/>
      <c r="H411" s="4"/>
      <c r="I411" s="4"/>
      <c r="J411" s="4"/>
      <c r="K411" s="4"/>
      <c r="L411" s="4"/>
      <c r="M411" s="449"/>
      <c r="N411" s="449"/>
      <c r="O411" s="4"/>
      <c r="P411" s="4"/>
      <c r="Q411" s="449"/>
      <c r="R411" s="449"/>
      <c r="S411" s="445">
        <f t="shared" si="42"/>
        <v>0</v>
      </c>
      <c r="T411" s="445">
        <f t="shared" si="43"/>
        <v>0</v>
      </c>
      <c r="U411" s="445">
        <f t="shared" si="44"/>
        <v>0</v>
      </c>
      <c r="W411" s="450">
        <f t="shared" si="47"/>
        <v>0</v>
      </c>
      <c r="X411" s="448">
        <f t="shared" si="46"/>
        <v>0</v>
      </c>
      <c r="Y411" s="441"/>
      <c r="Z411" s="441"/>
      <c r="AA411" s="441"/>
      <c r="AB411" s="441"/>
      <c r="AC411" s="441"/>
      <c r="AD411" s="441"/>
      <c r="AE411" s="441"/>
      <c r="AF411" s="441"/>
      <c r="AG411" s="441"/>
      <c r="AH411" s="441"/>
      <c r="AI411" s="441"/>
      <c r="AJ411" s="441"/>
      <c r="AK411" s="441"/>
      <c r="AL411" s="441"/>
      <c r="AM411" s="441"/>
      <c r="AN411" s="441"/>
      <c r="AO411" s="441"/>
      <c r="AP411" s="441"/>
      <c r="AQ411" s="441"/>
      <c r="AR411" s="441"/>
      <c r="AS411" s="441"/>
      <c r="AT411" s="441"/>
      <c r="AU411" s="441"/>
      <c r="AV411" s="441"/>
      <c r="AW411" s="441"/>
      <c r="AX411" s="441"/>
      <c r="AY411" s="441"/>
      <c r="AZ411" s="441"/>
      <c r="BA411" s="448"/>
      <c r="BB411" s="448"/>
      <c r="BC411" s="448"/>
      <c r="BD411" s="448"/>
    </row>
    <row r="412" spans="1:56" ht="12.75" hidden="1" thickBot="1">
      <c r="A412" s="1" t="s">
        <v>1274</v>
      </c>
      <c r="B412" s="2" t="s">
        <v>236</v>
      </c>
      <c r="C412" s="2" t="s">
        <v>1049</v>
      </c>
      <c r="D412" s="8" t="s">
        <v>459</v>
      </c>
      <c r="E412" s="459"/>
      <c r="F412" s="6"/>
      <c r="G412" s="451"/>
      <c r="H412" s="6"/>
      <c r="I412" s="6"/>
      <c r="J412" s="6"/>
      <c r="K412" s="6"/>
      <c r="L412" s="6"/>
      <c r="M412" s="451"/>
      <c r="N412" s="451"/>
      <c r="O412" s="6"/>
      <c r="P412" s="6"/>
      <c r="Q412" s="451"/>
      <c r="R412" s="451"/>
      <c r="S412" s="445">
        <f t="shared" si="42"/>
        <v>0</v>
      </c>
      <c r="T412" s="445">
        <f t="shared" si="43"/>
        <v>0</v>
      </c>
      <c r="U412" s="445">
        <f t="shared" si="44"/>
        <v>0</v>
      </c>
      <c r="W412" s="450">
        <f t="shared" si="47"/>
        <v>0</v>
      </c>
      <c r="X412" s="448">
        <f t="shared" si="46"/>
        <v>0</v>
      </c>
      <c r="Y412" s="441"/>
      <c r="Z412" s="441"/>
      <c r="AA412" s="441"/>
      <c r="AB412" s="441"/>
      <c r="AC412" s="441"/>
      <c r="AD412" s="441"/>
      <c r="AE412" s="441"/>
      <c r="AF412" s="441"/>
      <c r="AG412" s="441"/>
      <c r="AH412" s="441"/>
      <c r="AI412" s="441"/>
      <c r="AJ412" s="441"/>
      <c r="AK412" s="441"/>
      <c r="AL412" s="441"/>
      <c r="AM412" s="441"/>
      <c r="AN412" s="441"/>
      <c r="AO412" s="441"/>
      <c r="AP412" s="441"/>
      <c r="AQ412" s="441"/>
      <c r="AR412" s="441"/>
      <c r="AS412" s="441"/>
      <c r="AT412" s="441"/>
      <c r="AU412" s="441"/>
      <c r="AV412" s="441"/>
      <c r="AW412" s="441"/>
      <c r="AX412" s="441"/>
      <c r="AY412" s="441"/>
      <c r="AZ412" s="441"/>
      <c r="BA412" s="448"/>
      <c r="BB412" s="448"/>
      <c r="BC412" s="448"/>
      <c r="BD412" s="448"/>
    </row>
    <row r="413" spans="1:56" ht="12.75" hidden="1" thickBot="1">
      <c r="A413" s="1" t="s">
        <v>1274</v>
      </c>
      <c r="B413" s="2" t="s">
        <v>354</v>
      </c>
      <c r="C413" s="2" t="s">
        <v>1050</v>
      </c>
      <c r="D413" s="8" t="s">
        <v>459</v>
      </c>
      <c r="E413" s="460"/>
      <c r="F413" s="4"/>
      <c r="G413" s="449"/>
      <c r="H413" s="4"/>
      <c r="I413" s="4"/>
      <c r="J413" s="4"/>
      <c r="K413" s="4"/>
      <c r="L413" s="4"/>
      <c r="M413" s="449"/>
      <c r="N413" s="449"/>
      <c r="O413" s="4"/>
      <c r="P413" s="4"/>
      <c r="Q413" s="449"/>
      <c r="R413" s="449"/>
      <c r="S413" s="445">
        <f t="shared" si="42"/>
        <v>0</v>
      </c>
      <c r="T413" s="445">
        <f t="shared" si="43"/>
        <v>0</v>
      </c>
      <c r="U413" s="445">
        <f t="shared" si="44"/>
        <v>0</v>
      </c>
      <c r="W413" s="450">
        <f t="shared" si="47"/>
        <v>0</v>
      </c>
      <c r="X413" s="448">
        <f t="shared" si="46"/>
        <v>0</v>
      </c>
      <c r="Y413" s="441"/>
      <c r="Z413" s="441"/>
      <c r="AA413" s="441"/>
      <c r="AB413" s="441"/>
      <c r="AC413" s="441"/>
      <c r="AD413" s="441"/>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8"/>
      <c r="BB413" s="448"/>
      <c r="BC413" s="448"/>
      <c r="BD413" s="448"/>
    </row>
    <row r="414" spans="1:56" ht="12.75" hidden="1" thickBot="1">
      <c r="A414" s="1" t="s">
        <v>1274</v>
      </c>
      <c r="B414" s="2" t="s">
        <v>355</v>
      </c>
      <c r="C414" s="2" t="s">
        <v>1051</v>
      </c>
      <c r="D414" s="8" t="s">
        <v>459</v>
      </c>
      <c r="E414" s="459"/>
      <c r="F414" s="6"/>
      <c r="G414" s="451"/>
      <c r="H414" s="6"/>
      <c r="I414" s="6"/>
      <c r="J414" s="6"/>
      <c r="K414" s="6"/>
      <c r="L414" s="6"/>
      <c r="M414" s="451"/>
      <c r="N414" s="451"/>
      <c r="O414" s="6"/>
      <c r="P414" s="6"/>
      <c r="Q414" s="451"/>
      <c r="R414" s="451"/>
      <c r="S414" s="445">
        <f t="shared" si="42"/>
        <v>0</v>
      </c>
      <c r="T414" s="445">
        <f t="shared" si="43"/>
        <v>0</v>
      </c>
      <c r="U414" s="445">
        <f t="shared" si="44"/>
        <v>0</v>
      </c>
      <c r="W414" s="450">
        <f t="shared" si="47"/>
        <v>0</v>
      </c>
      <c r="X414" s="448">
        <f t="shared" si="46"/>
        <v>0</v>
      </c>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8"/>
      <c r="BB414" s="448"/>
      <c r="BC414" s="448"/>
      <c r="BD414" s="448"/>
    </row>
    <row r="415" spans="1:56" ht="12.75" hidden="1" thickBot="1">
      <c r="A415" s="1" t="s">
        <v>1274</v>
      </c>
      <c r="B415" s="2" t="s">
        <v>359</v>
      </c>
      <c r="C415" s="2" t="s">
        <v>1052</v>
      </c>
      <c r="D415" s="8" t="s">
        <v>459</v>
      </c>
      <c r="E415" s="460"/>
      <c r="F415" s="4"/>
      <c r="G415" s="449"/>
      <c r="H415" s="4"/>
      <c r="I415" s="4"/>
      <c r="J415" s="4"/>
      <c r="K415" s="4"/>
      <c r="L415" s="4"/>
      <c r="M415" s="449"/>
      <c r="N415" s="449"/>
      <c r="O415" s="4"/>
      <c r="P415" s="4"/>
      <c r="Q415" s="449"/>
      <c r="R415" s="449"/>
      <c r="S415" s="445">
        <f t="shared" si="42"/>
        <v>0</v>
      </c>
      <c r="T415" s="445">
        <f t="shared" si="43"/>
        <v>0</v>
      </c>
      <c r="U415" s="445">
        <f t="shared" si="44"/>
        <v>0</v>
      </c>
      <c r="W415" s="450">
        <f t="shared" si="47"/>
        <v>0</v>
      </c>
      <c r="X415" s="448">
        <f t="shared" si="46"/>
        <v>0</v>
      </c>
      <c r="Y415" s="441"/>
      <c r="Z415" s="441"/>
      <c r="AA415" s="441"/>
      <c r="AB415" s="441"/>
      <c r="AC415" s="441"/>
      <c r="AD415" s="441"/>
      <c r="AE415" s="441"/>
      <c r="AF415" s="441"/>
      <c r="AG415" s="441"/>
      <c r="AH415" s="441"/>
      <c r="AI415" s="441"/>
      <c r="AJ415" s="441"/>
      <c r="AK415" s="441"/>
      <c r="AL415" s="441"/>
      <c r="AM415" s="441"/>
      <c r="AN415" s="441"/>
      <c r="AO415" s="441"/>
      <c r="AP415" s="441"/>
      <c r="AQ415" s="441"/>
      <c r="AR415" s="441"/>
      <c r="AS415" s="441"/>
      <c r="AT415" s="441"/>
      <c r="AU415" s="441"/>
      <c r="AV415" s="441"/>
      <c r="AW415" s="441"/>
      <c r="AX415" s="441"/>
      <c r="AY415" s="441"/>
      <c r="AZ415" s="441"/>
      <c r="BA415" s="448"/>
      <c r="BB415" s="448"/>
      <c r="BC415" s="448"/>
      <c r="BD415" s="448"/>
    </row>
    <row r="416" spans="1:56" ht="12.75" hidden="1" thickBot="1">
      <c r="A416" s="1" t="s">
        <v>1274</v>
      </c>
      <c r="B416" s="2" t="s">
        <v>356</v>
      </c>
      <c r="C416" s="2" t="s">
        <v>1053</v>
      </c>
      <c r="D416" s="8" t="s">
        <v>459</v>
      </c>
      <c r="E416" s="459"/>
      <c r="F416" s="6"/>
      <c r="G416" s="451"/>
      <c r="H416" s="6"/>
      <c r="I416" s="6"/>
      <c r="J416" s="6"/>
      <c r="K416" s="6"/>
      <c r="L416" s="6"/>
      <c r="M416" s="451"/>
      <c r="N416" s="451"/>
      <c r="O416" s="6"/>
      <c r="P416" s="6"/>
      <c r="Q416" s="451"/>
      <c r="R416" s="451"/>
      <c r="S416" s="445">
        <f t="shared" si="42"/>
        <v>0</v>
      </c>
      <c r="T416" s="445">
        <f t="shared" si="43"/>
        <v>0</v>
      </c>
      <c r="U416" s="445">
        <f t="shared" si="44"/>
        <v>0</v>
      </c>
      <c r="W416" s="450">
        <f t="shared" si="47"/>
        <v>0</v>
      </c>
      <c r="X416" s="448">
        <f t="shared" si="46"/>
        <v>0</v>
      </c>
      <c r="Y416" s="441"/>
      <c r="Z416" s="441"/>
      <c r="AA416" s="441"/>
      <c r="AB416" s="441"/>
      <c r="AC416" s="441"/>
      <c r="AD416" s="441"/>
      <c r="AE416" s="441"/>
      <c r="AF416" s="441"/>
      <c r="AG416" s="441"/>
      <c r="AH416" s="441"/>
      <c r="AI416" s="441"/>
      <c r="AJ416" s="441"/>
      <c r="AK416" s="441"/>
      <c r="AL416" s="441"/>
      <c r="AM416" s="441"/>
      <c r="AN416" s="441"/>
      <c r="AO416" s="441"/>
      <c r="AP416" s="441"/>
      <c r="AQ416" s="441"/>
      <c r="AR416" s="441"/>
      <c r="AS416" s="441"/>
      <c r="AT416" s="441"/>
      <c r="AU416" s="441"/>
      <c r="AV416" s="441"/>
      <c r="AW416" s="441"/>
      <c r="AX416" s="441"/>
      <c r="AY416" s="441"/>
      <c r="AZ416" s="441"/>
      <c r="BA416" s="448"/>
      <c r="BB416" s="448"/>
      <c r="BC416" s="448"/>
      <c r="BD416" s="448"/>
    </row>
    <row r="417" spans="1:56" ht="12.75" hidden="1" thickBot="1">
      <c r="A417" s="1" t="s">
        <v>1274</v>
      </c>
      <c r="B417" s="2" t="s">
        <v>357</v>
      </c>
      <c r="C417" s="2" t="s">
        <v>1054</v>
      </c>
      <c r="D417" s="8" t="s">
        <v>459</v>
      </c>
      <c r="E417" s="460"/>
      <c r="F417" s="4"/>
      <c r="G417" s="449"/>
      <c r="H417" s="4"/>
      <c r="I417" s="4"/>
      <c r="J417" s="4"/>
      <c r="K417" s="4"/>
      <c r="L417" s="4"/>
      <c r="M417" s="449"/>
      <c r="N417" s="449"/>
      <c r="O417" s="4"/>
      <c r="P417" s="4"/>
      <c r="Q417" s="449"/>
      <c r="R417" s="449"/>
      <c r="S417" s="445">
        <f t="shared" si="42"/>
        <v>0</v>
      </c>
      <c r="T417" s="445">
        <f t="shared" si="43"/>
        <v>0</v>
      </c>
      <c r="U417" s="445">
        <f t="shared" si="44"/>
        <v>0</v>
      </c>
      <c r="W417" s="450">
        <f t="shared" si="47"/>
        <v>0</v>
      </c>
      <c r="X417" s="448">
        <f t="shared" si="46"/>
        <v>0</v>
      </c>
      <c r="Y417" s="441"/>
      <c r="Z417" s="441"/>
      <c r="AA417" s="441"/>
      <c r="AB417" s="441"/>
      <c r="AC417" s="441"/>
      <c r="AD417" s="441"/>
      <c r="AE417" s="441"/>
      <c r="AF417" s="441"/>
      <c r="AG417" s="441"/>
      <c r="AH417" s="441"/>
      <c r="AI417" s="441"/>
      <c r="AJ417" s="441"/>
      <c r="AK417" s="441"/>
      <c r="AL417" s="441"/>
      <c r="AM417" s="441"/>
      <c r="AN417" s="441"/>
      <c r="AO417" s="441"/>
      <c r="AP417" s="441"/>
      <c r="AQ417" s="441"/>
      <c r="AR417" s="441"/>
      <c r="AS417" s="441"/>
      <c r="AT417" s="441"/>
      <c r="AU417" s="441"/>
      <c r="AV417" s="441"/>
      <c r="AW417" s="441"/>
      <c r="AX417" s="441"/>
      <c r="AY417" s="441"/>
      <c r="AZ417" s="441"/>
      <c r="BA417" s="448"/>
      <c r="BB417" s="448"/>
      <c r="BC417" s="448"/>
      <c r="BD417" s="448"/>
    </row>
    <row r="418" spans="1:56" ht="12.75" hidden="1" thickBot="1">
      <c r="A418" s="1" t="s">
        <v>1274</v>
      </c>
      <c r="B418" s="2" t="s">
        <v>358</v>
      </c>
      <c r="C418" s="2" t="s">
        <v>1055</v>
      </c>
      <c r="D418" s="8" t="s">
        <v>459</v>
      </c>
      <c r="E418" s="459"/>
      <c r="F418" s="6"/>
      <c r="G418" s="451"/>
      <c r="H418" s="6"/>
      <c r="I418" s="6"/>
      <c r="J418" s="6"/>
      <c r="K418" s="6"/>
      <c r="L418" s="6"/>
      <c r="M418" s="451"/>
      <c r="N418" s="451"/>
      <c r="O418" s="6"/>
      <c r="P418" s="6"/>
      <c r="Q418" s="451"/>
      <c r="R418" s="451"/>
      <c r="S418" s="445">
        <f t="shared" si="42"/>
        <v>0</v>
      </c>
      <c r="T418" s="445">
        <f t="shared" si="43"/>
        <v>0</v>
      </c>
      <c r="U418" s="445">
        <f t="shared" si="44"/>
        <v>0</v>
      </c>
      <c r="W418" s="450">
        <f t="shared" si="47"/>
        <v>0</v>
      </c>
      <c r="X418" s="448">
        <f t="shared" si="46"/>
        <v>0</v>
      </c>
      <c r="Y418" s="441"/>
      <c r="Z418" s="441"/>
      <c r="AA418" s="441"/>
      <c r="AB418" s="441"/>
      <c r="AC418" s="441"/>
      <c r="AD418" s="441"/>
      <c r="AE418" s="441"/>
      <c r="AF418" s="441"/>
      <c r="AG418" s="441"/>
      <c r="AH418" s="441"/>
      <c r="AI418" s="441"/>
      <c r="AJ418" s="441"/>
      <c r="AK418" s="441"/>
      <c r="AL418" s="441"/>
      <c r="AM418" s="441"/>
      <c r="AN418" s="441"/>
      <c r="AO418" s="441"/>
      <c r="AP418" s="441"/>
      <c r="AQ418" s="441"/>
      <c r="AR418" s="441"/>
      <c r="AS418" s="441"/>
      <c r="AT418" s="441"/>
      <c r="AU418" s="441"/>
      <c r="AV418" s="441"/>
      <c r="AW418" s="441"/>
      <c r="AX418" s="441"/>
      <c r="AY418" s="441"/>
      <c r="AZ418" s="441"/>
      <c r="BA418" s="448"/>
      <c r="BB418" s="448"/>
      <c r="BC418" s="448"/>
      <c r="BD418" s="448"/>
    </row>
    <row r="419" spans="1:56" ht="12.75" hidden="1" thickBot="1">
      <c r="A419" s="1" t="s">
        <v>1274</v>
      </c>
      <c r="B419" s="2" t="s">
        <v>250</v>
      </c>
      <c r="C419" s="2" t="s">
        <v>1056</v>
      </c>
      <c r="D419" s="8" t="s">
        <v>459</v>
      </c>
      <c r="E419" s="460"/>
      <c r="F419" s="4"/>
      <c r="G419" s="449"/>
      <c r="H419" s="4"/>
      <c r="I419" s="4"/>
      <c r="J419" s="4"/>
      <c r="K419" s="4"/>
      <c r="L419" s="4"/>
      <c r="M419" s="449"/>
      <c r="N419" s="449"/>
      <c r="O419" s="4"/>
      <c r="P419" s="4"/>
      <c r="Q419" s="449"/>
      <c r="R419" s="449"/>
      <c r="S419" s="445">
        <f t="shared" si="42"/>
        <v>0</v>
      </c>
      <c r="T419" s="445">
        <f t="shared" si="43"/>
        <v>0</v>
      </c>
      <c r="U419" s="445">
        <f t="shared" si="44"/>
        <v>0</v>
      </c>
      <c r="W419" s="450">
        <f t="shared" si="47"/>
        <v>0</v>
      </c>
      <c r="X419" s="448">
        <f t="shared" si="46"/>
        <v>0</v>
      </c>
      <c r="Y419" s="441"/>
      <c r="Z419" s="441"/>
      <c r="AA419" s="441"/>
      <c r="AB419" s="441"/>
      <c r="AC419" s="441"/>
      <c r="AD419" s="441"/>
      <c r="AE419" s="441"/>
      <c r="AF419" s="441"/>
      <c r="AG419" s="441"/>
      <c r="AH419" s="441"/>
      <c r="AI419" s="441"/>
      <c r="AJ419" s="441"/>
      <c r="AK419" s="441"/>
      <c r="AL419" s="441"/>
      <c r="AM419" s="441"/>
      <c r="AN419" s="441"/>
      <c r="AO419" s="441"/>
      <c r="AP419" s="441"/>
      <c r="AQ419" s="441"/>
      <c r="AR419" s="441"/>
      <c r="AS419" s="441"/>
      <c r="AT419" s="441"/>
      <c r="AU419" s="441"/>
      <c r="AV419" s="441"/>
      <c r="AW419" s="441"/>
      <c r="AX419" s="441"/>
      <c r="AY419" s="441"/>
      <c r="AZ419" s="441"/>
      <c r="BA419" s="448"/>
      <c r="BB419" s="448"/>
      <c r="BC419" s="448"/>
      <c r="BD419" s="448"/>
    </row>
    <row r="420" spans="1:56" ht="12.75" hidden="1" thickBot="1">
      <c r="A420" s="1" t="s">
        <v>1274</v>
      </c>
      <c r="B420" s="2" t="s">
        <v>251</v>
      </c>
      <c r="C420" s="2" t="s">
        <v>1057</v>
      </c>
      <c r="D420" s="8" t="s">
        <v>459</v>
      </c>
      <c r="E420" s="459"/>
      <c r="F420" s="6"/>
      <c r="G420" s="451"/>
      <c r="H420" s="6"/>
      <c r="I420" s="6"/>
      <c r="J420" s="6"/>
      <c r="K420" s="6"/>
      <c r="L420" s="6"/>
      <c r="M420" s="451"/>
      <c r="N420" s="451"/>
      <c r="O420" s="6"/>
      <c r="P420" s="6"/>
      <c r="Q420" s="451"/>
      <c r="R420" s="451"/>
      <c r="S420" s="445">
        <f t="shared" si="42"/>
        <v>0</v>
      </c>
      <c r="T420" s="445">
        <f t="shared" si="43"/>
        <v>0</v>
      </c>
      <c r="U420" s="445">
        <f t="shared" si="44"/>
        <v>0</v>
      </c>
      <c r="W420" s="450">
        <f t="shared" si="47"/>
        <v>0</v>
      </c>
      <c r="X420" s="448">
        <f t="shared" si="46"/>
        <v>0</v>
      </c>
      <c r="Y420" s="441"/>
      <c r="Z420" s="441"/>
      <c r="AA420" s="441"/>
      <c r="AB420" s="441"/>
      <c r="AC420" s="441"/>
      <c r="AD420" s="441"/>
      <c r="AE420" s="441"/>
      <c r="AF420" s="441"/>
      <c r="AG420" s="441"/>
      <c r="AH420" s="441"/>
      <c r="AI420" s="441"/>
      <c r="AJ420" s="441"/>
      <c r="AK420" s="441"/>
      <c r="AL420" s="441"/>
      <c r="AM420" s="441"/>
      <c r="AN420" s="441"/>
      <c r="AO420" s="441"/>
      <c r="AP420" s="441"/>
      <c r="AQ420" s="441"/>
      <c r="AR420" s="441"/>
      <c r="AS420" s="441"/>
      <c r="AT420" s="441"/>
      <c r="AU420" s="441"/>
      <c r="AV420" s="441"/>
      <c r="AW420" s="441"/>
      <c r="AX420" s="441"/>
      <c r="AY420" s="441"/>
      <c r="AZ420" s="441"/>
      <c r="BA420" s="448"/>
      <c r="BB420" s="448"/>
      <c r="BC420" s="448"/>
      <c r="BD420" s="448"/>
    </row>
    <row r="421" spans="1:56" ht="12.75" hidden="1" thickBot="1">
      <c r="A421" s="1" t="s">
        <v>1274</v>
      </c>
      <c r="B421" s="2" t="s">
        <v>254</v>
      </c>
      <c r="C421" s="2" t="s">
        <v>1058</v>
      </c>
      <c r="D421" s="8" t="s">
        <v>459</v>
      </c>
      <c r="E421" s="460"/>
      <c r="F421" s="4"/>
      <c r="G421" s="449"/>
      <c r="H421" s="4"/>
      <c r="I421" s="4"/>
      <c r="J421" s="4"/>
      <c r="K421" s="4"/>
      <c r="L421" s="4"/>
      <c r="M421" s="449"/>
      <c r="N421" s="449"/>
      <c r="O421" s="4"/>
      <c r="P421" s="4"/>
      <c r="Q421" s="449"/>
      <c r="R421" s="449"/>
      <c r="S421" s="445">
        <f t="shared" si="42"/>
        <v>0</v>
      </c>
      <c r="T421" s="445">
        <f t="shared" si="43"/>
        <v>0</v>
      </c>
      <c r="U421" s="445">
        <f t="shared" si="44"/>
        <v>0</v>
      </c>
      <c r="W421" s="450">
        <f t="shared" si="47"/>
        <v>0</v>
      </c>
      <c r="X421" s="448">
        <f t="shared" si="46"/>
        <v>0</v>
      </c>
      <c r="Y421" s="441"/>
      <c r="Z421" s="441"/>
      <c r="AA421" s="441"/>
      <c r="AB421" s="441"/>
      <c r="AC421" s="441"/>
      <c r="AD421" s="441"/>
      <c r="AE421" s="441"/>
      <c r="AF421" s="441"/>
      <c r="AG421" s="441"/>
      <c r="AH421" s="441"/>
      <c r="AI421" s="441"/>
      <c r="AJ421" s="441"/>
      <c r="AK421" s="441"/>
      <c r="AL421" s="441"/>
      <c r="AM421" s="441"/>
      <c r="AN421" s="441"/>
      <c r="AO421" s="441"/>
      <c r="AP421" s="441"/>
      <c r="AQ421" s="441"/>
      <c r="AR421" s="441"/>
      <c r="AS421" s="441"/>
      <c r="AT421" s="441"/>
      <c r="AU421" s="441"/>
      <c r="AV421" s="441"/>
      <c r="AW421" s="441"/>
      <c r="AX421" s="441"/>
      <c r="AY421" s="441"/>
      <c r="AZ421" s="441"/>
      <c r="BA421" s="448"/>
      <c r="BB421" s="448"/>
      <c r="BC421" s="448"/>
      <c r="BD421" s="448"/>
    </row>
    <row r="422" spans="1:56" ht="12.75" hidden="1" thickBot="1">
      <c r="A422" s="1" t="s">
        <v>1274</v>
      </c>
      <c r="B422" s="2" t="s">
        <v>260</v>
      </c>
      <c r="C422" s="2" t="s">
        <v>1059</v>
      </c>
      <c r="D422" s="8" t="s">
        <v>459</v>
      </c>
      <c r="E422" s="459"/>
      <c r="F422" s="6"/>
      <c r="G422" s="451"/>
      <c r="H422" s="6"/>
      <c r="I422" s="6"/>
      <c r="J422" s="6"/>
      <c r="K422" s="6"/>
      <c r="L422" s="6"/>
      <c r="M422" s="451"/>
      <c r="N422" s="451"/>
      <c r="O422" s="6"/>
      <c r="P422" s="6"/>
      <c r="Q422" s="451"/>
      <c r="R422" s="451"/>
      <c r="S422" s="445">
        <f t="shared" si="42"/>
        <v>0</v>
      </c>
      <c r="T422" s="445">
        <f t="shared" si="43"/>
        <v>0</v>
      </c>
      <c r="U422" s="445">
        <f t="shared" si="44"/>
        <v>0</v>
      </c>
      <c r="W422" s="450">
        <f t="shared" si="47"/>
        <v>0</v>
      </c>
      <c r="X422" s="448">
        <f t="shared" si="46"/>
        <v>0</v>
      </c>
      <c r="Y422" s="441"/>
      <c r="Z422" s="441"/>
      <c r="AA422" s="441"/>
      <c r="AB422" s="441"/>
      <c r="AC422" s="441"/>
      <c r="AD422" s="441"/>
      <c r="AE422" s="441"/>
      <c r="AF422" s="441"/>
      <c r="AG422" s="441"/>
      <c r="AH422" s="441"/>
      <c r="AI422" s="441"/>
      <c r="AJ422" s="441"/>
      <c r="AK422" s="441"/>
      <c r="AL422" s="441"/>
      <c r="AM422" s="441"/>
      <c r="AN422" s="441"/>
      <c r="AO422" s="441"/>
      <c r="AP422" s="441"/>
      <c r="AQ422" s="441"/>
      <c r="AR422" s="441"/>
      <c r="AS422" s="441"/>
      <c r="AT422" s="441"/>
      <c r="AU422" s="441"/>
      <c r="AV422" s="441"/>
      <c r="AW422" s="441"/>
      <c r="AX422" s="441"/>
      <c r="AY422" s="441"/>
      <c r="AZ422" s="441"/>
      <c r="BA422" s="448"/>
      <c r="BB422" s="448"/>
      <c r="BC422" s="448"/>
      <c r="BD422" s="448"/>
    </row>
    <row r="423" spans="1:56" ht="12.75" hidden="1" thickBot="1">
      <c r="A423" s="1" t="s">
        <v>1274</v>
      </c>
      <c r="B423" s="2" t="s">
        <v>262</v>
      </c>
      <c r="C423" s="2" t="s">
        <v>1060</v>
      </c>
      <c r="D423" s="8" t="s">
        <v>459</v>
      </c>
      <c r="E423" s="460"/>
      <c r="F423" s="4"/>
      <c r="G423" s="449"/>
      <c r="H423" s="4"/>
      <c r="I423" s="4"/>
      <c r="J423" s="4"/>
      <c r="K423" s="4"/>
      <c r="L423" s="4"/>
      <c r="M423" s="449"/>
      <c r="N423" s="449"/>
      <c r="O423" s="4"/>
      <c r="P423" s="4"/>
      <c r="Q423" s="449"/>
      <c r="R423" s="449"/>
      <c r="S423" s="445">
        <f t="shared" si="42"/>
        <v>0</v>
      </c>
      <c r="T423" s="445">
        <f t="shared" si="43"/>
        <v>0</v>
      </c>
      <c r="U423" s="445">
        <f t="shared" si="44"/>
        <v>0</v>
      </c>
      <c r="W423" s="450">
        <f t="shared" si="47"/>
        <v>0</v>
      </c>
      <c r="X423" s="448">
        <f t="shared" si="46"/>
        <v>0</v>
      </c>
      <c r="Y423" s="441"/>
      <c r="Z423" s="441"/>
      <c r="AA423" s="441"/>
      <c r="AB423" s="441"/>
      <c r="AC423" s="441"/>
      <c r="AD423" s="441"/>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8"/>
      <c r="BB423" s="448"/>
      <c r="BC423" s="448"/>
      <c r="BD423" s="448"/>
    </row>
    <row r="424" spans="1:56" ht="12.75" hidden="1" thickBot="1">
      <c r="A424" s="1" t="s">
        <v>1274</v>
      </c>
      <c r="B424" s="2" t="s">
        <v>340</v>
      </c>
      <c r="C424" s="2" t="s">
        <v>1061</v>
      </c>
      <c r="D424" s="8" t="s">
        <v>567</v>
      </c>
      <c r="E424" s="459"/>
      <c r="F424" s="6"/>
      <c r="G424" s="451"/>
      <c r="H424" s="6"/>
      <c r="I424" s="6"/>
      <c r="J424" s="6"/>
      <c r="K424" s="6"/>
      <c r="L424" s="6"/>
      <c r="M424" s="451"/>
      <c r="N424" s="451"/>
      <c r="O424" s="6"/>
      <c r="P424" s="6"/>
      <c r="Q424" s="6"/>
      <c r="R424" s="451"/>
      <c r="S424" s="445">
        <f t="shared" si="42"/>
        <v>0</v>
      </c>
      <c r="T424" s="445">
        <f t="shared" si="43"/>
        <v>0</v>
      </c>
      <c r="U424" s="445">
        <f t="shared" si="44"/>
        <v>0</v>
      </c>
      <c r="W424" s="450">
        <f t="shared" si="47"/>
        <v>0</v>
      </c>
      <c r="X424" s="448">
        <f t="shared" si="46"/>
        <v>0</v>
      </c>
      <c r="Y424" s="441"/>
      <c r="Z424" s="441"/>
      <c r="AA424" s="441"/>
      <c r="AB424" s="441"/>
      <c r="AC424" s="441"/>
      <c r="AD424" s="441"/>
      <c r="AE424" s="441"/>
      <c r="AF424" s="441"/>
      <c r="AG424" s="441"/>
      <c r="AH424" s="441"/>
      <c r="AI424" s="441"/>
      <c r="AJ424" s="441"/>
      <c r="AK424" s="441"/>
      <c r="AL424" s="441"/>
      <c r="AM424" s="441"/>
      <c r="AN424" s="441"/>
      <c r="AO424" s="441"/>
      <c r="AP424" s="441"/>
      <c r="AQ424" s="441"/>
      <c r="AR424" s="441"/>
      <c r="AS424" s="441"/>
      <c r="AT424" s="441"/>
      <c r="AU424" s="441"/>
      <c r="AV424" s="441"/>
      <c r="AW424" s="441"/>
      <c r="AX424" s="441"/>
      <c r="AY424" s="441"/>
      <c r="AZ424" s="441"/>
      <c r="BA424" s="448"/>
      <c r="BB424" s="448"/>
      <c r="BC424" s="448"/>
      <c r="BD424" s="448"/>
    </row>
    <row r="425" spans="1:56" ht="12.75" hidden="1" thickBot="1">
      <c r="A425" s="1" t="s">
        <v>1274</v>
      </c>
      <c r="B425" s="2" t="s">
        <v>692</v>
      </c>
      <c r="C425" s="2" t="s">
        <v>1062</v>
      </c>
      <c r="D425" s="8" t="s">
        <v>567</v>
      </c>
      <c r="E425" s="460"/>
      <c r="F425" s="4"/>
      <c r="G425" s="449"/>
      <c r="H425" s="4"/>
      <c r="I425" s="4"/>
      <c r="J425" s="4"/>
      <c r="K425" s="4"/>
      <c r="L425" s="4"/>
      <c r="M425" s="449"/>
      <c r="N425" s="449"/>
      <c r="O425" s="4"/>
      <c r="P425" s="4"/>
      <c r="Q425" s="4"/>
      <c r="R425" s="449"/>
      <c r="S425" s="445">
        <f t="shared" si="42"/>
        <v>0</v>
      </c>
      <c r="T425" s="445">
        <f t="shared" si="43"/>
        <v>0</v>
      </c>
      <c r="U425" s="445">
        <f t="shared" si="44"/>
        <v>0</v>
      </c>
      <c r="W425" s="450">
        <f t="shared" si="47"/>
        <v>0</v>
      </c>
      <c r="X425" s="448">
        <f t="shared" si="46"/>
        <v>0</v>
      </c>
      <c r="Y425" s="441"/>
      <c r="Z425" s="441"/>
      <c r="AA425" s="441"/>
      <c r="AB425" s="441"/>
      <c r="AC425" s="441"/>
      <c r="AD425" s="441"/>
      <c r="AE425" s="441"/>
      <c r="AF425" s="441"/>
      <c r="AG425" s="441"/>
      <c r="AH425" s="441"/>
      <c r="AI425" s="441"/>
      <c r="AJ425" s="441"/>
      <c r="AK425" s="441"/>
      <c r="AL425" s="441"/>
      <c r="AM425" s="441"/>
      <c r="AN425" s="441"/>
      <c r="AO425" s="441"/>
      <c r="AP425" s="441"/>
      <c r="AQ425" s="441"/>
      <c r="AR425" s="441"/>
      <c r="AS425" s="441"/>
      <c r="AT425" s="441"/>
      <c r="AU425" s="441"/>
      <c r="AV425" s="441"/>
      <c r="AW425" s="441"/>
      <c r="AX425" s="441"/>
      <c r="AY425" s="441"/>
      <c r="AZ425" s="441"/>
      <c r="BA425" s="448"/>
      <c r="BB425" s="448"/>
      <c r="BC425" s="448"/>
      <c r="BD425" s="448"/>
    </row>
    <row r="426" spans="1:56" ht="12.75" hidden="1" thickBot="1">
      <c r="A426" s="1" t="s">
        <v>1274</v>
      </c>
      <c r="B426" s="2" t="s">
        <v>292</v>
      </c>
      <c r="C426" s="2" t="s">
        <v>1063</v>
      </c>
      <c r="D426" s="8" t="s">
        <v>567</v>
      </c>
      <c r="E426" s="459"/>
      <c r="F426" s="6"/>
      <c r="G426" s="451"/>
      <c r="H426" s="6"/>
      <c r="I426" s="6"/>
      <c r="J426" s="6"/>
      <c r="K426" s="6"/>
      <c r="L426" s="6"/>
      <c r="M426" s="451"/>
      <c r="N426" s="451"/>
      <c r="O426" s="6"/>
      <c r="P426" s="6"/>
      <c r="Q426" s="451"/>
      <c r="R426" s="451"/>
      <c r="S426" s="445">
        <f t="shared" si="42"/>
        <v>0</v>
      </c>
      <c r="T426" s="445">
        <f t="shared" si="43"/>
        <v>0</v>
      </c>
      <c r="U426" s="445">
        <f t="shared" si="44"/>
        <v>0</v>
      </c>
      <c r="W426" s="450">
        <f t="shared" si="47"/>
        <v>0</v>
      </c>
      <c r="X426" s="448">
        <f t="shared" si="46"/>
        <v>0</v>
      </c>
      <c r="Y426" s="441"/>
      <c r="Z426" s="441"/>
      <c r="AA426" s="441"/>
      <c r="AB426" s="441"/>
      <c r="AC426" s="441"/>
      <c r="AD426" s="441"/>
      <c r="AE426" s="441"/>
      <c r="AF426" s="441"/>
      <c r="AG426" s="441"/>
      <c r="AH426" s="441"/>
      <c r="AI426" s="441"/>
      <c r="AJ426" s="441"/>
      <c r="AK426" s="441"/>
      <c r="AL426" s="441"/>
      <c r="AM426" s="441"/>
      <c r="AN426" s="441"/>
      <c r="AO426" s="441"/>
      <c r="AP426" s="441"/>
      <c r="AQ426" s="441"/>
      <c r="AR426" s="441"/>
      <c r="AS426" s="441"/>
      <c r="AT426" s="441"/>
      <c r="AU426" s="441"/>
      <c r="AV426" s="441"/>
      <c r="AW426" s="441"/>
      <c r="AX426" s="441"/>
      <c r="AY426" s="441"/>
      <c r="AZ426" s="441"/>
      <c r="BA426" s="448"/>
      <c r="BB426" s="448"/>
      <c r="BC426" s="448"/>
      <c r="BD426" s="448"/>
    </row>
    <row r="427" spans="1:56" ht="12.75" hidden="1" thickBot="1">
      <c r="A427" s="1" t="s">
        <v>1274</v>
      </c>
      <c r="B427" s="2" t="s">
        <v>293</v>
      </c>
      <c r="C427" s="2" t="s">
        <v>1064</v>
      </c>
      <c r="D427" s="8" t="s">
        <v>567</v>
      </c>
      <c r="E427" s="460"/>
      <c r="F427" s="4"/>
      <c r="G427" s="449"/>
      <c r="H427" s="4"/>
      <c r="I427" s="4"/>
      <c r="J427" s="4"/>
      <c r="K427" s="4"/>
      <c r="L427" s="4"/>
      <c r="M427" s="449"/>
      <c r="N427" s="449"/>
      <c r="O427" s="4"/>
      <c r="P427" s="4"/>
      <c r="Q427" s="449"/>
      <c r="R427" s="449"/>
      <c r="S427" s="445">
        <f t="shared" si="42"/>
        <v>0</v>
      </c>
      <c r="T427" s="445">
        <f t="shared" si="43"/>
        <v>0</v>
      </c>
      <c r="U427" s="445">
        <f t="shared" si="44"/>
        <v>0</v>
      </c>
      <c r="W427" s="450">
        <f t="shared" si="47"/>
        <v>0</v>
      </c>
      <c r="X427" s="448">
        <f t="shared" si="46"/>
        <v>0</v>
      </c>
      <c r="Y427" s="441"/>
      <c r="Z427" s="441"/>
      <c r="AA427" s="441"/>
      <c r="AB427" s="441"/>
      <c r="AC427" s="441"/>
      <c r="AD427" s="441"/>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8"/>
      <c r="BB427" s="448"/>
      <c r="BC427" s="448"/>
      <c r="BD427" s="448"/>
    </row>
    <row r="428" spans="1:56" ht="12.75" hidden="1" thickBot="1">
      <c r="A428" s="1" t="s">
        <v>1274</v>
      </c>
      <c r="B428" s="2" t="s">
        <v>295</v>
      </c>
      <c r="C428" s="2" t="s">
        <v>1065</v>
      </c>
      <c r="D428" s="8" t="s">
        <v>567</v>
      </c>
      <c r="E428" s="459"/>
      <c r="F428" s="6"/>
      <c r="G428" s="451"/>
      <c r="H428" s="6"/>
      <c r="I428" s="6"/>
      <c r="J428" s="6"/>
      <c r="K428" s="6"/>
      <c r="L428" s="6"/>
      <c r="M428" s="451"/>
      <c r="N428" s="451"/>
      <c r="O428" s="6"/>
      <c r="P428" s="6"/>
      <c r="Q428" s="451"/>
      <c r="R428" s="451"/>
      <c r="S428" s="445">
        <f t="shared" si="42"/>
        <v>0</v>
      </c>
      <c r="T428" s="445">
        <f t="shared" si="43"/>
        <v>0</v>
      </c>
      <c r="U428" s="445">
        <f t="shared" si="44"/>
        <v>0</v>
      </c>
      <c r="W428" s="450">
        <f t="shared" si="47"/>
        <v>0</v>
      </c>
      <c r="X428" s="448">
        <f t="shared" si="46"/>
        <v>0</v>
      </c>
      <c r="Y428" s="441"/>
      <c r="Z428" s="441"/>
      <c r="AA428" s="441"/>
      <c r="AB428" s="441"/>
      <c r="AC428" s="441"/>
      <c r="AD428" s="441"/>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8"/>
      <c r="BB428" s="448"/>
      <c r="BC428" s="448"/>
      <c r="BD428" s="448"/>
    </row>
    <row r="429" spans="1:56" ht="12.75" hidden="1" thickBot="1">
      <c r="A429" s="1" t="s">
        <v>1274</v>
      </c>
      <c r="B429" s="2" t="s">
        <v>296</v>
      </c>
      <c r="C429" s="2" t="s">
        <v>1066</v>
      </c>
      <c r="D429" s="8" t="s">
        <v>567</v>
      </c>
      <c r="E429" s="460"/>
      <c r="F429" s="4"/>
      <c r="G429" s="449"/>
      <c r="H429" s="4"/>
      <c r="I429" s="4"/>
      <c r="J429" s="4"/>
      <c r="K429" s="4"/>
      <c r="L429" s="4"/>
      <c r="M429" s="449"/>
      <c r="N429" s="449"/>
      <c r="O429" s="4"/>
      <c r="P429" s="4"/>
      <c r="Q429" s="449"/>
      <c r="R429" s="449"/>
      <c r="S429" s="445">
        <f t="shared" si="42"/>
        <v>0</v>
      </c>
      <c r="T429" s="445">
        <f t="shared" si="43"/>
        <v>0</v>
      </c>
      <c r="U429" s="445">
        <f t="shared" si="44"/>
        <v>0</v>
      </c>
      <c r="W429" s="450">
        <f t="shared" si="47"/>
        <v>0</v>
      </c>
      <c r="X429" s="448">
        <f t="shared" si="46"/>
        <v>0</v>
      </c>
      <c r="Y429" s="441"/>
      <c r="Z429" s="441"/>
      <c r="AA429" s="441"/>
      <c r="AB429" s="441"/>
      <c r="AC429" s="441"/>
      <c r="AD429" s="441"/>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8"/>
      <c r="BB429" s="448"/>
      <c r="BC429" s="448"/>
      <c r="BD429" s="448"/>
    </row>
    <row r="430" spans="1:56" ht="12.75" hidden="1" thickBot="1">
      <c r="A430" s="1" t="s">
        <v>1274</v>
      </c>
      <c r="B430" s="2" t="s">
        <v>297</v>
      </c>
      <c r="C430" s="2" t="s">
        <v>1067</v>
      </c>
      <c r="D430" s="8" t="s">
        <v>459</v>
      </c>
      <c r="E430" s="459"/>
      <c r="F430" s="6"/>
      <c r="G430" s="451"/>
      <c r="H430" s="6"/>
      <c r="I430" s="6"/>
      <c r="J430" s="6"/>
      <c r="K430" s="6"/>
      <c r="L430" s="6"/>
      <c r="M430" s="451"/>
      <c r="N430" s="451"/>
      <c r="O430" s="6"/>
      <c r="P430" s="6"/>
      <c r="Q430" s="451"/>
      <c r="R430" s="451"/>
      <c r="S430" s="445">
        <f t="shared" si="42"/>
        <v>0</v>
      </c>
      <c r="T430" s="445">
        <f t="shared" si="43"/>
        <v>0</v>
      </c>
      <c r="U430" s="445">
        <f t="shared" si="44"/>
        <v>0</v>
      </c>
      <c r="W430" s="450">
        <f t="shared" si="47"/>
        <v>0</v>
      </c>
      <c r="X430" s="448">
        <f t="shared" si="46"/>
        <v>0</v>
      </c>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8"/>
      <c r="BB430" s="448"/>
      <c r="BC430" s="448"/>
      <c r="BD430" s="448"/>
    </row>
    <row r="431" spans="1:56" ht="12.75" hidden="1" thickBot="1">
      <c r="A431" s="1" t="s">
        <v>1274</v>
      </c>
      <c r="B431" s="2" t="s">
        <v>299</v>
      </c>
      <c r="C431" s="2" t="s">
        <v>1068</v>
      </c>
      <c r="D431" s="8" t="s">
        <v>459</v>
      </c>
      <c r="E431" s="460"/>
      <c r="F431" s="4"/>
      <c r="G431" s="449"/>
      <c r="H431" s="4"/>
      <c r="I431" s="4"/>
      <c r="J431" s="4"/>
      <c r="K431" s="4"/>
      <c r="L431" s="4"/>
      <c r="M431" s="449"/>
      <c r="N431" s="449"/>
      <c r="O431" s="4"/>
      <c r="P431" s="4"/>
      <c r="Q431" s="449"/>
      <c r="R431" s="449"/>
      <c r="S431" s="445">
        <f t="shared" si="42"/>
        <v>0</v>
      </c>
      <c r="T431" s="445">
        <f t="shared" si="43"/>
        <v>0</v>
      </c>
      <c r="U431" s="445">
        <f t="shared" si="44"/>
        <v>0</v>
      </c>
      <c r="W431" s="450">
        <f t="shared" si="47"/>
        <v>0</v>
      </c>
      <c r="X431" s="448">
        <f t="shared" si="46"/>
        <v>0</v>
      </c>
      <c r="Y431" s="441"/>
      <c r="Z431" s="441"/>
      <c r="AA431" s="441"/>
      <c r="AB431" s="441"/>
      <c r="AC431" s="441"/>
      <c r="AD431" s="441"/>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8"/>
      <c r="BB431" s="448"/>
      <c r="BC431" s="448"/>
      <c r="BD431" s="448"/>
    </row>
    <row r="432" spans="1:56" ht="12.75" hidden="1" thickBot="1">
      <c r="A432" s="1" t="s">
        <v>1274</v>
      </c>
      <c r="B432" s="2" t="s">
        <v>300</v>
      </c>
      <c r="C432" s="2" t="s">
        <v>1069</v>
      </c>
      <c r="D432" s="8" t="s">
        <v>567</v>
      </c>
      <c r="E432" s="459"/>
      <c r="F432" s="6"/>
      <c r="G432" s="451"/>
      <c r="H432" s="6"/>
      <c r="I432" s="6"/>
      <c r="J432" s="6"/>
      <c r="K432" s="6"/>
      <c r="L432" s="6"/>
      <c r="M432" s="451"/>
      <c r="N432" s="451"/>
      <c r="O432" s="6"/>
      <c r="P432" s="6"/>
      <c r="Q432" s="451"/>
      <c r="R432" s="451"/>
      <c r="S432" s="445">
        <f t="shared" si="42"/>
        <v>0</v>
      </c>
      <c r="T432" s="445">
        <f t="shared" si="43"/>
        <v>0</v>
      </c>
      <c r="U432" s="445">
        <f t="shared" si="44"/>
        <v>0</v>
      </c>
      <c r="W432" s="450">
        <f t="shared" si="47"/>
        <v>0</v>
      </c>
      <c r="X432" s="448">
        <f t="shared" si="46"/>
        <v>0</v>
      </c>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8"/>
      <c r="BB432" s="448"/>
      <c r="BC432" s="448"/>
      <c r="BD432" s="448"/>
    </row>
    <row r="433" spans="1:56" ht="12.75" hidden="1" thickBot="1">
      <c r="A433" s="1" t="s">
        <v>1274</v>
      </c>
      <c r="B433" s="2" t="s">
        <v>301</v>
      </c>
      <c r="C433" s="2" t="s">
        <v>1070</v>
      </c>
      <c r="D433" s="8" t="s">
        <v>567</v>
      </c>
      <c r="E433" s="460"/>
      <c r="F433" s="4"/>
      <c r="G433" s="449"/>
      <c r="H433" s="4"/>
      <c r="I433" s="4"/>
      <c r="J433" s="4"/>
      <c r="K433" s="4"/>
      <c r="L433" s="4"/>
      <c r="M433" s="449"/>
      <c r="N433" s="449"/>
      <c r="O433" s="4"/>
      <c r="P433" s="4"/>
      <c r="Q433" s="449"/>
      <c r="R433" s="449"/>
      <c r="S433" s="445">
        <f t="shared" si="42"/>
        <v>0</v>
      </c>
      <c r="T433" s="445">
        <f t="shared" si="43"/>
        <v>0</v>
      </c>
      <c r="U433" s="445">
        <f t="shared" si="44"/>
        <v>0</v>
      </c>
      <c r="W433" s="450">
        <f t="shared" si="47"/>
        <v>0</v>
      </c>
      <c r="X433" s="448">
        <f t="shared" si="46"/>
        <v>0</v>
      </c>
      <c r="Y433" s="441"/>
      <c r="Z433" s="441"/>
      <c r="AA433" s="441"/>
      <c r="AB433" s="441"/>
      <c r="AC433" s="441"/>
      <c r="AD433" s="441"/>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8"/>
      <c r="BB433" s="448"/>
      <c r="BC433" s="448"/>
      <c r="BD433" s="448"/>
    </row>
    <row r="434" spans="1:56" ht="12.75" hidden="1" thickBot="1">
      <c r="A434" s="1" t="s">
        <v>1274</v>
      </c>
      <c r="B434" s="2" t="s">
        <v>302</v>
      </c>
      <c r="C434" s="2" t="s">
        <v>1071</v>
      </c>
      <c r="D434" s="8" t="s">
        <v>567</v>
      </c>
      <c r="E434" s="459"/>
      <c r="F434" s="6"/>
      <c r="G434" s="451"/>
      <c r="H434" s="6"/>
      <c r="I434" s="6"/>
      <c r="J434" s="6"/>
      <c r="K434" s="6"/>
      <c r="L434" s="6"/>
      <c r="M434" s="451"/>
      <c r="N434" s="451"/>
      <c r="O434" s="6"/>
      <c r="P434" s="6"/>
      <c r="Q434" s="451"/>
      <c r="R434" s="451"/>
      <c r="S434" s="445">
        <f t="shared" si="42"/>
        <v>0</v>
      </c>
      <c r="T434" s="445">
        <f t="shared" si="43"/>
        <v>0</v>
      </c>
      <c r="U434" s="445">
        <f t="shared" si="44"/>
        <v>0</v>
      </c>
      <c r="W434" s="450">
        <f t="shared" si="47"/>
        <v>0</v>
      </c>
      <c r="X434" s="448">
        <f t="shared" si="46"/>
        <v>0</v>
      </c>
      <c r="Y434" s="441"/>
      <c r="Z434" s="441"/>
      <c r="AA434" s="441"/>
      <c r="AB434" s="441"/>
      <c r="AC434" s="441"/>
      <c r="AD434" s="441"/>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8"/>
      <c r="BB434" s="448"/>
      <c r="BC434" s="448"/>
      <c r="BD434" s="448"/>
    </row>
    <row r="435" spans="1:56" ht="12.75" hidden="1" thickBot="1">
      <c r="A435" s="1" t="s">
        <v>1274</v>
      </c>
      <c r="B435" s="2" t="s">
        <v>303</v>
      </c>
      <c r="C435" s="2" t="s">
        <v>1072</v>
      </c>
      <c r="D435" s="8" t="s">
        <v>567</v>
      </c>
      <c r="E435" s="460"/>
      <c r="F435" s="4"/>
      <c r="G435" s="449"/>
      <c r="H435" s="4"/>
      <c r="I435" s="4"/>
      <c r="J435" s="4"/>
      <c r="K435" s="4"/>
      <c r="L435" s="4"/>
      <c r="M435" s="449"/>
      <c r="N435" s="449"/>
      <c r="O435" s="4"/>
      <c r="P435" s="4"/>
      <c r="Q435" s="449"/>
      <c r="R435" s="449"/>
      <c r="S435" s="445">
        <f t="shared" si="42"/>
        <v>0</v>
      </c>
      <c r="T435" s="445">
        <f t="shared" si="43"/>
        <v>0</v>
      </c>
      <c r="U435" s="445">
        <f t="shared" si="44"/>
        <v>0</v>
      </c>
      <c r="W435" s="450">
        <f t="shared" si="47"/>
        <v>0</v>
      </c>
      <c r="X435" s="448">
        <f t="shared" si="46"/>
        <v>0</v>
      </c>
      <c r="Y435" s="441"/>
      <c r="Z435" s="441"/>
      <c r="AA435" s="441"/>
      <c r="AB435" s="441"/>
      <c r="AC435" s="441"/>
      <c r="AD435" s="441"/>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8"/>
      <c r="BB435" s="448"/>
      <c r="BC435" s="448"/>
      <c r="BD435" s="448"/>
    </row>
    <row r="436" spans="1:56" ht="12.75" hidden="1" thickBot="1">
      <c r="A436" s="1" t="s">
        <v>1274</v>
      </c>
      <c r="B436" s="2" t="s">
        <v>304</v>
      </c>
      <c r="C436" s="2" t="s">
        <v>1073</v>
      </c>
      <c r="D436" s="8" t="s">
        <v>567</v>
      </c>
      <c r="E436" s="459"/>
      <c r="F436" s="6"/>
      <c r="G436" s="451"/>
      <c r="H436" s="6"/>
      <c r="I436" s="6"/>
      <c r="J436" s="6"/>
      <c r="K436" s="6"/>
      <c r="L436" s="6"/>
      <c r="M436" s="451"/>
      <c r="N436" s="451"/>
      <c r="O436" s="6"/>
      <c r="P436" s="6"/>
      <c r="Q436" s="451"/>
      <c r="R436" s="451"/>
      <c r="S436" s="445">
        <f t="shared" si="42"/>
        <v>0</v>
      </c>
      <c r="T436" s="445">
        <f t="shared" si="43"/>
        <v>0</v>
      </c>
      <c r="U436" s="445">
        <f t="shared" si="44"/>
        <v>0</v>
      </c>
      <c r="W436" s="450">
        <f t="shared" si="47"/>
        <v>0</v>
      </c>
      <c r="X436" s="448">
        <f t="shared" si="46"/>
        <v>0</v>
      </c>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8"/>
      <c r="BB436" s="448"/>
      <c r="BC436" s="448"/>
      <c r="BD436" s="448"/>
    </row>
    <row r="437" spans="1:56" ht="12.75" hidden="1" thickBot="1">
      <c r="A437" s="1" t="s">
        <v>1274</v>
      </c>
      <c r="B437" s="2" t="s">
        <v>305</v>
      </c>
      <c r="C437" s="2" t="s">
        <v>1074</v>
      </c>
      <c r="D437" s="8" t="s">
        <v>567</v>
      </c>
      <c r="E437" s="460"/>
      <c r="F437" s="4"/>
      <c r="G437" s="449"/>
      <c r="H437" s="4"/>
      <c r="I437" s="4"/>
      <c r="J437" s="4"/>
      <c r="K437" s="4"/>
      <c r="L437" s="4"/>
      <c r="M437" s="449"/>
      <c r="N437" s="449"/>
      <c r="O437" s="4"/>
      <c r="P437" s="4"/>
      <c r="Q437" s="449"/>
      <c r="R437" s="449"/>
      <c r="S437" s="445">
        <f t="shared" si="42"/>
        <v>0</v>
      </c>
      <c r="T437" s="445">
        <f t="shared" si="43"/>
        <v>0</v>
      </c>
      <c r="U437" s="445">
        <f t="shared" si="44"/>
        <v>0</v>
      </c>
      <c r="W437" s="450">
        <f t="shared" si="47"/>
        <v>0</v>
      </c>
      <c r="X437" s="448">
        <f t="shared" si="46"/>
        <v>0</v>
      </c>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8"/>
      <c r="BB437" s="448"/>
      <c r="BC437" s="448"/>
      <c r="BD437" s="448"/>
    </row>
    <row r="438" spans="1:56" ht="12.75" hidden="1" thickBot="1">
      <c r="A438" s="1" t="s">
        <v>1274</v>
      </c>
      <c r="B438" s="2" t="s">
        <v>306</v>
      </c>
      <c r="C438" s="2" t="s">
        <v>1075</v>
      </c>
      <c r="D438" s="453" t="s">
        <v>459</v>
      </c>
      <c r="E438" s="459"/>
      <c r="F438" s="6"/>
      <c r="G438" s="451"/>
      <c r="H438" s="6"/>
      <c r="I438" s="6"/>
      <c r="J438" s="6"/>
      <c r="K438" s="6"/>
      <c r="L438" s="6"/>
      <c r="M438" s="451"/>
      <c r="N438" s="451"/>
      <c r="O438" s="6"/>
      <c r="P438" s="6"/>
      <c r="Q438" s="451"/>
      <c r="R438" s="451"/>
      <c r="S438" s="445">
        <f t="shared" si="42"/>
        <v>0</v>
      </c>
      <c r="T438" s="445">
        <f t="shared" si="43"/>
        <v>0</v>
      </c>
      <c r="U438" s="445">
        <f t="shared" si="44"/>
        <v>0</v>
      </c>
      <c r="W438" s="450">
        <f t="shared" si="47"/>
        <v>0</v>
      </c>
      <c r="X438" s="448">
        <f t="shared" si="46"/>
        <v>0</v>
      </c>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8"/>
      <c r="BB438" s="448"/>
      <c r="BC438" s="448"/>
      <c r="BD438" s="448"/>
    </row>
    <row r="439" spans="1:56" ht="12.75" hidden="1" thickBot="1">
      <c r="A439" s="1" t="s">
        <v>1274</v>
      </c>
      <c r="B439" s="2" t="s">
        <v>307</v>
      </c>
      <c r="C439" s="2" t="s">
        <v>1076</v>
      </c>
      <c r="D439" s="8" t="s">
        <v>567</v>
      </c>
      <c r="E439" s="460"/>
      <c r="F439" s="4"/>
      <c r="G439" s="449"/>
      <c r="H439" s="4"/>
      <c r="I439" s="4"/>
      <c r="J439" s="4"/>
      <c r="K439" s="4"/>
      <c r="L439" s="4"/>
      <c r="M439" s="449"/>
      <c r="N439" s="449"/>
      <c r="O439" s="4"/>
      <c r="P439" s="4"/>
      <c r="Q439" s="449"/>
      <c r="R439" s="449"/>
      <c r="S439" s="445">
        <f t="shared" si="42"/>
        <v>0</v>
      </c>
      <c r="T439" s="445">
        <f t="shared" si="43"/>
        <v>0</v>
      </c>
      <c r="U439" s="445">
        <f t="shared" si="44"/>
        <v>0</v>
      </c>
      <c r="W439" s="450">
        <f t="shared" si="47"/>
        <v>0</v>
      </c>
      <c r="X439" s="448">
        <f t="shared" si="46"/>
        <v>0</v>
      </c>
      <c r="Y439" s="441"/>
      <c r="Z439" s="441"/>
      <c r="AA439" s="441"/>
      <c r="AB439" s="441"/>
      <c r="AC439" s="441"/>
      <c r="AD439" s="441"/>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8"/>
      <c r="BB439" s="448"/>
      <c r="BC439" s="448"/>
      <c r="BD439" s="448"/>
    </row>
    <row r="440" spans="1:56" ht="12.75" hidden="1" thickBot="1">
      <c r="A440" s="1" t="s">
        <v>1274</v>
      </c>
      <c r="B440" s="2" t="s">
        <v>308</v>
      </c>
      <c r="C440" s="2" t="s">
        <v>1077</v>
      </c>
      <c r="D440" s="453" t="s">
        <v>459</v>
      </c>
      <c r="E440" s="459"/>
      <c r="F440" s="6"/>
      <c r="G440" s="451"/>
      <c r="H440" s="6"/>
      <c r="I440" s="6"/>
      <c r="J440" s="6"/>
      <c r="K440" s="6"/>
      <c r="L440" s="6"/>
      <c r="M440" s="451"/>
      <c r="N440" s="451"/>
      <c r="O440" s="6"/>
      <c r="P440" s="6"/>
      <c r="Q440" s="451"/>
      <c r="R440" s="451"/>
      <c r="S440" s="445">
        <f t="shared" si="42"/>
        <v>0</v>
      </c>
      <c r="T440" s="445">
        <f t="shared" si="43"/>
        <v>0</v>
      </c>
      <c r="U440" s="445">
        <f t="shared" si="44"/>
        <v>0</v>
      </c>
      <c r="W440" s="450">
        <f t="shared" si="47"/>
        <v>0</v>
      </c>
      <c r="X440" s="448">
        <f t="shared" si="46"/>
        <v>0</v>
      </c>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8"/>
      <c r="BB440" s="448"/>
      <c r="BC440" s="448"/>
      <c r="BD440" s="448"/>
    </row>
    <row r="441" spans="1:56" ht="12.75" hidden="1" thickBot="1">
      <c r="A441" s="1" t="s">
        <v>1274</v>
      </c>
      <c r="B441" s="2" t="s">
        <v>309</v>
      </c>
      <c r="C441" s="2" t="s">
        <v>1078</v>
      </c>
      <c r="D441" s="8" t="s">
        <v>567</v>
      </c>
      <c r="E441" s="460"/>
      <c r="F441" s="4"/>
      <c r="G441" s="449"/>
      <c r="H441" s="4"/>
      <c r="I441" s="4"/>
      <c r="J441" s="4"/>
      <c r="K441" s="4"/>
      <c r="L441" s="4"/>
      <c r="M441" s="449"/>
      <c r="N441" s="449"/>
      <c r="O441" s="4"/>
      <c r="P441" s="4"/>
      <c r="Q441" s="449"/>
      <c r="R441" s="449"/>
      <c r="S441" s="445">
        <f t="shared" si="42"/>
        <v>0</v>
      </c>
      <c r="T441" s="445">
        <f t="shared" si="43"/>
        <v>0</v>
      </c>
      <c r="U441" s="445">
        <f t="shared" si="44"/>
        <v>0</v>
      </c>
      <c r="W441" s="450">
        <f t="shared" si="47"/>
        <v>0</v>
      </c>
      <c r="X441" s="448">
        <f t="shared" si="46"/>
        <v>0</v>
      </c>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8"/>
      <c r="BB441" s="448"/>
      <c r="BC441" s="448"/>
      <c r="BD441" s="448"/>
    </row>
    <row r="442" spans="1:56" ht="12.75" hidden="1" thickBot="1">
      <c r="A442" s="1" t="s">
        <v>1274</v>
      </c>
      <c r="B442" s="2" t="s">
        <v>310</v>
      </c>
      <c r="C442" s="2" t="s">
        <v>1079</v>
      </c>
      <c r="D442" s="453" t="s">
        <v>459</v>
      </c>
      <c r="E442" s="459"/>
      <c r="F442" s="6"/>
      <c r="G442" s="451"/>
      <c r="H442" s="6"/>
      <c r="I442" s="6"/>
      <c r="J442" s="6"/>
      <c r="K442" s="6"/>
      <c r="L442" s="6"/>
      <c r="M442" s="451"/>
      <c r="N442" s="451"/>
      <c r="O442" s="6"/>
      <c r="P442" s="6"/>
      <c r="Q442" s="451"/>
      <c r="R442" s="451"/>
      <c r="S442" s="445">
        <f t="shared" si="42"/>
        <v>0</v>
      </c>
      <c r="T442" s="445">
        <f t="shared" si="43"/>
        <v>0</v>
      </c>
      <c r="U442" s="445">
        <f t="shared" si="44"/>
        <v>0</v>
      </c>
      <c r="W442" s="450">
        <f t="shared" si="47"/>
        <v>0</v>
      </c>
      <c r="X442" s="448">
        <f t="shared" si="46"/>
        <v>0</v>
      </c>
      <c r="Y442" s="441"/>
      <c r="Z442" s="441"/>
      <c r="AA442" s="441"/>
      <c r="AB442" s="441"/>
      <c r="AC442" s="441"/>
      <c r="AD442" s="441"/>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8"/>
      <c r="BB442" s="448"/>
      <c r="BC442" s="448"/>
      <c r="BD442" s="448"/>
    </row>
    <row r="443" spans="1:56" ht="12.75" hidden="1" thickBot="1">
      <c r="A443" s="1" t="s">
        <v>1274</v>
      </c>
      <c r="B443" s="2" t="s">
        <v>311</v>
      </c>
      <c r="C443" s="2" t="s">
        <v>1080</v>
      </c>
      <c r="D443" s="8" t="s">
        <v>567</v>
      </c>
      <c r="E443" s="460"/>
      <c r="F443" s="4"/>
      <c r="G443" s="449"/>
      <c r="H443" s="4"/>
      <c r="I443" s="4"/>
      <c r="J443" s="4"/>
      <c r="K443" s="4"/>
      <c r="L443" s="4"/>
      <c r="M443" s="449"/>
      <c r="N443" s="449"/>
      <c r="O443" s="4"/>
      <c r="P443" s="4"/>
      <c r="Q443" s="449"/>
      <c r="R443" s="449"/>
      <c r="S443" s="445">
        <f t="shared" si="42"/>
        <v>0</v>
      </c>
      <c r="T443" s="445">
        <f t="shared" si="43"/>
        <v>0</v>
      </c>
      <c r="U443" s="445">
        <f t="shared" si="44"/>
        <v>0</v>
      </c>
      <c r="W443" s="450">
        <f t="shared" si="47"/>
        <v>0</v>
      </c>
      <c r="X443" s="448">
        <f t="shared" si="46"/>
        <v>0</v>
      </c>
      <c r="Y443" s="441"/>
      <c r="Z443" s="441"/>
      <c r="AA443" s="441"/>
      <c r="AB443" s="441"/>
      <c r="AC443" s="441"/>
      <c r="AD443" s="441"/>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8"/>
      <c r="BB443" s="448"/>
      <c r="BC443" s="448"/>
      <c r="BD443" s="448"/>
    </row>
    <row r="444" spans="1:56" ht="12.75" hidden="1" thickBot="1">
      <c r="A444" s="1" t="s">
        <v>1274</v>
      </c>
      <c r="B444" s="2" t="s">
        <v>339</v>
      </c>
      <c r="C444" s="2" t="s">
        <v>1081</v>
      </c>
      <c r="D444" s="453" t="s">
        <v>459</v>
      </c>
      <c r="E444" s="459"/>
      <c r="F444" s="6"/>
      <c r="G444" s="451"/>
      <c r="H444" s="6"/>
      <c r="I444" s="6"/>
      <c r="J444" s="6"/>
      <c r="K444" s="6"/>
      <c r="L444" s="6"/>
      <c r="M444" s="451"/>
      <c r="N444" s="451"/>
      <c r="O444" s="6"/>
      <c r="P444" s="6"/>
      <c r="Q444" s="451"/>
      <c r="R444" s="451"/>
      <c r="S444" s="445">
        <f t="shared" si="42"/>
        <v>0</v>
      </c>
      <c r="T444" s="445">
        <f t="shared" si="43"/>
        <v>0</v>
      </c>
      <c r="U444" s="445">
        <f t="shared" si="44"/>
        <v>0</v>
      </c>
      <c r="W444" s="450">
        <f t="shared" si="47"/>
        <v>0</v>
      </c>
      <c r="X444" s="448">
        <f t="shared" si="46"/>
        <v>0</v>
      </c>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8"/>
      <c r="BB444" s="448"/>
      <c r="BC444" s="448"/>
      <c r="BD444" s="448"/>
    </row>
    <row r="445" spans="1:56" ht="12.75" hidden="1" thickBot="1">
      <c r="A445" s="1" t="s">
        <v>1274</v>
      </c>
      <c r="B445" s="2" t="s">
        <v>312</v>
      </c>
      <c r="C445" s="2" t="s">
        <v>1082</v>
      </c>
      <c r="D445" s="8" t="s">
        <v>567</v>
      </c>
      <c r="E445" s="460"/>
      <c r="F445" s="4"/>
      <c r="G445" s="449"/>
      <c r="H445" s="4"/>
      <c r="I445" s="4"/>
      <c r="J445" s="4"/>
      <c r="K445" s="4"/>
      <c r="L445" s="4"/>
      <c r="M445" s="449"/>
      <c r="N445" s="449"/>
      <c r="O445" s="4"/>
      <c r="P445" s="4"/>
      <c r="Q445" s="449"/>
      <c r="R445" s="449"/>
      <c r="S445" s="445">
        <f t="shared" si="42"/>
        <v>0</v>
      </c>
      <c r="T445" s="445">
        <f t="shared" si="43"/>
        <v>0</v>
      </c>
      <c r="U445" s="445">
        <f t="shared" si="44"/>
        <v>0</v>
      </c>
      <c r="W445" s="450">
        <f t="shared" si="47"/>
        <v>0</v>
      </c>
      <c r="X445" s="448">
        <f t="shared" si="46"/>
        <v>0</v>
      </c>
      <c r="Y445" s="441"/>
      <c r="Z445" s="441"/>
      <c r="AA445" s="441"/>
      <c r="AB445" s="441"/>
      <c r="AC445" s="441"/>
      <c r="AD445" s="441"/>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8"/>
      <c r="BB445" s="448"/>
      <c r="BC445" s="448"/>
      <c r="BD445" s="448"/>
    </row>
    <row r="446" spans="1:56" ht="12.75" hidden="1" thickBot="1">
      <c r="A446" s="1" t="s">
        <v>1274</v>
      </c>
      <c r="B446" s="2" t="s">
        <v>688</v>
      </c>
      <c r="C446" s="2" t="s">
        <v>1083</v>
      </c>
      <c r="D446" s="8" t="s">
        <v>567</v>
      </c>
      <c r="E446" s="459"/>
      <c r="F446" s="6"/>
      <c r="G446" s="451"/>
      <c r="H446" s="6"/>
      <c r="I446" s="6"/>
      <c r="J446" s="6"/>
      <c r="K446" s="6"/>
      <c r="L446" s="6"/>
      <c r="M446" s="451"/>
      <c r="N446" s="451"/>
      <c r="O446" s="6"/>
      <c r="P446" s="6"/>
      <c r="Q446" s="6"/>
      <c r="R446" s="451"/>
      <c r="S446" s="445">
        <f t="shared" si="42"/>
        <v>0</v>
      </c>
      <c r="T446" s="445">
        <f t="shared" si="43"/>
        <v>0</v>
      </c>
      <c r="U446" s="445">
        <f t="shared" si="44"/>
        <v>0</v>
      </c>
      <c r="W446" s="450">
        <f t="shared" si="47"/>
        <v>0</v>
      </c>
      <c r="X446" s="448">
        <f t="shared" si="46"/>
        <v>0</v>
      </c>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8"/>
      <c r="BB446" s="448"/>
      <c r="BC446" s="448"/>
      <c r="BD446" s="448"/>
    </row>
    <row r="447" spans="1:56" ht="12.75" hidden="1" thickBot="1">
      <c r="A447" s="1" t="s">
        <v>1274</v>
      </c>
      <c r="B447" s="2" t="s">
        <v>341</v>
      </c>
      <c r="C447" s="2" t="s">
        <v>1084</v>
      </c>
      <c r="D447" s="8" t="s">
        <v>567</v>
      </c>
      <c r="E447" s="460"/>
      <c r="F447" s="4"/>
      <c r="G447" s="449"/>
      <c r="H447" s="4"/>
      <c r="I447" s="4"/>
      <c r="J447" s="4"/>
      <c r="K447" s="4"/>
      <c r="L447" s="4"/>
      <c r="M447" s="449"/>
      <c r="N447" s="449"/>
      <c r="O447" s="4"/>
      <c r="P447" s="4"/>
      <c r="Q447" s="4"/>
      <c r="R447" s="449"/>
      <c r="S447" s="445">
        <f t="shared" si="42"/>
        <v>0</v>
      </c>
      <c r="T447" s="445">
        <f t="shared" si="43"/>
        <v>0</v>
      </c>
      <c r="U447" s="445">
        <f t="shared" si="44"/>
        <v>0</v>
      </c>
      <c r="W447" s="450">
        <f t="shared" si="47"/>
        <v>0</v>
      </c>
      <c r="X447" s="448">
        <f t="shared" si="46"/>
        <v>0</v>
      </c>
      <c r="Y447" s="441"/>
      <c r="Z447" s="441"/>
      <c r="AA447" s="441"/>
      <c r="AB447" s="441"/>
      <c r="AC447" s="441"/>
      <c r="AD447" s="441"/>
      <c r="AE447" s="441"/>
      <c r="AF447" s="441"/>
      <c r="AG447" s="441"/>
      <c r="AH447" s="441"/>
      <c r="AI447" s="441"/>
      <c r="AJ447" s="441"/>
      <c r="AK447" s="441"/>
      <c r="AL447" s="441"/>
      <c r="AM447" s="441"/>
      <c r="AN447" s="441"/>
      <c r="AO447" s="441"/>
      <c r="AP447" s="441"/>
      <c r="AQ447" s="441"/>
      <c r="AR447" s="441"/>
      <c r="AS447" s="441"/>
      <c r="AT447" s="441"/>
      <c r="AU447" s="441"/>
      <c r="AV447" s="441"/>
      <c r="AW447" s="441"/>
      <c r="AX447" s="441"/>
      <c r="AY447" s="441"/>
      <c r="AZ447" s="441"/>
      <c r="BA447" s="448"/>
      <c r="BB447" s="448"/>
      <c r="BC447" s="448"/>
      <c r="BD447" s="448"/>
    </row>
    <row r="448" spans="1:56" ht="12.75" hidden="1" thickBot="1">
      <c r="A448" s="1" t="s">
        <v>1274</v>
      </c>
      <c r="B448" s="2" t="s">
        <v>317</v>
      </c>
      <c r="C448" s="2" t="s">
        <v>1085</v>
      </c>
      <c r="D448" s="8" t="s">
        <v>567</v>
      </c>
      <c r="E448" s="459"/>
      <c r="F448" s="6"/>
      <c r="G448" s="451"/>
      <c r="H448" s="6"/>
      <c r="I448" s="6"/>
      <c r="J448" s="6"/>
      <c r="K448" s="6"/>
      <c r="L448" s="6"/>
      <c r="M448" s="451"/>
      <c r="N448" s="451"/>
      <c r="O448" s="6"/>
      <c r="P448" s="6"/>
      <c r="Q448" s="451"/>
      <c r="R448" s="451"/>
      <c r="S448" s="445">
        <f t="shared" si="42"/>
        <v>0</v>
      </c>
      <c r="T448" s="445">
        <f t="shared" si="43"/>
        <v>0</v>
      </c>
      <c r="U448" s="445">
        <f t="shared" si="44"/>
        <v>0</v>
      </c>
      <c r="W448" s="450">
        <f t="shared" si="47"/>
        <v>0</v>
      </c>
      <c r="X448" s="448">
        <f t="shared" si="46"/>
        <v>0</v>
      </c>
      <c r="Y448" s="441"/>
      <c r="Z448" s="441"/>
      <c r="AA448" s="441"/>
      <c r="AB448" s="441"/>
      <c r="AC448" s="441"/>
      <c r="AD448" s="441"/>
      <c r="AE448" s="441"/>
      <c r="AF448" s="441"/>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8"/>
      <c r="BB448" s="448"/>
      <c r="BC448" s="448"/>
      <c r="BD448" s="448"/>
    </row>
    <row r="449" spans="1:56" ht="12.75" hidden="1" thickBot="1">
      <c r="A449" s="1" t="s">
        <v>1274</v>
      </c>
      <c r="B449" s="2" t="s">
        <v>1235</v>
      </c>
      <c r="C449" s="2" t="s">
        <v>1236</v>
      </c>
      <c r="D449" s="8" t="s">
        <v>567</v>
      </c>
      <c r="E449" s="460"/>
      <c r="F449" s="4"/>
      <c r="G449" s="449"/>
      <c r="H449" s="4"/>
      <c r="I449" s="4"/>
      <c r="J449" s="4"/>
      <c r="K449" s="4"/>
      <c r="L449" s="4"/>
      <c r="M449" s="449"/>
      <c r="N449" s="449"/>
      <c r="O449" s="4"/>
      <c r="P449" s="4"/>
      <c r="Q449" s="449"/>
      <c r="R449" s="449"/>
      <c r="S449" s="445">
        <f t="shared" si="42"/>
        <v>0</v>
      </c>
      <c r="T449" s="445">
        <f t="shared" si="43"/>
        <v>0</v>
      </c>
      <c r="U449" s="445">
        <f t="shared" si="44"/>
        <v>0</v>
      </c>
      <c r="W449" s="450">
        <f t="shared" si="47"/>
        <v>0</v>
      </c>
      <c r="X449" s="448">
        <f t="shared" si="46"/>
        <v>0</v>
      </c>
      <c r="Y449" s="441"/>
      <c r="Z449" s="441"/>
      <c r="AA449" s="441"/>
      <c r="AB449" s="441"/>
      <c r="AC449" s="441"/>
      <c r="AD449" s="441"/>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8"/>
      <c r="BB449" s="448"/>
      <c r="BC449" s="448"/>
      <c r="BD449" s="448"/>
    </row>
    <row r="450" spans="1:56" ht="12.75" hidden="1" thickBot="1">
      <c r="A450" s="1" t="s">
        <v>1274</v>
      </c>
      <c r="B450" s="2" t="s">
        <v>318</v>
      </c>
      <c r="C450" s="2" t="s">
        <v>1086</v>
      </c>
      <c r="D450" s="8" t="s">
        <v>567</v>
      </c>
      <c r="E450" s="459"/>
      <c r="F450" s="6"/>
      <c r="G450" s="6"/>
      <c r="H450" s="6"/>
      <c r="I450" s="6"/>
      <c r="J450" s="6"/>
      <c r="K450" s="6"/>
      <c r="L450" s="6"/>
      <c r="M450" s="6"/>
      <c r="N450" s="6"/>
      <c r="O450" s="6"/>
      <c r="P450" s="6"/>
      <c r="Q450" s="6"/>
      <c r="R450" s="6"/>
      <c r="S450" s="445">
        <f t="shared" si="42"/>
        <v>0</v>
      </c>
      <c r="T450" s="445">
        <f t="shared" si="43"/>
        <v>0</v>
      </c>
      <c r="U450" s="445">
        <f t="shared" si="44"/>
        <v>0</v>
      </c>
      <c r="W450" s="450">
        <f t="shared" si="47"/>
        <v>0</v>
      </c>
      <c r="X450" s="448">
        <f t="shared" si="46"/>
        <v>0</v>
      </c>
      <c r="Y450" s="441"/>
      <c r="Z450" s="441"/>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8"/>
      <c r="BB450" s="448"/>
      <c r="BC450" s="448"/>
      <c r="BD450" s="448"/>
    </row>
    <row r="451" spans="1:56" ht="12.75" hidden="1" thickBot="1">
      <c r="A451" s="1" t="s">
        <v>1274</v>
      </c>
      <c r="B451" s="2" t="s">
        <v>1237</v>
      </c>
      <c r="C451" s="2" t="s">
        <v>1238</v>
      </c>
      <c r="D451" s="8" t="s">
        <v>567</v>
      </c>
      <c r="E451" s="460"/>
      <c r="F451" s="4"/>
      <c r="G451" s="449"/>
      <c r="H451" s="4"/>
      <c r="I451" s="4"/>
      <c r="J451" s="4"/>
      <c r="K451" s="4"/>
      <c r="L451" s="4"/>
      <c r="M451" s="449"/>
      <c r="N451" s="449"/>
      <c r="O451" s="4"/>
      <c r="P451" s="4"/>
      <c r="Q451" s="449"/>
      <c r="R451" s="449"/>
      <c r="S451" s="445">
        <f t="shared" si="42"/>
        <v>0</v>
      </c>
      <c r="T451" s="445">
        <f t="shared" si="43"/>
        <v>0</v>
      </c>
      <c r="U451" s="445">
        <f t="shared" si="44"/>
        <v>0</v>
      </c>
      <c r="W451" s="450">
        <f t="shared" si="47"/>
        <v>0</v>
      </c>
      <c r="X451" s="448">
        <f t="shared" si="46"/>
        <v>0</v>
      </c>
      <c r="Y451" s="441"/>
      <c r="Z451" s="441"/>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8"/>
      <c r="BB451" s="448"/>
      <c r="BC451" s="448"/>
      <c r="BD451" s="448"/>
    </row>
    <row r="452" spans="1:56" ht="12.75" hidden="1" thickBot="1">
      <c r="A452" s="1" t="s">
        <v>1274</v>
      </c>
      <c r="B452" s="2" t="s">
        <v>319</v>
      </c>
      <c r="C452" s="2" t="s">
        <v>1087</v>
      </c>
      <c r="D452" s="8" t="s">
        <v>567</v>
      </c>
      <c r="E452" s="459"/>
      <c r="F452" s="6"/>
      <c r="G452" s="6"/>
      <c r="H452" s="6"/>
      <c r="I452" s="6"/>
      <c r="J452" s="6"/>
      <c r="K452" s="6"/>
      <c r="L452" s="6"/>
      <c r="M452" s="6"/>
      <c r="N452" s="6"/>
      <c r="O452" s="6"/>
      <c r="P452" s="6"/>
      <c r="Q452" s="6"/>
      <c r="R452" s="6"/>
      <c r="S452" s="445">
        <f t="shared" ref="S452:S473" si="48">G452+H452+I452</f>
        <v>0</v>
      </c>
      <c r="T452" s="445">
        <f t="shared" ref="T452:T473" si="49">J452+K452</f>
        <v>0</v>
      </c>
      <c r="U452" s="445">
        <f t="shared" ref="U452:U473" si="50">N452+O452</f>
        <v>0</v>
      </c>
      <c r="W452" s="450">
        <f t="shared" si="47"/>
        <v>0</v>
      </c>
      <c r="X452" s="448">
        <f t="shared" si="46"/>
        <v>0</v>
      </c>
      <c r="Y452" s="441"/>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8"/>
      <c r="BB452" s="448"/>
      <c r="BC452" s="448"/>
      <c r="BD452" s="448"/>
    </row>
    <row r="453" spans="1:56" ht="12.75" hidden="1" thickBot="1">
      <c r="A453" s="1" t="s">
        <v>1274</v>
      </c>
      <c r="B453" s="2" t="s">
        <v>1225</v>
      </c>
      <c r="C453" s="2" t="s">
        <v>1226</v>
      </c>
      <c r="D453" s="8" t="s">
        <v>567</v>
      </c>
      <c r="E453" s="460"/>
      <c r="F453" s="4"/>
      <c r="G453" s="449"/>
      <c r="H453" s="4"/>
      <c r="I453" s="4"/>
      <c r="J453" s="4"/>
      <c r="K453" s="4"/>
      <c r="L453" s="4"/>
      <c r="M453" s="449"/>
      <c r="N453" s="449"/>
      <c r="O453" s="4"/>
      <c r="P453" s="4"/>
      <c r="Q453" s="449"/>
      <c r="R453" s="449"/>
      <c r="S453" s="445">
        <f t="shared" si="48"/>
        <v>0</v>
      </c>
      <c r="T453" s="445">
        <f t="shared" si="49"/>
        <v>0</v>
      </c>
      <c r="U453" s="445">
        <f t="shared" si="50"/>
        <v>0</v>
      </c>
      <c r="W453" s="450">
        <f t="shared" si="47"/>
        <v>0</v>
      </c>
      <c r="X453" s="448">
        <f t="shared" si="46"/>
        <v>0</v>
      </c>
      <c r="Y453" s="441"/>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8"/>
      <c r="BB453" s="448"/>
      <c r="BC453" s="448"/>
      <c r="BD453" s="448"/>
    </row>
    <row r="454" spans="1:56" ht="12.75" hidden="1" thickBot="1">
      <c r="A454" s="1" t="s">
        <v>1274</v>
      </c>
      <c r="B454" s="2" t="s">
        <v>320</v>
      </c>
      <c r="C454" s="2" t="s">
        <v>1088</v>
      </c>
      <c r="D454" s="8" t="s">
        <v>567</v>
      </c>
      <c r="E454" s="459"/>
      <c r="F454" s="6"/>
      <c r="G454" s="451"/>
      <c r="H454" s="6"/>
      <c r="I454" s="6"/>
      <c r="J454" s="6"/>
      <c r="K454" s="6"/>
      <c r="L454" s="6"/>
      <c r="M454" s="451"/>
      <c r="N454" s="451"/>
      <c r="O454" s="6"/>
      <c r="P454" s="6"/>
      <c r="Q454" s="451"/>
      <c r="R454" s="451"/>
      <c r="S454" s="445">
        <f t="shared" si="48"/>
        <v>0</v>
      </c>
      <c r="T454" s="445">
        <f t="shared" si="49"/>
        <v>0</v>
      </c>
      <c r="U454" s="445">
        <f t="shared" si="50"/>
        <v>0</v>
      </c>
      <c r="W454" s="450">
        <f t="shared" si="47"/>
        <v>0</v>
      </c>
      <c r="X454" s="448">
        <f t="shared" si="46"/>
        <v>0</v>
      </c>
      <c r="Y454" s="441"/>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8"/>
      <c r="BB454" s="448"/>
      <c r="BC454" s="448"/>
      <c r="BD454" s="448"/>
    </row>
    <row r="455" spans="1:56" ht="12.75" hidden="1" thickBot="1">
      <c r="A455" s="1" t="s">
        <v>1274</v>
      </c>
      <c r="B455" s="2" t="s">
        <v>321</v>
      </c>
      <c r="C455" s="2" t="s">
        <v>1089</v>
      </c>
      <c r="D455" s="8" t="s">
        <v>567</v>
      </c>
      <c r="E455" s="460"/>
      <c r="F455" s="4"/>
      <c r="G455" s="4"/>
      <c r="H455" s="4"/>
      <c r="I455" s="4"/>
      <c r="J455" s="4"/>
      <c r="K455" s="4"/>
      <c r="L455" s="4"/>
      <c r="M455" s="4"/>
      <c r="N455" s="4"/>
      <c r="O455" s="4"/>
      <c r="P455" s="4"/>
      <c r="Q455" s="4"/>
      <c r="R455" s="4"/>
      <c r="S455" s="445">
        <f t="shared" si="48"/>
        <v>0</v>
      </c>
      <c r="T455" s="445">
        <f t="shared" si="49"/>
        <v>0</v>
      </c>
      <c r="U455" s="445">
        <f t="shared" si="50"/>
        <v>0</v>
      </c>
      <c r="W455" s="450">
        <f t="shared" si="47"/>
        <v>0</v>
      </c>
      <c r="X455" s="448">
        <f t="shared" si="46"/>
        <v>0</v>
      </c>
      <c r="Y455" s="441"/>
      <c r="Z455" s="441"/>
      <c r="AA455" s="441"/>
      <c r="AB455" s="441"/>
      <c r="AC455" s="441"/>
      <c r="AD455" s="441"/>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8"/>
      <c r="BB455" s="448"/>
      <c r="BC455" s="448"/>
      <c r="BD455" s="448"/>
    </row>
    <row r="456" spans="1:56" ht="12.75" hidden="1" thickBot="1">
      <c r="A456" s="1" t="s">
        <v>1274</v>
      </c>
      <c r="B456" s="2" t="s">
        <v>1227</v>
      </c>
      <c r="C456" s="2" t="s">
        <v>1228</v>
      </c>
      <c r="D456" s="8" t="s">
        <v>567</v>
      </c>
      <c r="E456" s="459"/>
      <c r="F456" s="6"/>
      <c r="G456" s="451"/>
      <c r="H456" s="6"/>
      <c r="I456" s="6"/>
      <c r="J456" s="6"/>
      <c r="K456" s="6"/>
      <c r="L456" s="6"/>
      <c r="M456" s="451"/>
      <c r="N456" s="451"/>
      <c r="O456" s="6"/>
      <c r="P456" s="6"/>
      <c r="Q456" s="451"/>
      <c r="R456" s="451"/>
      <c r="S456" s="445">
        <f t="shared" si="48"/>
        <v>0</v>
      </c>
      <c r="T456" s="445">
        <f t="shared" si="49"/>
        <v>0</v>
      </c>
      <c r="U456" s="445">
        <f t="shared" si="50"/>
        <v>0</v>
      </c>
      <c r="W456" s="450">
        <f t="shared" si="47"/>
        <v>0</v>
      </c>
      <c r="X456" s="448">
        <f t="shared" si="46"/>
        <v>0</v>
      </c>
      <c r="Y456" s="441"/>
      <c r="Z456" s="441"/>
      <c r="AA456" s="441"/>
      <c r="AB456" s="441"/>
      <c r="AC456" s="441"/>
      <c r="AD456" s="441"/>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8"/>
      <c r="BB456" s="448"/>
      <c r="BC456" s="448"/>
      <c r="BD456" s="448"/>
    </row>
    <row r="457" spans="1:56" ht="12.75" hidden="1" thickBot="1">
      <c r="A457" s="1" t="s">
        <v>1274</v>
      </c>
      <c r="B457" s="2" t="s">
        <v>322</v>
      </c>
      <c r="C457" s="2" t="s">
        <v>1090</v>
      </c>
      <c r="D457" s="8" t="s">
        <v>567</v>
      </c>
      <c r="E457" s="460"/>
      <c r="F457" s="4"/>
      <c r="G457" s="449"/>
      <c r="H457" s="4"/>
      <c r="I457" s="4"/>
      <c r="J457" s="4"/>
      <c r="K457" s="4"/>
      <c r="L457" s="4"/>
      <c r="M457" s="449"/>
      <c r="N457" s="449"/>
      <c r="O457" s="4"/>
      <c r="P457" s="4"/>
      <c r="Q457" s="449"/>
      <c r="R457" s="449"/>
      <c r="S457" s="445">
        <f t="shared" si="48"/>
        <v>0</v>
      </c>
      <c r="T457" s="445">
        <f t="shared" si="49"/>
        <v>0</v>
      </c>
      <c r="U457" s="445">
        <f t="shared" si="50"/>
        <v>0</v>
      </c>
      <c r="W457" s="450">
        <f t="shared" si="47"/>
        <v>0</v>
      </c>
      <c r="X457" s="448">
        <f t="shared" si="46"/>
        <v>0</v>
      </c>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8"/>
      <c r="BB457" s="448"/>
      <c r="BC457" s="448"/>
      <c r="BD457" s="448"/>
    </row>
    <row r="458" spans="1:56" ht="12.75" hidden="1" thickBot="1">
      <c r="A458" s="1" t="s">
        <v>1274</v>
      </c>
      <c r="B458" s="2" t="s">
        <v>323</v>
      </c>
      <c r="C458" s="2" t="s">
        <v>1091</v>
      </c>
      <c r="D458" s="453" t="s">
        <v>459</v>
      </c>
      <c r="E458" s="459"/>
      <c r="F458" s="6"/>
      <c r="G458" s="451"/>
      <c r="H458" s="6"/>
      <c r="I458" s="6"/>
      <c r="J458" s="6"/>
      <c r="K458" s="6"/>
      <c r="L458" s="6"/>
      <c r="M458" s="451"/>
      <c r="N458" s="451"/>
      <c r="O458" s="6"/>
      <c r="P458" s="6"/>
      <c r="Q458" s="451"/>
      <c r="R458" s="451"/>
      <c r="S458" s="445">
        <f t="shared" si="48"/>
        <v>0</v>
      </c>
      <c r="T458" s="445">
        <f t="shared" si="49"/>
        <v>0</v>
      </c>
      <c r="U458" s="445">
        <f t="shared" si="50"/>
        <v>0</v>
      </c>
      <c r="W458" s="450">
        <f t="shared" si="47"/>
        <v>0</v>
      </c>
      <c r="X458" s="448">
        <f t="shared" si="46"/>
        <v>0</v>
      </c>
      <c r="Y458" s="441"/>
      <c r="Z458" s="441"/>
      <c r="AA458" s="441"/>
      <c r="AB458" s="441"/>
      <c r="AC458" s="441"/>
      <c r="AD458" s="441"/>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8"/>
      <c r="BB458" s="448"/>
      <c r="BC458" s="448"/>
      <c r="BD458" s="448"/>
    </row>
    <row r="459" spans="1:56" ht="12.75" hidden="1" thickBot="1">
      <c r="A459" s="1" t="s">
        <v>1274</v>
      </c>
      <c r="B459" s="2" t="s">
        <v>328</v>
      </c>
      <c r="C459" s="2" t="s">
        <v>1092</v>
      </c>
      <c r="D459" s="8" t="s">
        <v>567</v>
      </c>
      <c r="E459" s="460"/>
      <c r="F459" s="4"/>
      <c r="G459" s="449"/>
      <c r="H459" s="4"/>
      <c r="I459" s="4"/>
      <c r="J459" s="4"/>
      <c r="K459" s="4"/>
      <c r="L459" s="4"/>
      <c r="M459" s="449"/>
      <c r="N459" s="449"/>
      <c r="O459" s="4"/>
      <c r="P459" s="4"/>
      <c r="Q459" s="449"/>
      <c r="R459" s="449"/>
      <c r="S459" s="445">
        <f t="shared" si="48"/>
        <v>0</v>
      </c>
      <c r="T459" s="445">
        <f t="shared" si="49"/>
        <v>0</v>
      </c>
      <c r="U459" s="445">
        <f t="shared" si="50"/>
        <v>0</v>
      </c>
      <c r="W459" s="450">
        <f t="shared" si="47"/>
        <v>0</v>
      </c>
      <c r="X459" s="448">
        <f t="shared" si="46"/>
        <v>0</v>
      </c>
      <c r="Y459" s="441"/>
      <c r="Z459" s="441"/>
      <c r="AA459" s="441"/>
      <c r="AB459" s="441"/>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8"/>
      <c r="BB459" s="448"/>
      <c r="BC459" s="448"/>
      <c r="BD459" s="448"/>
    </row>
    <row r="460" spans="1:56" ht="12.75" hidden="1" thickBot="1">
      <c r="A460" s="1" t="s">
        <v>1274</v>
      </c>
      <c r="B460" s="2" t="s">
        <v>329</v>
      </c>
      <c r="C460" s="2" t="s">
        <v>1093</v>
      </c>
      <c r="D460" s="453" t="s">
        <v>459</v>
      </c>
      <c r="E460" s="459"/>
      <c r="F460" s="6"/>
      <c r="G460" s="451"/>
      <c r="H460" s="6"/>
      <c r="I460" s="6"/>
      <c r="J460" s="6"/>
      <c r="K460" s="6"/>
      <c r="L460" s="6"/>
      <c r="M460" s="451"/>
      <c r="N460" s="451"/>
      <c r="O460" s="6"/>
      <c r="P460" s="6"/>
      <c r="Q460" s="451"/>
      <c r="R460" s="451"/>
      <c r="S460" s="445">
        <f t="shared" si="48"/>
        <v>0</v>
      </c>
      <c r="T460" s="445">
        <f t="shared" si="49"/>
        <v>0</v>
      </c>
      <c r="U460" s="445">
        <f t="shared" si="50"/>
        <v>0</v>
      </c>
      <c r="W460" s="450">
        <f t="shared" si="47"/>
        <v>0</v>
      </c>
      <c r="X460" s="448">
        <f t="shared" si="46"/>
        <v>0</v>
      </c>
      <c r="Y460" s="441"/>
      <c r="Z460" s="441"/>
      <c r="AA460" s="441"/>
      <c r="AB460" s="441"/>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8"/>
      <c r="BB460" s="448"/>
      <c r="BC460" s="448"/>
      <c r="BD460" s="448"/>
    </row>
    <row r="461" spans="1:56" ht="12.75" hidden="1" thickBot="1">
      <c r="A461" s="1" t="s">
        <v>1274</v>
      </c>
      <c r="B461" s="2" t="s">
        <v>330</v>
      </c>
      <c r="C461" s="2" t="s">
        <v>1094</v>
      </c>
      <c r="D461" s="8" t="s">
        <v>567</v>
      </c>
      <c r="E461" s="460"/>
      <c r="F461" s="4"/>
      <c r="G461" s="449"/>
      <c r="H461" s="4"/>
      <c r="I461" s="4"/>
      <c r="J461" s="4"/>
      <c r="K461" s="4"/>
      <c r="L461" s="4"/>
      <c r="M461" s="449"/>
      <c r="N461" s="449"/>
      <c r="O461" s="4"/>
      <c r="P461" s="4"/>
      <c r="Q461" s="449"/>
      <c r="R461" s="449"/>
      <c r="S461" s="445">
        <f t="shared" si="48"/>
        <v>0</v>
      </c>
      <c r="T461" s="445">
        <f t="shared" si="49"/>
        <v>0</v>
      </c>
      <c r="U461" s="445">
        <f t="shared" si="50"/>
        <v>0</v>
      </c>
      <c r="W461" s="450">
        <f t="shared" si="47"/>
        <v>0</v>
      </c>
      <c r="X461" s="448">
        <f t="shared" si="46"/>
        <v>0</v>
      </c>
      <c r="Y461" s="441"/>
      <c r="Z461" s="441"/>
      <c r="AA461" s="441"/>
      <c r="AB461" s="441"/>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8"/>
      <c r="BB461" s="448"/>
      <c r="BC461" s="448"/>
      <c r="BD461" s="448"/>
    </row>
    <row r="462" spans="1:56" ht="12.75" hidden="1" thickBot="1">
      <c r="A462" s="1" t="s">
        <v>1274</v>
      </c>
      <c r="B462" s="2" t="s">
        <v>331</v>
      </c>
      <c r="C462" s="2" t="s">
        <v>1095</v>
      </c>
      <c r="D462" s="453" t="s">
        <v>459</v>
      </c>
      <c r="E462" s="459"/>
      <c r="F462" s="6"/>
      <c r="G462" s="451"/>
      <c r="H462" s="6"/>
      <c r="I462" s="6"/>
      <c r="J462" s="6"/>
      <c r="K462" s="6"/>
      <c r="L462" s="6"/>
      <c r="M462" s="451"/>
      <c r="N462" s="451"/>
      <c r="O462" s="6"/>
      <c r="P462" s="6"/>
      <c r="Q462" s="451"/>
      <c r="R462" s="451"/>
      <c r="S462" s="445">
        <f t="shared" si="48"/>
        <v>0</v>
      </c>
      <c r="T462" s="445">
        <f t="shared" si="49"/>
        <v>0</v>
      </c>
      <c r="U462" s="445">
        <f t="shared" si="50"/>
        <v>0</v>
      </c>
      <c r="W462" s="450">
        <f t="shared" si="47"/>
        <v>0</v>
      </c>
      <c r="X462" s="448">
        <f t="shared" ref="X462:X473" si="51">W462-R462</f>
        <v>0</v>
      </c>
      <c r="Y462" s="441"/>
      <c r="Z462" s="441"/>
      <c r="AA462" s="441"/>
      <c r="AB462" s="441"/>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8"/>
      <c r="BB462" s="448"/>
      <c r="BC462" s="448"/>
      <c r="BD462" s="448"/>
    </row>
    <row r="463" spans="1:56" ht="12.75" hidden="1" thickBot="1">
      <c r="A463" s="1" t="s">
        <v>1274</v>
      </c>
      <c r="B463" s="2" t="s">
        <v>332</v>
      </c>
      <c r="C463" s="2" t="s">
        <v>1096</v>
      </c>
      <c r="D463" s="453" t="s">
        <v>459</v>
      </c>
      <c r="E463" s="460"/>
      <c r="F463" s="4"/>
      <c r="G463" s="449"/>
      <c r="H463" s="4"/>
      <c r="I463" s="4"/>
      <c r="J463" s="4"/>
      <c r="K463" s="4"/>
      <c r="L463" s="4"/>
      <c r="M463" s="449"/>
      <c r="N463" s="449"/>
      <c r="O463" s="4"/>
      <c r="P463" s="4"/>
      <c r="Q463" s="449"/>
      <c r="R463" s="449"/>
      <c r="S463" s="445">
        <f t="shared" si="48"/>
        <v>0</v>
      </c>
      <c r="T463" s="445">
        <f t="shared" si="49"/>
        <v>0</v>
      </c>
      <c r="U463" s="445">
        <f t="shared" si="50"/>
        <v>0</v>
      </c>
      <c r="W463" s="450">
        <f t="shared" si="47"/>
        <v>0</v>
      </c>
      <c r="X463" s="448">
        <f t="shared" si="51"/>
        <v>0</v>
      </c>
      <c r="Y463" s="441"/>
      <c r="Z463" s="441"/>
      <c r="AA463" s="441"/>
      <c r="AB463" s="441"/>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8"/>
      <c r="BB463" s="448"/>
      <c r="BC463" s="448"/>
      <c r="BD463" s="448"/>
    </row>
    <row r="464" spans="1:56" ht="12.75" hidden="1" thickBot="1">
      <c r="A464" s="1" t="s">
        <v>1274</v>
      </c>
      <c r="B464" s="2" t="s">
        <v>333</v>
      </c>
      <c r="C464" s="2" t="s">
        <v>1097</v>
      </c>
      <c r="D464" s="8" t="s">
        <v>567</v>
      </c>
      <c r="E464" s="459"/>
      <c r="F464" s="6"/>
      <c r="G464" s="451"/>
      <c r="H464" s="6"/>
      <c r="I464" s="6"/>
      <c r="J464" s="6"/>
      <c r="K464" s="6"/>
      <c r="L464" s="6"/>
      <c r="M464" s="451"/>
      <c r="N464" s="451"/>
      <c r="O464" s="6"/>
      <c r="P464" s="6"/>
      <c r="Q464" s="451"/>
      <c r="R464" s="451"/>
      <c r="S464" s="445">
        <f t="shared" si="48"/>
        <v>0</v>
      </c>
      <c r="T464" s="445">
        <f t="shared" si="49"/>
        <v>0</v>
      </c>
      <c r="U464" s="445">
        <f t="shared" si="50"/>
        <v>0</v>
      </c>
      <c r="W464" s="450">
        <f t="shared" si="47"/>
        <v>0</v>
      </c>
      <c r="X464" s="448">
        <f t="shared" si="51"/>
        <v>0</v>
      </c>
      <c r="Y464" s="441"/>
      <c r="Z464" s="441"/>
      <c r="AA464" s="441"/>
      <c r="AB464" s="441"/>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8"/>
      <c r="BB464" s="448"/>
      <c r="BC464" s="448"/>
      <c r="BD464" s="448"/>
    </row>
    <row r="465" spans="1:58" ht="12.75" hidden="1" thickBot="1">
      <c r="A465" s="1" t="s">
        <v>1274</v>
      </c>
      <c r="B465" s="2" t="s">
        <v>334</v>
      </c>
      <c r="C465" s="2" t="s">
        <v>1098</v>
      </c>
      <c r="D465" s="453" t="s">
        <v>459</v>
      </c>
      <c r="E465" s="460"/>
      <c r="F465" s="4"/>
      <c r="G465" s="449"/>
      <c r="H465" s="4"/>
      <c r="I465" s="4"/>
      <c r="J465" s="4"/>
      <c r="K465" s="4"/>
      <c r="L465" s="4"/>
      <c r="M465" s="449"/>
      <c r="N465" s="449"/>
      <c r="O465" s="4"/>
      <c r="P465" s="4"/>
      <c r="Q465" s="449"/>
      <c r="R465" s="449"/>
      <c r="S465" s="445">
        <f t="shared" si="48"/>
        <v>0</v>
      </c>
      <c r="T465" s="445">
        <f t="shared" si="49"/>
        <v>0</v>
      </c>
      <c r="U465" s="445">
        <f t="shared" si="50"/>
        <v>0</v>
      </c>
      <c r="W465" s="450">
        <f t="shared" si="47"/>
        <v>0</v>
      </c>
      <c r="X465" s="448">
        <f t="shared" si="51"/>
        <v>0</v>
      </c>
      <c r="Y465" s="441"/>
      <c r="Z465" s="441"/>
      <c r="AA465" s="441"/>
      <c r="AB465" s="441"/>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8"/>
      <c r="BB465" s="448"/>
      <c r="BC465" s="448"/>
      <c r="BD465" s="448"/>
    </row>
    <row r="466" spans="1:58" ht="12.75" hidden="1" thickBot="1">
      <c r="A466" s="1" t="s">
        <v>1274</v>
      </c>
      <c r="B466" s="2" t="s">
        <v>620</v>
      </c>
      <c r="C466" s="2" t="s">
        <v>1099</v>
      </c>
      <c r="D466" s="8" t="s">
        <v>567</v>
      </c>
      <c r="E466" s="459"/>
      <c r="F466" s="6"/>
      <c r="G466" s="451"/>
      <c r="H466" s="6"/>
      <c r="I466" s="6"/>
      <c r="J466" s="6"/>
      <c r="K466" s="6"/>
      <c r="L466" s="6"/>
      <c r="M466" s="451"/>
      <c r="N466" s="451"/>
      <c r="O466" s="6"/>
      <c r="P466" s="6"/>
      <c r="Q466" s="451"/>
      <c r="R466" s="451"/>
      <c r="S466" s="445">
        <f t="shared" si="48"/>
        <v>0</v>
      </c>
      <c r="T466" s="445">
        <f t="shared" si="49"/>
        <v>0</v>
      </c>
      <c r="U466" s="445">
        <f t="shared" si="50"/>
        <v>0</v>
      </c>
      <c r="W466" s="450">
        <f t="shared" ref="W466:W473" si="52">SUM(F466:Q466)</f>
        <v>0</v>
      </c>
      <c r="X466" s="448">
        <f t="shared" si="51"/>
        <v>0</v>
      </c>
      <c r="Y466" s="441"/>
      <c r="Z466" s="441"/>
      <c r="AA466" s="441"/>
      <c r="AB466" s="441"/>
      <c r="AC466" s="441"/>
      <c r="AD466" s="441"/>
      <c r="AE466" s="441"/>
      <c r="AF466" s="441"/>
      <c r="AG466" s="441"/>
      <c r="AH466" s="441"/>
      <c r="AI466" s="441"/>
      <c r="AJ466" s="441"/>
      <c r="AK466" s="441"/>
      <c r="AL466" s="441"/>
      <c r="AM466" s="441"/>
      <c r="AN466" s="441"/>
      <c r="AO466" s="441"/>
      <c r="AP466" s="441"/>
      <c r="AQ466" s="441"/>
      <c r="AR466" s="441"/>
      <c r="AS466" s="441"/>
      <c r="AT466" s="441"/>
      <c r="AU466" s="441"/>
      <c r="AV466" s="441"/>
      <c r="AW466" s="441"/>
      <c r="AX466" s="441"/>
      <c r="AY466" s="441"/>
      <c r="AZ466" s="441"/>
      <c r="BA466" s="448"/>
      <c r="BB466" s="448"/>
      <c r="BC466" s="448"/>
      <c r="BD466" s="448"/>
    </row>
    <row r="467" spans="1:58" ht="12.75" hidden="1" thickBot="1">
      <c r="A467" s="1" t="s">
        <v>1274</v>
      </c>
      <c r="B467" s="2" t="s">
        <v>360</v>
      </c>
      <c r="C467" s="2" t="s">
        <v>1100</v>
      </c>
      <c r="D467" s="8" t="s">
        <v>567</v>
      </c>
      <c r="E467" s="460"/>
      <c r="F467" s="4"/>
      <c r="G467" s="449"/>
      <c r="H467" s="4"/>
      <c r="I467" s="4"/>
      <c r="J467" s="4"/>
      <c r="K467" s="4"/>
      <c r="L467" s="4"/>
      <c r="M467" s="449"/>
      <c r="N467" s="449"/>
      <c r="O467" s="4"/>
      <c r="P467" s="4"/>
      <c r="Q467" s="449"/>
      <c r="R467" s="449"/>
      <c r="S467" s="445">
        <f t="shared" si="48"/>
        <v>0</v>
      </c>
      <c r="T467" s="445">
        <f t="shared" si="49"/>
        <v>0</v>
      </c>
      <c r="U467" s="445">
        <f t="shared" si="50"/>
        <v>0</v>
      </c>
      <c r="W467" s="450">
        <f t="shared" si="52"/>
        <v>0</v>
      </c>
      <c r="X467" s="448">
        <f t="shared" si="51"/>
        <v>0</v>
      </c>
      <c r="Y467" s="441"/>
      <c r="Z467" s="441"/>
      <c r="AA467" s="441"/>
      <c r="AB467" s="441"/>
      <c r="AC467" s="441"/>
      <c r="AD467" s="441"/>
      <c r="AE467" s="441"/>
      <c r="AF467" s="441"/>
      <c r="AG467" s="441"/>
      <c r="AH467" s="441"/>
      <c r="AI467" s="441"/>
      <c r="AJ467" s="441"/>
      <c r="AK467" s="441"/>
      <c r="AL467" s="441"/>
      <c r="AM467" s="441"/>
      <c r="AN467" s="441"/>
      <c r="AO467" s="441"/>
      <c r="AP467" s="441"/>
      <c r="AQ467" s="441"/>
      <c r="AR467" s="441"/>
      <c r="AS467" s="441"/>
      <c r="AT467" s="441"/>
      <c r="AU467" s="441"/>
      <c r="AV467" s="441"/>
      <c r="AW467" s="441"/>
      <c r="AX467" s="441"/>
      <c r="AY467" s="441"/>
      <c r="AZ467" s="441"/>
      <c r="BA467" s="448"/>
      <c r="BB467" s="448"/>
      <c r="BC467" s="448"/>
      <c r="BD467" s="448"/>
    </row>
    <row r="468" spans="1:58" ht="12.75" hidden="1" thickBot="1">
      <c r="A468" s="1" t="s">
        <v>1274</v>
      </c>
      <c r="B468" s="2" t="s">
        <v>335</v>
      </c>
      <c r="C468" s="2" t="s">
        <v>1101</v>
      </c>
      <c r="D468" s="8" t="s">
        <v>567</v>
      </c>
      <c r="E468" s="459"/>
      <c r="F468" s="6"/>
      <c r="G468" s="451"/>
      <c r="H468" s="6"/>
      <c r="I468" s="6"/>
      <c r="J468" s="6"/>
      <c r="K468" s="6"/>
      <c r="L468" s="6"/>
      <c r="M468" s="451"/>
      <c r="N468" s="451"/>
      <c r="O468" s="6"/>
      <c r="P468" s="6"/>
      <c r="Q468" s="451"/>
      <c r="R468" s="451"/>
      <c r="S468" s="445">
        <f t="shared" si="48"/>
        <v>0</v>
      </c>
      <c r="T468" s="445">
        <f t="shared" si="49"/>
        <v>0</v>
      </c>
      <c r="U468" s="445">
        <f t="shared" si="50"/>
        <v>0</v>
      </c>
      <c r="W468" s="450">
        <f t="shared" si="52"/>
        <v>0</v>
      </c>
      <c r="X468" s="448">
        <f t="shared" si="51"/>
        <v>0</v>
      </c>
      <c r="Y468" s="441"/>
      <c r="Z468" s="441"/>
      <c r="AA468" s="441"/>
      <c r="AB468" s="441"/>
      <c r="AC468" s="441"/>
      <c r="AD468" s="441"/>
      <c r="AE468" s="441"/>
      <c r="AF468" s="441"/>
      <c r="AG468" s="441"/>
      <c r="AH468" s="441"/>
      <c r="AI468" s="441"/>
      <c r="AJ468" s="441"/>
      <c r="AK468" s="441"/>
      <c r="AL468" s="441"/>
      <c r="AM468" s="441"/>
      <c r="AN468" s="441"/>
      <c r="AO468" s="441"/>
      <c r="AP468" s="441"/>
      <c r="AQ468" s="441"/>
      <c r="AR468" s="441"/>
      <c r="AS468" s="441"/>
      <c r="AT468" s="441"/>
      <c r="AU468" s="441"/>
      <c r="AV468" s="441"/>
      <c r="AW468" s="441"/>
      <c r="AX468" s="441"/>
      <c r="AY468" s="441"/>
      <c r="AZ468" s="441"/>
      <c r="BA468" s="448"/>
      <c r="BB468" s="448"/>
      <c r="BC468" s="448"/>
      <c r="BD468" s="448"/>
    </row>
    <row r="469" spans="1:58" ht="12.75" hidden="1" thickBot="1">
      <c r="A469" s="1" t="s">
        <v>1274</v>
      </c>
      <c r="B469" s="2" t="s">
        <v>336</v>
      </c>
      <c r="C469" s="2" t="s">
        <v>1102</v>
      </c>
      <c r="D469" s="8" t="s">
        <v>567</v>
      </c>
      <c r="E469" s="460"/>
      <c r="F469" s="4"/>
      <c r="G469" s="449"/>
      <c r="H469" s="4"/>
      <c r="I469" s="4"/>
      <c r="J469" s="4"/>
      <c r="K469" s="4"/>
      <c r="L469" s="4"/>
      <c r="M469" s="449"/>
      <c r="N469" s="449"/>
      <c r="O469" s="4"/>
      <c r="P469" s="4"/>
      <c r="Q469" s="449"/>
      <c r="R469" s="449"/>
      <c r="S469" s="445">
        <f t="shared" si="48"/>
        <v>0</v>
      </c>
      <c r="T469" s="445">
        <f t="shared" si="49"/>
        <v>0</v>
      </c>
      <c r="U469" s="445">
        <f t="shared" si="50"/>
        <v>0</v>
      </c>
      <c r="W469" s="450">
        <f t="shared" si="52"/>
        <v>0</v>
      </c>
      <c r="X469" s="448">
        <f t="shared" si="51"/>
        <v>0</v>
      </c>
      <c r="Y469" s="441"/>
      <c r="Z469" s="441"/>
      <c r="AA469" s="441"/>
      <c r="AB469" s="441"/>
      <c r="AC469" s="441"/>
      <c r="AD469" s="441"/>
      <c r="AE469" s="441"/>
      <c r="AF469" s="441"/>
      <c r="AG469" s="441"/>
      <c r="AH469" s="441"/>
      <c r="AI469" s="441"/>
      <c r="AJ469" s="441"/>
      <c r="AK469" s="441"/>
      <c r="AL469" s="441"/>
      <c r="AM469" s="441"/>
      <c r="AN469" s="441"/>
      <c r="AO469" s="441"/>
      <c r="AP469" s="441"/>
      <c r="AQ469" s="441"/>
      <c r="AR469" s="441"/>
      <c r="AS469" s="441"/>
      <c r="AT469" s="441"/>
      <c r="AU469" s="441"/>
      <c r="AV469" s="441"/>
      <c r="AW469" s="441"/>
      <c r="AX469" s="441"/>
      <c r="AY469" s="441"/>
      <c r="AZ469" s="441"/>
      <c r="BA469" s="448"/>
      <c r="BB469" s="448"/>
      <c r="BC469" s="448"/>
      <c r="BD469" s="448"/>
    </row>
    <row r="470" spans="1:58" ht="12.75" hidden="1" thickBot="1">
      <c r="A470" s="1" t="s">
        <v>1274</v>
      </c>
      <c r="B470" s="2" t="s">
        <v>337</v>
      </c>
      <c r="C470" s="2" t="s">
        <v>1103</v>
      </c>
      <c r="D470" s="8" t="s">
        <v>567</v>
      </c>
      <c r="E470" s="459"/>
      <c r="F470" s="6"/>
      <c r="G470" s="451"/>
      <c r="H470" s="6"/>
      <c r="I470" s="6"/>
      <c r="J470" s="6"/>
      <c r="K470" s="6"/>
      <c r="L470" s="6"/>
      <c r="M470" s="451"/>
      <c r="N470" s="451"/>
      <c r="O470" s="6"/>
      <c r="P470" s="6"/>
      <c r="Q470" s="451"/>
      <c r="R470" s="451"/>
      <c r="S470" s="445">
        <f t="shared" si="48"/>
        <v>0</v>
      </c>
      <c r="T470" s="445">
        <f t="shared" si="49"/>
        <v>0</v>
      </c>
      <c r="U470" s="445">
        <f t="shared" si="50"/>
        <v>0</v>
      </c>
      <c r="W470" s="450">
        <f t="shared" si="52"/>
        <v>0</v>
      </c>
      <c r="X470" s="448">
        <f t="shared" si="51"/>
        <v>0</v>
      </c>
      <c r="Y470" s="441"/>
      <c r="Z470" s="441"/>
      <c r="AA470" s="441"/>
      <c r="AB470" s="441"/>
      <c r="AC470" s="441"/>
      <c r="AD470" s="441"/>
      <c r="AE470" s="441"/>
      <c r="AF470" s="441"/>
      <c r="AG470" s="441"/>
      <c r="AH470" s="441"/>
      <c r="AI470" s="441"/>
      <c r="AJ470" s="441"/>
      <c r="AK470" s="441"/>
      <c r="AL470" s="441"/>
      <c r="AM470" s="441"/>
      <c r="AN470" s="441"/>
      <c r="AO470" s="441"/>
      <c r="AP470" s="441"/>
      <c r="AQ470" s="441"/>
      <c r="AR470" s="441"/>
      <c r="AS470" s="441"/>
      <c r="AT470" s="441"/>
      <c r="AU470" s="441"/>
      <c r="AV470" s="441"/>
      <c r="AW470" s="441"/>
      <c r="AX470" s="441"/>
      <c r="AY470" s="441"/>
      <c r="AZ470" s="441"/>
      <c r="BA470" s="448"/>
      <c r="BB470" s="448"/>
      <c r="BC470" s="448"/>
      <c r="BD470" s="448"/>
    </row>
    <row r="471" spans="1:58" ht="12.75" hidden="1" thickBot="1">
      <c r="A471" s="1" t="s">
        <v>1274</v>
      </c>
      <c r="B471" s="454" t="s">
        <v>7</v>
      </c>
      <c r="C471" s="455"/>
      <c r="D471" s="7"/>
      <c r="E471" s="7"/>
      <c r="F471" s="456"/>
      <c r="G471" s="456"/>
      <c r="H471" s="456"/>
      <c r="I471" s="456"/>
      <c r="J471" s="456"/>
      <c r="K471" s="456"/>
      <c r="L471" s="456"/>
      <c r="M471" s="456"/>
      <c r="N471" s="456"/>
      <c r="O471" s="456"/>
      <c r="P471" s="456"/>
      <c r="Q471" s="456"/>
      <c r="R471" s="456"/>
      <c r="S471" s="445">
        <f t="shared" si="48"/>
        <v>0</v>
      </c>
      <c r="T471" s="445">
        <f t="shared" si="49"/>
        <v>0</v>
      </c>
      <c r="U471" s="445">
        <f t="shared" si="50"/>
        <v>0</v>
      </c>
      <c r="W471" s="450">
        <f t="shared" si="52"/>
        <v>0</v>
      </c>
      <c r="X471" s="448">
        <f t="shared" si="51"/>
        <v>0</v>
      </c>
      <c r="Y471" s="441"/>
      <c r="Z471" s="441"/>
      <c r="AA471" s="441"/>
      <c r="AB471" s="441"/>
      <c r="AC471" s="441"/>
      <c r="AD471" s="441"/>
      <c r="AE471" s="441"/>
      <c r="AF471" s="441"/>
      <c r="AG471" s="441"/>
      <c r="AH471" s="441"/>
      <c r="AI471" s="441"/>
      <c r="AJ471" s="441"/>
      <c r="AK471" s="441"/>
      <c r="AL471" s="441"/>
      <c r="AM471" s="441"/>
      <c r="AN471" s="441"/>
      <c r="AO471" s="441"/>
      <c r="AP471" s="441"/>
      <c r="AQ471" s="441"/>
      <c r="AR471" s="441"/>
      <c r="AS471" s="441"/>
      <c r="AT471" s="441"/>
      <c r="AU471" s="441"/>
      <c r="AV471" s="441"/>
      <c r="AW471" s="441"/>
      <c r="AX471" s="441"/>
      <c r="AY471" s="441"/>
      <c r="AZ471" s="441"/>
      <c r="BA471" s="448"/>
      <c r="BB471" s="448"/>
      <c r="BC471" s="448"/>
      <c r="BD471" s="448"/>
    </row>
    <row r="472" spans="1:58" ht="12.75" hidden="1" thickBot="1">
      <c r="A472" s="1" t="s">
        <v>1275</v>
      </c>
      <c r="B472" s="2" t="s">
        <v>797</v>
      </c>
      <c r="C472" s="2" t="s">
        <v>1031</v>
      </c>
      <c r="D472" s="8" t="s">
        <v>830</v>
      </c>
      <c r="E472" s="457"/>
      <c r="F472" s="4"/>
      <c r="G472" s="4"/>
      <c r="H472" s="4"/>
      <c r="I472" s="4"/>
      <c r="J472" s="4"/>
      <c r="K472" s="4"/>
      <c r="L472" s="4"/>
      <c r="M472" s="4"/>
      <c r="N472" s="4"/>
      <c r="O472" s="4"/>
      <c r="P472" s="4"/>
      <c r="Q472" s="4"/>
      <c r="R472" s="449"/>
      <c r="S472" s="445">
        <f t="shared" si="48"/>
        <v>0</v>
      </c>
      <c r="T472" s="445">
        <f t="shared" si="49"/>
        <v>0</v>
      </c>
      <c r="U472" s="445">
        <f t="shared" si="50"/>
        <v>0</v>
      </c>
      <c r="W472" s="450">
        <f t="shared" si="52"/>
        <v>0</v>
      </c>
      <c r="X472" s="448">
        <f t="shared" si="51"/>
        <v>0</v>
      </c>
      <c r="Y472" s="441"/>
      <c r="Z472" s="441"/>
      <c r="AA472" s="441"/>
      <c r="AB472" s="441"/>
      <c r="AC472" s="441"/>
      <c r="AD472" s="441"/>
      <c r="AE472" s="441"/>
      <c r="AF472" s="441"/>
      <c r="AG472" s="441"/>
      <c r="AH472" s="441"/>
      <c r="AI472" s="441"/>
      <c r="AJ472" s="441"/>
      <c r="AK472" s="441"/>
      <c r="AL472" s="441"/>
      <c r="AM472" s="441"/>
      <c r="AN472" s="441"/>
      <c r="AO472" s="441"/>
      <c r="AP472" s="441"/>
      <c r="AQ472" s="441"/>
      <c r="AR472" s="441"/>
      <c r="AS472" s="441"/>
      <c r="AT472" s="441"/>
      <c r="AU472" s="441"/>
      <c r="AV472" s="441"/>
      <c r="AW472" s="441"/>
      <c r="AX472" s="441"/>
      <c r="AY472" s="441"/>
      <c r="AZ472" s="441"/>
      <c r="BA472" s="448"/>
      <c r="BB472" s="448"/>
      <c r="BC472" s="448"/>
      <c r="BD472" s="448"/>
    </row>
    <row r="473" spans="1:58" ht="12.75" hidden="1" thickBot="1">
      <c r="A473" s="1" t="s">
        <v>1275</v>
      </c>
      <c r="B473" s="2" t="s">
        <v>797</v>
      </c>
      <c r="C473" s="2" t="s">
        <v>798</v>
      </c>
      <c r="D473" s="8" t="s">
        <v>830</v>
      </c>
      <c r="E473" s="458"/>
      <c r="F473" s="6"/>
      <c r="G473" s="6"/>
      <c r="H473" s="6"/>
      <c r="I473" s="6"/>
      <c r="J473" s="6"/>
      <c r="K473" s="6"/>
      <c r="L473" s="6"/>
      <c r="M473" s="6"/>
      <c r="N473" s="6"/>
      <c r="O473" s="6"/>
      <c r="P473" s="6"/>
      <c r="Q473" s="6"/>
      <c r="R473" s="451"/>
      <c r="S473" s="445">
        <f t="shared" si="48"/>
        <v>0</v>
      </c>
      <c r="T473" s="445">
        <f t="shared" si="49"/>
        <v>0</v>
      </c>
      <c r="U473" s="445">
        <f t="shared" si="50"/>
        <v>0</v>
      </c>
      <c r="W473" s="450">
        <f t="shared" si="52"/>
        <v>0</v>
      </c>
      <c r="X473" s="448">
        <f t="shared" si="51"/>
        <v>0</v>
      </c>
      <c r="Y473" s="441"/>
      <c r="Z473" s="441"/>
      <c r="AA473" s="441"/>
      <c r="AB473" s="441"/>
      <c r="AC473" s="441"/>
      <c r="AD473" s="441"/>
      <c r="AE473" s="441"/>
      <c r="AF473" s="441"/>
      <c r="AG473" s="441"/>
      <c r="AH473" s="441"/>
      <c r="AI473" s="441"/>
      <c r="AJ473" s="441"/>
      <c r="AK473" s="441"/>
      <c r="AL473" s="441"/>
      <c r="AM473" s="441"/>
      <c r="AN473" s="441"/>
      <c r="AO473" s="441"/>
      <c r="AP473" s="441"/>
      <c r="AQ473" s="441"/>
      <c r="AR473" s="441"/>
      <c r="AS473" s="441"/>
      <c r="AT473" s="441"/>
      <c r="AU473" s="441"/>
      <c r="AV473" s="441"/>
      <c r="AW473" s="441"/>
      <c r="AX473" s="441"/>
      <c r="AY473" s="441"/>
      <c r="AZ473" s="441"/>
      <c r="BA473" s="448"/>
      <c r="BB473" s="448"/>
      <c r="BC473" s="448"/>
      <c r="BD473" s="448"/>
    </row>
    <row r="474" spans="1:58" ht="12.75" hidden="1" thickBot="1">
      <c r="A474" s="1" t="s">
        <v>1275</v>
      </c>
      <c r="B474" s="2" t="s">
        <v>793</v>
      </c>
      <c r="C474" s="2" t="s">
        <v>1032</v>
      </c>
      <c r="D474" s="8" t="s">
        <v>793</v>
      </c>
      <c r="E474" s="3">
        <f t="shared" ref="E474:R493" si="53">ROUND(SUMIFS(E$1410:E$1613,$A$1410:$A$1613,$A474,$B$1410:$B$1613,$B474),0)</f>
        <v>8869365</v>
      </c>
      <c r="F474" s="452">
        <f t="shared" si="53"/>
        <v>0</v>
      </c>
      <c r="G474" s="452">
        <f t="shared" si="53"/>
        <v>948575</v>
      </c>
      <c r="H474" s="452">
        <f t="shared" si="53"/>
        <v>241690</v>
      </c>
      <c r="I474" s="452">
        <f t="shared" si="53"/>
        <v>0</v>
      </c>
      <c r="J474" s="452">
        <f t="shared" si="53"/>
        <v>0</v>
      </c>
      <c r="K474" s="452">
        <f t="shared" si="53"/>
        <v>0</v>
      </c>
      <c r="L474" s="452">
        <f t="shared" si="53"/>
        <v>0</v>
      </c>
      <c r="M474" s="452">
        <f t="shared" si="53"/>
        <v>1711</v>
      </c>
      <c r="N474" s="452">
        <f t="shared" si="53"/>
        <v>92840</v>
      </c>
      <c r="O474" s="452">
        <f t="shared" si="53"/>
        <v>0</v>
      </c>
      <c r="P474" s="452">
        <f t="shared" si="53"/>
        <v>0</v>
      </c>
      <c r="Q474" s="452"/>
      <c r="R474" s="452">
        <f t="shared" si="53"/>
        <v>1284816</v>
      </c>
      <c r="S474" s="445">
        <f t="shared" ref="S474:S537" si="54">G474+H474+I474</f>
        <v>1190265</v>
      </c>
      <c r="T474" s="445">
        <f t="shared" ref="T474:T537" si="55">J474+K474</f>
        <v>0</v>
      </c>
      <c r="U474" s="445">
        <f t="shared" ref="U474:U537" si="56">N474+O474</f>
        <v>92840</v>
      </c>
      <c r="W474" s="450"/>
      <c r="X474" s="450"/>
      <c r="Y474" s="441"/>
      <c r="Z474" s="441"/>
      <c r="AA474" s="441"/>
      <c r="AB474" s="441"/>
      <c r="AC474" s="441"/>
      <c r="AD474" s="441"/>
      <c r="AE474" s="441"/>
      <c r="AF474" s="441"/>
      <c r="AG474" s="441"/>
      <c r="AH474" s="441"/>
      <c r="AI474" s="441"/>
      <c r="AJ474" s="441"/>
      <c r="AK474" s="441"/>
      <c r="AL474" s="441"/>
      <c r="AM474" s="441"/>
      <c r="AN474" s="441"/>
      <c r="AO474" s="441"/>
      <c r="AP474" s="448"/>
      <c r="AQ474" s="448"/>
      <c r="AR474" s="448"/>
      <c r="AS474" s="448"/>
      <c r="AT474" s="448"/>
      <c r="AU474" s="448"/>
      <c r="AV474" s="448"/>
      <c r="AW474" s="448"/>
      <c r="AX474" s="448"/>
      <c r="AY474" s="448"/>
      <c r="AZ474" s="448"/>
      <c r="BA474" s="448"/>
      <c r="BB474" s="448"/>
      <c r="BC474" s="448"/>
      <c r="BD474" s="448"/>
      <c r="BE474" s="448"/>
      <c r="BF474" s="448"/>
    </row>
    <row r="475" spans="1:58" ht="12.75" hidden="1" thickBot="1">
      <c r="A475" s="1" t="s">
        <v>1275</v>
      </c>
      <c r="B475" s="2" t="s">
        <v>1111</v>
      </c>
      <c r="C475" s="2" t="s">
        <v>1199</v>
      </c>
      <c r="D475" s="8" t="s">
        <v>830</v>
      </c>
      <c r="E475" s="3">
        <f t="shared" si="53"/>
        <v>0</v>
      </c>
      <c r="F475" s="452">
        <f t="shared" si="53"/>
        <v>0</v>
      </c>
      <c r="G475" s="452">
        <f t="shared" si="53"/>
        <v>0</v>
      </c>
      <c r="H475" s="452">
        <f t="shared" si="53"/>
        <v>0</v>
      </c>
      <c r="I475" s="452">
        <f t="shared" si="53"/>
        <v>0</v>
      </c>
      <c r="J475" s="452">
        <f t="shared" si="53"/>
        <v>0</v>
      </c>
      <c r="K475" s="452">
        <f t="shared" si="53"/>
        <v>0</v>
      </c>
      <c r="L475" s="452">
        <f t="shared" si="53"/>
        <v>0</v>
      </c>
      <c r="M475" s="452">
        <f t="shared" si="53"/>
        <v>0</v>
      </c>
      <c r="N475" s="452">
        <f t="shared" si="53"/>
        <v>0</v>
      </c>
      <c r="O475" s="452">
        <f t="shared" si="53"/>
        <v>0</v>
      </c>
      <c r="P475" s="452">
        <f t="shared" si="53"/>
        <v>0</v>
      </c>
      <c r="Q475" s="452"/>
      <c r="R475" s="452">
        <f t="shared" si="53"/>
        <v>0</v>
      </c>
      <c r="S475" s="445">
        <f t="shared" si="54"/>
        <v>0</v>
      </c>
      <c r="T475" s="445">
        <f t="shared" si="55"/>
        <v>0</v>
      </c>
      <c r="U475" s="445">
        <f t="shared" si="56"/>
        <v>0</v>
      </c>
      <c r="W475" s="450"/>
      <c r="X475" s="450"/>
      <c r="Y475" s="441"/>
      <c r="Z475" s="441"/>
      <c r="AA475" s="441"/>
      <c r="AB475" s="441"/>
      <c r="AC475" s="441"/>
      <c r="AD475" s="441"/>
      <c r="AE475" s="441"/>
      <c r="AF475" s="441"/>
      <c r="AG475" s="441"/>
      <c r="AH475" s="441"/>
      <c r="AI475" s="441"/>
      <c r="AJ475" s="441"/>
      <c r="AK475" s="441"/>
      <c r="AL475" s="441"/>
      <c r="AM475" s="441"/>
      <c r="AN475" s="441"/>
      <c r="AO475" s="441"/>
      <c r="AP475" s="448"/>
      <c r="AQ475" s="448"/>
      <c r="AR475" s="448"/>
      <c r="AS475" s="448"/>
      <c r="AT475" s="448"/>
      <c r="AU475" s="448"/>
      <c r="AV475" s="448"/>
      <c r="AW475" s="448"/>
      <c r="AX475" s="448"/>
      <c r="AY475" s="448"/>
      <c r="AZ475" s="448"/>
      <c r="BA475" s="448"/>
      <c r="BB475" s="448"/>
      <c r="BC475" s="448"/>
      <c r="BD475" s="448"/>
      <c r="BE475" s="448"/>
      <c r="BF475" s="448"/>
    </row>
    <row r="476" spans="1:58" ht="12.75" hidden="1" thickBot="1">
      <c r="A476" s="1" t="s">
        <v>1275</v>
      </c>
      <c r="B476" s="2" t="s">
        <v>801</v>
      </c>
      <c r="C476" s="2" t="s">
        <v>1243</v>
      </c>
      <c r="D476" s="8" t="s">
        <v>1205</v>
      </c>
      <c r="E476" s="3">
        <f t="shared" si="53"/>
        <v>0</v>
      </c>
      <c r="F476" s="452">
        <f t="shared" si="53"/>
        <v>0</v>
      </c>
      <c r="G476" s="452">
        <f t="shared" si="53"/>
        <v>0</v>
      </c>
      <c r="H476" s="452">
        <f t="shared" si="53"/>
        <v>0</v>
      </c>
      <c r="I476" s="452">
        <f t="shared" si="53"/>
        <v>0</v>
      </c>
      <c r="J476" s="452">
        <f t="shared" si="53"/>
        <v>0</v>
      </c>
      <c r="K476" s="452">
        <f t="shared" si="53"/>
        <v>0</v>
      </c>
      <c r="L476" s="452">
        <f t="shared" si="53"/>
        <v>0</v>
      </c>
      <c r="M476" s="452">
        <f t="shared" si="53"/>
        <v>0</v>
      </c>
      <c r="N476" s="452">
        <f t="shared" si="53"/>
        <v>0</v>
      </c>
      <c r="O476" s="452">
        <f t="shared" si="53"/>
        <v>0</v>
      </c>
      <c r="P476" s="452">
        <f t="shared" si="53"/>
        <v>0</v>
      </c>
      <c r="Q476" s="452"/>
      <c r="R476" s="452">
        <f t="shared" si="53"/>
        <v>0</v>
      </c>
      <c r="S476" s="445">
        <f t="shared" si="54"/>
        <v>0</v>
      </c>
      <c r="T476" s="445">
        <f t="shared" si="55"/>
        <v>0</v>
      </c>
      <c r="U476" s="445">
        <f t="shared" si="56"/>
        <v>0</v>
      </c>
      <c r="W476" s="450"/>
      <c r="X476" s="450"/>
      <c r="Y476" s="441"/>
      <c r="Z476" s="441"/>
      <c r="AA476" s="441"/>
      <c r="AB476" s="441"/>
      <c r="AC476" s="441"/>
      <c r="AD476" s="441"/>
      <c r="AE476" s="441"/>
      <c r="AF476" s="441"/>
      <c r="AG476" s="441"/>
      <c r="AH476" s="441"/>
      <c r="AI476" s="441"/>
      <c r="AJ476" s="441"/>
      <c r="AK476" s="441"/>
      <c r="AL476" s="441"/>
      <c r="AM476" s="441"/>
      <c r="AN476" s="441"/>
      <c r="AO476" s="441"/>
      <c r="AP476" s="448"/>
      <c r="AQ476" s="448"/>
      <c r="AR476" s="448"/>
      <c r="AS476" s="448"/>
      <c r="AT476" s="448"/>
      <c r="AU476" s="448"/>
      <c r="AV476" s="448"/>
      <c r="AW476" s="448"/>
      <c r="AX476" s="448"/>
      <c r="AY476" s="448"/>
      <c r="AZ476" s="448"/>
      <c r="BA476" s="448"/>
      <c r="BB476" s="448"/>
      <c r="BC476" s="448"/>
      <c r="BD476" s="448"/>
      <c r="BE476" s="448"/>
      <c r="BF476" s="448"/>
    </row>
    <row r="477" spans="1:58" ht="12.75" hidden="1" thickBot="1">
      <c r="A477" s="1" t="s">
        <v>1275</v>
      </c>
      <c r="B477" s="2" t="s">
        <v>368</v>
      </c>
      <c r="C477" s="2" t="s">
        <v>1200</v>
      </c>
      <c r="D477" s="8" t="s">
        <v>417</v>
      </c>
      <c r="E477" s="3">
        <f t="shared" si="53"/>
        <v>0</v>
      </c>
      <c r="F477" s="452">
        <f t="shared" si="53"/>
        <v>0</v>
      </c>
      <c r="G477" s="452">
        <f t="shared" si="53"/>
        <v>0</v>
      </c>
      <c r="H477" s="452">
        <f t="shared" si="53"/>
        <v>0</v>
      </c>
      <c r="I477" s="452">
        <f t="shared" si="53"/>
        <v>0</v>
      </c>
      <c r="J477" s="452">
        <f t="shared" si="53"/>
        <v>0</v>
      </c>
      <c r="K477" s="452">
        <f t="shared" si="53"/>
        <v>0</v>
      </c>
      <c r="L477" s="452">
        <f t="shared" si="53"/>
        <v>0</v>
      </c>
      <c r="M477" s="452">
        <f t="shared" si="53"/>
        <v>0</v>
      </c>
      <c r="N477" s="452">
        <f t="shared" si="53"/>
        <v>0</v>
      </c>
      <c r="O477" s="452">
        <f t="shared" si="53"/>
        <v>0</v>
      </c>
      <c r="P477" s="452">
        <f t="shared" si="53"/>
        <v>0</v>
      </c>
      <c r="Q477" s="452"/>
      <c r="R477" s="452">
        <f t="shared" si="53"/>
        <v>0</v>
      </c>
      <c r="S477" s="445">
        <f t="shared" si="54"/>
        <v>0</v>
      </c>
      <c r="T477" s="445">
        <f t="shared" si="55"/>
        <v>0</v>
      </c>
      <c r="U477" s="445">
        <f t="shared" si="56"/>
        <v>0</v>
      </c>
      <c r="W477" s="450"/>
      <c r="X477" s="450"/>
      <c r="Y477" s="441"/>
      <c r="Z477" s="441"/>
      <c r="AA477" s="441"/>
      <c r="AB477" s="441"/>
      <c r="AC477" s="441"/>
      <c r="AD477" s="441"/>
      <c r="AE477" s="441"/>
      <c r="AF477" s="441"/>
      <c r="AG477" s="441"/>
      <c r="AH477" s="441"/>
      <c r="AI477" s="441"/>
      <c r="AJ477" s="441"/>
      <c r="AK477" s="441"/>
      <c r="AL477" s="441"/>
      <c r="AM477" s="441"/>
      <c r="AN477" s="441"/>
      <c r="AO477" s="441"/>
      <c r="AP477" s="448"/>
      <c r="AQ477" s="448"/>
      <c r="AR477" s="448"/>
      <c r="AS477" s="448"/>
      <c r="AT477" s="448"/>
      <c r="AU477" s="448"/>
      <c r="AV477" s="448"/>
      <c r="AW477" s="448"/>
      <c r="AX477" s="448"/>
      <c r="AY477" s="448"/>
      <c r="AZ477" s="448"/>
      <c r="BA477" s="448"/>
      <c r="BB477" s="448"/>
      <c r="BC477" s="448"/>
      <c r="BD477" s="448"/>
      <c r="BE477" s="448"/>
      <c r="BF477" s="448"/>
    </row>
    <row r="478" spans="1:58" ht="12.75" hidden="1" thickBot="1">
      <c r="A478" s="1" t="s">
        <v>1275</v>
      </c>
      <c r="B478" s="2" t="s">
        <v>370</v>
      </c>
      <c r="C478" s="2" t="s">
        <v>118</v>
      </c>
      <c r="D478" s="8" t="s">
        <v>414</v>
      </c>
      <c r="E478" s="3">
        <f t="shared" si="53"/>
        <v>31985395</v>
      </c>
      <c r="F478" s="452">
        <f t="shared" si="53"/>
        <v>565266</v>
      </c>
      <c r="G478" s="452">
        <f t="shared" si="53"/>
        <v>1996528</v>
      </c>
      <c r="H478" s="452">
        <f t="shared" si="53"/>
        <v>871602</v>
      </c>
      <c r="I478" s="452">
        <f t="shared" si="53"/>
        <v>53416</v>
      </c>
      <c r="J478" s="452">
        <f t="shared" si="53"/>
        <v>0</v>
      </c>
      <c r="K478" s="452">
        <f t="shared" si="53"/>
        <v>0</v>
      </c>
      <c r="L478" s="452">
        <f t="shared" si="53"/>
        <v>66952</v>
      </c>
      <c r="M478" s="452">
        <f t="shared" si="53"/>
        <v>6170</v>
      </c>
      <c r="N478" s="452">
        <f t="shared" si="53"/>
        <v>0</v>
      </c>
      <c r="O478" s="452">
        <f t="shared" si="53"/>
        <v>334807</v>
      </c>
      <c r="P478" s="452">
        <f t="shared" si="53"/>
        <v>0</v>
      </c>
      <c r="Q478" s="452"/>
      <c r="R478" s="452">
        <f t="shared" si="53"/>
        <v>3894740</v>
      </c>
      <c r="S478" s="445">
        <f t="shared" si="54"/>
        <v>2921546</v>
      </c>
      <c r="T478" s="445">
        <f t="shared" si="55"/>
        <v>0</v>
      </c>
      <c r="U478" s="445">
        <f t="shared" si="56"/>
        <v>334807</v>
      </c>
      <c r="W478" s="450"/>
      <c r="X478" s="450"/>
      <c r="Y478" s="441"/>
      <c r="Z478" s="441"/>
      <c r="AA478" s="441"/>
      <c r="AB478" s="441"/>
      <c r="AC478" s="441"/>
      <c r="AD478" s="441"/>
      <c r="AE478" s="441"/>
      <c r="AF478" s="441"/>
      <c r="AG478" s="441"/>
      <c r="AH478" s="441"/>
      <c r="AI478" s="441"/>
      <c r="AJ478" s="441"/>
      <c r="AK478" s="441"/>
      <c r="AL478" s="441"/>
      <c r="AM478" s="441"/>
      <c r="AN478" s="441"/>
      <c r="AO478" s="441"/>
      <c r="AP478" s="448"/>
      <c r="AQ478" s="448"/>
      <c r="AR478" s="448"/>
      <c r="AS478" s="448"/>
      <c r="AT478" s="448"/>
      <c r="AU478" s="448"/>
      <c r="AV478" s="448"/>
      <c r="AW478" s="448"/>
      <c r="AX478" s="448"/>
      <c r="AY478" s="448"/>
      <c r="AZ478" s="448"/>
      <c r="BA478" s="448"/>
      <c r="BB478" s="448"/>
      <c r="BC478" s="448"/>
      <c r="BD478" s="448"/>
      <c r="BE478" s="448"/>
      <c r="BF478" s="448"/>
    </row>
    <row r="479" spans="1:58" ht="12.75" hidden="1" thickBot="1">
      <c r="A479" s="1" t="s">
        <v>1275</v>
      </c>
      <c r="B479" s="2" t="s">
        <v>371</v>
      </c>
      <c r="C479" s="2" t="s">
        <v>1201</v>
      </c>
      <c r="D479" s="8" t="s">
        <v>414</v>
      </c>
      <c r="E479" s="3">
        <f t="shared" si="53"/>
        <v>0</v>
      </c>
      <c r="F479" s="452">
        <f t="shared" si="53"/>
        <v>0</v>
      </c>
      <c r="G479" s="452">
        <f t="shared" si="53"/>
        <v>0</v>
      </c>
      <c r="H479" s="452">
        <f t="shared" si="53"/>
        <v>0</v>
      </c>
      <c r="I479" s="452">
        <f t="shared" si="53"/>
        <v>0</v>
      </c>
      <c r="J479" s="452">
        <f t="shared" si="53"/>
        <v>0</v>
      </c>
      <c r="K479" s="452">
        <f t="shared" si="53"/>
        <v>0</v>
      </c>
      <c r="L479" s="452">
        <f t="shared" si="53"/>
        <v>0</v>
      </c>
      <c r="M479" s="452">
        <f t="shared" si="53"/>
        <v>0</v>
      </c>
      <c r="N479" s="452">
        <f t="shared" si="53"/>
        <v>0</v>
      </c>
      <c r="O479" s="452">
        <f t="shared" si="53"/>
        <v>0</v>
      </c>
      <c r="P479" s="452">
        <f t="shared" si="53"/>
        <v>0</v>
      </c>
      <c r="Q479" s="452"/>
      <c r="R479" s="452">
        <f t="shared" si="53"/>
        <v>0</v>
      </c>
      <c r="S479" s="445">
        <f t="shared" si="54"/>
        <v>0</v>
      </c>
      <c r="T479" s="445">
        <f t="shared" si="55"/>
        <v>0</v>
      </c>
      <c r="U479" s="445">
        <f t="shared" si="56"/>
        <v>0</v>
      </c>
      <c r="W479" s="450"/>
      <c r="X479" s="450"/>
      <c r="Y479" s="441"/>
      <c r="Z479" s="441"/>
      <c r="AA479" s="441"/>
      <c r="AB479" s="441"/>
      <c r="AC479" s="441"/>
      <c r="AD479" s="441"/>
      <c r="AE479" s="441"/>
      <c r="AF479" s="441"/>
      <c r="AG479" s="441"/>
      <c r="AH479" s="441"/>
      <c r="AI479" s="441"/>
      <c r="AJ479" s="441"/>
      <c r="AK479" s="441"/>
      <c r="AL479" s="441"/>
      <c r="AM479" s="441"/>
      <c r="AN479" s="441"/>
      <c r="AO479" s="441"/>
      <c r="AP479" s="448"/>
      <c r="AQ479" s="448"/>
      <c r="AR479" s="448"/>
      <c r="AS479" s="448"/>
      <c r="AT479" s="448"/>
      <c r="AU479" s="448"/>
      <c r="AV479" s="448"/>
      <c r="AW479" s="448"/>
      <c r="AX479" s="448"/>
      <c r="AY479" s="448"/>
      <c r="AZ479" s="448"/>
      <c r="BA479" s="448"/>
      <c r="BB479" s="448"/>
      <c r="BC479" s="448"/>
      <c r="BD479" s="448"/>
      <c r="BE479" s="448"/>
      <c r="BF479" s="448"/>
    </row>
    <row r="480" spans="1:58" ht="12.75" hidden="1" thickBot="1">
      <c r="A480" s="1" t="s">
        <v>1275</v>
      </c>
      <c r="B480" s="2" t="s">
        <v>372</v>
      </c>
      <c r="C480" s="2" t="s">
        <v>1202</v>
      </c>
      <c r="D480" s="8" t="s">
        <v>416</v>
      </c>
      <c r="E480" s="3">
        <f t="shared" si="53"/>
        <v>0</v>
      </c>
      <c r="F480" s="452">
        <f t="shared" si="53"/>
        <v>0</v>
      </c>
      <c r="G480" s="452">
        <f t="shared" si="53"/>
        <v>0</v>
      </c>
      <c r="H480" s="452">
        <f t="shared" si="53"/>
        <v>0</v>
      </c>
      <c r="I480" s="452">
        <f t="shared" si="53"/>
        <v>0</v>
      </c>
      <c r="J480" s="452">
        <f t="shared" si="53"/>
        <v>0</v>
      </c>
      <c r="K480" s="452">
        <f t="shared" si="53"/>
        <v>0</v>
      </c>
      <c r="L480" s="452">
        <f t="shared" si="53"/>
        <v>0</v>
      </c>
      <c r="M480" s="452">
        <f t="shared" si="53"/>
        <v>0</v>
      </c>
      <c r="N480" s="452">
        <f t="shared" si="53"/>
        <v>0</v>
      </c>
      <c r="O480" s="452">
        <f t="shared" si="53"/>
        <v>0</v>
      </c>
      <c r="P480" s="452">
        <f t="shared" si="53"/>
        <v>0</v>
      </c>
      <c r="Q480" s="452"/>
      <c r="R480" s="452">
        <f t="shared" si="53"/>
        <v>0</v>
      </c>
      <c r="S480" s="445">
        <f t="shared" si="54"/>
        <v>0</v>
      </c>
      <c r="T480" s="445">
        <f t="shared" si="55"/>
        <v>0</v>
      </c>
      <c r="U480" s="445">
        <f t="shared" si="56"/>
        <v>0</v>
      </c>
      <c r="W480" s="450"/>
      <c r="X480" s="450"/>
      <c r="Y480" s="441"/>
      <c r="Z480" s="441"/>
      <c r="AA480" s="441"/>
      <c r="AB480" s="441"/>
      <c r="AC480" s="441"/>
      <c r="AD480" s="441"/>
      <c r="AE480" s="441"/>
      <c r="AF480" s="441"/>
      <c r="AG480" s="441"/>
      <c r="AH480" s="441"/>
      <c r="AI480" s="441"/>
      <c r="AJ480" s="441"/>
      <c r="AK480" s="441"/>
      <c r="AL480" s="441"/>
      <c r="AM480" s="441"/>
      <c r="AN480" s="441"/>
      <c r="AO480" s="441"/>
      <c r="AP480" s="448"/>
      <c r="AQ480" s="448"/>
      <c r="AR480" s="448"/>
      <c r="AS480" s="448"/>
      <c r="AT480" s="448"/>
      <c r="AU480" s="448"/>
      <c r="AV480" s="448"/>
      <c r="AW480" s="448"/>
      <c r="AX480" s="448"/>
      <c r="AY480" s="448"/>
      <c r="AZ480" s="448"/>
      <c r="BA480" s="448"/>
      <c r="BB480" s="448"/>
      <c r="BC480" s="448"/>
      <c r="BD480" s="448"/>
      <c r="BE480" s="448"/>
      <c r="BF480" s="448"/>
    </row>
    <row r="481" spans="1:58" ht="12.75" hidden="1" thickBot="1">
      <c r="A481" s="1" t="s">
        <v>1275</v>
      </c>
      <c r="B481" s="2" t="s">
        <v>374</v>
      </c>
      <c r="C481" s="2" t="s">
        <v>415</v>
      </c>
      <c r="D481" s="8" t="s">
        <v>414</v>
      </c>
      <c r="E481" s="3">
        <f t="shared" si="53"/>
        <v>0</v>
      </c>
      <c r="F481" s="452">
        <f t="shared" si="53"/>
        <v>0</v>
      </c>
      <c r="G481" s="452">
        <f t="shared" si="53"/>
        <v>0</v>
      </c>
      <c r="H481" s="452">
        <f t="shared" si="53"/>
        <v>0</v>
      </c>
      <c r="I481" s="452">
        <f t="shared" si="53"/>
        <v>0</v>
      </c>
      <c r="J481" s="452">
        <f t="shared" si="53"/>
        <v>0</v>
      </c>
      <c r="K481" s="452">
        <f t="shared" si="53"/>
        <v>0</v>
      </c>
      <c r="L481" s="452">
        <f t="shared" si="53"/>
        <v>0</v>
      </c>
      <c r="M481" s="452">
        <f t="shared" si="53"/>
        <v>0</v>
      </c>
      <c r="N481" s="452">
        <f t="shared" si="53"/>
        <v>0</v>
      </c>
      <c r="O481" s="452">
        <f t="shared" si="53"/>
        <v>0</v>
      </c>
      <c r="P481" s="452">
        <f t="shared" si="53"/>
        <v>0</v>
      </c>
      <c r="Q481" s="452"/>
      <c r="R481" s="452">
        <f t="shared" si="53"/>
        <v>0</v>
      </c>
      <c r="S481" s="445">
        <f t="shared" si="54"/>
        <v>0</v>
      </c>
      <c r="T481" s="445">
        <f t="shared" si="55"/>
        <v>0</v>
      </c>
      <c r="U481" s="445">
        <f t="shared" si="56"/>
        <v>0</v>
      </c>
      <c r="W481" s="450"/>
      <c r="X481" s="450"/>
      <c r="Y481" s="441"/>
      <c r="Z481" s="441"/>
      <c r="AA481" s="441"/>
      <c r="AB481" s="441"/>
      <c r="AC481" s="441"/>
      <c r="AD481" s="441"/>
      <c r="AE481" s="441"/>
      <c r="AF481" s="441"/>
      <c r="AG481" s="441"/>
      <c r="AH481" s="441"/>
      <c r="AI481" s="441"/>
      <c r="AJ481" s="441"/>
      <c r="AK481" s="441"/>
      <c r="AL481" s="441"/>
      <c r="AM481" s="441"/>
      <c r="AN481" s="441"/>
      <c r="AO481" s="441"/>
      <c r="AP481" s="448"/>
      <c r="AQ481" s="448"/>
      <c r="AR481" s="448"/>
      <c r="AS481" s="448"/>
      <c r="AT481" s="448"/>
      <c r="AU481" s="448"/>
      <c r="AV481" s="448"/>
      <c r="AW481" s="448"/>
      <c r="AX481" s="448"/>
      <c r="AY481" s="448"/>
      <c r="AZ481" s="448"/>
      <c r="BA481" s="448"/>
      <c r="BB481" s="448"/>
      <c r="BC481" s="448"/>
      <c r="BD481" s="448"/>
      <c r="BE481" s="448"/>
      <c r="BF481" s="448"/>
    </row>
    <row r="482" spans="1:58" ht="12.75" hidden="1" thickBot="1">
      <c r="A482" s="1" t="s">
        <v>1275</v>
      </c>
      <c r="B482" s="2" t="s">
        <v>375</v>
      </c>
      <c r="C482" s="2" t="s">
        <v>406</v>
      </c>
      <c r="D482" s="8" t="s">
        <v>20</v>
      </c>
      <c r="E482" s="3">
        <f t="shared" si="53"/>
        <v>151860057</v>
      </c>
      <c r="F482" s="452">
        <f t="shared" si="53"/>
        <v>232650</v>
      </c>
      <c r="G482" s="452">
        <f t="shared" si="53"/>
        <v>2027332</v>
      </c>
      <c r="H482" s="452">
        <f t="shared" si="53"/>
        <v>4138187</v>
      </c>
      <c r="I482" s="452">
        <f t="shared" si="53"/>
        <v>0</v>
      </c>
      <c r="J482" s="452">
        <f t="shared" si="53"/>
        <v>162290</v>
      </c>
      <c r="K482" s="452">
        <f t="shared" si="53"/>
        <v>5382614</v>
      </c>
      <c r="L482" s="452">
        <f t="shared" si="53"/>
        <v>317872</v>
      </c>
      <c r="M482" s="452">
        <f t="shared" si="53"/>
        <v>29296</v>
      </c>
      <c r="N482" s="452">
        <f t="shared" si="53"/>
        <v>0</v>
      </c>
      <c r="O482" s="452">
        <f t="shared" si="53"/>
        <v>1589592</v>
      </c>
      <c r="P482" s="452">
        <f t="shared" si="53"/>
        <v>0</v>
      </c>
      <c r="Q482" s="452"/>
      <c r="R482" s="452">
        <f t="shared" si="53"/>
        <v>13879832</v>
      </c>
      <c r="S482" s="445">
        <f t="shared" si="54"/>
        <v>6165519</v>
      </c>
      <c r="T482" s="445">
        <f t="shared" si="55"/>
        <v>5544904</v>
      </c>
      <c r="U482" s="445">
        <f t="shared" si="56"/>
        <v>1589592</v>
      </c>
      <c r="W482" s="450"/>
      <c r="X482" s="450"/>
      <c r="Y482" s="441"/>
      <c r="Z482" s="441"/>
      <c r="AA482" s="441"/>
      <c r="AB482" s="441"/>
      <c r="AC482" s="441"/>
      <c r="AD482" s="441"/>
      <c r="AE482" s="441"/>
      <c r="AF482" s="441"/>
      <c r="AG482" s="441"/>
      <c r="AH482" s="441"/>
      <c r="AI482" s="441"/>
      <c r="AJ482" s="441"/>
      <c r="AK482" s="441"/>
      <c r="AL482" s="441"/>
      <c r="AM482" s="441"/>
      <c r="AN482" s="441"/>
      <c r="AO482" s="441"/>
      <c r="AP482" s="448"/>
      <c r="AQ482" s="448"/>
      <c r="AR482" s="448"/>
      <c r="AS482" s="448"/>
      <c r="AT482" s="448"/>
      <c r="AU482" s="448"/>
      <c r="AV482" s="448"/>
      <c r="AW482" s="448"/>
      <c r="AX482" s="448"/>
      <c r="AY482" s="448"/>
      <c r="AZ482" s="448"/>
      <c r="BA482" s="448"/>
      <c r="BB482" s="448"/>
      <c r="BC482" s="448"/>
      <c r="BD482" s="448"/>
      <c r="BE482" s="448"/>
      <c r="BF482" s="448"/>
    </row>
    <row r="483" spans="1:58" ht="12.75" hidden="1" thickBot="1">
      <c r="A483" s="1" t="s">
        <v>1275</v>
      </c>
      <c r="B483" s="2" t="s">
        <v>376</v>
      </c>
      <c r="C483" s="2" t="s">
        <v>404</v>
      </c>
      <c r="D483" s="8" t="s">
        <v>21</v>
      </c>
      <c r="E483" s="3">
        <f t="shared" si="53"/>
        <v>13088103</v>
      </c>
      <c r="F483" s="452">
        <f t="shared" si="53"/>
        <v>8840</v>
      </c>
      <c r="G483" s="452">
        <f t="shared" si="53"/>
        <v>157188</v>
      </c>
      <c r="H483" s="452">
        <f t="shared" si="53"/>
        <v>356651</v>
      </c>
      <c r="I483" s="452">
        <f t="shared" si="53"/>
        <v>0</v>
      </c>
      <c r="J483" s="452">
        <f t="shared" si="53"/>
        <v>13582</v>
      </c>
      <c r="K483" s="452">
        <f t="shared" si="53"/>
        <v>381142</v>
      </c>
      <c r="L483" s="452">
        <f t="shared" si="53"/>
        <v>27396</v>
      </c>
      <c r="M483" s="452">
        <f t="shared" si="53"/>
        <v>2525</v>
      </c>
      <c r="N483" s="452">
        <f t="shared" si="53"/>
        <v>0</v>
      </c>
      <c r="O483" s="452">
        <f t="shared" si="53"/>
        <v>136999</v>
      </c>
      <c r="P483" s="452">
        <f t="shared" si="53"/>
        <v>0</v>
      </c>
      <c r="Q483" s="452"/>
      <c r="R483" s="452">
        <f t="shared" si="53"/>
        <v>1084323</v>
      </c>
      <c r="S483" s="445">
        <f t="shared" si="54"/>
        <v>513839</v>
      </c>
      <c r="T483" s="445">
        <f t="shared" si="55"/>
        <v>394724</v>
      </c>
      <c r="U483" s="445">
        <f t="shared" si="56"/>
        <v>136999</v>
      </c>
      <c r="W483" s="450"/>
      <c r="X483" s="450"/>
      <c r="Y483" s="441"/>
      <c r="Z483" s="441"/>
      <c r="AA483" s="441"/>
      <c r="AB483" s="441"/>
      <c r="AC483" s="441"/>
      <c r="AD483" s="441"/>
      <c r="AE483" s="441"/>
      <c r="AF483" s="441"/>
      <c r="AG483" s="441"/>
      <c r="AH483" s="441"/>
      <c r="AI483" s="441"/>
      <c r="AJ483" s="441"/>
      <c r="AK483" s="441"/>
      <c r="AL483" s="441"/>
      <c r="AM483" s="441"/>
      <c r="AN483" s="441"/>
      <c r="AO483" s="441"/>
      <c r="AP483" s="448"/>
      <c r="AQ483" s="448"/>
      <c r="AR483" s="448"/>
      <c r="AS483" s="448"/>
      <c r="AT483" s="448"/>
      <c r="AU483" s="448"/>
      <c r="AV483" s="448"/>
      <c r="AW483" s="448"/>
      <c r="AX483" s="448"/>
      <c r="AY483" s="448"/>
      <c r="AZ483" s="448"/>
      <c r="BA483" s="448"/>
      <c r="BB483" s="448"/>
      <c r="BC483" s="448"/>
      <c r="BD483" s="448"/>
      <c r="BE483" s="448"/>
      <c r="BF483" s="448"/>
    </row>
    <row r="484" spans="1:58" ht="12.75" hidden="1" thickBot="1">
      <c r="A484" s="1" t="s">
        <v>1275</v>
      </c>
      <c r="B484" s="2" t="s">
        <v>377</v>
      </c>
      <c r="C484" s="2" t="s">
        <v>407</v>
      </c>
      <c r="D484" s="8" t="s">
        <v>20</v>
      </c>
      <c r="E484" s="3">
        <f t="shared" si="53"/>
        <v>0</v>
      </c>
      <c r="F484" s="452">
        <f t="shared" si="53"/>
        <v>0</v>
      </c>
      <c r="G484" s="452">
        <f t="shared" si="53"/>
        <v>0</v>
      </c>
      <c r="H484" s="452">
        <f t="shared" si="53"/>
        <v>0</v>
      </c>
      <c r="I484" s="452">
        <f t="shared" si="53"/>
        <v>0</v>
      </c>
      <c r="J484" s="452">
        <f t="shared" si="53"/>
        <v>0</v>
      </c>
      <c r="K484" s="452">
        <f t="shared" si="53"/>
        <v>0</v>
      </c>
      <c r="L484" s="452">
        <f t="shared" si="53"/>
        <v>0</v>
      </c>
      <c r="M484" s="452">
        <f t="shared" si="53"/>
        <v>0</v>
      </c>
      <c r="N484" s="452">
        <f t="shared" si="53"/>
        <v>0</v>
      </c>
      <c r="O484" s="452">
        <f t="shared" si="53"/>
        <v>0</v>
      </c>
      <c r="P484" s="452">
        <f t="shared" si="53"/>
        <v>0</v>
      </c>
      <c r="Q484" s="452"/>
      <c r="R484" s="452">
        <f t="shared" si="53"/>
        <v>0</v>
      </c>
      <c r="S484" s="445">
        <f t="shared" si="54"/>
        <v>0</v>
      </c>
      <c r="T484" s="445">
        <f t="shared" si="55"/>
        <v>0</v>
      </c>
      <c r="U484" s="445">
        <f t="shared" si="56"/>
        <v>0</v>
      </c>
      <c r="W484" s="450"/>
      <c r="X484" s="450"/>
      <c r="Y484" s="441"/>
      <c r="Z484" s="441"/>
      <c r="AA484" s="441"/>
      <c r="AB484" s="441"/>
      <c r="AC484" s="441"/>
      <c r="AD484" s="441"/>
      <c r="AE484" s="441"/>
      <c r="AF484" s="441"/>
      <c r="AG484" s="441"/>
      <c r="AH484" s="441"/>
      <c r="AI484" s="441"/>
      <c r="AJ484" s="441"/>
      <c r="AK484" s="441"/>
      <c r="AL484" s="441"/>
      <c r="AM484" s="441"/>
      <c r="AN484" s="441"/>
      <c r="AO484" s="441"/>
      <c r="AP484" s="448"/>
      <c r="AQ484" s="448"/>
      <c r="AR484" s="448"/>
      <c r="AS484" s="448"/>
      <c r="AT484" s="448"/>
      <c r="AU484" s="448"/>
      <c r="AV484" s="448"/>
      <c r="AW484" s="448"/>
      <c r="AX484" s="448"/>
      <c r="AY484" s="448"/>
      <c r="AZ484" s="448"/>
      <c r="BA484" s="448"/>
      <c r="BB484" s="448"/>
      <c r="BC484" s="448"/>
      <c r="BD484" s="448"/>
      <c r="BE484" s="448"/>
      <c r="BF484" s="448"/>
    </row>
    <row r="485" spans="1:58" ht="12.75" hidden="1" thickBot="1">
      <c r="A485" s="1" t="s">
        <v>1275</v>
      </c>
      <c r="B485" s="2" t="s">
        <v>378</v>
      </c>
      <c r="C485" s="2" t="s">
        <v>1033</v>
      </c>
      <c r="D485" s="8" t="s">
        <v>1006</v>
      </c>
      <c r="E485" s="3">
        <f t="shared" si="53"/>
        <v>67792801</v>
      </c>
      <c r="F485" s="452">
        <f t="shared" si="53"/>
        <v>45200</v>
      </c>
      <c r="G485" s="452">
        <f t="shared" si="53"/>
        <v>857579</v>
      </c>
      <c r="H485" s="452">
        <f t="shared" si="53"/>
        <v>1847354</v>
      </c>
      <c r="I485" s="452">
        <f t="shared" si="53"/>
        <v>0</v>
      </c>
      <c r="J485" s="452">
        <f t="shared" si="53"/>
        <v>64440</v>
      </c>
      <c r="K485" s="452">
        <f t="shared" si="53"/>
        <v>1889474</v>
      </c>
      <c r="L485" s="452">
        <f t="shared" si="53"/>
        <v>141903</v>
      </c>
      <c r="M485" s="452">
        <f t="shared" si="53"/>
        <v>13078</v>
      </c>
      <c r="N485" s="452">
        <f t="shared" si="53"/>
        <v>0</v>
      </c>
      <c r="O485" s="452">
        <f t="shared" si="53"/>
        <v>709620</v>
      </c>
      <c r="P485" s="452">
        <f t="shared" si="53"/>
        <v>0</v>
      </c>
      <c r="Q485" s="452"/>
      <c r="R485" s="452">
        <f t="shared" si="53"/>
        <v>5568648</v>
      </c>
      <c r="S485" s="445">
        <f t="shared" si="54"/>
        <v>2704933</v>
      </c>
      <c r="T485" s="445">
        <f t="shared" si="55"/>
        <v>1953914</v>
      </c>
      <c r="U485" s="445">
        <f t="shared" si="56"/>
        <v>709620</v>
      </c>
      <c r="W485" s="450"/>
      <c r="X485" s="450"/>
      <c r="Y485" s="441"/>
      <c r="Z485" s="441"/>
      <c r="AA485" s="441"/>
      <c r="AB485" s="441"/>
      <c r="AC485" s="441"/>
      <c r="AD485" s="441"/>
      <c r="AE485" s="441"/>
      <c r="AF485" s="441"/>
      <c r="AG485" s="441"/>
      <c r="AH485" s="441"/>
      <c r="AI485" s="441"/>
      <c r="AJ485" s="441"/>
      <c r="AK485" s="441"/>
      <c r="AL485" s="441"/>
      <c r="AM485" s="441"/>
      <c r="AN485" s="441"/>
      <c r="AO485" s="441"/>
      <c r="AP485" s="448"/>
      <c r="AQ485" s="448"/>
      <c r="AR485" s="448"/>
      <c r="AS485" s="448"/>
      <c r="AT485" s="448"/>
      <c r="AU485" s="448"/>
      <c r="AV485" s="448"/>
      <c r="AW485" s="448"/>
      <c r="AX485" s="448"/>
      <c r="AY485" s="448"/>
      <c r="AZ485" s="448"/>
      <c r="BA485" s="448"/>
      <c r="BB485" s="448"/>
      <c r="BC485" s="448"/>
      <c r="BD485" s="448"/>
      <c r="BE485" s="448"/>
      <c r="BF485" s="448"/>
    </row>
    <row r="486" spans="1:58" ht="12.75" hidden="1" thickBot="1">
      <c r="A486" s="1" t="s">
        <v>1275</v>
      </c>
      <c r="B486" s="2" t="s">
        <v>379</v>
      </c>
      <c r="C486" s="2" t="s">
        <v>408</v>
      </c>
      <c r="D486" s="8" t="s">
        <v>409</v>
      </c>
      <c r="E486" s="3">
        <f t="shared" si="53"/>
        <v>32484574</v>
      </c>
      <c r="F486" s="452">
        <f t="shared" si="53"/>
        <v>12300</v>
      </c>
      <c r="G486" s="452">
        <f t="shared" si="53"/>
        <v>352458</v>
      </c>
      <c r="H486" s="452">
        <f t="shared" si="53"/>
        <v>885205</v>
      </c>
      <c r="I486" s="452">
        <f t="shared" si="53"/>
        <v>0</v>
      </c>
      <c r="J486" s="452">
        <f t="shared" si="53"/>
        <v>28022</v>
      </c>
      <c r="K486" s="452">
        <f t="shared" si="53"/>
        <v>898401</v>
      </c>
      <c r="L486" s="452">
        <f t="shared" si="53"/>
        <v>67996</v>
      </c>
      <c r="M486" s="452">
        <f t="shared" si="53"/>
        <v>6267</v>
      </c>
      <c r="N486" s="452">
        <f t="shared" si="53"/>
        <v>0</v>
      </c>
      <c r="O486" s="452">
        <f t="shared" si="53"/>
        <v>340032</v>
      </c>
      <c r="P486" s="452">
        <f t="shared" si="53"/>
        <v>0</v>
      </c>
      <c r="Q486" s="452"/>
      <c r="R486" s="452">
        <f t="shared" si="53"/>
        <v>2590680</v>
      </c>
      <c r="S486" s="445">
        <f t="shared" si="54"/>
        <v>1237663</v>
      </c>
      <c r="T486" s="445">
        <f t="shared" si="55"/>
        <v>926423</v>
      </c>
      <c r="U486" s="445">
        <f t="shared" si="56"/>
        <v>340032</v>
      </c>
      <c r="W486" s="450"/>
      <c r="X486" s="450"/>
      <c r="Y486" s="441"/>
      <c r="Z486" s="441"/>
      <c r="AA486" s="441"/>
      <c r="AB486" s="441"/>
      <c r="AC486" s="441"/>
      <c r="AD486" s="441"/>
      <c r="AE486" s="441"/>
      <c r="AF486" s="441"/>
      <c r="AG486" s="441"/>
      <c r="AH486" s="441"/>
      <c r="AI486" s="441"/>
      <c r="AJ486" s="441"/>
      <c r="AK486" s="441"/>
      <c r="AL486" s="441"/>
      <c r="AM486" s="441"/>
      <c r="AN486" s="441"/>
      <c r="AO486" s="441"/>
      <c r="AP486" s="448"/>
      <c r="AQ486" s="448"/>
      <c r="AR486" s="448"/>
      <c r="AS486" s="448"/>
      <c r="AT486" s="448"/>
      <c r="AU486" s="448"/>
      <c r="AV486" s="448"/>
      <c r="AW486" s="448"/>
      <c r="AX486" s="448"/>
      <c r="AY486" s="448"/>
      <c r="AZ486" s="448"/>
      <c r="BA486" s="448"/>
      <c r="BB486" s="448"/>
      <c r="BC486" s="448"/>
      <c r="BD486" s="448"/>
      <c r="BE486" s="448"/>
      <c r="BF486" s="448"/>
    </row>
    <row r="487" spans="1:58" ht="12.75" hidden="1" thickBot="1">
      <c r="A487" s="1" t="s">
        <v>1275</v>
      </c>
      <c r="B487" s="2" t="s">
        <v>381</v>
      </c>
      <c r="C487" s="2" t="s">
        <v>59</v>
      </c>
      <c r="D487" s="8" t="s">
        <v>14</v>
      </c>
      <c r="E487" s="3">
        <f t="shared" si="53"/>
        <v>81600963</v>
      </c>
      <c r="F487" s="452">
        <f t="shared" si="53"/>
        <v>574375</v>
      </c>
      <c r="G487" s="452">
        <f t="shared" si="53"/>
        <v>5093532</v>
      </c>
      <c r="H487" s="452">
        <f t="shared" si="53"/>
        <v>2223626</v>
      </c>
      <c r="I487" s="452">
        <f t="shared" si="53"/>
        <v>136274</v>
      </c>
      <c r="J487" s="452">
        <f t="shared" si="53"/>
        <v>0</v>
      </c>
      <c r="K487" s="452">
        <f t="shared" si="53"/>
        <v>0</v>
      </c>
      <c r="L487" s="452">
        <f t="shared" si="53"/>
        <v>170806</v>
      </c>
      <c r="M487" s="452">
        <f t="shared" si="53"/>
        <v>15742</v>
      </c>
      <c r="N487" s="452">
        <f t="shared" si="53"/>
        <v>0</v>
      </c>
      <c r="O487" s="452">
        <f t="shared" si="53"/>
        <v>854157</v>
      </c>
      <c r="P487" s="452">
        <f t="shared" si="53"/>
        <v>0</v>
      </c>
      <c r="Q487" s="452"/>
      <c r="R487" s="452">
        <f t="shared" si="53"/>
        <v>9068512</v>
      </c>
      <c r="S487" s="445">
        <f t="shared" si="54"/>
        <v>7453432</v>
      </c>
      <c r="T487" s="445">
        <f t="shared" si="55"/>
        <v>0</v>
      </c>
      <c r="U487" s="445">
        <f t="shared" si="56"/>
        <v>854157</v>
      </c>
      <c r="W487" s="450"/>
      <c r="X487" s="450"/>
      <c r="Y487" s="441"/>
      <c r="Z487" s="441"/>
      <c r="AA487" s="441"/>
      <c r="AB487" s="441"/>
      <c r="AC487" s="441"/>
      <c r="AD487" s="441"/>
      <c r="AE487" s="441"/>
      <c r="AF487" s="441"/>
      <c r="AG487" s="441"/>
      <c r="AH487" s="441"/>
      <c r="AI487" s="441"/>
      <c r="AJ487" s="441"/>
      <c r="AK487" s="441"/>
      <c r="AL487" s="441"/>
      <c r="AM487" s="441"/>
      <c r="AN487" s="441"/>
      <c r="AO487" s="441"/>
      <c r="AP487" s="448"/>
      <c r="AQ487" s="448"/>
      <c r="AR487" s="448"/>
      <c r="AS487" s="448"/>
      <c r="AT487" s="448"/>
      <c r="AU487" s="448"/>
      <c r="AV487" s="448"/>
      <c r="AW487" s="448"/>
      <c r="AX487" s="448"/>
      <c r="AY487" s="448"/>
      <c r="AZ487" s="448"/>
      <c r="BA487" s="448"/>
      <c r="BB487" s="448"/>
      <c r="BC487" s="448"/>
      <c r="BD487" s="448"/>
      <c r="BE487" s="448"/>
      <c r="BF487" s="448"/>
    </row>
    <row r="488" spans="1:58" ht="12.75" hidden="1" thickBot="1">
      <c r="A488" s="1" t="s">
        <v>1275</v>
      </c>
      <c r="B488" s="2" t="s">
        <v>382</v>
      </c>
      <c r="C488" s="2" t="s">
        <v>1244</v>
      </c>
      <c r="D488" s="8" t="s">
        <v>14</v>
      </c>
      <c r="E488" s="3">
        <f t="shared" si="53"/>
        <v>0</v>
      </c>
      <c r="F488" s="452">
        <f t="shared" si="53"/>
        <v>0</v>
      </c>
      <c r="G488" s="452">
        <f t="shared" si="53"/>
        <v>0</v>
      </c>
      <c r="H488" s="452">
        <f t="shared" si="53"/>
        <v>0</v>
      </c>
      <c r="I488" s="452">
        <f t="shared" si="53"/>
        <v>0</v>
      </c>
      <c r="J488" s="452">
        <f t="shared" si="53"/>
        <v>0</v>
      </c>
      <c r="K488" s="452">
        <f t="shared" si="53"/>
        <v>0</v>
      </c>
      <c r="L488" s="452">
        <f t="shared" si="53"/>
        <v>0</v>
      </c>
      <c r="M488" s="452">
        <f t="shared" si="53"/>
        <v>0</v>
      </c>
      <c r="N488" s="452">
        <f t="shared" si="53"/>
        <v>0</v>
      </c>
      <c r="O488" s="452">
        <f t="shared" si="53"/>
        <v>0</v>
      </c>
      <c r="P488" s="452">
        <f t="shared" si="53"/>
        <v>0</v>
      </c>
      <c r="Q488" s="452"/>
      <c r="R488" s="452">
        <f t="shared" si="53"/>
        <v>0</v>
      </c>
      <c r="S488" s="445">
        <f t="shared" si="54"/>
        <v>0</v>
      </c>
      <c r="T488" s="445">
        <f t="shared" si="55"/>
        <v>0</v>
      </c>
      <c r="U488" s="445">
        <f t="shared" si="56"/>
        <v>0</v>
      </c>
      <c r="W488" s="450"/>
      <c r="X488" s="450"/>
      <c r="Y488" s="441"/>
      <c r="Z488" s="441"/>
      <c r="AA488" s="441"/>
      <c r="AB488" s="441"/>
      <c r="AC488" s="441"/>
      <c r="AD488" s="441"/>
      <c r="AE488" s="441"/>
      <c r="AF488" s="441"/>
      <c r="AG488" s="441"/>
      <c r="AH488" s="441"/>
      <c r="AI488" s="441"/>
      <c r="AJ488" s="441"/>
      <c r="AK488" s="441"/>
      <c r="AL488" s="441"/>
      <c r="AM488" s="441"/>
      <c r="AN488" s="441"/>
      <c r="AO488" s="441"/>
      <c r="AP488" s="448"/>
      <c r="AQ488" s="448"/>
      <c r="AR488" s="448"/>
      <c r="AS488" s="448"/>
      <c r="AT488" s="448"/>
      <c r="AU488" s="448"/>
      <c r="AV488" s="448"/>
      <c r="AW488" s="448"/>
      <c r="AX488" s="448"/>
      <c r="AY488" s="448"/>
      <c r="AZ488" s="448"/>
      <c r="BA488" s="448"/>
      <c r="BB488" s="448"/>
      <c r="BC488" s="448"/>
      <c r="BD488" s="448"/>
      <c r="BE488" s="448"/>
      <c r="BF488" s="448"/>
    </row>
    <row r="489" spans="1:58" ht="12.75" hidden="1" thickBot="1">
      <c r="A489" s="1" t="s">
        <v>1275</v>
      </c>
      <c r="B489" s="2" t="s">
        <v>384</v>
      </c>
      <c r="C489" s="2" t="s">
        <v>413</v>
      </c>
      <c r="D489" s="8" t="s">
        <v>14</v>
      </c>
      <c r="E489" s="3">
        <f t="shared" si="53"/>
        <v>0</v>
      </c>
      <c r="F489" s="452">
        <f t="shared" si="53"/>
        <v>0</v>
      </c>
      <c r="G489" s="452">
        <f t="shared" si="53"/>
        <v>0</v>
      </c>
      <c r="H489" s="452">
        <f t="shared" si="53"/>
        <v>0</v>
      </c>
      <c r="I489" s="452">
        <f t="shared" si="53"/>
        <v>0</v>
      </c>
      <c r="J489" s="452">
        <f t="shared" si="53"/>
        <v>0</v>
      </c>
      <c r="K489" s="452">
        <f t="shared" si="53"/>
        <v>0</v>
      </c>
      <c r="L489" s="452">
        <f t="shared" si="53"/>
        <v>0</v>
      </c>
      <c r="M489" s="452">
        <f t="shared" si="53"/>
        <v>0</v>
      </c>
      <c r="N489" s="452">
        <f t="shared" si="53"/>
        <v>0</v>
      </c>
      <c r="O489" s="452">
        <f t="shared" si="53"/>
        <v>0</v>
      </c>
      <c r="P489" s="452">
        <f t="shared" si="53"/>
        <v>0</v>
      </c>
      <c r="Q489" s="452"/>
      <c r="R489" s="452">
        <f t="shared" si="53"/>
        <v>0</v>
      </c>
      <c r="S489" s="445">
        <f t="shared" si="54"/>
        <v>0</v>
      </c>
      <c r="T489" s="445">
        <f t="shared" si="55"/>
        <v>0</v>
      </c>
      <c r="U489" s="445">
        <f t="shared" si="56"/>
        <v>0</v>
      </c>
      <c r="W489" s="450"/>
      <c r="X489" s="450"/>
      <c r="Y489" s="441"/>
      <c r="Z489" s="441"/>
      <c r="AA489" s="441"/>
      <c r="AB489" s="441"/>
      <c r="AC489" s="441"/>
      <c r="AD489" s="441"/>
      <c r="AE489" s="441"/>
      <c r="AF489" s="441"/>
      <c r="AG489" s="441"/>
      <c r="AH489" s="441"/>
      <c r="AI489" s="441"/>
      <c r="AJ489" s="441"/>
      <c r="AK489" s="441"/>
      <c r="AL489" s="441"/>
      <c r="AM489" s="441"/>
      <c r="AN489" s="441"/>
      <c r="AO489" s="441"/>
      <c r="AP489" s="448"/>
      <c r="AQ489" s="448"/>
      <c r="AR489" s="448"/>
      <c r="AS489" s="448"/>
      <c r="AT489" s="448"/>
      <c r="AU489" s="448"/>
      <c r="AV489" s="448"/>
      <c r="AW489" s="448"/>
      <c r="AX489" s="448"/>
      <c r="AY489" s="448"/>
      <c r="AZ489" s="448"/>
      <c r="BA489" s="448"/>
      <c r="BB489" s="448"/>
      <c r="BC489" s="448"/>
      <c r="BD489" s="448"/>
      <c r="BE489" s="448"/>
      <c r="BF489" s="448"/>
    </row>
    <row r="490" spans="1:58" ht="12.75" hidden="1" thickBot="1">
      <c r="A490" s="1" t="s">
        <v>1275</v>
      </c>
      <c r="B490" s="2" t="s">
        <v>385</v>
      </c>
      <c r="C490" s="2" t="s">
        <v>424</v>
      </c>
      <c r="D490" s="8" t="s">
        <v>425</v>
      </c>
      <c r="E490" s="3">
        <f t="shared" si="53"/>
        <v>4343400</v>
      </c>
      <c r="F490" s="452">
        <f t="shared" si="53"/>
        <v>0</v>
      </c>
      <c r="G490" s="452">
        <f t="shared" si="53"/>
        <v>42435</v>
      </c>
      <c r="H490" s="452">
        <f t="shared" si="53"/>
        <v>118358</v>
      </c>
      <c r="I490" s="452">
        <f t="shared" si="53"/>
        <v>0</v>
      </c>
      <c r="J490" s="452">
        <f t="shared" si="53"/>
        <v>3489</v>
      </c>
      <c r="K490" s="452">
        <f t="shared" si="53"/>
        <v>94102</v>
      </c>
      <c r="L490" s="452">
        <f t="shared" si="53"/>
        <v>0</v>
      </c>
      <c r="M490" s="452">
        <f t="shared" si="53"/>
        <v>838</v>
      </c>
      <c r="N490" s="452">
        <f t="shared" si="53"/>
        <v>0</v>
      </c>
      <c r="O490" s="452">
        <f t="shared" si="53"/>
        <v>45464</v>
      </c>
      <c r="P490" s="452">
        <f t="shared" si="53"/>
        <v>0</v>
      </c>
      <c r="Q490" s="452"/>
      <c r="R490" s="452">
        <f t="shared" si="53"/>
        <v>304686</v>
      </c>
      <c r="S490" s="445">
        <f t="shared" si="54"/>
        <v>160793</v>
      </c>
      <c r="T490" s="445">
        <f t="shared" si="55"/>
        <v>97591</v>
      </c>
      <c r="U490" s="445">
        <f t="shared" si="56"/>
        <v>45464</v>
      </c>
      <c r="W490" s="450"/>
      <c r="X490" s="450"/>
      <c r="Y490" s="441"/>
      <c r="Z490" s="441"/>
      <c r="AA490" s="441"/>
      <c r="AB490" s="441"/>
      <c r="AC490" s="441"/>
      <c r="AD490" s="441"/>
      <c r="AE490" s="441"/>
      <c r="AF490" s="441"/>
      <c r="AG490" s="441"/>
      <c r="AH490" s="441"/>
      <c r="AI490" s="441"/>
      <c r="AJ490" s="441"/>
      <c r="AK490" s="441"/>
      <c r="AL490" s="441"/>
      <c r="AM490" s="441"/>
      <c r="AN490" s="441"/>
      <c r="AO490" s="441"/>
      <c r="AP490" s="448"/>
      <c r="AQ490" s="448"/>
      <c r="AR490" s="448"/>
      <c r="AS490" s="448"/>
      <c r="AT490" s="448"/>
      <c r="AU490" s="448"/>
      <c r="AV490" s="448"/>
      <c r="AW490" s="448"/>
      <c r="AX490" s="448"/>
      <c r="AY490" s="448"/>
      <c r="AZ490" s="448"/>
      <c r="BA490" s="448"/>
      <c r="BB490" s="448"/>
      <c r="BC490" s="448"/>
      <c r="BD490" s="448"/>
      <c r="BE490" s="448"/>
      <c r="BF490" s="448"/>
    </row>
    <row r="491" spans="1:58" ht="12.75" hidden="1" thickBot="1">
      <c r="A491" s="1" t="s">
        <v>1275</v>
      </c>
      <c r="B491" s="2" t="s">
        <v>1223</v>
      </c>
      <c r="C491" s="2" t="s">
        <v>1224</v>
      </c>
      <c r="D491" s="8" t="s">
        <v>63</v>
      </c>
      <c r="E491" s="3">
        <f t="shared" si="53"/>
        <v>0</v>
      </c>
      <c r="F491" s="452">
        <f t="shared" si="53"/>
        <v>0</v>
      </c>
      <c r="G491" s="452">
        <f t="shared" si="53"/>
        <v>0</v>
      </c>
      <c r="H491" s="452">
        <f t="shared" si="53"/>
        <v>0</v>
      </c>
      <c r="I491" s="452">
        <f t="shared" si="53"/>
        <v>0</v>
      </c>
      <c r="J491" s="452">
        <f t="shared" si="53"/>
        <v>0</v>
      </c>
      <c r="K491" s="452">
        <f t="shared" si="53"/>
        <v>0</v>
      </c>
      <c r="L491" s="452">
        <f t="shared" si="53"/>
        <v>0</v>
      </c>
      <c r="M491" s="452">
        <f t="shared" si="53"/>
        <v>0</v>
      </c>
      <c r="N491" s="452">
        <f t="shared" si="53"/>
        <v>0</v>
      </c>
      <c r="O491" s="452">
        <f t="shared" si="53"/>
        <v>0</v>
      </c>
      <c r="P491" s="452">
        <f t="shared" si="53"/>
        <v>-286526</v>
      </c>
      <c r="Q491" s="452"/>
      <c r="R491" s="452">
        <f t="shared" si="53"/>
        <v>-286526</v>
      </c>
      <c r="S491" s="445">
        <f t="shared" si="54"/>
        <v>0</v>
      </c>
      <c r="T491" s="445">
        <f t="shared" si="55"/>
        <v>0</v>
      </c>
      <c r="U491" s="445">
        <f t="shared" si="56"/>
        <v>0</v>
      </c>
      <c r="W491" s="450"/>
      <c r="X491" s="450"/>
      <c r="Y491" s="441"/>
      <c r="Z491" s="441"/>
      <c r="AA491" s="441"/>
      <c r="AB491" s="441"/>
      <c r="AC491" s="441"/>
      <c r="AD491" s="441"/>
      <c r="AE491" s="441"/>
      <c r="AF491" s="441"/>
      <c r="AG491" s="441"/>
      <c r="AH491" s="441"/>
      <c r="AI491" s="441"/>
      <c r="AJ491" s="441"/>
      <c r="AK491" s="441"/>
      <c r="AL491" s="441"/>
      <c r="AM491" s="441"/>
      <c r="AN491" s="441"/>
      <c r="AO491" s="441"/>
      <c r="AP491" s="448"/>
      <c r="AQ491" s="448"/>
      <c r="AR491" s="448"/>
      <c r="AS491" s="448"/>
      <c r="AT491" s="448"/>
      <c r="AU491" s="448"/>
      <c r="AV491" s="448"/>
      <c r="AW491" s="448"/>
      <c r="AX491" s="448"/>
      <c r="AY491" s="448"/>
      <c r="AZ491" s="448"/>
      <c r="BA491" s="448"/>
      <c r="BB491" s="448"/>
      <c r="BC491" s="448"/>
      <c r="BD491" s="448"/>
      <c r="BE491" s="448"/>
      <c r="BF491" s="448"/>
    </row>
    <row r="492" spans="1:58" ht="12.75" hidden="1" thickBot="1">
      <c r="A492" s="1" t="s">
        <v>1275</v>
      </c>
      <c r="B492" s="2" t="s">
        <v>386</v>
      </c>
      <c r="C492" s="2" t="s">
        <v>405</v>
      </c>
      <c r="D492" s="8" t="s">
        <v>63</v>
      </c>
      <c r="E492" s="3">
        <f t="shared" si="53"/>
        <v>0</v>
      </c>
      <c r="F492" s="452">
        <f t="shared" si="53"/>
        <v>0</v>
      </c>
      <c r="G492" s="452">
        <f t="shared" si="53"/>
        <v>0</v>
      </c>
      <c r="H492" s="452">
        <f t="shared" si="53"/>
        <v>0</v>
      </c>
      <c r="I492" s="452">
        <f t="shared" si="53"/>
        <v>0</v>
      </c>
      <c r="J492" s="452">
        <f t="shared" si="53"/>
        <v>0</v>
      </c>
      <c r="K492" s="452">
        <f t="shared" si="53"/>
        <v>0</v>
      </c>
      <c r="L492" s="452">
        <f t="shared" si="53"/>
        <v>0</v>
      </c>
      <c r="M492" s="452">
        <f t="shared" si="53"/>
        <v>0</v>
      </c>
      <c r="N492" s="452">
        <f t="shared" si="53"/>
        <v>0</v>
      </c>
      <c r="O492" s="452">
        <f t="shared" si="53"/>
        <v>0</v>
      </c>
      <c r="P492" s="452">
        <f t="shared" si="53"/>
        <v>0</v>
      </c>
      <c r="Q492" s="452"/>
      <c r="R492" s="452">
        <f t="shared" si="53"/>
        <v>0</v>
      </c>
      <c r="S492" s="445">
        <f t="shared" si="54"/>
        <v>0</v>
      </c>
      <c r="T492" s="445">
        <f t="shared" si="55"/>
        <v>0</v>
      </c>
      <c r="U492" s="445">
        <f t="shared" si="56"/>
        <v>0</v>
      </c>
      <c r="W492" s="450"/>
      <c r="X492" s="450"/>
      <c r="Y492" s="441"/>
      <c r="Z492" s="441"/>
      <c r="AA492" s="441"/>
      <c r="AB492" s="441"/>
      <c r="AC492" s="441"/>
      <c r="AD492" s="441"/>
      <c r="AE492" s="441"/>
      <c r="AF492" s="441"/>
      <c r="AG492" s="441"/>
      <c r="AH492" s="441"/>
      <c r="AI492" s="441"/>
      <c r="AJ492" s="441"/>
      <c r="AK492" s="441"/>
      <c r="AL492" s="441"/>
      <c r="AM492" s="441"/>
      <c r="AN492" s="441"/>
      <c r="AO492" s="441"/>
      <c r="AP492" s="448"/>
      <c r="AQ492" s="448"/>
      <c r="AR492" s="448"/>
      <c r="AS492" s="448"/>
      <c r="AT492" s="448"/>
      <c r="AU492" s="448"/>
      <c r="AV492" s="448"/>
      <c r="AW492" s="448"/>
      <c r="AX492" s="448"/>
      <c r="AY492" s="448"/>
      <c r="AZ492" s="448"/>
      <c r="BA492" s="448"/>
      <c r="BB492" s="448"/>
      <c r="BC492" s="448"/>
      <c r="BD492" s="448"/>
      <c r="BE492" s="448"/>
      <c r="BF492" s="448"/>
    </row>
    <row r="493" spans="1:58" ht="12.75" hidden="1" thickBot="1">
      <c r="A493" s="1" t="s">
        <v>1275</v>
      </c>
      <c r="B493" s="2" t="s">
        <v>803</v>
      </c>
      <c r="C493" s="2" t="s">
        <v>804</v>
      </c>
      <c r="D493" s="8" t="s">
        <v>1205</v>
      </c>
      <c r="E493" s="3">
        <f t="shared" si="53"/>
        <v>0</v>
      </c>
      <c r="F493" s="452">
        <f t="shared" si="53"/>
        <v>0</v>
      </c>
      <c r="G493" s="452">
        <f t="shared" si="53"/>
        <v>0</v>
      </c>
      <c r="H493" s="452">
        <f t="shared" si="53"/>
        <v>0</v>
      </c>
      <c r="I493" s="452">
        <f t="shared" si="53"/>
        <v>0</v>
      </c>
      <c r="J493" s="452">
        <f t="shared" si="53"/>
        <v>0</v>
      </c>
      <c r="K493" s="452">
        <f t="shared" si="53"/>
        <v>0</v>
      </c>
      <c r="L493" s="452">
        <f t="shared" si="53"/>
        <v>0</v>
      </c>
      <c r="M493" s="452">
        <f t="shared" ref="G493:R511" si="57">ROUND(SUMIFS(M$1410:M$1613,$A$1410:$A$1613,$A493,$B$1410:$B$1613,$B493),0)</f>
        <v>0</v>
      </c>
      <c r="N493" s="452">
        <f t="shared" si="57"/>
        <v>0</v>
      </c>
      <c r="O493" s="452">
        <f t="shared" si="57"/>
        <v>0</v>
      </c>
      <c r="P493" s="452">
        <f t="shared" si="57"/>
        <v>0</v>
      </c>
      <c r="Q493" s="452"/>
      <c r="R493" s="452">
        <f t="shared" si="57"/>
        <v>0</v>
      </c>
      <c r="S493" s="445">
        <f t="shared" si="54"/>
        <v>0</v>
      </c>
      <c r="T493" s="445">
        <f t="shared" si="55"/>
        <v>0</v>
      </c>
      <c r="U493" s="445">
        <f t="shared" si="56"/>
        <v>0</v>
      </c>
      <c r="W493" s="450"/>
      <c r="X493" s="450"/>
      <c r="Y493" s="441"/>
      <c r="Z493" s="441"/>
      <c r="AA493" s="441"/>
      <c r="AB493" s="441"/>
      <c r="AC493" s="441"/>
      <c r="AD493" s="441"/>
      <c r="AE493" s="441"/>
      <c r="AF493" s="441"/>
      <c r="AG493" s="441"/>
      <c r="AH493" s="441"/>
      <c r="AI493" s="441"/>
      <c r="AJ493" s="441"/>
      <c r="AK493" s="441"/>
      <c r="AL493" s="441"/>
      <c r="AM493" s="441"/>
      <c r="AN493" s="441"/>
      <c r="AO493" s="441"/>
      <c r="AP493" s="448"/>
      <c r="AQ493" s="448"/>
      <c r="AR493" s="448"/>
      <c r="AS493" s="448"/>
      <c r="AT493" s="448"/>
      <c r="AU493" s="448"/>
      <c r="AV493" s="448"/>
      <c r="AW493" s="448"/>
      <c r="AX493" s="448"/>
      <c r="AY493" s="448"/>
      <c r="AZ493" s="448"/>
      <c r="BA493" s="448"/>
      <c r="BB493" s="448"/>
      <c r="BC493" s="448"/>
      <c r="BD493" s="448"/>
      <c r="BE493" s="448"/>
      <c r="BF493" s="448"/>
    </row>
    <row r="494" spans="1:58" ht="12.75" hidden="1" thickBot="1">
      <c r="A494" s="1" t="s">
        <v>1275</v>
      </c>
      <c r="B494" s="2" t="s">
        <v>387</v>
      </c>
      <c r="C494" s="2" t="s">
        <v>411</v>
      </c>
      <c r="D494" s="8" t="s">
        <v>412</v>
      </c>
      <c r="E494" s="3">
        <f t="shared" ref="E494:F511" si="58">ROUND(SUMIFS(E$1410:E$1613,$A$1410:$A$1613,$A494,$B$1410:$B$1613,$B494),0)</f>
        <v>8289000</v>
      </c>
      <c r="F494" s="452">
        <f t="shared" si="58"/>
        <v>0</v>
      </c>
      <c r="G494" s="452">
        <f t="shared" si="57"/>
        <v>84133</v>
      </c>
      <c r="H494" s="452">
        <f t="shared" si="57"/>
        <v>225875</v>
      </c>
      <c r="I494" s="452">
        <f t="shared" si="57"/>
        <v>0</v>
      </c>
      <c r="J494" s="452">
        <f t="shared" si="57"/>
        <v>5049</v>
      </c>
      <c r="K494" s="452">
        <f t="shared" si="57"/>
        <v>159624</v>
      </c>
      <c r="L494" s="452">
        <f t="shared" si="57"/>
        <v>0</v>
      </c>
      <c r="M494" s="452">
        <f t="shared" si="57"/>
        <v>1599</v>
      </c>
      <c r="N494" s="452">
        <f t="shared" si="57"/>
        <v>0</v>
      </c>
      <c r="O494" s="452">
        <f t="shared" si="57"/>
        <v>86765</v>
      </c>
      <c r="P494" s="452">
        <f t="shared" si="57"/>
        <v>0</v>
      </c>
      <c r="Q494" s="452"/>
      <c r="R494" s="452">
        <f t="shared" si="57"/>
        <v>563046</v>
      </c>
      <c r="S494" s="445">
        <f t="shared" si="54"/>
        <v>310008</v>
      </c>
      <c r="T494" s="445">
        <f t="shared" si="55"/>
        <v>164673</v>
      </c>
      <c r="U494" s="445">
        <f t="shared" si="56"/>
        <v>86765</v>
      </c>
      <c r="W494" s="450"/>
      <c r="X494" s="450"/>
      <c r="Y494" s="441"/>
      <c r="Z494" s="441"/>
      <c r="AA494" s="441"/>
      <c r="AB494" s="441"/>
      <c r="AC494" s="441"/>
      <c r="AD494" s="441"/>
      <c r="AE494" s="441"/>
      <c r="AF494" s="441"/>
      <c r="AG494" s="441"/>
      <c r="AH494" s="441"/>
      <c r="AI494" s="441"/>
      <c r="AJ494" s="441"/>
      <c r="AK494" s="441"/>
      <c r="AL494" s="441"/>
      <c r="AM494" s="441"/>
      <c r="AN494" s="441"/>
      <c r="AO494" s="441"/>
      <c r="AP494" s="448"/>
      <c r="AQ494" s="448"/>
      <c r="AR494" s="448"/>
      <c r="AS494" s="448"/>
      <c r="AT494" s="448"/>
      <c r="AU494" s="448"/>
      <c r="AV494" s="448"/>
      <c r="AW494" s="448"/>
      <c r="AX494" s="448"/>
      <c r="AY494" s="448"/>
      <c r="AZ494" s="448"/>
      <c r="BA494" s="448"/>
      <c r="BB494" s="448"/>
      <c r="BC494" s="448"/>
      <c r="BD494" s="448"/>
      <c r="BE494" s="448"/>
      <c r="BF494" s="448"/>
    </row>
    <row r="495" spans="1:58" ht="12.75" hidden="1" thickBot="1">
      <c r="A495" s="1" t="s">
        <v>1275</v>
      </c>
      <c r="B495" s="2" t="s">
        <v>388</v>
      </c>
      <c r="C495" s="2" t="s">
        <v>54</v>
      </c>
      <c r="D495" s="8" t="s">
        <v>15</v>
      </c>
      <c r="E495" s="3">
        <f t="shared" si="58"/>
        <v>88780755</v>
      </c>
      <c r="F495" s="452">
        <f t="shared" si="58"/>
        <v>9000</v>
      </c>
      <c r="G495" s="452">
        <f t="shared" si="57"/>
        <v>785710</v>
      </c>
      <c r="H495" s="452">
        <f t="shared" si="57"/>
        <v>2419276</v>
      </c>
      <c r="I495" s="452">
        <f t="shared" si="57"/>
        <v>0</v>
      </c>
      <c r="J495" s="452">
        <f t="shared" si="57"/>
        <v>47672</v>
      </c>
      <c r="K495" s="452">
        <f t="shared" si="57"/>
        <v>1374447</v>
      </c>
      <c r="L495" s="452">
        <f t="shared" si="57"/>
        <v>0</v>
      </c>
      <c r="M495" s="452">
        <f t="shared" si="57"/>
        <v>17127</v>
      </c>
      <c r="N495" s="452">
        <f t="shared" si="57"/>
        <v>0</v>
      </c>
      <c r="O495" s="452">
        <f t="shared" si="57"/>
        <v>929311</v>
      </c>
      <c r="P495" s="452">
        <f t="shared" si="57"/>
        <v>0</v>
      </c>
      <c r="Q495" s="452"/>
      <c r="R495" s="452">
        <f t="shared" si="57"/>
        <v>5582542</v>
      </c>
      <c r="S495" s="445">
        <f t="shared" si="54"/>
        <v>3204986</v>
      </c>
      <c r="T495" s="445">
        <f t="shared" si="55"/>
        <v>1422119</v>
      </c>
      <c r="U495" s="445">
        <f t="shared" si="56"/>
        <v>929311</v>
      </c>
      <c r="W495" s="450"/>
      <c r="X495" s="450"/>
      <c r="Y495" s="441"/>
      <c r="Z495" s="441"/>
      <c r="AA495" s="441"/>
      <c r="AB495" s="441"/>
      <c r="AC495" s="441"/>
      <c r="AD495" s="441"/>
      <c r="AE495" s="441"/>
      <c r="AF495" s="441"/>
      <c r="AG495" s="441"/>
      <c r="AH495" s="441"/>
      <c r="AI495" s="441"/>
      <c r="AJ495" s="441"/>
      <c r="AK495" s="441"/>
      <c r="AL495" s="441"/>
      <c r="AM495" s="441"/>
      <c r="AN495" s="441"/>
      <c r="AO495" s="441"/>
      <c r="AP495" s="448"/>
      <c r="AQ495" s="448"/>
      <c r="AR495" s="448"/>
      <c r="AS495" s="448"/>
      <c r="AT495" s="448"/>
      <c r="AU495" s="448"/>
      <c r="AV495" s="448"/>
      <c r="AW495" s="448"/>
      <c r="AX495" s="448"/>
      <c r="AY495" s="448"/>
      <c r="AZ495" s="448"/>
      <c r="BA495" s="448"/>
      <c r="BB495" s="448"/>
      <c r="BC495" s="448"/>
      <c r="BD495" s="448"/>
      <c r="BE495" s="448"/>
      <c r="BF495" s="448"/>
    </row>
    <row r="496" spans="1:58" ht="12.75" hidden="1" thickBot="1">
      <c r="A496" s="1" t="s">
        <v>1275</v>
      </c>
      <c r="B496" s="2" t="s">
        <v>389</v>
      </c>
      <c r="C496" s="2" t="s">
        <v>419</v>
      </c>
      <c r="D496" s="8" t="s">
        <v>20</v>
      </c>
      <c r="E496" s="3">
        <f t="shared" si="58"/>
        <v>20979803</v>
      </c>
      <c r="F496" s="452">
        <f t="shared" si="58"/>
        <v>18990</v>
      </c>
      <c r="G496" s="452">
        <f t="shared" si="57"/>
        <v>280080</v>
      </c>
      <c r="H496" s="452">
        <f t="shared" si="57"/>
        <v>571700</v>
      </c>
      <c r="I496" s="452">
        <f t="shared" si="57"/>
        <v>0</v>
      </c>
      <c r="J496" s="452">
        <f t="shared" si="57"/>
        <v>28149</v>
      </c>
      <c r="K496" s="452">
        <f t="shared" si="57"/>
        <v>933610</v>
      </c>
      <c r="L496" s="452">
        <f t="shared" si="57"/>
        <v>43915</v>
      </c>
      <c r="M496" s="452">
        <f t="shared" si="57"/>
        <v>4047</v>
      </c>
      <c r="N496" s="452">
        <f t="shared" si="57"/>
        <v>0</v>
      </c>
      <c r="O496" s="452">
        <f t="shared" si="57"/>
        <v>219606</v>
      </c>
      <c r="P496" s="452">
        <f t="shared" si="57"/>
        <v>0</v>
      </c>
      <c r="Q496" s="452"/>
      <c r="R496" s="452">
        <f t="shared" si="57"/>
        <v>2100097</v>
      </c>
      <c r="S496" s="445">
        <f t="shared" si="54"/>
        <v>851780</v>
      </c>
      <c r="T496" s="445">
        <f t="shared" si="55"/>
        <v>961759</v>
      </c>
      <c r="U496" s="445">
        <f t="shared" si="56"/>
        <v>219606</v>
      </c>
      <c r="W496" s="450"/>
      <c r="X496" s="450"/>
      <c r="Y496" s="441"/>
      <c r="Z496" s="441"/>
      <c r="AA496" s="441"/>
      <c r="AB496" s="441"/>
      <c r="AC496" s="441"/>
      <c r="AD496" s="441"/>
      <c r="AE496" s="441"/>
      <c r="AF496" s="441"/>
      <c r="AG496" s="441"/>
      <c r="AH496" s="441"/>
      <c r="AI496" s="441"/>
      <c r="AJ496" s="441"/>
      <c r="AK496" s="441"/>
      <c r="AL496" s="441"/>
      <c r="AM496" s="441"/>
      <c r="AN496" s="441"/>
      <c r="AO496" s="441"/>
      <c r="AP496" s="448"/>
      <c r="AQ496" s="448"/>
      <c r="AR496" s="448"/>
      <c r="AS496" s="448"/>
      <c r="AT496" s="448"/>
      <c r="AU496" s="448"/>
      <c r="AV496" s="448"/>
      <c r="AW496" s="448"/>
      <c r="AX496" s="448"/>
      <c r="AY496" s="448"/>
      <c r="AZ496" s="448"/>
      <c r="BA496" s="448"/>
      <c r="BB496" s="448"/>
      <c r="BC496" s="448"/>
      <c r="BD496" s="448"/>
      <c r="BE496" s="448"/>
      <c r="BF496" s="448"/>
    </row>
    <row r="497" spans="1:58" ht="12.75" hidden="1" thickBot="1">
      <c r="A497" s="1" t="s">
        <v>1275</v>
      </c>
      <c r="B497" s="2" t="s">
        <v>390</v>
      </c>
      <c r="C497" s="2" t="s">
        <v>418</v>
      </c>
      <c r="D497" s="2" t="s">
        <v>21</v>
      </c>
      <c r="E497" s="3">
        <f t="shared" si="58"/>
        <v>1232786</v>
      </c>
      <c r="F497" s="452">
        <f t="shared" si="58"/>
        <v>3570</v>
      </c>
      <c r="G497" s="452">
        <f t="shared" si="57"/>
        <v>14806</v>
      </c>
      <c r="H497" s="452">
        <f t="shared" si="57"/>
        <v>33593</v>
      </c>
      <c r="I497" s="452">
        <f t="shared" si="57"/>
        <v>0</v>
      </c>
      <c r="J497" s="452">
        <f t="shared" si="57"/>
        <v>1925</v>
      </c>
      <c r="K497" s="452">
        <f t="shared" si="57"/>
        <v>54011</v>
      </c>
      <c r="L497" s="452">
        <f t="shared" si="57"/>
        <v>2580</v>
      </c>
      <c r="M497" s="452">
        <f t="shared" si="57"/>
        <v>238</v>
      </c>
      <c r="N497" s="452">
        <f t="shared" si="57"/>
        <v>0</v>
      </c>
      <c r="O497" s="452">
        <f t="shared" si="57"/>
        <v>12904</v>
      </c>
      <c r="P497" s="452">
        <f t="shared" si="57"/>
        <v>0</v>
      </c>
      <c r="Q497" s="452"/>
      <c r="R497" s="452">
        <f t="shared" si="57"/>
        <v>123627</v>
      </c>
      <c r="S497" s="445">
        <f t="shared" si="54"/>
        <v>48399</v>
      </c>
      <c r="T497" s="445">
        <f t="shared" si="55"/>
        <v>55936</v>
      </c>
      <c r="U497" s="445">
        <f t="shared" si="56"/>
        <v>12904</v>
      </c>
      <c r="W497" s="450"/>
      <c r="X497" s="450"/>
      <c r="Y497" s="441"/>
      <c r="Z497" s="441"/>
      <c r="AA497" s="441"/>
      <c r="AB497" s="441"/>
      <c r="AC497" s="441"/>
      <c r="AD497" s="441"/>
      <c r="AE497" s="441"/>
      <c r="AF497" s="441"/>
      <c r="AG497" s="441"/>
      <c r="AH497" s="441"/>
      <c r="AI497" s="441"/>
      <c r="AJ497" s="441"/>
      <c r="AK497" s="441"/>
      <c r="AL497" s="441"/>
      <c r="AM497" s="441"/>
      <c r="AN497" s="441"/>
      <c r="AO497" s="441"/>
      <c r="AP497" s="448"/>
      <c r="AQ497" s="448"/>
      <c r="AR497" s="448"/>
      <c r="AS497" s="448"/>
      <c r="AT497" s="448"/>
      <c r="AU497" s="448"/>
      <c r="AV497" s="448"/>
      <c r="AW497" s="448"/>
      <c r="AX497" s="448"/>
      <c r="AY497" s="448"/>
      <c r="AZ497" s="448"/>
      <c r="BA497" s="448"/>
      <c r="BB497" s="448"/>
      <c r="BC497" s="448"/>
      <c r="BD497" s="448"/>
      <c r="BE497" s="448"/>
      <c r="BF497" s="448"/>
    </row>
    <row r="498" spans="1:58" ht="12.75" hidden="1" thickBot="1">
      <c r="A498" s="1" t="s">
        <v>1275</v>
      </c>
      <c r="B498" s="2" t="s">
        <v>391</v>
      </c>
      <c r="C498" s="2" t="s">
        <v>1034</v>
      </c>
      <c r="D498" s="8" t="s">
        <v>422</v>
      </c>
      <c r="E498" s="3">
        <f t="shared" si="58"/>
        <v>24315210</v>
      </c>
      <c r="F498" s="452">
        <f t="shared" si="58"/>
        <v>20000</v>
      </c>
      <c r="G498" s="452">
        <f t="shared" si="57"/>
        <v>307587</v>
      </c>
      <c r="H498" s="452">
        <f t="shared" si="57"/>
        <v>662589</v>
      </c>
      <c r="I498" s="452">
        <f t="shared" si="57"/>
        <v>0</v>
      </c>
      <c r="J498" s="452">
        <f t="shared" si="57"/>
        <v>25303</v>
      </c>
      <c r="K498" s="452">
        <f t="shared" si="57"/>
        <v>741136</v>
      </c>
      <c r="L498" s="452">
        <f t="shared" si="57"/>
        <v>50896</v>
      </c>
      <c r="M498" s="452">
        <f t="shared" si="57"/>
        <v>4691</v>
      </c>
      <c r="N498" s="452">
        <f t="shared" si="57"/>
        <v>0</v>
      </c>
      <c r="O498" s="452">
        <f t="shared" si="57"/>
        <v>254519</v>
      </c>
      <c r="P498" s="452">
        <f t="shared" si="57"/>
        <v>0</v>
      </c>
      <c r="Q498" s="452"/>
      <c r="R498" s="452">
        <f t="shared" si="57"/>
        <v>2066721</v>
      </c>
      <c r="S498" s="445">
        <f t="shared" si="54"/>
        <v>970176</v>
      </c>
      <c r="T498" s="445">
        <f t="shared" si="55"/>
        <v>766439</v>
      </c>
      <c r="U498" s="445">
        <f t="shared" si="56"/>
        <v>254519</v>
      </c>
      <c r="W498" s="450"/>
      <c r="X498" s="450"/>
      <c r="Y498" s="441"/>
      <c r="Z498" s="441"/>
      <c r="AA498" s="441"/>
      <c r="AB498" s="441"/>
      <c r="AC498" s="441"/>
      <c r="AD498" s="441"/>
      <c r="AE498" s="441"/>
      <c r="AF498" s="441"/>
      <c r="AG498" s="441"/>
      <c r="AH498" s="441"/>
      <c r="AI498" s="441"/>
      <c r="AJ498" s="441"/>
      <c r="AK498" s="441"/>
      <c r="AL498" s="441"/>
      <c r="AM498" s="441"/>
      <c r="AN498" s="441"/>
      <c r="AO498" s="441"/>
      <c r="AP498" s="448"/>
      <c r="AQ498" s="448"/>
      <c r="AR498" s="448"/>
      <c r="AS498" s="448"/>
      <c r="AT498" s="448"/>
      <c r="AU498" s="448"/>
      <c r="AV498" s="448"/>
      <c r="AW498" s="448"/>
      <c r="AX498" s="448"/>
      <c r="AY498" s="448"/>
      <c r="AZ498" s="448"/>
      <c r="BA498" s="448"/>
      <c r="BB498" s="448"/>
      <c r="BC498" s="448"/>
      <c r="BD498" s="448"/>
      <c r="BE498" s="448"/>
      <c r="BF498" s="448"/>
    </row>
    <row r="499" spans="1:58" ht="12.75" hidden="1" thickBot="1">
      <c r="A499" s="1" t="s">
        <v>1275</v>
      </c>
      <c r="B499" s="2" t="s">
        <v>392</v>
      </c>
      <c r="C499" s="2" t="s">
        <v>420</v>
      </c>
      <c r="D499" s="8" t="s">
        <v>421</v>
      </c>
      <c r="E499" s="3">
        <f t="shared" si="58"/>
        <v>155453214</v>
      </c>
      <c r="F499" s="452">
        <f t="shared" si="58"/>
        <v>21600</v>
      </c>
      <c r="G499" s="452">
        <f t="shared" si="57"/>
        <v>1263835</v>
      </c>
      <c r="H499" s="452">
        <f t="shared" si="57"/>
        <v>4236100</v>
      </c>
      <c r="I499" s="452">
        <f t="shared" si="57"/>
        <v>0</v>
      </c>
      <c r="J499" s="452">
        <f t="shared" si="57"/>
        <v>134407</v>
      </c>
      <c r="K499" s="452">
        <f t="shared" si="57"/>
        <v>3707065</v>
      </c>
      <c r="L499" s="452">
        <f t="shared" si="57"/>
        <v>325393</v>
      </c>
      <c r="M499" s="452">
        <f t="shared" si="57"/>
        <v>29989</v>
      </c>
      <c r="N499" s="452">
        <f t="shared" si="57"/>
        <v>0</v>
      </c>
      <c r="O499" s="452">
        <f t="shared" si="57"/>
        <v>1627204</v>
      </c>
      <c r="P499" s="452">
        <f t="shared" si="57"/>
        <v>0</v>
      </c>
      <c r="Q499" s="452"/>
      <c r="R499" s="452">
        <f t="shared" si="57"/>
        <v>11345592</v>
      </c>
      <c r="S499" s="445">
        <f t="shared" si="54"/>
        <v>5499935</v>
      </c>
      <c r="T499" s="445">
        <f t="shared" si="55"/>
        <v>3841472</v>
      </c>
      <c r="U499" s="445">
        <f t="shared" si="56"/>
        <v>1627204</v>
      </c>
      <c r="W499" s="450"/>
      <c r="X499" s="450"/>
      <c r="Y499" s="441"/>
      <c r="Z499" s="441"/>
      <c r="AA499" s="441"/>
      <c r="AB499" s="441"/>
      <c r="AC499" s="441"/>
      <c r="AD499" s="441"/>
      <c r="AE499" s="441"/>
      <c r="AF499" s="441"/>
      <c r="AG499" s="441"/>
      <c r="AH499" s="441"/>
      <c r="AI499" s="441"/>
      <c r="AJ499" s="441"/>
      <c r="AK499" s="441"/>
      <c r="AL499" s="441"/>
      <c r="AM499" s="441"/>
      <c r="AN499" s="441"/>
      <c r="AO499" s="441"/>
      <c r="AP499" s="448"/>
      <c r="AQ499" s="448"/>
      <c r="AR499" s="448"/>
      <c r="AS499" s="448"/>
      <c r="AT499" s="448"/>
      <c r="AU499" s="448"/>
      <c r="AV499" s="448"/>
      <c r="AW499" s="448"/>
      <c r="AX499" s="448"/>
      <c r="AY499" s="448"/>
      <c r="AZ499" s="448"/>
      <c r="BA499" s="448"/>
      <c r="BB499" s="448"/>
      <c r="BC499" s="448"/>
      <c r="BD499" s="448"/>
      <c r="BE499" s="448"/>
      <c r="BF499" s="448"/>
    </row>
    <row r="500" spans="1:58" ht="12.75" hidden="1" thickBot="1">
      <c r="A500" s="1" t="s">
        <v>1275</v>
      </c>
      <c r="B500" s="2" t="s">
        <v>394</v>
      </c>
      <c r="C500" s="2" t="s">
        <v>423</v>
      </c>
      <c r="D500" s="8" t="s">
        <v>17</v>
      </c>
      <c r="E500" s="3">
        <f t="shared" si="58"/>
        <v>0</v>
      </c>
      <c r="F500" s="452">
        <f t="shared" si="58"/>
        <v>0</v>
      </c>
      <c r="G500" s="452">
        <f t="shared" si="57"/>
        <v>0</v>
      </c>
      <c r="H500" s="452">
        <f t="shared" si="57"/>
        <v>0</v>
      </c>
      <c r="I500" s="452">
        <f t="shared" si="57"/>
        <v>0</v>
      </c>
      <c r="J500" s="452">
        <f t="shared" si="57"/>
        <v>0</v>
      </c>
      <c r="K500" s="452">
        <f t="shared" si="57"/>
        <v>0</v>
      </c>
      <c r="L500" s="452">
        <f t="shared" si="57"/>
        <v>0</v>
      </c>
      <c r="M500" s="452">
        <f t="shared" si="57"/>
        <v>0</v>
      </c>
      <c r="N500" s="452">
        <f t="shared" si="57"/>
        <v>0</v>
      </c>
      <c r="O500" s="452">
        <f t="shared" si="57"/>
        <v>0</v>
      </c>
      <c r="P500" s="452">
        <f t="shared" si="57"/>
        <v>0</v>
      </c>
      <c r="Q500" s="452"/>
      <c r="R500" s="452">
        <f t="shared" si="57"/>
        <v>0</v>
      </c>
      <c r="S500" s="445">
        <f t="shared" si="54"/>
        <v>0</v>
      </c>
      <c r="T500" s="445">
        <f t="shared" si="55"/>
        <v>0</v>
      </c>
      <c r="U500" s="445">
        <f t="shared" si="56"/>
        <v>0</v>
      </c>
      <c r="W500" s="450"/>
      <c r="X500" s="450"/>
      <c r="Y500" s="441"/>
      <c r="Z500" s="441"/>
      <c r="AA500" s="441"/>
      <c r="AB500" s="441"/>
      <c r="AC500" s="441"/>
      <c r="AD500" s="441"/>
      <c r="AE500" s="441"/>
      <c r="AF500" s="441"/>
      <c r="AG500" s="441"/>
      <c r="AH500" s="441"/>
      <c r="AI500" s="441"/>
      <c r="AJ500" s="441"/>
      <c r="AK500" s="441"/>
      <c r="AL500" s="441"/>
      <c r="AM500" s="441"/>
      <c r="AN500" s="441"/>
      <c r="AO500" s="441"/>
      <c r="AP500" s="448"/>
      <c r="AQ500" s="448"/>
      <c r="AR500" s="448"/>
      <c r="AS500" s="448"/>
      <c r="AT500" s="448"/>
      <c r="AU500" s="448"/>
      <c r="AV500" s="448"/>
      <c r="AW500" s="448"/>
      <c r="AX500" s="448"/>
      <c r="AY500" s="448"/>
      <c r="AZ500" s="448"/>
      <c r="BA500" s="448"/>
      <c r="BB500" s="448"/>
      <c r="BC500" s="448"/>
      <c r="BD500" s="448"/>
      <c r="BE500" s="448"/>
      <c r="BF500" s="448"/>
    </row>
    <row r="501" spans="1:58" ht="12.75" hidden="1" thickBot="1">
      <c r="A501" s="1" t="s">
        <v>1275</v>
      </c>
      <c r="B501" s="2" t="s">
        <v>395</v>
      </c>
      <c r="C501" s="2" t="s">
        <v>423</v>
      </c>
      <c r="D501" s="8" t="s">
        <v>17</v>
      </c>
      <c r="E501" s="3">
        <f t="shared" si="58"/>
        <v>0</v>
      </c>
      <c r="F501" s="452">
        <f t="shared" si="58"/>
        <v>0</v>
      </c>
      <c r="G501" s="452">
        <f t="shared" si="57"/>
        <v>0</v>
      </c>
      <c r="H501" s="452">
        <f t="shared" si="57"/>
        <v>0</v>
      </c>
      <c r="I501" s="452">
        <f t="shared" si="57"/>
        <v>0</v>
      </c>
      <c r="J501" s="452">
        <f t="shared" si="57"/>
        <v>0</v>
      </c>
      <c r="K501" s="452">
        <f t="shared" si="57"/>
        <v>0</v>
      </c>
      <c r="L501" s="452">
        <f t="shared" si="57"/>
        <v>0</v>
      </c>
      <c r="M501" s="452">
        <f t="shared" si="57"/>
        <v>0</v>
      </c>
      <c r="N501" s="452">
        <f t="shared" si="57"/>
        <v>0</v>
      </c>
      <c r="O501" s="452">
        <f t="shared" si="57"/>
        <v>0</v>
      </c>
      <c r="P501" s="452">
        <f t="shared" si="57"/>
        <v>0</v>
      </c>
      <c r="Q501" s="452"/>
      <c r="R501" s="452">
        <f t="shared" si="57"/>
        <v>0</v>
      </c>
      <c r="S501" s="445">
        <f t="shared" si="54"/>
        <v>0</v>
      </c>
      <c r="T501" s="445">
        <f t="shared" si="55"/>
        <v>0</v>
      </c>
      <c r="U501" s="445">
        <f t="shared" si="56"/>
        <v>0</v>
      </c>
      <c r="W501" s="450"/>
      <c r="X501" s="450"/>
      <c r="Y501" s="441"/>
      <c r="Z501" s="441"/>
      <c r="AA501" s="441"/>
      <c r="AB501" s="441"/>
      <c r="AC501" s="441"/>
      <c r="AD501" s="441"/>
      <c r="AE501" s="441"/>
      <c r="AF501" s="441"/>
      <c r="AG501" s="441"/>
      <c r="AH501" s="441"/>
      <c r="AI501" s="441"/>
      <c r="AJ501" s="441"/>
      <c r="AK501" s="441"/>
      <c r="AL501" s="441"/>
      <c r="AM501" s="441"/>
      <c r="AN501" s="441"/>
      <c r="AO501" s="441"/>
      <c r="AP501" s="448"/>
      <c r="AQ501" s="448"/>
      <c r="AR501" s="448"/>
      <c r="AS501" s="448"/>
      <c r="AT501" s="448"/>
      <c r="AU501" s="448"/>
      <c r="AV501" s="448"/>
      <c r="AW501" s="448"/>
      <c r="AX501" s="448"/>
      <c r="AY501" s="448"/>
      <c r="AZ501" s="448"/>
      <c r="BA501" s="448"/>
      <c r="BB501" s="448"/>
      <c r="BC501" s="448"/>
      <c r="BD501" s="448"/>
      <c r="BE501" s="448"/>
      <c r="BF501" s="448"/>
    </row>
    <row r="502" spans="1:58" ht="12.75" hidden="1" thickBot="1">
      <c r="A502" s="1" t="s">
        <v>1275</v>
      </c>
      <c r="B502" s="2" t="s">
        <v>396</v>
      </c>
      <c r="C502" s="2" t="s">
        <v>423</v>
      </c>
      <c r="D502" s="8" t="s">
        <v>17</v>
      </c>
      <c r="E502" s="3">
        <f t="shared" si="58"/>
        <v>0</v>
      </c>
      <c r="F502" s="452">
        <f t="shared" si="58"/>
        <v>0</v>
      </c>
      <c r="G502" s="452">
        <f t="shared" si="57"/>
        <v>0</v>
      </c>
      <c r="H502" s="452">
        <f t="shared" si="57"/>
        <v>0</v>
      </c>
      <c r="I502" s="452">
        <f t="shared" si="57"/>
        <v>0</v>
      </c>
      <c r="J502" s="452">
        <f t="shared" si="57"/>
        <v>0</v>
      </c>
      <c r="K502" s="452">
        <f t="shared" si="57"/>
        <v>0</v>
      </c>
      <c r="L502" s="452">
        <f t="shared" si="57"/>
        <v>0</v>
      </c>
      <c r="M502" s="452">
        <f t="shared" si="57"/>
        <v>0</v>
      </c>
      <c r="N502" s="452">
        <f t="shared" si="57"/>
        <v>0</v>
      </c>
      <c r="O502" s="452">
        <f t="shared" si="57"/>
        <v>0</v>
      </c>
      <c r="P502" s="452">
        <f t="shared" si="57"/>
        <v>0</v>
      </c>
      <c r="Q502" s="452"/>
      <c r="R502" s="452">
        <f t="shared" si="57"/>
        <v>0</v>
      </c>
      <c r="S502" s="445">
        <f t="shared" si="54"/>
        <v>0</v>
      </c>
      <c r="T502" s="445">
        <f t="shared" si="55"/>
        <v>0</v>
      </c>
      <c r="U502" s="445">
        <f t="shared" si="56"/>
        <v>0</v>
      </c>
      <c r="W502" s="450"/>
      <c r="X502" s="450"/>
      <c r="Y502" s="441"/>
      <c r="Z502" s="441"/>
      <c r="AA502" s="441"/>
      <c r="AB502" s="441"/>
      <c r="AC502" s="441"/>
      <c r="AD502" s="441"/>
      <c r="AE502" s="441"/>
      <c r="AF502" s="441"/>
      <c r="AG502" s="441"/>
      <c r="AH502" s="441"/>
      <c r="AI502" s="441"/>
      <c r="AJ502" s="441"/>
      <c r="AK502" s="441"/>
      <c r="AL502" s="441"/>
      <c r="AM502" s="441"/>
      <c r="AN502" s="441"/>
      <c r="AO502" s="441"/>
      <c r="AP502" s="448"/>
      <c r="AQ502" s="448"/>
      <c r="AR502" s="448"/>
      <c r="AS502" s="448"/>
      <c r="AT502" s="448"/>
      <c r="AU502" s="448"/>
      <c r="AV502" s="448"/>
      <c r="AW502" s="448"/>
      <c r="AX502" s="448"/>
      <c r="AY502" s="448"/>
      <c r="AZ502" s="448"/>
      <c r="BA502" s="448"/>
      <c r="BB502" s="448"/>
      <c r="BC502" s="448"/>
      <c r="BD502" s="448"/>
      <c r="BE502" s="448"/>
      <c r="BF502" s="448"/>
    </row>
    <row r="503" spans="1:58" ht="12.75" hidden="1" thickBot="1">
      <c r="A503" s="1" t="s">
        <v>1275</v>
      </c>
      <c r="B503" s="2" t="s">
        <v>397</v>
      </c>
      <c r="C503" s="2" t="s">
        <v>55</v>
      </c>
      <c r="D503" s="8" t="s">
        <v>18</v>
      </c>
      <c r="E503" s="3">
        <f t="shared" si="58"/>
        <v>0</v>
      </c>
      <c r="F503" s="452">
        <f t="shared" si="58"/>
        <v>0</v>
      </c>
      <c r="G503" s="452">
        <f t="shared" si="57"/>
        <v>0</v>
      </c>
      <c r="H503" s="452">
        <f t="shared" si="57"/>
        <v>0</v>
      </c>
      <c r="I503" s="452">
        <f t="shared" si="57"/>
        <v>0</v>
      </c>
      <c r="J503" s="452">
        <f t="shared" si="57"/>
        <v>0</v>
      </c>
      <c r="K503" s="452">
        <f t="shared" si="57"/>
        <v>0</v>
      </c>
      <c r="L503" s="452">
        <f t="shared" si="57"/>
        <v>0</v>
      </c>
      <c r="M503" s="452">
        <f t="shared" si="57"/>
        <v>0</v>
      </c>
      <c r="N503" s="452">
        <f t="shared" si="57"/>
        <v>0</v>
      </c>
      <c r="O503" s="452">
        <f t="shared" si="57"/>
        <v>0</v>
      </c>
      <c r="P503" s="452">
        <f t="shared" si="57"/>
        <v>0</v>
      </c>
      <c r="Q503" s="452"/>
      <c r="R503" s="452">
        <f t="shared" si="57"/>
        <v>0</v>
      </c>
      <c r="S503" s="445">
        <f t="shared" si="54"/>
        <v>0</v>
      </c>
      <c r="T503" s="445">
        <f t="shared" si="55"/>
        <v>0</v>
      </c>
      <c r="U503" s="445">
        <f t="shared" si="56"/>
        <v>0</v>
      </c>
      <c r="W503" s="450"/>
      <c r="X503" s="450"/>
      <c r="Y503" s="441"/>
      <c r="Z503" s="441"/>
      <c r="AA503" s="441"/>
      <c r="AB503" s="441"/>
      <c r="AC503" s="441"/>
      <c r="AD503" s="441"/>
      <c r="AE503" s="441"/>
      <c r="AF503" s="441"/>
      <c r="AG503" s="441"/>
      <c r="AH503" s="441"/>
      <c r="AI503" s="441"/>
      <c r="AJ503" s="441"/>
      <c r="AK503" s="441"/>
      <c r="AL503" s="441"/>
      <c r="AM503" s="441"/>
      <c r="AN503" s="441"/>
      <c r="AO503" s="441"/>
      <c r="AP503" s="448"/>
      <c r="AQ503" s="448"/>
      <c r="AR503" s="448"/>
      <c r="AS503" s="448"/>
      <c r="AT503" s="448"/>
      <c r="AU503" s="448"/>
      <c r="AV503" s="448"/>
      <c r="AW503" s="448"/>
      <c r="AX503" s="448"/>
      <c r="AY503" s="448"/>
      <c r="AZ503" s="448"/>
      <c r="BA503" s="448"/>
      <c r="BB503" s="448"/>
      <c r="BC503" s="448"/>
      <c r="BD503" s="448"/>
      <c r="BE503" s="448"/>
      <c r="BF503" s="448"/>
    </row>
    <row r="504" spans="1:58" ht="12.75" hidden="1" thickBot="1">
      <c r="A504" s="1" t="s">
        <v>1275</v>
      </c>
      <c r="B504" s="2" t="s">
        <v>398</v>
      </c>
      <c r="C504" s="2" t="s">
        <v>55</v>
      </c>
      <c r="D504" s="8" t="s">
        <v>18</v>
      </c>
      <c r="E504" s="3">
        <f t="shared" si="58"/>
        <v>0</v>
      </c>
      <c r="F504" s="452">
        <f t="shared" si="58"/>
        <v>0</v>
      </c>
      <c r="G504" s="452">
        <f t="shared" si="57"/>
        <v>0</v>
      </c>
      <c r="H504" s="452">
        <f t="shared" si="57"/>
        <v>0</v>
      </c>
      <c r="I504" s="452">
        <f t="shared" si="57"/>
        <v>0</v>
      </c>
      <c r="J504" s="452">
        <f t="shared" si="57"/>
        <v>0</v>
      </c>
      <c r="K504" s="452">
        <f t="shared" si="57"/>
        <v>0</v>
      </c>
      <c r="L504" s="452">
        <f t="shared" si="57"/>
        <v>0</v>
      </c>
      <c r="M504" s="452">
        <f t="shared" si="57"/>
        <v>0</v>
      </c>
      <c r="N504" s="452">
        <f t="shared" si="57"/>
        <v>0</v>
      </c>
      <c r="O504" s="452">
        <f t="shared" si="57"/>
        <v>0</v>
      </c>
      <c r="P504" s="452">
        <f t="shared" si="57"/>
        <v>0</v>
      </c>
      <c r="Q504" s="452"/>
      <c r="R504" s="452">
        <f t="shared" si="57"/>
        <v>0</v>
      </c>
      <c r="S504" s="445">
        <f t="shared" si="54"/>
        <v>0</v>
      </c>
      <c r="T504" s="445">
        <f t="shared" si="55"/>
        <v>0</v>
      </c>
      <c r="U504" s="445">
        <f t="shared" si="56"/>
        <v>0</v>
      </c>
      <c r="W504" s="450"/>
      <c r="X504" s="450"/>
      <c r="Y504" s="441"/>
      <c r="Z504" s="441"/>
      <c r="AA504" s="441"/>
      <c r="AB504" s="441"/>
      <c r="AC504" s="441"/>
      <c r="AD504" s="441"/>
      <c r="AE504" s="441"/>
      <c r="AF504" s="441"/>
      <c r="AG504" s="441"/>
      <c r="AH504" s="441"/>
      <c r="AI504" s="441"/>
      <c r="AJ504" s="441"/>
      <c r="AK504" s="441"/>
      <c r="AL504" s="441"/>
      <c r="AM504" s="441"/>
      <c r="AN504" s="441"/>
      <c r="AO504" s="441"/>
      <c r="AP504" s="448"/>
      <c r="AQ504" s="448"/>
      <c r="AR504" s="448"/>
      <c r="AS504" s="448"/>
      <c r="AT504" s="448"/>
      <c r="AU504" s="448"/>
      <c r="AV504" s="448"/>
      <c r="AW504" s="448"/>
      <c r="AX504" s="448"/>
      <c r="AY504" s="448"/>
      <c r="AZ504" s="448"/>
      <c r="BA504" s="448"/>
      <c r="BB504" s="448"/>
      <c r="BC504" s="448"/>
      <c r="BD504" s="448"/>
      <c r="BE504" s="448"/>
      <c r="BF504" s="448"/>
    </row>
    <row r="505" spans="1:58" ht="12.75" hidden="1" thickBot="1">
      <c r="A505" s="1" t="s">
        <v>1275</v>
      </c>
      <c r="B505" s="2" t="s">
        <v>805</v>
      </c>
      <c r="C505" s="2" t="s">
        <v>806</v>
      </c>
      <c r="D505" s="8" t="s">
        <v>1205</v>
      </c>
      <c r="E505" s="3">
        <f t="shared" si="58"/>
        <v>0</v>
      </c>
      <c r="F505" s="452">
        <f t="shared" si="58"/>
        <v>0</v>
      </c>
      <c r="G505" s="452">
        <f t="shared" si="57"/>
        <v>0</v>
      </c>
      <c r="H505" s="452">
        <f t="shared" si="57"/>
        <v>0</v>
      </c>
      <c r="I505" s="452">
        <f t="shared" si="57"/>
        <v>0</v>
      </c>
      <c r="J505" s="452">
        <f t="shared" si="57"/>
        <v>0</v>
      </c>
      <c r="K505" s="452">
        <f t="shared" si="57"/>
        <v>0</v>
      </c>
      <c r="L505" s="452">
        <f t="shared" si="57"/>
        <v>0</v>
      </c>
      <c r="M505" s="452">
        <f t="shared" si="57"/>
        <v>0</v>
      </c>
      <c r="N505" s="452">
        <f t="shared" si="57"/>
        <v>0</v>
      </c>
      <c r="O505" s="452">
        <f t="shared" si="57"/>
        <v>0</v>
      </c>
      <c r="P505" s="452">
        <f t="shared" si="57"/>
        <v>0</v>
      </c>
      <c r="Q505" s="452"/>
      <c r="R505" s="452">
        <f t="shared" si="57"/>
        <v>0</v>
      </c>
      <c r="S505" s="445">
        <f t="shared" si="54"/>
        <v>0</v>
      </c>
      <c r="T505" s="445">
        <f t="shared" si="55"/>
        <v>0</v>
      </c>
      <c r="U505" s="445">
        <f t="shared" si="56"/>
        <v>0</v>
      </c>
      <c r="W505" s="450"/>
      <c r="X505" s="450"/>
      <c r="Y505" s="441"/>
      <c r="Z505" s="441"/>
      <c r="AA505" s="441"/>
      <c r="AB505" s="441"/>
      <c r="AC505" s="441"/>
      <c r="AD505" s="441"/>
      <c r="AE505" s="441"/>
      <c r="AF505" s="441"/>
      <c r="AG505" s="441"/>
      <c r="AH505" s="441"/>
      <c r="AI505" s="441"/>
      <c r="AJ505" s="441"/>
      <c r="AK505" s="441"/>
      <c r="AL505" s="441"/>
      <c r="AM505" s="441"/>
      <c r="AN505" s="441"/>
      <c r="AO505" s="441"/>
      <c r="AP505" s="448"/>
      <c r="AQ505" s="448"/>
      <c r="AR505" s="448"/>
      <c r="AS505" s="448"/>
      <c r="AT505" s="448"/>
      <c r="AU505" s="448"/>
      <c r="AV505" s="448"/>
      <c r="AW505" s="448"/>
      <c r="AX505" s="448"/>
      <c r="AY505" s="448"/>
      <c r="AZ505" s="448"/>
      <c r="BA505" s="448"/>
      <c r="BB505" s="448"/>
      <c r="BC505" s="448"/>
      <c r="BD505" s="448"/>
      <c r="BE505" s="448"/>
      <c r="BF505" s="448"/>
    </row>
    <row r="506" spans="1:58" ht="12.75" thickBot="1">
      <c r="A506" s="1" t="s">
        <v>1275</v>
      </c>
      <c r="B506" s="2" t="s">
        <v>399</v>
      </c>
      <c r="C506" s="2" t="s">
        <v>430</v>
      </c>
      <c r="D506" s="8" t="s">
        <v>13</v>
      </c>
      <c r="E506" s="3">
        <f t="shared" si="58"/>
        <v>0</v>
      </c>
      <c r="F506" s="452">
        <f t="shared" si="58"/>
        <v>0</v>
      </c>
      <c r="G506" s="452">
        <f t="shared" si="57"/>
        <v>0</v>
      </c>
      <c r="H506" s="452">
        <f t="shared" si="57"/>
        <v>0</v>
      </c>
      <c r="I506" s="452">
        <f t="shared" si="57"/>
        <v>0</v>
      </c>
      <c r="J506" s="452">
        <f t="shared" si="57"/>
        <v>0</v>
      </c>
      <c r="K506" s="452">
        <f t="shared" si="57"/>
        <v>0</v>
      </c>
      <c r="L506" s="452">
        <f t="shared" si="57"/>
        <v>0</v>
      </c>
      <c r="M506" s="452">
        <f t="shared" si="57"/>
        <v>0</v>
      </c>
      <c r="N506" s="452">
        <f t="shared" si="57"/>
        <v>0</v>
      </c>
      <c r="O506" s="452">
        <f t="shared" si="57"/>
        <v>0</v>
      </c>
      <c r="P506" s="452">
        <f t="shared" si="57"/>
        <v>0</v>
      </c>
      <c r="Q506" s="452"/>
      <c r="R506" s="452">
        <f t="shared" si="57"/>
        <v>0</v>
      </c>
      <c r="S506" s="445">
        <f t="shared" si="54"/>
        <v>0</v>
      </c>
      <c r="T506" s="445">
        <f t="shared" si="55"/>
        <v>0</v>
      </c>
      <c r="U506" s="445">
        <f t="shared" si="56"/>
        <v>0</v>
      </c>
      <c r="W506" s="450"/>
      <c r="X506" s="450"/>
      <c r="Y506" s="441"/>
      <c r="Z506" s="441"/>
      <c r="AA506" s="441"/>
      <c r="AB506" s="441"/>
      <c r="AC506" s="441"/>
      <c r="AD506" s="441"/>
      <c r="AE506" s="441"/>
      <c r="AF506" s="441"/>
      <c r="AG506" s="441"/>
      <c r="AH506" s="441"/>
      <c r="AI506" s="441"/>
      <c r="AJ506" s="441"/>
      <c r="AK506" s="441"/>
      <c r="AL506" s="441"/>
      <c r="AM506" s="441"/>
      <c r="AN506" s="441"/>
      <c r="AO506" s="441"/>
      <c r="AP506" s="448"/>
      <c r="AQ506" s="448"/>
      <c r="AR506" s="448"/>
      <c r="AS506" s="448"/>
      <c r="AT506" s="448"/>
      <c r="AU506" s="448"/>
      <c r="AV506" s="448"/>
      <c r="AW506" s="448"/>
      <c r="AX506" s="448"/>
      <c r="AY506" s="448"/>
      <c r="AZ506" s="448"/>
      <c r="BA506" s="448"/>
      <c r="BB506" s="448"/>
      <c r="BC506" s="448"/>
      <c r="BD506" s="448"/>
      <c r="BE506" s="448"/>
      <c r="BF506" s="448"/>
    </row>
    <row r="507" spans="1:58" ht="12.75" thickBot="1">
      <c r="A507" s="1" t="s">
        <v>1275</v>
      </c>
      <c r="B507" s="2" t="s">
        <v>400</v>
      </c>
      <c r="C507" s="2" t="s">
        <v>427</v>
      </c>
      <c r="D507" s="8" t="s">
        <v>13</v>
      </c>
      <c r="E507" s="3">
        <f t="shared" si="58"/>
        <v>295395538</v>
      </c>
      <c r="F507" s="452">
        <f t="shared" si="58"/>
        <v>3896166</v>
      </c>
      <c r="G507" s="452">
        <f t="shared" si="57"/>
        <v>15410785</v>
      </c>
      <c r="H507" s="452">
        <f t="shared" si="57"/>
        <v>8049528</v>
      </c>
      <c r="I507" s="452">
        <f t="shared" si="57"/>
        <v>395830</v>
      </c>
      <c r="J507" s="452">
        <f t="shared" si="57"/>
        <v>0</v>
      </c>
      <c r="K507" s="452">
        <f t="shared" si="57"/>
        <v>0</v>
      </c>
      <c r="L507" s="452">
        <f t="shared" si="57"/>
        <v>618320</v>
      </c>
      <c r="M507" s="452">
        <f t="shared" si="57"/>
        <v>56986</v>
      </c>
      <c r="N507" s="452">
        <f t="shared" si="57"/>
        <v>3092047</v>
      </c>
      <c r="O507" s="452">
        <f t="shared" si="57"/>
        <v>0</v>
      </c>
      <c r="P507" s="452">
        <f t="shared" si="57"/>
        <v>0</v>
      </c>
      <c r="Q507" s="452"/>
      <c r="R507" s="452">
        <f t="shared" si="57"/>
        <v>31519662</v>
      </c>
      <c r="S507" s="445">
        <f t="shared" si="54"/>
        <v>23856143</v>
      </c>
      <c r="T507" s="445">
        <f t="shared" si="55"/>
        <v>0</v>
      </c>
      <c r="U507" s="445">
        <f t="shared" si="56"/>
        <v>3092047</v>
      </c>
      <c r="W507" s="450"/>
      <c r="X507" s="450"/>
      <c r="Y507" s="441"/>
      <c r="Z507" s="441"/>
      <c r="AA507" s="441"/>
      <c r="AB507" s="441"/>
      <c r="AC507" s="441"/>
      <c r="AD507" s="441"/>
      <c r="AE507" s="441"/>
      <c r="AF507" s="441"/>
      <c r="AG507" s="441"/>
      <c r="AH507" s="441"/>
      <c r="AI507" s="441"/>
      <c r="AJ507" s="441"/>
      <c r="AK507" s="441"/>
      <c r="AL507" s="441"/>
      <c r="AM507" s="441"/>
      <c r="AN507" s="441"/>
      <c r="AO507" s="441"/>
      <c r="AP507" s="448"/>
      <c r="AQ507" s="448"/>
      <c r="AR507" s="448"/>
      <c r="AS507" s="448"/>
      <c r="AT507" s="448"/>
      <c r="AU507" s="448"/>
      <c r="AV507" s="448"/>
      <c r="AW507" s="448"/>
      <c r="AX507" s="448"/>
      <c r="AY507" s="448"/>
      <c r="AZ507" s="448"/>
      <c r="BA507" s="448"/>
      <c r="BB507" s="448"/>
      <c r="BC507" s="448"/>
      <c r="BD507" s="448"/>
      <c r="BE507" s="448"/>
      <c r="BF507" s="448"/>
    </row>
    <row r="508" spans="1:58" ht="12.75" thickBot="1">
      <c r="A508" s="1" t="s">
        <v>1275</v>
      </c>
      <c r="B508" s="2" t="s">
        <v>401</v>
      </c>
      <c r="C508" s="2" t="s">
        <v>428</v>
      </c>
      <c r="D508" s="8" t="s">
        <v>13</v>
      </c>
      <c r="E508" s="3">
        <f t="shared" si="58"/>
        <v>0</v>
      </c>
      <c r="F508" s="452">
        <f t="shared" si="58"/>
        <v>0</v>
      </c>
      <c r="G508" s="452">
        <f t="shared" si="57"/>
        <v>0</v>
      </c>
      <c r="H508" s="452">
        <f t="shared" si="57"/>
        <v>0</v>
      </c>
      <c r="I508" s="452">
        <f t="shared" si="57"/>
        <v>0</v>
      </c>
      <c r="J508" s="452">
        <f t="shared" si="57"/>
        <v>0</v>
      </c>
      <c r="K508" s="452">
        <f t="shared" si="57"/>
        <v>0</v>
      </c>
      <c r="L508" s="452">
        <f t="shared" si="57"/>
        <v>0</v>
      </c>
      <c r="M508" s="452">
        <f t="shared" si="57"/>
        <v>0</v>
      </c>
      <c r="N508" s="452">
        <f t="shared" si="57"/>
        <v>0</v>
      </c>
      <c r="O508" s="452">
        <f t="shared" si="57"/>
        <v>0</v>
      </c>
      <c r="P508" s="452">
        <f t="shared" si="57"/>
        <v>0</v>
      </c>
      <c r="Q508" s="452"/>
      <c r="R508" s="452">
        <f t="shared" si="57"/>
        <v>0</v>
      </c>
      <c r="S508" s="445">
        <f t="shared" si="54"/>
        <v>0</v>
      </c>
      <c r="T508" s="445">
        <f t="shared" si="55"/>
        <v>0</v>
      </c>
      <c r="U508" s="445">
        <f t="shared" si="56"/>
        <v>0</v>
      </c>
      <c r="W508" s="450"/>
      <c r="X508" s="450"/>
      <c r="Y508" s="441"/>
      <c r="Z508" s="441"/>
      <c r="AA508" s="441"/>
      <c r="AB508" s="441"/>
      <c r="AC508" s="441"/>
      <c r="AD508" s="441"/>
      <c r="AE508" s="441"/>
      <c r="AF508" s="441"/>
      <c r="AG508" s="441"/>
      <c r="AH508" s="441"/>
      <c r="AI508" s="441"/>
      <c r="AJ508" s="441"/>
      <c r="AK508" s="441"/>
      <c r="AL508" s="441"/>
      <c r="AM508" s="441"/>
      <c r="AN508" s="441"/>
      <c r="AO508" s="441"/>
      <c r="AP508" s="448"/>
      <c r="AQ508" s="448"/>
      <c r="AR508" s="448"/>
      <c r="AS508" s="448"/>
      <c r="AT508" s="448"/>
      <c r="AU508" s="448"/>
      <c r="AV508" s="448"/>
      <c r="AW508" s="448"/>
      <c r="AX508" s="448"/>
      <c r="AY508" s="448"/>
      <c r="AZ508" s="448"/>
      <c r="BA508" s="448"/>
      <c r="BB508" s="448"/>
      <c r="BC508" s="448"/>
      <c r="BD508" s="448"/>
      <c r="BE508" s="448"/>
      <c r="BF508" s="448"/>
    </row>
    <row r="509" spans="1:58" ht="12.75" thickBot="1">
      <c r="A509" s="1" t="s">
        <v>1275</v>
      </c>
      <c r="B509" s="2" t="s">
        <v>402</v>
      </c>
      <c r="C509" s="2" t="s">
        <v>429</v>
      </c>
      <c r="D509" s="8" t="s">
        <v>13</v>
      </c>
      <c r="E509" s="3">
        <f t="shared" si="58"/>
        <v>0</v>
      </c>
      <c r="F509" s="452">
        <f t="shared" si="58"/>
        <v>0</v>
      </c>
      <c r="G509" s="452">
        <f t="shared" si="57"/>
        <v>0</v>
      </c>
      <c r="H509" s="452">
        <f t="shared" si="57"/>
        <v>0</v>
      </c>
      <c r="I509" s="452">
        <f t="shared" si="57"/>
        <v>0</v>
      </c>
      <c r="J509" s="452">
        <f t="shared" si="57"/>
        <v>0</v>
      </c>
      <c r="K509" s="452">
        <f t="shared" si="57"/>
        <v>0</v>
      </c>
      <c r="L509" s="452">
        <f t="shared" si="57"/>
        <v>0</v>
      </c>
      <c r="M509" s="452">
        <f t="shared" si="57"/>
        <v>0</v>
      </c>
      <c r="N509" s="452">
        <f t="shared" si="57"/>
        <v>0</v>
      </c>
      <c r="O509" s="452">
        <f t="shared" si="57"/>
        <v>0</v>
      </c>
      <c r="P509" s="452">
        <f t="shared" si="57"/>
        <v>0</v>
      </c>
      <c r="Q509" s="452"/>
      <c r="R509" s="452">
        <f t="shared" si="57"/>
        <v>0</v>
      </c>
      <c r="S509" s="445">
        <f t="shared" si="54"/>
        <v>0</v>
      </c>
      <c r="T509" s="445">
        <f t="shared" si="55"/>
        <v>0</v>
      </c>
      <c r="U509" s="445">
        <f t="shared" si="56"/>
        <v>0</v>
      </c>
      <c r="W509" s="450"/>
      <c r="X509" s="450"/>
      <c r="Y509" s="441"/>
      <c r="Z509" s="441"/>
      <c r="AA509" s="441"/>
      <c r="AB509" s="441"/>
      <c r="AC509" s="441"/>
      <c r="AD509" s="441"/>
      <c r="AE509" s="441"/>
      <c r="AF509" s="441"/>
      <c r="AG509" s="441"/>
      <c r="AH509" s="441"/>
      <c r="AI509" s="441"/>
      <c r="AJ509" s="441"/>
      <c r="AK509" s="441"/>
      <c r="AL509" s="441"/>
      <c r="AM509" s="441"/>
      <c r="AN509" s="441"/>
      <c r="AO509" s="441"/>
      <c r="AP509" s="448"/>
      <c r="AQ509" s="448"/>
      <c r="AR509" s="448"/>
      <c r="AS509" s="448"/>
      <c r="AT509" s="448"/>
      <c r="AU509" s="448"/>
      <c r="AV509" s="448"/>
      <c r="AW509" s="448"/>
      <c r="AX509" s="448"/>
      <c r="AY509" s="448"/>
      <c r="AZ509" s="448"/>
      <c r="BA509" s="448"/>
      <c r="BB509" s="448"/>
      <c r="BC509" s="448"/>
      <c r="BD509" s="448"/>
      <c r="BE509" s="448"/>
      <c r="BF509" s="448"/>
    </row>
    <row r="510" spans="1:58" ht="12.75" hidden="1" thickBot="1">
      <c r="A510" s="1" t="s">
        <v>1275</v>
      </c>
      <c r="B510" s="2" t="s">
        <v>706</v>
      </c>
      <c r="C510" s="2" t="s">
        <v>1204</v>
      </c>
      <c r="D510" s="8" t="s">
        <v>641</v>
      </c>
      <c r="E510" s="3">
        <f t="shared" si="58"/>
        <v>0</v>
      </c>
      <c r="F510" s="452">
        <f t="shared" si="58"/>
        <v>0</v>
      </c>
      <c r="G510" s="452">
        <f t="shared" si="57"/>
        <v>0</v>
      </c>
      <c r="H510" s="452">
        <f t="shared" si="57"/>
        <v>0</v>
      </c>
      <c r="I510" s="452">
        <f t="shared" si="57"/>
        <v>0</v>
      </c>
      <c r="J510" s="452">
        <f t="shared" si="57"/>
        <v>0</v>
      </c>
      <c r="K510" s="452">
        <f t="shared" si="57"/>
        <v>0</v>
      </c>
      <c r="L510" s="452">
        <f t="shared" si="57"/>
        <v>0</v>
      </c>
      <c r="M510" s="452">
        <f t="shared" si="57"/>
        <v>0</v>
      </c>
      <c r="N510" s="452">
        <f t="shared" si="57"/>
        <v>0</v>
      </c>
      <c r="O510" s="452">
        <f t="shared" si="57"/>
        <v>0</v>
      </c>
      <c r="P510" s="452">
        <f t="shared" si="57"/>
        <v>0</v>
      </c>
      <c r="Q510" s="452"/>
      <c r="R510" s="452">
        <f t="shared" si="57"/>
        <v>0</v>
      </c>
      <c r="S510" s="445">
        <f t="shared" si="54"/>
        <v>0</v>
      </c>
      <c r="T510" s="445">
        <f t="shared" si="55"/>
        <v>0</v>
      </c>
      <c r="U510" s="445">
        <f t="shared" si="56"/>
        <v>0</v>
      </c>
      <c r="W510" s="450"/>
      <c r="X510" s="450"/>
      <c r="Y510" s="441"/>
      <c r="Z510" s="441"/>
      <c r="AA510" s="441"/>
      <c r="AB510" s="441"/>
      <c r="AC510" s="441"/>
      <c r="AD510" s="441"/>
      <c r="AE510" s="441"/>
      <c r="AF510" s="441"/>
      <c r="AG510" s="441"/>
      <c r="AH510" s="441"/>
      <c r="AI510" s="441"/>
      <c r="AJ510" s="441"/>
      <c r="AK510" s="441"/>
      <c r="AL510" s="441"/>
      <c r="AM510" s="441"/>
      <c r="AN510" s="441"/>
      <c r="AO510" s="441"/>
      <c r="AP510" s="448"/>
      <c r="AQ510" s="448"/>
      <c r="AR510" s="448"/>
      <c r="AS510" s="448"/>
      <c r="AT510" s="448"/>
      <c r="AU510" s="448"/>
      <c r="AV510" s="448"/>
      <c r="AW510" s="448"/>
      <c r="AX510" s="448"/>
      <c r="AY510" s="448"/>
      <c r="AZ510" s="448"/>
      <c r="BA510" s="448"/>
      <c r="BB510" s="448"/>
      <c r="BC510" s="448"/>
      <c r="BD510" s="448"/>
      <c r="BE510" s="448"/>
      <c r="BF510" s="448"/>
    </row>
    <row r="511" spans="1:58" ht="12.75" hidden="1" thickBot="1">
      <c r="A511" s="1" t="s">
        <v>1275</v>
      </c>
      <c r="B511" s="2" t="s">
        <v>1230</v>
      </c>
      <c r="C511" s="2" t="s">
        <v>1245</v>
      </c>
      <c r="D511" s="8" t="s">
        <v>641</v>
      </c>
      <c r="E511" s="3">
        <f t="shared" si="58"/>
        <v>0</v>
      </c>
      <c r="F511" s="452">
        <f t="shared" si="58"/>
        <v>0</v>
      </c>
      <c r="G511" s="452">
        <f t="shared" si="57"/>
        <v>0</v>
      </c>
      <c r="H511" s="452">
        <f t="shared" si="57"/>
        <v>0</v>
      </c>
      <c r="I511" s="452">
        <f t="shared" si="57"/>
        <v>0</v>
      </c>
      <c r="J511" s="452">
        <f t="shared" si="57"/>
        <v>0</v>
      </c>
      <c r="K511" s="452">
        <f t="shared" si="57"/>
        <v>0</v>
      </c>
      <c r="L511" s="452">
        <f t="shared" si="57"/>
        <v>0</v>
      </c>
      <c r="M511" s="452">
        <f t="shared" si="57"/>
        <v>0</v>
      </c>
      <c r="N511" s="452">
        <f t="shared" si="57"/>
        <v>0</v>
      </c>
      <c r="O511" s="452">
        <f t="shared" si="57"/>
        <v>0</v>
      </c>
      <c r="P511" s="452">
        <f t="shared" si="57"/>
        <v>0</v>
      </c>
      <c r="Q511" s="452"/>
      <c r="R511" s="452">
        <f t="shared" si="57"/>
        <v>0</v>
      </c>
      <c r="S511" s="445">
        <f t="shared" si="54"/>
        <v>0</v>
      </c>
      <c r="T511" s="445">
        <f t="shared" si="55"/>
        <v>0</v>
      </c>
      <c r="U511" s="445">
        <f t="shared" si="56"/>
        <v>0</v>
      </c>
      <c r="W511" s="450"/>
      <c r="X511" s="450"/>
      <c r="Y511" s="441"/>
      <c r="Z511" s="441"/>
      <c r="AA511" s="441"/>
      <c r="AB511" s="441"/>
      <c r="AC511" s="441"/>
      <c r="AD511" s="441"/>
      <c r="AE511" s="441"/>
      <c r="AF511" s="441"/>
      <c r="AG511" s="441"/>
      <c r="AH511" s="441"/>
      <c r="AI511" s="441"/>
      <c r="AJ511" s="441"/>
      <c r="AK511" s="441"/>
      <c r="AL511" s="441"/>
      <c r="AM511" s="441"/>
      <c r="AN511" s="441"/>
      <c r="AO511" s="441"/>
      <c r="AP511" s="448"/>
      <c r="AQ511" s="448"/>
      <c r="AR511" s="448"/>
      <c r="AS511" s="448"/>
      <c r="AT511" s="448"/>
      <c r="AU511" s="448"/>
      <c r="AV511" s="448"/>
      <c r="AW511" s="448"/>
      <c r="AX511" s="448"/>
      <c r="AY511" s="448"/>
      <c r="AZ511" s="448"/>
      <c r="BA511" s="448"/>
      <c r="BB511" s="448"/>
      <c r="BC511" s="448"/>
      <c r="BD511" s="448"/>
      <c r="BE511" s="448"/>
      <c r="BF511" s="448"/>
    </row>
    <row r="512" spans="1:58" ht="12.75" hidden="1" thickBot="1">
      <c r="A512" s="1" t="s">
        <v>1275</v>
      </c>
      <c r="B512" s="2" t="s">
        <v>362</v>
      </c>
      <c r="C512" s="2" t="s">
        <v>363</v>
      </c>
      <c r="D512" s="8" t="s">
        <v>1205</v>
      </c>
      <c r="E512" s="457"/>
      <c r="F512" s="4"/>
      <c r="G512" s="4"/>
      <c r="H512" s="4"/>
      <c r="I512" s="4"/>
      <c r="J512" s="4"/>
      <c r="K512" s="4"/>
      <c r="L512" s="4"/>
      <c r="M512" s="4"/>
      <c r="N512" s="4"/>
      <c r="O512" s="4"/>
      <c r="P512" s="4"/>
      <c r="Q512" s="4"/>
      <c r="R512" s="4"/>
      <c r="S512" s="445">
        <f t="shared" si="54"/>
        <v>0</v>
      </c>
      <c r="T512" s="445">
        <f t="shared" si="55"/>
        <v>0</v>
      </c>
      <c r="U512" s="445">
        <f t="shared" si="56"/>
        <v>0</v>
      </c>
      <c r="W512" s="450"/>
      <c r="X512" s="450"/>
      <c r="Y512" s="441"/>
      <c r="Z512" s="441"/>
      <c r="AA512" s="441"/>
      <c r="AB512" s="441"/>
      <c r="AC512" s="441"/>
      <c r="AD512" s="441"/>
      <c r="AE512" s="441"/>
      <c r="AF512" s="441"/>
      <c r="AG512" s="441"/>
      <c r="AH512" s="441"/>
      <c r="AI512" s="441"/>
      <c r="AJ512" s="441"/>
      <c r="AK512" s="441"/>
      <c r="AL512" s="441"/>
      <c r="AM512" s="441"/>
      <c r="AN512" s="441"/>
      <c r="AO512" s="441"/>
      <c r="AP512" s="448"/>
      <c r="AQ512" s="448"/>
      <c r="AR512" s="448"/>
      <c r="AS512" s="448"/>
      <c r="AT512" s="448"/>
      <c r="AU512" s="448"/>
      <c r="AV512" s="448"/>
      <c r="AW512" s="448"/>
      <c r="AX512" s="448"/>
      <c r="AY512" s="448"/>
      <c r="AZ512" s="448"/>
      <c r="BA512" s="448"/>
      <c r="BB512" s="448"/>
      <c r="BC512" s="448"/>
      <c r="BD512" s="448"/>
      <c r="BE512" s="448"/>
      <c r="BF512" s="448"/>
    </row>
    <row r="513" spans="1:58" ht="12.75" hidden="1" thickBot="1">
      <c r="A513" s="1" t="s">
        <v>1275</v>
      </c>
      <c r="B513" s="2" t="s">
        <v>342</v>
      </c>
      <c r="C513" s="2" t="s">
        <v>1035</v>
      </c>
      <c r="D513" s="8" t="s">
        <v>459</v>
      </c>
      <c r="E513" s="459"/>
      <c r="F513" s="6"/>
      <c r="G513" s="451"/>
      <c r="H513" s="6"/>
      <c r="I513" s="6"/>
      <c r="J513" s="6"/>
      <c r="K513" s="6"/>
      <c r="L513" s="6"/>
      <c r="M513" s="451"/>
      <c r="N513" s="451"/>
      <c r="O513" s="6"/>
      <c r="P513" s="6"/>
      <c r="Q513" s="451"/>
      <c r="R513" s="451"/>
      <c r="S513" s="445">
        <f t="shared" si="54"/>
        <v>0</v>
      </c>
      <c r="T513" s="445">
        <f t="shared" si="55"/>
        <v>0</v>
      </c>
      <c r="U513" s="445">
        <f t="shared" si="56"/>
        <v>0</v>
      </c>
      <c r="W513" s="450"/>
      <c r="X513" s="450"/>
      <c r="Y513" s="441"/>
      <c r="Z513" s="441"/>
      <c r="AA513" s="441"/>
      <c r="AB513" s="441"/>
      <c r="AC513" s="441"/>
      <c r="AD513" s="441"/>
      <c r="AE513" s="441"/>
      <c r="AF513" s="441"/>
      <c r="AG513" s="441"/>
      <c r="AH513" s="441"/>
      <c r="AI513" s="441"/>
      <c r="AJ513" s="441"/>
      <c r="AK513" s="441"/>
      <c r="AL513" s="441"/>
      <c r="AM513" s="441"/>
      <c r="AN513" s="441"/>
      <c r="AO513" s="441"/>
      <c r="AP513" s="448"/>
      <c r="AQ513" s="448"/>
      <c r="AR513" s="448"/>
      <c r="AS513" s="448"/>
      <c r="AT513" s="448"/>
      <c r="AU513" s="448"/>
      <c r="AV513" s="448"/>
      <c r="AW513" s="448"/>
      <c r="AX513" s="448"/>
      <c r="AY513" s="448"/>
      <c r="AZ513" s="448"/>
      <c r="BA513" s="448"/>
      <c r="BB513" s="448"/>
      <c r="BC513" s="448"/>
      <c r="BD513" s="448"/>
      <c r="BE513" s="448"/>
      <c r="BF513" s="448"/>
    </row>
    <row r="514" spans="1:58" ht="12.75" hidden="1" thickBot="1">
      <c r="A514" s="1" t="s">
        <v>1275</v>
      </c>
      <c r="B514" s="2" t="s">
        <v>213</v>
      </c>
      <c r="C514" s="2" t="s">
        <v>1036</v>
      </c>
      <c r="D514" s="8" t="s">
        <v>459</v>
      </c>
      <c r="E514" s="460"/>
      <c r="F514" s="4"/>
      <c r="G514" s="449"/>
      <c r="H514" s="4"/>
      <c r="I514" s="4"/>
      <c r="J514" s="4"/>
      <c r="K514" s="4"/>
      <c r="L514" s="4"/>
      <c r="M514" s="449"/>
      <c r="N514" s="449"/>
      <c r="O514" s="4"/>
      <c r="P514" s="4"/>
      <c r="Q514" s="449"/>
      <c r="R514" s="449"/>
      <c r="S514" s="445">
        <f t="shared" si="54"/>
        <v>0</v>
      </c>
      <c r="T514" s="445">
        <f t="shared" si="55"/>
        <v>0</v>
      </c>
      <c r="U514" s="445">
        <f t="shared" si="56"/>
        <v>0</v>
      </c>
      <c r="W514" s="450"/>
      <c r="X514" s="450"/>
      <c r="Y514" s="441"/>
      <c r="Z514" s="441"/>
      <c r="AA514" s="441"/>
      <c r="AB514" s="441"/>
      <c r="AC514" s="441"/>
      <c r="AD514" s="441"/>
      <c r="AE514" s="441"/>
      <c r="AF514" s="441"/>
      <c r="AG514" s="441"/>
      <c r="AH514" s="441"/>
      <c r="AI514" s="441"/>
      <c r="AJ514" s="441"/>
      <c r="AK514" s="441"/>
      <c r="AL514" s="441"/>
      <c r="AM514" s="441"/>
      <c r="AN514" s="441"/>
      <c r="AO514" s="441"/>
      <c r="AP514" s="448"/>
      <c r="AQ514" s="448"/>
      <c r="AR514" s="448"/>
      <c r="AS514" s="448"/>
      <c r="AT514" s="448"/>
      <c r="AU514" s="448"/>
      <c r="AV514" s="448"/>
      <c r="AW514" s="448"/>
      <c r="AX514" s="448"/>
      <c r="AY514" s="448"/>
      <c r="AZ514" s="448"/>
      <c r="BA514" s="448"/>
      <c r="BB514" s="448"/>
      <c r="BC514" s="448"/>
      <c r="BD514" s="448"/>
      <c r="BE514" s="448"/>
      <c r="BF514" s="448"/>
    </row>
    <row r="515" spans="1:58" ht="12.75" hidden="1" thickBot="1">
      <c r="A515" s="1" t="s">
        <v>1275</v>
      </c>
      <c r="B515" s="2" t="s">
        <v>214</v>
      </c>
      <c r="C515" s="2" t="s">
        <v>1037</v>
      </c>
      <c r="D515" s="8" t="s">
        <v>459</v>
      </c>
      <c r="E515" s="459"/>
      <c r="F515" s="6"/>
      <c r="G515" s="451"/>
      <c r="H515" s="6"/>
      <c r="I515" s="6"/>
      <c r="J515" s="6"/>
      <c r="K515" s="6"/>
      <c r="L515" s="6"/>
      <c r="M515" s="451"/>
      <c r="N515" s="451"/>
      <c r="O515" s="6"/>
      <c r="P515" s="6"/>
      <c r="Q515" s="451"/>
      <c r="R515" s="451"/>
      <c r="S515" s="445">
        <f t="shared" si="54"/>
        <v>0</v>
      </c>
      <c r="T515" s="445">
        <f t="shared" si="55"/>
        <v>0</v>
      </c>
      <c r="U515" s="445">
        <f t="shared" si="56"/>
        <v>0</v>
      </c>
      <c r="W515" s="450"/>
      <c r="X515" s="450"/>
      <c r="Y515" s="441"/>
      <c r="Z515" s="441"/>
      <c r="AA515" s="441"/>
      <c r="AB515" s="441"/>
      <c r="AC515" s="441"/>
      <c r="AD515" s="441"/>
      <c r="AE515" s="441"/>
      <c r="AF515" s="441"/>
      <c r="AG515" s="441"/>
      <c r="AH515" s="441"/>
      <c r="AI515" s="441"/>
      <c r="AJ515" s="441"/>
      <c r="AK515" s="441"/>
      <c r="AL515" s="441"/>
      <c r="AM515" s="441"/>
      <c r="AN515" s="441"/>
      <c r="AO515" s="441"/>
      <c r="AP515" s="448"/>
      <c r="AQ515" s="448"/>
      <c r="AR515" s="448"/>
      <c r="AS515" s="448"/>
      <c r="AT515" s="448"/>
      <c r="AU515" s="448"/>
      <c r="AV515" s="448"/>
      <c r="AW515" s="448"/>
      <c r="AX515" s="448"/>
      <c r="AY515" s="448"/>
      <c r="AZ515" s="448"/>
      <c r="BA515" s="448"/>
      <c r="BB515" s="448"/>
      <c r="BC515" s="448"/>
      <c r="BD515" s="448"/>
      <c r="BE515" s="448"/>
      <c r="BF515" s="448"/>
    </row>
    <row r="516" spans="1:58" ht="12.75" hidden="1" thickBot="1">
      <c r="A516" s="1" t="s">
        <v>1275</v>
      </c>
      <c r="B516" s="2" t="s">
        <v>1231</v>
      </c>
      <c r="C516" s="2" t="s">
        <v>1232</v>
      </c>
      <c r="D516" s="8" t="s">
        <v>459</v>
      </c>
      <c r="E516" s="460"/>
      <c r="F516" s="4"/>
      <c r="G516" s="4"/>
      <c r="H516" s="4"/>
      <c r="I516" s="4"/>
      <c r="J516" s="4"/>
      <c r="K516" s="4"/>
      <c r="L516" s="4"/>
      <c r="M516" s="4"/>
      <c r="N516" s="4"/>
      <c r="O516" s="4"/>
      <c r="P516" s="4"/>
      <c r="Q516" s="4"/>
      <c r="R516" s="4"/>
      <c r="S516" s="445">
        <f t="shared" si="54"/>
        <v>0</v>
      </c>
      <c r="T516" s="445">
        <f t="shared" si="55"/>
        <v>0</v>
      </c>
      <c r="U516" s="445">
        <f t="shared" si="56"/>
        <v>0</v>
      </c>
      <c r="W516" s="450"/>
      <c r="X516" s="450"/>
      <c r="Y516" s="441"/>
      <c r="Z516" s="441"/>
      <c r="AA516" s="441"/>
      <c r="AB516" s="441"/>
      <c r="AC516" s="441"/>
      <c r="AD516" s="441"/>
      <c r="AE516" s="441"/>
      <c r="AF516" s="441"/>
      <c r="AG516" s="441"/>
      <c r="AH516" s="441"/>
      <c r="AI516" s="441"/>
      <c r="AJ516" s="441"/>
      <c r="AK516" s="441"/>
      <c r="AL516" s="441"/>
      <c r="AM516" s="441"/>
      <c r="AN516" s="441"/>
      <c r="AO516" s="441"/>
      <c r="AP516" s="448"/>
      <c r="AQ516" s="448"/>
      <c r="AR516" s="448"/>
      <c r="AS516" s="448"/>
      <c r="AT516" s="448"/>
      <c r="AU516" s="448"/>
      <c r="AV516" s="448"/>
      <c r="AW516" s="448"/>
      <c r="AX516" s="448"/>
      <c r="AY516" s="448"/>
      <c r="AZ516" s="448"/>
      <c r="BA516" s="448"/>
      <c r="BB516" s="448"/>
      <c r="BC516" s="448"/>
      <c r="BD516" s="448"/>
      <c r="BE516" s="448"/>
      <c r="BF516" s="448"/>
    </row>
    <row r="517" spans="1:58" ht="12.75" hidden="1" thickBot="1">
      <c r="A517" s="1" t="s">
        <v>1275</v>
      </c>
      <c r="B517" s="2" t="s">
        <v>215</v>
      </c>
      <c r="C517" s="2" t="s">
        <v>1038</v>
      </c>
      <c r="D517" s="8" t="s">
        <v>459</v>
      </c>
      <c r="E517" s="459"/>
      <c r="F517" s="6"/>
      <c r="G517" s="451"/>
      <c r="H517" s="6"/>
      <c r="I517" s="6"/>
      <c r="J517" s="6"/>
      <c r="K517" s="6"/>
      <c r="L517" s="6"/>
      <c r="M517" s="451"/>
      <c r="N517" s="451"/>
      <c r="O517" s="6"/>
      <c r="P517" s="6"/>
      <c r="Q517" s="451"/>
      <c r="R517" s="451"/>
      <c r="S517" s="445">
        <f t="shared" si="54"/>
        <v>0</v>
      </c>
      <c r="T517" s="445">
        <f t="shared" si="55"/>
        <v>0</v>
      </c>
      <c r="U517" s="445">
        <f t="shared" si="56"/>
        <v>0</v>
      </c>
      <c r="W517" s="450"/>
      <c r="X517" s="450"/>
      <c r="Y517" s="441"/>
      <c r="Z517" s="441"/>
      <c r="AA517" s="441"/>
      <c r="AB517" s="441"/>
      <c r="AC517" s="441"/>
      <c r="AD517" s="441"/>
      <c r="AE517" s="441"/>
      <c r="AF517" s="441"/>
      <c r="AG517" s="441"/>
      <c r="AH517" s="441"/>
      <c r="AI517" s="441"/>
      <c r="AJ517" s="441"/>
      <c r="AK517" s="441"/>
      <c r="AL517" s="441"/>
      <c r="AM517" s="441"/>
      <c r="AN517" s="441"/>
      <c r="AO517" s="441"/>
      <c r="AP517" s="448"/>
      <c r="AQ517" s="448"/>
      <c r="AR517" s="448"/>
      <c r="AS517" s="448"/>
      <c r="AT517" s="448"/>
      <c r="AU517" s="448"/>
      <c r="AV517" s="448"/>
      <c r="AW517" s="448"/>
      <c r="AX517" s="448"/>
      <c r="AY517" s="448"/>
      <c r="AZ517" s="448"/>
      <c r="BA517" s="448"/>
      <c r="BB517" s="448"/>
      <c r="BC517" s="448"/>
      <c r="BD517" s="448"/>
      <c r="BE517" s="448"/>
      <c r="BF517" s="448"/>
    </row>
    <row r="518" spans="1:58" ht="12.75" hidden="1" thickBot="1">
      <c r="A518" s="1" t="s">
        <v>1275</v>
      </c>
      <c r="B518" s="2" t="s">
        <v>216</v>
      </c>
      <c r="C518" s="2" t="s">
        <v>1039</v>
      </c>
      <c r="D518" s="8" t="s">
        <v>459</v>
      </c>
      <c r="E518" s="460"/>
      <c r="F518" s="4"/>
      <c r="G518" s="449"/>
      <c r="H518" s="4"/>
      <c r="I518" s="4"/>
      <c r="J518" s="4"/>
      <c r="K518" s="4"/>
      <c r="L518" s="4"/>
      <c r="M518" s="449"/>
      <c r="N518" s="449"/>
      <c r="O518" s="4"/>
      <c r="P518" s="4"/>
      <c r="Q518" s="449"/>
      <c r="R518" s="449"/>
      <c r="S518" s="445">
        <f t="shared" si="54"/>
        <v>0</v>
      </c>
      <c r="T518" s="445">
        <f t="shared" si="55"/>
        <v>0</v>
      </c>
      <c r="U518" s="445">
        <f t="shared" si="56"/>
        <v>0</v>
      </c>
      <c r="W518" s="450"/>
      <c r="X518" s="450"/>
      <c r="Y518" s="441"/>
      <c r="Z518" s="441"/>
      <c r="AA518" s="441"/>
      <c r="AB518" s="441"/>
      <c r="AC518" s="441"/>
      <c r="AD518" s="441"/>
      <c r="AE518" s="441"/>
      <c r="AF518" s="441"/>
      <c r="AG518" s="441"/>
      <c r="AH518" s="441"/>
      <c r="AI518" s="441"/>
      <c r="AJ518" s="441"/>
      <c r="AK518" s="441"/>
      <c r="AL518" s="441"/>
      <c r="AM518" s="441"/>
      <c r="AN518" s="441"/>
      <c r="AO518" s="441"/>
      <c r="AP518" s="448"/>
      <c r="AQ518" s="448"/>
      <c r="AR518" s="448"/>
      <c r="AS518" s="448"/>
      <c r="AT518" s="448"/>
      <c r="AU518" s="448"/>
      <c r="AV518" s="448"/>
      <c r="AW518" s="448"/>
      <c r="AX518" s="448"/>
      <c r="AY518" s="448"/>
      <c r="AZ518" s="448"/>
      <c r="BA518" s="448"/>
      <c r="BB518" s="448"/>
      <c r="BC518" s="448"/>
      <c r="BD518" s="448"/>
      <c r="BE518" s="448"/>
      <c r="BF518" s="448"/>
    </row>
    <row r="519" spans="1:58" ht="12.75" hidden="1" thickBot="1">
      <c r="A519" s="1" t="s">
        <v>1275</v>
      </c>
      <c r="B519" s="2" t="s">
        <v>217</v>
      </c>
      <c r="C519" s="2" t="s">
        <v>1040</v>
      </c>
      <c r="D519" s="8" t="s">
        <v>459</v>
      </c>
      <c r="E519" s="459"/>
      <c r="F519" s="6"/>
      <c r="G519" s="451"/>
      <c r="H519" s="6"/>
      <c r="I519" s="6"/>
      <c r="J519" s="6"/>
      <c r="K519" s="6"/>
      <c r="L519" s="6"/>
      <c r="M519" s="451"/>
      <c r="N519" s="451"/>
      <c r="O519" s="6"/>
      <c r="P519" s="6"/>
      <c r="Q519" s="451"/>
      <c r="R519" s="451"/>
      <c r="S519" s="445">
        <f t="shared" si="54"/>
        <v>0</v>
      </c>
      <c r="T519" s="445">
        <f t="shared" si="55"/>
        <v>0</v>
      </c>
      <c r="U519" s="445">
        <f t="shared" si="56"/>
        <v>0</v>
      </c>
      <c r="W519" s="450"/>
      <c r="X519" s="450"/>
      <c r="Y519" s="441"/>
      <c r="Z519" s="441"/>
      <c r="AA519" s="441"/>
      <c r="AB519" s="441"/>
      <c r="AC519" s="441"/>
      <c r="AD519" s="441"/>
      <c r="AE519" s="441"/>
      <c r="AF519" s="441"/>
      <c r="AG519" s="441"/>
      <c r="AH519" s="441"/>
      <c r="AI519" s="441"/>
      <c r="AJ519" s="441"/>
      <c r="AK519" s="441"/>
      <c r="AL519" s="441"/>
      <c r="AM519" s="441"/>
      <c r="AN519" s="441"/>
      <c r="AO519" s="441"/>
      <c r="AP519" s="448"/>
      <c r="AQ519" s="448"/>
      <c r="AR519" s="448"/>
      <c r="AS519" s="448"/>
      <c r="AT519" s="448"/>
      <c r="AU519" s="448"/>
      <c r="AV519" s="448"/>
      <c r="AW519" s="448"/>
      <c r="AX519" s="448"/>
      <c r="AY519" s="448"/>
      <c r="AZ519" s="448"/>
      <c r="BA519" s="448"/>
      <c r="BB519" s="448"/>
      <c r="BC519" s="448"/>
      <c r="BD519" s="448"/>
      <c r="BE519" s="448"/>
      <c r="BF519" s="448"/>
    </row>
    <row r="520" spans="1:58" ht="12.75" hidden="1" thickBot="1">
      <c r="A520" s="1" t="s">
        <v>1275</v>
      </c>
      <c r="B520" s="2" t="s">
        <v>344</v>
      </c>
      <c r="C520" s="2" t="s">
        <v>1041</v>
      </c>
      <c r="D520" s="8" t="s">
        <v>459</v>
      </c>
      <c r="E520" s="460"/>
      <c r="F520" s="4"/>
      <c r="G520" s="449"/>
      <c r="H520" s="4"/>
      <c r="I520" s="4"/>
      <c r="J520" s="4"/>
      <c r="K520" s="4"/>
      <c r="L520" s="4"/>
      <c r="M520" s="449"/>
      <c r="N520" s="449"/>
      <c r="O520" s="4"/>
      <c r="P520" s="4"/>
      <c r="Q520" s="449"/>
      <c r="R520" s="449"/>
      <c r="S520" s="445">
        <f t="shared" si="54"/>
        <v>0</v>
      </c>
      <c r="T520" s="445">
        <f t="shared" si="55"/>
        <v>0</v>
      </c>
      <c r="U520" s="445">
        <f t="shared" si="56"/>
        <v>0</v>
      </c>
      <c r="W520" s="450"/>
      <c r="X520" s="450"/>
      <c r="Y520" s="441"/>
      <c r="Z520" s="441"/>
      <c r="AA520" s="441"/>
      <c r="AB520" s="441"/>
      <c r="AC520" s="441"/>
      <c r="AD520" s="441"/>
      <c r="AE520" s="441"/>
      <c r="AF520" s="441"/>
      <c r="AG520" s="441"/>
      <c r="AH520" s="441"/>
      <c r="AI520" s="441"/>
      <c r="AJ520" s="441"/>
      <c r="AK520" s="441"/>
      <c r="AL520" s="441"/>
      <c r="AM520" s="441"/>
      <c r="AN520" s="441"/>
      <c r="AO520" s="441"/>
      <c r="AP520" s="448"/>
      <c r="AQ520" s="448"/>
      <c r="AR520" s="448"/>
      <c r="AS520" s="448"/>
      <c r="AT520" s="448"/>
      <c r="AU520" s="448"/>
      <c r="AV520" s="448"/>
      <c r="AW520" s="448"/>
      <c r="AX520" s="448"/>
      <c r="AY520" s="448"/>
      <c r="AZ520" s="448"/>
      <c r="BA520" s="448"/>
      <c r="BB520" s="448"/>
      <c r="BC520" s="448"/>
      <c r="BD520" s="448"/>
      <c r="BE520" s="448"/>
      <c r="BF520" s="448"/>
    </row>
    <row r="521" spans="1:58" ht="12.75" hidden="1" thickBot="1">
      <c r="A521" s="1" t="s">
        <v>1275</v>
      </c>
      <c r="B521" s="2" t="s">
        <v>1233</v>
      </c>
      <c r="C521" s="2" t="s">
        <v>1234</v>
      </c>
      <c r="D521" s="8" t="s">
        <v>459</v>
      </c>
      <c r="E521" s="459"/>
      <c r="F521" s="6"/>
      <c r="G521" s="6"/>
      <c r="H521" s="6"/>
      <c r="I521" s="6"/>
      <c r="J521" s="6"/>
      <c r="K521" s="6"/>
      <c r="L521" s="6"/>
      <c r="M521" s="6"/>
      <c r="N521" s="6"/>
      <c r="O521" s="6"/>
      <c r="P521" s="6"/>
      <c r="Q521" s="6"/>
      <c r="R521" s="6"/>
      <c r="S521" s="445">
        <f t="shared" si="54"/>
        <v>0</v>
      </c>
      <c r="T521" s="445">
        <f t="shared" si="55"/>
        <v>0</v>
      </c>
      <c r="U521" s="445">
        <f t="shared" si="56"/>
        <v>0</v>
      </c>
      <c r="W521" s="450"/>
      <c r="X521" s="450"/>
      <c r="Y521" s="441"/>
      <c r="Z521" s="441"/>
      <c r="AA521" s="441"/>
      <c r="AB521" s="441"/>
      <c r="AC521" s="441"/>
      <c r="AD521" s="441"/>
      <c r="AE521" s="441"/>
      <c r="AF521" s="441"/>
      <c r="AG521" s="441"/>
      <c r="AH521" s="441"/>
      <c r="AI521" s="441"/>
      <c r="AJ521" s="441"/>
      <c r="AK521" s="441"/>
      <c r="AL521" s="441"/>
      <c r="AM521" s="441"/>
      <c r="AN521" s="441"/>
      <c r="AO521" s="441"/>
      <c r="AP521" s="448"/>
      <c r="AQ521" s="448"/>
      <c r="AR521" s="448"/>
      <c r="AS521" s="448"/>
      <c r="AT521" s="448"/>
      <c r="AU521" s="448"/>
      <c r="AV521" s="448"/>
      <c r="AW521" s="448"/>
      <c r="AX521" s="448"/>
      <c r="AY521" s="448"/>
      <c r="AZ521" s="448"/>
      <c r="BA521" s="448"/>
      <c r="BB521" s="448"/>
      <c r="BC521" s="448"/>
      <c r="BD521" s="448"/>
      <c r="BE521" s="448"/>
      <c r="BF521" s="448"/>
    </row>
    <row r="522" spans="1:58" ht="12.75" hidden="1" thickBot="1">
      <c r="A522" s="1" t="s">
        <v>1275</v>
      </c>
      <c r="B522" s="2" t="s">
        <v>218</v>
      </c>
      <c r="C522" s="2" t="s">
        <v>1042</v>
      </c>
      <c r="D522" s="8" t="s">
        <v>459</v>
      </c>
      <c r="E522" s="460"/>
      <c r="F522" s="4"/>
      <c r="G522" s="449"/>
      <c r="H522" s="4"/>
      <c r="I522" s="4"/>
      <c r="J522" s="4"/>
      <c r="K522" s="4"/>
      <c r="L522" s="4"/>
      <c r="M522" s="449"/>
      <c r="N522" s="449"/>
      <c r="O522" s="4"/>
      <c r="P522" s="4"/>
      <c r="Q522" s="449"/>
      <c r="R522" s="449"/>
      <c r="S522" s="445">
        <f t="shared" si="54"/>
        <v>0</v>
      </c>
      <c r="T522" s="445">
        <f t="shared" si="55"/>
        <v>0</v>
      </c>
      <c r="U522" s="445">
        <f t="shared" si="56"/>
        <v>0</v>
      </c>
      <c r="W522" s="450"/>
      <c r="X522" s="450"/>
      <c r="Y522" s="441"/>
      <c r="Z522" s="441"/>
      <c r="AA522" s="441"/>
      <c r="AB522" s="441"/>
      <c r="AC522" s="441"/>
      <c r="AD522" s="441"/>
      <c r="AE522" s="441"/>
      <c r="AF522" s="441"/>
      <c r="AG522" s="441"/>
      <c r="AH522" s="441"/>
      <c r="AI522" s="441"/>
      <c r="AJ522" s="441"/>
      <c r="AK522" s="441"/>
      <c r="AL522" s="441"/>
      <c r="AM522" s="441"/>
      <c r="AN522" s="441"/>
      <c r="AO522" s="441"/>
      <c r="AP522" s="448"/>
      <c r="AQ522" s="448"/>
      <c r="AR522" s="448"/>
      <c r="AS522" s="448"/>
      <c r="AT522" s="448"/>
      <c r="AU522" s="448"/>
      <c r="AV522" s="448"/>
      <c r="AW522" s="448"/>
      <c r="AX522" s="448"/>
      <c r="AY522" s="448"/>
      <c r="AZ522" s="448"/>
      <c r="BA522" s="448"/>
      <c r="BB522" s="448"/>
      <c r="BC522" s="448"/>
      <c r="BD522" s="448"/>
      <c r="BE522" s="448"/>
      <c r="BF522" s="448"/>
    </row>
    <row r="523" spans="1:58" ht="12.75" hidden="1" thickBot="1">
      <c r="A523" s="1" t="s">
        <v>1275</v>
      </c>
      <c r="B523" s="2" t="s">
        <v>223</v>
      </c>
      <c r="C523" s="2" t="s">
        <v>1043</v>
      </c>
      <c r="D523" s="8" t="s">
        <v>459</v>
      </c>
      <c r="E523" s="459"/>
      <c r="F523" s="6"/>
      <c r="G523" s="451"/>
      <c r="H523" s="6"/>
      <c r="I523" s="6"/>
      <c r="J523" s="6"/>
      <c r="K523" s="6"/>
      <c r="L523" s="6"/>
      <c r="M523" s="451"/>
      <c r="N523" s="451"/>
      <c r="O523" s="6"/>
      <c r="P523" s="6"/>
      <c r="Q523" s="451"/>
      <c r="R523" s="451"/>
      <c r="S523" s="445">
        <f t="shared" si="54"/>
        <v>0</v>
      </c>
      <c r="T523" s="445">
        <f t="shared" si="55"/>
        <v>0</v>
      </c>
      <c r="U523" s="445">
        <f t="shared" si="56"/>
        <v>0</v>
      </c>
      <c r="W523" s="450"/>
      <c r="X523" s="450"/>
      <c r="Y523" s="441"/>
      <c r="Z523" s="441"/>
      <c r="AA523" s="441"/>
      <c r="AB523" s="441"/>
      <c r="AC523" s="441"/>
      <c r="AD523" s="441"/>
      <c r="AE523" s="441"/>
      <c r="AF523" s="441"/>
      <c r="AG523" s="441"/>
      <c r="AH523" s="441"/>
      <c r="AI523" s="441"/>
      <c r="AJ523" s="441"/>
      <c r="AK523" s="441"/>
      <c r="AL523" s="441"/>
      <c r="AM523" s="441"/>
      <c r="AN523" s="441"/>
      <c r="AO523" s="441"/>
      <c r="AP523" s="448"/>
      <c r="AQ523" s="448"/>
      <c r="AR523" s="448"/>
      <c r="AS523" s="448"/>
      <c r="AT523" s="448"/>
      <c r="AU523" s="448"/>
      <c r="AV523" s="448"/>
      <c r="AW523" s="448"/>
      <c r="AX523" s="448"/>
      <c r="AY523" s="448"/>
      <c r="AZ523" s="448"/>
      <c r="BA523" s="448"/>
      <c r="BB523" s="448"/>
      <c r="BC523" s="448"/>
      <c r="BD523" s="448"/>
      <c r="BE523" s="448"/>
      <c r="BF523" s="448"/>
    </row>
    <row r="524" spans="1:58" ht="12.75" hidden="1" thickBot="1">
      <c r="A524" s="1" t="s">
        <v>1275</v>
      </c>
      <c r="B524" s="2" t="s">
        <v>231</v>
      </c>
      <c r="C524" s="2" t="s">
        <v>1044</v>
      </c>
      <c r="D524" s="8" t="s">
        <v>459</v>
      </c>
      <c r="E524" s="460"/>
      <c r="F524" s="4"/>
      <c r="G524" s="449"/>
      <c r="H524" s="4"/>
      <c r="I524" s="4"/>
      <c r="J524" s="4"/>
      <c r="K524" s="4"/>
      <c r="L524" s="4"/>
      <c r="M524" s="449"/>
      <c r="N524" s="449"/>
      <c r="O524" s="4"/>
      <c r="P524" s="4"/>
      <c r="Q524" s="449"/>
      <c r="R524" s="449"/>
      <c r="S524" s="445">
        <f t="shared" si="54"/>
        <v>0</v>
      </c>
      <c r="T524" s="445">
        <f t="shared" si="55"/>
        <v>0</v>
      </c>
      <c r="U524" s="445">
        <f t="shared" si="56"/>
        <v>0</v>
      </c>
      <c r="W524" s="450"/>
      <c r="X524" s="450"/>
      <c r="Y524" s="441"/>
      <c r="Z524" s="441"/>
      <c r="AA524" s="441"/>
      <c r="AB524" s="441"/>
      <c r="AC524" s="441"/>
      <c r="AD524" s="441"/>
      <c r="AE524" s="441"/>
      <c r="AF524" s="441"/>
      <c r="AG524" s="441"/>
      <c r="AH524" s="441"/>
      <c r="AI524" s="441"/>
      <c r="AJ524" s="441"/>
      <c r="AK524" s="441"/>
      <c r="AL524" s="441"/>
      <c r="AM524" s="441"/>
      <c r="AN524" s="441"/>
      <c r="AO524" s="441"/>
      <c r="AP524" s="448"/>
      <c r="AQ524" s="448"/>
      <c r="AR524" s="448"/>
      <c r="AS524" s="448"/>
      <c r="AT524" s="448"/>
      <c r="AU524" s="448"/>
      <c r="AV524" s="448"/>
      <c r="AW524" s="448"/>
      <c r="AX524" s="448"/>
      <c r="AY524" s="448"/>
      <c r="AZ524" s="448"/>
      <c r="BA524" s="448"/>
      <c r="BB524" s="448"/>
      <c r="BC524" s="448"/>
      <c r="BD524" s="448"/>
      <c r="BE524" s="448"/>
      <c r="BF524" s="448"/>
    </row>
    <row r="525" spans="1:58" ht="12.75" hidden="1" thickBot="1">
      <c r="A525" s="1" t="s">
        <v>1275</v>
      </c>
      <c r="B525" s="2" t="s">
        <v>232</v>
      </c>
      <c r="C525" s="2" t="s">
        <v>1045</v>
      </c>
      <c r="D525" s="8" t="s">
        <v>459</v>
      </c>
      <c r="E525" s="459"/>
      <c r="F525" s="6"/>
      <c r="G525" s="451"/>
      <c r="H525" s="6"/>
      <c r="I525" s="6"/>
      <c r="J525" s="6"/>
      <c r="K525" s="6"/>
      <c r="L525" s="6"/>
      <c r="M525" s="451"/>
      <c r="N525" s="451"/>
      <c r="O525" s="6"/>
      <c r="P525" s="6"/>
      <c r="Q525" s="451"/>
      <c r="R525" s="451"/>
      <c r="S525" s="445">
        <f t="shared" si="54"/>
        <v>0</v>
      </c>
      <c r="T525" s="445">
        <f t="shared" si="55"/>
        <v>0</v>
      </c>
      <c r="U525" s="445">
        <f t="shared" si="56"/>
        <v>0</v>
      </c>
      <c r="W525" s="450"/>
      <c r="X525" s="450"/>
      <c r="Y525" s="441"/>
      <c r="Z525" s="441"/>
      <c r="AA525" s="441"/>
      <c r="AB525" s="441"/>
      <c r="AC525" s="441"/>
      <c r="AD525" s="441"/>
      <c r="AE525" s="441"/>
      <c r="AF525" s="441"/>
      <c r="AG525" s="441"/>
      <c r="AH525" s="441"/>
      <c r="AI525" s="441"/>
      <c r="AJ525" s="441"/>
      <c r="AK525" s="441"/>
      <c r="AL525" s="441"/>
      <c r="AM525" s="441"/>
      <c r="AN525" s="441"/>
      <c r="AO525" s="441"/>
      <c r="AP525" s="448"/>
      <c r="AQ525" s="448"/>
      <c r="AR525" s="448"/>
      <c r="AS525" s="448"/>
      <c r="AT525" s="448"/>
      <c r="AU525" s="448"/>
      <c r="AV525" s="448"/>
      <c r="AW525" s="448"/>
      <c r="AX525" s="448"/>
      <c r="AY525" s="448"/>
      <c r="AZ525" s="448"/>
      <c r="BA525" s="448"/>
      <c r="BB525" s="448"/>
      <c r="BC525" s="448"/>
      <c r="BD525" s="448"/>
      <c r="BE525" s="448"/>
      <c r="BF525" s="448"/>
    </row>
    <row r="526" spans="1:58" ht="12.75" hidden="1" thickBot="1">
      <c r="A526" s="1" t="s">
        <v>1275</v>
      </c>
      <c r="B526" s="2" t="s">
        <v>234</v>
      </c>
      <c r="C526" s="2" t="s">
        <v>1046</v>
      </c>
      <c r="D526" s="8" t="s">
        <v>459</v>
      </c>
      <c r="E526" s="460"/>
      <c r="F526" s="4"/>
      <c r="G526" s="449"/>
      <c r="H526" s="4"/>
      <c r="I526" s="4"/>
      <c r="J526" s="4"/>
      <c r="K526" s="4"/>
      <c r="L526" s="4"/>
      <c r="M526" s="449"/>
      <c r="N526" s="449"/>
      <c r="O526" s="4"/>
      <c r="P526" s="4"/>
      <c r="Q526" s="449"/>
      <c r="R526" s="449"/>
      <c r="S526" s="445">
        <f t="shared" si="54"/>
        <v>0</v>
      </c>
      <c r="T526" s="445">
        <f t="shared" si="55"/>
        <v>0</v>
      </c>
      <c r="U526" s="445">
        <f t="shared" si="56"/>
        <v>0</v>
      </c>
      <c r="W526" s="450"/>
      <c r="X526" s="450"/>
      <c r="Y526" s="441"/>
      <c r="Z526" s="441"/>
      <c r="AA526" s="441"/>
      <c r="AB526" s="441"/>
      <c r="AC526" s="441"/>
      <c r="AD526" s="441"/>
      <c r="AE526" s="441"/>
      <c r="AF526" s="441"/>
      <c r="AG526" s="441"/>
      <c r="AH526" s="441"/>
      <c r="AI526" s="441"/>
      <c r="AJ526" s="441"/>
      <c r="AK526" s="441"/>
      <c r="AL526" s="441"/>
      <c r="AM526" s="441"/>
      <c r="AN526" s="441"/>
      <c r="AO526" s="441"/>
      <c r="AP526" s="448"/>
      <c r="AQ526" s="448"/>
      <c r="AR526" s="448"/>
      <c r="AS526" s="448"/>
      <c r="AT526" s="448"/>
      <c r="AU526" s="448"/>
      <c r="AV526" s="448"/>
      <c r="AW526" s="448"/>
      <c r="AX526" s="448"/>
      <c r="AY526" s="448"/>
      <c r="AZ526" s="448"/>
      <c r="BA526" s="448"/>
      <c r="BB526" s="448"/>
      <c r="BC526" s="448"/>
      <c r="BD526" s="448"/>
      <c r="BE526" s="448"/>
      <c r="BF526" s="448"/>
    </row>
    <row r="527" spans="1:58" ht="12.75" hidden="1" thickBot="1">
      <c r="A527" s="1" t="s">
        <v>1275</v>
      </c>
      <c r="B527" s="2" t="s">
        <v>353</v>
      </c>
      <c r="C527" s="2" t="s">
        <v>1047</v>
      </c>
      <c r="D527" s="8" t="s">
        <v>459</v>
      </c>
      <c r="E527" s="459"/>
      <c r="F527" s="6"/>
      <c r="G527" s="451"/>
      <c r="H527" s="6"/>
      <c r="I527" s="6"/>
      <c r="J527" s="6"/>
      <c r="K527" s="6"/>
      <c r="L527" s="6"/>
      <c r="M527" s="451"/>
      <c r="N527" s="451"/>
      <c r="O527" s="6"/>
      <c r="P527" s="6"/>
      <c r="Q527" s="451"/>
      <c r="R527" s="451"/>
      <c r="S527" s="445">
        <f t="shared" si="54"/>
        <v>0</v>
      </c>
      <c r="T527" s="445">
        <f t="shared" si="55"/>
        <v>0</v>
      </c>
      <c r="U527" s="445">
        <f t="shared" si="56"/>
        <v>0</v>
      </c>
      <c r="W527" s="450"/>
      <c r="X527" s="450"/>
      <c r="Y527" s="441"/>
      <c r="Z527" s="441"/>
      <c r="AA527" s="441"/>
      <c r="AB527" s="441"/>
      <c r="AC527" s="441"/>
      <c r="AD527" s="441"/>
      <c r="AE527" s="441"/>
      <c r="AF527" s="441"/>
      <c r="AG527" s="441"/>
      <c r="AH527" s="441"/>
      <c r="AI527" s="441"/>
      <c r="AJ527" s="441"/>
      <c r="AK527" s="441"/>
      <c r="AL527" s="441"/>
      <c r="AM527" s="441"/>
      <c r="AN527" s="441"/>
      <c r="AO527" s="441"/>
      <c r="AP527" s="448"/>
      <c r="AQ527" s="448"/>
      <c r="AR527" s="448"/>
      <c r="AS527" s="448"/>
      <c r="AT527" s="448"/>
      <c r="AU527" s="448"/>
      <c r="AV527" s="448"/>
      <c r="AW527" s="448"/>
      <c r="AX527" s="448"/>
      <c r="AY527" s="448"/>
      <c r="AZ527" s="448"/>
      <c r="BA527" s="448"/>
      <c r="BB527" s="448"/>
      <c r="BC527" s="448"/>
      <c r="BD527" s="448"/>
      <c r="BE527" s="448"/>
      <c r="BF527" s="448"/>
    </row>
    <row r="528" spans="1:58" ht="12.75" hidden="1" thickBot="1">
      <c r="A528" s="1" t="s">
        <v>1275</v>
      </c>
      <c r="B528" s="2" t="s">
        <v>235</v>
      </c>
      <c r="C528" s="2" t="s">
        <v>1048</v>
      </c>
      <c r="D528" s="8" t="s">
        <v>459</v>
      </c>
      <c r="E528" s="460"/>
      <c r="F528" s="4"/>
      <c r="G528" s="449"/>
      <c r="H528" s="4"/>
      <c r="I528" s="4"/>
      <c r="J528" s="4"/>
      <c r="K528" s="4"/>
      <c r="L528" s="4"/>
      <c r="M528" s="449"/>
      <c r="N528" s="449"/>
      <c r="O528" s="4"/>
      <c r="P528" s="4"/>
      <c r="Q528" s="449"/>
      <c r="R528" s="449"/>
      <c r="S528" s="445">
        <f t="shared" si="54"/>
        <v>0</v>
      </c>
      <c r="T528" s="445">
        <f t="shared" si="55"/>
        <v>0</v>
      </c>
      <c r="U528" s="445">
        <f t="shared" si="56"/>
        <v>0</v>
      </c>
      <c r="W528" s="450"/>
      <c r="X528" s="450"/>
      <c r="Y528" s="441"/>
      <c r="Z528" s="441"/>
      <c r="AA528" s="441"/>
      <c r="AB528" s="441"/>
      <c r="AC528" s="441"/>
      <c r="AD528" s="441"/>
      <c r="AE528" s="441"/>
      <c r="AF528" s="441"/>
      <c r="AG528" s="441"/>
      <c r="AH528" s="441"/>
      <c r="AI528" s="441"/>
      <c r="AJ528" s="441"/>
      <c r="AK528" s="441"/>
      <c r="AL528" s="441"/>
      <c r="AM528" s="441"/>
      <c r="AN528" s="441"/>
      <c r="AO528" s="441"/>
      <c r="AP528" s="448"/>
      <c r="AQ528" s="448"/>
      <c r="AR528" s="448"/>
      <c r="AS528" s="448"/>
      <c r="AT528" s="448"/>
      <c r="AU528" s="448"/>
      <c r="AV528" s="448"/>
      <c r="AW528" s="448"/>
      <c r="AX528" s="448"/>
      <c r="AY528" s="448"/>
      <c r="AZ528" s="448"/>
      <c r="BA528" s="448"/>
      <c r="BB528" s="448"/>
      <c r="BC528" s="448"/>
      <c r="BD528" s="448"/>
      <c r="BE528" s="448"/>
      <c r="BF528" s="448"/>
    </row>
    <row r="529" spans="1:58" ht="12.75" hidden="1" thickBot="1">
      <c r="A529" s="1" t="s">
        <v>1275</v>
      </c>
      <c r="B529" s="2" t="s">
        <v>236</v>
      </c>
      <c r="C529" s="2" t="s">
        <v>1049</v>
      </c>
      <c r="D529" s="8" t="s">
        <v>459</v>
      </c>
      <c r="E529" s="459"/>
      <c r="F529" s="6"/>
      <c r="G529" s="451"/>
      <c r="H529" s="6"/>
      <c r="I529" s="6"/>
      <c r="J529" s="6"/>
      <c r="K529" s="6"/>
      <c r="L529" s="6"/>
      <c r="M529" s="451"/>
      <c r="N529" s="451"/>
      <c r="O529" s="6"/>
      <c r="P529" s="6"/>
      <c r="Q529" s="451"/>
      <c r="R529" s="451"/>
      <c r="S529" s="445">
        <f t="shared" si="54"/>
        <v>0</v>
      </c>
      <c r="T529" s="445">
        <f t="shared" si="55"/>
        <v>0</v>
      </c>
      <c r="U529" s="445">
        <f t="shared" si="56"/>
        <v>0</v>
      </c>
      <c r="W529" s="450"/>
      <c r="X529" s="450"/>
      <c r="Y529" s="441"/>
      <c r="Z529" s="441"/>
      <c r="AA529" s="441"/>
      <c r="AB529" s="441"/>
      <c r="AC529" s="441"/>
      <c r="AD529" s="441"/>
      <c r="AE529" s="441"/>
      <c r="AF529" s="441"/>
      <c r="AG529" s="441"/>
      <c r="AH529" s="441"/>
      <c r="AI529" s="441"/>
      <c r="AJ529" s="441"/>
      <c r="AK529" s="441"/>
      <c r="AL529" s="441"/>
      <c r="AM529" s="441"/>
      <c r="AN529" s="441"/>
      <c r="AO529" s="441"/>
      <c r="AP529" s="448"/>
      <c r="AQ529" s="448"/>
      <c r="AR529" s="448"/>
      <c r="AS529" s="448"/>
      <c r="AT529" s="448"/>
      <c r="AU529" s="448"/>
      <c r="AV529" s="448"/>
      <c r="AW529" s="448"/>
      <c r="AX529" s="448"/>
      <c r="AY529" s="448"/>
      <c r="AZ529" s="448"/>
      <c r="BA529" s="448"/>
      <c r="BB529" s="448"/>
      <c r="BC529" s="448"/>
      <c r="BD529" s="448"/>
      <c r="BE529" s="448"/>
      <c r="BF529" s="448"/>
    </row>
    <row r="530" spans="1:58" ht="12.75" hidden="1" thickBot="1">
      <c r="A530" s="1" t="s">
        <v>1275</v>
      </c>
      <c r="B530" s="2" t="s">
        <v>354</v>
      </c>
      <c r="C530" s="2" t="s">
        <v>1050</v>
      </c>
      <c r="D530" s="8" t="s">
        <v>459</v>
      </c>
      <c r="E530" s="460"/>
      <c r="F530" s="4"/>
      <c r="G530" s="449"/>
      <c r="H530" s="4"/>
      <c r="I530" s="4"/>
      <c r="J530" s="4"/>
      <c r="K530" s="4"/>
      <c r="L530" s="4"/>
      <c r="M530" s="449"/>
      <c r="N530" s="449"/>
      <c r="O530" s="4"/>
      <c r="P530" s="4"/>
      <c r="Q530" s="449"/>
      <c r="R530" s="449"/>
      <c r="S530" s="445">
        <f t="shared" si="54"/>
        <v>0</v>
      </c>
      <c r="T530" s="445">
        <f t="shared" si="55"/>
        <v>0</v>
      </c>
      <c r="U530" s="445">
        <f t="shared" si="56"/>
        <v>0</v>
      </c>
      <c r="W530" s="450"/>
      <c r="X530" s="450"/>
      <c r="Y530" s="441"/>
      <c r="Z530" s="441"/>
      <c r="AA530" s="441"/>
      <c r="AB530" s="441"/>
      <c r="AC530" s="441"/>
      <c r="AD530" s="441"/>
      <c r="AE530" s="441"/>
      <c r="AF530" s="441"/>
      <c r="AG530" s="441"/>
      <c r="AH530" s="441"/>
      <c r="AI530" s="441"/>
      <c r="AJ530" s="441"/>
      <c r="AK530" s="441"/>
      <c r="AL530" s="441"/>
      <c r="AM530" s="441"/>
      <c r="AN530" s="441"/>
      <c r="AO530" s="441"/>
      <c r="AP530" s="448"/>
      <c r="AQ530" s="448"/>
      <c r="AR530" s="448"/>
      <c r="AS530" s="448"/>
      <c r="AT530" s="448"/>
      <c r="AU530" s="448"/>
      <c r="AV530" s="448"/>
      <c r="AW530" s="448"/>
      <c r="AX530" s="448"/>
      <c r="AY530" s="448"/>
      <c r="AZ530" s="448"/>
      <c r="BA530" s="448"/>
      <c r="BB530" s="448"/>
      <c r="BC530" s="448"/>
      <c r="BD530" s="448"/>
      <c r="BE530" s="448"/>
      <c r="BF530" s="448"/>
    </row>
    <row r="531" spans="1:58" ht="12.75" hidden="1" thickBot="1">
      <c r="A531" s="1" t="s">
        <v>1275</v>
      </c>
      <c r="B531" s="2" t="s">
        <v>355</v>
      </c>
      <c r="C531" s="2" t="s">
        <v>1051</v>
      </c>
      <c r="D531" s="8" t="s">
        <v>459</v>
      </c>
      <c r="E531" s="459"/>
      <c r="F531" s="6"/>
      <c r="G531" s="451"/>
      <c r="H531" s="6"/>
      <c r="I531" s="6"/>
      <c r="J531" s="6"/>
      <c r="K531" s="6"/>
      <c r="L531" s="6"/>
      <c r="M531" s="451"/>
      <c r="N531" s="451"/>
      <c r="O531" s="6"/>
      <c r="P531" s="6"/>
      <c r="Q531" s="451"/>
      <c r="R531" s="451"/>
      <c r="S531" s="445">
        <f t="shared" si="54"/>
        <v>0</v>
      </c>
      <c r="T531" s="445">
        <f t="shared" si="55"/>
        <v>0</v>
      </c>
      <c r="U531" s="445">
        <f t="shared" si="56"/>
        <v>0</v>
      </c>
      <c r="W531" s="450"/>
      <c r="X531" s="450"/>
      <c r="Y531" s="441"/>
      <c r="Z531" s="441"/>
      <c r="AA531" s="441"/>
      <c r="AB531" s="441"/>
      <c r="AC531" s="441"/>
      <c r="AD531" s="441"/>
      <c r="AE531" s="441"/>
      <c r="AF531" s="441"/>
      <c r="AG531" s="441"/>
      <c r="AH531" s="441"/>
      <c r="AI531" s="441"/>
      <c r="AJ531" s="441"/>
      <c r="AK531" s="441"/>
      <c r="AL531" s="441"/>
      <c r="AM531" s="441"/>
      <c r="AN531" s="441"/>
      <c r="AO531" s="441"/>
      <c r="AP531" s="448"/>
      <c r="AQ531" s="448"/>
      <c r="AR531" s="448"/>
      <c r="AS531" s="448"/>
      <c r="AT531" s="448"/>
      <c r="AU531" s="448"/>
      <c r="AV531" s="448"/>
      <c r="AW531" s="448"/>
      <c r="AX531" s="448"/>
      <c r="AY531" s="448"/>
      <c r="AZ531" s="448"/>
      <c r="BA531" s="448"/>
      <c r="BB531" s="448"/>
      <c r="BC531" s="448"/>
      <c r="BD531" s="448"/>
      <c r="BE531" s="448"/>
      <c r="BF531" s="448"/>
    </row>
    <row r="532" spans="1:58" ht="12.75" hidden="1" thickBot="1">
      <c r="A532" s="1" t="s">
        <v>1275</v>
      </c>
      <c r="B532" s="2" t="s">
        <v>359</v>
      </c>
      <c r="C532" s="2" t="s">
        <v>1052</v>
      </c>
      <c r="D532" s="8" t="s">
        <v>459</v>
      </c>
      <c r="E532" s="460"/>
      <c r="F532" s="4"/>
      <c r="G532" s="449"/>
      <c r="H532" s="4"/>
      <c r="I532" s="4"/>
      <c r="J532" s="4"/>
      <c r="K532" s="4"/>
      <c r="L532" s="4"/>
      <c r="M532" s="449"/>
      <c r="N532" s="449"/>
      <c r="O532" s="4"/>
      <c r="P532" s="4"/>
      <c r="Q532" s="449"/>
      <c r="R532" s="449"/>
      <c r="S532" s="445">
        <f t="shared" si="54"/>
        <v>0</v>
      </c>
      <c r="T532" s="445">
        <f t="shared" si="55"/>
        <v>0</v>
      </c>
      <c r="U532" s="445">
        <f t="shared" si="56"/>
        <v>0</v>
      </c>
      <c r="W532" s="450"/>
      <c r="X532" s="450"/>
      <c r="Y532" s="441"/>
      <c r="Z532" s="441"/>
      <c r="AA532" s="441"/>
      <c r="AB532" s="441"/>
      <c r="AC532" s="441"/>
      <c r="AD532" s="441"/>
      <c r="AE532" s="441"/>
      <c r="AF532" s="441"/>
      <c r="AG532" s="441"/>
      <c r="AH532" s="441"/>
      <c r="AI532" s="441"/>
      <c r="AJ532" s="441"/>
      <c r="AK532" s="441"/>
      <c r="AL532" s="441"/>
      <c r="AM532" s="441"/>
      <c r="AN532" s="441"/>
      <c r="AO532" s="441"/>
      <c r="AP532" s="448"/>
      <c r="AQ532" s="448"/>
      <c r="AR532" s="448"/>
      <c r="AS532" s="448"/>
      <c r="AT532" s="448"/>
      <c r="AU532" s="448"/>
      <c r="AV532" s="448"/>
      <c r="AW532" s="448"/>
      <c r="AX532" s="448"/>
      <c r="AY532" s="448"/>
      <c r="AZ532" s="448"/>
      <c r="BA532" s="448"/>
      <c r="BB532" s="448"/>
      <c r="BC532" s="448"/>
      <c r="BD532" s="448"/>
      <c r="BE532" s="448"/>
      <c r="BF532" s="448"/>
    </row>
    <row r="533" spans="1:58" ht="12.75" hidden="1" thickBot="1">
      <c r="A533" s="1" t="s">
        <v>1275</v>
      </c>
      <c r="B533" s="2" t="s">
        <v>356</v>
      </c>
      <c r="C533" s="2" t="s">
        <v>1053</v>
      </c>
      <c r="D533" s="8" t="s">
        <v>459</v>
      </c>
      <c r="E533" s="459"/>
      <c r="F533" s="6"/>
      <c r="G533" s="451"/>
      <c r="H533" s="6"/>
      <c r="I533" s="6"/>
      <c r="J533" s="6"/>
      <c r="K533" s="6"/>
      <c r="L533" s="6"/>
      <c r="M533" s="451"/>
      <c r="N533" s="451"/>
      <c r="O533" s="6"/>
      <c r="P533" s="6"/>
      <c r="Q533" s="451"/>
      <c r="R533" s="451"/>
      <c r="S533" s="445">
        <f t="shared" si="54"/>
        <v>0</v>
      </c>
      <c r="T533" s="445">
        <f t="shared" si="55"/>
        <v>0</v>
      </c>
      <c r="U533" s="445">
        <f t="shared" si="56"/>
        <v>0</v>
      </c>
      <c r="W533" s="450"/>
      <c r="X533" s="450"/>
      <c r="Y533" s="441"/>
      <c r="Z533" s="441"/>
      <c r="AA533" s="441"/>
      <c r="AB533" s="441"/>
      <c r="AC533" s="441"/>
      <c r="AD533" s="441"/>
      <c r="AE533" s="441"/>
      <c r="AF533" s="441"/>
      <c r="AG533" s="441"/>
      <c r="AH533" s="441"/>
      <c r="AI533" s="441"/>
      <c r="AJ533" s="441"/>
      <c r="AK533" s="441"/>
      <c r="AL533" s="441"/>
      <c r="AM533" s="441"/>
      <c r="AN533" s="441"/>
      <c r="AO533" s="441"/>
      <c r="AP533" s="448"/>
      <c r="AQ533" s="448"/>
      <c r="AR533" s="448"/>
      <c r="AS533" s="448"/>
      <c r="AT533" s="448"/>
      <c r="AU533" s="448"/>
      <c r="AV533" s="448"/>
      <c r="AW533" s="448"/>
      <c r="AX533" s="448"/>
      <c r="AY533" s="448"/>
      <c r="AZ533" s="448"/>
      <c r="BA533" s="448"/>
      <c r="BB533" s="448"/>
      <c r="BC533" s="448"/>
      <c r="BD533" s="448"/>
      <c r="BE533" s="448"/>
      <c r="BF533" s="448"/>
    </row>
    <row r="534" spans="1:58" ht="12.75" hidden="1" thickBot="1">
      <c r="A534" s="1" t="s">
        <v>1275</v>
      </c>
      <c r="B534" s="2" t="s">
        <v>357</v>
      </c>
      <c r="C534" s="2" t="s">
        <v>1054</v>
      </c>
      <c r="D534" s="8" t="s">
        <v>459</v>
      </c>
      <c r="E534" s="460"/>
      <c r="F534" s="4"/>
      <c r="G534" s="449"/>
      <c r="H534" s="4"/>
      <c r="I534" s="4"/>
      <c r="J534" s="4"/>
      <c r="K534" s="4"/>
      <c r="L534" s="4"/>
      <c r="M534" s="449"/>
      <c r="N534" s="449"/>
      <c r="O534" s="4"/>
      <c r="P534" s="4"/>
      <c r="Q534" s="449"/>
      <c r="R534" s="449"/>
      <c r="S534" s="445">
        <f t="shared" si="54"/>
        <v>0</v>
      </c>
      <c r="T534" s="445">
        <f t="shared" si="55"/>
        <v>0</v>
      </c>
      <c r="U534" s="445">
        <f t="shared" si="56"/>
        <v>0</v>
      </c>
      <c r="W534" s="450"/>
      <c r="X534" s="450"/>
      <c r="Y534" s="441"/>
      <c r="Z534" s="441"/>
      <c r="AA534" s="441"/>
      <c r="AB534" s="441"/>
      <c r="AC534" s="441"/>
      <c r="AD534" s="441"/>
      <c r="AE534" s="441"/>
      <c r="AF534" s="441"/>
      <c r="AG534" s="441"/>
      <c r="AH534" s="441"/>
      <c r="AI534" s="441"/>
      <c r="AJ534" s="441"/>
      <c r="AK534" s="441"/>
      <c r="AL534" s="441"/>
      <c r="AM534" s="441"/>
      <c r="AN534" s="441"/>
      <c r="AO534" s="441"/>
      <c r="AP534" s="448"/>
      <c r="AQ534" s="448"/>
      <c r="AR534" s="448"/>
      <c r="AS534" s="448"/>
      <c r="AT534" s="448"/>
      <c r="AU534" s="448"/>
      <c r="AV534" s="448"/>
      <c r="AW534" s="448"/>
      <c r="AX534" s="448"/>
      <c r="AY534" s="448"/>
      <c r="AZ534" s="448"/>
      <c r="BA534" s="448"/>
      <c r="BB534" s="448"/>
      <c r="BC534" s="448"/>
      <c r="BD534" s="448"/>
      <c r="BE534" s="448"/>
      <c r="BF534" s="448"/>
    </row>
    <row r="535" spans="1:58" ht="12.75" hidden="1" thickBot="1">
      <c r="A535" s="1" t="s">
        <v>1275</v>
      </c>
      <c r="B535" s="2" t="s">
        <v>358</v>
      </c>
      <c r="C535" s="2" t="s">
        <v>1055</v>
      </c>
      <c r="D535" s="8" t="s">
        <v>459</v>
      </c>
      <c r="E535" s="459"/>
      <c r="F535" s="6"/>
      <c r="G535" s="451"/>
      <c r="H535" s="6"/>
      <c r="I535" s="6"/>
      <c r="J535" s="6"/>
      <c r="K535" s="6"/>
      <c r="L535" s="6"/>
      <c r="M535" s="451"/>
      <c r="N535" s="451"/>
      <c r="O535" s="6"/>
      <c r="P535" s="6"/>
      <c r="Q535" s="451"/>
      <c r="R535" s="451"/>
      <c r="S535" s="445">
        <f t="shared" si="54"/>
        <v>0</v>
      </c>
      <c r="T535" s="445">
        <f t="shared" si="55"/>
        <v>0</v>
      </c>
      <c r="U535" s="445">
        <f t="shared" si="56"/>
        <v>0</v>
      </c>
      <c r="W535" s="450"/>
      <c r="X535" s="450"/>
      <c r="Y535" s="441"/>
      <c r="Z535" s="441"/>
      <c r="AA535" s="441"/>
      <c r="AB535" s="441"/>
      <c r="AC535" s="441"/>
      <c r="AD535" s="441"/>
      <c r="AE535" s="441"/>
      <c r="AF535" s="441"/>
      <c r="AG535" s="441"/>
      <c r="AH535" s="441"/>
      <c r="AI535" s="441"/>
      <c r="AJ535" s="441"/>
      <c r="AK535" s="441"/>
      <c r="AL535" s="441"/>
      <c r="AM535" s="441"/>
      <c r="AN535" s="441"/>
      <c r="AO535" s="441"/>
      <c r="AP535" s="448"/>
      <c r="AQ535" s="448"/>
      <c r="AR535" s="448"/>
      <c r="AS535" s="448"/>
      <c r="AT535" s="448"/>
      <c r="AU535" s="448"/>
      <c r="AV535" s="448"/>
      <c r="AW535" s="448"/>
      <c r="AX535" s="448"/>
      <c r="AY535" s="448"/>
      <c r="AZ535" s="448"/>
      <c r="BA535" s="448"/>
      <c r="BB535" s="448"/>
      <c r="BC535" s="448"/>
      <c r="BD535" s="448"/>
      <c r="BE535" s="448"/>
      <c r="BF535" s="448"/>
    </row>
    <row r="536" spans="1:58" ht="12.75" hidden="1" thickBot="1">
      <c r="A536" s="1" t="s">
        <v>1275</v>
      </c>
      <c r="B536" s="2" t="s">
        <v>250</v>
      </c>
      <c r="C536" s="2" t="s">
        <v>1056</v>
      </c>
      <c r="D536" s="8" t="s">
        <v>459</v>
      </c>
      <c r="E536" s="460"/>
      <c r="F536" s="4"/>
      <c r="G536" s="449"/>
      <c r="H536" s="4"/>
      <c r="I536" s="4"/>
      <c r="J536" s="4"/>
      <c r="K536" s="4"/>
      <c r="L536" s="4"/>
      <c r="M536" s="449"/>
      <c r="N536" s="449"/>
      <c r="O536" s="4"/>
      <c r="P536" s="4"/>
      <c r="Q536" s="449"/>
      <c r="R536" s="449"/>
      <c r="S536" s="445">
        <f t="shared" si="54"/>
        <v>0</v>
      </c>
      <c r="T536" s="445">
        <f t="shared" si="55"/>
        <v>0</v>
      </c>
      <c r="U536" s="445">
        <f t="shared" si="56"/>
        <v>0</v>
      </c>
      <c r="W536" s="450"/>
      <c r="X536" s="450"/>
      <c r="Y536" s="441"/>
      <c r="Z536" s="441"/>
      <c r="AA536" s="441"/>
      <c r="AB536" s="441"/>
      <c r="AC536" s="441"/>
      <c r="AD536" s="441"/>
      <c r="AE536" s="441"/>
      <c r="AF536" s="441"/>
      <c r="AG536" s="441"/>
      <c r="AH536" s="441"/>
      <c r="AI536" s="441"/>
      <c r="AJ536" s="441"/>
      <c r="AK536" s="441"/>
      <c r="AL536" s="441"/>
      <c r="AM536" s="441"/>
      <c r="AN536" s="441"/>
      <c r="AO536" s="441"/>
      <c r="AP536" s="448"/>
      <c r="AQ536" s="448"/>
      <c r="AR536" s="448"/>
      <c r="AS536" s="448"/>
      <c r="AT536" s="448"/>
      <c r="AU536" s="448"/>
      <c r="AV536" s="448"/>
      <c r="AW536" s="448"/>
      <c r="AX536" s="448"/>
      <c r="AY536" s="448"/>
      <c r="AZ536" s="448"/>
      <c r="BA536" s="448"/>
      <c r="BB536" s="448"/>
      <c r="BC536" s="448"/>
      <c r="BD536" s="448"/>
      <c r="BE536" s="448"/>
      <c r="BF536" s="448"/>
    </row>
    <row r="537" spans="1:58" ht="12.75" hidden="1" thickBot="1">
      <c r="A537" s="1" t="s">
        <v>1275</v>
      </c>
      <c r="B537" s="2" t="s">
        <v>251</v>
      </c>
      <c r="C537" s="2" t="s">
        <v>1057</v>
      </c>
      <c r="D537" s="8" t="s">
        <v>459</v>
      </c>
      <c r="E537" s="459"/>
      <c r="F537" s="6"/>
      <c r="G537" s="451"/>
      <c r="H537" s="6"/>
      <c r="I537" s="6"/>
      <c r="J537" s="6"/>
      <c r="K537" s="6"/>
      <c r="L537" s="6"/>
      <c r="M537" s="451"/>
      <c r="N537" s="451"/>
      <c r="O537" s="6"/>
      <c r="P537" s="6"/>
      <c r="Q537" s="451"/>
      <c r="R537" s="451"/>
      <c r="S537" s="445">
        <f t="shared" si="54"/>
        <v>0</v>
      </c>
      <c r="T537" s="445">
        <f t="shared" si="55"/>
        <v>0</v>
      </c>
      <c r="U537" s="445">
        <f t="shared" si="56"/>
        <v>0</v>
      </c>
      <c r="W537" s="450"/>
      <c r="X537" s="450"/>
      <c r="Y537" s="441"/>
      <c r="Z537" s="441"/>
      <c r="AA537" s="441"/>
      <c r="AB537" s="441"/>
      <c r="AC537" s="441"/>
      <c r="AD537" s="441"/>
      <c r="AE537" s="441"/>
      <c r="AF537" s="441"/>
      <c r="AG537" s="441"/>
      <c r="AH537" s="441"/>
      <c r="AI537" s="441"/>
      <c r="AJ537" s="441"/>
      <c r="AK537" s="441"/>
      <c r="AL537" s="441"/>
      <c r="AM537" s="441"/>
      <c r="AN537" s="441"/>
      <c r="AO537" s="441"/>
      <c r="AP537" s="448"/>
      <c r="AQ537" s="448"/>
      <c r="AR537" s="448"/>
      <c r="AS537" s="448"/>
      <c r="AT537" s="448"/>
      <c r="AU537" s="448"/>
      <c r="AV537" s="448"/>
      <c r="AW537" s="448"/>
      <c r="AX537" s="448"/>
      <c r="AY537" s="448"/>
      <c r="AZ537" s="448"/>
      <c r="BA537" s="448"/>
      <c r="BB537" s="448"/>
      <c r="BC537" s="448"/>
      <c r="BD537" s="448"/>
      <c r="BE537" s="448"/>
      <c r="BF537" s="448"/>
    </row>
    <row r="538" spans="1:58" ht="12.75" hidden="1" thickBot="1">
      <c r="A538" s="1" t="s">
        <v>1275</v>
      </c>
      <c r="B538" s="2" t="s">
        <v>254</v>
      </c>
      <c r="C538" s="2" t="s">
        <v>1058</v>
      </c>
      <c r="D538" s="8" t="s">
        <v>459</v>
      </c>
      <c r="E538" s="460"/>
      <c r="F538" s="4"/>
      <c r="G538" s="449"/>
      <c r="H538" s="4"/>
      <c r="I538" s="4"/>
      <c r="J538" s="4"/>
      <c r="K538" s="4"/>
      <c r="L538" s="4"/>
      <c r="M538" s="449"/>
      <c r="N538" s="449"/>
      <c r="O538" s="4"/>
      <c r="P538" s="4"/>
      <c r="Q538" s="449"/>
      <c r="R538" s="449"/>
      <c r="S538" s="445">
        <f t="shared" ref="S538:S596" si="59">G538+H538+I538</f>
        <v>0</v>
      </c>
      <c r="T538" s="445">
        <f t="shared" ref="T538:T596" si="60">J538+K538</f>
        <v>0</v>
      </c>
      <c r="U538" s="445">
        <f t="shared" ref="U538:U596" si="61">N538+O538</f>
        <v>0</v>
      </c>
      <c r="W538" s="450"/>
      <c r="X538" s="450"/>
      <c r="Y538" s="441"/>
      <c r="Z538" s="441"/>
      <c r="AA538" s="441"/>
      <c r="AB538" s="441"/>
      <c r="AC538" s="441"/>
      <c r="AD538" s="441"/>
      <c r="AE538" s="441"/>
      <c r="AF538" s="441"/>
      <c r="AG538" s="441"/>
      <c r="AH538" s="441"/>
      <c r="AI538" s="441"/>
      <c r="AJ538" s="441"/>
      <c r="AK538" s="441"/>
      <c r="AL538" s="441"/>
      <c r="AM538" s="441"/>
      <c r="AN538" s="441"/>
      <c r="AO538" s="441"/>
      <c r="AP538" s="448"/>
      <c r="AQ538" s="448"/>
      <c r="AR538" s="448"/>
      <c r="AS538" s="448"/>
      <c r="AT538" s="448"/>
      <c r="AU538" s="448"/>
      <c r="AV538" s="448"/>
      <c r="AW538" s="448"/>
      <c r="AX538" s="448"/>
      <c r="AY538" s="448"/>
      <c r="AZ538" s="448"/>
      <c r="BA538" s="448"/>
      <c r="BB538" s="448"/>
      <c r="BC538" s="448"/>
      <c r="BD538" s="448"/>
      <c r="BE538" s="448"/>
      <c r="BF538" s="448"/>
    </row>
    <row r="539" spans="1:58" ht="12.75" hidden="1" thickBot="1">
      <c r="A539" s="1" t="s">
        <v>1275</v>
      </c>
      <c r="B539" s="2" t="s">
        <v>260</v>
      </c>
      <c r="C539" s="2" t="s">
        <v>1059</v>
      </c>
      <c r="D539" s="8" t="s">
        <v>459</v>
      </c>
      <c r="E539" s="459"/>
      <c r="F539" s="6"/>
      <c r="G539" s="451"/>
      <c r="H539" s="6"/>
      <c r="I539" s="6"/>
      <c r="J539" s="6"/>
      <c r="K539" s="6"/>
      <c r="L539" s="6"/>
      <c r="M539" s="451"/>
      <c r="N539" s="451"/>
      <c r="O539" s="6"/>
      <c r="P539" s="6"/>
      <c r="Q539" s="451"/>
      <c r="R539" s="451"/>
      <c r="S539" s="445">
        <f t="shared" si="59"/>
        <v>0</v>
      </c>
      <c r="T539" s="445">
        <f t="shared" si="60"/>
        <v>0</v>
      </c>
      <c r="U539" s="445">
        <f t="shared" si="61"/>
        <v>0</v>
      </c>
      <c r="W539" s="450"/>
      <c r="X539" s="450"/>
      <c r="Y539" s="441"/>
      <c r="Z539" s="441"/>
      <c r="AA539" s="441"/>
      <c r="AB539" s="441"/>
      <c r="AC539" s="441"/>
      <c r="AD539" s="441"/>
      <c r="AE539" s="441"/>
      <c r="AF539" s="441"/>
      <c r="AG539" s="441"/>
      <c r="AH539" s="441"/>
      <c r="AI539" s="441"/>
      <c r="AJ539" s="441"/>
      <c r="AK539" s="441"/>
      <c r="AL539" s="441"/>
      <c r="AM539" s="441"/>
      <c r="AN539" s="441"/>
      <c r="AO539" s="441"/>
      <c r="AP539" s="448"/>
      <c r="AQ539" s="448"/>
      <c r="AR539" s="448"/>
      <c r="AS539" s="448"/>
      <c r="AT539" s="448"/>
      <c r="AU539" s="448"/>
      <c r="AV539" s="448"/>
      <c r="AW539" s="448"/>
      <c r="AX539" s="448"/>
      <c r="AY539" s="448"/>
      <c r="AZ539" s="448"/>
      <c r="BA539" s="448"/>
      <c r="BB539" s="448"/>
      <c r="BC539" s="448"/>
      <c r="BD539" s="448"/>
      <c r="BE539" s="448"/>
      <c r="BF539" s="448"/>
    </row>
    <row r="540" spans="1:58" ht="12.75" hidden="1" thickBot="1">
      <c r="A540" s="1" t="s">
        <v>1275</v>
      </c>
      <c r="B540" s="2" t="s">
        <v>262</v>
      </c>
      <c r="C540" s="2" t="s">
        <v>1060</v>
      </c>
      <c r="D540" s="8" t="s">
        <v>459</v>
      </c>
      <c r="E540" s="460"/>
      <c r="F540" s="4"/>
      <c r="G540" s="449"/>
      <c r="H540" s="4"/>
      <c r="I540" s="4"/>
      <c r="J540" s="4"/>
      <c r="K540" s="4"/>
      <c r="L540" s="4"/>
      <c r="M540" s="449"/>
      <c r="N540" s="449"/>
      <c r="O540" s="4"/>
      <c r="P540" s="4"/>
      <c r="Q540" s="449"/>
      <c r="R540" s="449"/>
      <c r="S540" s="445">
        <f t="shared" si="59"/>
        <v>0</v>
      </c>
      <c r="T540" s="445">
        <f t="shared" si="60"/>
        <v>0</v>
      </c>
      <c r="U540" s="445">
        <f t="shared" si="61"/>
        <v>0</v>
      </c>
      <c r="W540" s="450"/>
      <c r="X540" s="450"/>
      <c r="Y540" s="441"/>
      <c r="Z540" s="441"/>
      <c r="AA540" s="441"/>
      <c r="AB540" s="441"/>
      <c r="AC540" s="441"/>
      <c r="AD540" s="441"/>
      <c r="AE540" s="441"/>
      <c r="AF540" s="441"/>
      <c r="AG540" s="441"/>
      <c r="AH540" s="441"/>
      <c r="AI540" s="441"/>
      <c r="AJ540" s="441"/>
      <c r="AK540" s="441"/>
      <c r="AL540" s="441"/>
      <c r="AM540" s="441"/>
      <c r="AN540" s="441"/>
      <c r="AO540" s="441"/>
      <c r="AP540" s="448"/>
      <c r="AQ540" s="448"/>
      <c r="AR540" s="448"/>
      <c r="AS540" s="448"/>
      <c r="AT540" s="448"/>
      <c r="AU540" s="448"/>
      <c r="AV540" s="448"/>
      <c r="AW540" s="448"/>
      <c r="AX540" s="448"/>
      <c r="AY540" s="448"/>
      <c r="AZ540" s="448"/>
      <c r="BA540" s="448"/>
      <c r="BB540" s="448"/>
      <c r="BC540" s="448"/>
      <c r="BD540" s="448"/>
      <c r="BE540" s="448"/>
      <c r="BF540" s="448"/>
    </row>
    <row r="541" spans="1:58" ht="12.75" hidden="1" thickBot="1">
      <c r="A541" s="1" t="s">
        <v>1275</v>
      </c>
      <c r="B541" s="2" t="s">
        <v>340</v>
      </c>
      <c r="C541" s="2" t="s">
        <v>1061</v>
      </c>
      <c r="D541" s="8" t="s">
        <v>567</v>
      </c>
      <c r="E541" s="459"/>
      <c r="F541" s="6"/>
      <c r="G541" s="451"/>
      <c r="H541" s="6"/>
      <c r="I541" s="6"/>
      <c r="J541" s="6"/>
      <c r="K541" s="6"/>
      <c r="L541" s="6"/>
      <c r="M541" s="451"/>
      <c r="N541" s="451"/>
      <c r="O541" s="6"/>
      <c r="P541" s="6"/>
      <c r="Q541" s="6"/>
      <c r="R541" s="451"/>
      <c r="S541" s="445">
        <f t="shared" si="59"/>
        <v>0</v>
      </c>
      <c r="T541" s="445">
        <f t="shared" si="60"/>
        <v>0</v>
      </c>
      <c r="U541" s="445">
        <f t="shared" si="61"/>
        <v>0</v>
      </c>
      <c r="W541" s="450"/>
      <c r="X541" s="450"/>
      <c r="Y541" s="441"/>
      <c r="Z541" s="441"/>
      <c r="AA541" s="441"/>
      <c r="AB541" s="441"/>
      <c r="AC541" s="441"/>
      <c r="AD541" s="441"/>
      <c r="AE541" s="441"/>
      <c r="AF541" s="441"/>
      <c r="AG541" s="441"/>
      <c r="AH541" s="441"/>
      <c r="AI541" s="441"/>
      <c r="AJ541" s="441"/>
      <c r="AK541" s="441"/>
      <c r="AL541" s="441"/>
      <c r="AM541" s="441"/>
      <c r="AN541" s="441"/>
      <c r="AO541" s="441"/>
      <c r="AP541" s="448"/>
      <c r="AQ541" s="448"/>
      <c r="AR541" s="448"/>
      <c r="AS541" s="448"/>
      <c r="AT541" s="448"/>
      <c r="AU541" s="448"/>
      <c r="AV541" s="448"/>
      <c r="AW541" s="448"/>
      <c r="AX541" s="448"/>
      <c r="AY541" s="448"/>
      <c r="AZ541" s="448"/>
      <c r="BA541" s="448"/>
      <c r="BB541" s="448"/>
      <c r="BC541" s="448"/>
      <c r="BD541" s="448"/>
      <c r="BE541" s="448"/>
      <c r="BF541" s="448"/>
    </row>
    <row r="542" spans="1:58" ht="12.75" hidden="1" thickBot="1">
      <c r="A542" s="1" t="s">
        <v>1275</v>
      </c>
      <c r="B542" s="2" t="s">
        <v>692</v>
      </c>
      <c r="C542" s="2" t="s">
        <v>1062</v>
      </c>
      <c r="D542" s="8" t="s">
        <v>567</v>
      </c>
      <c r="E542" s="460"/>
      <c r="F542" s="4"/>
      <c r="G542" s="449"/>
      <c r="H542" s="4"/>
      <c r="I542" s="4"/>
      <c r="J542" s="4"/>
      <c r="K542" s="4"/>
      <c r="L542" s="4"/>
      <c r="M542" s="449"/>
      <c r="N542" s="449"/>
      <c r="O542" s="4"/>
      <c r="P542" s="4"/>
      <c r="Q542" s="4"/>
      <c r="R542" s="449"/>
      <c r="S542" s="445">
        <f t="shared" si="59"/>
        <v>0</v>
      </c>
      <c r="T542" s="445">
        <f t="shared" si="60"/>
        <v>0</v>
      </c>
      <c r="U542" s="445">
        <f t="shared" si="61"/>
        <v>0</v>
      </c>
      <c r="W542" s="450"/>
      <c r="X542" s="450"/>
      <c r="Y542" s="441"/>
      <c r="Z542" s="441"/>
      <c r="AA542" s="441"/>
      <c r="AB542" s="441"/>
      <c r="AC542" s="441"/>
      <c r="AD542" s="441"/>
      <c r="AE542" s="441"/>
      <c r="AF542" s="441"/>
      <c r="AG542" s="441"/>
      <c r="AH542" s="441"/>
      <c r="AI542" s="441"/>
      <c r="AJ542" s="441"/>
      <c r="AK542" s="441"/>
      <c r="AL542" s="441"/>
      <c r="AM542" s="441"/>
      <c r="AN542" s="441"/>
      <c r="AO542" s="441"/>
      <c r="AP542" s="448"/>
      <c r="AQ542" s="448"/>
      <c r="AR542" s="448"/>
      <c r="AS542" s="448"/>
      <c r="AT542" s="448"/>
      <c r="AU542" s="448"/>
      <c r="AV542" s="448"/>
      <c r="AW542" s="448"/>
      <c r="AX542" s="448"/>
      <c r="AY542" s="448"/>
      <c r="AZ542" s="448"/>
      <c r="BA542" s="448"/>
      <c r="BB542" s="448"/>
      <c r="BC542" s="448"/>
      <c r="BD542" s="448"/>
      <c r="BE542" s="448"/>
      <c r="BF542" s="448"/>
    </row>
    <row r="543" spans="1:58" ht="12.75" hidden="1" thickBot="1">
      <c r="A543" s="1" t="s">
        <v>1275</v>
      </c>
      <c r="B543" s="2" t="s">
        <v>292</v>
      </c>
      <c r="C543" s="2" t="s">
        <v>1063</v>
      </c>
      <c r="D543" s="8" t="s">
        <v>567</v>
      </c>
      <c r="E543" s="459"/>
      <c r="F543" s="6"/>
      <c r="G543" s="451"/>
      <c r="H543" s="6"/>
      <c r="I543" s="6"/>
      <c r="J543" s="6"/>
      <c r="K543" s="6"/>
      <c r="L543" s="6"/>
      <c r="M543" s="451"/>
      <c r="N543" s="451"/>
      <c r="O543" s="6"/>
      <c r="P543" s="6"/>
      <c r="Q543" s="451"/>
      <c r="R543" s="451"/>
      <c r="S543" s="445">
        <f t="shared" si="59"/>
        <v>0</v>
      </c>
      <c r="T543" s="445">
        <f t="shared" si="60"/>
        <v>0</v>
      </c>
      <c r="U543" s="445">
        <f t="shared" si="61"/>
        <v>0</v>
      </c>
      <c r="W543" s="450"/>
      <c r="X543" s="450"/>
      <c r="Y543" s="441"/>
      <c r="Z543" s="441"/>
      <c r="AA543" s="441"/>
      <c r="AB543" s="441"/>
      <c r="AC543" s="441"/>
      <c r="AD543" s="441"/>
      <c r="AE543" s="441"/>
      <c r="AF543" s="441"/>
      <c r="AG543" s="441"/>
      <c r="AH543" s="441"/>
      <c r="AI543" s="441"/>
      <c r="AJ543" s="441"/>
      <c r="AK543" s="441"/>
      <c r="AL543" s="441"/>
      <c r="AM543" s="441"/>
      <c r="AN543" s="441"/>
      <c r="AO543" s="441"/>
      <c r="AP543" s="448"/>
      <c r="AQ543" s="448"/>
      <c r="AR543" s="448"/>
      <c r="AS543" s="448"/>
      <c r="AT543" s="448"/>
      <c r="AU543" s="448"/>
      <c r="AV543" s="448"/>
      <c r="AW543" s="448"/>
      <c r="AX543" s="448"/>
      <c r="AY543" s="448"/>
      <c r="AZ543" s="448"/>
      <c r="BA543" s="448"/>
      <c r="BB543" s="448"/>
      <c r="BC543" s="448"/>
      <c r="BD543" s="448"/>
      <c r="BE543" s="448"/>
      <c r="BF543" s="448"/>
    </row>
    <row r="544" spans="1:58" ht="12.75" hidden="1" thickBot="1">
      <c r="A544" s="1" t="s">
        <v>1275</v>
      </c>
      <c r="B544" s="2" t="s">
        <v>293</v>
      </c>
      <c r="C544" s="2" t="s">
        <v>1064</v>
      </c>
      <c r="D544" s="8" t="s">
        <v>567</v>
      </c>
      <c r="E544" s="460"/>
      <c r="F544" s="4"/>
      <c r="G544" s="449"/>
      <c r="H544" s="4"/>
      <c r="I544" s="4"/>
      <c r="J544" s="4"/>
      <c r="K544" s="4"/>
      <c r="L544" s="4"/>
      <c r="M544" s="449"/>
      <c r="N544" s="449"/>
      <c r="O544" s="4"/>
      <c r="P544" s="4"/>
      <c r="Q544" s="449"/>
      <c r="R544" s="449"/>
      <c r="S544" s="445">
        <f t="shared" si="59"/>
        <v>0</v>
      </c>
      <c r="T544" s="445">
        <f t="shared" si="60"/>
        <v>0</v>
      </c>
      <c r="U544" s="445">
        <f t="shared" si="61"/>
        <v>0</v>
      </c>
      <c r="W544" s="450"/>
      <c r="X544" s="450"/>
      <c r="Y544" s="441"/>
      <c r="Z544" s="441"/>
      <c r="AA544" s="441"/>
      <c r="AB544" s="441"/>
      <c r="AC544" s="441"/>
      <c r="AD544" s="441"/>
      <c r="AE544" s="441"/>
      <c r="AF544" s="441"/>
      <c r="AG544" s="441"/>
      <c r="AH544" s="441"/>
      <c r="AI544" s="441"/>
      <c r="AJ544" s="441"/>
      <c r="AK544" s="441"/>
      <c r="AL544" s="441"/>
      <c r="AM544" s="441"/>
      <c r="AN544" s="441"/>
      <c r="AO544" s="441"/>
      <c r="AP544" s="448"/>
      <c r="AQ544" s="448"/>
      <c r="AR544" s="448"/>
      <c r="AS544" s="448"/>
      <c r="AT544" s="448"/>
      <c r="AU544" s="448"/>
      <c r="AV544" s="448"/>
      <c r="AW544" s="448"/>
      <c r="AX544" s="448"/>
      <c r="AY544" s="448"/>
      <c r="AZ544" s="448"/>
      <c r="BA544" s="448"/>
      <c r="BB544" s="448"/>
      <c r="BC544" s="448"/>
      <c r="BD544" s="448"/>
      <c r="BE544" s="448"/>
      <c r="BF544" s="448"/>
    </row>
    <row r="545" spans="1:58" ht="12.75" hidden="1" thickBot="1">
      <c r="A545" s="1" t="s">
        <v>1275</v>
      </c>
      <c r="B545" s="2" t="s">
        <v>295</v>
      </c>
      <c r="C545" s="2" t="s">
        <v>1065</v>
      </c>
      <c r="D545" s="8" t="s">
        <v>567</v>
      </c>
      <c r="E545" s="459"/>
      <c r="F545" s="6"/>
      <c r="G545" s="451"/>
      <c r="H545" s="6"/>
      <c r="I545" s="6"/>
      <c r="J545" s="6"/>
      <c r="K545" s="6"/>
      <c r="L545" s="6"/>
      <c r="M545" s="451"/>
      <c r="N545" s="451"/>
      <c r="O545" s="6"/>
      <c r="P545" s="6"/>
      <c r="Q545" s="451"/>
      <c r="R545" s="451"/>
      <c r="S545" s="445">
        <f t="shared" si="59"/>
        <v>0</v>
      </c>
      <c r="T545" s="445">
        <f t="shared" si="60"/>
        <v>0</v>
      </c>
      <c r="U545" s="445">
        <f t="shared" si="61"/>
        <v>0</v>
      </c>
      <c r="W545" s="450"/>
      <c r="X545" s="450"/>
      <c r="Y545" s="441"/>
      <c r="Z545" s="441"/>
      <c r="AA545" s="441"/>
      <c r="AB545" s="441"/>
      <c r="AC545" s="441"/>
      <c r="AD545" s="441"/>
      <c r="AE545" s="441"/>
      <c r="AF545" s="441"/>
      <c r="AG545" s="441"/>
      <c r="AH545" s="441"/>
      <c r="AI545" s="441"/>
      <c r="AJ545" s="441"/>
      <c r="AK545" s="441"/>
      <c r="AL545" s="441"/>
      <c r="AM545" s="441"/>
      <c r="AN545" s="441"/>
      <c r="AO545" s="441"/>
      <c r="AP545" s="448"/>
      <c r="AQ545" s="448"/>
      <c r="AR545" s="448"/>
      <c r="AS545" s="448"/>
      <c r="AT545" s="448"/>
      <c r="AU545" s="448"/>
      <c r="AV545" s="448"/>
      <c r="AW545" s="448"/>
      <c r="AX545" s="448"/>
      <c r="AY545" s="448"/>
      <c r="AZ545" s="448"/>
      <c r="BA545" s="448"/>
      <c r="BB545" s="448"/>
      <c r="BC545" s="448"/>
      <c r="BD545" s="448"/>
      <c r="BE545" s="448"/>
      <c r="BF545" s="448"/>
    </row>
    <row r="546" spans="1:58" ht="12.75" hidden="1" thickBot="1">
      <c r="A546" s="1" t="s">
        <v>1275</v>
      </c>
      <c r="B546" s="2" t="s">
        <v>296</v>
      </c>
      <c r="C546" s="2" t="s">
        <v>1066</v>
      </c>
      <c r="D546" s="8" t="s">
        <v>567</v>
      </c>
      <c r="E546" s="460"/>
      <c r="F546" s="4"/>
      <c r="G546" s="449"/>
      <c r="H546" s="4"/>
      <c r="I546" s="4"/>
      <c r="J546" s="4"/>
      <c r="K546" s="4"/>
      <c r="L546" s="4"/>
      <c r="M546" s="449"/>
      <c r="N546" s="449"/>
      <c r="O546" s="4"/>
      <c r="P546" s="4"/>
      <c r="Q546" s="449"/>
      <c r="R546" s="449"/>
      <c r="S546" s="445">
        <f t="shared" si="59"/>
        <v>0</v>
      </c>
      <c r="T546" s="445">
        <f t="shared" si="60"/>
        <v>0</v>
      </c>
      <c r="U546" s="445">
        <f t="shared" si="61"/>
        <v>0</v>
      </c>
      <c r="W546" s="450"/>
      <c r="X546" s="450"/>
      <c r="Y546" s="441"/>
      <c r="Z546" s="441"/>
      <c r="AA546" s="441"/>
      <c r="AB546" s="441"/>
      <c r="AC546" s="441"/>
      <c r="AD546" s="441"/>
      <c r="AE546" s="441"/>
      <c r="AF546" s="441"/>
      <c r="AG546" s="441"/>
      <c r="AH546" s="441"/>
      <c r="AI546" s="441"/>
      <c r="AJ546" s="441"/>
      <c r="AK546" s="441"/>
      <c r="AL546" s="441"/>
      <c r="AM546" s="441"/>
      <c r="AN546" s="441"/>
      <c r="AO546" s="441"/>
      <c r="AP546" s="448"/>
      <c r="AQ546" s="448"/>
      <c r="AR546" s="448"/>
      <c r="AS546" s="448"/>
      <c r="AT546" s="448"/>
      <c r="AU546" s="448"/>
      <c r="AV546" s="448"/>
      <c r="AW546" s="448"/>
      <c r="AX546" s="448"/>
      <c r="AY546" s="448"/>
      <c r="AZ546" s="448"/>
      <c r="BA546" s="448"/>
      <c r="BB546" s="448"/>
      <c r="BC546" s="448"/>
      <c r="BD546" s="448"/>
      <c r="BE546" s="448"/>
      <c r="BF546" s="448"/>
    </row>
    <row r="547" spans="1:58" ht="12.75" hidden="1" thickBot="1">
      <c r="A547" s="1" t="s">
        <v>1275</v>
      </c>
      <c r="B547" s="2" t="s">
        <v>297</v>
      </c>
      <c r="C547" s="2" t="s">
        <v>1067</v>
      </c>
      <c r="D547" s="8" t="s">
        <v>459</v>
      </c>
      <c r="E547" s="459"/>
      <c r="F547" s="6"/>
      <c r="G547" s="451"/>
      <c r="H547" s="6"/>
      <c r="I547" s="6"/>
      <c r="J547" s="6"/>
      <c r="K547" s="6"/>
      <c r="L547" s="6"/>
      <c r="M547" s="451"/>
      <c r="N547" s="451"/>
      <c r="O547" s="6"/>
      <c r="P547" s="6"/>
      <c r="Q547" s="451"/>
      <c r="R547" s="451"/>
      <c r="S547" s="445">
        <f t="shared" si="59"/>
        <v>0</v>
      </c>
      <c r="T547" s="445">
        <f t="shared" si="60"/>
        <v>0</v>
      </c>
      <c r="U547" s="445">
        <f t="shared" si="61"/>
        <v>0</v>
      </c>
      <c r="W547" s="450"/>
      <c r="X547" s="450"/>
      <c r="Y547" s="441"/>
      <c r="Z547" s="441"/>
      <c r="AA547" s="441"/>
      <c r="AB547" s="441"/>
      <c r="AC547" s="441"/>
      <c r="AD547" s="441"/>
      <c r="AE547" s="441"/>
      <c r="AF547" s="441"/>
      <c r="AG547" s="441"/>
      <c r="AH547" s="441"/>
      <c r="AI547" s="441"/>
      <c r="AJ547" s="441"/>
      <c r="AK547" s="441"/>
      <c r="AL547" s="441"/>
      <c r="AM547" s="441"/>
      <c r="AN547" s="441"/>
      <c r="AO547" s="441"/>
      <c r="AP547" s="448"/>
      <c r="AQ547" s="448"/>
      <c r="AR547" s="448"/>
      <c r="AS547" s="448"/>
      <c r="AT547" s="448"/>
      <c r="AU547" s="448"/>
      <c r="AV547" s="448"/>
      <c r="AW547" s="448"/>
      <c r="AX547" s="448"/>
      <c r="AY547" s="448"/>
      <c r="AZ547" s="448"/>
      <c r="BA547" s="448"/>
      <c r="BB547" s="448"/>
      <c r="BC547" s="448"/>
      <c r="BD547" s="448"/>
      <c r="BE547" s="448"/>
      <c r="BF547" s="448"/>
    </row>
    <row r="548" spans="1:58" ht="12.75" hidden="1" thickBot="1">
      <c r="A548" s="1" t="s">
        <v>1275</v>
      </c>
      <c r="B548" s="2" t="s">
        <v>299</v>
      </c>
      <c r="C548" s="2" t="s">
        <v>1068</v>
      </c>
      <c r="D548" s="8" t="s">
        <v>459</v>
      </c>
      <c r="E548" s="460"/>
      <c r="F548" s="4"/>
      <c r="G548" s="449"/>
      <c r="H548" s="4"/>
      <c r="I548" s="4"/>
      <c r="J548" s="4"/>
      <c r="K548" s="4"/>
      <c r="L548" s="4"/>
      <c r="M548" s="449"/>
      <c r="N548" s="449"/>
      <c r="O548" s="4"/>
      <c r="P548" s="4"/>
      <c r="Q548" s="449"/>
      <c r="R548" s="449"/>
      <c r="S548" s="445">
        <f t="shared" si="59"/>
        <v>0</v>
      </c>
      <c r="T548" s="445">
        <f t="shared" si="60"/>
        <v>0</v>
      </c>
      <c r="U548" s="445">
        <f t="shared" si="61"/>
        <v>0</v>
      </c>
      <c r="W548" s="450"/>
      <c r="X548" s="450"/>
      <c r="Y548" s="441"/>
      <c r="Z548" s="441"/>
      <c r="AA548" s="441"/>
      <c r="AB548" s="441"/>
      <c r="AC548" s="441"/>
      <c r="AD548" s="441"/>
      <c r="AE548" s="441"/>
      <c r="AF548" s="441"/>
      <c r="AG548" s="441"/>
      <c r="AH548" s="441"/>
      <c r="AI548" s="441"/>
      <c r="AJ548" s="441"/>
      <c r="AK548" s="441"/>
      <c r="AL548" s="441"/>
      <c r="AM548" s="441"/>
      <c r="AN548" s="441"/>
      <c r="AO548" s="441"/>
      <c r="AP548" s="448"/>
      <c r="AQ548" s="448"/>
      <c r="AR548" s="448"/>
      <c r="AS548" s="448"/>
      <c r="AT548" s="448"/>
      <c r="AU548" s="448"/>
      <c r="AV548" s="448"/>
      <c r="AW548" s="448"/>
      <c r="AX548" s="448"/>
      <c r="AY548" s="448"/>
      <c r="AZ548" s="448"/>
      <c r="BA548" s="448"/>
      <c r="BB548" s="448"/>
      <c r="BC548" s="448"/>
      <c r="BD548" s="448"/>
      <c r="BE548" s="448"/>
      <c r="BF548" s="448"/>
    </row>
    <row r="549" spans="1:58" ht="12.75" hidden="1" thickBot="1">
      <c r="A549" s="1" t="s">
        <v>1275</v>
      </c>
      <c r="B549" s="2" t="s">
        <v>300</v>
      </c>
      <c r="C549" s="2" t="s">
        <v>1069</v>
      </c>
      <c r="D549" s="8" t="s">
        <v>567</v>
      </c>
      <c r="E549" s="459"/>
      <c r="F549" s="6"/>
      <c r="G549" s="451"/>
      <c r="H549" s="6"/>
      <c r="I549" s="6"/>
      <c r="J549" s="6"/>
      <c r="K549" s="6"/>
      <c r="L549" s="6"/>
      <c r="M549" s="451"/>
      <c r="N549" s="451"/>
      <c r="O549" s="6"/>
      <c r="P549" s="6"/>
      <c r="Q549" s="451"/>
      <c r="R549" s="451"/>
      <c r="S549" s="445">
        <f t="shared" si="59"/>
        <v>0</v>
      </c>
      <c r="T549" s="445">
        <f t="shared" si="60"/>
        <v>0</v>
      </c>
      <c r="U549" s="445">
        <f t="shared" si="61"/>
        <v>0</v>
      </c>
      <c r="W549" s="450"/>
      <c r="X549" s="450"/>
      <c r="Y549" s="441"/>
      <c r="Z549" s="441"/>
      <c r="AA549" s="441"/>
      <c r="AB549" s="441"/>
      <c r="AC549" s="441"/>
      <c r="AD549" s="441"/>
      <c r="AE549" s="441"/>
      <c r="AF549" s="441"/>
      <c r="AG549" s="441"/>
      <c r="AH549" s="441"/>
      <c r="AI549" s="441"/>
      <c r="AJ549" s="441"/>
      <c r="AK549" s="441"/>
      <c r="AL549" s="441"/>
      <c r="AM549" s="441"/>
      <c r="AN549" s="441"/>
      <c r="AO549" s="441"/>
      <c r="AP549" s="448"/>
      <c r="AQ549" s="448"/>
      <c r="AR549" s="448"/>
      <c r="AS549" s="448"/>
      <c r="AT549" s="448"/>
      <c r="AU549" s="448"/>
      <c r="AV549" s="448"/>
      <c r="AW549" s="448"/>
      <c r="AX549" s="448"/>
      <c r="AY549" s="448"/>
      <c r="AZ549" s="448"/>
      <c r="BA549" s="448"/>
      <c r="BB549" s="448"/>
      <c r="BC549" s="448"/>
      <c r="BD549" s="448"/>
      <c r="BE549" s="448"/>
      <c r="BF549" s="448"/>
    </row>
    <row r="550" spans="1:58" ht="12.75" hidden="1" thickBot="1">
      <c r="A550" s="1" t="s">
        <v>1275</v>
      </c>
      <c r="B550" s="2" t="s">
        <v>301</v>
      </c>
      <c r="C550" s="2" t="s">
        <v>1070</v>
      </c>
      <c r="D550" s="8" t="s">
        <v>567</v>
      </c>
      <c r="E550" s="460"/>
      <c r="F550" s="4"/>
      <c r="G550" s="449"/>
      <c r="H550" s="4"/>
      <c r="I550" s="4"/>
      <c r="J550" s="4"/>
      <c r="K550" s="4"/>
      <c r="L550" s="4"/>
      <c r="M550" s="449"/>
      <c r="N550" s="449"/>
      <c r="O550" s="4"/>
      <c r="P550" s="4"/>
      <c r="Q550" s="449"/>
      <c r="R550" s="449"/>
      <c r="S550" s="445">
        <f t="shared" si="59"/>
        <v>0</v>
      </c>
      <c r="T550" s="445">
        <f t="shared" si="60"/>
        <v>0</v>
      </c>
      <c r="U550" s="445">
        <f t="shared" si="61"/>
        <v>0</v>
      </c>
      <c r="W550" s="450"/>
      <c r="X550" s="450"/>
      <c r="Y550" s="441"/>
      <c r="Z550" s="441"/>
      <c r="AA550" s="441"/>
      <c r="AB550" s="441"/>
      <c r="AC550" s="441"/>
      <c r="AD550" s="441"/>
      <c r="AE550" s="441"/>
      <c r="AF550" s="441"/>
      <c r="AG550" s="441"/>
      <c r="AH550" s="441"/>
      <c r="AI550" s="441"/>
      <c r="AJ550" s="441"/>
      <c r="AK550" s="441"/>
      <c r="AL550" s="441"/>
      <c r="AM550" s="441"/>
      <c r="AN550" s="441"/>
      <c r="AO550" s="441"/>
      <c r="AP550" s="448"/>
      <c r="AQ550" s="448"/>
      <c r="AR550" s="448"/>
      <c r="AS550" s="448"/>
      <c r="AT550" s="448"/>
      <c r="AU550" s="448"/>
      <c r="AV550" s="448"/>
      <c r="AW550" s="448"/>
      <c r="AX550" s="448"/>
      <c r="AY550" s="448"/>
      <c r="AZ550" s="448"/>
      <c r="BA550" s="448"/>
      <c r="BB550" s="448"/>
      <c r="BC550" s="448"/>
      <c r="BD550" s="448"/>
      <c r="BE550" s="448"/>
      <c r="BF550" s="448"/>
    </row>
    <row r="551" spans="1:58" ht="12.75" hidden="1" thickBot="1">
      <c r="A551" s="1" t="s">
        <v>1275</v>
      </c>
      <c r="B551" s="2" t="s">
        <v>302</v>
      </c>
      <c r="C551" s="2" t="s">
        <v>1071</v>
      </c>
      <c r="D551" s="8" t="s">
        <v>567</v>
      </c>
      <c r="E551" s="459"/>
      <c r="F551" s="6"/>
      <c r="G551" s="451"/>
      <c r="H551" s="6"/>
      <c r="I551" s="6"/>
      <c r="J551" s="6"/>
      <c r="K551" s="6"/>
      <c r="L551" s="6"/>
      <c r="M551" s="451"/>
      <c r="N551" s="451"/>
      <c r="O551" s="6"/>
      <c r="P551" s="6"/>
      <c r="Q551" s="451"/>
      <c r="R551" s="451"/>
      <c r="S551" s="445">
        <f t="shared" si="59"/>
        <v>0</v>
      </c>
      <c r="T551" s="445">
        <f t="shared" si="60"/>
        <v>0</v>
      </c>
      <c r="U551" s="445">
        <f t="shared" si="61"/>
        <v>0</v>
      </c>
      <c r="W551" s="450"/>
      <c r="X551" s="450"/>
      <c r="Y551" s="441"/>
      <c r="Z551" s="441"/>
      <c r="AA551" s="441"/>
      <c r="AB551" s="441"/>
      <c r="AC551" s="441"/>
      <c r="AD551" s="441"/>
      <c r="AE551" s="441"/>
      <c r="AF551" s="441"/>
      <c r="AG551" s="441"/>
      <c r="AH551" s="441"/>
      <c r="AI551" s="441"/>
      <c r="AJ551" s="441"/>
      <c r="AK551" s="441"/>
      <c r="AL551" s="441"/>
      <c r="AM551" s="441"/>
      <c r="AN551" s="441"/>
      <c r="AO551" s="441"/>
      <c r="AP551" s="448"/>
      <c r="AQ551" s="448"/>
      <c r="AR551" s="448"/>
      <c r="AS551" s="448"/>
      <c r="AT551" s="448"/>
      <c r="AU551" s="448"/>
      <c r="AV551" s="448"/>
      <c r="AW551" s="448"/>
      <c r="AX551" s="448"/>
      <c r="AY551" s="448"/>
      <c r="AZ551" s="448"/>
      <c r="BA551" s="448"/>
      <c r="BB551" s="448"/>
      <c r="BC551" s="448"/>
      <c r="BD551" s="448"/>
      <c r="BE551" s="448"/>
      <c r="BF551" s="448"/>
    </row>
    <row r="552" spans="1:58" ht="12.75" hidden="1" thickBot="1">
      <c r="A552" s="1" t="s">
        <v>1275</v>
      </c>
      <c r="B552" s="2" t="s">
        <v>303</v>
      </c>
      <c r="C552" s="2" t="s">
        <v>1072</v>
      </c>
      <c r="D552" s="8" t="s">
        <v>567</v>
      </c>
      <c r="E552" s="460"/>
      <c r="F552" s="4"/>
      <c r="G552" s="449"/>
      <c r="H552" s="4"/>
      <c r="I552" s="4"/>
      <c r="J552" s="4"/>
      <c r="K552" s="4"/>
      <c r="L552" s="4"/>
      <c r="M552" s="449"/>
      <c r="N552" s="449"/>
      <c r="O552" s="4"/>
      <c r="P552" s="4"/>
      <c r="Q552" s="449"/>
      <c r="R552" s="449"/>
      <c r="S552" s="445">
        <f t="shared" si="59"/>
        <v>0</v>
      </c>
      <c r="T552" s="445">
        <f t="shared" si="60"/>
        <v>0</v>
      </c>
      <c r="U552" s="445">
        <f t="shared" si="61"/>
        <v>0</v>
      </c>
      <c r="W552" s="450"/>
      <c r="X552" s="450"/>
      <c r="Y552" s="441"/>
      <c r="Z552" s="441"/>
      <c r="AA552" s="441"/>
      <c r="AB552" s="441"/>
      <c r="AC552" s="441"/>
      <c r="AD552" s="441"/>
      <c r="AE552" s="441"/>
      <c r="AF552" s="441"/>
      <c r="AG552" s="441"/>
      <c r="AH552" s="441"/>
      <c r="AI552" s="441"/>
      <c r="AJ552" s="441"/>
      <c r="AK552" s="441"/>
      <c r="AL552" s="441"/>
      <c r="AM552" s="441"/>
      <c r="AN552" s="441"/>
      <c r="AO552" s="441"/>
      <c r="AP552" s="448"/>
      <c r="AQ552" s="448"/>
      <c r="AR552" s="448"/>
      <c r="AS552" s="448"/>
      <c r="AT552" s="448"/>
      <c r="AU552" s="448"/>
      <c r="AV552" s="448"/>
      <c r="AW552" s="448"/>
      <c r="AX552" s="448"/>
      <c r="AY552" s="448"/>
      <c r="AZ552" s="448"/>
      <c r="BA552" s="448"/>
      <c r="BB552" s="448"/>
      <c r="BC552" s="448"/>
      <c r="BD552" s="448"/>
      <c r="BE552" s="448"/>
      <c r="BF552" s="448"/>
    </row>
    <row r="553" spans="1:58" ht="12.75" hidden="1" thickBot="1">
      <c r="A553" s="1" t="s">
        <v>1275</v>
      </c>
      <c r="B553" s="2" t="s">
        <v>304</v>
      </c>
      <c r="C553" s="2" t="s">
        <v>1073</v>
      </c>
      <c r="D553" s="8" t="s">
        <v>567</v>
      </c>
      <c r="E553" s="459"/>
      <c r="F553" s="6"/>
      <c r="G553" s="451"/>
      <c r="H553" s="6"/>
      <c r="I553" s="6"/>
      <c r="J553" s="6"/>
      <c r="K553" s="6"/>
      <c r="L553" s="6"/>
      <c r="M553" s="451"/>
      <c r="N553" s="451"/>
      <c r="O553" s="6"/>
      <c r="P553" s="6"/>
      <c r="Q553" s="451"/>
      <c r="R553" s="451"/>
      <c r="S553" s="445">
        <f t="shared" si="59"/>
        <v>0</v>
      </c>
      <c r="T553" s="445">
        <f t="shared" si="60"/>
        <v>0</v>
      </c>
      <c r="U553" s="445">
        <f t="shared" si="61"/>
        <v>0</v>
      </c>
      <c r="W553" s="450"/>
      <c r="X553" s="450"/>
      <c r="Y553" s="441"/>
      <c r="Z553" s="441"/>
      <c r="AA553" s="441"/>
      <c r="AB553" s="441"/>
      <c r="AC553" s="441"/>
      <c r="AD553" s="441"/>
      <c r="AE553" s="441"/>
      <c r="AF553" s="441"/>
      <c r="AG553" s="441"/>
      <c r="AH553" s="441"/>
      <c r="AI553" s="441"/>
      <c r="AJ553" s="441"/>
      <c r="AK553" s="441"/>
      <c r="AL553" s="441"/>
      <c r="AM553" s="441"/>
      <c r="AN553" s="441"/>
      <c r="AO553" s="441"/>
      <c r="AP553" s="448"/>
      <c r="AQ553" s="448"/>
      <c r="AR553" s="448"/>
      <c r="AS553" s="448"/>
      <c r="AT553" s="448"/>
      <c r="AU553" s="448"/>
      <c r="AV553" s="448"/>
      <c r="AW553" s="448"/>
      <c r="AX553" s="448"/>
      <c r="AY553" s="448"/>
      <c r="AZ553" s="448"/>
      <c r="BA553" s="448"/>
      <c r="BB553" s="448"/>
      <c r="BC553" s="448"/>
      <c r="BD553" s="448"/>
      <c r="BE553" s="448"/>
      <c r="BF553" s="448"/>
    </row>
    <row r="554" spans="1:58" ht="12.75" hidden="1" thickBot="1">
      <c r="A554" s="1" t="s">
        <v>1275</v>
      </c>
      <c r="B554" s="2" t="s">
        <v>305</v>
      </c>
      <c r="C554" s="2" t="s">
        <v>1074</v>
      </c>
      <c r="D554" s="8" t="s">
        <v>567</v>
      </c>
      <c r="E554" s="460"/>
      <c r="F554" s="4"/>
      <c r="G554" s="449"/>
      <c r="H554" s="4"/>
      <c r="I554" s="4"/>
      <c r="J554" s="4"/>
      <c r="K554" s="4"/>
      <c r="L554" s="4"/>
      <c r="M554" s="449"/>
      <c r="N554" s="449"/>
      <c r="O554" s="4"/>
      <c r="P554" s="4"/>
      <c r="Q554" s="449"/>
      <c r="R554" s="449"/>
      <c r="S554" s="445">
        <f t="shared" si="59"/>
        <v>0</v>
      </c>
      <c r="T554" s="445">
        <f t="shared" si="60"/>
        <v>0</v>
      </c>
      <c r="U554" s="445">
        <f t="shared" si="61"/>
        <v>0</v>
      </c>
      <c r="W554" s="450"/>
      <c r="X554" s="450"/>
      <c r="Y554" s="441"/>
      <c r="Z554" s="441"/>
      <c r="AA554" s="441"/>
      <c r="AB554" s="441"/>
      <c r="AC554" s="441"/>
      <c r="AD554" s="441"/>
      <c r="AE554" s="441"/>
      <c r="AF554" s="441"/>
      <c r="AG554" s="441"/>
      <c r="AH554" s="441"/>
      <c r="AI554" s="441"/>
      <c r="AJ554" s="441"/>
      <c r="AK554" s="441"/>
      <c r="AL554" s="441"/>
      <c r="AM554" s="441"/>
      <c r="AN554" s="441"/>
      <c r="AO554" s="441"/>
      <c r="AP554" s="448"/>
      <c r="AQ554" s="448"/>
      <c r="AR554" s="448"/>
      <c r="AS554" s="448"/>
      <c r="AT554" s="448"/>
      <c r="AU554" s="448"/>
      <c r="AV554" s="448"/>
      <c r="AW554" s="448"/>
      <c r="AX554" s="448"/>
      <c r="AY554" s="448"/>
      <c r="AZ554" s="448"/>
      <c r="BA554" s="448"/>
      <c r="BB554" s="448"/>
      <c r="BC554" s="448"/>
      <c r="BD554" s="448"/>
      <c r="BE554" s="448"/>
      <c r="BF554" s="448"/>
    </row>
    <row r="555" spans="1:58" ht="12.75" hidden="1" thickBot="1">
      <c r="A555" s="1" t="s">
        <v>1275</v>
      </c>
      <c r="B555" s="2" t="s">
        <v>306</v>
      </c>
      <c r="C555" s="2" t="s">
        <v>1075</v>
      </c>
      <c r="D555" s="453" t="s">
        <v>459</v>
      </c>
      <c r="E555" s="459"/>
      <c r="F555" s="6"/>
      <c r="G555" s="451"/>
      <c r="H555" s="6"/>
      <c r="I555" s="6"/>
      <c r="J555" s="6"/>
      <c r="K555" s="6"/>
      <c r="L555" s="6"/>
      <c r="M555" s="451"/>
      <c r="N555" s="451"/>
      <c r="O555" s="6"/>
      <c r="P555" s="6"/>
      <c r="Q555" s="451"/>
      <c r="R555" s="451"/>
      <c r="S555" s="445">
        <f t="shared" si="59"/>
        <v>0</v>
      </c>
      <c r="T555" s="445">
        <f t="shared" si="60"/>
        <v>0</v>
      </c>
      <c r="U555" s="445">
        <f t="shared" si="61"/>
        <v>0</v>
      </c>
      <c r="W555" s="450"/>
      <c r="X555" s="450"/>
      <c r="Y555" s="441"/>
      <c r="Z555" s="441"/>
      <c r="AA555" s="441"/>
      <c r="AB555" s="441"/>
      <c r="AC555" s="441"/>
      <c r="AD555" s="441"/>
      <c r="AE555" s="441"/>
      <c r="AF555" s="441"/>
      <c r="AG555" s="441"/>
      <c r="AH555" s="441"/>
      <c r="AI555" s="441"/>
      <c r="AJ555" s="441"/>
      <c r="AK555" s="441"/>
      <c r="AL555" s="441"/>
      <c r="AM555" s="441"/>
      <c r="AN555" s="441"/>
      <c r="AO555" s="441"/>
      <c r="AP555" s="448"/>
      <c r="AQ555" s="448"/>
      <c r="AR555" s="448"/>
      <c r="AS555" s="448"/>
      <c r="AT555" s="448"/>
      <c r="AU555" s="448"/>
      <c r="AV555" s="448"/>
      <c r="AW555" s="448"/>
      <c r="AX555" s="448"/>
      <c r="AY555" s="448"/>
      <c r="AZ555" s="448"/>
      <c r="BA555" s="448"/>
      <c r="BB555" s="448"/>
      <c r="BC555" s="448"/>
      <c r="BD555" s="448"/>
      <c r="BE555" s="448"/>
      <c r="BF555" s="448"/>
    </row>
    <row r="556" spans="1:58" ht="12.75" hidden="1" thickBot="1">
      <c r="A556" s="1" t="s">
        <v>1275</v>
      </c>
      <c r="B556" s="2" t="s">
        <v>307</v>
      </c>
      <c r="C556" s="2" t="s">
        <v>1076</v>
      </c>
      <c r="D556" s="8" t="s">
        <v>567</v>
      </c>
      <c r="E556" s="460"/>
      <c r="F556" s="4"/>
      <c r="G556" s="449"/>
      <c r="H556" s="4"/>
      <c r="I556" s="4"/>
      <c r="J556" s="4"/>
      <c r="K556" s="4"/>
      <c r="L556" s="4"/>
      <c r="M556" s="449"/>
      <c r="N556" s="449"/>
      <c r="O556" s="4"/>
      <c r="P556" s="4"/>
      <c r="Q556" s="449"/>
      <c r="R556" s="449"/>
      <c r="S556" s="445">
        <f t="shared" si="59"/>
        <v>0</v>
      </c>
      <c r="T556" s="445">
        <f t="shared" si="60"/>
        <v>0</v>
      </c>
      <c r="U556" s="445">
        <f t="shared" si="61"/>
        <v>0</v>
      </c>
      <c r="W556" s="450"/>
      <c r="X556" s="450"/>
      <c r="Y556" s="441"/>
      <c r="Z556" s="441"/>
      <c r="AA556" s="441"/>
      <c r="AB556" s="441"/>
      <c r="AC556" s="441"/>
      <c r="AD556" s="441"/>
      <c r="AE556" s="441"/>
      <c r="AF556" s="441"/>
      <c r="AG556" s="441"/>
      <c r="AH556" s="441"/>
      <c r="AI556" s="441"/>
      <c r="AJ556" s="441"/>
      <c r="AK556" s="441"/>
      <c r="AL556" s="441"/>
      <c r="AM556" s="441"/>
      <c r="AN556" s="441"/>
      <c r="AO556" s="441"/>
      <c r="AP556" s="448"/>
      <c r="AQ556" s="448"/>
      <c r="AR556" s="448"/>
      <c r="AS556" s="448"/>
      <c r="AT556" s="448"/>
      <c r="AU556" s="448"/>
      <c r="AV556" s="448"/>
      <c r="AW556" s="448"/>
      <c r="AX556" s="448"/>
      <c r="AY556" s="448"/>
      <c r="AZ556" s="448"/>
      <c r="BA556" s="448"/>
      <c r="BB556" s="448"/>
      <c r="BC556" s="448"/>
      <c r="BD556" s="448"/>
      <c r="BE556" s="448"/>
      <c r="BF556" s="448"/>
    </row>
    <row r="557" spans="1:58" ht="12.75" hidden="1" thickBot="1">
      <c r="A557" s="1" t="s">
        <v>1275</v>
      </c>
      <c r="B557" s="2" t="s">
        <v>308</v>
      </c>
      <c r="C557" s="2" t="s">
        <v>1077</v>
      </c>
      <c r="D557" s="453" t="s">
        <v>459</v>
      </c>
      <c r="E557" s="459"/>
      <c r="F557" s="6"/>
      <c r="G557" s="451"/>
      <c r="H557" s="6"/>
      <c r="I557" s="6"/>
      <c r="J557" s="6"/>
      <c r="K557" s="6"/>
      <c r="L557" s="6"/>
      <c r="M557" s="451"/>
      <c r="N557" s="451"/>
      <c r="O557" s="6"/>
      <c r="P557" s="6"/>
      <c r="Q557" s="451"/>
      <c r="R557" s="451"/>
      <c r="S557" s="445">
        <f t="shared" si="59"/>
        <v>0</v>
      </c>
      <c r="T557" s="445">
        <f t="shared" si="60"/>
        <v>0</v>
      </c>
      <c r="U557" s="445">
        <f t="shared" si="61"/>
        <v>0</v>
      </c>
      <c r="W557" s="450"/>
      <c r="X557" s="450"/>
      <c r="Y557" s="441"/>
      <c r="Z557" s="441"/>
      <c r="AA557" s="441"/>
      <c r="AB557" s="441"/>
      <c r="AC557" s="441"/>
      <c r="AD557" s="441"/>
      <c r="AE557" s="441"/>
      <c r="AF557" s="441"/>
      <c r="AG557" s="441"/>
      <c r="AH557" s="441"/>
      <c r="AI557" s="441"/>
      <c r="AJ557" s="441"/>
      <c r="AK557" s="441"/>
      <c r="AL557" s="441"/>
      <c r="AM557" s="441"/>
      <c r="AN557" s="441"/>
      <c r="AO557" s="441"/>
      <c r="AP557" s="448"/>
      <c r="AQ557" s="448"/>
      <c r="AR557" s="448"/>
      <c r="AS557" s="448"/>
      <c r="AT557" s="448"/>
      <c r="AU557" s="448"/>
      <c r="AV557" s="448"/>
      <c r="AW557" s="448"/>
      <c r="AX557" s="448"/>
      <c r="AY557" s="448"/>
      <c r="AZ557" s="448"/>
      <c r="BA557" s="448"/>
      <c r="BB557" s="448"/>
      <c r="BC557" s="448"/>
      <c r="BD557" s="448"/>
      <c r="BE557" s="448"/>
      <c r="BF557" s="448"/>
    </row>
    <row r="558" spans="1:58" ht="12.75" hidden="1" thickBot="1">
      <c r="A558" s="1" t="s">
        <v>1275</v>
      </c>
      <c r="B558" s="2" t="s">
        <v>309</v>
      </c>
      <c r="C558" s="2" t="s">
        <v>1078</v>
      </c>
      <c r="D558" s="8" t="s">
        <v>567</v>
      </c>
      <c r="E558" s="460"/>
      <c r="F558" s="4"/>
      <c r="G558" s="449"/>
      <c r="H558" s="4"/>
      <c r="I558" s="4"/>
      <c r="J558" s="4"/>
      <c r="K558" s="4"/>
      <c r="L558" s="4"/>
      <c r="M558" s="449"/>
      <c r="N558" s="449"/>
      <c r="O558" s="4"/>
      <c r="P558" s="4"/>
      <c r="Q558" s="449"/>
      <c r="R558" s="449"/>
      <c r="S558" s="445">
        <f t="shared" si="59"/>
        <v>0</v>
      </c>
      <c r="T558" s="445">
        <f t="shared" si="60"/>
        <v>0</v>
      </c>
      <c r="U558" s="445">
        <f t="shared" si="61"/>
        <v>0</v>
      </c>
      <c r="W558" s="450"/>
      <c r="X558" s="450"/>
      <c r="Y558" s="441"/>
      <c r="Z558" s="441"/>
      <c r="AA558" s="441"/>
      <c r="AB558" s="441"/>
      <c r="AC558" s="441"/>
      <c r="AD558" s="441"/>
      <c r="AE558" s="441"/>
      <c r="AF558" s="441"/>
      <c r="AG558" s="441"/>
      <c r="AH558" s="441"/>
      <c r="AI558" s="441"/>
      <c r="AJ558" s="441"/>
      <c r="AK558" s="441"/>
      <c r="AL558" s="441"/>
      <c r="AM558" s="441"/>
      <c r="AN558" s="441"/>
      <c r="AO558" s="441"/>
      <c r="AP558" s="448"/>
      <c r="AQ558" s="448"/>
      <c r="AR558" s="448"/>
      <c r="AS558" s="448"/>
      <c r="AT558" s="448"/>
      <c r="AU558" s="448"/>
      <c r="AV558" s="448"/>
      <c r="AW558" s="448"/>
      <c r="AX558" s="448"/>
      <c r="AY558" s="448"/>
      <c r="AZ558" s="448"/>
      <c r="BA558" s="448"/>
      <c r="BB558" s="448"/>
      <c r="BC558" s="448"/>
      <c r="BD558" s="448"/>
      <c r="BE558" s="448"/>
      <c r="BF558" s="448"/>
    </row>
    <row r="559" spans="1:58" ht="12.75" hidden="1" thickBot="1">
      <c r="A559" s="1" t="s">
        <v>1275</v>
      </c>
      <c r="B559" s="2" t="s">
        <v>310</v>
      </c>
      <c r="C559" s="2" t="s">
        <v>1079</v>
      </c>
      <c r="D559" s="453" t="s">
        <v>459</v>
      </c>
      <c r="E559" s="459"/>
      <c r="F559" s="6"/>
      <c r="G559" s="451"/>
      <c r="H559" s="6"/>
      <c r="I559" s="6"/>
      <c r="J559" s="6"/>
      <c r="K559" s="6"/>
      <c r="L559" s="6"/>
      <c r="M559" s="451"/>
      <c r="N559" s="451"/>
      <c r="O559" s="6"/>
      <c r="P559" s="6"/>
      <c r="Q559" s="451"/>
      <c r="R559" s="451"/>
      <c r="S559" s="445">
        <f t="shared" si="59"/>
        <v>0</v>
      </c>
      <c r="T559" s="445">
        <f t="shared" si="60"/>
        <v>0</v>
      </c>
      <c r="U559" s="445">
        <f t="shared" si="61"/>
        <v>0</v>
      </c>
      <c r="W559" s="450"/>
      <c r="X559" s="450"/>
      <c r="Y559" s="441"/>
      <c r="Z559" s="441"/>
      <c r="AA559" s="441"/>
      <c r="AB559" s="441"/>
      <c r="AC559" s="441"/>
      <c r="AD559" s="441"/>
      <c r="AE559" s="441"/>
      <c r="AF559" s="441"/>
      <c r="AG559" s="441"/>
      <c r="AH559" s="441"/>
      <c r="AI559" s="441"/>
      <c r="AJ559" s="441"/>
      <c r="AK559" s="441"/>
      <c r="AL559" s="441"/>
      <c r="AM559" s="441"/>
      <c r="AN559" s="441"/>
      <c r="AO559" s="441"/>
      <c r="AP559" s="448"/>
      <c r="AQ559" s="448"/>
      <c r="AR559" s="448"/>
      <c r="AS559" s="448"/>
      <c r="AT559" s="448"/>
      <c r="AU559" s="448"/>
      <c r="AV559" s="448"/>
      <c r="AW559" s="448"/>
      <c r="AX559" s="448"/>
      <c r="AY559" s="448"/>
      <c r="AZ559" s="448"/>
      <c r="BA559" s="448"/>
      <c r="BB559" s="448"/>
      <c r="BC559" s="448"/>
      <c r="BD559" s="448"/>
      <c r="BE559" s="448"/>
      <c r="BF559" s="448"/>
    </row>
    <row r="560" spans="1:58" ht="12.75" hidden="1" thickBot="1">
      <c r="A560" s="1" t="s">
        <v>1275</v>
      </c>
      <c r="B560" s="2" t="s">
        <v>311</v>
      </c>
      <c r="C560" s="2" t="s">
        <v>1080</v>
      </c>
      <c r="D560" s="8" t="s">
        <v>567</v>
      </c>
      <c r="E560" s="460"/>
      <c r="F560" s="4"/>
      <c r="G560" s="449"/>
      <c r="H560" s="4"/>
      <c r="I560" s="4"/>
      <c r="J560" s="4"/>
      <c r="K560" s="4"/>
      <c r="L560" s="4"/>
      <c r="M560" s="449"/>
      <c r="N560" s="449"/>
      <c r="O560" s="4"/>
      <c r="P560" s="4"/>
      <c r="Q560" s="449"/>
      <c r="R560" s="449"/>
      <c r="S560" s="445">
        <f t="shared" si="59"/>
        <v>0</v>
      </c>
      <c r="T560" s="445">
        <f t="shared" si="60"/>
        <v>0</v>
      </c>
      <c r="U560" s="445">
        <f t="shared" si="61"/>
        <v>0</v>
      </c>
      <c r="W560" s="450"/>
      <c r="X560" s="450"/>
      <c r="Y560" s="441"/>
      <c r="Z560" s="441"/>
      <c r="AA560" s="441"/>
      <c r="AB560" s="441"/>
      <c r="AC560" s="441"/>
      <c r="AD560" s="441"/>
      <c r="AE560" s="441"/>
      <c r="AF560" s="441"/>
      <c r="AG560" s="441"/>
      <c r="AH560" s="441"/>
      <c r="AI560" s="441"/>
      <c r="AJ560" s="441"/>
      <c r="AK560" s="441"/>
      <c r="AL560" s="441"/>
      <c r="AM560" s="441"/>
      <c r="AN560" s="441"/>
      <c r="AO560" s="441"/>
      <c r="AP560" s="448"/>
      <c r="AQ560" s="448"/>
      <c r="AR560" s="448"/>
      <c r="AS560" s="448"/>
      <c r="AT560" s="448"/>
      <c r="AU560" s="448"/>
      <c r="AV560" s="448"/>
      <c r="AW560" s="448"/>
      <c r="AX560" s="448"/>
      <c r="AY560" s="448"/>
      <c r="AZ560" s="448"/>
      <c r="BA560" s="448"/>
      <c r="BB560" s="448"/>
      <c r="BC560" s="448"/>
      <c r="BD560" s="448"/>
      <c r="BE560" s="448"/>
      <c r="BF560" s="448"/>
    </row>
    <row r="561" spans="1:58" ht="12.75" hidden="1" thickBot="1">
      <c r="A561" s="1" t="s">
        <v>1275</v>
      </c>
      <c r="B561" s="2" t="s">
        <v>339</v>
      </c>
      <c r="C561" s="2" t="s">
        <v>1081</v>
      </c>
      <c r="D561" s="453" t="s">
        <v>459</v>
      </c>
      <c r="E561" s="459"/>
      <c r="F561" s="6"/>
      <c r="G561" s="451"/>
      <c r="H561" s="6"/>
      <c r="I561" s="6"/>
      <c r="J561" s="6"/>
      <c r="K561" s="6"/>
      <c r="L561" s="6"/>
      <c r="M561" s="451"/>
      <c r="N561" s="451"/>
      <c r="O561" s="6"/>
      <c r="P561" s="6"/>
      <c r="Q561" s="451"/>
      <c r="R561" s="451"/>
      <c r="S561" s="445">
        <f t="shared" si="59"/>
        <v>0</v>
      </c>
      <c r="T561" s="445">
        <f t="shared" si="60"/>
        <v>0</v>
      </c>
      <c r="U561" s="445">
        <f t="shared" si="61"/>
        <v>0</v>
      </c>
      <c r="W561" s="450"/>
      <c r="X561" s="450"/>
      <c r="Y561" s="441"/>
      <c r="Z561" s="441"/>
      <c r="AA561" s="441"/>
      <c r="AB561" s="441"/>
      <c r="AC561" s="441"/>
      <c r="AD561" s="441"/>
      <c r="AE561" s="441"/>
      <c r="AF561" s="441"/>
      <c r="AG561" s="441"/>
      <c r="AH561" s="441"/>
      <c r="AI561" s="441"/>
      <c r="AJ561" s="441"/>
      <c r="AK561" s="441"/>
      <c r="AL561" s="441"/>
      <c r="AM561" s="441"/>
      <c r="AN561" s="441"/>
      <c r="AO561" s="441"/>
      <c r="AP561" s="448"/>
      <c r="AQ561" s="448"/>
      <c r="AR561" s="448"/>
      <c r="AS561" s="448"/>
      <c r="AT561" s="448"/>
      <c r="AU561" s="448"/>
      <c r="AV561" s="448"/>
      <c r="AW561" s="448"/>
      <c r="AX561" s="448"/>
      <c r="AY561" s="448"/>
      <c r="AZ561" s="448"/>
      <c r="BA561" s="448"/>
      <c r="BB561" s="448"/>
      <c r="BC561" s="448"/>
      <c r="BD561" s="448"/>
      <c r="BE561" s="448"/>
      <c r="BF561" s="448"/>
    </row>
    <row r="562" spans="1:58" ht="12.75" hidden="1" thickBot="1">
      <c r="A562" s="1" t="s">
        <v>1275</v>
      </c>
      <c r="B562" s="2" t="s">
        <v>312</v>
      </c>
      <c r="C562" s="2" t="s">
        <v>1082</v>
      </c>
      <c r="D562" s="8" t="s">
        <v>567</v>
      </c>
      <c r="E562" s="460"/>
      <c r="F562" s="4"/>
      <c r="G562" s="449"/>
      <c r="H562" s="4"/>
      <c r="I562" s="4"/>
      <c r="J562" s="4"/>
      <c r="K562" s="4"/>
      <c r="L562" s="4"/>
      <c r="M562" s="449"/>
      <c r="N562" s="449"/>
      <c r="O562" s="4"/>
      <c r="P562" s="4"/>
      <c r="Q562" s="449"/>
      <c r="R562" s="449"/>
      <c r="S562" s="445">
        <f t="shared" si="59"/>
        <v>0</v>
      </c>
      <c r="T562" s="445">
        <f t="shared" si="60"/>
        <v>0</v>
      </c>
      <c r="U562" s="445">
        <f t="shared" si="61"/>
        <v>0</v>
      </c>
      <c r="W562" s="450"/>
      <c r="X562" s="450"/>
      <c r="Y562" s="441"/>
      <c r="Z562" s="441"/>
      <c r="AA562" s="441"/>
      <c r="AB562" s="441"/>
      <c r="AC562" s="441"/>
      <c r="AD562" s="441"/>
      <c r="AE562" s="441"/>
      <c r="AF562" s="441"/>
      <c r="AG562" s="441"/>
      <c r="AH562" s="441"/>
      <c r="AI562" s="441"/>
      <c r="AJ562" s="441"/>
      <c r="AK562" s="441"/>
      <c r="AL562" s="441"/>
      <c r="AM562" s="441"/>
      <c r="AN562" s="441"/>
      <c r="AO562" s="441"/>
      <c r="AP562" s="448"/>
      <c r="AQ562" s="448"/>
      <c r="AR562" s="448"/>
      <c r="AS562" s="448"/>
      <c r="AT562" s="448"/>
      <c r="AU562" s="448"/>
      <c r="AV562" s="448"/>
      <c r="AW562" s="448"/>
      <c r="AX562" s="448"/>
      <c r="AY562" s="448"/>
      <c r="AZ562" s="448"/>
      <c r="BA562" s="448"/>
      <c r="BB562" s="448"/>
      <c r="BC562" s="448"/>
      <c r="BD562" s="448"/>
      <c r="BE562" s="448"/>
      <c r="BF562" s="448"/>
    </row>
    <row r="563" spans="1:58" ht="12.75" hidden="1" thickBot="1">
      <c r="A563" s="1" t="s">
        <v>1275</v>
      </c>
      <c r="B563" s="2" t="s">
        <v>688</v>
      </c>
      <c r="C563" s="2" t="s">
        <v>1083</v>
      </c>
      <c r="D563" s="8" t="s">
        <v>567</v>
      </c>
      <c r="E563" s="459"/>
      <c r="F563" s="6"/>
      <c r="G563" s="451"/>
      <c r="H563" s="6"/>
      <c r="I563" s="6"/>
      <c r="J563" s="6"/>
      <c r="K563" s="6"/>
      <c r="L563" s="6"/>
      <c r="M563" s="451"/>
      <c r="N563" s="451"/>
      <c r="O563" s="6"/>
      <c r="P563" s="6"/>
      <c r="Q563" s="6"/>
      <c r="R563" s="451"/>
      <c r="S563" s="445">
        <f t="shared" si="59"/>
        <v>0</v>
      </c>
      <c r="T563" s="445">
        <f t="shared" si="60"/>
        <v>0</v>
      </c>
      <c r="U563" s="445">
        <f t="shared" si="61"/>
        <v>0</v>
      </c>
      <c r="W563" s="450"/>
      <c r="X563" s="450"/>
      <c r="Y563" s="441"/>
      <c r="Z563" s="441"/>
      <c r="AA563" s="441"/>
      <c r="AB563" s="441"/>
      <c r="AC563" s="441"/>
      <c r="AD563" s="441"/>
      <c r="AE563" s="441"/>
      <c r="AF563" s="441"/>
      <c r="AG563" s="441"/>
      <c r="AH563" s="441"/>
      <c r="AI563" s="441"/>
      <c r="AJ563" s="441"/>
      <c r="AK563" s="441"/>
      <c r="AL563" s="441"/>
      <c r="AM563" s="441"/>
      <c r="AN563" s="441"/>
      <c r="AO563" s="441"/>
      <c r="AP563" s="448"/>
      <c r="AQ563" s="448"/>
      <c r="AR563" s="448"/>
      <c r="AS563" s="448"/>
      <c r="AT563" s="448"/>
      <c r="AU563" s="448"/>
      <c r="AV563" s="448"/>
      <c r="AW563" s="448"/>
      <c r="AX563" s="448"/>
      <c r="AY563" s="448"/>
      <c r="AZ563" s="448"/>
      <c r="BA563" s="448"/>
      <c r="BB563" s="448"/>
      <c r="BC563" s="448"/>
      <c r="BD563" s="448"/>
      <c r="BE563" s="448"/>
      <c r="BF563" s="448"/>
    </row>
    <row r="564" spans="1:58" ht="12.75" hidden="1" thickBot="1">
      <c r="A564" s="1" t="s">
        <v>1275</v>
      </c>
      <c r="B564" s="2" t="s">
        <v>341</v>
      </c>
      <c r="C564" s="2" t="s">
        <v>1084</v>
      </c>
      <c r="D564" s="8" t="s">
        <v>567</v>
      </c>
      <c r="E564" s="460"/>
      <c r="F564" s="4"/>
      <c r="G564" s="449"/>
      <c r="H564" s="4"/>
      <c r="I564" s="4"/>
      <c r="J564" s="4"/>
      <c r="K564" s="4"/>
      <c r="L564" s="4"/>
      <c r="M564" s="449"/>
      <c r="N564" s="449"/>
      <c r="O564" s="4"/>
      <c r="P564" s="4"/>
      <c r="Q564" s="4"/>
      <c r="R564" s="449"/>
      <c r="S564" s="445">
        <f t="shared" si="59"/>
        <v>0</v>
      </c>
      <c r="T564" s="445">
        <f t="shared" si="60"/>
        <v>0</v>
      </c>
      <c r="U564" s="445">
        <f t="shared" si="61"/>
        <v>0</v>
      </c>
      <c r="W564" s="450"/>
      <c r="X564" s="450"/>
      <c r="Y564" s="441"/>
      <c r="Z564" s="441"/>
      <c r="AA564" s="441"/>
      <c r="AB564" s="441"/>
      <c r="AC564" s="441"/>
      <c r="AD564" s="441"/>
      <c r="AE564" s="441"/>
      <c r="AF564" s="441"/>
      <c r="AG564" s="441"/>
      <c r="AH564" s="441"/>
      <c r="AI564" s="441"/>
      <c r="AJ564" s="441"/>
      <c r="AK564" s="441"/>
      <c r="AL564" s="441"/>
      <c r="AM564" s="441"/>
      <c r="AN564" s="441"/>
      <c r="AO564" s="441"/>
      <c r="AP564" s="448"/>
      <c r="AQ564" s="448"/>
      <c r="AR564" s="448"/>
      <c r="AS564" s="448"/>
      <c r="AT564" s="448"/>
      <c r="AU564" s="448"/>
      <c r="AV564" s="448"/>
      <c r="AW564" s="448"/>
      <c r="AX564" s="448"/>
      <c r="AY564" s="448"/>
      <c r="AZ564" s="448"/>
      <c r="BA564" s="448"/>
      <c r="BB564" s="448"/>
      <c r="BC564" s="448"/>
      <c r="BD564" s="448"/>
      <c r="BE564" s="448"/>
      <c r="BF564" s="448"/>
    </row>
    <row r="565" spans="1:58" ht="12.75" hidden="1" thickBot="1">
      <c r="A565" s="1" t="s">
        <v>1275</v>
      </c>
      <c r="B565" s="2" t="s">
        <v>317</v>
      </c>
      <c r="C565" s="2" t="s">
        <v>1085</v>
      </c>
      <c r="D565" s="8" t="s">
        <v>567</v>
      </c>
      <c r="E565" s="459"/>
      <c r="F565" s="6"/>
      <c r="G565" s="451"/>
      <c r="H565" s="6"/>
      <c r="I565" s="6"/>
      <c r="J565" s="6"/>
      <c r="K565" s="6"/>
      <c r="L565" s="6"/>
      <c r="M565" s="451"/>
      <c r="N565" s="451"/>
      <c r="O565" s="6"/>
      <c r="P565" s="6"/>
      <c r="Q565" s="451"/>
      <c r="R565" s="451"/>
      <c r="S565" s="445">
        <f t="shared" si="59"/>
        <v>0</v>
      </c>
      <c r="T565" s="445">
        <f t="shared" si="60"/>
        <v>0</v>
      </c>
      <c r="U565" s="445">
        <f t="shared" si="61"/>
        <v>0</v>
      </c>
      <c r="W565" s="450"/>
      <c r="X565" s="450"/>
      <c r="Y565" s="441"/>
      <c r="Z565" s="441"/>
      <c r="AA565" s="441"/>
      <c r="AB565" s="441"/>
      <c r="AC565" s="441"/>
      <c r="AD565" s="441"/>
      <c r="AE565" s="441"/>
      <c r="AF565" s="441"/>
      <c r="AG565" s="441"/>
      <c r="AH565" s="441"/>
      <c r="AI565" s="441"/>
      <c r="AJ565" s="441"/>
      <c r="AK565" s="441"/>
      <c r="AL565" s="441"/>
      <c r="AM565" s="441"/>
      <c r="AN565" s="441"/>
      <c r="AO565" s="441"/>
      <c r="AP565" s="448"/>
      <c r="AQ565" s="448"/>
      <c r="AR565" s="448"/>
      <c r="AS565" s="448"/>
      <c r="AT565" s="448"/>
      <c r="AU565" s="448"/>
      <c r="AV565" s="448"/>
      <c r="AW565" s="448"/>
      <c r="AX565" s="448"/>
      <c r="AY565" s="448"/>
      <c r="AZ565" s="448"/>
      <c r="BA565" s="448"/>
      <c r="BB565" s="448"/>
      <c r="BC565" s="448"/>
      <c r="BD565" s="448"/>
      <c r="BE565" s="448"/>
      <c r="BF565" s="448"/>
    </row>
    <row r="566" spans="1:58" ht="12.75" hidden="1" thickBot="1">
      <c r="A566" s="1" t="s">
        <v>1275</v>
      </c>
      <c r="B566" s="2" t="s">
        <v>1235</v>
      </c>
      <c r="C566" s="2" t="s">
        <v>1236</v>
      </c>
      <c r="D566" s="8" t="s">
        <v>567</v>
      </c>
      <c r="E566" s="460"/>
      <c r="F566" s="4"/>
      <c r="G566" s="449"/>
      <c r="H566" s="4"/>
      <c r="I566" s="4"/>
      <c r="J566" s="4"/>
      <c r="K566" s="4"/>
      <c r="L566" s="4"/>
      <c r="M566" s="449"/>
      <c r="N566" s="449"/>
      <c r="O566" s="4"/>
      <c r="P566" s="4"/>
      <c r="Q566" s="449"/>
      <c r="R566" s="449"/>
      <c r="S566" s="445">
        <f t="shared" si="59"/>
        <v>0</v>
      </c>
      <c r="T566" s="445">
        <f t="shared" si="60"/>
        <v>0</v>
      </c>
      <c r="U566" s="445">
        <f t="shared" si="61"/>
        <v>0</v>
      </c>
      <c r="W566" s="450"/>
      <c r="X566" s="450"/>
      <c r="Y566" s="441"/>
      <c r="Z566" s="441"/>
      <c r="AA566" s="441"/>
      <c r="AB566" s="441"/>
      <c r="AC566" s="441"/>
      <c r="AD566" s="441"/>
      <c r="AE566" s="441"/>
      <c r="AF566" s="441"/>
      <c r="AG566" s="441"/>
      <c r="AH566" s="441"/>
      <c r="AI566" s="441"/>
      <c r="AJ566" s="441"/>
      <c r="AK566" s="441"/>
      <c r="AL566" s="441"/>
      <c r="AM566" s="441"/>
      <c r="AN566" s="441"/>
      <c r="AO566" s="441"/>
      <c r="AP566" s="448"/>
      <c r="AQ566" s="448"/>
      <c r="AR566" s="448"/>
      <c r="AS566" s="448"/>
      <c r="AT566" s="448"/>
      <c r="AU566" s="448"/>
      <c r="AV566" s="448"/>
      <c r="AW566" s="448"/>
      <c r="AX566" s="448"/>
      <c r="AY566" s="448"/>
      <c r="AZ566" s="448"/>
      <c r="BA566" s="448"/>
      <c r="BB566" s="448"/>
      <c r="BC566" s="448"/>
      <c r="BD566" s="448"/>
      <c r="BE566" s="448"/>
      <c r="BF566" s="448"/>
    </row>
    <row r="567" spans="1:58" ht="12.75" hidden="1" thickBot="1">
      <c r="A567" s="1" t="s">
        <v>1275</v>
      </c>
      <c r="B567" s="2" t="s">
        <v>318</v>
      </c>
      <c r="C567" s="2" t="s">
        <v>1086</v>
      </c>
      <c r="D567" s="8" t="s">
        <v>567</v>
      </c>
      <c r="E567" s="459"/>
      <c r="F567" s="6"/>
      <c r="G567" s="6"/>
      <c r="H567" s="6"/>
      <c r="I567" s="6"/>
      <c r="J567" s="6"/>
      <c r="K567" s="6"/>
      <c r="L567" s="6"/>
      <c r="M567" s="6"/>
      <c r="N567" s="6"/>
      <c r="O567" s="6"/>
      <c r="P567" s="6"/>
      <c r="Q567" s="6"/>
      <c r="R567" s="6"/>
      <c r="S567" s="445">
        <f t="shared" si="59"/>
        <v>0</v>
      </c>
      <c r="T567" s="445">
        <f t="shared" si="60"/>
        <v>0</v>
      </c>
      <c r="U567" s="445">
        <f t="shared" si="61"/>
        <v>0</v>
      </c>
      <c r="W567" s="450"/>
      <c r="X567" s="450"/>
      <c r="Y567" s="441"/>
      <c r="Z567" s="441"/>
      <c r="AA567" s="441"/>
      <c r="AB567" s="441"/>
      <c r="AC567" s="441"/>
      <c r="AD567" s="441"/>
      <c r="AE567" s="441"/>
      <c r="AF567" s="441"/>
      <c r="AG567" s="441"/>
      <c r="AH567" s="441"/>
      <c r="AI567" s="441"/>
      <c r="AJ567" s="441"/>
      <c r="AK567" s="441"/>
      <c r="AL567" s="441"/>
      <c r="AM567" s="441"/>
      <c r="AN567" s="441"/>
      <c r="AO567" s="441"/>
      <c r="AP567" s="448"/>
      <c r="AQ567" s="448"/>
      <c r="AR567" s="448"/>
      <c r="AS567" s="448"/>
      <c r="AT567" s="448"/>
      <c r="AU567" s="448"/>
      <c r="AV567" s="448"/>
      <c r="AW567" s="448"/>
      <c r="AX567" s="448"/>
      <c r="AY567" s="448"/>
      <c r="AZ567" s="448"/>
      <c r="BA567" s="448"/>
      <c r="BB567" s="448"/>
      <c r="BC567" s="448"/>
      <c r="BD567" s="448"/>
      <c r="BE567" s="448"/>
      <c r="BF567" s="448"/>
    </row>
    <row r="568" spans="1:58" ht="12.75" hidden="1" thickBot="1">
      <c r="A568" s="1" t="s">
        <v>1275</v>
      </c>
      <c r="B568" s="2" t="s">
        <v>1237</v>
      </c>
      <c r="C568" s="2" t="s">
        <v>1238</v>
      </c>
      <c r="D568" s="8" t="s">
        <v>567</v>
      </c>
      <c r="E568" s="460"/>
      <c r="F568" s="4"/>
      <c r="G568" s="449"/>
      <c r="H568" s="4"/>
      <c r="I568" s="4"/>
      <c r="J568" s="4"/>
      <c r="K568" s="4"/>
      <c r="L568" s="4"/>
      <c r="M568" s="449"/>
      <c r="N568" s="449"/>
      <c r="O568" s="4"/>
      <c r="P568" s="4"/>
      <c r="Q568" s="449"/>
      <c r="R568" s="449"/>
      <c r="S568" s="445">
        <f t="shared" si="59"/>
        <v>0</v>
      </c>
      <c r="T568" s="445">
        <f t="shared" si="60"/>
        <v>0</v>
      </c>
      <c r="U568" s="445">
        <f t="shared" si="61"/>
        <v>0</v>
      </c>
      <c r="W568" s="450"/>
      <c r="X568" s="450"/>
      <c r="Y568" s="441"/>
      <c r="Z568" s="441"/>
      <c r="AA568" s="441"/>
      <c r="AB568" s="441"/>
      <c r="AC568" s="441"/>
      <c r="AD568" s="441"/>
      <c r="AE568" s="441"/>
      <c r="AF568" s="441"/>
      <c r="AG568" s="441"/>
      <c r="AH568" s="441"/>
      <c r="AI568" s="441"/>
      <c r="AJ568" s="441"/>
      <c r="AK568" s="441"/>
      <c r="AL568" s="441"/>
      <c r="AM568" s="441"/>
      <c r="AN568" s="441"/>
      <c r="AO568" s="441"/>
      <c r="AP568" s="448"/>
      <c r="AQ568" s="448"/>
      <c r="AR568" s="448"/>
      <c r="AS568" s="448"/>
      <c r="AT568" s="448"/>
      <c r="AU568" s="448"/>
      <c r="AV568" s="448"/>
      <c r="AW568" s="448"/>
      <c r="AX568" s="448"/>
      <c r="AY568" s="448"/>
      <c r="AZ568" s="448"/>
      <c r="BA568" s="448"/>
      <c r="BB568" s="448"/>
      <c r="BC568" s="448"/>
      <c r="BD568" s="448"/>
      <c r="BE568" s="448"/>
      <c r="BF568" s="448"/>
    </row>
    <row r="569" spans="1:58" ht="12.75" hidden="1" thickBot="1">
      <c r="A569" s="1" t="s">
        <v>1275</v>
      </c>
      <c r="B569" s="2" t="s">
        <v>319</v>
      </c>
      <c r="C569" s="2" t="s">
        <v>1087</v>
      </c>
      <c r="D569" s="8" t="s">
        <v>567</v>
      </c>
      <c r="E569" s="459"/>
      <c r="F569" s="6"/>
      <c r="G569" s="6"/>
      <c r="H569" s="6"/>
      <c r="I569" s="6"/>
      <c r="J569" s="6"/>
      <c r="K569" s="6"/>
      <c r="L569" s="6"/>
      <c r="M569" s="6"/>
      <c r="N569" s="6"/>
      <c r="O569" s="6"/>
      <c r="P569" s="6"/>
      <c r="Q569" s="6"/>
      <c r="R569" s="6"/>
      <c r="S569" s="445">
        <f t="shared" si="59"/>
        <v>0</v>
      </c>
      <c r="T569" s="445">
        <f t="shared" si="60"/>
        <v>0</v>
      </c>
      <c r="U569" s="445">
        <f t="shared" si="61"/>
        <v>0</v>
      </c>
      <c r="W569" s="450"/>
      <c r="X569" s="450"/>
      <c r="Y569" s="441"/>
      <c r="Z569" s="441"/>
      <c r="AA569" s="441"/>
      <c r="AB569" s="441"/>
      <c r="AC569" s="441"/>
      <c r="AD569" s="441"/>
      <c r="AE569" s="441"/>
      <c r="AF569" s="441"/>
      <c r="AG569" s="441"/>
      <c r="AH569" s="441"/>
      <c r="AI569" s="441"/>
      <c r="AJ569" s="441"/>
      <c r="AK569" s="441"/>
      <c r="AL569" s="441"/>
      <c r="AM569" s="441"/>
      <c r="AN569" s="441"/>
      <c r="AO569" s="441"/>
      <c r="AP569" s="448"/>
      <c r="AQ569" s="448"/>
      <c r="AR569" s="448"/>
      <c r="AS569" s="448"/>
      <c r="AT569" s="448"/>
      <c r="AU569" s="448"/>
      <c r="AV569" s="448"/>
      <c r="AW569" s="448"/>
      <c r="AX569" s="448"/>
      <c r="AY569" s="448"/>
      <c r="AZ569" s="448"/>
      <c r="BA569" s="448"/>
      <c r="BB569" s="448"/>
      <c r="BC569" s="448"/>
      <c r="BD569" s="448"/>
      <c r="BE569" s="448"/>
      <c r="BF569" s="448"/>
    </row>
    <row r="570" spans="1:58" ht="12.75" hidden="1" thickBot="1">
      <c r="A570" s="1" t="s">
        <v>1275</v>
      </c>
      <c r="B570" s="2" t="s">
        <v>1225</v>
      </c>
      <c r="C570" s="2" t="s">
        <v>1226</v>
      </c>
      <c r="D570" s="8" t="s">
        <v>567</v>
      </c>
      <c r="E570" s="460"/>
      <c r="F570" s="4"/>
      <c r="G570" s="449"/>
      <c r="H570" s="4"/>
      <c r="I570" s="4"/>
      <c r="J570" s="4"/>
      <c r="K570" s="4"/>
      <c r="L570" s="4"/>
      <c r="M570" s="449"/>
      <c r="N570" s="449"/>
      <c r="O570" s="4"/>
      <c r="P570" s="4"/>
      <c r="Q570" s="449"/>
      <c r="R570" s="449"/>
      <c r="S570" s="445">
        <f t="shared" si="59"/>
        <v>0</v>
      </c>
      <c r="T570" s="445">
        <f t="shared" si="60"/>
        <v>0</v>
      </c>
      <c r="U570" s="445">
        <f t="shared" si="61"/>
        <v>0</v>
      </c>
      <c r="W570" s="450"/>
      <c r="X570" s="450"/>
      <c r="Y570" s="441"/>
      <c r="Z570" s="441"/>
      <c r="AA570" s="441"/>
      <c r="AB570" s="441"/>
      <c r="AC570" s="441"/>
      <c r="AD570" s="441"/>
      <c r="AE570" s="441"/>
      <c r="AF570" s="441"/>
      <c r="AG570" s="441"/>
      <c r="AH570" s="441"/>
      <c r="AI570" s="441"/>
      <c r="AJ570" s="441"/>
      <c r="AK570" s="441"/>
      <c r="AL570" s="441"/>
      <c r="AM570" s="441"/>
      <c r="AN570" s="441"/>
      <c r="AO570" s="441"/>
      <c r="AP570" s="448"/>
      <c r="AQ570" s="448"/>
      <c r="AR570" s="448"/>
      <c r="AS570" s="448"/>
      <c r="AT570" s="448"/>
      <c r="AU570" s="448"/>
      <c r="AV570" s="448"/>
      <c r="AW570" s="448"/>
      <c r="AX570" s="448"/>
      <c r="AY570" s="448"/>
      <c r="AZ570" s="448"/>
      <c r="BA570" s="448"/>
      <c r="BB570" s="448"/>
      <c r="BC570" s="448"/>
      <c r="BD570" s="448"/>
      <c r="BE570" s="448"/>
      <c r="BF570" s="448"/>
    </row>
    <row r="571" spans="1:58" ht="12.75" hidden="1" thickBot="1">
      <c r="A571" s="1" t="s">
        <v>1275</v>
      </c>
      <c r="B571" s="2" t="s">
        <v>320</v>
      </c>
      <c r="C571" s="2" t="s">
        <v>1088</v>
      </c>
      <c r="D571" s="8" t="s">
        <v>567</v>
      </c>
      <c r="E571" s="459"/>
      <c r="F571" s="6"/>
      <c r="G571" s="451"/>
      <c r="H571" s="6"/>
      <c r="I571" s="6"/>
      <c r="J571" s="6"/>
      <c r="K571" s="6"/>
      <c r="L571" s="6"/>
      <c r="M571" s="451"/>
      <c r="N571" s="451"/>
      <c r="O571" s="6"/>
      <c r="P571" s="6"/>
      <c r="Q571" s="451"/>
      <c r="R571" s="451"/>
      <c r="S571" s="445">
        <f t="shared" si="59"/>
        <v>0</v>
      </c>
      <c r="T571" s="445">
        <f t="shared" si="60"/>
        <v>0</v>
      </c>
      <c r="U571" s="445">
        <f t="shared" si="61"/>
        <v>0</v>
      </c>
      <c r="W571" s="450"/>
      <c r="X571" s="450"/>
      <c r="Y571" s="441"/>
      <c r="Z571" s="441"/>
      <c r="AA571" s="441"/>
      <c r="AB571" s="441"/>
      <c r="AC571" s="441"/>
      <c r="AD571" s="441"/>
      <c r="AE571" s="441"/>
      <c r="AF571" s="441"/>
      <c r="AG571" s="441"/>
      <c r="AH571" s="441"/>
      <c r="AI571" s="441"/>
      <c r="AJ571" s="441"/>
      <c r="AK571" s="441"/>
      <c r="AL571" s="441"/>
      <c r="AM571" s="441"/>
      <c r="AN571" s="441"/>
      <c r="AO571" s="441"/>
      <c r="AP571" s="448"/>
      <c r="AQ571" s="448"/>
      <c r="AR571" s="448"/>
      <c r="AS571" s="448"/>
      <c r="AT571" s="448"/>
      <c r="AU571" s="448"/>
      <c r="AV571" s="448"/>
      <c r="AW571" s="448"/>
      <c r="AX571" s="448"/>
      <c r="AY571" s="448"/>
      <c r="AZ571" s="448"/>
      <c r="BA571" s="448"/>
      <c r="BB571" s="448"/>
      <c r="BC571" s="448"/>
      <c r="BD571" s="448"/>
      <c r="BE571" s="448"/>
      <c r="BF571" s="448"/>
    </row>
    <row r="572" spans="1:58" ht="12.75" hidden="1" thickBot="1">
      <c r="A572" s="1" t="s">
        <v>1275</v>
      </c>
      <c r="B572" s="2" t="s">
        <v>321</v>
      </c>
      <c r="C572" s="2" t="s">
        <v>1089</v>
      </c>
      <c r="D572" s="8" t="s">
        <v>567</v>
      </c>
      <c r="E572" s="460"/>
      <c r="F572" s="4"/>
      <c r="G572" s="4"/>
      <c r="H572" s="4"/>
      <c r="I572" s="4"/>
      <c r="J572" s="4"/>
      <c r="K572" s="4"/>
      <c r="L572" s="4"/>
      <c r="M572" s="4"/>
      <c r="N572" s="4"/>
      <c r="O572" s="4"/>
      <c r="P572" s="4"/>
      <c r="Q572" s="4"/>
      <c r="R572" s="4"/>
      <c r="S572" s="445">
        <f t="shared" si="59"/>
        <v>0</v>
      </c>
      <c r="T572" s="445">
        <f t="shared" si="60"/>
        <v>0</v>
      </c>
      <c r="U572" s="445">
        <f t="shared" si="61"/>
        <v>0</v>
      </c>
      <c r="W572" s="450"/>
      <c r="X572" s="450"/>
      <c r="Y572" s="441"/>
      <c r="Z572" s="441"/>
      <c r="AA572" s="441"/>
      <c r="AB572" s="441"/>
      <c r="AC572" s="441"/>
      <c r="AD572" s="441"/>
      <c r="AE572" s="441"/>
      <c r="AF572" s="441"/>
      <c r="AG572" s="441"/>
      <c r="AH572" s="441"/>
      <c r="AI572" s="441"/>
      <c r="AJ572" s="441"/>
      <c r="AK572" s="441"/>
      <c r="AL572" s="441"/>
      <c r="AM572" s="441"/>
      <c r="AN572" s="441"/>
      <c r="AO572" s="441"/>
      <c r="AP572" s="448"/>
      <c r="AQ572" s="448"/>
      <c r="AR572" s="448"/>
      <c r="AS572" s="448"/>
      <c r="AT572" s="448"/>
      <c r="AU572" s="448"/>
      <c r="AV572" s="448"/>
      <c r="AW572" s="448"/>
      <c r="AX572" s="448"/>
      <c r="AY572" s="448"/>
      <c r="AZ572" s="448"/>
      <c r="BA572" s="448"/>
      <c r="BB572" s="448"/>
      <c r="BC572" s="448"/>
      <c r="BD572" s="448"/>
      <c r="BE572" s="448"/>
      <c r="BF572" s="448"/>
    </row>
    <row r="573" spans="1:58" ht="12.75" hidden="1" thickBot="1">
      <c r="A573" s="1" t="s">
        <v>1275</v>
      </c>
      <c r="B573" s="2" t="s">
        <v>1227</v>
      </c>
      <c r="C573" s="2" t="s">
        <v>1228</v>
      </c>
      <c r="D573" s="8" t="s">
        <v>567</v>
      </c>
      <c r="E573" s="459"/>
      <c r="F573" s="6"/>
      <c r="G573" s="451"/>
      <c r="H573" s="6"/>
      <c r="I573" s="6"/>
      <c r="J573" s="6"/>
      <c r="K573" s="6"/>
      <c r="L573" s="6"/>
      <c r="M573" s="451"/>
      <c r="N573" s="451"/>
      <c r="O573" s="6"/>
      <c r="P573" s="6"/>
      <c r="Q573" s="451"/>
      <c r="R573" s="451"/>
      <c r="S573" s="445">
        <f t="shared" si="59"/>
        <v>0</v>
      </c>
      <c r="T573" s="445">
        <f t="shared" si="60"/>
        <v>0</v>
      </c>
      <c r="U573" s="445">
        <f t="shared" si="61"/>
        <v>0</v>
      </c>
      <c r="W573" s="450"/>
      <c r="X573" s="450"/>
      <c r="Y573" s="441"/>
      <c r="Z573" s="441"/>
      <c r="AA573" s="441"/>
      <c r="AB573" s="441"/>
      <c r="AC573" s="441"/>
      <c r="AD573" s="441"/>
      <c r="AE573" s="441"/>
      <c r="AF573" s="441"/>
      <c r="AG573" s="441"/>
      <c r="AH573" s="441"/>
      <c r="AI573" s="441"/>
      <c r="AJ573" s="441"/>
      <c r="AK573" s="441"/>
      <c r="AL573" s="441"/>
      <c r="AM573" s="441"/>
      <c r="AN573" s="441"/>
      <c r="AO573" s="441"/>
      <c r="AP573" s="448"/>
      <c r="AQ573" s="448"/>
      <c r="AR573" s="448"/>
      <c r="AS573" s="448"/>
      <c r="AT573" s="448"/>
      <c r="AU573" s="448"/>
      <c r="AV573" s="448"/>
      <c r="AW573" s="448"/>
      <c r="AX573" s="448"/>
      <c r="AY573" s="448"/>
      <c r="AZ573" s="448"/>
      <c r="BA573" s="448"/>
      <c r="BB573" s="448"/>
      <c r="BC573" s="448"/>
      <c r="BD573" s="448"/>
      <c r="BE573" s="448"/>
      <c r="BF573" s="448"/>
    </row>
    <row r="574" spans="1:58" ht="12.75" hidden="1" thickBot="1">
      <c r="A574" s="1" t="s">
        <v>1275</v>
      </c>
      <c r="B574" s="2" t="s">
        <v>322</v>
      </c>
      <c r="C574" s="2" t="s">
        <v>1090</v>
      </c>
      <c r="D574" s="8" t="s">
        <v>567</v>
      </c>
      <c r="E574" s="460"/>
      <c r="F574" s="4"/>
      <c r="G574" s="449"/>
      <c r="H574" s="4"/>
      <c r="I574" s="4"/>
      <c r="J574" s="4"/>
      <c r="K574" s="4"/>
      <c r="L574" s="4"/>
      <c r="M574" s="449"/>
      <c r="N574" s="449"/>
      <c r="O574" s="4"/>
      <c r="P574" s="4"/>
      <c r="Q574" s="449"/>
      <c r="R574" s="449"/>
      <c r="S574" s="445">
        <f t="shared" si="59"/>
        <v>0</v>
      </c>
      <c r="T574" s="445">
        <f t="shared" si="60"/>
        <v>0</v>
      </c>
      <c r="U574" s="445">
        <f t="shared" si="61"/>
        <v>0</v>
      </c>
      <c r="W574" s="450"/>
      <c r="X574" s="450"/>
      <c r="Y574" s="441"/>
      <c r="Z574" s="441"/>
      <c r="AA574" s="441"/>
      <c r="AB574" s="441"/>
      <c r="AC574" s="441"/>
      <c r="AD574" s="441"/>
      <c r="AE574" s="441"/>
      <c r="AF574" s="441"/>
      <c r="AG574" s="441"/>
      <c r="AH574" s="441"/>
      <c r="AI574" s="441"/>
      <c r="AJ574" s="441"/>
      <c r="AK574" s="441"/>
      <c r="AL574" s="441"/>
      <c r="AM574" s="441"/>
      <c r="AN574" s="441"/>
      <c r="AO574" s="441"/>
      <c r="AP574" s="448"/>
      <c r="AQ574" s="448"/>
      <c r="AR574" s="448"/>
      <c r="AS574" s="448"/>
      <c r="AT574" s="448"/>
      <c r="AU574" s="448"/>
      <c r="AV574" s="448"/>
      <c r="AW574" s="448"/>
      <c r="AX574" s="448"/>
      <c r="AY574" s="448"/>
      <c r="AZ574" s="448"/>
      <c r="BA574" s="448"/>
      <c r="BB574" s="448"/>
      <c r="BC574" s="448"/>
      <c r="BD574" s="448"/>
      <c r="BE574" s="448"/>
      <c r="BF574" s="448"/>
    </row>
    <row r="575" spans="1:58" ht="12.75" hidden="1" thickBot="1">
      <c r="A575" s="1" t="s">
        <v>1275</v>
      </c>
      <c r="B575" s="2" t="s">
        <v>323</v>
      </c>
      <c r="C575" s="2" t="s">
        <v>1091</v>
      </c>
      <c r="D575" s="453" t="s">
        <v>459</v>
      </c>
      <c r="E575" s="459"/>
      <c r="F575" s="6"/>
      <c r="G575" s="451"/>
      <c r="H575" s="6"/>
      <c r="I575" s="6"/>
      <c r="J575" s="6"/>
      <c r="K575" s="6"/>
      <c r="L575" s="6"/>
      <c r="M575" s="451"/>
      <c r="N575" s="451"/>
      <c r="O575" s="6"/>
      <c r="P575" s="6"/>
      <c r="Q575" s="451"/>
      <c r="R575" s="451"/>
      <c r="S575" s="445">
        <f t="shared" si="59"/>
        <v>0</v>
      </c>
      <c r="T575" s="445">
        <f t="shared" si="60"/>
        <v>0</v>
      </c>
      <c r="U575" s="445">
        <f t="shared" si="61"/>
        <v>0</v>
      </c>
      <c r="W575" s="450"/>
      <c r="X575" s="450"/>
      <c r="Y575" s="441"/>
      <c r="Z575" s="441"/>
      <c r="AA575" s="441"/>
      <c r="AB575" s="441"/>
      <c r="AC575" s="441"/>
      <c r="AD575" s="441"/>
      <c r="AE575" s="441"/>
      <c r="AF575" s="441"/>
      <c r="AG575" s="441"/>
      <c r="AH575" s="441"/>
      <c r="AI575" s="441"/>
      <c r="AJ575" s="441"/>
      <c r="AK575" s="441"/>
      <c r="AL575" s="441"/>
      <c r="AM575" s="441"/>
      <c r="AN575" s="441"/>
      <c r="AO575" s="441"/>
      <c r="AP575" s="448"/>
      <c r="AQ575" s="448"/>
      <c r="AR575" s="448"/>
      <c r="AS575" s="448"/>
      <c r="AT575" s="448"/>
      <c r="AU575" s="448"/>
      <c r="AV575" s="448"/>
      <c r="AW575" s="448"/>
      <c r="AX575" s="448"/>
      <c r="AY575" s="448"/>
      <c r="AZ575" s="448"/>
      <c r="BA575" s="448"/>
      <c r="BB575" s="448"/>
      <c r="BC575" s="448"/>
      <c r="BD575" s="448"/>
      <c r="BE575" s="448"/>
      <c r="BF575" s="448"/>
    </row>
    <row r="576" spans="1:58" ht="12.75" hidden="1" thickBot="1">
      <c r="A576" s="1" t="s">
        <v>1275</v>
      </c>
      <c r="B576" s="2" t="s">
        <v>328</v>
      </c>
      <c r="C576" s="2" t="s">
        <v>1092</v>
      </c>
      <c r="D576" s="8" t="s">
        <v>567</v>
      </c>
      <c r="E576" s="460"/>
      <c r="F576" s="4"/>
      <c r="G576" s="449"/>
      <c r="H576" s="4"/>
      <c r="I576" s="4"/>
      <c r="J576" s="4"/>
      <c r="K576" s="4"/>
      <c r="L576" s="4"/>
      <c r="M576" s="449"/>
      <c r="N576" s="449"/>
      <c r="O576" s="4"/>
      <c r="P576" s="4"/>
      <c r="Q576" s="449"/>
      <c r="R576" s="449"/>
      <c r="S576" s="445">
        <f t="shared" si="59"/>
        <v>0</v>
      </c>
      <c r="T576" s="445">
        <f t="shared" si="60"/>
        <v>0</v>
      </c>
      <c r="U576" s="445">
        <f t="shared" si="61"/>
        <v>0</v>
      </c>
      <c r="W576" s="450"/>
      <c r="X576" s="450"/>
      <c r="Y576" s="441"/>
      <c r="Z576" s="441"/>
      <c r="AA576" s="441"/>
      <c r="AB576" s="441"/>
      <c r="AC576" s="441"/>
      <c r="AD576" s="441"/>
      <c r="AE576" s="441"/>
      <c r="AF576" s="441"/>
      <c r="AG576" s="441"/>
      <c r="AH576" s="441"/>
      <c r="AI576" s="441"/>
      <c r="AJ576" s="441"/>
      <c r="AK576" s="441"/>
      <c r="AL576" s="441"/>
      <c r="AM576" s="441"/>
      <c r="AN576" s="441"/>
      <c r="AO576" s="441"/>
      <c r="AP576" s="448"/>
      <c r="AQ576" s="448"/>
      <c r="AR576" s="448"/>
      <c r="AS576" s="448"/>
      <c r="AT576" s="448"/>
      <c r="AU576" s="448"/>
      <c r="AV576" s="448"/>
      <c r="AW576" s="448"/>
      <c r="AX576" s="448"/>
      <c r="AY576" s="448"/>
      <c r="AZ576" s="448"/>
      <c r="BA576" s="448"/>
      <c r="BB576" s="448"/>
      <c r="BC576" s="448"/>
      <c r="BD576" s="448"/>
      <c r="BE576" s="448"/>
      <c r="BF576" s="448"/>
    </row>
    <row r="577" spans="1:58" ht="12.75" hidden="1" thickBot="1">
      <c r="A577" s="1" t="s">
        <v>1275</v>
      </c>
      <c r="B577" s="2" t="s">
        <v>329</v>
      </c>
      <c r="C577" s="2" t="s">
        <v>1093</v>
      </c>
      <c r="D577" s="453" t="s">
        <v>459</v>
      </c>
      <c r="E577" s="459"/>
      <c r="F577" s="6"/>
      <c r="G577" s="451"/>
      <c r="H577" s="6"/>
      <c r="I577" s="6"/>
      <c r="J577" s="6"/>
      <c r="K577" s="6"/>
      <c r="L577" s="6"/>
      <c r="M577" s="451"/>
      <c r="N577" s="451"/>
      <c r="O577" s="6"/>
      <c r="P577" s="6"/>
      <c r="Q577" s="451"/>
      <c r="R577" s="451"/>
      <c r="S577" s="445">
        <f t="shared" si="59"/>
        <v>0</v>
      </c>
      <c r="T577" s="445">
        <f t="shared" si="60"/>
        <v>0</v>
      </c>
      <c r="U577" s="445">
        <f t="shared" si="61"/>
        <v>0</v>
      </c>
      <c r="W577" s="450"/>
      <c r="X577" s="450"/>
      <c r="Y577" s="441"/>
      <c r="Z577" s="441"/>
      <c r="AA577" s="441"/>
      <c r="AB577" s="441"/>
      <c r="AC577" s="441"/>
      <c r="AD577" s="441"/>
      <c r="AE577" s="441"/>
      <c r="AF577" s="441"/>
      <c r="AG577" s="441"/>
      <c r="AH577" s="441"/>
      <c r="AI577" s="441"/>
      <c r="AJ577" s="441"/>
      <c r="AK577" s="441"/>
      <c r="AL577" s="441"/>
      <c r="AM577" s="441"/>
      <c r="AN577" s="441"/>
      <c r="AO577" s="441"/>
      <c r="AP577" s="448"/>
      <c r="AQ577" s="448"/>
      <c r="AR577" s="448"/>
      <c r="AS577" s="448"/>
      <c r="AT577" s="448"/>
      <c r="AU577" s="448"/>
      <c r="AV577" s="448"/>
      <c r="AW577" s="448"/>
      <c r="AX577" s="448"/>
      <c r="AY577" s="448"/>
      <c r="AZ577" s="448"/>
      <c r="BA577" s="448"/>
      <c r="BB577" s="448"/>
      <c r="BC577" s="448"/>
      <c r="BD577" s="448"/>
      <c r="BE577" s="448"/>
      <c r="BF577" s="448"/>
    </row>
    <row r="578" spans="1:58" ht="12.75" hidden="1" thickBot="1">
      <c r="A578" s="1" t="s">
        <v>1275</v>
      </c>
      <c r="B578" s="2" t="s">
        <v>330</v>
      </c>
      <c r="C578" s="2" t="s">
        <v>1094</v>
      </c>
      <c r="D578" s="8" t="s">
        <v>567</v>
      </c>
      <c r="E578" s="460"/>
      <c r="F578" s="4"/>
      <c r="G578" s="449"/>
      <c r="H578" s="4"/>
      <c r="I578" s="4"/>
      <c r="J578" s="4"/>
      <c r="K578" s="4"/>
      <c r="L578" s="4"/>
      <c r="M578" s="449"/>
      <c r="N578" s="449"/>
      <c r="O578" s="4"/>
      <c r="P578" s="4"/>
      <c r="Q578" s="449"/>
      <c r="R578" s="449"/>
      <c r="S578" s="445">
        <f t="shared" si="59"/>
        <v>0</v>
      </c>
      <c r="T578" s="445">
        <f t="shared" si="60"/>
        <v>0</v>
      </c>
      <c r="U578" s="445">
        <f t="shared" si="61"/>
        <v>0</v>
      </c>
      <c r="W578" s="450"/>
      <c r="X578" s="450"/>
      <c r="Y578" s="441"/>
      <c r="Z578" s="441"/>
      <c r="AA578" s="441"/>
      <c r="AB578" s="441"/>
      <c r="AC578" s="441"/>
      <c r="AD578" s="441"/>
      <c r="AE578" s="441"/>
      <c r="AF578" s="441"/>
      <c r="AG578" s="441"/>
      <c r="AH578" s="441"/>
      <c r="AI578" s="441"/>
      <c r="AJ578" s="441"/>
      <c r="AK578" s="441"/>
      <c r="AL578" s="441"/>
      <c r="AM578" s="441"/>
      <c r="AN578" s="441"/>
      <c r="AO578" s="441"/>
      <c r="AP578" s="448"/>
      <c r="AQ578" s="448"/>
      <c r="AR578" s="448"/>
      <c r="AS578" s="448"/>
      <c r="AT578" s="448"/>
      <c r="AU578" s="448"/>
      <c r="AV578" s="448"/>
      <c r="AW578" s="448"/>
      <c r="AX578" s="448"/>
      <c r="AY578" s="448"/>
      <c r="AZ578" s="448"/>
      <c r="BA578" s="448"/>
      <c r="BB578" s="448"/>
      <c r="BC578" s="448"/>
      <c r="BD578" s="448"/>
      <c r="BE578" s="448"/>
      <c r="BF578" s="448"/>
    </row>
    <row r="579" spans="1:58" ht="12.75" hidden="1" thickBot="1">
      <c r="A579" s="1" t="s">
        <v>1275</v>
      </c>
      <c r="B579" s="2" t="s">
        <v>331</v>
      </c>
      <c r="C579" s="2" t="s">
        <v>1095</v>
      </c>
      <c r="D579" s="453" t="s">
        <v>459</v>
      </c>
      <c r="E579" s="459"/>
      <c r="F579" s="6"/>
      <c r="G579" s="451"/>
      <c r="H579" s="6"/>
      <c r="I579" s="6"/>
      <c r="J579" s="6"/>
      <c r="K579" s="6"/>
      <c r="L579" s="6"/>
      <c r="M579" s="451"/>
      <c r="N579" s="451"/>
      <c r="O579" s="6"/>
      <c r="P579" s="6"/>
      <c r="Q579" s="451"/>
      <c r="R579" s="451"/>
      <c r="S579" s="445">
        <f t="shared" si="59"/>
        <v>0</v>
      </c>
      <c r="T579" s="445">
        <f t="shared" si="60"/>
        <v>0</v>
      </c>
      <c r="U579" s="445">
        <f t="shared" si="61"/>
        <v>0</v>
      </c>
      <c r="W579" s="450"/>
      <c r="X579" s="450"/>
      <c r="Y579" s="441"/>
      <c r="Z579" s="441"/>
      <c r="AA579" s="441"/>
      <c r="AB579" s="441"/>
      <c r="AC579" s="441"/>
      <c r="AD579" s="441"/>
      <c r="AE579" s="441"/>
      <c r="AF579" s="441"/>
      <c r="AG579" s="441"/>
      <c r="AH579" s="441"/>
      <c r="AI579" s="441"/>
      <c r="AJ579" s="441"/>
      <c r="AK579" s="441"/>
      <c r="AL579" s="441"/>
      <c r="AM579" s="441"/>
      <c r="AN579" s="441"/>
      <c r="AO579" s="441"/>
      <c r="AP579" s="448"/>
      <c r="AQ579" s="448"/>
      <c r="AR579" s="448"/>
      <c r="AS579" s="448"/>
      <c r="AT579" s="448"/>
      <c r="AU579" s="448"/>
      <c r="AV579" s="448"/>
      <c r="AW579" s="448"/>
      <c r="AX579" s="448"/>
      <c r="AY579" s="448"/>
      <c r="AZ579" s="448"/>
      <c r="BA579" s="448"/>
      <c r="BB579" s="448"/>
      <c r="BC579" s="448"/>
      <c r="BD579" s="448"/>
      <c r="BE579" s="448"/>
      <c r="BF579" s="448"/>
    </row>
    <row r="580" spans="1:58" ht="12.75" hidden="1" thickBot="1">
      <c r="A580" s="1" t="s">
        <v>1275</v>
      </c>
      <c r="B580" s="2" t="s">
        <v>332</v>
      </c>
      <c r="C580" s="2" t="s">
        <v>1096</v>
      </c>
      <c r="D580" s="453" t="s">
        <v>459</v>
      </c>
      <c r="E580" s="460"/>
      <c r="F580" s="4"/>
      <c r="G580" s="449"/>
      <c r="H580" s="4"/>
      <c r="I580" s="4"/>
      <c r="J580" s="4"/>
      <c r="K580" s="4"/>
      <c r="L580" s="4"/>
      <c r="M580" s="449"/>
      <c r="N580" s="449"/>
      <c r="O580" s="4"/>
      <c r="P580" s="4"/>
      <c r="Q580" s="449"/>
      <c r="R580" s="449"/>
      <c r="S580" s="445">
        <f t="shared" si="59"/>
        <v>0</v>
      </c>
      <c r="T580" s="445">
        <f t="shared" si="60"/>
        <v>0</v>
      </c>
      <c r="U580" s="445">
        <f t="shared" si="61"/>
        <v>0</v>
      </c>
      <c r="W580" s="450"/>
      <c r="X580" s="450"/>
      <c r="Y580" s="441"/>
      <c r="Z580" s="441"/>
      <c r="AA580" s="441"/>
      <c r="AB580" s="441"/>
      <c r="AC580" s="441"/>
      <c r="AD580" s="441"/>
      <c r="AE580" s="441"/>
      <c r="AF580" s="441"/>
      <c r="AG580" s="441"/>
      <c r="AH580" s="441"/>
      <c r="AI580" s="441"/>
      <c r="AJ580" s="441"/>
      <c r="AK580" s="441"/>
      <c r="AL580" s="441"/>
      <c r="AM580" s="441"/>
      <c r="AN580" s="441"/>
      <c r="AO580" s="441"/>
      <c r="AP580" s="448"/>
      <c r="AQ580" s="448"/>
      <c r="AR580" s="448"/>
      <c r="AS580" s="448"/>
      <c r="AT580" s="448"/>
      <c r="AU580" s="448"/>
      <c r="AV580" s="448"/>
      <c r="AW580" s="448"/>
      <c r="AX580" s="448"/>
      <c r="AY580" s="448"/>
      <c r="AZ580" s="448"/>
      <c r="BA580" s="448"/>
      <c r="BB580" s="448"/>
      <c r="BC580" s="448"/>
      <c r="BD580" s="448"/>
      <c r="BE580" s="448"/>
      <c r="BF580" s="448"/>
    </row>
    <row r="581" spans="1:58" ht="12.75" hidden="1" thickBot="1">
      <c r="A581" s="1" t="s">
        <v>1275</v>
      </c>
      <c r="B581" s="2" t="s">
        <v>333</v>
      </c>
      <c r="C581" s="2" t="s">
        <v>1097</v>
      </c>
      <c r="D581" s="8" t="s">
        <v>567</v>
      </c>
      <c r="E581" s="459"/>
      <c r="F581" s="6"/>
      <c r="G581" s="451"/>
      <c r="H581" s="6"/>
      <c r="I581" s="6"/>
      <c r="J581" s="6"/>
      <c r="K581" s="6"/>
      <c r="L581" s="6"/>
      <c r="M581" s="451"/>
      <c r="N581" s="451"/>
      <c r="O581" s="6"/>
      <c r="P581" s="6"/>
      <c r="Q581" s="451"/>
      <c r="R581" s="451"/>
      <c r="S581" s="445">
        <f t="shared" si="59"/>
        <v>0</v>
      </c>
      <c r="T581" s="445">
        <f t="shared" si="60"/>
        <v>0</v>
      </c>
      <c r="U581" s="445">
        <f t="shared" si="61"/>
        <v>0</v>
      </c>
      <c r="W581" s="450"/>
      <c r="X581" s="450"/>
      <c r="Y581" s="441"/>
      <c r="Z581" s="441"/>
      <c r="AA581" s="441"/>
      <c r="AB581" s="441"/>
      <c r="AC581" s="441"/>
      <c r="AD581" s="441"/>
      <c r="AE581" s="441"/>
      <c r="AF581" s="441"/>
      <c r="AG581" s="441"/>
      <c r="AH581" s="441"/>
      <c r="AI581" s="441"/>
      <c r="AJ581" s="441"/>
      <c r="AK581" s="441"/>
      <c r="AL581" s="441"/>
      <c r="AM581" s="441"/>
      <c r="AN581" s="441"/>
      <c r="AO581" s="441"/>
      <c r="AP581" s="448"/>
      <c r="AQ581" s="448"/>
      <c r="AR581" s="448"/>
      <c r="AS581" s="448"/>
      <c r="AT581" s="448"/>
      <c r="AU581" s="448"/>
      <c r="AV581" s="448"/>
      <c r="AW581" s="448"/>
      <c r="AX581" s="448"/>
      <c r="AY581" s="448"/>
      <c r="AZ581" s="448"/>
      <c r="BA581" s="448"/>
      <c r="BB581" s="448"/>
      <c r="BC581" s="448"/>
      <c r="BD581" s="448"/>
      <c r="BE581" s="448"/>
      <c r="BF581" s="448"/>
    </row>
    <row r="582" spans="1:58" ht="12.75" hidden="1" thickBot="1">
      <c r="A582" s="1" t="s">
        <v>1275</v>
      </c>
      <c r="B582" s="2" t="s">
        <v>334</v>
      </c>
      <c r="C582" s="2" t="s">
        <v>1098</v>
      </c>
      <c r="D582" s="453" t="s">
        <v>459</v>
      </c>
      <c r="E582" s="460"/>
      <c r="F582" s="4"/>
      <c r="G582" s="449"/>
      <c r="H582" s="4"/>
      <c r="I582" s="4"/>
      <c r="J582" s="4"/>
      <c r="K582" s="4"/>
      <c r="L582" s="4"/>
      <c r="M582" s="449"/>
      <c r="N582" s="449"/>
      <c r="O582" s="4"/>
      <c r="P582" s="4"/>
      <c r="Q582" s="449"/>
      <c r="R582" s="449"/>
      <c r="S582" s="445">
        <f t="shared" si="59"/>
        <v>0</v>
      </c>
      <c r="T582" s="445">
        <f t="shared" si="60"/>
        <v>0</v>
      </c>
      <c r="U582" s="445">
        <f t="shared" si="61"/>
        <v>0</v>
      </c>
      <c r="W582" s="450"/>
      <c r="X582" s="450"/>
      <c r="Y582" s="441"/>
      <c r="Z582" s="441"/>
      <c r="AA582" s="441"/>
      <c r="AB582" s="441"/>
      <c r="AC582" s="441"/>
      <c r="AD582" s="441"/>
      <c r="AE582" s="441"/>
      <c r="AF582" s="441"/>
      <c r="AG582" s="441"/>
      <c r="AH582" s="441"/>
      <c r="AI582" s="441"/>
      <c r="AJ582" s="441"/>
      <c r="AK582" s="441"/>
      <c r="AL582" s="441"/>
      <c r="AM582" s="441"/>
      <c r="AN582" s="441"/>
      <c r="AO582" s="441"/>
      <c r="AP582" s="448"/>
      <c r="AQ582" s="448"/>
      <c r="AR582" s="448"/>
      <c r="AS582" s="448"/>
      <c r="AT582" s="448"/>
      <c r="AU582" s="448"/>
      <c r="AV582" s="448"/>
      <c r="AW582" s="448"/>
      <c r="AX582" s="448"/>
      <c r="AY582" s="448"/>
      <c r="AZ582" s="448"/>
      <c r="BA582" s="448"/>
      <c r="BB582" s="448"/>
      <c r="BC582" s="448"/>
      <c r="BD582" s="448"/>
      <c r="BE582" s="448"/>
      <c r="BF582" s="448"/>
    </row>
    <row r="583" spans="1:58" ht="12.75" hidden="1" thickBot="1">
      <c r="A583" s="1" t="s">
        <v>1275</v>
      </c>
      <c r="B583" s="2" t="s">
        <v>620</v>
      </c>
      <c r="C583" s="2" t="s">
        <v>1099</v>
      </c>
      <c r="D583" s="8" t="s">
        <v>567</v>
      </c>
      <c r="E583" s="459"/>
      <c r="F583" s="6"/>
      <c r="G583" s="451"/>
      <c r="H583" s="6"/>
      <c r="I583" s="6"/>
      <c r="J583" s="6"/>
      <c r="K583" s="6"/>
      <c r="L583" s="6"/>
      <c r="M583" s="451"/>
      <c r="N583" s="451"/>
      <c r="O583" s="6"/>
      <c r="P583" s="6"/>
      <c r="Q583" s="451"/>
      <c r="R583" s="451"/>
      <c r="S583" s="445">
        <f t="shared" si="59"/>
        <v>0</v>
      </c>
      <c r="T583" s="445">
        <f t="shared" si="60"/>
        <v>0</v>
      </c>
      <c r="U583" s="445">
        <f t="shared" si="61"/>
        <v>0</v>
      </c>
      <c r="W583" s="450"/>
      <c r="X583" s="450"/>
      <c r="Y583" s="441"/>
      <c r="Z583" s="441"/>
      <c r="AA583" s="441"/>
      <c r="AB583" s="441"/>
      <c r="AC583" s="441"/>
      <c r="AD583" s="441"/>
      <c r="AE583" s="441"/>
      <c r="AF583" s="441"/>
      <c r="AG583" s="441"/>
      <c r="AH583" s="441"/>
      <c r="AI583" s="441"/>
      <c r="AJ583" s="441"/>
      <c r="AK583" s="441"/>
      <c r="AL583" s="441"/>
      <c r="AM583" s="441"/>
      <c r="AN583" s="441"/>
      <c r="AO583" s="441"/>
      <c r="AP583" s="448"/>
      <c r="AQ583" s="448"/>
      <c r="AR583" s="448"/>
      <c r="AS583" s="448"/>
      <c r="AT583" s="448"/>
      <c r="AU583" s="448"/>
      <c r="AV583" s="448"/>
      <c r="AW583" s="448"/>
      <c r="AX583" s="448"/>
      <c r="AY583" s="448"/>
      <c r="AZ583" s="448"/>
      <c r="BA583" s="448"/>
      <c r="BB583" s="448"/>
      <c r="BC583" s="448"/>
      <c r="BD583" s="448"/>
      <c r="BE583" s="448"/>
      <c r="BF583" s="448"/>
    </row>
    <row r="584" spans="1:58" ht="12.75" hidden="1" thickBot="1">
      <c r="A584" s="1" t="s">
        <v>1275</v>
      </c>
      <c r="B584" s="2" t="s">
        <v>360</v>
      </c>
      <c r="C584" s="2" t="s">
        <v>1100</v>
      </c>
      <c r="D584" s="8" t="s">
        <v>567</v>
      </c>
      <c r="E584" s="460"/>
      <c r="F584" s="4"/>
      <c r="G584" s="449"/>
      <c r="H584" s="4"/>
      <c r="I584" s="4"/>
      <c r="J584" s="4"/>
      <c r="K584" s="4"/>
      <c r="L584" s="4"/>
      <c r="M584" s="449"/>
      <c r="N584" s="449"/>
      <c r="O584" s="4"/>
      <c r="P584" s="4"/>
      <c r="Q584" s="449"/>
      <c r="R584" s="449"/>
      <c r="S584" s="445">
        <f t="shared" si="59"/>
        <v>0</v>
      </c>
      <c r="T584" s="445">
        <f t="shared" si="60"/>
        <v>0</v>
      </c>
      <c r="U584" s="445">
        <f t="shared" si="61"/>
        <v>0</v>
      </c>
      <c r="W584" s="450"/>
      <c r="X584" s="450"/>
      <c r="Y584" s="441"/>
      <c r="Z584" s="441"/>
      <c r="AA584" s="441"/>
      <c r="AB584" s="441"/>
      <c r="AC584" s="441"/>
      <c r="AD584" s="441"/>
      <c r="AE584" s="441"/>
      <c r="AF584" s="441"/>
      <c r="AG584" s="441"/>
      <c r="AH584" s="441"/>
      <c r="AI584" s="441"/>
      <c r="AJ584" s="441"/>
      <c r="AK584" s="441"/>
      <c r="AL584" s="441"/>
      <c r="AM584" s="441"/>
      <c r="AN584" s="441"/>
      <c r="AO584" s="441"/>
      <c r="AP584" s="448"/>
      <c r="AQ584" s="448"/>
      <c r="AR584" s="448"/>
      <c r="AS584" s="448"/>
      <c r="AT584" s="448"/>
      <c r="AU584" s="448"/>
      <c r="AV584" s="448"/>
      <c r="AW584" s="448"/>
      <c r="AX584" s="448"/>
      <c r="AY584" s="448"/>
      <c r="AZ584" s="448"/>
      <c r="BA584" s="448"/>
      <c r="BB584" s="448"/>
      <c r="BC584" s="448"/>
      <c r="BD584" s="448"/>
      <c r="BE584" s="448"/>
      <c r="BF584" s="448"/>
    </row>
    <row r="585" spans="1:58" ht="12.75" hidden="1" thickBot="1">
      <c r="A585" s="1" t="s">
        <v>1275</v>
      </c>
      <c r="B585" s="2" t="s">
        <v>335</v>
      </c>
      <c r="C585" s="2" t="s">
        <v>1101</v>
      </c>
      <c r="D585" s="8" t="s">
        <v>567</v>
      </c>
      <c r="E585" s="459"/>
      <c r="F585" s="6"/>
      <c r="G585" s="451"/>
      <c r="H585" s="6"/>
      <c r="I585" s="6"/>
      <c r="J585" s="6"/>
      <c r="K585" s="6"/>
      <c r="L585" s="6"/>
      <c r="M585" s="451"/>
      <c r="N585" s="451"/>
      <c r="O585" s="6"/>
      <c r="P585" s="6"/>
      <c r="Q585" s="451"/>
      <c r="R585" s="451"/>
      <c r="S585" s="445">
        <f t="shared" si="59"/>
        <v>0</v>
      </c>
      <c r="T585" s="445">
        <f t="shared" si="60"/>
        <v>0</v>
      </c>
      <c r="U585" s="445">
        <f t="shared" si="61"/>
        <v>0</v>
      </c>
      <c r="W585" s="450"/>
      <c r="X585" s="450"/>
      <c r="Y585" s="441"/>
      <c r="Z585" s="441"/>
      <c r="AA585" s="441"/>
      <c r="AB585" s="441"/>
      <c r="AC585" s="441"/>
      <c r="AD585" s="441"/>
      <c r="AE585" s="441"/>
      <c r="AF585" s="441"/>
      <c r="AG585" s="441"/>
      <c r="AH585" s="441"/>
      <c r="AI585" s="441"/>
      <c r="AJ585" s="441"/>
      <c r="AK585" s="441"/>
      <c r="AL585" s="441"/>
      <c r="AM585" s="441"/>
      <c r="AN585" s="441"/>
      <c r="AO585" s="441"/>
      <c r="AP585" s="448"/>
      <c r="AQ585" s="448"/>
      <c r="AR585" s="448"/>
      <c r="AS585" s="448"/>
      <c r="AT585" s="448"/>
      <c r="AU585" s="448"/>
      <c r="AV585" s="448"/>
      <c r="AW585" s="448"/>
      <c r="AX585" s="448"/>
      <c r="AY585" s="448"/>
      <c r="AZ585" s="448"/>
      <c r="BA585" s="448"/>
      <c r="BB585" s="448"/>
      <c r="BC585" s="448"/>
      <c r="BD585" s="448"/>
      <c r="BE585" s="448"/>
      <c r="BF585" s="448"/>
    </row>
    <row r="586" spans="1:58" ht="12.75" hidden="1" thickBot="1">
      <c r="A586" s="1" t="s">
        <v>1275</v>
      </c>
      <c r="B586" s="2" t="s">
        <v>336</v>
      </c>
      <c r="C586" s="2" t="s">
        <v>1102</v>
      </c>
      <c r="D586" s="8" t="s">
        <v>567</v>
      </c>
      <c r="E586" s="460"/>
      <c r="F586" s="4"/>
      <c r="G586" s="449"/>
      <c r="H586" s="4"/>
      <c r="I586" s="4"/>
      <c r="J586" s="4"/>
      <c r="K586" s="4"/>
      <c r="L586" s="4"/>
      <c r="M586" s="449"/>
      <c r="N586" s="449"/>
      <c r="O586" s="4"/>
      <c r="P586" s="4"/>
      <c r="Q586" s="449"/>
      <c r="R586" s="449"/>
      <c r="S586" s="445">
        <f t="shared" si="59"/>
        <v>0</v>
      </c>
      <c r="T586" s="445">
        <f t="shared" si="60"/>
        <v>0</v>
      </c>
      <c r="U586" s="445">
        <f t="shared" si="61"/>
        <v>0</v>
      </c>
      <c r="W586" s="450"/>
      <c r="X586" s="450"/>
      <c r="Y586" s="441"/>
      <c r="Z586" s="441"/>
      <c r="AA586" s="441"/>
      <c r="AB586" s="441"/>
      <c r="AC586" s="441"/>
      <c r="AD586" s="441"/>
      <c r="AE586" s="441"/>
      <c r="AF586" s="441"/>
      <c r="AG586" s="441"/>
      <c r="AH586" s="441"/>
      <c r="AI586" s="441"/>
      <c r="AJ586" s="441"/>
      <c r="AK586" s="441"/>
      <c r="AL586" s="441"/>
      <c r="AM586" s="441"/>
      <c r="AN586" s="441"/>
      <c r="AO586" s="441"/>
      <c r="AP586" s="448"/>
      <c r="AQ586" s="448"/>
      <c r="AR586" s="448"/>
      <c r="AS586" s="448"/>
      <c r="AT586" s="448"/>
      <c r="AU586" s="448"/>
      <c r="AV586" s="448"/>
      <c r="AW586" s="448"/>
      <c r="AX586" s="448"/>
      <c r="AY586" s="448"/>
      <c r="AZ586" s="448"/>
      <c r="BA586" s="448"/>
      <c r="BB586" s="448"/>
      <c r="BC586" s="448"/>
      <c r="BD586" s="448"/>
      <c r="BE586" s="448"/>
      <c r="BF586" s="448"/>
    </row>
    <row r="587" spans="1:58" ht="12.75" hidden="1" thickBot="1">
      <c r="A587" s="1" t="s">
        <v>1275</v>
      </c>
      <c r="B587" s="2" t="s">
        <v>337</v>
      </c>
      <c r="C587" s="2" t="s">
        <v>1103</v>
      </c>
      <c r="D587" s="8" t="s">
        <v>567</v>
      </c>
      <c r="E587" s="459"/>
      <c r="F587" s="6"/>
      <c r="G587" s="451"/>
      <c r="H587" s="6"/>
      <c r="I587" s="6"/>
      <c r="J587" s="6"/>
      <c r="K587" s="6"/>
      <c r="L587" s="6"/>
      <c r="M587" s="451"/>
      <c r="N587" s="451"/>
      <c r="O587" s="6"/>
      <c r="P587" s="6"/>
      <c r="Q587" s="451"/>
      <c r="R587" s="451"/>
      <c r="S587" s="445">
        <f t="shared" si="59"/>
        <v>0</v>
      </c>
      <c r="T587" s="445">
        <f t="shared" si="60"/>
        <v>0</v>
      </c>
      <c r="U587" s="445">
        <f t="shared" si="61"/>
        <v>0</v>
      </c>
      <c r="W587" s="450"/>
      <c r="X587" s="450"/>
      <c r="Y587" s="441"/>
      <c r="Z587" s="441"/>
      <c r="AA587" s="441"/>
      <c r="AB587" s="441"/>
      <c r="AC587" s="441"/>
      <c r="AD587" s="441"/>
      <c r="AE587" s="441"/>
      <c r="AF587" s="441"/>
      <c r="AG587" s="441"/>
      <c r="AH587" s="441"/>
      <c r="AI587" s="441"/>
      <c r="AJ587" s="441"/>
      <c r="AK587" s="441"/>
      <c r="AL587" s="441"/>
      <c r="AM587" s="441"/>
      <c r="AN587" s="441"/>
      <c r="AO587" s="441"/>
      <c r="AP587" s="448"/>
      <c r="AQ587" s="448"/>
      <c r="AR587" s="448"/>
      <c r="AS587" s="448"/>
      <c r="AT587" s="448"/>
      <c r="AU587" s="448"/>
      <c r="AV587" s="448"/>
      <c r="AW587" s="448"/>
      <c r="AX587" s="448"/>
      <c r="AY587" s="448"/>
      <c r="AZ587" s="448"/>
      <c r="BA587" s="448"/>
      <c r="BB587" s="448"/>
      <c r="BC587" s="448"/>
      <c r="BD587" s="448"/>
      <c r="BE587" s="448"/>
      <c r="BF587" s="448"/>
    </row>
    <row r="588" spans="1:58" ht="12.75" hidden="1" thickBot="1">
      <c r="A588" s="1" t="s">
        <v>1275</v>
      </c>
      <c r="B588" s="454" t="s">
        <v>7</v>
      </c>
      <c r="C588" s="455"/>
      <c r="D588" s="7"/>
      <c r="E588" s="7"/>
      <c r="F588" s="456"/>
      <c r="G588" s="456"/>
      <c r="H588" s="456"/>
      <c r="I588" s="456"/>
      <c r="J588" s="456"/>
      <c r="K588" s="456"/>
      <c r="L588" s="456"/>
      <c r="M588" s="456"/>
      <c r="N588" s="456"/>
      <c r="O588" s="456"/>
      <c r="P588" s="456"/>
      <c r="Q588" s="456"/>
      <c r="R588" s="456"/>
      <c r="S588" s="445">
        <f t="shared" si="59"/>
        <v>0</v>
      </c>
      <c r="T588" s="445">
        <f t="shared" si="60"/>
        <v>0</v>
      </c>
      <c r="U588" s="445">
        <f t="shared" si="61"/>
        <v>0</v>
      </c>
      <c r="W588" s="450"/>
      <c r="X588" s="450"/>
      <c r="Y588" s="441"/>
      <c r="Z588" s="441"/>
      <c r="AA588" s="441"/>
      <c r="AB588" s="441"/>
      <c r="AC588" s="441"/>
      <c r="AD588" s="441"/>
      <c r="AE588" s="441"/>
      <c r="AF588" s="441"/>
      <c r="AG588" s="441"/>
      <c r="AH588" s="441"/>
      <c r="AI588" s="441"/>
      <c r="AJ588" s="441"/>
      <c r="AK588" s="441"/>
      <c r="AL588" s="441"/>
      <c r="AM588" s="441"/>
      <c r="AN588" s="441"/>
      <c r="AO588" s="441"/>
      <c r="AP588" s="448"/>
      <c r="AQ588" s="448"/>
      <c r="AR588" s="448"/>
      <c r="AS588" s="448"/>
      <c r="AT588" s="448"/>
      <c r="AU588" s="448"/>
      <c r="AV588" s="448"/>
      <c r="AW588" s="448"/>
      <c r="AX588" s="448"/>
      <c r="AY588" s="448"/>
      <c r="AZ588" s="448"/>
      <c r="BA588" s="448"/>
      <c r="BB588" s="448"/>
      <c r="BC588" s="448"/>
      <c r="BD588" s="448"/>
      <c r="BE588" s="448"/>
      <c r="BF588" s="448"/>
    </row>
    <row r="589" spans="1:58" ht="12.75" hidden="1" thickBot="1">
      <c r="A589" s="1" t="s">
        <v>1276</v>
      </c>
      <c r="B589" s="2" t="s">
        <v>797</v>
      </c>
      <c r="C589" s="2" t="s">
        <v>1031</v>
      </c>
      <c r="D589" s="8" t="s">
        <v>830</v>
      </c>
      <c r="E589" s="457"/>
      <c r="F589" s="4"/>
      <c r="G589" s="4"/>
      <c r="H589" s="4"/>
      <c r="I589" s="4"/>
      <c r="J589" s="4"/>
      <c r="K589" s="4"/>
      <c r="L589" s="4"/>
      <c r="M589" s="4"/>
      <c r="N589" s="4"/>
      <c r="O589" s="4"/>
      <c r="P589" s="4"/>
      <c r="Q589" s="4"/>
      <c r="R589" s="449"/>
      <c r="S589" s="445">
        <f t="shared" si="59"/>
        <v>0</v>
      </c>
      <c r="T589" s="445">
        <f t="shared" si="60"/>
        <v>0</v>
      </c>
      <c r="U589" s="445">
        <f t="shared" si="61"/>
        <v>0</v>
      </c>
      <c r="W589" s="450"/>
      <c r="X589" s="450"/>
      <c r="Y589" s="441"/>
      <c r="Z589" s="441"/>
      <c r="AA589" s="441"/>
      <c r="AB589" s="441"/>
      <c r="AC589" s="441"/>
      <c r="AD589" s="441"/>
      <c r="AE589" s="441"/>
      <c r="AF589" s="441"/>
      <c r="AG589" s="441"/>
      <c r="AH589" s="441"/>
      <c r="AI589" s="441"/>
      <c r="AJ589" s="441"/>
      <c r="AK589" s="441"/>
      <c r="AL589" s="441"/>
      <c r="AM589" s="441"/>
      <c r="AN589" s="441"/>
      <c r="AO589" s="441"/>
      <c r="AP589" s="448"/>
      <c r="AQ589" s="448"/>
      <c r="AR589" s="448"/>
      <c r="AS589" s="448"/>
      <c r="AT589" s="448"/>
      <c r="AU589" s="448"/>
      <c r="AV589" s="448"/>
      <c r="AW589" s="448"/>
      <c r="AX589" s="448"/>
      <c r="AY589" s="448"/>
      <c r="AZ589" s="448"/>
      <c r="BA589" s="448"/>
      <c r="BB589" s="448"/>
      <c r="BC589" s="448"/>
      <c r="BD589" s="448"/>
      <c r="BE589" s="448"/>
      <c r="BF589" s="448"/>
    </row>
    <row r="590" spans="1:58" ht="12.75" hidden="1" thickBot="1">
      <c r="A590" s="1" t="s">
        <v>1276</v>
      </c>
      <c r="B590" s="2" t="s">
        <v>797</v>
      </c>
      <c r="C590" s="2" t="s">
        <v>798</v>
      </c>
      <c r="D590" s="8" t="s">
        <v>830</v>
      </c>
      <c r="E590" s="458"/>
      <c r="F590" s="6"/>
      <c r="G590" s="6"/>
      <c r="H590" s="6"/>
      <c r="I590" s="6"/>
      <c r="J590" s="6"/>
      <c r="K590" s="6"/>
      <c r="L590" s="6"/>
      <c r="M590" s="6"/>
      <c r="N590" s="6"/>
      <c r="O590" s="6"/>
      <c r="P590" s="6"/>
      <c r="Q590" s="6"/>
      <c r="R590" s="451"/>
      <c r="S590" s="445">
        <f t="shared" si="59"/>
        <v>0</v>
      </c>
      <c r="T590" s="445">
        <f t="shared" si="60"/>
        <v>0</v>
      </c>
      <c r="U590" s="445">
        <f t="shared" si="61"/>
        <v>0</v>
      </c>
      <c r="W590" s="450"/>
      <c r="X590" s="450"/>
      <c r="Y590" s="441"/>
      <c r="Z590" s="441"/>
      <c r="AA590" s="441"/>
      <c r="AB590" s="441"/>
      <c r="AC590" s="441"/>
      <c r="AD590" s="441"/>
      <c r="AE590" s="441"/>
      <c r="AF590" s="441"/>
      <c r="AG590" s="441"/>
      <c r="AH590" s="441"/>
      <c r="AI590" s="441"/>
      <c r="AJ590" s="441"/>
      <c r="AK590" s="441"/>
      <c r="AL590" s="441"/>
      <c r="AM590" s="441"/>
      <c r="AN590" s="441"/>
      <c r="AO590" s="441"/>
      <c r="AP590" s="448"/>
      <c r="AQ590" s="448"/>
      <c r="AR590" s="448"/>
      <c r="AS590" s="448"/>
      <c r="AT590" s="448"/>
      <c r="AU590" s="448"/>
      <c r="AV590" s="448"/>
      <c r="AW590" s="448"/>
      <c r="AX590" s="448"/>
      <c r="AY590" s="448"/>
      <c r="AZ590" s="448"/>
      <c r="BA590" s="448"/>
      <c r="BB590" s="448"/>
      <c r="BC590" s="448"/>
      <c r="BD590" s="448"/>
      <c r="BE590" s="448"/>
      <c r="BF590" s="448"/>
    </row>
    <row r="591" spans="1:58" ht="12.75" hidden="1" thickBot="1">
      <c r="A591" s="1" t="s">
        <v>1276</v>
      </c>
      <c r="B591" s="2" t="s">
        <v>793</v>
      </c>
      <c r="C591" s="2" t="s">
        <v>1032</v>
      </c>
      <c r="D591" s="8" t="s">
        <v>793</v>
      </c>
      <c r="E591" s="3">
        <f t="shared" ref="E591:R610" si="62">ROUND(SUMIFS(E$1410:E$1613,$A$1410:$A$1613,$A591,$B$1410:$B$1613,$B591),0)</f>
        <v>7911510</v>
      </c>
      <c r="F591" s="452">
        <f t="shared" si="62"/>
        <v>0</v>
      </c>
      <c r="G591" s="452">
        <f t="shared" si="62"/>
        <v>1715666</v>
      </c>
      <c r="H591" s="452">
        <f t="shared" si="62"/>
        <v>215589</v>
      </c>
      <c r="I591" s="452">
        <f t="shared" si="62"/>
        <v>0</v>
      </c>
      <c r="J591" s="452">
        <f t="shared" si="62"/>
        <v>0</v>
      </c>
      <c r="K591" s="452">
        <f t="shared" si="62"/>
        <v>0</v>
      </c>
      <c r="L591" s="452">
        <f t="shared" si="62"/>
        <v>0</v>
      </c>
      <c r="M591" s="452">
        <f t="shared" si="62"/>
        <v>11986</v>
      </c>
      <c r="N591" s="452">
        <f t="shared" si="62"/>
        <v>73018</v>
      </c>
      <c r="O591" s="452">
        <f t="shared" si="62"/>
        <v>0</v>
      </c>
      <c r="P591" s="452">
        <f t="shared" si="62"/>
        <v>0</v>
      </c>
      <c r="Q591" s="452"/>
      <c r="R591" s="452">
        <f t="shared" si="62"/>
        <v>2016258</v>
      </c>
      <c r="S591" s="445">
        <f t="shared" si="59"/>
        <v>1931255</v>
      </c>
      <c r="T591" s="445">
        <f t="shared" si="60"/>
        <v>0</v>
      </c>
      <c r="U591" s="445">
        <f t="shared" si="61"/>
        <v>73018</v>
      </c>
      <c r="W591" s="450"/>
      <c r="X591" s="450"/>
      <c r="Y591" s="441"/>
      <c r="Z591" s="441"/>
      <c r="AA591" s="441"/>
      <c r="AB591" s="441"/>
      <c r="AC591" s="441"/>
      <c r="AD591" s="441"/>
      <c r="AE591" s="441"/>
      <c r="AF591" s="441"/>
      <c r="AG591" s="441"/>
      <c r="AH591" s="441"/>
      <c r="AI591" s="441"/>
      <c r="AJ591" s="441"/>
      <c r="AK591" s="441"/>
      <c r="AL591" s="441"/>
      <c r="AM591" s="441"/>
      <c r="AN591" s="441"/>
      <c r="AO591" s="441"/>
      <c r="AP591" s="448"/>
      <c r="AQ591" s="448"/>
      <c r="AR591" s="448"/>
      <c r="AS591" s="448"/>
      <c r="AT591" s="448"/>
      <c r="AU591" s="448"/>
      <c r="AV591" s="448"/>
      <c r="AW591" s="448"/>
      <c r="AX591" s="448"/>
      <c r="AY591" s="448"/>
      <c r="AZ591" s="448"/>
      <c r="BA591" s="448"/>
      <c r="BB591" s="448"/>
      <c r="BC591" s="448"/>
      <c r="BD591" s="448"/>
      <c r="BE591" s="448"/>
      <c r="BF591" s="448"/>
    </row>
    <row r="592" spans="1:58" ht="12.75" hidden="1" thickBot="1">
      <c r="A592" s="1" t="s">
        <v>1276</v>
      </c>
      <c r="B592" s="2" t="s">
        <v>1111</v>
      </c>
      <c r="C592" s="2" t="s">
        <v>1199</v>
      </c>
      <c r="D592" s="8" t="s">
        <v>830</v>
      </c>
      <c r="E592" s="3">
        <f t="shared" si="62"/>
        <v>0</v>
      </c>
      <c r="F592" s="452">
        <f t="shared" si="62"/>
        <v>0</v>
      </c>
      <c r="G592" s="452">
        <f t="shared" si="62"/>
        <v>0</v>
      </c>
      <c r="H592" s="452">
        <f t="shared" si="62"/>
        <v>0</v>
      </c>
      <c r="I592" s="452">
        <f t="shared" si="62"/>
        <v>0</v>
      </c>
      <c r="J592" s="452">
        <f t="shared" si="62"/>
        <v>0</v>
      </c>
      <c r="K592" s="452">
        <f t="shared" si="62"/>
        <v>0</v>
      </c>
      <c r="L592" s="452">
        <f t="shared" si="62"/>
        <v>0</v>
      </c>
      <c r="M592" s="452">
        <f t="shared" si="62"/>
        <v>0</v>
      </c>
      <c r="N592" s="452">
        <f t="shared" si="62"/>
        <v>0</v>
      </c>
      <c r="O592" s="452">
        <f t="shared" si="62"/>
        <v>0</v>
      </c>
      <c r="P592" s="452">
        <f t="shared" si="62"/>
        <v>0</v>
      </c>
      <c r="Q592" s="452"/>
      <c r="R592" s="452">
        <f t="shared" si="62"/>
        <v>0</v>
      </c>
      <c r="S592" s="445">
        <f t="shared" si="59"/>
        <v>0</v>
      </c>
      <c r="T592" s="445">
        <f t="shared" si="60"/>
        <v>0</v>
      </c>
      <c r="U592" s="445">
        <f t="shared" si="61"/>
        <v>0</v>
      </c>
      <c r="W592" s="450"/>
      <c r="X592" s="450"/>
      <c r="Y592" s="441"/>
      <c r="Z592" s="441"/>
      <c r="AA592" s="441"/>
      <c r="AB592" s="441"/>
      <c r="AC592" s="441"/>
      <c r="AD592" s="441"/>
      <c r="AE592" s="441"/>
      <c r="AF592" s="441"/>
      <c r="AG592" s="441"/>
      <c r="AH592" s="441"/>
      <c r="AI592" s="441"/>
      <c r="AJ592" s="441"/>
      <c r="AK592" s="441"/>
      <c r="AL592" s="441"/>
      <c r="AM592" s="441"/>
      <c r="AN592" s="441"/>
      <c r="AO592" s="441"/>
      <c r="AP592" s="448"/>
      <c r="AQ592" s="448"/>
      <c r="AR592" s="448"/>
      <c r="AS592" s="448"/>
      <c r="AT592" s="448"/>
      <c r="AU592" s="448"/>
      <c r="AV592" s="448"/>
      <c r="AW592" s="448"/>
      <c r="AX592" s="448"/>
      <c r="AY592" s="448"/>
      <c r="AZ592" s="448"/>
      <c r="BA592" s="448"/>
      <c r="BB592" s="448"/>
      <c r="BC592" s="448"/>
      <c r="BD592" s="448"/>
      <c r="BE592" s="448"/>
      <c r="BF592" s="448"/>
    </row>
    <row r="593" spans="1:58" ht="12.75" hidden="1" thickBot="1">
      <c r="A593" s="1" t="s">
        <v>1276</v>
      </c>
      <c r="B593" s="2" t="s">
        <v>801</v>
      </c>
      <c r="C593" s="2" t="s">
        <v>1243</v>
      </c>
      <c r="D593" s="8" t="s">
        <v>1205</v>
      </c>
      <c r="E593" s="3">
        <f t="shared" si="62"/>
        <v>0</v>
      </c>
      <c r="F593" s="452">
        <f t="shared" si="62"/>
        <v>0</v>
      </c>
      <c r="G593" s="452">
        <f t="shared" si="62"/>
        <v>0</v>
      </c>
      <c r="H593" s="452">
        <f t="shared" si="62"/>
        <v>0</v>
      </c>
      <c r="I593" s="452">
        <f t="shared" si="62"/>
        <v>0</v>
      </c>
      <c r="J593" s="452">
        <f t="shared" si="62"/>
        <v>0</v>
      </c>
      <c r="K593" s="452">
        <f t="shared" si="62"/>
        <v>0</v>
      </c>
      <c r="L593" s="452">
        <f t="shared" si="62"/>
        <v>0</v>
      </c>
      <c r="M593" s="452">
        <f t="shared" si="62"/>
        <v>0</v>
      </c>
      <c r="N593" s="452">
        <f t="shared" si="62"/>
        <v>0</v>
      </c>
      <c r="O593" s="452">
        <f t="shared" si="62"/>
        <v>0</v>
      </c>
      <c r="P593" s="452">
        <f t="shared" si="62"/>
        <v>0</v>
      </c>
      <c r="Q593" s="452"/>
      <c r="R593" s="452">
        <f t="shared" si="62"/>
        <v>0</v>
      </c>
      <c r="S593" s="445">
        <f t="shared" si="59"/>
        <v>0</v>
      </c>
      <c r="T593" s="445">
        <f t="shared" si="60"/>
        <v>0</v>
      </c>
      <c r="U593" s="445">
        <f t="shared" si="61"/>
        <v>0</v>
      </c>
      <c r="W593" s="450"/>
      <c r="X593" s="450"/>
      <c r="Y593" s="441"/>
      <c r="Z593" s="441"/>
      <c r="AA593" s="441"/>
      <c r="AB593" s="441"/>
      <c r="AC593" s="441"/>
      <c r="AD593" s="441"/>
      <c r="AE593" s="441"/>
      <c r="AF593" s="441"/>
      <c r="AG593" s="441"/>
      <c r="AH593" s="441"/>
      <c r="AI593" s="441"/>
      <c r="AJ593" s="441"/>
      <c r="AK593" s="441"/>
      <c r="AL593" s="441"/>
      <c r="AM593" s="441"/>
      <c r="AN593" s="441"/>
      <c r="AO593" s="441"/>
      <c r="AP593" s="448"/>
      <c r="AQ593" s="448"/>
      <c r="AR593" s="448"/>
      <c r="AS593" s="448"/>
      <c r="AT593" s="448"/>
      <c r="AU593" s="448"/>
      <c r="AV593" s="448"/>
      <c r="AW593" s="448"/>
      <c r="AX593" s="448"/>
      <c r="AY593" s="448"/>
      <c r="AZ593" s="448"/>
      <c r="BA593" s="448"/>
      <c r="BB593" s="448"/>
      <c r="BC593" s="448"/>
      <c r="BD593" s="448"/>
      <c r="BE593" s="448"/>
      <c r="BF593" s="448"/>
    </row>
    <row r="594" spans="1:58" ht="12.75" hidden="1" thickBot="1">
      <c r="A594" s="1" t="s">
        <v>1276</v>
      </c>
      <c r="B594" s="2" t="s">
        <v>368</v>
      </c>
      <c r="C594" s="2" t="s">
        <v>1200</v>
      </c>
      <c r="D594" s="8" t="s">
        <v>417</v>
      </c>
      <c r="E594" s="3">
        <f t="shared" si="62"/>
        <v>0</v>
      </c>
      <c r="F594" s="452">
        <f t="shared" si="62"/>
        <v>0</v>
      </c>
      <c r="G594" s="452">
        <f t="shared" si="62"/>
        <v>0</v>
      </c>
      <c r="H594" s="452">
        <f t="shared" si="62"/>
        <v>0</v>
      </c>
      <c r="I594" s="452">
        <f t="shared" si="62"/>
        <v>0</v>
      </c>
      <c r="J594" s="452">
        <f t="shared" si="62"/>
        <v>0</v>
      </c>
      <c r="K594" s="452">
        <f t="shared" si="62"/>
        <v>0</v>
      </c>
      <c r="L594" s="452">
        <f t="shared" si="62"/>
        <v>0</v>
      </c>
      <c r="M594" s="452">
        <f t="shared" si="62"/>
        <v>0</v>
      </c>
      <c r="N594" s="452">
        <f t="shared" si="62"/>
        <v>0</v>
      </c>
      <c r="O594" s="452">
        <f t="shared" si="62"/>
        <v>0</v>
      </c>
      <c r="P594" s="452">
        <f t="shared" si="62"/>
        <v>0</v>
      </c>
      <c r="Q594" s="452"/>
      <c r="R594" s="452">
        <f t="shared" si="62"/>
        <v>0</v>
      </c>
      <c r="S594" s="445">
        <f t="shared" si="59"/>
        <v>0</v>
      </c>
      <c r="T594" s="445">
        <f t="shared" si="60"/>
        <v>0</v>
      </c>
      <c r="U594" s="445">
        <f t="shared" si="61"/>
        <v>0</v>
      </c>
      <c r="W594" s="450"/>
      <c r="X594" s="450"/>
      <c r="Y594" s="441"/>
      <c r="Z594" s="441"/>
      <c r="AA594" s="441"/>
      <c r="AB594" s="441"/>
      <c r="AC594" s="441"/>
      <c r="AD594" s="441"/>
      <c r="AE594" s="441"/>
      <c r="AF594" s="441"/>
      <c r="AG594" s="441"/>
      <c r="AH594" s="441"/>
      <c r="AI594" s="441"/>
      <c r="AJ594" s="441"/>
      <c r="AK594" s="441"/>
      <c r="AL594" s="441"/>
      <c r="AM594" s="441"/>
      <c r="AN594" s="441"/>
      <c r="AO594" s="441"/>
      <c r="AP594" s="448"/>
      <c r="AQ594" s="448"/>
      <c r="AR594" s="448"/>
      <c r="AS594" s="448"/>
      <c r="AT594" s="448"/>
      <c r="AU594" s="448"/>
      <c r="AV594" s="448"/>
      <c r="AW594" s="448"/>
      <c r="AX594" s="448"/>
      <c r="AY594" s="448"/>
      <c r="AZ594" s="448"/>
      <c r="BA594" s="448"/>
      <c r="BB594" s="448"/>
      <c r="BC594" s="448"/>
      <c r="BD594" s="448"/>
      <c r="BE594" s="448"/>
      <c r="BF594" s="448"/>
    </row>
    <row r="595" spans="1:58" ht="12.75" hidden="1" thickBot="1">
      <c r="A595" s="1" t="s">
        <v>1276</v>
      </c>
      <c r="B595" s="2" t="s">
        <v>370</v>
      </c>
      <c r="C595" s="2" t="s">
        <v>118</v>
      </c>
      <c r="D595" s="8" t="s">
        <v>414</v>
      </c>
      <c r="E595" s="3">
        <f t="shared" si="62"/>
        <v>36031760</v>
      </c>
      <c r="F595" s="452">
        <f t="shared" si="62"/>
        <v>565481</v>
      </c>
      <c r="G595" s="452">
        <f t="shared" si="62"/>
        <v>2249102</v>
      </c>
      <c r="H595" s="452">
        <f t="shared" si="62"/>
        <v>981865</v>
      </c>
      <c r="I595" s="452">
        <f t="shared" si="62"/>
        <v>60173</v>
      </c>
      <c r="J595" s="452">
        <f t="shared" si="62"/>
        <v>0</v>
      </c>
      <c r="K595" s="452">
        <f t="shared" si="62"/>
        <v>0</v>
      </c>
      <c r="L595" s="452">
        <f t="shared" si="62"/>
        <v>59241</v>
      </c>
      <c r="M595" s="452">
        <f t="shared" si="62"/>
        <v>54588</v>
      </c>
      <c r="N595" s="452">
        <f t="shared" si="62"/>
        <v>0</v>
      </c>
      <c r="O595" s="452">
        <f t="shared" si="62"/>
        <v>332547</v>
      </c>
      <c r="P595" s="452">
        <f t="shared" si="62"/>
        <v>0</v>
      </c>
      <c r="Q595" s="452"/>
      <c r="R595" s="452">
        <f t="shared" si="62"/>
        <v>4302998</v>
      </c>
      <c r="S595" s="445">
        <f t="shared" si="59"/>
        <v>3291140</v>
      </c>
      <c r="T595" s="445">
        <f t="shared" si="60"/>
        <v>0</v>
      </c>
      <c r="U595" s="445">
        <f t="shared" si="61"/>
        <v>332547</v>
      </c>
      <c r="W595" s="450"/>
      <c r="X595" s="450"/>
      <c r="Y595" s="441"/>
      <c r="Z595" s="441"/>
      <c r="AA595" s="441"/>
      <c r="AB595" s="441"/>
      <c r="AC595" s="441"/>
      <c r="AD595" s="441"/>
      <c r="AE595" s="441"/>
      <c r="AF595" s="441"/>
      <c r="AG595" s="441"/>
      <c r="AH595" s="441"/>
      <c r="AI595" s="441"/>
      <c r="AJ595" s="441"/>
      <c r="AK595" s="441"/>
      <c r="AL595" s="441"/>
      <c r="AM595" s="441"/>
      <c r="AN595" s="441"/>
      <c r="AO595" s="441"/>
      <c r="AP595" s="448"/>
      <c r="AQ595" s="448"/>
      <c r="AR595" s="448"/>
      <c r="AS595" s="448"/>
      <c r="AT595" s="448"/>
      <c r="AU595" s="448"/>
      <c r="AV595" s="448"/>
      <c r="AW595" s="448"/>
      <c r="AX595" s="448"/>
      <c r="AY595" s="448"/>
      <c r="AZ595" s="448"/>
      <c r="BA595" s="448"/>
      <c r="BB595" s="448"/>
      <c r="BC595" s="448"/>
      <c r="BD595" s="448"/>
      <c r="BE595" s="448"/>
      <c r="BF595" s="448"/>
    </row>
    <row r="596" spans="1:58" ht="12.75" hidden="1" thickBot="1">
      <c r="A596" s="1" t="s">
        <v>1276</v>
      </c>
      <c r="B596" s="2" t="s">
        <v>371</v>
      </c>
      <c r="C596" s="2" t="s">
        <v>1201</v>
      </c>
      <c r="D596" s="8" t="s">
        <v>414</v>
      </c>
      <c r="E596" s="3">
        <f t="shared" si="62"/>
        <v>0</v>
      </c>
      <c r="F596" s="452">
        <f t="shared" si="62"/>
        <v>0</v>
      </c>
      <c r="G596" s="452">
        <f t="shared" si="62"/>
        <v>0</v>
      </c>
      <c r="H596" s="452">
        <f t="shared" si="62"/>
        <v>0</v>
      </c>
      <c r="I596" s="452">
        <f t="shared" si="62"/>
        <v>0</v>
      </c>
      <c r="J596" s="452">
        <f t="shared" si="62"/>
        <v>0</v>
      </c>
      <c r="K596" s="452">
        <f t="shared" si="62"/>
        <v>0</v>
      </c>
      <c r="L596" s="452">
        <f t="shared" si="62"/>
        <v>0</v>
      </c>
      <c r="M596" s="452">
        <f t="shared" si="62"/>
        <v>0</v>
      </c>
      <c r="N596" s="452">
        <f t="shared" si="62"/>
        <v>0</v>
      </c>
      <c r="O596" s="452">
        <f t="shared" si="62"/>
        <v>0</v>
      </c>
      <c r="P596" s="452">
        <f t="shared" si="62"/>
        <v>0</v>
      </c>
      <c r="Q596" s="452"/>
      <c r="R596" s="452">
        <f t="shared" si="62"/>
        <v>0</v>
      </c>
      <c r="S596" s="445">
        <f t="shared" si="59"/>
        <v>0</v>
      </c>
      <c r="T596" s="445">
        <f t="shared" si="60"/>
        <v>0</v>
      </c>
      <c r="U596" s="445">
        <f t="shared" si="61"/>
        <v>0</v>
      </c>
      <c r="W596" s="450"/>
      <c r="X596" s="450"/>
      <c r="Y596" s="441"/>
      <c r="Z596" s="441"/>
      <c r="AA596" s="441"/>
      <c r="AB596" s="441"/>
      <c r="AC596" s="441"/>
      <c r="AD596" s="441"/>
      <c r="AE596" s="441"/>
      <c r="AF596" s="441"/>
      <c r="AG596" s="441"/>
      <c r="AH596" s="441"/>
      <c r="AI596" s="441"/>
      <c r="AJ596" s="441"/>
      <c r="AK596" s="441"/>
      <c r="AL596" s="441"/>
      <c r="AM596" s="441"/>
      <c r="AN596" s="441"/>
      <c r="AO596" s="441"/>
      <c r="AP596" s="448"/>
      <c r="AQ596" s="448"/>
      <c r="AR596" s="448"/>
      <c r="AS596" s="448"/>
      <c r="AT596" s="448"/>
      <c r="AU596" s="448"/>
      <c r="AV596" s="448"/>
      <c r="AW596" s="448"/>
      <c r="AX596" s="448"/>
      <c r="AY596" s="448"/>
      <c r="AZ596" s="448"/>
      <c r="BA596" s="448"/>
      <c r="BB596" s="448"/>
      <c r="BC596" s="448"/>
      <c r="BD596" s="448"/>
      <c r="BE596" s="448"/>
      <c r="BF596" s="448"/>
    </row>
    <row r="597" spans="1:58" ht="12.75" hidden="1" thickBot="1">
      <c r="A597" s="1" t="s">
        <v>1276</v>
      </c>
      <c r="B597" s="2" t="s">
        <v>372</v>
      </c>
      <c r="C597" s="2" t="s">
        <v>1202</v>
      </c>
      <c r="D597" s="8" t="s">
        <v>416</v>
      </c>
      <c r="E597" s="3">
        <f t="shared" si="62"/>
        <v>0</v>
      </c>
      <c r="F597" s="452">
        <f t="shared" si="62"/>
        <v>0</v>
      </c>
      <c r="G597" s="452">
        <f t="shared" si="62"/>
        <v>0</v>
      </c>
      <c r="H597" s="452">
        <f t="shared" si="62"/>
        <v>0</v>
      </c>
      <c r="I597" s="452">
        <f t="shared" si="62"/>
        <v>0</v>
      </c>
      <c r="J597" s="452">
        <f t="shared" si="62"/>
        <v>0</v>
      </c>
      <c r="K597" s="452">
        <f t="shared" si="62"/>
        <v>0</v>
      </c>
      <c r="L597" s="452">
        <f t="shared" si="62"/>
        <v>0</v>
      </c>
      <c r="M597" s="452">
        <f t="shared" si="62"/>
        <v>0</v>
      </c>
      <c r="N597" s="452">
        <f t="shared" si="62"/>
        <v>0</v>
      </c>
      <c r="O597" s="452">
        <f t="shared" si="62"/>
        <v>0</v>
      </c>
      <c r="P597" s="452">
        <f t="shared" si="62"/>
        <v>0</v>
      </c>
      <c r="Q597" s="452"/>
      <c r="R597" s="452">
        <f t="shared" si="62"/>
        <v>0</v>
      </c>
      <c r="S597" s="445">
        <f t="shared" ref="S597:S658" si="63">G597+H597+I597</f>
        <v>0</v>
      </c>
      <c r="T597" s="445">
        <f t="shared" ref="T597:T658" si="64">J597+K597</f>
        <v>0</v>
      </c>
      <c r="U597" s="445">
        <f t="shared" ref="U597:U658" si="65">N597+O597</f>
        <v>0</v>
      </c>
      <c r="W597" s="450"/>
      <c r="X597" s="450"/>
      <c r="Y597" s="441"/>
      <c r="Z597" s="441"/>
      <c r="AA597" s="441"/>
      <c r="AB597" s="441"/>
      <c r="AC597" s="441"/>
      <c r="AD597" s="441"/>
      <c r="AE597" s="441"/>
      <c r="AF597" s="441"/>
      <c r="AG597" s="441"/>
      <c r="AH597" s="441"/>
      <c r="AI597" s="441"/>
      <c r="AJ597" s="441"/>
      <c r="AK597" s="441"/>
      <c r="AL597" s="441"/>
      <c r="AM597" s="441"/>
      <c r="AN597" s="441"/>
      <c r="AO597" s="441"/>
      <c r="AP597" s="448"/>
      <c r="AQ597" s="448"/>
      <c r="AR597" s="448"/>
      <c r="AS597" s="448"/>
      <c r="AT597" s="448"/>
      <c r="AU597" s="448"/>
      <c r="AV597" s="448"/>
      <c r="AW597" s="448"/>
      <c r="AX597" s="448"/>
      <c r="AY597" s="448"/>
      <c r="AZ597" s="448"/>
      <c r="BA597" s="448"/>
      <c r="BB597" s="448"/>
      <c r="BC597" s="448"/>
      <c r="BD597" s="448"/>
      <c r="BE597" s="448"/>
      <c r="BF597" s="448"/>
    </row>
    <row r="598" spans="1:58" ht="12.75" hidden="1" thickBot="1">
      <c r="A598" s="1" t="s">
        <v>1276</v>
      </c>
      <c r="B598" s="2" t="s">
        <v>374</v>
      </c>
      <c r="C598" s="2" t="s">
        <v>415</v>
      </c>
      <c r="D598" s="8" t="s">
        <v>414</v>
      </c>
      <c r="E598" s="3">
        <f t="shared" si="62"/>
        <v>0</v>
      </c>
      <c r="F598" s="452">
        <f t="shared" si="62"/>
        <v>0</v>
      </c>
      <c r="G598" s="452">
        <f t="shared" si="62"/>
        <v>0</v>
      </c>
      <c r="H598" s="452">
        <f t="shared" si="62"/>
        <v>0</v>
      </c>
      <c r="I598" s="452">
        <f t="shared" si="62"/>
        <v>0</v>
      </c>
      <c r="J598" s="452">
        <f t="shared" si="62"/>
        <v>0</v>
      </c>
      <c r="K598" s="452">
        <f t="shared" si="62"/>
        <v>0</v>
      </c>
      <c r="L598" s="452">
        <f t="shared" si="62"/>
        <v>0</v>
      </c>
      <c r="M598" s="452">
        <f t="shared" si="62"/>
        <v>0</v>
      </c>
      <c r="N598" s="452">
        <f t="shared" si="62"/>
        <v>0</v>
      </c>
      <c r="O598" s="452">
        <f t="shared" si="62"/>
        <v>0</v>
      </c>
      <c r="P598" s="452">
        <f t="shared" si="62"/>
        <v>0</v>
      </c>
      <c r="Q598" s="452"/>
      <c r="R598" s="452">
        <f t="shared" si="62"/>
        <v>0</v>
      </c>
      <c r="S598" s="445">
        <f t="shared" si="63"/>
        <v>0</v>
      </c>
      <c r="T598" s="445">
        <f t="shared" si="64"/>
        <v>0</v>
      </c>
      <c r="U598" s="445">
        <f t="shared" si="65"/>
        <v>0</v>
      </c>
      <c r="W598" s="450"/>
      <c r="X598" s="450"/>
      <c r="Y598" s="441"/>
      <c r="Z598" s="441"/>
      <c r="AA598" s="441"/>
      <c r="AB598" s="441"/>
      <c r="AC598" s="441"/>
      <c r="AD598" s="441"/>
      <c r="AE598" s="441"/>
      <c r="AF598" s="441"/>
      <c r="AG598" s="441"/>
      <c r="AH598" s="441"/>
      <c r="AI598" s="441"/>
      <c r="AJ598" s="441"/>
      <c r="AK598" s="441"/>
      <c r="AL598" s="441"/>
      <c r="AM598" s="441"/>
      <c r="AN598" s="441"/>
      <c r="AO598" s="441"/>
      <c r="AP598" s="448"/>
      <c r="AQ598" s="448"/>
      <c r="AR598" s="448"/>
      <c r="AS598" s="448"/>
      <c r="AT598" s="448"/>
      <c r="AU598" s="448"/>
      <c r="AV598" s="448"/>
      <c r="AW598" s="448"/>
      <c r="AX598" s="448"/>
      <c r="AY598" s="448"/>
      <c r="AZ598" s="448"/>
      <c r="BA598" s="448"/>
      <c r="BB598" s="448"/>
      <c r="BC598" s="448"/>
      <c r="BD598" s="448"/>
      <c r="BE598" s="448"/>
      <c r="BF598" s="448"/>
    </row>
    <row r="599" spans="1:58" ht="12.75" hidden="1" thickBot="1">
      <c r="A599" s="1" t="s">
        <v>1276</v>
      </c>
      <c r="B599" s="2" t="s">
        <v>375</v>
      </c>
      <c r="C599" s="2" t="s">
        <v>406</v>
      </c>
      <c r="D599" s="8" t="s">
        <v>20</v>
      </c>
      <c r="E599" s="3">
        <f t="shared" si="62"/>
        <v>170619420</v>
      </c>
      <c r="F599" s="452">
        <f t="shared" si="62"/>
        <v>232650</v>
      </c>
      <c r="G599" s="452">
        <f t="shared" si="62"/>
        <v>2277769</v>
      </c>
      <c r="H599" s="452">
        <f t="shared" si="62"/>
        <v>4649379</v>
      </c>
      <c r="I599" s="452">
        <f t="shared" si="62"/>
        <v>0</v>
      </c>
      <c r="J599" s="452">
        <f t="shared" si="62"/>
        <v>186831</v>
      </c>
      <c r="K599" s="452">
        <f t="shared" si="62"/>
        <v>6196551</v>
      </c>
      <c r="L599" s="452">
        <f t="shared" si="62"/>
        <v>280522</v>
      </c>
      <c r="M599" s="452">
        <f t="shared" si="62"/>
        <v>258487</v>
      </c>
      <c r="N599" s="452">
        <f t="shared" si="62"/>
        <v>0</v>
      </c>
      <c r="O599" s="452">
        <f t="shared" si="62"/>
        <v>1574695</v>
      </c>
      <c r="P599" s="452">
        <f t="shared" si="62"/>
        <v>0</v>
      </c>
      <c r="Q599" s="452"/>
      <c r="R599" s="452">
        <f t="shared" si="62"/>
        <v>15656883</v>
      </c>
      <c r="S599" s="445">
        <f t="shared" si="63"/>
        <v>6927148</v>
      </c>
      <c r="T599" s="445">
        <f t="shared" si="64"/>
        <v>6383382</v>
      </c>
      <c r="U599" s="445">
        <f t="shared" si="65"/>
        <v>1574695</v>
      </c>
      <c r="W599" s="450"/>
      <c r="X599" s="450"/>
      <c r="Y599" s="441"/>
      <c r="Z599" s="441"/>
      <c r="AA599" s="441"/>
      <c r="AB599" s="441"/>
      <c r="AC599" s="441"/>
      <c r="AD599" s="441"/>
      <c r="AE599" s="441"/>
      <c r="AF599" s="441"/>
      <c r="AG599" s="441"/>
      <c r="AH599" s="441"/>
      <c r="AI599" s="441"/>
      <c r="AJ599" s="441"/>
      <c r="AK599" s="441"/>
      <c r="AL599" s="441"/>
      <c r="AM599" s="441"/>
      <c r="AN599" s="441"/>
      <c r="AO599" s="441"/>
      <c r="AP599" s="448"/>
      <c r="AQ599" s="448"/>
      <c r="AR599" s="448"/>
      <c r="AS599" s="448"/>
      <c r="AT599" s="448"/>
      <c r="AU599" s="448"/>
      <c r="AV599" s="448"/>
      <c r="AW599" s="448"/>
      <c r="AX599" s="448"/>
      <c r="AY599" s="448"/>
      <c r="AZ599" s="448"/>
      <c r="BA599" s="448"/>
      <c r="BB599" s="448"/>
      <c r="BC599" s="448"/>
      <c r="BD599" s="448"/>
      <c r="BE599" s="448"/>
      <c r="BF599" s="448"/>
    </row>
    <row r="600" spans="1:58" ht="12.75" hidden="1" thickBot="1">
      <c r="A600" s="1" t="s">
        <v>1276</v>
      </c>
      <c r="B600" s="2" t="s">
        <v>376</v>
      </c>
      <c r="C600" s="2" t="s">
        <v>404</v>
      </c>
      <c r="D600" s="8" t="s">
        <v>21</v>
      </c>
      <c r="E600" s="3">
        <f t="shared" si="62"/>
        <v>14473039</v>
      </c>
      <c r="F600" s="452">
        <f t="shared" si="62"/>
        <v>8840</v>
      </c>
      <c r="G600" s="452">
        <f t="shared" si="62"/>
        <v>173821</v>
      </c>
      <c r="H600" s="452">
        <f t="shared" si="62"/>
        <v>394390</v>
      </c>
      <c r="I600" s="452">
        <f t="shared" si="62"/>
        <v>0</v>
      </c>
      <c r="J600" s="452">
        <f t="shared" si="62"/>
        <v>15401</v>
      </c>
      <c r="K600" s="452">
        <f t="shared" si="62"/>
        <v>432187</v>
      </c>
      <c r="L600" s="452">
        <f t="shared" si="62"/>
        <v>23796</v>
      </c>
      <c r="M600" s="452">
        <f t="shared" si="62"/>
        <v>21927</v>
      </c>
      <c r="N600" s="452">
        <f t="shared" si="62"/>
        <v>0</v>
      </c>
      <c r="O600" s="452">
        <f t="shared" si="62"/>
        <v>133576</v>
      </c>
      <c r="P600" s="452">
        <f t="shared" si="62"/>
        <v>0</v>
      </c>
      <c r="Q600" s="452"/>
      <c r="R600" s="452">
        <f t="shared" si="62"/>
        <v>1203937</v>
      </c>
      <c r="S600" s="445">
        <f t="shared" si="63"/>
        <v>568211</v>
      </c>
      <c r="T600" s="445">
        <f t="shared" si="64"/>
        <v>447588</v>
      </c>
      <c r="U600" s="445">
        <f t="shared" si="65"/>
        <v>133576</v>
      </c>
      <c r="W600" s="450"/>
      <c r="X600" s="450"/>
      <c r="Y600" s="441"/>
      <c r="Z600" s="441"/>
      <c r="AA600" s="441"/>
      <c r="AB600" s="441"/>
      <c r="AC600" s="441"/>
      <c r="AD600" s="441"/>
      <c r="AE600" s="441"/>
      <c r="AF600" s="441"/>
      <c r="AG600" s="441"/>
      <c r="AH600" s="441"/>
      <c r="AI600" s="441"/>
      <c r="AJ600" s="441"/>
      <c r="AK600" s="441"/>
      <c r="AL600" s="441"/>
      <c r="AM600" s="441"/>
      <c r="AN600" s="441"/>
      <c r="AO600" s="441"/>
      <c r="AP600" s="448"/>
      <c r="AQ600" s="448"/>
      <c r="AR600" s="448"/>
      <c r="AS600" s="448"/>
      <c r="AT600" s="448"/>
      <c r="AU600" s="448"/>
      <c r="AV600" s="448"/>
      <c r="AW600" s="448"/>
      <c r="AX600" s="448"/>
      <c r="AY600" s="448"/>
      <c r="AZ600" s="448"/>
      <c r="BA600" s="448"/>
      <c r="BB600" s="448"/>
      <c r="BC600" s="448"/>
      <c r="BD600" s="448"/>
      <c r="BE600" s="448"/>
      <c r="BF600" s="448"/>
    </row>
    <row r="601" spans="1:58" ht="12.75" hidden="1" thickBot="1">
      <c r="A601" s="1" t="s">
        <v>1276</v>
      </c>
      <c r="B601" s="2" t="s">
        <v>377</v>
      </c>
      <c r="C601" s="2" t="s">
        <v>407</v>
      </c>
      <c r="D601" s="8" t="s">
        <v>20</v>
      </c>
      <c r="E601" s="3">
        <f t="shared" si="62"/>
        <v>0</v>
      </c>
      <c r="F601" s="452">
        <f t="shared" si="62"/>
        <v>0</v>
      </c>
      <c r="G601" s="452">
        <f t="shared" si="62"/>
        <v>0</v>
      </c>
      <c r="H601" s="452">
        <f t="shared" si="62"/>
        <v>0</v>
      </c>
      <c r="I601" s="452">
        <f t="shared" si="62"/>
        <v>0</v>
      </c>
      <c r="J601" s="452">
        <f t="shared" si="62"/>
        <v>0</v>
      </c>
      <c r="K601" s="452">
        <f t="shared" si="62"/>
        <v>0</v>
      </c>
      <c r="L601" s="452">
        <f t="shared" si="62"/>
        <v>0</v>
      </c>
      <c r="M601" s="452">
        <f t="shared" si="62"/>
        <v>0</v>
      </c>
      <c r="N601" s="452">
        <f t="shared" si="62"/>
        <v>0</v>
      </c>
      <c r="O601" s="452">
        <f t="shared" si="62"/>
        <v>0</v>
      </c>
      <c r="P601" s="452">
        <f t="shared" si="62"/>
        <v>0</v>
      </c>
      <c r="Q601" s="452"/>
      <c r="R601" s="452">
        <f t="shared" si="62"/>
        <v>0</v>
      </c>
      <c r="S601" s="445">
        <f t="shared" si="63"/>
        <v>0</v>
      </c>
      <c r="T601" s="445">
        <f t="shared" si="64"/>
        <v>0</v>
      </c>
      <c r="U601" s="445">
        <f t="shared" si="65"/>
        <v>0</v>
      </c>
      <c r="W601" s="450"/>
      <c r="X601" s="450"/>
      <c r="Y601" s="441"/>
      <c r="Z601" s="441"/>
      <c r="AA601" s="441"/>
      <c r="AB601" s="441"/>
      <c r="AC601" s="441"/>
      <c r="AD601" s="441"/>
      <c r="AE601" s="441"/>
      <c r="AF601" s="441"/>
      <c r="AG601" s="441"/>
      <c r="AH601" s="441"/>
      <c r="AI601" s="441"/>
      <c r="AJ601" s="441"/>
      <c r="AK601" s="441"/>
      <c r="AL601" s="441"/>
      <c r="AM601" s="441"/>
      <c r="AN601" s="441"/>
      <c r="AO601" s="441"/>
      <c r="AP601" s="448"/>
      <c r="AQ601" s="448"/>
      <c r="AR601" s="448"/>
      <c r="AS601" s="448"/>
      <c r="AT601" s="448"/>
      <c r="AU601" s="448"/>
      <c r="AV601" s="448"/>
      <c r="AW601" s="448"/>
      <c r="AX601" s="448"/>
      <c r="AY601" s="448"/>
      <c r="AZ601" s="448"/>
      <c r="BA601" s="448"/>
      <c r="BB601" s="448"/>
      <c r="BC601" s="448"/>
      <c r="BD601" s="448"/>
      <c r="BE601" s="448"/>
      <c r="BF601" s="448"/>
    </row>
    <row r="602" spans="1:58" ht="12.75" hidden="1" thickBot="1">
      <c r="A602" s="1" t="s">
        <v>1276</v>
      </c>
      <c r="B602" s="2" t="s">
        <v>378</v>
      </c>
      <c r="C602" s="2" t="s">
        <v>1033</v>
      </c>
      <c r="D602" s="8" t="s">
        <v>1006</v>
      </c>
      <c r="E602" s="3">
        <f t="shared" si="62"/>
        <v>76748015</v>
      </c>
      <c r="F602" s="452">
        <f t="shared" si="62"/>
        <v>45400</v>
      </c>
      <c r="G602" s="452">
        <f t="shared" si="62"/>
        <v>970862</v>
      </c>
      <c r="H602" s="452">
        <f t="shared" si="62"/>
        <v>2091383</v>
      </c>
      <c r="I602" s="452">
        <f t="shared" si="62"/>
        <v>0</v>
      </c>
      <c r="J602" s="452">
        <f t="shared" si="62"/>
        <v>72367</v>
      </c>
      <c r="K602" s="452">
        <f t="shared" si="62"/>
        <v>2124375</v>
      </c>
      <c r="L602" s="452">
        <f t="shared" si="62"/>
        <v>126184</v>
      </c>
      <c r="M602" s="452">
        <f t="shared" si="62"/>
        <v>116272</v>
      </c>
      <c r="N602" s="452">
        <f t="shared" si="62"/>
        <v>0</v>
      </c>
      <c r="O602" s="452">
        <f t="shared" si="62"/>
        <v>708329</v>
      </c>
      <c r="P602" s="452">
        <f t="shared" si="62"/>
        <v>0</v>
      </c>
      <c r="Q602" s="452"/>
      <c r="R602" s="452">
        <f t="shared" si="62"/>
        <v>6255173</v>
      </c>
      <c r="S602" s="445">
        <f t="shared" si="63"/>
        <v>3062245</v>
      </c>
      <c r="T602" s="445">
        <f t="shared" si="64"/>
        <v>2196742</v>
      </c>
      <c r="U602" s="445">
        <f t="shared" si="65"/>
        <v>708329</v>
      </c>
      <c r="W602" s="450"/>
      <c r="X602" s="450"/>
      <c r="Y602" s="441"/>
      <c r="Z602" s="441"/>
      <c r="AA602" s="441"/>
      <c r="AB602" s="441"/>
      <c r="AC602" s="441"/>
      <c r="AD602" s="441"/>
      <c r="AE602" s="441"/>
      <c r="AF602" s="441"/>
      <c r="AG602" s="441"/>
      <c r="AH602" s="441"/>
      <c r="AI602" s="441"/>
      <c r="AJ602" s="441"/>
      <c r="AK602" s="441"/>
      <c r="AL602" s="441"/>
      <c r="AM602" s="441"/>
      <c r="AN602" s="441"/>
      <c r="AO602" s="441"/>
      <c r="AP602" s="448"/>
      <c r="AQ602" s="448"/>
      <c r="AR602" s="448"/>
      <c r="AS602" s="448"/>
      <c r="AT602" s="448"/>
      <c r="AU602" s="448"/>
      <c r="AV602" s="448"/>
      <c r="AW602" s="448"/>
      <c r="AX602" s="448"/>
      <c r="AY602" s="448"/>
      <c r="AZ602" s="448"/>
      <c r="BA602" s="448"/>
      <c r="BB602" s="448"/>
      <c r="BC602" s="448"/>
      <c r="BD602" s="448"/>
      <c r="BE602" s="448"/>
      <c r="BF602" s="448"/>
    </row>
    <row r="603" spans="1:58" ht="12.75" hidden="1" thickBot="1">
      <c r="A603" s="1" t="s">
        <v>1276</v>
      </c>
      <c r="B603" s="2" t="s">
        <v>379</v>
      </c>
      <c r="C603" s="2" t="s">
        <v>408</v>
      </c>
      <c r="D603" s="8" t="s">
        <v>409</v>
      </c>
      <c r="E603" s="3">
        <f t="shared" si="62"/>
        <v>35716090</v>
      </c>
      <c r="F603" s="452">
        <f t="shared" si="62"/>
        <v>12300</v>
      </c>
      <c r="G603" s="452">
        <f t="shared" si="62"/>
        <v>387520</v>
      </c>
      <c r="H603" s="452">
        <f t="shared" si="62"/>
        <v>973263</v>
      </c>
      <c r="I603" s="452">
        <f t="shared" si="62"/>
        <v>0</v>
      </c>
      <c r="J603" s="452">
        <f t="shared" si="62"/>
        <v>32093</v>
      </c>
      <c r="K603" s="452">
        <f t="shared" si="62"/>
        <v>1028337</v>
      </c>
      <c r="L603" s="452">
        <f t="shared" si="62"/>
        <v>58722</v>
      </c>
      <c r="M603" s="452">
        <f t="shared" si="62"/>
        <v>54110</v>
      </c>
      <c r="N603" s="452">
        <f t="shared" si="62"/>
        <v>0</v>
      </c>
      <c r="O603" s="452">
        <f t="shared" si="62"/>
        <v>329634</v>
      </c>
      <c r="P603" s="452">
        <f t="shared" si="62"/>
        <v>0</v>
      </c>
      <c r="Q603" s="452"/>
      <c r="R603" s="452">
        <f t="shared" si="62"/>
        <v>2875979</v>
      </c>
      <c r="S603" s="445">
        <f t="shared" si="63"/>
        <v>1360783</v>
      </c>
      <c r="T603" s="445">
        <f t="shared" si="64"/>
        <v>1060430</v>
      </c>
      <c r="U603" s="445">
        <f t="shared" si="65"/>
        <v>329634</v>
      </c>
      <c r="W603" s="450"/>
      <c r="X603" s="450"/>
      <c r="Y603" s="441"/>
      <c r="Z603" s="441"/>
      <c r="AA603" s="441"/>
      <c r="AB603" s="441"/>
      <c r="AC603" s="441"/>
      <c r="AD603" s="441"/>
      <c r="AE603" s="441"/>
      <c r="AF603" s="441"/>
      <c r="AG603" s="441"/>
      <c r="AH603" s="441"/>
      <c r="AI603" s="441"/>
      <c r="AJ603" s="441"/>
      <c r="AK603" s="441"/>
      <c r="AL603" s="441"/>
      <c r="AM603" s="441"/>
      <c r="AN603" s="441"/>
      <c r="AO603" s="441"/>
      <c r="AP603" s="448"/>
      <c r="AQ603" s="448"/>
      <c r="AR603" s="448"/>
      <c r="AS603" s="448"/>
      <c r="AT603" s="448"/>
      <c r="AU603" s="448"/>
      <c r="AV603" s="448"/>
      <c r="AW603" s="448"/>
      <c r="AX603" s="448"/>
      <c r="AY603" s="448"/>
      <c r="AZ603" s="448"/>
      <c r="BA603" s="448"/>
      <c r="BB603" s="448"/>
      <c r="BC603" s="448"/>
      <c r="BD603" s="448"/>
      <c r="BE603" s="448"/>
      <c r="BF603" s="448"/>
    </row>
    <row r="604" spans="1:58" ht="12.75" hidden="1" thickBot="1">
      <c r="A604" s="1" t="s">
        <v>1276</v>
      </c>
      <c r="B604" s="2" t="s">
        <v>381</v>
      </c>
      <c r="C604" s="2" t="s">
        <v>59</v>
      </c>
      <c r="D604" s="8" t="s">
        <v>14</v>
      </c>
      <c r="E604" s="3">
        <f t="shared" si="62"/>
        <v>92005903</v>
      </c>
      <c r="F604" s="452">
        <f t="shared" si="62"/>
        <v>574594</v>
      </c>
      <c r="G604" s="452">
        <f t="shared" si="62"/>
        <v>5743008</v>
      </c>
      <c r="H604" s="452">
        <f t="shared" si="62"/>
        <v>2507161</v>
      </c>
      <c r="I604" s="452">
        <f t="shared" si="62"/>
        <v>153650</v>
      </c>
      <c r="J604" s="452">
        <f t="shared" si="62"/>
        <v>0</v>
      </c>
      <c r="K604" s="452">
        <f t="shared" si="62"/>
        <v>0</v>
      </c>
      <c r="L604" s="452">
        <f t="shared" si="62"/>
        <v>151270</v>
      </c>
      <c r="M604" s="452">
        <f t="shared" si="62"/>
        <v>139388</v>
      </c>
      <c r="N604" s="452">
        <f t="shared" si="62"/>
        <v>0</v>
      </c>
      <c r="O604" s="452">
        <f t="shared" si="62"/>
        <v>849148</v>
      </c>
      <c r="P604" s="452">
        <f t="shared" si="62"/>
        <v>0</v>
      </c>
      <c r="Q604" s="452"/>
      <c r="R604" s="452">
        <f t="shared" si="62"/>
        <v>10118220</v>
      </c>
      <c r="S604" s="445">
        <f t="shared" si="63"/>
        <v>8403819</v>
      </c>
      <c r="T604" s="445">
        <f t="shared" si="64"/>
        <v>0</v>
      </c>
      <c r="U604" s="445">
        <f t="shared" si="65"/>
        <v>849148</v>
      </c>
      <c r="W604" s="450"/>
      <c r="X604" s="450"/>
      <c r="Y604" s="441"/>
      <c r="Z604" s="441"/>
      <c r="AA604" s="441"/>
      <c r="AB604" s="441"/>
      <c r="AC604" s="441"/>
      <c r="AD604" s="441"/>
      <c r="AE604" s="441"/>
      <c r="AF604" s="441"/>
      <c r="AG604" s="441"/>
      <c r="AH604" s="441"/>
      <c r="AI604" s="441"/>
      <c r="AJ604" s="441"/>
      <c r="AK604" s="441"/>
      <c r="AL604" s="441"/>
      <c r="AM604" s="441"/>
      <c r="AN604" s="441"/>
      <c r="AO604" s="441"/>
      <c r="AP604" s="448"/>
      <c r="AQ604" s="448"/>
      <c r="AR604" s="448"/>
      <c r="AS604" s="448"/>
      <c r="AT604" s="448"/>
      <c r="AU604" s="448"/>
      <c r="AV604" s="448"/>
      <c r="AW604" s="448"/>
      <c r="AX604" s="448"/>
      <c r="AY604" s="448"/>
      <c r="AZ604" s="448"/>
      <c r="BA604" s="448"/>
      <c r="BB604" s="448"/>
      <c r="BC604" s="448"/>
      <c r="BD604" s="448"/>
      <c r="BE604" s="448"/>
      <c r="BF604" s="448"/>
    </row>
    <row r="605" spans="1:58" ht="12.75" hidden="1" thickBot="1">
      <c r="A605" s="1" t="s">
        <v>1276</v>
      </c>
      <c r="B605" s="2" t="s">
        <v>382</v>
      </c>
      <c r="C605" s="2" t="s">
        <v>1244</v>
      </c>
      <c r="D605" s="8" t="s">
        <v>14</v>
      </c>
      <c r="E605" s="3">
        <f t="shared" si="62"/>
        <v>0</v>
      </c>
      <c r="F605" s="452">
        <f t="shared" si="62"/>
        <v>0</v>
      </c>
      <c r="G605" s="452">
        <f t="shared" si="62"/>
        <v>0</v>
      </c>
      <c r="H605" s="452">
        <f t="shared" si="62"/>
        <v>0</v>
      </c>
      <c r="I605" s="452">
        <f t="shared" si="62"/>
        <v>0</v>
      </c>
      <c r="J605" s="452">
        <f t="shared" si="62"/>
        <v>0</v>
      </c>
      <c r="K605" s="452">
        <f t="shared" si="62"/>
        <v>0</v>
      </c>
      <c r="L605" s="452">
        <f t="shared" si="62"/>
        <v>0</v>
      </c>
      <c r="M605" s="452">
        <f t="shared" si="62"/>
        <v>0</v>
      </c>
      <c r="N605" s="452">
        <f t="shared" si="62"/>
        <v>0</v>
      </c>
      <c r="O605" s="452">
        <f t="shared" si="62"/>
        <v>0</v>
      </c>
      <c r="P605" s="452">
        <f t="shared" si="62"/>
        <v>0</v>
      </c>
      <c r="Q605" s="452"/>
      <c r="R605" s="452">
        <f t="shared" si="62"/>
        <v>0</v>
      </c>
      <c r="S605" s="445">
        <f t="shared" si="63"/>
        <v>0</v>
      </c>
      <c r="T605" s="445">
        <f t="shared" si="64"/>
        <v>0</v>
      </c>
      <c r="U605" s="445">
        <f t="shared" si="65"/>
        <v>0</v>
      </c>
      <c r="W605" s="450"/>
      <c r="X605" s="450"/>
      <c r="Y605" s="441"/>
      <c r="Z605" s="441"/>
      <c r="AA605" s="441"/>
      <c r="AB605" s="441"/>
      <c r="AC605" s="441"/>
      <c r="AD605" s="441"/>
      <c r="AE605" s="441"/>
      <c r="AF605" s="441"/>
      <c r="AG605" s="441"/>
      <c r="AH605" s="441"/>
      <c r="AI605" s="441"/>
      <c r="AJ605" s="441"/>
      <c r="AK605" s="441"/>
      <c r="AL605" s="441"/>
      <c r="AM605" s="441"/>
      <c r="AN605" s="441"/>
      <c r="AO605" s="441"/>
      <c r="AP605" s="448"/>
      <c r="AQ605" s="448"/>
      <c r="AR605" s="448"/>
      <c r="AS605" s="448"/>
      <c r="AT605" s="448"/>
      <c r="AU605" s="448"/>
      <c r="AV605" s="448"/>
      <c r="AW605" s="448"/>
      <c r="AX605" s="448"/>
      <c r="AY605" s="448"/>
      <c r="AZ605" s="448"/>
      <c r="BA605" s="448"/>
      <c r="BB605" s="448"/>
      <c r="BC605" s="448"/>
      <c r="BD605" s="448"/>
      <c r="BE605" s="448"/>
      <c r="BF605" s="448"/>
    </row>
    <row r="606" spans="1:58" ht="12.75" hidden="1" thickBot="1">
      <c r="A606" s="1" t="s">
        <v>1276</v>
      </c>
      <c r="B606" s="2" t="s">
        <v>384</v>
      </c>
      <c r="C606" s="2" t="s">
        <v>413</v>
      </c>
      <c r="D606" s="8" t="s">
        <v>14</v>
      </c>
      <c r="E606" s="3">
        <f t="shared" si="62"/>
        <v>0</v>
      </c>
      <c r="F606" s="452">
        <f t="shared" si="62"/>
        <v>0</v>
      </c>
      <c r="G606" s="452">
        <f t="shared" si="62"/>
        <v>0</v>
      </c>
      <c r="H606" s="452">
        <f t="shared" si="62"/>
        <v>0</v>
      </c>
      <c r="I606" s="452">
        <f t="shared" si="62"/>
        <v>0</v>
      </c>
      <c r="J606" s="452">
        <f t="shared" si="62"/>
        <v>0</v>
      </c>
      <c r="K606" s="452">
        <f t="shared" si="62"/>
        <v>0</v>
      </c>
      <c r="L606" s="452">
        <f t="shared" si="62"/>
        <v>0</v>
      </c>
      <c r="M606" s="452">
        <f t="shared" si="62"/>
        <v>0</v>
      </c>
      <c r="N606" s="452">
        <f t="shared" si="62"/>
        <v>0</v>
      </c>
      <c r="O606" s="452">
        <f t="shared" si="62"/>
        <v>0</v>
      </c>
      <c r="P606" s="452">
        <f t="shared" si="62"/>
        <v>0</v>
      </c>
      <c r="Q606" s="452"/>
      <c r="R606" s="452">
        <f t="shared" si="62"/>
        <v>0</v>
      </c>
      <c r="S606" s="445">
        <f t="shared" si="63"/>
        <v>0</v>
      </c>
      <c r="T606" s="445">
        <f t="shared" si="64"/>
        <v>0</v>
      </c>
      <c r="U606" s="445">
        <f t="shared" si="65"/>
        <v>0</v>
      </c>
      <c r="W606" s="450"/>
      <c r="X606" s="450"/>
      <c r="Y606" s="441"/>
      <c r="Z606" s="441"/>
      <c r="AA606" s="441"/>
      <c r="AB606" s="441"/>
      <c r="AC606" s="441"/>
      <c r="AD606" s="441"/>
      <c r="AE606" s="441"/>
      <c r="AF606" s="441"/>
      <c r="AG606" s="441"/>
      <c r="AH606" s="441"/>
      <c r="AI606" s="441"/>
      <c r="AJ606" s="441"/>
      <c r="AK606" s="441"/>
      <c r="AL606" s="441"/>
      <c r="AM606" s="441"/>
      <c r="AN606" s="441"/>
      <c r="AO606" s="441"/>
      <c r="AP606" s="448"/>
      <c r="AQ606" s="448"/>
      <c r="AR606" s="448"/>
      <c r="AS606" s="448"/>
      <c r="AT606" s="448"/>
      <c r="AU606" s="448"/>
      <c r="AV606" s="448"/>
      <c r="AW606" s="448"/>
      <c r="AX606" s="448"/>
      <c r="AY606" s="448"/>
      <c r="AZ606" s="448"/>
      <c r="BA606" s="448"/>
      <c r="BB606" s="448"/>
      <c r="BC606" s="448"/>
      <c r="BD606" s="448"/>
      <c r="BE606" s="448"/>
      <c r="BF606" s="448"/>
    </row>
    <row r="607" spans="1:58" ht="12.75" hidden="1" thickBot="1">
      <c r="A607" s="1" t="s">
        <v>1276</v>
      </c>
      <c r="B607" s="2" t="s">
        <v>385</v>
      </c>
      <c r="C607" s="2" t="s">
        <v>424</v>
      </c>
      <c r="D607" s="8" t="s">
        <v>425</v>
      </c>
      <c r="E607" s="3">
        <f t="shared" si="62"/>
        <v>4921800</v>
      </c>
      <c r="F607" s="452">
        <f t="shared" si="62"/>
        <v>0</v>
      </c>
      <c r="G607" s="452">
        <f t="shared" si="62"/>
        <v>48086</v>
      </c>
      <c r="H607" s="452">
        <f t="shared" si="62"/>
        <v>134119</v>
      </c>
      <c r="I607" s="452">
        <f t="shared" si="62"/>
        <v>0</v>
      </c>
      <c r="J607" s="452">
        <f t="shared" si="62"/>
        <v>3491</v>
      </c>
      <c r="K607" s="452">
        <f t="shared" si="62"/>
        <v>94161</v>
      </c>
      <c r="L607" s="452">
        <f t="shared" si="62"/>
        <v>0</v>
      </c>
      <c r="M607" s="452">
        <f t="shared" si="62"/>
        <v>7456</v>
      </c>
      <c r="N607" s="452">
        <f t="shared" si="62"/>
        <v>0</v>
      </c>
      <c r="O607" s="452">
        <f t="shared" si="62"/>
        <v>45425</v>
      </c>
      <c r="P607" s="452">
        <f t="shared" si="62"/>
        <v>0</v>
      </c>
      <c r="Q607" s="452"/>
      <c r="R607" s="452">
        <f t="shared" si="62"/>
        <v>332738</v>
      </c>
      <c r="S607" s="445">
        <f t="shared" si="63"/>
        <v>182205</v>
      </c>
      <c r="T607" s="445">
        <f t="shared" si="64"/>
        <v>97652</v>
      </c>
      <c r="U607" s="445">
        <f t="shared" si="65"/>
        <v>45425</v>
      </c>
      <c r="W607" s="450"/>
      <c r="X607" s="450"/>
      <c r="Y607" s="441"/>
      <c r="Z607" s="441"/>
      <c r="AA607" s="441"/>
      <c r="AB607" s="441"/>
      <c r="AC607" s="441"/>
      <c r="AD607" s="441"/>
      <c r="AE607" s="441"/>
      <c r="AF607" s="441"/>
      <c r="AG607" s="441"/>
      <c r="AH607" s="441"/>
      <c r="AI607" s="441"/>
      <c r="AJ607" s="441"/>
      <c r="AK607" s="441"/>
      <c r="AL607" s="441"/>
      <c r="AM607" s="441"/>
      <c r="AN607" s="441"/>
      <c r="AO607" s="441"/>
      <c r="AP607" s="448"/>
      <c r="AQ607" s="448"/>
      <c r="AR607" s="448"/>
      <c r="AS607" s="448"/>
      <c r="AT607" s="448"/>
      <c r="AU607" s="448"/>
      <c r="AV607" s="448"/>
      <c r="AW607" s="448"/>
      <c r="AX607" s="448"/>
      <c r="AY607" s="448"/>
      <c r="AZ607" s="448"/>
      <c r="BA607" s="448"/>
      <c r="BB607" s="448"/>
      <c r="BC607" s="448"/>
      <c r="BD607" s="448"/>
      <c r="BE607" s="448"/>
      <c r="BF607" s="448"/>
    </row>
    <row r="608" spans="1:58" ht="12.75" hidden="1" thickBot="1">
      <c r="A608" s="1" t="s">
        <v>1276</v>
      </c>
      <c r="B608" s="2" t="s">
        <v>1223</v>
      </c>
      <c r="C608" s="2" t="s">
        <v>1224</v>
      </c>
      <c r="D608" s="8" t="s">
        <v>63</v>
      </c>
      <c r="E608" s="3">
        <f t="shared" si="62"/>
        <v>0</v>
      </c>
      <c r="F608" s="452">
        <f t="shared" si="62"/>
        <v>0</v>
      </c>
      <c r="G608" s="452">
        <f t="shared" si="62"/>
        <v>0</v>
      </c>
      <c r="H608" s="452">
        <f t="shared" si="62"/>
        <v>0</v>
      </c>
      <c r="I608" s="452">
        <f t="shared" si="62"/>
        <v>0</v>
      </c>
      <c r="J608" s="452">
        <f t="shared" si="62"/>
        <v>0</v>
      </c>
      <c r="K608" s="452">
        <f t="shared" si="62"/>
        <v>0</v>
      </c>
      <c r="L608" s="452">
        <f t="shared" si="62"/>
        <v>0</v>
      </c>
      <c r="M608" s="452">
        <f t="shared" si="62"/>
        <v>0</v>
      </c>
      <c r="N608" s="452">
        <f t="shared" si="62"/>
        <v>0</v>
      </c>
      <c r="O608" s="452">
        <f t="shared" si="62"/>
        <v>0</v>
      </c>
      <c r="P608" s="452">
        <f t="shared" si="62"/>
        <v>-286526</v>
      </c>
      <c r="Q608" s="452"/>
      <c r="R608" s="452">
        <f t="shared" si="62"/>
        <v>-286526</v>
      </c>
      <c r="S608" s="445">
        <f t="shared" si="63"/>
        <v>0</v>
      </c>
      <c r="T608" s="445">
        <f t="shared" si="64"/>
        <v>0</v>
      </c>
      <c r="U608" s="445">
        <f t="shared" si="65"/>
        <v>0</v>
      </c>
      <c r="W608" s="450"/>
      <c r="X608" s="450"/>
      <c r="Y608" s="441"/>
      <c r="Z608" s="441"/>
      <c r="AA608" s="441"/>
      <c r="AB608" s="441"/>
      <c r="AC608" s="441"/>
      <c r="AD608" s="441"/>
      <c r="AE608" s="441"/>
      <c r="AF608" s="441"/>
      <c r="AG608" s="441"/>
      <c r="AH608" s="441"/>
      <c r="AI608" s="441"/>
      <c r="AJ608" s="441"/>
      <c r="AK608" s="441"/>
      <c r="AL608" s="441"/>
      <c r="AM608" s="441"/>
      <c r="AN608" s="441"/>
      <c r="AO608" s="441"/>
      <c r="AP608" s="448"/>
      <c r="AQ608" s="448"/>
      <c r="AR608" s="448"/>
      <c r="AS608" s="448"/>
      <c r="AT608" s="448"/>
      <c r="AU608" s="448"/>
      <c r="AV608" s="448"/>
      <c r="AW608" s="448"/>
      <c r="AX608" s="448"/>
      <c r="AY608" s="448"/>
      <c r="AZ608" s="448"/>
      <c r="BA608" s="448"/>
      <c r="BB608" s="448"/>
      <c r="BC608" s="448"/>
      <c r="BD608" s="448"/>
      <c r="BE608" s="448"/>
      <c r="BF608" s="448"/>
    </row>
    <row r="609" spans="1:58" ht="12.75" hidden="1" thickBot="1">
      <c r="A609" s="1" t="s">
        <v>1276</v>
      </c>
      <c r="B609" s="2" t="s">
        <v>386</v>
      </c>
      <c r="C609" s="2" t="s">
        <v>405</v>
      </c>
      <c r="D609" s="8" t="s">
        <v>63</v>
      </c>
      <c r="E609" s="3">
        <f t="shared" si="62"/>
        <v>0</v>
      </c>
      <c r="F609" s="452">
        <f t="shared" si="62"/>
        <v>0</v>
      </c>
      <c r="G609" s="452">
        <f t="shared" si="62"/>
        <v>0</v>
      </c>
      <c r="H609" s="452">
        <f t="shared" si="62"/>
        <v>0</v>
      </c>
      <c r="I609" s="452">
        <f t="shared" si="62"/>
        <v>0</v>
      </c>
      <c r="J609" s="452">
        <f t="shared" si="62"/>
        <v>0</v>
      </c>
      <c r="K609" s="452">
        <f t="shared" si="62"/>
        <v>0</v>
      </c>
      <c r="L609" s="452">
        <f t="shared" si="62"/>
        <v>0</v>
      </c>
      <c r="M609" s="452">
        <f t="shared" si="62"/>
        <v>0</v>
      </c>
      <c r="N609" s="452">
        <f t="shared" si="62"/>
        <v>0</v>
      </c>
      <c r="O609" s="452">
        <f t="shared" si="62"/>
        <v>0</v>
      </c>
      <c r="P609" s="452">
        <f t="shared" si="62"/>
        <v>0</v>
      </c>
      <c r="Q609" s="452"/>
      <c r="R609" s="452">
        <f t="shared" si="62"/>
        <v>0</v>
      </c>
      <c r="S609" s="445">
        <f t="shared" si="63"/>
        <v>0</v>
      </c>
      <c r="T609" s="445">
        <f t="shared" si="64"/>
        <v>0</v>
      </c>
      <c r="U609" s="445">
        <f t="shared" si="65"/>
        <v>0</v>
      </c>
      <c r="W609" s="450"/>
      <c r="X609" s="450"/>
      <c r="Y609" s="441"/>
      <c r="Z609" s="441"/>
      <c r="AA609" s="441"/>
      <c r="AB609" s="441"/>
      <c r="AC609" s="441"/>
      <c r="AD609" s="441"/>
      <c r="AE609" s="441"/>
      <c r="AF609" s="441"/>
      <c r="AG609" s="441"/>
      <c r="AH609" s="441"/>
      <c r="AI609" s="441"/>
      <c r="AJ609" s="441"/>
      <c r="AK609" s="441"/>
      <c r="AL609" s="441"/>
      <c r="AM609" s="441"/>
      <c r="AN609" s="441"/>
      <c r="AO609" s="441"/>
      <c r="AP609" s="448"/>
      <c r="AQ609" s="448"/>
      <c r="AR609" s="448"/>
      <c r="AS609" s="448"/>
      <c r="AT609" s="448"/>
      <c r="AU609" s="448"/>
      <c r="AV609" s="448"/>
      <c r="AW609" s="448"/>
      <c r="AX609" s="448"/>
      <c r="AY609" s="448"/>
      <c r="AZ609" s="448"/>
      <c r="BA609" s="448"/>
      <c r="BB609" s="448"/>
      <c r="BC609" s="448"/>
      <c r="BD609" s="448"/>
      <c r="BE609" s="448"/>
      <c r="BF609" s="448"/>
    </row>
    <row r="610" spans="1:58" ht="12.75" hidden="1" thickBot="1">
      <c r="A610" s="1" t="s">
        <v>1276</v>
      </c>
      <c r="B610" s="2" t="s">
        <v>803</v>
      </c>
      <c r="C610" s="2" t="s">
        <v>804</v>
      </c>
      <c r="D610" s="8" t="s">
        <v>1205</v>
      </c>
      <c r="E610" s="3">
        <f t="shared" si="62"/>
        <v>0</v>
      </c>
      <c r="F610" s="452">
        <f t="shared" si="62"/>
        <v>0</v>
      </c>
      <c r="G610" s="452">
        <f t="shared" si="62"/>
        <v>0</v>
      </c>
      <c r="H610" s="452">
        <f t="shared" si="62"/>
        <v>0</v>
      </c>
      <c r="I610" s="452">
        <f t="shared" si="62"/>
        <v>0</v>
      </c>
      <c r="J610" s="452">
        <f t="shared" si="62"/>
        <v>0</v>
      </c>
      <c r="K610" s="452">
        <f t="shared" si="62"/>
        <v>0</v>
      </c>
      <c r="L610" s="452">
        <f t="shared" si="62"/>
        <v>0</v>
      </c>
      <c r="M610" s="452">
        <f t="shared" ref="G610:R628" si="66">ROUND(SUMIFS(M$1410:M$1613,$A$1410:$A$1613,$A610,$B$1410:$B$1613,$B610),0)</f>
        <v>0</v>
      </c>
      <c r="N610" s="452">
        <f t="shared" si="66"/>
        <v>0</v>
      </c>
      <c r="O610" s="452">
        <f t="shared" si="66"/>
        <v>0</v>
      </c>
      <c r="P610" s="452">
        <f t="shared" si="66"/>
        <v>0</v>
      </c>
      <c r="Q610" s="452"/>
      <c r="R610" s="452">
        <f t="shared" si="66"/>
        <v>0</v>
      </c>
      <c r="S610" s="445">
        <f t="shared" si="63"/>
        <v>0</v>
      </c>
      <c r="T610" s="445">
        <f t="shared" si="64"/>
        <v>0</v>
      </c>
      <c r="U610" s="445">
        <f t="shared" si="65"/>
        <v>0</v>
      </c>
      <c r="W610" s="450"/>
      <c r="X610" s="450"/>
      <c r="Y610" s="441"/>
      <c r="Z610" s="441"/>
      <c r="AA610" s="441"/>
      <c r="AB610" s="441"/>
      <c r="AC610" s="441"/>
      <c r="AD610" s="441"/>
      <c r="AE610" s="441"/>
      <c r="AF610" s="441"/>
      <c r="AG610" s="441"/>
      <c r="AH610" s="441"/>
      <c r="AI610" s="441"/>
      <c r="AJ610" s="441"/>
      <c r="AK610" s="441"/>
      <c r="AL610" s="441"/>
      <c r="AM610" s="441"/>
      <c r="AN610" s="441"/>
      <c r="AO610" s="441"/>
      <c r="AP610" s="448"/>
      <c r="AQ610" s="448"/>
      <c r="AR610" s="448"/>
      <c r="AS610" s="448"/>
      <c r="AT610" s="448"/>
      <c r="AU610" s="448"/>
      <c r="AV610" s="448"/>
      <c r="AW610" s="448"/>
      <c r="AX610" s="448"/>
      <c r="AY610" s="448"/>
      <c r="AZ610" s="448"/>
      <c r="BA610" s="448"/>
      <c r="BB610" s="448"/>
      <c r="BC610" s="448"/>
      <c r="BD610" s="448"/>
      <c r="BE610" s="448"/>
      <c r="BF610" s="448"/>
    </row>
    <row r="611" spans="1:58" ht="12.75" hidden="1" thickBot="1">
      <c r="A611" s="1" t="s">
        <v>1276</v>
      </c>
      <c r="B611" s="2" t="s">
        <v>387</v>
      </c>
      <c r="C611" s="2" t="s">
        <v>411</v>
      </c>
      <c r="D611" s="8" t="s">
        <v>412</v>
      </c>
      <c r="E611" s="3">
        <f t="shared" ref="E611:F628" si="67">ROUND(SUMIFS(E$1410:E$1613,$A$1410:$A$1613,$A611,$B$1410:$B$1613,$B611),0)</f>
        <v>10068000</v>
      </c>
      <c r="F611" s="452">
        <f t="shared" si="67"/>
        <v>0</v>
      </c>
      <c r="G611" s="452">
        <f t="shared" si="66"/>
        <v>102190</v>
      </c>
      <c r="H611" s="452">
        <f t="shared" si="66"/>
        <v>274353</v>
      </c>
      <c r="I611" s="452">
        <f t="shared" si="66"/>
        <v>0</v>
      </c>
      <c r="J611" s="452">
        <f t="shared" si="66"/>
        <v>6252</v>
      </c>
      <c r="K611" s="452">
        <f t="shared" si="66"/>
        <v>234840</v>
      </c>
      <c r="L611" s="452">
        <f t="shared" si="66"/>
        <v>0</v>
      </c>
      <c r="M611" s="452">
        <f t="shared" si="66"/>
        <v>15253</v>
      </c>
      <c r="N611" s="452">
        <f t="shared" si="66"/>
        <v>0</v>
      </c>
      <c r="O611" s="452">
        <f t="shared" si="66"/>
        <v>92920</v>
      </c>
      <c r="P611" s="452">
        <f t="shared" si="66"/>
        <v>0</v>
      </c>
      <c r="Q611" s="452"/>
      <c r="R611" s="452">
        <f t="shared" si="66"/>
        <v>725808</v>
      </c>
      <c r="S611" s="445">
        <f t="shared" si="63"/>
        <v>376543</v>
      </c>
      <c r="T611" s="445">
        <f t="shared" si="64"/>
        <v>241092</v>
      </c>
      <c r="U611" s="445">
        <f t="shared" si="65"/>
        <v>92920</v>
      </c>
      <c r="W611" s="450"/>
      <c r="X611" s="450"/>
      <c r="Y611" s="441"/>
      <c r="Z611" s="441"/>
      <c r="AA611" s="441"/>
      <c r="AB611" s="441"/>
      <c r="AC611" s="441"/>
      <c r="AD611" s="441"/>
      <c r="AE611" s="441"/>
      <c r="AF611" s="441"/>
      <c r="AG611" s="441"/>
      <c r="AH611" s="441"/>
      <c r="AI611" s="441"/>
      <c r="AJ611" s="441"/>
      <c r="AK611" s="441"/>
      <c r="AL611" s="441"/>
      <c r="AM611" s="441"/>
      <c r="AN611" s="441"/>
      <c r="AO611" s="441"/>
      <c r="AP611" s="448"/>
      <c r="AQ611" s="448"/>
      <c r="AR611" s="448"/>
      <c r="AS611" s="448"/>
      <c r="AT611" s="448"/>
      <c r="AU611" s="448"/>
      <c r="AV611" s="448"/>
      <c r="AW611" s="448"/>
      <c r="AX611" s="448"/>
      <c r="AY611" s="448"/>
      <c r="AZ611" s="448"/>
      <c r="BA611" s="448"/>
      <c r="BB611" s="448"/>
      <c r="BC611" s="448"/>
      <c r="BD611" s="448"/>
      <c r="BE611" s="448"/>
      <c r="BF611" s="448"/>
    </row>
    <row r="612" spans="1:58" ht="12.75" hidden="1" thickBot="1">
      <c r="A612" s="1" t="s">
        <v>1276</v>
      </c>
      <c r="B612" s="2" t="s">
        <v>388</v>
      </c>
      <c r="C612" s="2" t="s">
        <v>54</v>
      </c>
      <c r="D612" s="8" t="s">
        <v>15</v>
      </c>
      <c r="E612" s="3">
        <f t="shared" si="67"/>
        <v>85948776</v>
      </c>
      <c r="F612" s="452">
        <f t="shared" si="67"/>
        <v>9000</v>
      </c>
      <c r="G612" s="452">
        <f t="shared" si="66"/>
        <v>760647</v>
      </c>
      <c r="H612" s="452">
        <f t="shared" si="66"/>
        <v>2342104</v>
      </c>
      <c r="I612" s="452">
        <f t="shared" si="66"/>
        <v>0</v>
      </c>
      <c r="J612" s="452">
        <f t="shared" si="66"/>
        <v>47513</v>
      </c>
      <c r="K612" s="452">
        <f t="shared" si="66"/>
        <v>1368908</v>
      </c>
      <c r="L612" s="452">
        <f t="shared" si="66"/>
        <v>0</v>
      </c>
      <c r="M612" s="452">
        <f t="shared" si="66"/>
        <v>130212</v>
      </c>
      <c r="N612" s="452">
        <f t="shared" si="66"/>
        <v>0</v>
      </c>
      <c r="O612" s="452">
        <f t="shared" si="66"/>
        <v>793246</v>
      </c>
      <c r="P612" s="452">
        <f t="shared" si="66"/>
        <v>0</v>
      </c>
      <c r="Q612" s="452"/>
      <c r="R612" s="452">
        <f t="shared" si="66"/>
        <v>5451629</v>
      </c>
      <c r="S612" s="445">
        <f t="shared" si="63"/>
        <v>3102751</v>
      </c>
      <c r="T612" s="445">
        <f t="shared" si="64"/>
        <v>1416421</v>
      </c>
      <c r="U612" s="445">
        <f t="shared" si="65"/>
        <v>793246</v>
      </c>
      <c r="W612" s="450"/>
      <c r="X612" s="450"/>
      <c r="Y612" s="441"/>
      <c r="Z612" s="441"/>
      <c r="AA612" s="441"/>
      <c r="AB612" s="441"/>
      <c r="AC612" s="441"/>
      <c r="AD612" s="441"/>
      <c r="AE612" s="441"/>
      <c r="AF612" s="441"/>
      <c r="AG612" s="441"/>
      <c r="AH612" s="441"/>
      <c r="AI612" s="441"/>
      <c r="AJ612" s="441"/>
      <c r="AK612" s="441"/>
      <c r="AL612" s="441"/>
      <c r="AM612" s="441"/>
      <c r="AN612" s="441"/>
      <c r="AO612" s="441"/>
      <c r="AP612" s="448"/>
      <c r="AQ612" s="448"/>
      <c r="AR612" s="448"/>
      <c r="AS612" s="448"/>
      <c r="AT612" s="448"/>
      <c r="AU612" s="448"/>
      <c r="AV612" s="448"/>
      <c r="AW612" s="448"/>
      <c r="AX612" s="448"/>
      <c r="AY612" s="448"/>
      <c r="AZ612" s="448"/>
      <c r="BA612" s="448"/>
      <c r="BB612" s="448"/>
      <c r="BC612" s="448"/>
      <c r="BD612" s="448"/>
      <c r="BE612" s="448"/>
      <c r="BF612" s="448"/>
    </row>
    <row r="613" spans="1:58" ht="12.75" hidden="1" thickBot="1">
      <c r="A613" s="1" t="s">
        <v>1276</v>
      </c>
      <c r="B613" s="2" t="s">
        <v>389</v>
      </c>
      <c r="C613" s="2" t="s">
        <v>419</v>
      </c>
      <c r="D613" s="8" t="s">
        <v>20</v>
      </c>
      <c r="E613" s="3">
        <f t="shared" si="67"/>
        <v>21823098</v>
      </c>
      <c r="F613" s="452">
        <f t="shared" si="67"/>
        <v>18990</v>
      </c>
      <c r="G613" s="452">
        <f t="shared" si="66"/>
        <v>291338</v>
      </c>
      <c r="H613" s="452">
        <f t="shared" si="66"/>
        <v>594679</v>
      </c>
      <c r="I613" s="452">
        <f t="shared" si="66"/>
        <v>0</v>
      </c>
      <c r="J613" s="452">
        <f t="shared" si="66"/>
        <v>30025</v>
      </c>
      <c r="K613" s="452">
        <f t="shared" si="66"/>
        <v>995822</v>
      </c>
      <c r="L613" s="452">
        <f t="shared" si="66"/>
        <v>35880</v>
      </c>
      <c r="M613" s="452">
        <f t="shared" si="66"/>
        <v>33062</v>
      </c>
      <c r="N613" s="452">
        <f t="shared" si="66"/>
        <v>0</v>
      </c>
      <c r="O613" s="452">
        <f t="shared" si="66"/>
        <v>201412</v>
      </c>
      <c r="P613" s="452">
        <f t="shared" si="66"/>
        <v>0</v>
      </c>
      <c r="Q613" s="452"/>
      <c r="R613" s="452">
        <f t="shared" si="66"/>
        <v>2201208</v>
      </c>
      <c r="S613" s="445">
        <f t="shared" si="63"/>
        <v>886017</v>
      </c>
      <c r="T613" s="445">
        <f t="shared" si="64"/>
        <v>1025847</v>
      </c>
      <c r="U613" s="445">
        <f t="shared" si="65"/>
        <v>201412</v>
      </c>
      <c r="W613" s="450"/>
      <c r="X613" s="450"/>
      <c r="Y613" s="441"/>
      <c r="Z613" s="441"/>
      <c r="AA613" s="441"/>
      <c r="AB613" s="441"/>
      <c r="AC613" s="441"/>
      <c r="AD613" s="441"/>
      <c r="AE613" s="441"/>
      <c r="AF613" s="441"/>
      <c r="AG613" s="441"/>
      <c r="AH613" s="441"/>
      <c r="AI613" s="441"/>
      <c r="AJ613" s="441"/>
      <c r="AK613" s="441"/>
      <c r="AL613" s="441"/>
      <c r="AM613" s="441"/>
      <c r="AN613" s="441"/>
      <c r="AO613" s="441"/>
      <c r="AP613" s="448"/>
      <c r="AQ613" s="448"/>
      <c r="AR613" s="448"/>
      <c r="AS613" s="448"/>
      <c r="AT613" s="448"/>
      <c r="AU613" s="448"/>
      <c r="AV613" s="448"/>
      <c r="AW613" s="448"/>
      <c r="AX613" s="448"/>
      <c r="AY613" s="448"/>
      <c r="AZ613" s="448"/>
      <c r="BA613" s="448"/>
      <c r="BB613" s="448"/>
      <c r="BC613" s="448"/>
      <c r="BD613" s="448"/>
      <c r="BE613" s="448"/>
      <c r="BF613" s="448"/>
    </row>
    <row r="614" spans="1:58" ht="12.75" hidden="1" thickBot="1">
      <c r="A614" s="1" t="s">
        <v>1276</v>
      </c>
      <c r="B614" s="2" t="s">
        <v>390</v>
      </c>
      <c r="C614" s="2" t="s">
        <v>418</v>
      </c>
      <c r="D614" s="2" t="s">
        <v>21</v>
      </c>
      <c r="E614" s="3">
        <f t="shared" si="67"/>
        <v>1298252</v>
      </c>
      <c r="F614" s="452">
        <f t="shared" si="67"/>
        <v>3570</v>
      </c>
      <c r="G614" s="452">
        <f t="shared" si="66"/>
        <v>15592</v>
      </c>
      <c r="H614" s="452">
        <f t="shared" si="66"/>
        <v>35377</v>
      </c>
      <c r="I614" s="452">
        <f t="shared" si="66"/>
        <v>0</v>
      </c>
      <c r="J614" s="452">
        <f t="shared" si="66"/>
        <v>2077</v>
      </c>
      <c r="K614" s="452">
        <f t="shared" si="66"/>
        <v>58283</v>
      </c>
      <c r="L614" s="452">
        <f t="shared" si="66"/>
        <v>2135</v>
      </c>
      <c r="M614" s="452">
        <f t="shared" si="66"/>
        <v>1967</v>
      </c>
      <c r="N614" s="452">
        <f t="shared" si="66"/>
        <v>0</v>
      </c>
      <c r="O614" s="452">
        <f t="shared" si="66"/>
        <v>11982</v>
      </c>
      <c r="P614" s="452">
        <f t="shared" si="66"/>
        <v>0</v>
      </c>
      <c r="Q614" s="452"/>
      <c r="R614" s="452">
        <f t="shared" si="66"/>
        <v>130982</v>
      </c>
      <c r="S614" s="445">
        <f t="shared" si="63"/>
        <v>50969</v>
      </c>
      <c r="T614" s="445">
        <f t="shared" si="64"/>
        <v>60360</v>
      </c>
      <c r="U614" s="445">
        <f t="shared" si="65"/>
        <v>11982</v>
      </c>
      <c r="W614" s="450"/>
      <c r="X614" s="450"/>
      <c r="Y614" s="441"/>
      <c r="Z614" s="441"/>
      <c r="AA614" s="441"/>
      <c r="AB614" s="441"/>
      <c r="AC614" s="441"/>
      <c r="AD614" s="441"/>
      <c r="AE614" s="441"/>
      <c r="AF614" s="441"/>
      <c r="AG614" s="441"/>
      <c r="AH614" s="441"/>
      <c r="AI614" s="441"/>
      <c r="AJ614" s="441"/>
      <c r="AK614" s="441"/>
      <c r="AL614" s="441"/>
      <c r="AM614" s="441"/>
      <c r="AN614" s="441"/>
      <c r="AO614" s="441"/>
      <c r="AP614" s="448"/>
      <c r="AQ614" s="448"/>
      <c r="AR614" s="448"/>
      <c r="AS614" s="448"/>
      <c r="AT614" s="448"/>
      <c r="AU614" s="448"/>
      <c r="AV614" s="448"/>
      <c r="AW614" s="448"/>
      <c r="AX614" s="448"/>
      <c r="AY614" s="448"/>
      <c r="AZ614" s="448"/>
      <c r="BA614" s="448"/>
      <c r="BB614" s="448"/>
      <c r="BC614" s="448"/>
      <c r="BD614" s="448"/>
      <c r="BE614" s="448"/>
      <c r="BF614" s="448"/>
    </row>
    <row r="615" spans="1:58" ht="12.75" hidden="1" thickBot="1">
      <c r="A615" s="1" t="s">
        <v>1276</v>
      </c>
      <c r="B615" s="2" t="s">
        <v>391</v>
      </c>
      <c r="C615" s="2" t="s">
        <v>1034</v>
      </c>
      <c r="D615" s="8" t="s">
        <v>422</v>
      </c>
      <c r="E615" s="3">
        <f t="shared" si="67"/>
        <v>25167481</v>
      </c>
      <c r="F615" s="452">
        <f t="shared" si="67"/>
        <v>20000</v>
      </c>
      <c r="G615" s="452">
        <f t="shared" si="66"/>
        <v>318369</v>
      </c>
      <c r="H615" s="452">
        <f t="shared" si="66"/>
        <v>685814</v>
      </c>
      <c r="I615" s="452">
        <f t="shared" si="66"/>
        <v>0</v>
      </c>
      <c r="J615" s="452">
        <f t="shared" si="66"/>
        <v>26536</v>
      </c>
      <c r="K615" s="452">
        <f t="shared" si="66"/>
        <v>775937</v>
      </c>
      <c r="L615" s="452">
        <f t="shared" si="66"/>
        <v>41379</v>
      </c>
      <c r="M615" s="452">
        <f t="shared" si="66"/>
        <v>38128</v>
      </c>
      <c r="N615" s="452">
        <f t="shared" si="66"/>
        <v>0</v>
      </c>
      <c r="O615" s="452">
        <f t="shared" si="66"/>
        <v>232278</v>
      </c>
      <c r="P615" s="452">
        <f t="shared" si="66"/>
        <v>0</v>
      </c>
      <c r="Q615" s="452"/>
      <c r="R615" s="452">
        <f t="shared" si="66"/>
        <v>2138441</v>
      </c>
      <c r="S615" s="445">
        <f t="shared" si="63"/>
        <v>1004183</v>
      </c>
      <c r="T615" s="445">
        <f t="shared" si="64"/>
        <v>802473</v>
      </c>
      <c r="U615" s="445">
        <f t="shared" si="65"/>
        <v>232278</v>
      </c>
      <c r="W615" s="450"/>
      <c r="X615" s="450"/>
      <c r="Y615" s="441"/>
      <c r="Z615" s="441"/>
      <c r="AA615" s="441"/>
      <c r="AB615" s="441"/>
      <c r="AC615" s="441"/>
      <c r="AD615" s="441"/>
      <c r="AE615" s="441"/>
      <c r="AF615" s="441"/>
      <c r="AG615" s="441"/>
      <c r="AH615" s="441"/>
      <c r="AI615" s="441"/>
      <c r="AJ615" s="441"/>
      <c r="AK615" s="441"/>
      <c r="AL615" s="441"/>
      <c r="AM615" s="441"/>
      <c r="AN615" s="441"/>
      <c r="AO615" s="441"/>
      <c r="AP615" s="448"/>
      <c r="AQ615" s="448"/>
      <c r="AR615" s="448"/>
      <c r="AS615" s="448"/>
      <c r="AT615" s="448"/>
      <c r="AU615" s="448"/>
      <c r="AV615" s="448"/>
      <c r="AW615" s="448"/>
      <c r="AX615" s="448"/>
      <c r="AY615" s="448"/>
      <c r="AZ615" s="448"/>
      <c r="BA615" s="448"/>
      <c r="BB615" s="448"/>
      <c r="BC615" s="448"/>
      <c r="BD615" s="448"/>
      <c r="BE615" s="448"/>
      <c r="BF615" s="448"/>
    </row>
    <row r="616" spans="1:58" ht="12.75" hidden="1" thickBot="1">
      <c r="A616" s="1" t="s">
        <v>1276</v>
      </c>
      <c r="B616" s="2" t="s">
        <v>392</v>
      </c>
      <c r="C616" s="2" t="s">
        <v>420</v>
      </c>
      <c r="D616" s="8" t="s">
        <v>421</v>
      </c>
      <c r="E616" s="3">
        <f t="shared" si="67"/>
        <v>163708445</v>
      </c>
      <c r="F616" s="452">
        <f t="shared" si="67"/>
        <v>21600</v>
      </c>
      <c r="G616" s="452">
        <f t="shared" si="66"/>
        <v>1330950</v>
      </c>
      <c r="H616" s="452">
        <f t="shared" si="66"/>
        <v>4461055</v>
      </c>
      <c r="I616" s="452">
        <f t="shared" si="66"/>
        <v>0</v>
      </c>
      <c r="J616" s="452">
        <f t="shared" si="66"/>
        <v>145037</v>
      </c>
      <c r="K616" s="452">
        <f t="shared" si="66"/>
        <v>4000247</v>
      </c>
      <c r="L616" s="452">
        <f t="shared" si="66"/>
        <v>269159</v>
      </c>
      <c r="M616" s="452">
        <f t="shared" si="66"/>
        <v>248017</v>
      </c>
      <c r="N616" s="452">
        <f t="shared" si="66"/>
        <v>0</v>
      </c>
      <c r="O616" s="452">
        <f t="shared" si="66"/>
        <v>1510911</v>
      </c>
      <c r="P616" s="452">
        <f t="shared" si="66"/>
        <v>0</v>
      </c>
      <c r="Q616" s="452"/>
      <c r="R616" s="452">
        <f t="shared" si="66"/>
        <v>11986976</v>
      </c>
      <c r="S616" s="445">
        <f t="shared" si="63"/>
        <v>5792005</v>
      </c>
      <c r="T616" s="445">
        <f t="shared" si="64"/>
        <v>4145284</v>
      </c>
      <c r="U616" s="445">
        <f t="shared" si="65"/>
        <v>1510911</v>
      </c>
      <c r="W616" s="450"/>
      <c r="X616" s="450"/>
      <c r="Y616" s="441"/>
      <c r="Z616" s="441"/>
      <c r="AA616" s="441"/>
      <c r="AB616" s="441"/>
      <c r="AC616" s="441"/>
      <c r="AD616" s="441"/>
      <c r="AE616" s="441"/>
      <c r="AF616" s="441"/>
      <c r="AG616" s="441"/>
      <c r="AH616" s="441"/>
      <c r="AI616" s="441"/>
      <c r="AJ616" s="441"/>
      <c r="AK616" s="441"/>
      <c r="AL616" s="441"/>
      <c r="AM616" s="441"/>
      <c r="AN616" s="441"/>
      <c r="AO616" s="441"/>
      <c r="AP616" s="448"/>
      <c r="AQ616" s="448"/>
      <c r="AR616" s="448"/>
      <c r="AS616" s="448"/>
      <c r="AT616" s="448"/>
      <c r="AU616" s="448"/>
      <c r="AV616" s="448"/>
      <c r="AW616" s="448"/>
      <c r="AX616" s="448"/>
      <c r="AY616" s="448"/>
      <c r="AZ616" s="448"/>
      <c r="BA616" s="448"/>
      <c r="BB616" s="448"/>
      <c r="BC616" s="448"/>
      <c r="BD616" s="448"/>
      <c r="BE616" s="448"/>
      <c r="BF616" s="448"/>
    </row>
    <row r="617" spans="1:58" ht="12.75" hidden="1" thickBot="1">
      <c r="A617" s="1" t="s">
        <v>1276</v>
      </c>
      <c r="B617" s="2" t="s">
        <v>394</v>
      </c>
      <c r="C617" s="2" t="s">
        <v>423</v>
      </c>
      <c r="D617" s="8" t="s">
        <v>17</v>
      </c>
      <c r="E617" s="3">
        <f t="shared" si="67"/>
        <v>0</v>
      </c>
      <c r="F617" s="452">
        <f t="shared" si="67"/>
        <v>0</v>
      </c>
      <c r="G617" s="452">
        <f t="shared" si="66"/>
        <v>0</v>
      </c>
      <c r="H617" s="452">
        <f t="shared" si="66"/>
        <v>0</v>
      </c>
      <c r="I617" s="452">
        <f t="shared" si="66"/>
        <v>0</v>
      </c>
      <c r="J617" s="452">
        <f t="shared" si="66"/>
        <v>0</v>
      </c>
      <c r="K617" s="452">
        <f t="shared" si="66"/>
        <v>0</v>
      </c>
      <c r="L617" s="452">
        <f t="shared" si="66"/>
        <v>0</v>
      </c>
      <c r="M617" s="452">
        <f t="shared" si="66"/>
        <v>0</v>
      </c>
      <c r="N617" s="452">
        <f t="shared" si="66"/>
        <v>0</v>
      </c>
      <c r="O617" s="452">
        <f t="shared" si="66"/>
        <v>0</v>
      </c>
      <c r="P617" s="452">
        <f t="shared" si="66"/>
        <v>0</v>
      </c>
      <c r="Q617" s="452"/>
      <c r="R617" s="452">
        <f t="shared" si="66"/>
        <v>0</v>
      </c>
      <c r="S617" s="445">
        <f t="shared" si="63"/>
        <v>0</v>
      </c>
      <c r="T617" s="445">
        <f t="shared" si="64"/>
        <v>0</v>
      </c>
      <c r="U617" s="445">
        <f t="shared" si="65"/>
        <v>0</v>
      </c>
      <c r="W617" s="450"/>
      <c r="X617" s="450"/>
      <c r="Y617" s="441"/>
      <c r="Z617" s="441"/>
      <c r="AA617" s="441"/>
      <c r="AB617" s="441"/>
      <c r="AC617" s="441"/>
      <c r="AD617" s="441"/>
      <c r="AE617" s="441"/>
      <c r="AF617" s="441"/>
      <c r="AG617" s="441"/>
      <c r="AH617" s="441"/>
      <c r="AI617" s="441"/>
      <c r="AJ617" s="441"/>
      <c r="AK617" s="441"/>
      <c r="AL617" s="441"/>
      <c r="AM617" s="441"/>
      <c r="AN617" s="441"/>
      <c r="AO617" s="441"/>
      <c r="AP617" s="448"/>
      <c r="AQ617" s="448"/>
      <c r="AR617" s="448"/>
      <c r="AS617" s="448"/>
      <c r="AT617" s="448"/>
      <c r="AU617" s="448"/>
      <c r="AV617" s="448"/>
      <c r="AW617" s="448"/>
      <c r="AX617" s="448"/>
      <c r="AY617" s="448"/>
      <c r="AZ617" s="448"/>
      <c r="BA617" s="448"/>
      <c r="BB617" s="448"/>
      <c r="BC617" s="448"/>
      <c r="BD617" s="448"/>
      <c r="BE617" s="448"/>
      <c r="BF617" s="448"/>
    </row>
    <row r="618" spans="1:58" ht="12.75" hidden="1" thickBot="1">
      <c r="A618" s="1" t="s">
        <v>1276</v>
      </c>
      <c r="B618" s="2" t="s">
        <v>395</v>
      </c>
      <c r="C618" s="2" t="s">
        <v>423</v>
      </c>
      <c r="D618" s="8" t="s">
        <v>17</v>
      </c>
      <c r="E618" s="3">
        <f t="shared" si="67"/>
        <v>0</v>
      </c>
      <c r="F618" s="452">
        <f t="shared" si="67"/>
        <v>0</v>
      </c>
      <c r="G618" s="452">
        <f t="shared" si="66"/>
        <v>0</v>
      </c>
      <c r="H618" s="452">
        <f t="shared" si="66"/>
        <v>0</v>
      </c>
      <c r="I618" s="452">
        <f t="shared" si="66"/>
        <v>0</v>
      </c>
      <c r="J618" s="452">
        <f t="shared" si="66"/>
        <v>0</v>
      </c>
      <c r="K618" s="452">
        <f t="shared" si="66"/>
        <v>0</v>
      </c>
      <c r="L618" s="452">
        <f t="shared" si="66"/>
        <v>0</v>
      </c>
      <c r="M618" s="452">
        <f t="shared" si="66"/>
        <v>0</v>
      </c>
      <c r="N618" s="452">
        <f t="shared" si="66"/>
        <v>0</v>
      </c>
      <c r="O618" s="452">
        <f t="shared" si="66"/>
        <v>0</v>
      </c>
      <c r="P618" s="452">
        <f t="shared" si="66"/>
        <v>0</v>
      </c>
      <c r="Q618" s="452"/>
      <c r="R618" s="452">
        <f t="shared" si="66"/>
        <v>0</v>
      </c>
      <c r="S618" s="445">
        <f t="shared" si="63"/>
        <v>0</v>
      </c>
      <c r="T618" s="445">
        <f t="shared" si="64"/>
        <v>0</v>
      </c>
      <c r="U618" s="445">
        <f t="shared" si="65"/>
        <v>0</v>
      </c>
      <c r="W618" s="450"/>
      <c r="X618" s="450"/>
      <c r="Y618" s="441"/>
      <c r="Z618" s="441"/>
      <c r="AA618" s="441"/>
      <c r="AB618" s="441"/>
      <c r="AC618" s="441"/>
      <c r="AD618" s="441"/>
      <c r="AE618" s="441"/>
      <c r="AF618" s="441"/>
      <c r="AG618" s="441"/>
      <c r="AH618" s="441"/>
      <c r="AI618" s="441"/>
      <c r="AJ618" s="441"/>
      <c r="AK618" s="441"/>
      <c r="AL618" s="441"/>
      <c r="AM618" s="441"/>
      <c r="AN618" s="441"/>
      <c r="AO618" s="441"/>
      <c r="AP618" s="448"/>
      <c r="AQ618" s="448"/>
      <c r="AR618" s="448"/>
      <c r="AS618" s="448"/>
      <c r="AT618" s="448"/>
      <c r="AU618" s="448"/>
      <c r="AV618" s="448"/>
      <c r="AW618" s="448"/>
      <c r="AX618" s="448"/>
      <c r="AY618" s="448"/>
      <c r="AZ618" s="448"/>
      <c r="BA618" s="448"/>
      <c r="BB618" s="448"/>
      <c r="BC618" s="448"/>
      <c r="BD618" s="448"/>
      <c r="BE618" s="448"/>
      <c r="BF618" s="448"/>
    </row>
    <row r="619" spans="1:58" ht="12.75" hidden="1" thickBot="1">
      <c r="A619" s="1" t="s">
        <v>1276</v>
      </c>
      <c r="B619" s="2" t="s">
        <v>396</v>
      </c>
      <c r="C619" s="2" t="s">
        <v>423</v>
      </c>
      <c r="D619" s="8" t="s">
        <v>17</v>
      </c>
      <c r="E619" s="3">
        <f t="shared" si="67"/>
        <v>0</v>
      </c>
      <c r="F619" s="452">
        <f t="shared" si="67"/>
        <v>0</v>
      </c>
      <c r="G619" s="452">
        <f t="shared" si="66"/>
        <v>0</v>
      </c>
      <c r="H619" s="452">
        <f t="shared" si="66"/>
        <v>0</v>
      </c>
      <c r="I619" s="452">
        <f t="shared" si="66"/>
        <v>0</v>
      </c>
      <c r="J619" s="452">
        <f t="shared" si="66"/>
        <v>0</v>
      </c>
      <c r="K619" s="452">
        <f t="shared" si="66"/>
        <v>0</v>
      </c>
      <c r="L619" s="452">
        <f t="shared" si="66"/>
        <v>0</v>
      </c>
      <c r="M619" s="452">
        <f t="shared" si="66"/>
        <v>0</v>
      </c>
      <c r="N619" s="452">
        <f t="shared" si="66"/>
        <v>0</v>
      </c>
      <c r="O619" s="452">
        <f t="shared" si="66"/>
        <v>0</v>
      </c>
      <c r="P619" s="452">
        <f t="shared" si="66"/>
        <v>0</v>
      </c>
      <c r="Q619" s="452"/>
      <c r="R619" s="452">
        <f t="shared" si="66"/>
        <v>0</v>
      </c>
      <c r="S619" s="445">
        <f t="shared" si="63"/>
        <v>0</v>
      </c>
      <c r="T619" s="445">
        <f t="shared" si="64"/>
        <v>0</v>
      </c>
      <c r="U619" s="445">
        <f t="shared" si="65"/>
        <v>0</v>
      </c>
      <c r="W619" s="450"/>
      <c r="X619" s="450"/>
      <c r="Y619" s="441"/>
      <c r="Z619" s="441"/>
      <c r="AA619" s="441"/>
      <c r="AB619" s="441"/>
      <c r="AC619" s="441"/>
      <c r="AD619" s="441"/>
      <c r="AE619" s="441"/>
      <c r="AF619" s="441"/>
      <c r="AG619" s="441"/>
      <c r="AH619" s="441"/>
      <c r="AI619" s="441"/>
      <c r="AJ619" s="441"/>
      <c r="AK619" s="441"/>
      <c r="AL619" s="441"/>
      <c r="AM619" s="441"/>
      <c r="AN619" s="441"/>
      <c r="AO619" s="441"/>
      <c r="AP619" s="448"/>
      <c r="AQ619" s="448"/>
      <c r="AR619" s="448"/>
      <c r="AS619" s="448"/>
      <c r="AT619" s="448"/>
      <c r="AU619" s="448"/>
      <c r="AV619" s="448"/>
      <c r="AW619" s="448"/>
      <c r="AX619" s="448"/>
      <c r="AY619" s="448"/>
      <c r="AZ619" s="448"/>
      <c r="BA619" s="448"/>
      <c r="BB619" s="448"/>
      <c r="BC619" s="448"/>
      <c r="BD619" s="448"/>
      <c r="BE619" s="448"/>
      <c r="BF619" s="448"/>
    </row>
    <row r="620" spans="1:58" ht="12.75" hidden="1" thickBot="1">
      <c r="A620" s="1" t="s">
        <v>1276</v>
      </c>
      <c r="B620" s="2" t="s">
        <v>397</v>
      </c>
      <c r="C620" s="2" t="s">
        <v>55</v>
      </c>
      <c r="D620" s="8" t="s">
        <v>18</v>
      </c>
      <c r="E620" s="3">
        <f t="shared" si="67"/>
        <v>0</v>
      </c>
      <c r="F620" s="452">
        <f t="shared" si="67"/>
        <v>0</v>
      </c>
      <c r="G620" s="452">
        <f t="shared" si="66"/>
        <v>0</v>
      </c>
      <c r="H620" s="452">
        <f t="shared" si="66"/>
        <v>0</v>
      </c>
      <c r="I620" s="452">
        <f t="shared" si="66"/>
        <v>0</v>
      </c>
      <c r="J620" s="452">
        <f t="shared" si="66"/>
        <v>0</v>
      </c>
      <c r="K620" s="452">
        <f t="shared" si="66"/>
        <v>0</v>
      </c>
      <c r="L620" s="452">
        <f t="shared" si="66"/>
        <v>0</v>
      </c>
      <c r="M620" s="452">
        <f t="shared" si="66"/>
        <v>0</v>
      </c>
      <c r="N620" s="452">
        <f t="shared" si="66"/>
        <v>0</v>
      </c>
      <c r="O620" s="452">
        <f t="shared" si="66"/>
        <v>0</v>
      </c>
      <c r="P620" s="452">
        <f t="shared" si="66"/>
        <v>0</v>
      </c>
      <c r="Q620" s="452"/>
      <c r="R620" s="452">
        <f t="shared" si="66"/>
        <v>0</v>
      </c>
      <c r="S620" s="445">
        <f t="shared" si="63"/>
        <v>0</v>
      </c>
      <c r="T620" s="445">
        <f t="shared" si="64"/>
        <v>0</v>
      </c>
      <c r="U620" s="445">
        <f t="shared" si="65"/>
        <v>0</v>
      </c>
      <c r="W620" s="450"/>
      <c r="X620" s="450"/>
      <c r="Y620" s="441"/>
      <c r="Z620" s="441"/>
      <c r="AA620" s="441"/>
      <c r="AB620" s="441"/>
      <c r="AC620" s="441"/>
      <c r="AD620" s="441"/>
      <c r="AE620" s="441"/>
      <c r="AF620" s="441"/>
      <c r="AG620" s="441"/>
      <c r="AH620" s="441"/>
      <c r="AI620" s="441"/>
      <c r="AJ620" s="441"/>
      <c r="AK620" s="441"/>
      <c r="AL620" s="441"/>
      <c r="AM620" s="441"/>
      <c r="AN620" s="441"/>
      <c r="AO620" s="441"/>
      <c r="AP620" s="448"/>
      <c r="AQ620" s="448"/>
      <c r="AR620" s="448"/>
      <c r="AS620" s="448"/>
      <c r="AT620" s="448"/>
      <c r="AU620" s="448"/>
      <c r="AV620" s="448"/>
      <c r="AW620" s="448"/>
      <c r="AX620" s="448"/>
      <c r="AY620" s="448"/>
      <c r="AZ620" s="448"/>
      <c r="BA620" s="448"/>
      <c r="BB620" s="448"/>
      <c r="BC620" s="448"/>
      <c r="BD620" s="448"/>
      <c r="BE620" s="448"/>
      <c r="BF620" s="448"/>
    </row>
    <row r="621" spans="1:58" ht="12.75" hidden="1" thickBot="1">
      <c r="A621" s="1" t="s">
        <v>1276</v>
      </c>
      <c r="B621" s="2" t="s">
        <v>398</v>
      </c>
      <c r="C621" s="2" t="s">
        <v>55</v>
      </c>
      <c r="D621" s="8" t="s">
        <v>18</v>
      </c>
      <c r="E621" s="3">
        <f t="shared" si="67"/>
        <v>0</v>
      </c>
      <c r="F621" s="452">
        <f t="shared" si="67"/>
        <v>0</v>
      </c>
      <c r="G621" s="452">
        <f t="shared" si="66"/>
        <v>0</v>
      </c>
      <c r="H621" s="452">
        <f t="shared" si="66"/>
        <v>0</v>
      </c>
      <c r="I621" s="452">
        <f t="shared" si="66"/>
        <v>0</v>
      </c>
      <c r="J621" s="452">
        <f t="shared" si="66"/>
        <v>0</v>
      </c>
      <c r="K621" s="452">
        <f t="shared" si="66"/>
        <v>0</v>
      </c>
      <c r="L621" s="452">
        <f t="shared" si="66"/>
        <v>0</v>
      </c>
      <c r="M621" s="452">
        <f t="shared" si="66"/>
        <v>0</v>
      </c>
      <c r="N621" s="452">
        <f t="shared" si="66"/>
        <v>0</v>
      </c>
      <c r="O621" s="452">
        <f t="shared" si="66"/>
        <v>0</v>
      </c>
      <c r="P621" s="452">
        <f t="shared" si="66"/>
        <v>0</v>
      </c>
      <c r="Q621" s="452"/>
      <c r="R621" s="452">
        <f t="shared" si="66"/>
        <v>0</v>
      </c>
      <c r="S621" s="445">
        <f t="shared" si="63"/>
        <v>0</v>
      </c>
      <c r="T621" s="445">
        <f t="shared" si="64"/>
        <v>0</v>
      </c>
      <c r="U621" s="445">
        <f t="shared" si="65"/>
        <v>0</v>
      </c>
      <c r="W621" s="450"/>
      <c r="X621" s="450"/>
      <c r="Y621" s="441"/>
      <c r="Z621" s="441"/>
      <c r="AA621" s="441"/>
      <c r="AB621" s="441"/>
      <c r="AC621" s="441"/>
      <c r="AD621" s="441"/>
      <c r="AE621" s="441"/>
      <c r="AF621" s="441"/>
      <c r="AG621" s="441"/>
      <c r="AH621" s="441"/>
      <c r="AI621" s="441"/>
      <c r="AJ621" s="441"/>
      <c r="AK621" s="441"/>
      <c r="AL621" s="441"/>
      <c r="AM621" s="441"/>
      <c r="AN621" s="441"/>
      <c r="AO621" s="441"/>
      <c r="AP621" s="448"/>
      <c r="AQ621" s="448"/>
      <c r="AR621" s="448"/>
      <c r="AS621" s="448"/>
      <c r="AT621" s="448"/>
      <c r="AU621" s="448"/>
      <c r="AV621" s="448"/>
      <c r="AW621" s="448"/>
      <c r="AX621" s="448"/>
      <c r="AY621" s="448"/>
      <c r="AZ621" s="448"/>
      <c r="BA621" s="448"/>
      <c r="BB621" s="448"/>
      <c r="BC621" s="448"/>
      <c r="BD621" s="448"/>
      <c r="BE621" s="448"/>
      <c r="BF621" s="448"/>
    </row>
    <row r="622" spans="1:58" ht="12.75" hidden="1" thickBot="1">
      <c r="A622" s="1" t="s">
        <v>1276</v>
      </c>
      <c r="B622" s="2" t="s">
        <v>805</v>
      </c>
      <c r="C622" s="2" t="s">
        <v>806</v>
      </c>
      <c r="D622" s="8" t="s">
        <v>1205</v>
      </c>
      <c r="E622" s="3">
        <f t="shared" si="67"/>
        <v>0</v>
      </c>
      <c r="F622" s="452">
        <f t="shared" si="67"/>
        <v>0</v>
      </c>
      <c r="G622" s="452">
        <f t="shared" si="66"/>
        <v>0</v>
      </c>
      <c r="H622" s="452">
        <f t="shared" si="66"/>
        <v>0</v>
      </c>
      <c r="I622" s="452">
        <f t="shared" si="66"/>
        <v>0</v>
      </c>
      <c r="J622" s="452">
        <f t="shared" si="66"/>
        <v>0</v>
      </c>
      <c r="K622" s="452">
        <f t="shared" si="66"/>
        <v>0</v>
      </c>
      <c r="L622" s="452">
        <f t="shared" si="66"/>
        <v>0</v>
      </c>
      <c r="M622" s="452">
        <f t="shared" si="66"/>
        <v>0</v>
      </c>
      <c r="N622" s="452">
        <f t="shared" si="66"/>
        <v>0</v>
      </c>
      <c r="O622" s="452">
        <f t="shared" si="66"/>
        <v>0</v>
      </c>
      <c r="P622" s="452">
        <f t="shared" si="66"/>
        <v>0</v>
      </c>
      <c r="Q622" s="452"/>
      <c r="R622" s="452">
        <f t="shared" si="66"/>
        <v>0</v>
      </c>
      <c r="S622" s="445">
        <f t="shared" si="63"/>
        <v>0</v>
      </c>
      <c r="T622" s="445">
        <f t="shared" si="64"/>
        <v>0</v>
      </c>
      <c r="U622" s="445">
        <f t="shared" si="65"/>
        <v>0</v>
      </c>
      <c r="W622" s="450"/>
      <c r="X622" s="450"/>
      <c r="Y622" s="441"/>
      <c r="Z622" s="441"/>
      <c r="AA622" s="441"/>
      <c r="AB622" s="441"/>
      <c r="AC622" s="441"/>
      <c r="AD622" s="441"/>
      <c r="AE622" s="441"/>
      <c r="AF622" s="441"/>
      <c r="AG622" s="441"/>
      <c r="AH622" s="441"/>
      <c r="AI622" s="441"/>
      <c r="AJ622" s="441"/>
      <c r="AK622" s="441"/>
      <c r="AL622" s="441"/>
      <c r="AM622" s="441"/>
      <c r="AN622" s="441"/>
      <c r="AO622" s="441"/>
      <c r="AP622" s="448"/>
      <c r="AQ622" s="448"/>
      <c r="AR622" s="448"/>
      <c r="AS622" s="448"/>
      <c r="AT622" s="448"/>
      <c r="AU622" s="448"/>
      <c r="AV622" s="448"/>
      <c r="AW622" s="448"/>
      <c r="AX622" s="448"/>
      <c r="AY622" s="448"/>
      <c r="AZ622" s="448"/>
      <c r="BA622" s="448"/>
      <c r="BB622" s="448"/>
      <c r="BC622" s="448"/>
      <c r="BD622" s="448"/>
      <c r="BE622" s="448"/>
      <c r="BF622" s="448"/>
    </row>
    <row r="623" spans="1:58" ht="12.75" thickBot="1">
      <c r="A623" s="1" t="s">
        <v>1276</v>
      </c>
      <c r="B623" s="2" t="s">
        <v>399</v>
      </c>
      <c r="C623" s="2" t="s">
        <v>430</v>
      </c>
      <c r="D623" s="8" t="s">
        <v>13</v>
      </c>
      <c r="E623" s="3">
        <f t="shared" si="67"/>
        <v>0</v>
      </c>
      <c r="F623" s="452">
        <f t="shared" si="67"/>
        <v>0</v>
      </c>
      <c r="G623" s="452">
        <f t="shared" si="66"/>
        <v>0</v>
      </c>
      <c r="H623" s="452">
        <f t="shared" si="66"/>
        <v>0</v>
      </c>
      <c r="I623" s="452">
        <f t="shared" si="66"/>
        <v>0</v>
      </c>
      <c r="J623" s="452">
        <f t="shared" si="66"/>
        <v>0</v>
      </c>
      <c r="K623" s="452">
        <f t="shared" si="66"/>
        <v>0</v>
      </c>
      <c r="L623" s="452">
        <f t="shared" si="66"/>
        <v>0</v>
      </c>
      <c r="M623" s="452">
        <f t="shared" si="66"/>
        <v>0</v>
      </c>
      <c r="N623" s="452">
        <f t="shared" si="66"/>
        <v>0</v>
      </c>
      <c r="O623" s="452">
        <f t="shared" si="66"/>
        <v>0</v>
      </c>
      <c r="P623" s="452">
        <f t="shared" si="66"/>
        <v>0</v>
      </c>
      <c r="Q623" s="452"/>
      <c r="R623" s="452">
        <f t="shared" si="66"/>
        <v>0</v>
      </c>
      <c r="S623" s="445">
        <f t="shared" si="63"/>
        <v>0</v>
      </c>
      <c r="T623" s="445">
        <f t="shared" si="64"/>
        <v>0</v>
      </c>
      <c r="U623" s="445">
        <f t="shared" si="65"/>
        <v>0</v>
      </c>
      <c r="W623" s="450"/>
      <c r="X623" s="450"/>
      <c r="Y623" s="441"/>
      <c r="Z623" s="441"/>
      <c r="AA623" s="441"/>
      <c r="AB623" s="441"/>
      <c r="AC623" s="441"/>
      <c r="AD623" s="441"/>
      <c r="AE623" s="441"/>
      <c r="AF623" s="441"/>
      <c r="AG623" s="441"/>
      <c r="AH623" s="441"/>
      <c r="AI623" s="441"/>
      <c r="AJ623" s="441"/>
      <c r="AK623" s="441"/>
      <c r="AL623" s="441"/>
      <c r="AM623" s="441"/>
      <c r="AN623" s="441"/>
      <c r="AO623" s="441"/>
      <c r="AP623" s="448"/>
      <c r="AQ623" s="448"/>
      <c r="AR623" s="448"/>
      <c r="AS623" s="448"/>
      <c r="AT623" s="448"/>
      <c r="AU623" s="448"/>
      <c r="AV623" s="448"/>
      <c r="AW623" s="448"/>
      <c r="AX623" s="448"/>
      <c r="AY623" s="448"/>
      <c r="AZ623" s="448"/>
      <c r="BA623" s="448"/>
      <c r="BB623" s="448"/>
      <c r="BC623" s="448"/>
      <c r="BD623" s="448"/>
      <c r="BE623" s="448"/>
      <c r="BF623" s="448"/>
    </row>
    <row r="624" spans="1:58" ht="12.75" thickBot="1">
      <c r="A624" s="1" t="s">
        <v>1276</v>
      </c>
      <c r="B624" s="2" t="s">
        <v>400</v>
      </c>
      <c r="C624" s="2" t="s">
        <v>427</v>
      </c>
      <c r="D624" s="8" t="s">
        <v>13</v>
      </c>
      <c r="E624" s="3">
        <f t="shared" si="67"/>
        <v>411112753</v>
      </c>
      <c r="F624" s="452">
        <f t="shared" si="67"/>
        <v>3898337</v>
      </c>
      <c r="G624" s="452">
        <f t="shared" si="66"/>
        <v>21447752</v>
      </c>
      <c r="H624" s="452">
        <f t="shared" si="66"/>
        <v>11202823</v>
      </c>
      <c r="I624" s="452">
        <f t="shared" si="66"/>
        <v>550891</v>
      </c>
      <c r="J624" s="452">
        <f t="shared" si="66"/>
        <v>0</v>
      </c>
      <c r="K624" s="452">
        <f t="shared" si="66"/>
        <v>0</v>
      </c>
      <c r="L624" s="452">
        <f t="shared" si="66"/>
        <v>675926</v>
      </c>
      <c r="M624" s="452">
        <f t="shared" si="66"/>
        <v>622832</v>
      </c>
      <c r="N624" s="452">
        <f t="shared" si="66"/>
        <v>3794276</v>
      </c>
      <c r="O624" s="452">
        <f t="shared" si="66"/>
        <v>0</v>
      </c>
      <c r="P624" s="452">
        <f t="shared" si="66"/>
        <v>0</v>
      </c>
      <c r="Q624" s="452"/>
      <c r="R624" s="452">
        <f t="shared" si="66"/>
        <v>42192836</v>
      </c>
      <c r="S624" s="445">
        <f t="shared" si="63"/>
        <v>33201466</v>
      </c>
      <c r="T624" s="445">
        <f t="shared" si="64"/>
        <v>0</v>
      </c>
      <c r="U624" s="445">
        <f t="shared" si="65"/>
        <v>3794276</v>
      </c>
      <c r="W624" s="450"/>
      <c r="X624" s="450"/>
      <c r="Y624" s="441"/>
      <c r="Z624" s="441"/>
      <c r="AA624" s="441"/>
      <c r="AB624" s="441"/>
      <c r="AC624" s="441"/>
      <c r="AD624" s="441"/>
      <c r="AE624" s="441"/>
      <c r="AF624" s="441"/>
      <c r="AG624" s="441"/>
      <c r="AH624" s="441"/>
      <c r="AI624" s="441"/>
      <c r="AJ624" s="441"/>
      <c r="AK624" s="441"/>
      <c r="AL624" s="441"/>
      <c r="AM624" s="441"/>
      <c r="AN624" s="441"/>
      <c r="AO624" s="441"/>
      <c r="AP624" s="448"/>
      <c r="AQ624" s="448"/>
      <c r="AR624" s="448"/>
      <c r="AS624" s="448"/>
      <c r="AT624" s="448"/>
      <c r="AU624" s="448"/>
      <c r="AV624" s="448"/>
      <c r="AW624" s="448"/>
      <c r="AX624" s="448"/>
      <c r="AY624" s="448"/>
      <c r="AZ624" s="448"/>
      <c r="BA624" s="448"/>
      <c r="BB624" s="448"/>
      <c r="BC624" s="448"/>
      <c r="BD624" s="448"/>
      <c r="BE624" s="448"/>
      <c r="BF624" s="448"/>
    </row>
    <row r="625" spans="1:58" ht="12.75" thickBot="1">
      <c r="A625" s="1" t="s">
        <v>1276</v>
      </c>
      <c r="B625" s="2" t="s">
        <v>401</v>
      </c>
      <c r="C625" s="2" t="s">
        <v>428</v>
      </c>
      <c r="D625" s="8" t="s">
        <v>13</v>
      </c>
      <c r="E625" s="3">
        <f t="shared" si="67"/>
        <v>0</v>
      </c>
      <c r="F625" s="452">
        <f t="shared" si="67"/>
        <v>0</v>
      </c>
      <c r="G625" s="452">
        <f t="shared" si="66"/>
        <v>0</v>
      </c>
      <c r="H625" s="452">
        <f t="shared" si="66"/>
        <v>0</v>
      </c>
      <c r="I625" s="452">
        <f t="shared" si="66"/>
        <v>0</v>
      </c>
      <c r="J625" s="452">
        <f t="shared" si="66"/>
        <v>0</v>
      </c>
      <c r="K625" s="452">
        <f t="shared" si="66"/>
        <v>0</v>
      </c>
      <c r="L625" s="452">
        <f t="shared" si="66"/>
        <v>0</v>
      </c>
      <c r="M625" s="452">
        <f t="shared" si="66"/>
        <v>0</v>
      </c>
      <c r="N625" s="452">
        <f t="shared" si="66"/>
        <v>0</v>
      </c>
      <c r="O625" s="452">
        <f t="shared" si="66"/>
        <v>0</v>
      </c>
      <c r="P625" s="452">
        <f t="shared" si="66"/>
        <v>0</v>
      </c>
      <c r="Q625" s="452"/>
      <c r="R625" s="452">
        <f t="shared" si="66"/>
        <v>0</v>
      </c>
      <c r="S625" s="445">
        <f t="shared" si="63"/>
        <v>0</v>
      </c>
      <c r="T625" s="445">
        <f t="shared" si="64"/>
        <v>0</v>
      </c>
      <c r="U625" s="445">
        <f t="shared" si="65"/>
        <v>0</v>
      </c>
      <c r="W625" s="450"/>
      <c r="X625" s="450"/>
      <c r="Y625" s="441"/>
      <c r="Z625" s="441"/>
      <c r="AA625" s="441"/>
      <c r="AB625" s="441"/>
      <c r="AC625" s="441"/>
      <c r="AD625" s="441"/>
      <c r="AE625" s="441"/>
      <c r="AF625" s="441"/>
      <c r="AG625" s="441"/>
      <c r="AH625" s="441"/>
      <c r="AI625" s="441"/>
      <c r="AJ625" s="441"/>
      <c r="AK625" s="441"/>
      <c r="AL625" s="441"/>
      <c r="AM625" s="441"/>
      <c r="AN625" s="441"/>
      <c r="AO625" s="441"/>
      <c r="AP625" s="448"/>
      <c r="AQ625" s="448"/>
      <c r="AR625" s="448"/>
      <c r="AS625" s="448"/>
      <c r="AT625" s="448"/>
      <c r="AU625" s="448"/>
      <c r="AV625" s="448"/>
      <c r="AW625" s="448"/>
      <c r="AX625" s="448"/>
      <c r="AY625" s="448"/>
      <c r="AZ625" s="448"/>
      <c r="BA625" s="448"/>
      <c r="BB625" s="448"/>
      <c r="BC625" s="448"/>
      <c r="BD625" s="448"/>
      <c r="BE625" s="448"/>
      <c r="BF625" s="448"/>
    </row>
    <row r="626" spans="1:58" ht="12.75" thickBot="1">
      <c r="A626" s="1" t="s">
        <v>1276</v>
      </c>
      <c r="B626" s="2" t="s">
        <v>402</v>
      </c>
      <c r="C626" s="2" t="s">
        <v>429</v>
      </c>
      <c r="D626" s="8" t="s">
        <v>13</v>
      </c>
      <c r="E626" s="3">
        <f t="shared" si="67"/>
        <v>0</v>
      </c>
      <c r="F626" s="452">
        <f t="shared" si="67"/>
        <v>0</v>
      </c>
      <c r="G626" s="452">
        <f t="shared" si="66"/>
        <v>0</v>
      </c>
      <c r="H626" s="452">
        <f t="shared" si="66"/>
        <v>0</v>
      </c>
      <c r="I626" s="452">
        <f t="shared" si="66"/>
        <v>0</v>
      </c>
      <c r="J626" s="452">
        <f t="shared" si="66"/>
        <v>0</v>
      </c>
      <c r="K626" s="452">
        <f t="shared" si="66"/>
        <v>0</v>
      </c>
      <c r="L626" s="452">
        <f t="shared" si="66"/>
        <v>0</v>
      </c>
      <c r="M626" s="452">
        <f t="shared" si="66"/>
        <v>0</v>
      </c>
      <c r="N626" s="452">
        <f t="shared" si="66"/>
        <v>0</v>
      </c>
      <c r="O626" s="452">
        <f t="shared" si="66"/>
        <v>0</v>
      </c>
      <c r="P626" s="452">
        <f t="shared" si="66"/>
        <v>0</v>
      </c>
      <c r="Q626" s="452"/>
      <c r="R626" s="452">
        <f t="shared" si="66"/>
        <v>0</v>
      </c>
      <c r="S626" s="445">
        <f t="shared" si="63"/>
        <v>0</v>
      </c>
      <c r="T626" s="445">
        <f t="shared" si="64"/>
        <v>0</v>
      </c>
      <c r="U626" s="445">
        <f t="shared" si="65"/>
        <v>0</v>
      </c>
      <c r="W626" s="450"/>
      <c r="X626" s="450"/>
      <c r="Y626" s="441"/>
      <c r="Z626" s="441"/>
      <c r="AA626" s="441"/>
      <c r="AB626" s="441"/>
      <c r="AC626" s="441"/>
      <c r="AD626" s="441"/>
      <c r="AE626" s="441"/>
      <c r="AF626" s="441"/>
      <c r="AG626" s="441"/>
      <c r="AH626" s="441"/>
      <c r="AI626" s="441"/>
      <c r="AJ626" s="441"/>
      <c r="AK626" s="441"/>
      <c r="AL626" s="441"/>
      <c r="AM626" s="441"/>
      <c r="AN626" s="441"/>
      <c r="AO626" s="441"/>
      <c r="AP626" s="448"/>
      <c r="AQ626" s="448"/>
      <c r="AR626" s="448"/>
      <c r="AS626" s="448"/>
      <c r="AT626" s="448"/>
      <c r="AU626" s="448"/>
      <c r="AV626" s="448"/>
      <c r="AW626" s="448"/>
      <c r="AX626" s="448"/>
      <c r="AY626" s="448"/>
      <c r="AZ626" s="448"/>
      <c r="BA626" s="448"/>
      <c r="BB626" s="448"/>
      <c r="BC626" s="448"/>
      <c r="BD626" s="448"/>
      <c r="BE626" s="448"/>
      <c r="BF626" s="448"/>
    </row>
    <row r="627" spans="1:58" ht="12.75" hidden="1" thickBot="1">
      <c r="A627" s="1" t="s">
        <v>1276</v>
      </c>
      <c r="B627" s="2" t="s">
        <v>706</v>
      </c>
      <c r="C627" s="2" t="s">
        <v>1204</v>
      </c>
      <c r="D627" s="8" t="s">
        <v>641</v>
      </c>
      <c r="E627" s="3">
        <f t="shared" si="67"/>
        <v>0</v>
      </c>
      <c r="F627" s="452">
        <f t="shared" si="67"/>
        <v>0</v>
      </c>
      <c r="G627" s="452">
        <f t="shared" si="66"/>
        <v>0</v>
      </c>
      <c r="H627" s="452">
        <f t="shared" si="66"/>
        <v>0</v>
      </c>
      <c r="I627" s="452">
        <f t="shared" si="66"/>
        <v>0</v>
      </c>
      <c r="J627" s="452">
        <f t="shared" si="66"/>
        <v>0</v>
      </c>
      <c r="K627" s="452">
        <f t="shared" si="66"/>
        <v>0</v>
      </c>
      <c r="L627" s="452">
        <f t="shared" si="66"/>
        <v>0</v>
      </c>
      <c r="M627" s="452">
        <f t="shared" si="66"/>
        <v>0</v>
      </c>
      <c r="N627" s="452">
        <f t="shared" si="66"/>
        <v>0</v>
      </c>
      <c r="O627" s="452">
        <f t="shared" si="66"/>
        <v>0</v>
      </c>
      <c r="P627" s="452">
        <f t="shared" si="66"/>
        <v>0</v>
      </c>
      <c r="Q627" s="452"/>
      <c r="R627" s="452">
        <f t="shared" si="66"/>
        <v>0</v>
      </c>
      <c r="S627" s="445">
        <f t="shared" si="63"/>
        <v>0</v>
      </c>
      <c r="T627" s="445">
        <f t="shared" si="64"/>
        <v>0</v>
      </c>
      <c r="U627" s="445">
        <f t="shared" si="65"/>
        <v>0</v>
      </c>
      <c r="W627" s="450"/>
      <c r="X627" s="450"/>
      <c r="Y627" s="441"/>
      <c r="Z627" s="441"/>
      <c r="AA627" s="441"/>
      <c r="AB627" s="441"/>
      <c r="AC627" s="441"/>
      <c r="AD627" s="441"/>
      <c r="AE627" s="441"/>
      <c r="AF627" s="441"/>
      <c r="AG627" s="441"/>
      <c r="AH627" s="441"/>
      <c r="AI627" s="441"/>
      <c r="AJ627" s="441"/>
      <c r="AK627" s="441"/>
      <c r="AL627" s="441"/>
      <c r="AM627" s="441"/>
      <c r="AN627" s="441"/>
      <c r="AO627" s="441"/>
      <c r="AP627" s="448"/>
      <c r="AQ627" s="448"/>
      <c r="AR627" s="448"/>
      <c r="AS627" s="448"/>
      <c r="AT627" s="448"/>
      <c r="AU627" s="448"/>
      <c r="AV627" s="448"/>
      <c r="AW627" s="448"/>
      <c r="AX627" s="448"/>
      <c r="AY627" s="448"/>
      <c r="AZ627" s="448"/>
      <c r="BA627" s="448"/>
      <c r="BB627" s="448"/>
      <c r="BC627" s="448"/>
      <c r="BD627" s="448"/>
      <c r="BE627" s="448"/>
      <c r="BF627" s="448"/>
    </row>
    <row r="628" spans="1:58" ht="12.75" hidden="1" thickBot="1">
      <c r="A628" s="1" t="s">
        <v>1276</v>
      </c>
      <c r="B628" s="2" t="s">
        <v>1230</v>
      </c>
      <c r="C628" s="2" t="s">
        <v>1245</v>
      </c>
      <c r="D628" s="8" t="s">
        <v>641</v>
      </c>
      <c r="E628" s="3">
        <f t="shared" si="67"/>
        <v>0</v>
      </c>
      <c r="F628" s="452">
        <f t="shared" si="67"/>
        <v>0</v>
      </c>
      <c r="G628" s="452">
        <f t="shared" si="66"/>
        <v>0</v>
      </c>
      <c r="H628" s="452">
        <f t="shared" si="66"/>
        <v>0</v>
      </c>
      <c r="I628" s="452">
        <f t="shared" si="66"/>
        <v>0</v>
      </c>
      <c r="J628" s="452">
        <f t="shared" si="66"/>
        <v>0</v>
      </c>
      <c r="K628" s="452">
        <f t="shared" si="66"/>
        <v>0</v>
      </c>
      <c r="L628" s="452">
        <f t="shared" si="66"/>
        <v>0</v>
      </c>
      <c r="M628" s="452">
        <f t="shared" si="66"/>
        <v>0</v>
      </c>
      <c r="N628" s="452">
        <f t="shared" si="66"/>
        <v>0</v>
      </c>
      <c r="O628" s="452">
        <f t="shared" si="66"/>
        <v>0</v>
      </c>
      <c r="P628" s="452">
        <f t="shared" si="66"/>
        <v>0</v>
      </c>
      <c r="Q628" s="452"/>
      <c r="R628" s="452">
        <f t="shared" si="66"/>
        <v>0</v>
      </c>
      <c r="S628" s="445">
        <f t="shared" si="63"/>
        <v>0</v>
      </c>
      <c r="T628" s="445">
        <f t="shared" si="64"/>
        <v>0</v>
      </c>
      <c r="U628" s="445">
        <f t="shared" si="65"/>
        <v>0</v>
      </c>
      <c r="W628" s="450"/>
      <c r="X628" s="450"/>
      <c r="Y628" s="441"/>
      <c r="Z628" s="441"/>
      <c r="AA628" s="441"/>
      <c r="AB628" s="441"/>
      <c r="AC628" s="441"/>
      <c r="AD628" s="441"/>
      <c r="AE628" s="441"/>
      <c r="AF628" s="441"/>
      <c r="AG628" s="441"/>
      <c r="AH628" s="441"/>
      <c r="AI628" s="441"/>
      <c r="AJ628" s="441"/>
      <c r="AK628" s="441"/>
      <c r="AL628" s="441"/>
      <c r="AM628" s="441"/>
      <c r="AN628" s="441"/>
      <c r="AO628" s="441"/>
      <c r="AP628" s="448"/>
      <c r="AQ628" s="448"/>
      <c r="AR628" s="448"/>
      <c r="AS628" s="448"/>
      <c r="AT628" s="448"/>
      <c r="AU628" s="448"/>
      <c r="AV628" s="448"/>
      <c r="AW628" s="448"/>
      <c r="AX628" s="448"/>
      <c r="AY628" s="448"/>
      <c r="AZ628" s="448"/>
      <c r="BA628" s="448"/>
      <c r="BB628" s="448"/>
      <c r="BC628" s="448"/>
      <c r="BD628" s="448"/>
      <c r="BE628" s="448"/>
      <c r="BF628" s="448"/>
    </row>
    <row r="629" spans="1:58" ht="12.75" hidden="1" thickBot="1">
      <c r="A629" s="1" t="s">
        <v>1276</v>
      </c>
      <c r="B629" s="2" t="s">
        <v>362</v>
      </c>
      <c r="C629" s="2" t="s">
        <v>363</v>
      </c>
      <c r="D629" s="8" t="s">
        <v>1205</v>
      </c>
      <c r="E629" s="457"/>
      <c r="F629" s="4"/>
      <c r="G629" s="4"/>
      <c r="H629" s="4"/>
      <c r="I629" s="4"/>
      <c r="J629" s="4"/>
      <c r="K629" s="4"/>
      <c r="L629" s="4"/>
      <c r="M629" s="4"/>
      <c r="N629" s="4"/>
      <c r="O629" s="4"/>
      <c r="P629" s="4"/>
      <c r="Q629" s="4"/>
      <c r="R629" s="4"/>
      <c r="S629" s="445">
        <f t="shared" si="63"/>
        <v>0</v>
      </c>
      <c r="T629" s="445">
        <f t="shared" si="64"/>
        <v>0</v>
      </c>
      <c r="U629" s="445">
        <f t="shared" si="65"/>
        <v>0</v>
      </c>
      <c r="W629" s="450"/>
      <c r="X629" s="450"/>
      <c r="Y629" s="441"/>
      <c r="Z629" s="441"/>
      <c r="AA629" s="441"/>
      <c r="AB629" s="441"/>
      <c r="AC629" s="441"/>
      <c r="AD629" s="441"/>
      <c r="AE629" s="441"/>
      <c r="AF629" s="441"/>
      <c r="AG629" s="441"/>
      <c r="AH629" s="441"/>
      <c r="AI629" s="441"/>
      <c r="AJ629" s="441"/>
      <c r="AK629" s="441"/>
      <c r="AL629" s="441"/>
      <c r="AM629" s="441"/>
      <c r="AN629" s="441"/>
      <c r="AO629" s="441"/>
      <c r="AP629" s="448"/>
      <c r="AQ629" s="448"/>
      <c r="AR629" s="448"/>
      <c r="AS629" s="448"/>
      <c r="AT629" s="448"/>
      <c r="AU629" s="448"/>
      <c r="AV629" s="448"/>
      <c r="AW629" s="448"/>
      <c r="AX629" s="448"/>
      <c r="AY629" s="448"/>
      <c r="AZ629" s="448"/>
      <c r="BA629" s="448"/>
      <c r="BB629" s="448"/>
      <c r="BC629" s="448"/>
      <c r="BD629" s="448"/>
      <c r="BE629" s="448"/>
      <c r="BF629" s="448"/>
    </row>
    <row r="630" spans="1:58" ht="12.75" hidden="1" thickBot="1">
      <c r="A630" s="1" t="s">
        <v>1276</v>
      </c>
      <c r="B630" s="2" t="s">
        <v>342</v>
      </c>
      <c r="C630" s="2" t="s">
        <v>1035</v>
      </c>
      <c r="D630" s="8" t="s">
        <v>459</v>
      </c>
      <c r="E630" s="459"/>
      <c r="F630" s="6"/>
      <c r="G630" s="451"/>
      <c r="H630" s="6"/>
      <c r="I630" s="6"/>
      <c r="J630" s="6"/>
      <c r="K630" s="6"/>
      <c r="L630" s="6"/>
      <c r="M630" s="451"/>
      <c r="N630" s="451"/>
      <c r="O630" s="6"/>
      <c r="P630" s="6"/>
      <c r="Q630" s="451"/>
      <c r="R630" s="451"/>
      <c r="S630" s="445">
        <f t="shared" si="63"/>
        <v>0</v>
      </c>
      <c r="T630" s="445">
        <f t="shared" si="64"/>
        <v>0</v>
      </c>
      <c r="U630" s="445">
        <f t="shared" si="65"/>
        <v>0</v>
      </c>
      <c r="W630" s="450"/>
      <c r="X630" s="450"/>
      <c r="Y630" s="441"/>
      <c r="Z630" s="441"/>
      <c r="AA630" s="441"/>
      <c r="AB630" s="441"/>
      <c r="AC630" s="441"/>
      <c r="AD630" s="441"/>
      <c r="AE630" s="441"/>
      <c r="AF630" s="441"/>
      <c r="AG630" s="441"/>
      <c r="AH630" s="441"/>
      <c r="AI630" s="441"/>
      <c r="AJ630" s="441"/>
      <c r="AK630" s="441"/>
      <c r="AL630" s="441"/>
      <c r="AM630" s="441"/>
      <c r="AN630" s="441"/>
      <c r="AO630" s="441"/>
      <c r="AP630" s="448"/>
      <c r="AQ630" s="448"/>
      <c r="AR630" s="448"/>
      <c r="AS630" s="448"/>
      <c r="AT630" s="448"/>
      <c r="AU630" s="448"/>
      <c r="AV630" s="448"/>
      <c r="AW630" s="448"/>
      <c r="AX630" s="448"/>
      <c r="AY630" s="448"/>
      <c r="AZ630" s="448"/>
      <c r="BA630" s="448"/>
      <c r="BB630" s="448"/>
      <c r="BC630" s="448"/>
      <c r="BD630" s="448"/>
      <c r="BE630" s="448"/>
      <c r="BF630" s="448"/>
    </row>
    <row r="631" spans="1:58" ht="12.75" hidden="1" thickBot="1">
      <c r="A631" s="1" t="s">
        <v>1276</v>
      </c>
      <c r="B631" s="2" t="s">
        <v>213</v>
      </c>
      <c r="C631" s="2" t="s">
        <v>1036</v>
      </c>
      <c r="D631" s="8" t="s">
        <v>459</v>
      </c>
      <c r="E631" s="460"/>
      <c r="F631" s="4"/>
      <c r="G631" s="449"/>
      <c r="H631" s="4"/>
      <c r="I631" s="4"/>
      <c r="J631" s="4"/>
      <c r="K631" s="4"/>
      <c r="L631" s="4"/>
      <c r="M631" s="449"/>
      <c r="N631" s="449"/>
      <c r="O631" s="4"/>
      <c r="P631" s="4"/>
      <c r="Q631" s="449"/>
      <c r="R631" s="449"/>
      <c r="S631" s="445">
        <f t="shared" si="63"/>
        <v>0</v>
      </c>
      <c r="T631" s="445">
        <f t="shared" si="64"/>
        <v>0</v>
      </c>
      <c r="U631" s="445">
        <f t="shared" si="65"/>
        <v>0</v>
      </c>
      <c r="W631" s="450"/>
      <c r="X631" s="450"/>
      <c r="Y631" s="441"/>
      <c r="Z631" s="441"/>
      <c r="AA631" s="441"/>
      <c r="AB631" s="441"/>
      <c r="AC631" s="441"/>
      <c r="AD631" s="441"/>
      <c r="AE631" s="441"/>
      <c r="AF631" s="441"/>
      <c r="AG631" s="441"/>
      <c r="AH631" s="441"/>
      <c r="AI631" s="441"/>
      <c r="AJ631" s="441"/>
      <c r="AK631" s="441"/>
      <c r="AL631" s="441"/>
      <c r="AM631" s="441"/>
      <c r="AN631" s="441"/>
      <c r="AO631" s="441"/>
      <c r="AP631" s="448"/>
      <c r="AQ631" s="448"/>
      <c r="AR631" s="448"/>
      <c r="AS631" s="448"/>
      <c r="AT631" s="448"/>
      <c r="AU631" s="448"/>
      <c r="AV631" s="448"/>
      <c r="AW631" s="448"/>
      <c r="AX631" s="448"/>
      <c r="AY631" s="448"/>
      <c r="AZ631" s="448"/>
      <c r="BA631" s="448"/>
      <c r="BB631" s="448"/>
      <c r="BC631" s="448"/>
      <c r="BD631" s="448"/>
      <c r="BE631" s="448"/>
      <c r="BF631" s="448"/>
    </row>
    <row r="632" spans="1:58" ht="12.75" hidden="1" thickBot="1">
      <c r="A632" s="1" t="s">
        <v>1276</v>
      </c>
      <c r="B632" s="2" t="s">
        <v>214</v>
      </c>
      <c r="C632" s="2" t="s">
        <v>1037</v>
      </c>
      <c r="D632" s="8" t="s">
        <v>459</v>
      </c>
      <c r="E632" s="459"/>
      <c r="F632" s="6"/>
      <c r="G632" s="451"/>
      <c r="H632" s="6"/>
      <c r="I632" s="6"/>
      <c r="J632" s="6"/>
      <c r="K632" s="6"/>
      <c r="L632" s="6"/>
      <c r="M632" s="451"/>
      <c r="N632" s="451"/>
      <c r="O632" s="6"/>
      <c r="P632" s="6"/>
      <c r="Q632" s="451"/>
      <c r="R632" s="451"/>
      <c r="S632" s="445">
        <f t="shared" si="63"/>
        <v>0</v>
      </c>
      <c r="T632" s="445">
        <f t="shared" si="64"/>
        <v>0</v>
      </c>
      <c r="U632" s="445">
        <f t="shared" si="65"/>
        <v>0</v>
      </c>
      <c r="W632" s="450"/>
      <c r="X632" s="450"/>
      <c r="Y632" s="441"/>
      <c r="Z632" s="441"/>
      <c r="AA632" s="441"/>
      <c r="AB632" s="441"/>
      <c r="AC632" s="441"/>
      <c r="AD632" s="441"/>
      <c r="AE632" s="441"/>
      <c r="AF632" s="441"/>
      <c r="AG632" s="441"/>
      <c r="AH632" s="441"/>
      <c r="AI632" s="441"/>
      <c r="AJ632" s="441"/>
      <c r="AK632" s="441"/>
      <c r="AL632" s="441"/>
      <c r="AM632" s="441"/>
      <c r="AN632" s="441"/>
      <c r="AO632" s="441"/>
      <c r="AP632" s="448"/>
      <c r="AQ632" s="448"/>
      <c r="AR632" s="448"/>
      <c r="AS632" s="448"/>
      <c r="AT632" s="448"/>
      <c r="AU632" s="448"/>
      <c r="AV632" s="448"/>
      <c r="AW632" s="448"/>
      <c r="AX632" s="448"/>
      <c r="AY632" s="448"/>
      <c r="AZ632" s="448"/>
      <c r="BA632" s="448"/>
      <c r="BB632" s="448"/>
      <c r="BC632" s="448"/>
      <c r="BD632" s="448"/>
      <c r="BE632" s="448"/>
      <c r="BF632" s="448"/>
    </row>
    <row r="633" spans="1:58" ht="12.75" hidden="1" thickBot="1">
      <c r="A633" s="1" t="s">
        <v>1276</v>
      </c>
      <c r="B633" s="2" t="s">
        <v>1231</v>
      </c>
      <c r="C633" s="2" t="s">
        <v>1232</v>
      </c>
      <c r="D633" s="8" t="s">
        <v>459</v>
      </c>
      <c r="E633" s="460"/>
      <c r="F633" s="4"/>
      <c r="G633" s="4"/>
      <c r="H633" s="4"/>
      <c r="I633" s="4"/>
      <c r="J633" s="4"/>
      <c r="K633" s="4"/>
      <c r="L633" s="4"/>
      <c r="M633" s="4"/>
      <c r="N633" s="4"/>
      <c r="O633" s="4"/>
      <c r="P633" s="4"/>
      <c r="Q633" s="4"/>
      <c r="R633" s="4"/>
      <c r="S633" s="445">
        <f t="shared" si="63"/>
        <v>0</v>
      </c>
      <c r="T633" s="445">
        <f t="shared" si="64"/>
        <v>0</v>
      </c>
      <c r="U633" s="445">
        <f t="shared" si="65"/>
        <v>0</v>
      </c>
      <c r="W633" s="450"/>
      <c r="X633" s="450"/>
      <c r="Y633" s="441"/>
      <c r="Z633" s="441"/>
      <c r="AA633" s="441"/>
      <c r="AB633" s="441"/>
      <c r="AC633" s="441"/>
      <c r="AD633" s="441"/>
      <c r="AE633" s="441"/>
      <c r="AF633" s="441"/>
      <c r="AG633" s="441"/>
      <c r="AH633" s="441"/>
      <c r="AI633" s="441"/>
      <c r="AJ633" s="441"/>
      <c r="AK633" s="441"/>
      <c r="AL633" s="441"/>
      <c r="AM633" s="441"/>
      <c r="AN633" s="441"/>
      <c r="AO633" s="441"/>
      <c r="AP633" s="448"/>
      <c r="AQ633" s="448"/>
      <c r="AR633" s="448"/>
      <c r="AS633" s="448"/>
      <c r="AT633" s="448"/>
      <c r="AU633" s="448"/>
      <c r="AV633" s="448"/>
      <c r="AW633" s="448"/>
      <c r="AX633" s="448"/>
      <c r="AY633" s="448"/>
      <c r="AZ633" s="448"/>
      <c r="BA633" s="448"/>
      <c r="BB633" s="448"/>
      <c r="BC633" s="448"/>
      <c r="BD633" s="448"/>
      <c r="BE633" s="448"/>
      <c r="BF633" s="448"/>
    </row>
    <row r="634" spans="1:58" ht="12.75" hidden="1" thickBot="1">
      <c r="A634" s="1" t="s">
        <v>1276</v>
      </c>
      <c r="B634" s="2" t="s">
        <v>215</v>
      </c>
      <c r="C634" s="2" t="s">
        <v>1038</v>
      </c>
      <c r="D634" s="8" t="s">
        <v>459</v>
      </c>
      <c r="E634" s="459"/>
      <c r="F634" s="6"/>
      <c r="G634" s="451"/>
      <c r="H634" s="6"/>
      <c r="I634" s="6"/>
      <c r="J634" s="6"/>
      <c r="K634" s="6"/>
      <c r="L634" s="6"/>
      <c r="M634" s="451"/>
      <c r="N634" s="451"/>
      <c r="O634" s="6"/>
      <c r="P634" s="6"/>
      <c r="Q634" s="451"/>
      <c r="R634" s="451"/>
      <c r="S634" s="445">
        <f t="shared" si="63"/>
        <v>0</v>
      </c>
      <c r="T634" s="445">
        <f t="shared" si="64"/>
        <v>0</v>
      </c>
      <c r="U634" s="445">
        <f t="shared" si="65"/>
        <v>0</v>
      </c>
      <c r="W634" s="450"/>
      <c r="X634" s="450"/>
      <c r="Y634" s="441"/>
      <c r="Z634" s="441"/>
      <c r="AA634" s="441"/>
      <c r="AB634" s="441"/>
      <c r="AC634" s="441"/>
      <c r="AD634" s="441"/>
      <c r="AE634" s="441"/>
      <c r="AF634" s="441"/>
      <c r="AG634" s="441"/>
      <c r="AH634" s="441"/>
      <c r="AI634" s="441"/>
      <c r="AJ634" s="441"/>
      <c r="AK634" s="441"/>
      <c r="AL634" s="441"/>
      <c r="AM634" s="441"/>
      <c r="AN634" s="441"/>
      <c r="AO634" s="441"/>
      <c r="AP634" s="448"/>
      <c r="AQ634" s="448"/>
      <c r="AR634" s="448"/>
      <c r="AS634" s="448"/>
      <c r="AT634" s="448"/>
      <c r="AU634" s="448"/>
      <c r="AV634" s="448"/>
      <c r="AW634" s="448"/>
      <c r="AX634" s="448"/>
      <c r="AY634" s="448"/>
      <c r="AZ634" s="448"/>
      <c r="BA634" s="448"/>
      <c r="BB634" s="448"/>
      <c r="BC634" s="448"/>
      <c r="BD634" s="448"/>
      <c r="BE634" s="448"/>
      <c r="BF634" s="448"/>
    </row>
    <row r="635" spans="1:58" ht="12.75" hidden="1" thickBot="1">
      <c r="A635" s="1" t="s">
        <v>1276</v>
      </c>
      <c r="B635" s="2" t="s">
        <v>216</v>
      </c>
      <c r="C635" s="2" t="s">
        <v>1039</v>
      </c>
      <c r="D635" s="8" t="s">
        <v>459</v>
      </c>
      <c r="E635" s="460"/>
      <c r="F635" s="4"/>
      <c r="G635" s="449"/>
      <c r="H635" s="4"/>
      <c r="I635" s="4"/>
      <c r="J635" s="4"/>
      <c r="K635" s="4"/>
      <c r="L635" s="4"/>
      <c r="M635" s="449"/>
      <c r="N635" s="449"/>
      <c r="O635" s="4"/>
      <c r="P635" s="4"/>
      <c r="Q635" s="449"/>
      <c r="R635" s="449"/>
      <c r="S635" s="445">
        <f t="shared" si="63"/>
        <v>0</v>
      </c>
      <c r="T635" s="445">
        <f t="shared" si="64"/>
        <v>0</v>
      </c>
      <c r="U635" s="445">
        <f t="shared" si="65"/>
        <v>0</v>
      </c>
      <c r="W635" s="450"/>
      <c r="X635" s="450"/>
      <c r="Y635" s="441"/>
      <c r="Z635" s="441"/>
      <c r="AA635" s="441"/>
      <c r="AB635" s="441"/>
      <c r="AC635" s="441"/>
      <c r="AD635" s="441"/>
      <c r="AE635" s="441"/>
      <c r="AF635" s="441"/>
      <c r="AG635" s="441"/>
      <c r="AH635" s="441"/>
      <c r="AI635" s="441"/>
      <c r="AJ635" s="441"/>
      <c r="AK635" s="441"/>
      <c r="AL635" s="441"/>
      <c r="AM635" s="441"/>
      <c r="AN635" s="441"/>
      <c r="AO635" s="441"/>
      <c r="AP635" s="448"/>
      <c r="AQ635" s="448"/>
      <c r="AR635" s="448"/>
      <c r="AS635" s="448"/>
      <c r="AT635" s="448"/>
      <c r="AU635" s="448"/>
      <c r="AV635" s="448"/>
      <c r="AW635" s="448"/>
      <c r="AX635" s="448"/>
      <c r="AY635" s="448"/>
      <c r="AZ635" s="448"/>
      <c r="BA635" s="448"/>
      <c r="BB635" s="448"/>
      <c r="BC635" s="448"/>
      <c r="BD635" s="448"/>
      <c r="BE635" s="448"/>
      <c r="BF635" s="448"/>
    </row>
    <row r="636" spans="1:58" ht="12.75" hidden="1" thickBot="1">
      <c r="A636" s="1" t="s">
        <v>1276</v>
      </c>
      <c r="B636" s="2" t="s">
        <v>217</v>
      </c>
      <c r="C636" s="2" t="s">
        <v>1040</v>
      </c>
      <c r="D636" s="8" t="s">
        <v>459</v>
      </c>
      <c r="E636" s="459"/>
      <c r="F636" s="6"/>
      <c r="G636" s="451"/>
      <c r="H636" s="6"/>
      <c r="I636" s="6"/>
      <c r="J636" s="6"/>
      <c r="K636" s="6"/>
      <c r="L636" s="6"/>
      <c r="M636" s="451"/>
      <c r="N636" s="451"/>
      <c r="O636" s="6"/>
      <c r="P636" s="6"/>
      <c r="Q636" s="451"/>
      <c r="R636" s="451"/>
      <c r="S636" s="445">
        <f t="shared" si="63"/>
        <v>0</v>
      </c>
      <c r="T636" s="445">
        <f t="shared" si="64"/>
        <v>0</v>
      </c>
      <c r="U636" s="445">
        <f t="shared" si="65"/>
        <v>0</v>
      </c>
      <c r="W636" s="450"/>
      <c r="X636" s="450"/>
      <c r="Y636" s="441"/>
      <c r="Z636" s="441"/>
      <c r="AA636" s="441"/>
      <c r="AB636" s="441"/>
      <c r="AC636" s="441"/>
      <c r="AD636" s="441"/>
      <c r="AE636" s="441"/>
      <c r="AF636" s="441"/>
      <c r="AG636" s="441"/>
      <c r="AH636" s="441"/>
      <c r="AI636" s="441"/>
      <c r="AJ636" s="441"/>
      <c r="AK636" s="441"/>
      <c r="AL636" s="441"/>
      <c r="AM636" s="441"/>
      <c r="AN636" s="441"/>
      <c r="AO636" s="441"/>
      <c r="AP636" s="448"/>
      <c r="AQ636" s="448"/>
      <c r="AR636" s="448"/>
      <c r="AS636" s="448"/>
      <c r="AT636" s="448"/>
      <c r="AU636" s="448"/>
      <c r="AV636" s="448"/>
      <c r="AW636" s="448"/>
      <c r="AX636" s="448"/>
      <c r="AY636" s="448"/>
      <c r="AZ636" s="448"/>
      <c r="BA636" s="448"/>
      <c r="BB636" s="448"/>
      <c r="BC636" s="448"/>
      <c r="BD636" s="448"/>
      <c r="BE636" s="448"/>
      <c r="BF636" s="448"/>
    </row>
    <row r="637" spans="1:58" ht="12.75" hidden="1" thickBot="1">
      <c r="A637" s="1" t="s">
        <v>1276</v>
      </c>
      <c r="B637" s="2" t="s">
        <v>344</v>
      </c>
      <c r="C637" s="2" t="s">
        <v>1041</v>
      </c>
      <c r="D637" s="8" t="s">
        <v>459</v>
      </c>
      <c r="E637" s="460"/>
      <c r="F637" s="4"/>
      <c r="G637" s="449"/>
      <c r="H637" s="4"/>
      <c r="I637" s="4"/>
      <c r="J637" s="4"/>
      <c r="K637" s="4"/>
      <c r="L637" s="4"/>
      <c r="M637" s="449"/>
      <c r="N637" s="449"/>
      <c r="O637" s="4"/>
      <c r="P637" s="4"/>
      <c r="Q637" s="449"/>
      <c r="R637" s="449"/>
      <c r="S637" s="445">
        <f t="shared" si="63"/>
        <v>0</v>
      </c>
      <c r="T637" s="445">
        <f t="shared" si="64"/>
        <v>0</v>
      </c>
      <c r="U637" s="445">
        <f t="shared" si="65"/>
        <v>0</v>
      </c>
      <c r="W637" s="450"/>
      <c r="X637" s="450"/>
      <c r="Y637" s="441"/>
      <c r="Z637" s="441"/>
      <c r="AA637" s="441"/>
      <c r="AB637" s="441"/>
      <c r="AC637" s="441"/>
      <c r="AD637" s="441"/>
      <c r="AE637" s="441"/>
      <c r="AF637" s="441"/>
      <c r="AG637" s="441"/>
      <c r="AH637" s="441"/>
      <c r="AI637" s="441"/>
      <c r="AJ637" s="441"/>
      <c r="AK637" s="441"/>
      <c r="AL637" s="441"/>
      <c r="AM637" s="441"/>
      <c r="AN637" s="441"/>
      <c r="AO637" s="441"/>
      <c r="AP637" s="448"/>
      <c r="AQ637" s="448"/>
      <c r="AR637" s="448"/>
      <c r="AS637" s="448"/>
      <c r="AT637" s="448"/>
      <c r="AU637" s="448"/>
      <c r="AV637" s="448"/>
      <c r="AW637" s="448"/>
      <c r="AX637" s="448"/>
      <c r="AY637" s="448"/>
      <c r="AZ637" s="448"/>
      <c r="BA637" s="448"/>
      <c r="BB637" s="448"/>
      <c r="BC637" s="448"/>
      <c r="BD637" s="448"/>
      <c r="BE637" s="448"/>
      <c r="BF637" s="448"/>
    </row>
    <row r="638" spans="1:58" ht="12.75" hidden="1" thickBot="1">
      <c r="A638" s="1" t="s">
        <v>1276</v>
      </c>
      <c r="B638" s="2" t="s">
        <v>1233</v>
      </c>
      <c r="C638" s="2" t="s">
        <v>1234</v>
      </c>
      <c r="D638" s="8" t="s">
        <v>459</v>
      </c>
      <c r="E638" s="459"/>
      <c r="F638" s="6"/>
      <c r="G638" s="6"/>
      <c r="H638" s="6"/>
      <c r="I638" s="6"/>
      <c r="J638" s="6"/>
      <c r="K638" s="6"/>
      <c r="L638" s="6"/>
      <c r="M638" s="6"/>
      <c r="N638" s="6"/>
      <c r="O638" s="6"/>
      <c r="P638" s="6"/>
      <c r="Q638" s="6"/>
      <c r="R638" s="6"/>
      <c r="S638" s="445">
        <f t="shared" si="63"/>
        <v>0</v>
      </c>
      <c r="T638" s="445">
        <f t="shared" si="64"/>
        <v>0</v>
      </c>
      <c r="U638" s="445">
        <f t="shared" si="65"/>
        <v>0</v>
      </c>
      <c r="W638" s="450"/>
      <c r="X638" s="450"/>
      <c r="Y638" s="441"/>
      <c r="Z638" s="441"/>
      <c r="AA638" s="441"/>
      <c r="AB638" s="441"/>
      <c r="AC638" s="441"/>
      <c r="AD638" s="441"/>
      <c r="AE638" s="441"/>
      <c r="AF638" s="441"/>
      <c r="AG638" s="441"/>
      <c r="AH638" s="441"/>
      <c r="AI638" s="441"/>
      <c r="AJ638" s="441"/>
      <c r="AK638" s="441"/>
      <c r="AL638" s="441"/>
      <c r="AM638" s="441"/>
      <c r="AN638" s="441"/>
      <c r="AO638" s="441"/>
      <c r="AP638" s="448"/>
      <c r="AQ638" s="448"/>
      <c r="AR638" s="448"/>
      <c r="AS638" s="448"/>
      <c r="AT638" s="448"/>
      <c r="AU638" s="448"/>
      <c r="AV638" s="448"/>
      <c r="AW638" s="448"/>
      <c r="AX638" s="448"/>
      <c r="AY638" s="448"/>
      <c r="AZ638" s="448"/>
      <c r="BA638" s="448"/>
      <c r="BB638" s="448"/>
      <c r="BC638" s="448"/>
      <c r="BD638" s="448"/>
      <c r="BE638" s="448"/>
      <c r="BF638" s="448"/>
    </row>
    <row r="639" spans="1:58" ht="12.75" hidden="1" thickBot="1">
      <c r="A639" s="1" t="s">
        <v>1276</v>
      </c>
      <c r="B639" s="2" t="s">
        <v>218</v>
      </c>
      <c r="C639" s="2" t="s">
        <v>1042</v>
      </c>
      <c r="D639" s="8" t="s">
        <v>459</v>
      </c>
      <c r="E639" s="460"/>
      <c r="F639" s="4"/>
      <c r="G639" s="449"/>
      <c r="H639" s="4"/>
      <c r="I639" s="4"/>
      <c r="J639" s="4"/>
      <c r="K639" s="4"/>
      <c r="L639" s="4"/>
      <c r="M639" s="449"/>
      <c r="N639" s="449"/>
      <c r="O639" s="4"/>
      <c r="P639" s="4"/>
      <c r="Q639" s="449"/>
      <c r="R639" s="449"/>
      <c r="S639" s="445">
        <f t="shared" si="63"/>
        <v>0</v>
      </c>
      <c r="T639" s="445">
        <f t="shared" si="64"/>
        <v>0</v>
      </c>
      <c r="U639" s="445">
        <f t="shared" si="65"/>
        <v>0</v>
      </c>
      <c r="W639" s="450"/>
      <c r="X639" s="450"/>
      <c r="Y639" s="441"/>
      <c r="Z639" s="441"/>
      <c r="AA639" s="441"/>
      <c r="AB639" s="441"/>
      <c r="AC639" s="441"/>
      <c r="AD639" s="441"/>
      <c r="AE639" s="441"/>
      <c r="AF639" s="441"/>
      <c r="AG639" s="441"/>
      <c r="AH639" s="441"/>
      <c r="AI639" s="441"/>
      <c r="AJ639" s="441"/>
      <c r="AK639" s="441"/>
      <c r="AL639" s="441"/>
      <c r="AM639" s="441"/>
      <c r="AN639" s="441"/>
      <c r="AO639" s="441"/>
      <c r="AP639" s="448"/>
      <c r="AQ639" s="448"/>
      <c r="AR639" s="448"/>
      <c r="AS639" s="448"/>
      <c r="AT639" s="448"/>
      <c r="AU639" s="448"/>
      <c r="AV639" s="448"/>
      <c r="AW639" s="448"/>
      <c r="AX639" s="448"/>
      <c r="AY639" s="448"/>
      <c r="AZ639" s="448"/>
      <c r="BA639" s="448"/>
      <c r="BB639" s="448"/>
      <c r="BC639" s="448"/>
      <c r="BD639" s="448"/>
      <c r="BE639" s="448"/>
      <c r="BF639" s="448"/>
    </row>
    <row r="640" spans="1:58" ht="12.75" hidden="1" thickBot="1">
      <c r="A640" s="1" t="s">
        <v>1276</v>
      </c>
      <c r="B640" s="2" t="s">
        <v>223</v>
      </c>
      <c r="C640" s="2" t="s">
        <v>1043</v>
      </c>
      <c r="D640" s="8" t="s">
        <v>459</v>
      </c>
      <c r="E640" s="459"/>
      <c r="F640" s="6"/>
      <c r="G640" s="451"/>
      <c r="H640" s="6"/>
      <c r="I640" s="6"/>
      <c r="J640" s="6"/>
      <c r="K640" s="6"/>
      <c r="L640" s="6"/>
      <c r="M640" s="451"/>
      <c r="N640" s="451"/>
      <c r="O640" s="6"/>
      <c r="P640" s="6"/>
      <c r="Q640" s="451"/>
      <c r="R640" s="451"/>
      <c r="S640" s="445">
        <f t="shared" si="63"/>
        <v>0</v>
      </c>
      <c r="T640" s="445">
        <f t="shared" si="64"/>
        <v>0</v>
      </c>
      <c r="U640" s="445">
        <f t="shared" si="65"/>
        <v>0</v>
      </c>
      <c r="W640" s="450"/>
      <c r="X640" s="450"/>
      <c r="Y640" s="441"/>
      <c r="Z640" s="441"/>
      <c r="AA640" s="441"/>
      <c r="AB640" s="441"/>
      <c r="AC640" s="441"/>
      <c r="AD640" s="441"/>
      <c r="AE640" s="441"/>
      <c r="AF640" s="441"/>
      <c r="AG640" s="441"/>
      <c r="AH640" s="441"/>
      <c r="AI640" s="441"/>
      <c r="AJ640" s="441"/>
      <c r="AK640" s="441"/>
      <c r="AL640" s="441"/>
      <c r="AM640" s="441"/>
      <c r="AN640" s="441"/>
      <c r="AO640" s="441"/>
      <c r="AP640" s="448"/>
      <c r="AQ640" s="448"/>
      <c r="AR640" s="448"/>
      <c r="AS640" s="448"/>
      <c r="AT640" s="448"/>
      <c r="AU640" s="448"/>
      <c r="AV640" s="448"/>
      <c r="AW640" s="448"/>
      <c r="AX640" s="448"/>
      <c r="AY640" s="448"/>
      <c r="AZ640" s="448"/>
      <c r="BA640" s="448"/>
      <c r="BB640" s="448"/>
      <c r="BC640" s="448"/>
      <c r="BD640" s="448"/>
      <c r="BE640" s="448"/>
      <c r="BF640" s="448"/>
    </row>
    <row r="641" spans="1:58" ht="12.75" hidden="1" thickBot="1">
      <c r="A641" s="1" t="s">
        <v>1276</v>
      </c>
      <c r="B641" s="2" t="s">
        <v>231</v>
      </c>
      <c r="C641" s="2" t="s">
        <v>1044</v>
      </c>
      <c r="D641" s="8" t="s">
        <v>459</v>
      </c>
      <c r="E641" s="460"/>
      <c r="F641" s="4"/>
      <c r="G641" s="449"/>
      <c r="H641" s="4"/>
      <c r="I641" s="4"/>
      <c r="J641" s="4"/>
      <c r="K641" s="4"/>
      <c r="L641" s="4"/>
      <c r="M641" s="449"/>
      <c r="N641" s="449"/>
      <c r="O641" s="4"/>
      <c r="P641" s="4"/>
      <c r="Q641" s="449"/>
      <c r="R641" s="449"/>
      <c r="S641" s="445">
        <f t="shared" si="63"/>
        <v>0</v>
      </c>
      <c r="T641" s="445">
        <f t="shared" si="64"/>
        <v>0</v>
      </c>
      <c r="U641" s="445">
        <f t="shared" si="65"/>
        <v>0</v>
      </c>
      <c r="W641" s="450"/>
      <c r="X641" s="450"/>
      <c r="Y641" s="441"/>
      <c r="Z641" s="441"/>
      <c r="AA641" s="441"/>
      <c r="AB641" s="441"/>
      <c r="AC641" s="441"/>
      <c r="AD641" s="441"/>
      <c r="AE641" s="441"/>
      <c r="AF641" s="441"/>
      <c r="AG641" s="441"/>
      <c r="AH641" s="441"/>
      <c r="AI641" s="441"/>
      <c r="AJ641" s="441"/>
      <c r="AK641" s="441"/>
      <c r="AL641" s="441"/>
      <c r="AM641" s="441"/>
      <c r="AN641" s="441"/>
      <c r="AO641" s="441"/>
      <c r="AP641" s="448"/>
      <c r="AQ641" s="448"/>
      <c r="AR641" s="448"/>
      <c r="AS641" s="448"/>
      <c r="AT641" s="448"/>
      <c r="AU641" s="448"/>
      <c r="AV641" s="448"/>
      <c r="AW641" s="448"/>
      <c r="AX641" s="448"/>
      <c r="AY641" s="448"/>
      <c r="AZ641" s="448"/>
      <c r="BA641" s="448"/>
      <c r="BB641" s="448"/>
      <c r="BC641" s="448"/>
      <c r="BD641" s="448"/>
      <c r="BE641" s="448"/>
      <c r="BF641" s="448"/>
    </row>
    <row r="642" spans="1:58" ht="12.75" hidden="1" thickBot="1">
      <c r="A642" s="1" t="s">
        <v>1276</v>
      </c>
      <c r="B642" s="2" t="s">
        <v>232</v>
      </c>
      <c r="C642" s="2" t="s">
        <v>1045</v>
      </c>
      <c r="D642" s="8" t="s">
        <v>459</v>
      </c>
      <c r="E642" s="459"/>
      <c r="F642" s="6"/>
      <c r="G642" s="451"/>
      <c r="H642" s="6"/>
      <c r="I642" s="6"/>
      <c r="J642" s="6"/>
      <c r="K642" s="6"/>
      <c r="L642" s="6"/>
      <c r="M642" s="451"/>
      <c r="N642" s="451"/>
      <c r="O642" s="6"/>
      <c r="P642" s="6"/>
      <c r="Q642" s="451"/>
      <c r="R642" s="451"/>
      <c r="S642" s="445">
        <f t="shared" si="63"/>
        <v>0</v>
      </c>
      <c r="T642" s="445">
        <f t="shared" si="64"/>
        <v>0</v>
      </c>
      <c r="U642" s="445">
        <f t="shared" si="65"/>
        <v>0</v>
      </c>
      <c r="W642" s="450"/>
      <c r="X642" s="450"/>
      <c r="Y642" s="441"/>
      <c r="Z642" s="441"/>
      <c r="AA642" s="441"/>
      <c r="AB642" s="441"/>
      <c r="AC642" s="441"/>
      <c r="AD642" s="441"/>
      <c r="AE642" s="441"/>
      <c r="AF642" s="441"/>
      <c r="AG642" s="441"/>
      <c r="AH642" s="441"/>
      <c r="AI642" s="441"/>
      <c r="AJ642" s="441"/>
      <c r="AK642" s="441"/>
      <c r="AL642" s="441"/>
      <c r="AM642" s="441"/>
      <c r="AN642" s="441"/>
      <c r="AO642" s="441"/>
      <c r="AP642" s="448"/>
      <c r="AQ642" s="448"/>
      <c r="AR642" s="448"/>
      <c r="AS642" s="448"/>
      <c r="AT642" s="448"/>
      <c r="AU642" s="448"/>
      <c r="AV642" s="448"/>
      <c r="AW642" s="448"/>
      <c r="AX642" s="448"/>
      <c r="AY642" s="448"/>
      <c r="AZ642" s="448"/>
      <c r="BA642" s="448"/>
      <c r="BB642" s="448"/>
      <c r="BC642" s="448"/>
      <c r="BD642" s="448"/>
      <c r="BE642" s="448"/>
      <c r="BF642" s="448"/>
    </row>
    <row r="643" spans="1:58" ht="12.75" hidden="1" thickBot="1">
      <c r="A643" s="1" t="s">
        <v>1276</v>
      </c>
      <c r="B643" s="2" t="s">
        <v>234</v>
      </c>
      <c r="C643" s="2" t="s">
        <v>1046</v>
      </c>
      <c r="D643" s="8" t="s">
        <v>459</v>
      </c>
      <c r="E643" s="460"/>
      <c r="F643" s="4"/>
      <c r="G643" s="449"/>
      <c r="H643" s="4"/>
      <c r="I643" s="4"/>
      <c r="J643" s="4"/>
      <c r="K643" s="4"/>
      <c r="L643" s="4"/>
      <c r="M643" s="449"/>
      <c r="N643" s="449"/>
      <c r="O643" s="4"/>
      <c r="P643" s="4"/>
      <c r="Q643" s="449"/>
      <c r="R643" s="449"/>
      <c r="S643" s="445">
        <f t="shared" si="63"/>
        <v>0</v>
      </c>
      <c r="T643" s="445">
        <f t="shared" si="64"/>
        <v>0</v>
      </c>
      <c r="U643" s="445">
        <f t="shared" si="65"/>
        <v>0</v>
      </c>
      <c r="W643" s="450"/>
      <c r="X643" s="450"/>
      <c r="Y643" s="441"/>
      <c r="Z643" s="441"/>
      <c r="AA643" s="441"/>
      <c r="AB643" s="441"/>
      <c r="AC643" s="441"/>
      <c r="AD643" s="441"/>
      <c r="AE643" s="441"/>
      <c r="AF643" s="441"/>
      <c r="AG643" s="441"/>
      <c r="AH643" s="441"/>
      <c r="AI643" s="441"/>
      <c r="AJ643" s="441"/>
      <c r="AK643" s="441"/>
      <c r="AL643" s="441"/>
      <c r="AM643" s="441"/>
      <c r="AN643" s="441"/>
      <c r="AO643" s="441"/>
      <c r="AP643" s="448"/>
      <c r="AQ643" s="448"/>
      <c r="AR643" s="448"/>
      <c r="AS643" s="448"/>
      <c r="AT643" s="448"/>
      <c r="AU643" s="448"/>
      <c r="AV643" s="448"/>
      <c r="AW643" s="448"/>
      <c r="AX643" s="448"/>
      <c r="AY643" s="448"/>
      <c r="AZ643" s="448"/>
      <c r="BA643" s="448"/>
      <c r="BB643" s="448"/>
      <c r="BC643" s="448"/>
      <c r="BD643" s="448"/>
      <c r="BE643" s="448"/>
      <c r="BF643" s="448"/>
    </row>
    <row r="644" spans="1:58" ht="12.75" hidden="1" thickBot="1">
      <c r="A644" s="1" t="s">
        <v>1276</v>
      </c>
      <c r="B644" s="2" t="s">
        <v>353</v>
      </c>
      <c r="C644" s="2" t="s">
        <v>1047</v>
      </c>
      <c r="D644" s="8" t="s">
        <v>459</v>
      </c>
      <c r="E644" s="459"/>
      <c r="F644" s="6"/>
      <c r="G644" s="451"/>
      <c r="H644" s="6"/>
      <c r="I644" s="6"/>
      <c r="J644" s="6"/>
      <c r="K644" s="6"/>
      <c r="L644" s="6"/>
      <c r="M644" s="451"/>
      <c r="N644" s="451"/>
      <c r="O644" s="6"/>
      <c r="P644" s="6"/>
      <c r="Q644" s="451"/>
      <c r="R644" s="451"/>
      <c r="S644" s="445">
        <f t="shared" si="63"/>
        <v>0</v>
      </c>
      <c r="T644" s="445">
        <f t="shared" si="64"/>
        <v>0</v>
      </c>
      <c r="U644" s="445">
        <f t="shared" si="65"/>
        <v>0</v>
      </c>
      <c r="W644" s="450"/>
      <c r="X644" s="450"/>
      <c r="Y644" s="441"/>
      <c r="Z644" s="441"/>
      <c r="AA644" s="441"/>
      <c r="AB644" s="441"/>
      <c r="AC644" s="441"/>
      <c r="AD644" s="441"/>
      <c r="AE644" s="441"/>
      <c r="AF644" s="441"/>
      <c r="AG644" s="441"/>
      <c r="AH644" s="441"/>
      <c r="AI644" s="441"/>
      <c r="AJ644" s="441"/>
      <c r="AK644" s="441"/>
      <c r="AL644" s="441"/>
      <c r="AM644" s="441"/>
      <c r="AN644" s="441"/>
      <c r="AO644" s="441"/>
      <c r="AP644" s="448"/>
      <c r="AQ644" s="448"/>
      <c r="AR644" s="448"/>
      <c r="AS644" s="448"/>
      <c r="AT644" s="448"/>
      <c r="AU644" s="448"/>
      <c r="AV644" s="448"/>
      <c r="AW644" s="448"/>
      <c r="AX644" s="448"/>
      <c r="AY644" s="448"/>
      <c r="AZ644" s="448"/>
      <c r="BA644" s="448"/>
      <c r="BB644" s="448"/>
      <c r="BC644" s="448"/>
      <c r="BD644" s="448"/>
      <c r="BE644" s="448"/>
      <c r="BF644" s="448"/>
    </row>
    <row r="645" spans="1:58" ht="12.75" hidden="1" thickBot="1">
      <c r="A645" s="1" t="s">
        <v>1276</v>
      </c>
      <c r="B645" s="2" t="s">
        <v>235</v>
      </c>
      <c r="C645" s="2" t="s">
        <v>1048</v>
      </c>
      <c r="D645" s="8" t="s">
        <v>459</v>
      </c>
      <c r="E645" s="460"/>
      <c r="F645" s="4"/>
      <c r="G645" s="449"/>
      <c r="H645" s="4"/>
      <c r="I645" s="4"/>
      <c r="J645" s="4"/>
      <c r="K645" s="4"/>
      <c r="L645" s="4"/>
      <c r="M645" s="449"/>
      <c r="N645" s="449"/>
      <c r="O645" s="4"/>
      <c r="P645" s="4"/>
      <c r="Q645" s="449"/>
      <c r="R645" s="449"/>
      <c r="S645" s="445">
        <f t="shared" si="63"/>
        <v>0</v>
      </c>
      <c r="T645" s="445">
        <f t="shared" si="64"/>
        <v>0</v>
      </c>
      <c r="U645" s="445">
        <f t="shared" si="65"/>
        <v>0</v>
      </c>
      <c r="W645" s="450"/>
      <c r="X645" s="450"/>
      <c r="Y645" s="441"/>
      <c r="Z645" s="441"/>
      <c r="AA645" s="441"/>
      <c r="AB645" s="441"/>
      <c r="AC645" s="441"/>
      <c r="AD645" s="441"/>
      <c r="AE645" s="441"/>
      <c r="AF645" s="441"/>
      <c r="AG645" s="441"/>
      <c r="AH645" s="441"/>
      <c r="AI645" s="441"/>
      <c r="AJ645" s="441"/>
      <c r="AK645" s="441"/>
      <c r="AL645" s="441"/>
      <c r="AM645" s="441"/>
      <c r="AN645" s="441"/>
      <c r="AO645" s="441"/>
      <c r="AP645" s="448"/>
      <c r="AQ645" s="448"/>
      <c r="AR645" s="448"/>
      <c r="AS645" s="448"/>
      <c r="AT645" s="448"/>
      <c r="AU645" s="448"/>
      <c r="AV645" s="448"/>
      <c r="AW645" s="448"/>
      <c r="AX645" s="448"/>
      <c r="AY645" s="448"/>
      <c r="AZ645" s="448"/>
      <c r="BA645" s="448"/>
      <c r="BB645" s="448"/>
      <c r="BC645" s="448"/>
      <c r="BD645" s="448"/>
      <c r="BE645" s="448"/>
      <c r="BF645" s="448"/>
    </row>
    <row r="646" spans="1:58" ht="12.75" hidden="1" thickBot="1">
      <c r="A646" s="1" t="s">
        <v>1276</v>
      </c>
      <c r="B646" s="2" t="s">
        <v>236</v>
      </c>
      <c r="C646" s="2" t="s">
        <v>1049</v>
      </c>
      <c r="D646" s="8" t="s">
        <v>459</v>
      </c>
      <c r="E646" s="459"/>
      <c r="F646" s="6"/>
      <c r="G646" s="451"/>
      <c r="H646" s="6"/>
      <c r="I646" s="6"/>
      <c r="J646" s="6"/>
      <c r="K646" s="6"/>
      <c r="L646" s="6"/>
      <c r="M646" s="451"/>
      <c r="N646" s="451"/>
      <c r="O646" s="6"/>
      <c r="P646" s="6"/>
      <c r="Q646" s="451"/>
      <c r="R646" s="451"/>
      <c r="S646" s="445">
        <f t="shared" si="63"/>
        <v>0</v>
      </c>
      <c r="T646" s="445">
        <f t="shared" si="64"/>
        <v>0</v>
      </c>
      <c r="U646" s="445">
        <f t="shared" si="65"/>
        <v>0</v>
      </c>
      <c r="W646" s="450"/>
      <c r="X646" s="450"/>
      <c r="Y646" s="441"/>
      <c r="Z646" s="441"/>
      <c r="AA646" s="441"/>
      <c r="AB646" s="441"/>
      <c r="AC646" s="441"/>
      <c r="AD646" s="441"/>
      <c r="AE646" s="441"/>
      <c r="AF646" s="441"/>
      <c r="AG646" s="441"/>
      <c r="AH646" s="441"/>
      <c r="AI646" s="441"/>
      <c r="AJ646" s="441"/>
      <c r="AK646" s="441"/>
      <c r="AL646" s="441"/>
      <c r="AM646" s="441"/>
      <c r="AN646" s="441"/>
      <c r="AO646" s="441"/>
      <c r="AP646" s="448"/>
      <c r="AQ646" s="448"/>
      <c r="AR646" s="448"/>
      <c r="AS646" s="448"/>
      <c r="AT646" s="448"/>
      <c r="AU646" s="448"/>
      <c r="AV646" s="448"/>
      <c r="AW646" s="448"/>
      <c r="AX646" s="448"/>
      <c r="AY646" s="448"/>
      <c r="AZ646" s="448"/>
      <c r="BA646" s="448"/>
      <c r="BB646" s="448"/>
      <c r="BC646" s="448"/>
      <c r="BD646" s="448"/>
      <c r="BE646" s="448"/>
      <c r="BF646" s="448"/>
    </row>
    <row r="647" spans="1:58" ht="12.75" hidden="1" thickBot="1">
      <c r="A647" s="1" t="s">
        <v>1276</v>
      </c>
      <c r="B647" s="2" t="s">
        <v>354</v>
      </c>
      <c r="C647" s="2" t="s">
        <v>1050</v>
      </c>
      <c r="D647" s="8" t="s">
        <v>459</v>
      </c>
      <c r="E647" s="460"/>
      <c r="F647" s="4"/>
      <c r="G647" s="449"/>
      <c r="H647" s="4"/>
      <c r="I647" s="4"/>
      <c r="J647" s="4"/>
      <c r="K647" s="4"/>
      <c r="L647" s="4"/>
      <c r="M647" s="449"/>
      <c r="N647" s="449"/>
      <c r="O647" s="4"/>
      <c r="P647" s="4"/>
      <c r="Q647" s="449"/>
      <c r="R647" s="449"/>
      <c r="S647" s="445">
        <f t="shared" si="63"/>
        <v>0</v>
      </c>
      <c r="T647" s="445">
        <f t="shared" si="64"/>
        <v>0</v>
      </c>
      <c r="U647" s="445">
        <f t="shared" si="65"/>
        <v>0</v>
      </c>
      <c r="W647" s="450"/>
      <c r="X647" s="450"/>
      <c r="Y647" s="441"/>
      <c r="Z647" s="441"/>
      <c r="AA647" s="441"/>
      <c r="AB647" s="441"/>
      <c r="AC647" s="441"/>
      <c r="AD647" s="441"/>
      <c r="AE647" s="441"/>
      <c r="AF647" s="441"/>
      <c r="AG647" s="441"/>
      <c r="AH647" s="441"/>
      <c r="AI647" s="441"/>
      <c r="AJ647" s="441"/>
      <c r="AK647" s="441"/>
      <c r="AL647" s="441"/>
      <c r="AM647" s="441"/>
      <c r="AN647" s="441"/>
      <c r="AO647" s="441"/>
      <c r="AP647" s="448"/>
      <c r="AQ647" s="448"/>
      <c r="AR647" s="448"/>
      <c r="AS647" s="448"/>
      <c r="AT647" s="448"/>
      <c r="AU647" s="448"/>
      <c r="AV647" s="448"/>
      <c r="AW647" s="448"/>
      <c r="AX647" s="448"/>
      <c r="AY647" s="448"/>
      <c r="AZ647" s="448"/>
      <c r="BA647" s="448"/>
      <c r="BB647" s="448"/>
      <c r="BC647" s="448"/>
      <c r="BD647" s="448"/>
      <c r="BE647" s="448"/>
      <c r="BF647" s="448"/>
    </row>
    <row r="648" spans="1:58" ht="12.75" hidden="1" thickBot="1">
      <c r="A648" s="1" t="s">
        <v>1276</v>
      </c>
      <c r="B648" s="2" t="s">
        <v>355</v>
      </c>
      <c r="C648" s="2" t="s">
        <v>1051</v>
      </c>
      <c r="D648" s="8" t="s">
        <v>459</v>
      </c>
      <c r="E648" s="459"/>
      <c r="F648" s="6"/>
      <c r="G648" s="451"/>
      <c r="H648" s="6"/>
      <c r="I648" s="6"/>
      <c r="J648" s="6"/>
      <c r="K648" s="6"/>
      <c r="L648" s="6"/>
      <c r="M648" s="451"/>
      <c r="N648" s="451"/>
      <c r="O648" s="6"/>
      <c r="P648" s="6"/>
      <c r="Q648" s="451"/>
      <c r="R648" s="451"/>
      <c r="S648" s="445">
        <f t="shared" si="63"/>
        <v>0</v>
      </c>
      <c r="T648" s="445">
        <f t="shared" si="64"/>
        <v>0</v>
      </c>
      <c r="U648" s="445">
        <f t="shared" si="65"/>
        <v>0</v>
      </c>
      <c r="W648" s="450"/>
      <c r="X648" s="450"/>
      <c r="Y648" s="441"/>
      <c r="Z648" s="441"/>
      <c r="AA648" s="441"/>
      <c r="AB648" s="441"/>
      <c r="AC648" s="441"/>
      <c r="AD648" s="441"/>
      <c r="AE648" s="441"/>
      <c r="AF648" s="441"/>
      <c r="AG648" s="441"/>
      <c r="AH648" s="441"/>
      <c r="AI648" s="441"/>
      <c r="AJ648" s="441"/>
      <c r="AK648" s="441"/>
      <c r="AL648" s="441"/>
      <c r="AM648" s="441"/>
      <c r="AN648" s="441"/>
      <c r="AO648" s="441"/>
      <c r="AP648" s="448"/>
      <c r="AQ648" s="448"/>
      <c r="AR648" s="448"/>
      <c r="AS648" s="448"/>
      <c r="AT648" s="448"/>
      <c r="AU648" s="448"/>
      <c r="AV648" s="448"/>
      <c r="AW648" s="448"/>
      <c r="AX648" s="448"/>
      <c r="AY648" s="448"/>
      <c r="AZ648" s="448"/>
      <c r="BA648" s="448"/>
      <c r="BB648" s="448"/>
      <c r="BC648" s="448"/>
      <c r="BD648" s="448"/>
      <c r="BE648" s="448"/>
      <c r="BF648" s="448"/>
    </row>
    <row r="649" spans="1:58" ht="12.75" hidden="1" thickBot="1">
      <c r="A649" s="1" t="s">
        <v>1276</v>
      </c>
      <c r="B649" s="2" t="s">
        <v>359</v>
      </c>
      <c r="C649" s="2" t="s">
        <v>1052</v>
      </c>
      <c r="D649" s="8" t="s">
        <v>459</v>
      </c>
      <c r="E649" s="460"/>
      <c r="F649" s="4"/>
      <c r="G649" s="449"/>
      <c r="H649" s="4"/>
      <c r="I649" s="4"/>
      <c r="J649" s="4"/>
      <c r="K649" s="4"/>
      <c r="L649" s="4"/>
      <c r="M649" s="449"/>
      <c r="N649" s="449"/>
      <c r="O649" s="4"/>
      <c r="P649" s="4"/>
      <c r="Q649" s="449"/>
      <c r="R649" s="449"/>
      <c r="S649" s="445">
        <f t="shared" si="63"/>
        <v>0</v>
      </c>
      <c r="T649" s="445">
        <f t="shared" si="64"/>
        <v>0</v>
      </c>
      <c r="U649" s="445">
        <f t="shared" si="65"/>
        <v>0</v>
      </c>
      <c r="W649" s="450"/>
      <c r="X649" s="450"/>
      <c r="Y649" s="441"/>
      <c r="Z649" s="441"/>
      <c r="AA649" s="441"/>
      <c r="AB649" s="441"/>
      <c r="AC649" s="441"/>
      <c r="AD649" s="441"/>
      <c r="AE649" s="441"/>
      <c r="AF649" s="441"/>
      <c r="AG649" s="441"/>
      <c r="AH649" s="441"/>
      <c r="AI649" s="441"/>
      <c r="AJ649" s="441"/>
      <c r="AK649" s="441"/>
      <c r="AL649" s="441"/>
      <c r="AM649" s="441"/>
      <c r="AN649" s="441"/>
      <c r="AO649" s="441"/>
      <c r="AP649" s="448"/>
      <c r="AQ649" s="448"/>
      <c r="AR649" s="448"/>
      <c r="AS649" s="448"/>
      <c r="AT649" s="448"/>
      <c r="AU649" s="448"/>
      <c r="AV649" s="448"/>
      <c r="AW649" s="448"/>
      <c r="AX649" s="448"/>
      <c r="AY649" s="448"/>
      <c r="AZ649" s="448"/>
      <c r="BA649" s="448"/>
      <c r="BB649" s="448"/>
      <c r="BC649" s="448"/>
      <c r="BD649" s="448"/>
      <c r="BE649" s="448"/>
      <c r="BF649" s="448"/>
    </row>
    <row r="650" spans="1:58" ht="12.75" hidden="1" thickBot="1">
      <c r="A650" s="1" t="s">
        <v>1276</v>
      </c>
      <c r="B650" s="2" t="s">
        <v>356</v>
      </c>
      <c r="C650" s="2" t="s">
        <v>1053</v>
      </c>
      <c r="D650" s="8" t="s">
        <v>459</v>
      </c>
      <c r="E650" s="459"/>
      <c r="F650" s="6"/>
      <c r="G650" s="451"/>
      <c r="H650" s="6"/>
      <c r="I650" s="6"/>
      <c r="J650" s="6"/>
      <c r="K650" s="6"/>
      <c r="L650" s="6"/>
      <c r="M650" s="451"/>
      <c r="N650" s="451"/>
      <c r="O650" s="6"/>
      <c r="P650" s="6"/>
      <c r="Q650" s="451"/>
      <c r="R650" s="451"/>
      <c r="S650" s="445">
        <f t="shared" si="63"/>
        <v>0</v>
      </c>
      <c r="T650" s="445">
        <f t="shared" si="64"/>
        <v>0</v>
      </c>
      <c r="U650" s="445">
        <f t="shared" si="65"/>
        <v>0</v>
      </c>
      <c r="W650" s="450"/>
      <c r="X650" s="450"/>
      <c r="Y650" s="441"/>
      <c r="Z650" s="441"/>
      <c r="AA650" s="441"/>
      <c r="AB650" s="441"/>
      <c r="AC650" s="441"/>
      <c r="AD650" s="441"/>
      <c r="AE650" s="441"/>
      <c r="AF650" s="441"/>
      <c r="AG650" s="441"/>
      <c r="AH650" s="441"/>
      <c r="AI650" s="441"/>
      <c r="AJ650" s="441"/>
      <c r="AK650" s="441"/>
      <c r="AL650" s="441"/>
      <c r="AM650" s="441"/>
      <c r="AN650" s="441"/>
      <c r="AO650" s="441"/>
      <c r="AP650" s="448"/>
      <c r="AQ650" s="448"/>
      <c r="AR650" s="448"/>
      <c r="AS650" s="448"/>
      <c r="AT650" s="448"/>
      <c r="AU650" s="448"/>
      <c r="AV650" s="448"/>
      <c r="AW650" s="448"/>
      <c r="AX650" s="448"/>
      <c r="AY650" s="448"/>
      <c r="AZ650" s="448"/>
      <c r="BA650" s="448"/>
      <c r="BB650" s="448"/>
      <c r="BC650" s="448"/>
      <c r="BD650" s="448"/>
      <c r="BE650" s="448"/>
      <c r="BF650" s="448"/>
    </row>
    <row r="651" spans="1:58" ht="12.75" hidden="1" thickBot="1">
      <c r="A651" s="1" t="s">
        <v>1276</v>
      </c>
      <c r="B651" s="2" t="s">
        <v>357</v>
      </c>
      <c r="C651" s="2" t="s">
        <v>1054</v>
      </c>
      <c r="D651" s="8" t="s">
        <v>459</v>
      </c>
      <c r="E651" s="460"/>
      <c r="F651" s="4"/>
      <c r="G651" s="449"/>
      <c r="H651" s="4"/>
      <c r="I651" s="4"/>
      <c r="J651" s="4"/>
      <c r="K651" s="4"/>
      <c r="L651" s="4"/>
      <c r="M651" s="449"/>
      <c r="N651" s="449"/>
      <c r="O651" s="4"/>
      <c r="P651" s="4"/>
      <c r="Q651" s="449"/>
      <c r="R651" s="449"/>
      <c r="S651" s="445">
        <f t="shared" si="63"/>
        <v>0</v>
      </c>
      <c r="T651" s="445">
        <f t="shared" si="64"/>
        <v>0</v>
      </c>
      <c r="U651" s="445">
        <f t="shared" si="65"/>
        <v>0</v>
      </c>
      <c r="W651" s="450"/>
      <c r="X651" s="450"/>
      <c r="Y651" s="441"/>
      <c r="Z651" s="441"/>
      <c r="AA651" s="441"/>
      <c r="AB651" s="441"/>
      <c r="AC651" s="441"/>
      <c r="AD651" s="441"/>
      <c r="AE651" s="441"/>
      <c r="AF651" s="441"/>
      <c r="AG651" s="441"/>
      <c r="AH651" s="441"/>
      <c r="AI651" s="441"/>
      <c r="AJ651" s="441"/>
      <c r="AK651" s="441"/>
      <c r="AL651" s="441"/>
      <c r="AM651" s="441"/>
      <c r="AN651" s="441"/>
      <c r="AO651" s="441"/>
      <c r="AP651" s="448"/>
      <c r="AQ651" s="448"/>
      <c r="AR651" s="448"/>
      <c r="AS651" s="448"/>
      <c r="AT651" s="448"/>
      <c r="AU651" s="448"/>
      <c r="AV651" s="448"/>
      <c r="AW651" s="448"/>
      <c r="AX651" s="448"/>
      <c r="AY651" s="448"/>
      <c r="AZ651" s="448"/>
      <c r="BA651" s="448"/>
      <c r="BB651" s="448"/>
      <c r="BC651" s="448"/>
      <c r="BD651" s="448"/>
      <c r="BE651" s="448"/>
      <c r="BF651" s="448"/>
    </row>
    <row r="652" spans="1:58" ht="12.75" hidden="1" thickBot="1">
      <c r="A652" s="1" t="s">
        <v>1276</v>
      </c>
      <c r="B652" s="2" t="s">
        <v>358</v>
      </c>
      <c r="C652" s="2" t="s">
        <v>1055</v>
      </c>
      <c r="D652" s="8" t="s">
        <v>459</v>
      </c>
      <c r="E652" s="459"/>
      <c r="F652" s="6"/>
      <c r="G652" s="451"/>
      <c r="H652" s="6"/>
      <c r="I652" s="6"/>
      <c r="J652" s="6"/>
      <c r="K652" s="6"/>
      <c r="L652" s="6"/>
      <c r="M652" s="451"/>
      <c r="N652" s="451"/>
      <c r="O652" s="6"/>
      <c r="P652" s="6"/>
      <c r="Q652" s="451"/>
      <c r="R652" s="451"/>
      <c r="S652" s="445">
        <f t="shared" si="63"/>
        <v>0</v>
      </c>
      <c r="T652" s="445">
        <f t="shared" si="64"/>
        <v>0</v>
      </c>
      <c r="U652" s="445">
        <f t="shared" si="65"/>
        <v>0</v>
      </c>
      <c r="W652" s="450"/>
      <c r="X652" s="450"/>
      <c r="Y652" s="441"/>
      <c r="Z652" s="441"/>
      <c r="AA652" s="441"/>
      <c r="AB652" s="441"/>
      <c r="AC652" s="441"/>
      <c r="AD652" s="441"/>
      <c r="AE652" s="441"/>
      <c r="AF652" s="441"/>
      <c r="AG652" s="441"/>
      <c r="AH652" s="441"/>
      <c r="AI652" s="441"/>
      <c r="AJ652" s="441"/>
      <c r="AK652" s="441"/>
      <c r="AL652" s="441"/>
      <c r="AM652" s="441"/>
      <c r="AN652" s="441"/>
      <c r="AO652" s="441"/>
      <c r="AP652" s="448"/>
      <c r="AQ652" s="448"/>
      <c r="AR652" s="448"/>
      <c r="AS652" s="448"/>
      <c r="AT652" s="448"/>
      <c r="AU652" s="448"/>
      <c r="AV652" s="448"/>
      <c r="AW652" s="448"/>
      <c r="AX652" s="448"/>
      <c r="AY652" s="448"/>
      <c r="AZ652" s="448"/>
      <c r="BA652" s="448"/>
      <c r="BB652" s="448"/>
      <c r="BC652" s="448"/>
      <c r="BD652" s="448"/>
      <c r="BE652" s="448"/>
      <c r="BF652" s="448"/>
    </row>
    <row r="653" spans="1:58" ht="12.75" hidden="1" thickBot="1">
      <c r="A653" s="1" t="s">
        <v>1276</v>
      </c>
      <c r="B653" s="2" t="s">
        <v>250</v>
      </c>
      <c r="C653" s="2" t="s">
        <v>1056</v>
      </c>
      <c r="D653" s="8" t="s">
        <v>459</v>
      </c>
      <c r="E653" s="460"/>
      <c r="F653" s="4"/>
      <c r="G653" s="449"/>
      <c r="H653" s="4"/>
      <c r="I653" s="4"/>
      <c r="J653" s="4"/>
      <c r="K653" s="4"/>
      <c r="L653" s="4"/>
      <c r="M653" s="449"/>
      <c r="N653" s="449"/>
      <c r="O653" s="4"/>
      <c r="P653" s="4"/>
      <c r="Q653" s="449"/>
      <c r="R653" s="449"/>
      <c r="S653" s="445">
        <f t="shared" si="63"/>
        <v>0</v>
      </c>
      <c r="T653" s="445">
        <f t="shared" si="64"/>
        <v>0</v>
      </c>
      <c r="U653" s="445">
        <f t="shared" si="65"/>
        <v>0</v>
      </c>
      <c r="W653" s="450"/>
      <c r="X653" s="450"/>
      <c r="Y653" s="441"/>
      <c r="Z653" s="441"/>
      <c r="AA653" s="441"/>
      <c r="AB653" s="441"/>
      <c r="AC653" s="441"/>
      <c r="AD653" s="441"/>
      <c r="AE653" s="441"/>
      <c r="AF653" s="441"/>
      <c r="AG653" s="441"/>
      <c r="AH653" s="441"/>
      <c r="AI653" s="441"/>
      <c r="AJ653" s="441"/>
      <c r="AK653" s="441"/>
      <c r="AL653" s="441"/>
      <c r="AM653" s="441"/>
      <c r="AN653" s="441"/>
      <c r="AO653" s="441"/>
      <c r="AP653" s="448"/>
      <c r="AQ653" s="448"/>
      <c r="AR653" s="448"/>
      <c r="AS653" s="448"/>
      <c r="AT653" s="448"/>
      <c r="AU653" s="448"/>
      <c r="AV653" s="448"/>
      <c r="AW653" s="448"/>
      <c r="AX653" s="448"/>
      <c r="AY653" s="448"/>
      <c r="AZ653" s="448"/>
      <c r="BA653" s="448"/>
      <c r="BB653" s="448"/>
      <c r="BC653" s="448"/>
      <c r="BD653" s="448"/>
      <c r="BE653" s="448"/>
      <c r="BF653" s="448"/>
    </row>
    <row r="654" spans="1:58" ht="12.75" hidden="1" thickBot="1">
      <c r="A654" s="1" t="s">
        <v>1276</v>
      </c>
      <c r="B654" s="2" t="s">
        <v>251</v>
      </c>
      <c r="C654" s="2" t="s">
        <v>1057</v>
      </c>
      <c r="D654" s="8" t="s">
        <v>459</v>
      </c>
      <c r="E654" s="459"/>
      <c r="F654" s="6"/>
      <c r="G654" s="451"/>
      <c r="H654" s="6"/>
      <c r="I654" s="6"/>
      <c r="J654" s="6"/>
      <c r="K654" s="6"/>
      <c r="L654" s="6"/>
      <c r="M654" s="451"/>
      <c r="N654" s="451"/>
      <c r="O654" s="6"/>
      <c r="P654" s="6"/>
      <c r="Q654" s="451"/>
      <c r="R654" s="451"/>
      <c r="S654" s="445">
        <f t="shared" si="63"/>
        <v>0</v>
      </c>
      <c r="T654" s="445">
        <f t="shared" si="64"/>
        <v>0</v>
      </c>
      <c r="U654" s="445">
        <f t="shared" si="65"/>
        <v>0</v>
      </c>
      <c r="W654" s="450"/>
      <c r="X654" s="450"/>
      <c r="Y654" s="441"/>
      <c r="Z654" s="441"/>
      <c r="AA654" s="441"/>
      <c r="AB654" s="441"/>
      <c r="AC654" s="441"/>
      <c r="AD654" s="441"/>
      <c r="AE654" s="441"/>
      <c r="AF654" s="441"/>
      <c r="AG654" s="441"/>
      <c r="AH654" s="441"/>
      <c r="AI654" s="441"/>
      <c r="AJ654" s="441"/>
      <c r="AK654" s="441"/>
      <c r="AL654" s="441"/>
      <c r="AM654" s="441"/>
      <c r="AN654" s="441"/>
      <c r="AO654" s="441"/>
      <c r="AP654" s="448"/>
      <c r="AQ654" s="448"/>
      <c r="AR654" s="448"/>
      <c r="AS654" s="448"/>
      <c r="AT654" s="448"/>
      <c r="AU654" s="448"/>
      <c r="AV654" s="448"/>
      <c r="AW654" s="448"/>
      <c r="AX654" s="448"/>
      <c r="AY654" s="448"/>
      <c r="AZ654" s="448"/>
      <c r="BA654" s="448"/>
      <c r="BB654" s="448"/>
      <c r="BC654" s="448"/>
      <c r="BD654" s="448"/>
      <c r="BE654" s="448"/>
      <c r="BF654" s="448"/>
    </row>
    <row r="655" spans="1:58" ht="12.75" hidden="1" thickBot="1">
      <c r="A655" s="1" t="s">
        <v>1276</v>
      </c>
      <c r="B655" s="2" t="s">
        <v>254</v>
      </c>
      <c r="C655" s="2" t="s">
        <v>1058</v>
      </c>
      <c r="D655" s="8" t="s">
        <v>459</v>
      </c>
      <c r="E655" s="460"/>
      <c r="F655" s="4"/>
      <c r="G655" s="449"/>
      <c r="H655" s="4"/>
      <c r="I655" s="4"/>
      <c r="J655" s="4"/>
      <c r="K655" s="4"/>
      <c r="L655" s="4"/>
      <c r="M655" s="449"/>
      <c r="N655" s="449"/>
      <c r="O655" s="4"/>
      <c r="P655" s="4"/>
      <c r="Q655" s="449"/>
      <c r="R655" s="449"/>
      <c r="S655" s="445">
        <f t="shared" si="63"/>
        <v>0</v>
      </c>
      <c r="T655" s="445">
        <f t="shared" si="64"/>
        <v>0</v>
      </c>
      <c r="U655" s="445">
        <f t="shared" si="65"/>
        <v>0</v>
      </c>
      <c r="W655" s="450"/>
      <c r="X655" s="450"/>
      <c r="Y655" s="441"/>
      <c r="Z655" s="441"/>
      <c r="AA655" s="441"/>
      <c r="AB655" s="441"/>
      <c r="AC655" s="441"/>
      <c r="AD655" s="441"/>
      <c r="AE655" s="441"/>
      <c r="AF655" s="441"/>
      <c r="AG655" s="441"/>
      <c r="AH655" s="441"/>
      <c r="AI655" s="441"/>
      <c r="AJ655" s="441"/>
      <c r="AK655" s="441"/>
      <c r="AL655" s="441"/>
      <c r="AM655" s="441"/>
      <c r="AN655" s="441"/>
      <c r="AO655" s="441"/>
      <c r="AP655" s="448"/>
      <c r="AQ655" s="448"/>
      <c r="AR655" s="448"/>
      <c r="AS655" s="448"/>
      <c r="AT655" s="448"/>
      <c r="AU655" s="448"/>
      <c r="AV655" s="448"/>
      <c r="AW655" s="448"/>
      <c r="AX655" s="448"/>
      <c r="AY655" s="448"/>
      <c r="AZ655" s="448"/>
      <c r="BA655" s="448"/>
      <c r="BB655" s="448"/>
      <c r="BC655" s="448"/>
      <c r="BD655" s="448"/>
      <c r="BE655" s="448"/>
      <c r="BF655" s="448"/>
    </row>
    <row r="656" spans="1:58" ht="12.75" hidden="1" thickBot="1">
      <c r="A656" s="1" t="s">
        <v>1276</v>
      </c>
      <c r="B656" s="2" t="s">
        <v>260</v>
      </c>
      <c r="C656" s="2" t="s">
        <v>1059</v>
      </c>
      <c r="D656" s="8" t="s">
        <v>459</v>
      </c>
      <c r="E656" s="459"/>
      <c r="F656" s="6"/>
      <c r="G656" s="451"/>
      <c r="H656" s="6"/>
      <c r="I656" s="6"/>
      <c r="J656" s="6"/>
      <c r="K656" s="6"/>
      <c r="L656" s="6"/>
      <c r="M656" s="451"/>
      <c r="N656" s="451"/>
      <c r="O656" s="6"/>
      <c r="P656" s="6"/>
      <c r="Q656" s="451"/>
      <c r="R656" s="451"/>
      <c r="S656" s="445">
        <f t="shared" si="63"/>
        <v>0</v>
      </c>
      <c r="T656" s="445">
        <f t="shared" si="64"/>
        <v>0</v>
      </c>
      <c r="U656" s="445">
        <f t="shared" si="65"/>
        <v>0</v>
      </c>
      <c r="W656" s="450"/>
      <c r="X656" s="450"/>
      <c r="Y656" s="441"/>
      <c r="Z656" s="441"/>
      <c r="AA656" s="441"/>
      <c r="AB656" s="441"/>
      <c r="AC656" s="441"/>
      <c r="AD656" s="441"/>
      <c r="AE656" s="441"/>
      <c r="AF656" s="441"/>
      <c r="AG656" s="441"/>
      <c r="AH656" s="441"/>
      <c r="AI656" s="441"/>
      <c r="AJ656" s="441"/>
      <c r="AK656" s="441"/>
      <c r="AL656" s="441"/>
      <c r="AM656" s="441"/>
      <c r="AN656" s="441"/>
      <c r="AO656" s="441"/>
      <c r="AP656" s="448"/>
      <c r="AQ656" s="448"/>
      <c r="AR656" s="448"/>
      <c r="AS656" s="448"/>
      <c r="AT656" s="448"/>
      <c r="AU656" s="448"/>
      <c r="AV656" s="448"/>
      <c r="AW656" s="448"/>
      <c r="AX656" s="448"/>
      <c r="AY656" s="448"/>
      <c r="AZ656" s="448"/>
      <c r="BA656" s="448"/>
      <c r="BB656" s="448"/>
      <c r="BC656" s="448"/>
      <c r="BD656" s="448"/>
      <c r="BE656" s="448"/>
      <c r="BF656" s="448"/>
    </row>
    <row r="657" spans="1:58" ht="12.75" hidden="1" thickBot="1">
      <c r="A657" s="1" t="s">
        <v>1276</v>
      </c>
      <c r="B657" s="2" t="s">
        <v>262</v>
      </c>
      <c r="C657" s="2" t="s">
        <v>1060</v>
      </c>
      <c r="D657" s="8" t="s">
        <v>459</v>
      </c>
      <c r="E657" s="460"/>
      <c r="F657" s="4"/>
      <c r="G657" s="449"/>
      <c r="H657" s="4"/>
      <c r="I657" s="4"/>
      <c r="J657" s="4"/>
      <c r="K657" s="4"/>
      <c r="L657" s="4"/>
      <c r="M657" s="449"/>
      <c r="N657" s="449"/>
      <c r="O657" s="4"/>
      <c r="P657" s="4"/>
      <c r="Q657" s="449"/>
      <c r="R657" s="449"/>
      <c r="S657" s="445">
        <f t="shared" si="63"/>
        <v>0</v>
      </c>
      <c r="T657" s="445">
        <f t="shared" si="64"/>
        <v>0</v>
      </c>
      <c r="U657" s="445">
        <f t="shared" si="65"/>
        <v>0</v>
      </c>
      <c r="W657" s="450"/>
      <c r="X657" s="450"/>
      <c r="Y657" s="441"/>
      <c r="Z657" s="441"/>
      <c r="AA657" s="441"/>
      <c r="AB657" s="441"/>
      <c r="AC657" s="441"/>
      <c r="AD657" s="441"/>
      <c r="AE657" s="441"/>
      <c r="AF657" s="441"/>
      <c r="AG657" s="441"/>
      <c r="AH657" s="441"/>
      <c r="AI657" s="441"/>
      <c r="AJ657" s="441"/>
      <c r="AK657" s="441"/>
      <c r="AL657" s="441"/>
      <c r="AM657" s="441"/>
      <c r="AN657" s="441"/>
      <c r="AO657" s="441"/>
      <c r="AP657" s="448"/>
      <c r="AQ657" s="448"/>
      <c r="AR657" s="448"/>
      <c r="AS657" s="448"/>
      <c r="AT657" s="448"/>
      <c r="AU657" s="448"/>
      <c r="AV657" s="448"/>
      <c r="AW657" s="448"/>
      <c r="AX657" s="448"/>
      <c r="AY657" s="448"/>
      <c r="AZ657" s="448"/>
      <c r="BA657" s="448"/>
      <c r="BB657" s="448"/>
      <c r="BC657" s="448"/>
      <c r="BD657" s="448"/>
      <c r="BE657" s="448"/>
      <c r="BF657" s="448"/>
    </row>
    <row r="658" spans="1:58" ht="12.75" hidden="1" thickBot="1">
      <c r="A658" s="1" t="s">
        <v>1276</v>
      </c>
      <c r="B658" s="2" t="s">
        <v>340</v>
      </c>
      <c r="C658" s="2" t="s">
        <v>1061</v>
      </c>
      <c r="D658" s="8" t="s">
        <v>567</v>
      </c>
      <c r="E658" s="459"/>
      <c r="F658" s="6"/>
      <c r="G658" s="451"/>
      <c r="H658" s="6"/>
      <c r="I658" s="6"/>
      <c r="J658" s="6"/>
      <c r="K658" s="6"/>
      <c r="L658" s="6"/>
      <c r="M658" s="451"/>
      <c r="N658" s="451"/>
      <c r="O658" s="6"/>
      <c r="P658" s="6"/>
      <c r="Q658" s="6"/>
      <c r="R658" s="451"/>
      <c r="S658" s="445">
        <f t="shared" si="63"/>
        <v>0</v>
      </c>
      <c r="T658" s="445">
        <f t="shared" si="64"/>
        <v>0</v>
      </c>
      <c r="U658" s="445">
        <f t="shared" si="65"/>
        <v>0</v>
      </c>
      <c r="W658" s="450"/>
      <c r="X658" s="450"/>
      <c r="Y658" s="441"/>
      <c r="Z658" s="441"/>
      <c r="AA658" s="441"/>
      <c r="AB658" s="441"/>
      <c r="AC658" s="441"/>
      <c r="AD658" s="441"/>
      <c r="AE658" s="441"/>
      <c r="AF658" s="441"/>
      <c r="AG658" s="441"/>
      <c r="AH658" s="441"/>
      <c r="AI658" s="441"/>
      <c r="AJ658" s="441"/>
      <c r="AK658" s="441"/>
      <c r="AL658" s="441"/>
      <c r="AM658" s="441"/>
      <c r="AN658" s="441"/>
      <c r="AO658" s="441"/>
      <c r="AP658" s="448"/>
      <c r="AQ658" s="448"/>
      <c r="AR658" s="448"/>
      <c r="AS658" s="448"/>
      <c r="AT658" s="448"/>
      <c r="AU658" s="448"/>
      <c r="AV658" s="448"/>
      <c r="AW658" s="448"/>
      <c r="AX658" s="448"/>
      <c r="AY658" s="448"/>
      <c r="AZ658" s="448"/>
      <c r="BA658" s="448"/>
      <c r="BB658" s="448"/>
      <c r="BC658" s="448"/>
      <c r="BD658" s="448"/>
      <c r="BE658" s="448"/>
      <c r="BF658" s="448"/>
    </row>
    <row r="659" spans="1:58" ht="12.75" hidden="1" thickBot="1">
      <c r="A659" s="1" t="s">
        <v>1276</v>
      </c>
      <c r="B659" s="2" t="s">
        <v>692</v>
      </c>
      <c r="C659" s="2" t="s">
        <v>1062</v>
      </c>
      <c r="D659" s="8" t="s">
        <v>567</v>
      </c>
      <c r="E659" s="460"/>
      <c r="F659" s="4"/>
      <c r="G659" s="449"/>
      <c r="H659" s="4"/>
      <c r="I659" s="4"/>
      <c r="J659" s="4"/>
      <c r="K659" s="4"/>
      <c r="L659" s="4"/>
      <c r="M659" s="449"/>
      <c r="N659" s="449"/>
      <c r="O659" s="4"/>
      <c r="P659" s="4"/>
      <c r="Q659" s="4"/>
      <c r="R659" s="449"/>
      <c r="S659" s="445">
        <f t="shared" ref="S659:S722" si="68">G659+H659+I659</f>
        <v>0</v>
      </c>
      <c r="T659" s="445">
        <f t="shared" ref="T659:T722" si="69">J659+K659</f>
        <v>0</v>
      </c>
      <c r="U659" s="445">
        <f t="shared" ref="U659:U722" si="70">N659+O659</f>
        <v>0</v>
      </c>
      <c r="W659" s="450"/>
      <c r="X659" s="450"/>
      <c r="Y659" s="441"/>
      <c r="Z659" s="441"/>
      <c r="AA659" s="441"/>
      <c r="AB659" s="441"/>
      <c r="AC659" s="441"/>
      <c r="AD659" s="441"/>
      <c r="AE659" s="441"/>
      <c r="AF659" s="441"/>
      <c r="AG659" s="441"/>
      <c r="AH659" s="441"/>
      <c r="AI659" s="441"/>
      <c r="AJ659" s="441"/>
      <c r="AK659" s="441"/>
      <c r="AL659" s="441"/>
      <c r="AM659" s="441"/>
      <c r="AN659" s="441"/>
      <c r="AO659" s="441"/>
      <c r="AP659" s="448"/>
      <c r="AQ659" s="448"/>
      <c r="AR659" s="448"/>
      <c r="AS659" s="448"/>
      <c r="AT659" s="448"/>
      <c r="AU659" s="448"/>
      <c r="AV659" s="448"/>
      <c r="AW659" s="448"/>
      <c r="AX659" s="448"/>
      <c r="AY659" s="448"/>
      <c r="AZ659" s="448"/>
      <c r="BA659" s="448"/>
      <c r="BB659" s="448"/>
      <c r="BC659" s="448"/>
      <c r="BD659" s="448"/>
      <c r="BE659" s="448"/>
      <c r="BF659" s="448"/>
    </row>
    <row r="660" spans="1:58" ht="12.75" hidden="1" thickBot="1">
      <c r="A660" s="1" t="s">
        <v>1276</v>
      </c>
      <c r="B660" s="2" t="s">
        <v>292</v>
      </c>
      <c r="C660" s="2" t="s">
        <v>1063</v>
      </c>
      <c r="D660" s="8" t="s">
        <v>567</v>
      </c>
      <c r="E660" s="459"/>
      <c r="F660" s="6"/>
      <c r="G660" s="451"/>
      <c r="H660" s="6"/>
      <c r="I660" s="6"/>
      <c r="J660" s="6"/>
      <c r="K660" s="6"/>
      <c r="L660" s="6"/>
      <c r="M660" s="451"/>
      <c r="N660" s="451"/>
      <c r="O660" s="6"/>
      <c r="P660" s="6"/>
      <c r="Q660" s="451"/>
      <c r="R660" s="451"/>
      <c r="S660" s="445">
        <f t="shared" si="68"/>
        <v>0</v>
      </c>
      <c r="T660" s="445">
        <f t="shared" si="69"/>
        <v>0</v>
      </c>
      <c r="U660" s="445">
        <f t="shared" si="70"/>
        <v>0</v>
      </c>
      <c r="W660" s="450"/>
      <c r="X660" s="450"/>
      <c r="Y660" s="441"/>
      <c r="Z660" s="441"/>
      <c r="AA660" s="441"/>
      <c r="AB660" s="441"/>
      <c r="AC660" s="441"/>
      <c r="AD660" s="441"/>
      <c r="AE660" s="441"/>
      <c r="AF660" s="441"/>
      <c r="AG660" s="441"/>
      <c r="AH660" s="441"/>
      <c r="AI660" s="441"/>
      <c r="AJ660" s="441"/>
      <c r="AK660" s="441"/>
      <c r="AL660" s="441"/>
      <c r="AM660" s="441"/>
      <c r="AN660" s="441"/>
      <c r="AO660" s="441"/>
      <c r="AP660" s="448"/>
      <c r="AQ660" s="448"/>
      <c r="AR660" s="448"/>
      <c r="AS660" s="448"/>
      <c r="AT660" s="448"/>
      <c r="AU660" s="448"/>
      <c r="AV660" s="448"/>
      <c r="AW660" s="448"/>
      <c r="AX660" s="448"/>
      <c r="AY660" s="448"/>
      <c r="AZ660" s="448"/>
      <c r="BA660" s="448"/>
      <c r="BB660" s="448"/>
      <c r="BC660" s="448"/>
      <c r="BD660" s="448"/>
      <c r="BE660" s="448"/>
      <c r="BF660" s="448"/>
    </row>
    <row r="661" spans="1:58" ht="12.75" hidden="1" thickBot="1">
      <c r="A661" s="1" t="s">
        <v>1276</v>
      </c>
      <c r="B661" s="2" t="s">
        <v>293</v>
      </c>
      <c r="C661" s="2" t="s">
        <v>1064</v>
      </c>
      <c r="D661" s="8" t="s">
        <v>567</v>
      </c>
      <c r="E661" s="460"/>
      <c r="F661" s="4"/>
      <c r="G661" s="449"/>
      <c r="H661" s="4"/>
      <c r="I661" s="4"/>
      <c r="J661" s="4"/>
      <c r="K661" s="4"/>
      <c r="L661" s="4"/>
      <c r="M661" s="449"/>
      <c r="N661" s="449"/>
      <c r="O661" s="4"/>
      <c r="P661" s="4"/>
      <c r="Q661" s="449"/>
      <c r="R661" s="449"/>
      <c r="S661" s="445">
        <f t="shared" si="68"/>
        <v>0</v>
      </c>
      <c r="T661" s="445">
        <f t="shared" si="69"/>
        <v>0</v>
      </c>
      <c r="U661" s="445">
        <f t="shared" si="70"/>
        <v>0</v>
      </c>
      <c r="W661" s="450"/>
      <c r="X661" s="450"/>
      <c r="Y661" s="441"/>
      <c r="Z661" s="441"/>
      <c r="AA661" s="441"/>
      <c r="AB661" s="441"/>
      <c r="AC661" s="441"/>
      <c r="AD661" s="441"/>
      <c r="AE661" s="441"/>
      <c r="AF661" s="441"/>
      <c r="AG661" s="441"/>
      <c r="AH661" s="441"/>
      <c r="AI661" s="441"/>
      <c r="AJ661" s="441"/>
      <c r="AK661" s="441"/>
      <c r="AL661" s="441"/>
      <c r="AM661" s="441"/>
      <c r="AN661" s="441"/>
      <c r="AO661" s="441"/>
      <c r="AP661" s="448"/>
      <c r="AQ661" s="448"/>
      <c r="AR661" s="448"/>
      <c r="AS661" s="448"/>
      <c r="AT661" s="448"/>
      <c r="AU661" s="448"/>
      <c r="AV661" s="448"/>
      <c r="AW661" s="448"/>
      <c r="AX661" s="448"/>
      <c r="AY661" s="448"/>
      <c r="AZ661" s="448"/>
      <c r="BA661" s="448"/>
      <c r="BB661" s="448"/>
      <c r="BC661" s="448"/>
      <c r="BD661" s="448"/>
      <c r="BE661" s="448"/>
      <c r="BF661" s="448"/>
    </row>
    <row r="662" spans="1:58" ht="12.75" hidden="1" thickBot="1">
      <c r="A662" s="1" t="s">
        <v>1276</v>
      </c>
      <c r="B662" s="2" t="s">
        <v>295</v>
      </c>
      <c r="C662" s="2" t="s">
        <v>1065</v>
      </c>
      <c r="D662" s="8" t="s">
        <v>567</v>
      </c>
      <c r="E662" s="459"/>
      <c r="F662" s="6"/>
      <c r="G662" s="451"/>
      <c r="H662" s="6"/>
      <c r="I662" s="6"/>
      <c r="J662" s="6"/>
      <c r="K662" s="6"/>
      <c r="L662" s="6"/>
      <c r="M662" s="451"/>
      <c r="N662" s="451"/>
      <c r="O662" s="6"/>
      <c r="P662" s="6"/>
      <c r="Q662" s="451"/>
      <c r="R662" s="451"/>
      <c r="S662" s="445">
        <f t="shared" si="68"/>
        <v>0</v>
      </c>
      <c r="T662" s="445">
        <f t="shared" si="69"/>
        <v>0</v>
      </c>
      <c r="U662" s="445">
        <f t="shared" si="70"/>
        <v>0</v>
      </c>
      <c r="W662" s="450"/>
      <c r="X662" s="450"/>
      <c r="Y662" s="441"/>
      <c r="Z662" s="441"/>
      <c r="AA662" s="441"/>
      <c r="AB662" s="441"/>
      <c r="AC662" s="441"/>
      <c r="AD662" s="441"/>
      <c r="AE662" s="441"/>
      <c r="AF662" s="441"/>
      <c r="AG662" s="441"/>
      <c r="AH662" s="441"/>
      <c r="AI662" s="441"/>
      <c r="AJ662" s="441"/>
      <c r="AK662" s="441"/>
      <c r="AL662" s="441"/>
      <c r="AM662" s="441"/>
      <c r="AN662" s="441"/>
      <c r="AO662" s="441"/>
      <c r="AP662" s="448"/>
      <c r="AQ662" s="448"/>
      <c r="AR662" s="448"/>
      <c r="AS662" s="448"/>
      <c r="AT662" s="448"/>
      <c r="AU662" s="448"/>
      <c r="AV662" s="448"/>
      <c r="AW662" s="448"/>
      <c r="AX662" s="448"/>
      <c r="AY662" s="448"/>
      <c r="AZ662" s="448"/>
      <c r="BA662" s="448"/>
      <c r="BB662" s="448"/>
      <c r="BC662" s="448"/>
      <c r="BD662" s="448"/>
      <c r="BE662" s="448"/>
      <c r="BF662" s="448"/>
    </row>
    <row r="663" spans="1:58" ht="12.75" hidden="1" thickBot="1">
      <c r="A663" s="1" t="s">
        <v>1276</v>
      </c>
      <c r="B663" s="2" t="s">
        <v>296</v>
      </c>
      <c r="C663" s="2" t="s">
        <v>1066</v>
      </c>
      <c r="D663" s="8" t="s">
        <v>567</v>
      </c>
      <c r="E663" s="460"/>
      <c r="F663" s="4"/>
      <c r="G663" s="449"/>
      <c r="H663" s="4"/>
      <c r="I663" s="4"/>
      <c r="J663" s="4"/>
      <c r="K663" s="4"/>
      <c r="L663" s="4"/>
      <c r="M663" s="449"/>
      <c r="N663" s="449"/>
      <c r="O663" s="4"/>
      <c r="P663" s="4"/>
      <c r="Q663" s="449"/>
      <c r="R663" s="449"/>
      <c r="S663" s="445">
        <f t="shared" si="68"/>
        <v>0</v>
      </c>
      <c r="T663" s="445">
        <f t="shared" si="69"/>
        <v>0</v>
      </c>
      <c r="U663" s="445">
        <f t="shared" si="70"/>
        <v>0</v>
      </c>
      <c r="W663" s="450"/>
      <c r="X663" s="450"/>
      <c r="Y663" s="441"/>
      <c r="Z663" s="441"/>
      <c r="AA663" s="441"/>
      <c r="AB663" s="441"/>
      <c r="AC663" s="441"/>
      <c r="AD663" s="441"/>
      <c r="AE663" s="441"/>
      <c r="AF663" s="441"/>
      <c r="AG663" s="441"/>
      <c r="AH663" s="441"/>
      <c r="AI663" s="441"/>
      <c r="AJ663" s="441"/>
      <c r="AK663" s="441"/>
      <c r="AL663" s="441"/>
      <c r="AM663" s="441"/>
      <c r="AN663" s="441"/>
      <c r="AO663" s="441"/>
      <c r="AP663" s="448"/>
      <c r="AQ663" s="448"/>
      <c r="AR663" s="448"/>
      <c r="AS663" s="448"/>
      <c r="AT663" s="448"/>
      <c r="AU663" s="448"/>
      <c r="AV663" s="448"/>
      <c r="AW663" s="448"/>
      <c r="AX663" s="448"/>
      <c r="AY663" s="448"/>
      <c r="AZ663" s="448"/>
      <c r="BA663" s="448"/>
      <c r="BB663" s="448"/>
      <c r="BC663" s="448"/>
      <c r="BD663" s="448"/>
      <c r="BE663" s="448"/>
      <c r="BF663" s="448"/>
    </row>
    <row r="664" spans="1:58" ht="12.75" hidden="1" thickBot="1">
      <c r="A664" s="1" t="s">
        <v>1276</v>
      </c>
      <c r="B664" s="2" t="s">
        <v>297</v>
      </c>
      <c r="C664" s="2" t="s">
        <v>1067</v>
      </c>
      <c r="D664" s="8" t="s">
        <v>459</v>
      </c>
      <c r="E664" s="459"/>
      <c r="F664" s="6"/>
      <c r="G664" s="451"/>
      <c r="H664" s="6"/>
      <c r="I664" s="6"/>
      <c r="J664" s="6"/>
      <c r="K664" s="6"/>
      <c r="L664" s="6"/>
      <c r="M664" s="451"/>
      <c r="N664" s="451"/>
      <c r="O664" s="6"/>
      <c r="P664" s="6"/>
      <c r="Q664" s="451"/>
      <c r="R664" s="451"/>
      <c r="S664" s="445">
        <f t="shared" si="68"/>
        <v>0</v>
      </c>
      <c r="T664" s="445">
        <f t="shared" si="69"/>
        <v>0</v>
      </c>
      <c r="U664" s="445">
        <f t="shared" si="70"/>
        <v>0</v>
      </c>
      <c r="W664" s="450"/>
      <c r="X664" s="450"/>
      <c r="Y664" s="441"/>
      <c r="Z664" s="441"/>
      <c r="AA664" s="441"/>
      <c r="AB664" s="441"/>
      <c r="AC664" s="441"/>
      <c r="AD664" s="441"/>
      <c r="AE664" s="441"/>
      <c r="AF664" s="441"/>
      <c r="AG664" s="441"/>
      <c r="AH664" s="441"/>
      <c r="AI664" s="441"/>
      <c r="AJ664" s="441"/>
      <c r="AK664" s="441"/>
      <c r="AL664" s="441"/>
      <c r="AM664" s="441"/>
      <c r="AN664" s="441"/>
      <c r="AO664" s="441"/>
      <c r="AP664" s="448"/>
      <c r="AQ664" s="448"/>
      <c r="AR664" s="448"/>
      <c r="AS664" s="448"/>
      <c r="AT664" s="448"/>
      <c r="AU664" s="448"/>
      <c r="AV664" s="448"/>
      <c r="AW664" s="448"/>
      <c r="AX664" s="448"/>
      <c r="AY664" s="448"/>
      <c r="AZ664" s="448"/>
      <c r="BA664" s="448"/>
      <c r="BB664" s="448"/>
      <c r="BC664" s="448"/>
      <c r="BD664" s="448"/>
      <c r="BE664" s="448"/>
      <c r="BF664" s="448"/>
    </row>
    <row r="665" spans="1:58" ht="12.75" hidden="1" thickBot="1">
      <c r="A665" s="1" t="s">
        <v>1276</v>
      </c>
      <c r="B665" s="2" t="s">
        <v>299</v>
      </c>
      <c r="C665" s="2" t="s">
        <v>1068</v>
      </c>
      <c r="D665" s="8" t="s">
        <v>459</v>
      </c>
      <c r="E665" s="460"/>
      <c r="F665" s="4"/>
      <c r="G665" s="449"/>
      <c r="H665" s="4"/>
      <c r="I665" s="4"/>
      <c r="J665" s="4"/>
      <c r="K665" s="4"/>
      <c r="L665" s="4"/>
      <c r="M665" s="449"/>
      <c r="N665" s="449"/>
      <c r="O665" s="4"/>
      <c r="P665" s="4"/>
      <c r="Q665" s="449"/>
      <c r="R665" s="449"/>
      <c r="S665" s="445">
        <f t="shared" si="68"/>
        <v>0</v>
      </c>
      <c r="T665" s="445">
        <f t="shared" si="69"/>
        <v>0</v>
      </c>
      <c r="U665" s="445">
        <f t="shared" si="70"/>
        <v>0</v>
      </c>
      <c r="W665" s="450"/>
      <c r="X665" s="450"/>
      <c r="Y665" s="441"/>
      <c r="Z665" s="441"/>
      <c r="AA665" s="441"/>
      <c r="AB665" s="441"/>
      <c r="AC665" s="441"/>
      <c r="AD665" s="441"/>
      <c r="AE665" s="441"/>
      <c r="AF665" s="441"/>
      <c r="AG665" s="441"/>
      <c r="AH665" s="441"/>
      <c r="AI665" s="441"/>
      <c r="AJ665" s="441"/>
      <c r="AK665" s="441"/>
      <c r="AL665" s="441"/>
      <c r="AM665" s="441"/>
      <c r="AN665" s="441"/>
      <c r="AO665" s="441"/>
      <c r="AP665" s="448"/>
      <c r="AQ665" s="448"/>
      <c r="AR665" s="448"/>
      <c r="AS665" s="448"/>
      <c r="AT665" s="448"/>
      <c r="AU665" s="448"/>
      <c r="AV665" s="448"/>
      <c r="AW665" s="448"/>
      <c r="AX665" s="448"/>
      <c r="AY665" s="448"/>
      <c r="AZ665" s="448"/>
      <c r="BA665" s="448"/>
      <c r="BB665" s="448"/>
      <c r="BC665" s="448"/>
      <c r="BD665" s="448"/>
      <c r="BE665" s="448"/>
      <c r="BF665" s="448"/>
    </row>
    <row r="666" spans="1:58" ht="12.75" hidden="1" thickBot="1">
      <c r="A666" s="1" t="s">
        <v>1276</v>
      </c>
      <c r="B666" s="2" t="s">
        <v>300</v>
      </c>
      <c r="C666" s="2" t="s">
        <v>1069</v>
      </c>
      <c r="D666" s="8" t="s">
        <v>567</v>
      </c>
      <c r="E666" s="459"/>
      <c r="F666" s="6"/>
      <c r="G666" s="451"/>
      <c r="H666" s="6"/>
      <c r="I666" s="6"/>
      <c r="J666" s="6"/>
      <c r="K666" s="6"/>
      <c r="L666" s="6"/>
      <c r="M666" s="451"/>
      <c r="N666" s="451"/>
      <c r="O666" s="6"/>
      <c r="P666" s="6"/>
      <c r="Q666" s="451"/>
      <c r="R666" s="451"/>
      <c r="S666" s="445">
        <f t="shared" si="68"/>
        <v>0</v>
      </c>
      <c r="T666" s="445">
        <f t="shared" si="69"/>
        <v>0</v>
      </c>
      <c r="U666" s="445">
        <f t="shared" si="70"/>
        <v>0</v>
      </c>
      <c r="W666" s="450"/>
      <c r="X666" s="450"/>
      <c r="Y666" s="441"/>
      <c r="Z666" s="441"/>
      <c r="AA666" s="441"/>
      <c r="AB666" s="441"/>
      <c r="AC666" s="441"/>
      <c r="AD666" s="441"/>
      <c r="AE666" s="441"/>
      <c r="AF666" s="441"/>
      <c r="AG666" s="441"/>
      <c r="AH666" s="441"/>
      <c r="AI666" s="441"/>
      <c r="AJ666" s="441"/>
      <c r="AK666" s="441"/>
      <c r="AL666" s="441"/>
      <c r="AM666" s="441"/>
      <c r="AN666" s="441"/>
      <c r="AO666" s="441"/>
      <c r="AP666" s="448"/>
      <c r="AQ666" s="448"/>
      <c r="AR666" s="448"/>
      <c r="AS666" s="448"/>
      <c r="AT666" s="448"/>
      <c r="AU666" s="448"/>
      <c r="AV666" s="448"/>
      <c r="AW666" s="448"/>
      <c r="AX666" s="448"/>
      <c r="AY666" s="448"/>
      <c r="AZ666" s="448"/>
      <c r="BA666" s="448"/>
      <c r="BB666" s="448"/>
      <c r="BC666" s="448"/>
      <c r="BD666" s="448"/>
      <c r="BE666" s="448"/>
      <c r="BF666" s="448"/>
    </row>
    <row r="667" spans="1:58" ht="12.75" hidden="1" thickBot="1">
      <c r="A667" s="1" t="s">
        <v>1276</v>
      </c>
      <c r="B667" s="2" t="s">
        <v>301</v>
      </c>
      <c r="C667" s="2" t="s">
        <v>1070</v>
      </c>
      <c r="D667" s="8" t="s">
        <v>567</v>
      </c>
      <c r="E667" s="460"/>
      <c r="F667" s="4"/>
      <c r="G667" s="449"/>
      <c r="H667" s="4"/>
      <c r="I667" s="4"/>
      <c r="J667" s="4"/>
      <c r="K667" s="4"/>
      <c r="L667" s="4"/>
      <c r="M667" s="449"/>
      <c r="N667" s="449"/>
      <c r="O667" s="4"/>
      <c r="P667" s="4"/>
      <c r="Q667" s="449"/>
      <c r="R667" s="449"/>
      <c r="S667" s="445">
        <f t="shared" si="68"/>
        <v>0</v>
      </c>
      <c r="T667" s="445">
        <f t="shared" si="69"/>
        <v>0</v>
      </c>
      <c r="U667" s="445">
        <f t="shared" si="70"/>
        <v>0</v>
      </c>
      <c r="W667" s="450"/>
      <c r="X667" s="450"/>
      <c r="Y667" s="441"/>
      <c r="Z667" s="441"/>
      <c r="AA667" s="441"/>
      <c r="AB667" s="441"/>
      <c r="AC667" s="441"/>
      <c r="AD667" s="441"/>
      <c r="AE667" s="441"/>
      <c r="AF667" s="441"/>
      <c r="AG667" s="441"/>
      <c r="AH667" s="441"/>
      <c r="AI667" s="441"/>
      <c r="AJ667" s="441"/>
      <c r="AK667" s="441"/>
      <c r="AL667" s="441"/>
      <c r="AM667" s="441"/>
      <c r="AN667" s="441"/>
      <c r="AO667" s="441"/>
      <c r="AP667" s="448"/>
      <c r="AQ667" s="448"/>
      <c r="AR667" s="448"/>
      <c r="AS667" s="448"/>
      <c r="AT667" s="448"/>
      <c r="AU667" s="448"/>
      <c r="AV667" s="448"/>
      <c r="AW667" s="448"/>
      <c r="AX667" s="448"/>
      <c r="AY667" s="448"/>
      <c r="AZ667" s="448"/>
      <c r="BA667" s="448"/>
      <c r="BB667" s="448"/>
      <c r="BC667" s="448"/>
      <c r="BD667" s="448"/>
      <c r="BE667" s="448"/>
      <c r="BF667" s="448"/>
    </row>
    <row r="668" spans="1:58" ht="12.75" hidden="1" thickBot="1">
      <c r="A668" s="1" t="s">
        <v>1276</v>
      </c>
      <c r="B668" s="2" t="s">
        <v>302</v>
      </c>
      <c r="C668" s="2" t="s">
        <v>1071</v>
      </c>
      <c r="D668" s="8" t="s">
        <v>567</v>
      </c>
      <c r="E668" s="459"/>
      <c r="F668" s="6"/>
      <c r="G668" s="451"/>
      <c r="H668" s="6"/>
      <c r="I668" s="6"/>
      <c r="J668" s="6"/>
      <c r="K668" s="6"/>
      <c r="L668" s="6"/>
      <c r="M668" s="451"/>
      <c r="N668" s="451"/>
      <c r="O668" s="6"/>
      <c r="P668" s="6"/>
      <c r="Q668" s="451"/>
      <c r="R668" s="451"/>
      <c r="S668" s="445">
        <f t="shared" si="68"/>
        <v>0</v>
      </c>
      <c r="T668" s="445">
        <f t="shared" si="69"/>
        <v>0</v>
      </c>
      <c r="U668" s="445">
        <f t="shared" si="70"/>
        <v>0</v>
      </c>
      <c r="W668" s="450"/>
      <c r="X668" s="450"/>
      <c r="Y668" s="441"/>
      <c r="Z668" s="441"/>
      <c r="AA668" s="441"/>
      <c r="AB668" s="441"/>
      <c r="AC668" s="441"/>
      <c r="AD668" s="441"/>
      <c r="AE668" s="441"/>
      <c r="AF668" s="441"/>
      <c r="AG668" s="441"/>
      <c r="AH668" s="441"/>
      <c r="AI668" s="441"/>
      <c r="AJ668" s="441"/>
      <c r="AK668" s="441"/>
      <c r="AL668" s="441"/>
      <c r="AM668" s="441"/>
      <c r="AN668" s="441"/>
      <c r="AO668" s="441"/>
      <c r="AP668" s="448"/>
      <c r="AQ668" s="448"/>
      <c r="AR668" s="448"/>
      <c r="AS668" s="448"/>
      <c r="AT668" s="448"/>
      <c r="AU668" s="448"/>
      <c r="AV668" s="448"/>
      <c r="AW668" s="448"/>
      <c r="AX668" s="448"/>
      <c r="AY668" s="448"/>
      <c r="AZ668" s="448"/>
      <c r="BA668" s="448"/>
      <c r="BB668" s="448"/>
      <c r="BC668" s="448"/>
      <c r="BD668" s="448"/>
      <c r="BE668" s="448"/>
      <c r="BF668" s="448"/>
    </row>
    <row r="669" spans="1:58" ht="12.75" hidden="1" thickBot="1">
      <c r="A669" s="1" t="s">
        <v>1276</v>
      </c>
      <c r="B669" s="2" t="s">
        <v>303</v>
      </c>
      <c r="C669" s="2" t="s">
        <v>1072</v>
      </c>
      <c r="D669" s="8" t="s">
        <v>567</v>
      </c>
      <c r="E669" s="460"/>
      <c r="F669" s="4"/>
      <c r="G669" s="449"/>
      <c r="H669" s="4"/>
      <c r="I669" s="4"/>
      <c r="J669" s="4"/>
      <c r="K669" s="4"/>
      <c r="L669" s="4"/>
      <c r="M669" s="449"/>
      <c r="N669" s="449"/>
      <c r="O669" s="4"/>
      <c r="P669" s="4"/>
      <c r="Q669" s="449"/>
      <c r="R669" s="449"/>
      <c r="S669" s="445">
        <f t="shared" si="68"/>
        <v>0</v>
      </c>
      <c r="T669" s="445">
        <f t="shared" si="69"/>
        <v>0</v>
      </c>
      <c r="U669" s="445">
        <f t="shared" si="70"/>
        <v>0</v>
      </c>
      <c r="W669" s="450"/>
      <c r="X669" s="450"/>
      <c r="Y669" s="441"/>
      <c r="Z669" s="441"/>
      <c r="AA669" s="441"/>
      <c r="AB669" s="441"/>
      <c r="AC669" s="441"/>
      <c r="AD669" s="441"/>
      <c r="AE669" s="441"/>
      <c r="AF669" s="441"/>
      <c r="AG669" s="441"/>
      <c r="AH669" s="441"/>
      <c r="AI669" s="441"/>
      <c r="AJ669" s="441"/>
      <c r="AK669" s="441"/>
      <c r="AL669" s="441"/>
      <c r="AM669" s="441"/>
      <c r="AN669" s="441"/>
      <c r="AO669" s="441"/>
      <c r="AP669" s="448"/>
      <c r="AQ669" s="448"/>
      <c r="AR669" s="448"/>
      <c r="AS669" s="448"/>
      <c r="AT669" s="448"/>
      <c r="AU669" s="448"/>
      <c r="AV669" s="448"/>
      <c r="AW669" s="448"/>
      <c r="AX669" s="448"/>
      <c r="AY669" s="448"/>
      <c r="AZ669" s="448"/>
      <c r="BA669" s="448"/>
      <c r="BB669" s="448"/>
      <c r="BC669" s="448"/>
      <c r="BD669" s="448"/>
      <c r="BE669" s="448"/>
      <c r="BF669" s="448"/>
    </row>
    <row r="670" spans="1:58" ht="12.75" hidden="1" thickBot="1">
      <c r="A670" s="1" t="s">
        <v>1276</v>
      </c>
      <c r="B670" s="2" t="s">
        <v>304</v>
      </c>
      <c r="C670" s="2" t="s">
        <v>1073</v>
      </c>
      <c r="D670" s="8" t="s">
        <v>567</v>
      </c>
      <c r="E670" s="459"/>
      <c r="F670" s="6"/>
      <c r="G670" s="451"/>
      <c r="H670" s="6"/>
      <c r="I670" s="6"/>
      <c r="J670" s="6"/>
      <c r="K670" s="6"/>
      <c r="L670" s="6"/>
      <c r="M670" s="451"/>
      <c r="N670" s="451"/>
      <c r="O670" s="6"/>
      <c r="P670" s="6"/>
      <c r="Q670" s="451"/>
      <c r="R670" s="451"/>
      <c r="S670" s="445">
        <f t="shared" si="68"/>
        <v>0</v>
      </c>
      <c r="T670" s="445">
        <f t="shared" si="69"/>
        <v>0</v>
      </c>
      <c r="U670" s="445">
        <f t="shared" si="70"/>
        <v>0</v>
      </c>
      <c r="W670" s="450"/>
      <c r="X670" s="450"/>
      <c r="Y670" s="441"/>
      <c r="Z670" s="441"/>
      <c r="AA670" s="441"/>
      <c r="AB670" s="441"/>
      <c r="AC670" s="441"/>
      <c r="AD670" s="441"/>
      <c r="AE670" s="441"/>
      <c r="AF670" s="441"/>
      <c r="AG670" s="441"/>
      <c r="AH670" s="441"/>
      <c r="AI670" s="441"/>
      <c r="AJ670" s="441"/>
      <c r="AK670" s="441"/>
      <c r="AL670" s="441"/>
      <c r="AM670" s="441"/>
      <c r="AN670" s="441"/>
      <c r="AO670" s="441"/>
      <c r="AP670" s="448"/>
      <c r="AQ670" s="448"/>
      <c r="AR670" s="448"/>
      <c r="AS670" s="448"/>
      <c r="AT670" s="448"/>
      <c r="AU670" s="448"/>
      <c r="AV670" s="448"/>
      <c r="AW670" s="448"/>
      <c r="AX670" s="448"/>
      <c r="AY670" s="448"/>
      <c r="AZ670" s="448"/>
      <c r="BA670" s="448"/>
      <c r="BB670" s="448"/>
      <c r="BC670" s="448"/>
      <c r="BD670" s="448"/>
      <c r="BE670" s="448"/>
      <c r="BF670" s="448"/>
    </row>
    <row r="671" spans="1:58" ht="12.75" hidden="1" thickBot="1">
      <c r="A671" s="1" t="s">
        <v>1276</v>
      </c>
      <c r="B671" s="2" t="s">
        <v>305</v>
      </c>
      <c r="C671" s="2" t="s">
        <v>1074</v>
      </c>
      <c r="D671" s="8" t="s">
        <v>567</v>
      </c>
      <c r="E671" s="460"/>
      <c r="F671" s="4"/>
      <c r="G671" s="449"/>
      <c r="H671" s="4"/>
      <c r="I671" s="4"/>
      <c r="J671" s="4"/>
      <c r="K671" s="4"/>
      <c r="L671" s="4"/>
      <c r="M671" s="449"/>
      <c r="N671" s="449"/>
      <c r="O671" s="4"/>
      <c r="P671" s="4"/>
      <c r="Q671" s="449"/>
      <c r="R671" s="449"/>
      <c r="S671" s="445">
        <f t="shared" si="68"/>
        <v>0</v>
      </c>
      <c r="T671" s="445">
        <f t="shared" si="69"/>
        <v>0</v>
      </c>
      <c r="U671" s="445">
        <f t="shared" si="70"/>
        <v>0</v>
      </c>
      <c r="W671" s="450"/>
      <c r="X671" s="450"/>
      <c r="Y671" s="441"/>
      <c r="Z671" s="441"/>
      <c r="AA671" s="441"/>
      <c r="AB671" s="441"/>
      <c r="AC671" s="441"/>
      <c r="AD671" s="441"/>
      <c r="AE671" s="441"/>
      <c r="AF671" s="441"/>
      <c r="AG671" s="441"/>
      <c r="AH671" s="441"/>
      <c r="AI671" s="441"/>
      <c r="AJ671" s="441"/>
      <c r="AK671" s="441"/>
      <c r="AL671" s="441"/>
      <c r="AM671" s="441"/>
      <c r="AN671" s="441"/>
      <c r="AO671" s="441"/>
      <c r="AP671" s="448"/>
      <c r="AQ671" s="448"/>
      <c r="AR671" s="448"/>
      <c r="AS671" s="448"/>
      <c r="AT671" s="448"/>
      <c r="AU671" s="448"/>
      <c r="AV671" s="448"/>
      <c r="AW671" s="448"/>
      <c r="AX671" s="448"/>
      <c r="AY671" s="448"/>
      <c r="AZ671" s="448"/>
      <c r="BA671" s="448"/>
      <c r="BB671" s="448"/>
      <c r="BC671" s="448"/>
      <c r="BD671" s="448"/>
      <c r="BE671" s="448"/>
      <c r="BF671" s="448"/>
    </row>
    <row r="672" spans="1:58" ht="12.75" hidden="1" thickBot="1">
      <c r="A672" s="1" t="s">
        <v>1276</v>
      </c>
      <c r="B672" s="2" t="s">
        <v>306</v>
      </c>
      <c r="C672" s="2" t="s">
        <v>1075</v>
      </c>
      <c r="D672" s="453" t="s">
        <v>459</v>
      </c>
      <c r="E672" s="459"/>
      <c r="F672" s="6"/>
      <c r="G672" s="451"/>
      <c r="H672" s="6"/>
      <c r="I672" s="6"/>
      <c r="J672" s="6"/>
      <c r="K672" s="6"/>
      <c r="L672" s="6"/>
      <c r="M672" s="451"/>
      <c r="N672" s="451"/>
      <c r="O672" s="6"/>
      <c r="P672" s="6"/>
      <c r="Q672" s="451"/>
      <c r="R672" s="451"/>
      <c r="S672" s="445">
        <f t="shared" si="68"/>
        <v>0</v>
      </c>
      <c r="T672" s="445">
        <f t="shared" si="69"/>
        <v>0</v>
      </c>
      <c r="U672" s="445">
        <f t="shared" si="70"/>
        <v>0</v>
      </c>
      <c r="W672" s="450"/>
      <c r="X672" s="450"/>
      <c r="Y672" s="441"/>
      <c r="Z672" s="441"/>
      <c r="AA672" s="441"/>
      <c r="AB672" s="441"/>
      <c r="AC672" s="441"/>
      <c r="AD672" s="441"/>
      <c r="AE672" s="441"/>
      <c r="AF672" s="441"/>
      <c r="AG672" s="441"/>
      <c r="AH672" s="441"/>
      <c r="AI672" s="441"/>
      <c r="AJ672" s="441"/>
      <c r="AK672" s="441"/>
      <c r="AL672" s="441"/>
      <c r="AM672" s="441"/>
      <c r="AN672" s="441"/>
      <c r="AO672" s="441"/>
      <c r="AP672" s="448"/>
      <c r="AQ672" s="448"/>
      <c r="AR672" s="448"/>
      <c r="AS672" s="448"/>
      <c r="AT672" s="448"/>
      <c r="AU672" s="448"/>
      <c r="AV672" s="448"/>
      <c r="AW672" s="448"/>
      <c r="AX672" s="448"/>
      <c r="AY672" s="448"/>
      <c r="AZ672" s="448"/>
      <c r="BA672" s="448"/>
      <c r="BB672" s="448"/>
      <c r="BC672" s="448"/>
      <c r="BD672" s="448"/>
      <c r="BE672" s="448"/>
      <c r="BF672" s="448"/>
    </row>
    <row r="673" spans="1:58" ht="12.75" hidden="1" thickBot="1">
      <c r="A673" s="1" t="s">
        <v>1276</v>
      </c>
      <c r="B673" s="2" t="s">
        <v>307</v>
      </c>
      <c r="C673" s="2" t="s">
        <v>1076</v>
      </c>
      <c r="D673" s="8" t="s">
        <v>567</v>
      </c>
      <c r="E673" s="460"/>
      <c r="F673" s="4"/>
      <c r="G673" s="449"/>
      <c r="H673" s="4"/>
      <c r="I673" s="4"/>
      <c r="J673" s="4"/>
      <c r="K673" s="4"/>
      <c r="L673" s="4"/>
      <c r="M673" s="449"/>
      <c r="N673" s="449"/>
      <c r="O673" s="4"/>
      <c r="P673" s="4"/>
      <c r="Q673" s="449"/>
      <c r="R673" s="449"/>
      <c r="S673" s="445">
        <f t="shared" si="68"/>
        <v>0</v>
      </c>
      <c r="T673" s="445">
        <f t="shared" si="69"/>
        <v>0</v>
      </c>
      <c r="U673" s="445">
        <f t="shared" si="70"/>
        <v>0</v>
      </c>
      <c r="W673" s="450"/>
      <c r="X673" s="450"/>
      <c r="Y673" s="441"/>
      <c r="Z673" s="441"/>
      <c r="AA673" s="441"/>
      <c r="AB673" s="441"/>
      <c r="AC673" s="441"/>
      <c r="AD673" s="441"/>
      <c r="AE673" s="441"/>
      <c r="AF673" s="441"/>
      <c r="AG673" s="441"/>
      <c r="AH673" s="441"/>
      <c r="AI673" s="441"/>
      <c r="AJ673" s="441"/>
      <c r="AK673" s="441"/>
      <c r="AL673" s="441"/>
      <c r="AM673" s="441"/>
      <c r="AN673" s="441"/>
      <c r="AO673" s="441"/>
      <c r="AP673" s="448"/>
      <c r="AQ673" s="448"/>
      <c r="AR673" s="448"/>
      <c r="AS673" s="448"/>
      <c r="AT673" s="448"/>
      <c r="AU673" s="448"/>
      <c r="AV673" s="448"/>
      <c r="AW673" s="448"/>
      <c r="AX673" s="448"/>
      <c r="AY673" s="448"/>
      <c r="AZ673" s="448"/>
      <c r="BA673" s="448"/>
      <c r="BB673" s="448"/>
      <c r="BC673" s="448"/>
      <c r="BD673" s="448"/>
      <c r="BE673" s="448"/>
      <c r="BF673" s="448"/>
    </row>
    <row r="674" spans="1:58" ht="12.75" hidden="1" thickBot="1">
      <c r="A674" s="1" t="s">
        <v>1276</v>
      </c>
      <c r="B674" s="2" t="s">
        <v>308</v>
      </c>
      <c r="C674" s="2" t="s">
        <v>1077</v>
      </c>
      <c r="D674" s="453" t="s">
        <v>459</v>
      </c>
      <c r="E674" s="459"/>
      <c r="F674" s="6"/>
      <c r="G674" s="451"/>
      <c r="H674" s="6"/>
      <c r="I674" s="6"/>
      <c r="J674" s="6"/>
      <c r="K674" s="6"/>
      <c r="L674" s="6"/>
      <c r="M674" s="451"/>
      <c r="N674" s="451"/>
      <c r="O674" s="6"/>
      <c r="P674" s="6"/>
      <c r="Q674" s="451"/>
      <c r="R674" s="451"/>
      <c r="S674" s="445">
        <f t="shared" si="68"/>
        <v>0</v>
      </c>
      <c r="T674" s="445">
        <f t="shared" si="69"/>
        <v>0</v>
      </c>
      <c r="U674" s="445">
        <f t="shared" si="70"/>
        <v>0</v>
      </c>
      <c r="W674" s="450"/>
      <c r="X674" s="450"/>
      <c r="Y674" s="441"/>
      <c r="Z674" s="441"/>
      <c r="AA674" s="441"/>
      <c r="AB674" s="441"/>
      <c r="AC674" s="441"/>
      <c r="AD674" s="441"/>
      <c r="AE674" s="441"/>
      <c r="AF674" s="441"/>
      <c r="AG674" s="441"/>
      <c r="AH674" s="441"/>
      <c r="AI674" s="441"/>
      <c r="AJ674" s="441"/>
      <c r="AK674" s="441"/>
      <c r="AL674" s="441"/>
      <c r="AM674" s="441"/>
      <c r="AN674" s="441"/>
      <c r="AO674" s="441"/>
      <c r="AP674" s="448"/>
      <c r="AQ674" s="448"/>
      <c r="AR674" s="448"/>
      <c r="AS674" s="448"/>
      <c r="AT674" s="448"/>
      <c r="AU674" s="448"/>
      <c r="AV674" s="448"/>
      <c r="AW674" s="448"/>
      <c r="AX674" s="448"/>
      <c r="AY674" s="448"/>
      <c r="AZ674" s="448"/>
      <c r="BA674" s="448"/>
      <c r="BB674" s="448"/>
      <c r="BC674" s="448"/>
      <c r="BD674" s="448"/>
      <c r="BE674" s="448"/>
      <c r="BF674" s="448"/>
    </row>
    <row r="675" spans="1:58" ht="12.75" hidden="1" thickBot="1">
      <c r="A675" s="1" t="s">
        <v>1276</v>
      </c>
      <c r="B675" s="2" t="s">
        <v>309</v>
      </c>
      <c r="C675" s="2" t="s">
        <v>1078</v>
      </c>
      <c r="D675" s="8" t="s">
        <v>567</v>
      </c>
      <c r="E675" s="460"/>
      <c r="F675" s="4"/>
      <c r="G675" s="449"/>
      <c r="H675" s="4"/>
      <c r="I675" s="4"/>
      <c r="J675" s="4"/>
      <c r="K675" s="4"/>
      <c r="L675" s="4"/>
      <c r="M675" s="449"/>
      <c r="N675" s="449"/>
      <c r="O675" s="4"/>
      <c r="P675" s="4"/>
      <c r="Q675" s="449"/>
      <c r="R675" s="449"/>
      <c r="S675" s="445">
        <f t="shared" si="68"/>
        <v>0</v>
      </c>
      <c r="T675" s="445">
        <f t="shared" si="69"/>
        <v>0</v>
      </c>
      <c r="U675" s="445">
        <f t="shared" si="70"/>
        <v>0</v>
      </c>
      <c r="W675" s="450"/>
      <c r="X675" s="450"/>
      <c r="Y675" s="441"/>
      <c r="Z675" s="441"/>
      <c r="AA675" s="441"/>
      <c r="AB675" s="441"/>
      <c r="AC675" s="441"/>
      <c r="AD675" s="441"/>
      <c r="AE675" s="441"/>
      <c r="AF675" s="441"/>
      <c r="AG675" s="441"/>
      <c r="AH675" s="441"/>
      <c r="AI675" s="441"/>
      <c r="AJ675" s="441"/>
      <c r="AK675" s="441"/>
      <c r="AL675" s="441"/>
      <c r="AM675" s="441"/>
      <c r="AN675" s="441"/>
      <c r="AO675" s="441"/>
      <c r="AP675" s="448"/>
      <c r="AQ675" s="448"/>
      <c r="AR675" s="448"/>
      <c r="AS675" s="448"/>
      <c r="AT675" s="448"/>
      <c r="AU675" s="448"/>
      <c r="AV675" s="448"/>
      <c r="AW675" s="448"/>
      <c r="AX675" s="448"/>
      <c r="AY675" s="448"/>
      <c r="AZ675" s="448"/>
      <c r="BA675" s="448"/>
      <c r="BB675" s="448"/>
      <c r="BC675" s="448"/>
      <c r="BD675" s="448"/>
      <c r="BE675" s="448"/>
      <c r="BF675" s="448"/>
    </row>
    <row r="676" spans="1:58" ht="12.75" hidden="1" thickBot="1">
      <c r="A676" s="1" t="s">
        <v>1276</v>
      </c>
      <c r="B676" s="2" t="s">
        <v>310</v>
      </c>
      <c r="C676" s="2" t="s">
        <v>1079</v>
      </c>
      <c r="D676" s="453" t="s">
        <v>459</v>
      </c>
      <c r="E676" s="459"/>
      <c r="F676" s="6"/>
      <c r="G676" s="451"/>
      <c r="H676" s="6"/>
      <c r="I676" s="6"/>
      <c r="J676" s="6"/>
      <c r="K676" s="6"/>
      <c r="L676" s="6"/>
      <c r="M676" s="451"/>
      <c r="N676" s="451"/>
      <c r="O676" s="6"/>
      <c r="P676" s="6"/>
      <c r="Q676" s="451"/>
      <c r="R676" s="451"/>
      <c r="S676" s="445">
        <f t="shared" si="68"/>
        <v>0</v>
      </c>
      <c r="T676" s="445">
        <f t="shared" si="69"/>
        <v>0</v>
      </c>
      <c r="U676" s="445">
        <f t="shared" si="70"/>
        <v>0</v>
      </c>
      <c r="W676" s="450"/>
      <c r="X676" s="450"/>
      <c r="Y676" s="441"/>
      <c r="Z676" s="441"/>
      <c r="AA676" s="441"/>
      <c r="AB676" s="441"/>
      <c r="AC676" s="441"/>
      <c r="AD676" s="441"/>
      <c r="AE676" s="441"/>
      <c r="AF676" s="441"/>
      <c r="AG676" s="441"/>
      <c r="AH676" s="441"/>
      <c r="AI676" s="441"/>
      <c r="AJ676" s="441"/>
      <c r="AK676" s="441"/>
      <c r="AL676" s="441"/>
      <c r="AM676" s="441"/>
      <c r="AN676" s="441"/>
      <c r="AO676" s="441"/>
      <c r="AP676" s="448"/>
      <c r="AQ676" s="448"/>
      <c r="AR676" s="448"/>
      <c r="AS676" s="448"/>
      <c r="AT676" s="448"/>
      <c r="AU676" s="448"/>
      <c r="AV676" s="448"/>
      <c r="AW676" s="448"/>
      <c r="AX676" s="448"/>
      <c r="AY676" s="448"/>
      <c r="AZ676" s="448"/>
      <c r="BA676" s="448"/>
      <c r="BB676" s="448"/>
      <c r="BC676" s="448"/>
      <c r="BD676" s="448"/>
      <c r="BE676" s="448"/>
      <c r="BF676" s="448"/>
    </row>
    <row r="677" spans="1:58" ht="12.75" hidden="1" thickBot="1">
      <c r="A677" s="1" t="s">
        <v>1276</v>
      </c>
      <c r="B677" s="2" t="s">
        <v>311</v>
      </c>
      <c r="C677" s="2" t="s">
        <v>1080</v>
      </c>
      <c r="D677" s="8" t="s">
        <v>567</v>
      </c>
      <c r="E677" s="460"/>
      <c r="F677" s="4"/>
      <c r="G677" s="449"/>
      <c r="H677" s="4"/>
      <c r="I677" s="4"/>
      <c r="J677" s="4"/>
      <c r="K677" s="4"/>
      <c r="L677" s="4"/>
      <c r="M677" s="449"/>
      <c r="N677" s="449"/>
      <c r="O677" s="4"/>
      <c r="P677" s="4"/>
      <c r="Q677" s="449"/>
      <c r="R677" s="449"/>
      <c r="S677" s="445">
        <f t="shared" si="68"/>
        <v>0</v>
      </c>
      <c r="T677" s="445">
        <f t="shared" si="69"/>
        <v>0</v>
      </c>
      <c r="U677" s="445">
        <f t="shared" si="70"/>
        <v>0</v>
      </c>
      <c r="W677" s="450"/>
      <c r="X677" s="450"/>
      <c r="Y677" s="441"/>
      <c r="Z677" s="441"/>
      <c r="AA677" s="441"/>
      <c r="AB677" s="441"/>
      <c r="AC677" s="441"/>
      <c r="AD677" s="441"/>
      <c r="AE677" s="441"/>
      <c r="AF677" s="441"/>
      <c r="AG677" s="441"/>
      <c r="AH677" s="441"/>
      <c r="AI677" s="441"/>
      <c r="AJ677" s="441"/>
      <c r="AK677" s="441"/>
      <c r="AL677" s="441"/>
      <c r="AM677" s="441"/>
      <c r="AN677" s="441"/>
      <c r="AO677" s="441"/>
      <c r="AP677" s="448"/>
      <c r="AQ677" s="448"/>
      <c r="AR677" s="448"/>
      <c r="AS677" s="448"/>
      <c r="AT677" s="448"/>
      <c r="AU677" s="448"/>
      <c r="AV677" s="448"/>
      <c r="AW677" s="448"/>
      <c r="AX677" s="448"/>
      <c r="AY677" s="448"/>
      <c r="AZ677" s="448"/>
      <c r="BA677" s="448"/>
      <c r="BB677" s="448"/>
      <c r="BC677" s="448"/>
      <c r="BD677" s="448"/>
      <c r="BE677" s="448"/>
      <c r="BF677" s="448"/>
    </row>
    <row r="678" spans="1:58" ht="12.75" hidden="1" thickBot="1">
      <c r="A678" s="1" t="s">
        <v>1276</v>
      </c>
      <c r="B678" s="2" t="s">
        <v>339</v>
      </c>
      <c r="C678" s="2" t="s">
        <v>1081</v>
      </c>
      <c r="D678" s="453" t="s">
        <v>459</v>
      </c>
      <c r="E678" s="459"/>
      <c r="F678" s="6"/>
      <c r="G678" s="451"/>
      <c r="H678" s="6"/>
      <c r="I678" s="6"/>
      <c r="J678" s="6"/>
      <c r="K678" s="6"/>
      <c r="L678" s="6"/>
      <c r="M678" s="451"/>
      <c r="N678" s="451"/>
      <c r="O678" s="6"/>
      <c r="P678" s="6"/>
      <c r="Q678" s="451"/>
      <c r="R678" s="451"/>
      <c r="S678" s="445">
        <f t="shared" si="68"/>
        <v>0</v>
      </c>
      <c r="T678" s="445">
        <f t="shared" si="69"/>
        <v>0</v>
      </c>
      <c r="U678" s="445">
        <f t="shared" si="70"/>
        <v>0</v>
      </c>
      <c r="W678" s="450"/>
      <c r="X678" s="450"/>
      <c r="Y678" s="441"/>
      <c r="Z678" s="441"/>
      <c r="AA678" s="441"/>
      <c r="AB678" s="441"/>
      <c r="AC678" s="441"/>
      <c r="AD678" s="441"/>
      <c r="AE678" s="441"/>
      <c r="AF678" s="441"/>
      <c r="AG678" s="441"/>
      <c r="AH678" s="441"/>
      <c r="AI678" s="441"/>
      <c r="AJ678" s="441"/>
      <c r="AK678" s="441"/>
      <c r="AL678" s="441"/>
      <c r="AM678" s="441"/>
      <c r="AN678" s="441"/>
      <c r="AO678" s="441"/>
      <c r="AP678" s="448"/>
      <c r="AQ678" s="448"/>
      <c r="AR678" s="448"/>
      <c r="AS678" s="448"/>
      <c r="AT678" s="448"/>
      <c r="AU678" s="448"/>
      <c r="AV678" s="448"/>
      <c r="AW678" s="448"/>
      <c r="AX678" s="448"/>
      <c r="AY678" s="448"/>
      <c r="AZ678" s="448"/>
      <c r="BA678" s="448"/>
      <c r="BB678" s="448"/>
      <c r="BC678" s="448"/>
      <c r="BD678" s="448"/>
      <c r="BE678" s="448"/>
      <c r="BF678" s="448"/>
    </row>
    <row r="679" spans="1:58" ht="12.75" hidden="1" thickBot="1">
      <c r="A679" s="1" t="s">
        <v>1276</v>
      </c>
      <c r="B679" s="2" t="s">
        <v>312</v>
      </c>
      <c r="C679" s="2" t="s">
        <v>1082</v>
      </c>
      <c r="D679" s="8" t="s">
        <v>567</v>
      </c>
      <c r="E679" s="460"/>
      <c r="F679" s="4"/>
      <c r="G679" s="449"/>
      <c r="H679" s="4"/>
      <c r="I679" s="4"/>
      <c r="J679" s="4"/>
      <c r="K679" s="4"/>
      <c r="L679" s="4"/>
      <c r="M679" s="449"/>
      <c r="N679" s="449"/>
      <c r="O679" s="4"/>
      <c r="P679" s="4"/>
      <c r="Q679" s="449"/>
      <c r="R679" s="449"/>
      <c r="S679" s="445">
        <f t="shared" si="68"/>
        <v>0</v>
      </c>
      <c r="T679" s="445">
        <f t="shared" si="69"/>
        <v>0</v>
      </c>
      <c r="U679" s="445">
        <f t="shared" si="70"/>
        <v>0</v>
      </c>
      <c r="W679" s="450"/>
      <c r="X679" s="450"/>
      <c r="Y679" s="441"/>
      <c r="Z679" s="441"/>
      <c r="AA679" s="441"/>
      <c r="AB679" s="441"/>
      <c r="AC679" s="441"/>
      <c r="AD679" s="441"/>
      <c r="AE679" s="441"/>
      <c r="AF679" s="441"/>
      <c r="AG679" s="441"/>
      <c r="AH679" s="441"/>
      <c r="AI679" s="441"/>
      <c r="AJ679" s="441"/>
      <c r="AK679" s="441"/>
      <c r="AL679" s="441"/>
      <c r="AM679" s="441"/>
      <c r="AN679" s="441"/>
      <c r="AO679" s="441"/>
      <c r="AP679" s="448"/>
      <c r="AQ679" s="448"/>
      <c r="AR679" s="448"/>
      <c r="AS679" s="448"/>
      <c r="AT679" s="448"/>
      <c r="AU679" s="448"/>
      <c r="AV679" s="448"/>
      <c r="AW679" s="448"/>
      <c r="AX679" s="448"/>
      <c r="AY679" s="448"/>
      <c r="AZ679" s="448"/>
      <c r="BA679" s="448"/>
      <c r="BB679" s="448"/>
      <c r="BC679" s="448"/>
      <c r="BD679" s="448"/>
      <c r="BE679" s="448"/>
      <c r="BF679" s="448"/>
    </row>
    <row r="680" spans="1:58" ht="12.75" hidden="1" thickBot="1">
      <c r="A680" s="1" t="s">
        <v>1276</v>
      </c>
      <c r="B680" s="2" t="s">
        <v>688</v>
      </c>
      <c r="C680" s="2" t="s">
        <v>1083</v>
      </c>
      <c r="D680" s="8" t="s">
        <v>567</v>
      </c>
      <c r="E680" s="459"/>
      <c r="F680" s="6"/>
      <c r="G680" s="451"/>
      <c r="H680" s="6"/>
      <c r="I680" s="6"/>
      <c r="J680" s="6"/>
      <c r="K680" s="6"/>
      <c r="L680" s="6"/>
      <c r="M680" s="451"/>
      <c r="N680" s="451"/>
      <c r="O680" s="6"/>
      <c r="P680" s="6"/>
      <c r="Q680" s="6"/>
      <c r="R680" s="451"/>
      <c r="S680" s="445">
        <f t="shared" si="68"/>
        <v>0</v>
      </c>
      <c r="T680" s="445">
        <f t="shared" si="69"/>
        <v>0</v>
      </c>
      <c r="U680" s="445">
        <f t="shared" si="70"/>
        <v>0</v>
      </c>
      <c r="W680" s="450"/>
      <c r="X680" s="450"/>
      <c r="Y680" s="441"/>
      <c r="Z680" s="441"/>
      <c r="AA680" s="441"/>
      <c r="AB680" s="441"/>
      <c r="AC680" s="441"/>
      <c r="AD680" s="441"/>
      <c r="AE680" s="441"/>
      <c r="AF680" s="441"/>
      <c r="AG680" s="441"/>
      <c r="AH680" s="441"/>
      <c r="AI680" s="441"/>
      <c r="AJ680" s="441"/>
      <c r="AK680" s="441"/>
      <c r="AL680" s="441"/>
      <c r="AM680" s="441"/>
      <c r="AN680" s="441"/>
      <c r="AO680" s="441"/>
      <c r="AP680" s="448"/>
      <c r="AQ680" s="448"/>
      <c r="AR680" s="448"/>
      <c r="AS680" s="448"/>
      <c r="AT680" s="448"/>
      <c r="AU680" s="448"/>
      <c r="AV680" s="448"/>
      <c r="AW680" s="448"/>
      <c r="AX680" s="448"/>
      <c r="AY680" s="448"/>
      <c r="AZ680" s="448"/>
      <c r="BA680" s="448"/>
      <c r="BB680" s="448"/>
      <c r="BC680" s="448"/>
      <c r="BD680" s="448"/>
      <c r="BE680" s="448"/>
      <c r="BF680" s="448"/>
    </row>
    <row r="681" spans="1:58" ht="12.75" hidden="1" thickBot="1">
      <c r="A681" s="1" t="s">
        <v>1276</v>
      </c>
      <c r="B681" s="2" t="s">
        <v>341</v>
      </c>
      <c r="C681" s="2" t="s">
        <v>1084</v>
      </c>
      <c r="D681" s="8" t="s">
        <v>567</v>
      </c>
      <c r="E681" s="460"/>
      <c r="F681" s="4"/>
      <c r="G681" s="449"/>
      <c r="H681" s="4"/>
      <c r="I681" s="4"/>
      <c r="J681" s="4"/>
      <c r="K681" s="4"/>
      <c r="L681" s="4"/>
      <c r="M681" s="449"/>
      <c r="N681" s="449"/>
      <c r="O681" s="4"/>
      <c r="P681" s="4"/>
      <c r="Q681" s="4"/>
      <c r="R681" s="449"/>
      <c r="S681" s="445">
        <f t="shared" si="68"/>
        <v>0</v>
      </c>
      <c r="T681" s="445">
        <f t="shared" si="69"/>
        <v>0</v>
      </c>
      <c r="U681" s="445">
        <f t="shared" si="70"/>
        <v>0</v>
      </c>
      <c r="W681" s="450"/>
      <c r="X681" s="450"/>
      <c r="Y681" s="441"/>
      <c r="Z681" s="441"/>
      <c r="AA681" s="441"/>
      <c r="AB681" s="441"/>
      <c r="AC681" s="441"/>
      <c r="AD681" s="441"/>
      <c r="AE681" s="441"/>
      <c r="AF681" s="441"/>
      <c r="AG681" s="441"/>
      <c r="AH681" s="441"/>
      <c r="AI681" s="441"/>
      <c r="AJ681" s="441"/>
      <c r="AK681" s="441"/>
      <c r="AL681" s="441"/>
      <c r="AM681" s="441"/>
      <c r="AN681" s="441"/>
      <c r="AO681" s="441"/>
      <c r="AP681" s="448"/>
      <c r="AQ681" s="448"/>
      <c r="AR681" s="448"/>
      <c r="AS681" s="448"/>
      <c r="AT681" s="448"/>
      <c r="AU681" s="448"/>
      <c r="AV681" s="448"/>
      <c r="AW681" s="448"/>
      <c r="AX681" s="448"/>
      <c r="AY681" s="448"/>
      <c r="AZ681" s="448"/>
      <c r="BA681" s="448"/>
      <c r="BB681" s="448"/>
      <c r="BC681" s="448"/>
      <c r="BD681" s="448"/>
      <c r="BE681" s="448"/>
      <c r="BF681" s="448"/>
    </row>
    <row r="682" spans="1:58" ht="12.75" hidden="1" thickBot="1">
      <c r="A682" s="1" t="s">
        <v>1276</v>
      </c>
      <c r="B682" s="2" t="s">
        <v>317</v>
      </c>
      <c r="C682" s="2" t="s">
        <v>1085</v>
      </c>
      <c r="D682" s="8" t="s">
        <v>567</v>
      </c>
      <c r="E682" s="459"/>
      <c r="F682" s="6"/>
      <c r="G682" s="451"/>
      <c r="H682" s="6"/>
      <c r="I682" s="6"/>
      <c r="J682" s="6"/>
      <c r="K682" s="6"/>
      <c r="L682" s="6"/>
      <c r="M682" s="451"/>
      <c r="N682" s="451"/>
      <c r="O682" s="6"/>
      <c r="P682" s="6"/>
      <c r="Q682" s="451"/>
      <c r="R682" s="451"/>
      <c r="S682" s="445">
        <f t="shared" si="68"/>
        <v>0</v>
      </c>
      <c r="T682" s="445">
        <f t="shared" si="69"/>
        <v>0</v>
      </c>
      <c r="U682" s="445">
        <f t="shared" si="70"/>
        <v>0</v>
      </c>
      <c r="W682" s="450"/>
      <c r="X682" s="450"/>
      <c r="Y682" s="441"/>
      <c r="Z682" s="441"/>
      <c r="AA682" s="441"/>
      <c r="AB682" s="441"/>
      <c r="AC682" s="441"/>
      <c r="AD682" s="441"/>
      <c r="AE682" s="441"/>
      <c r="AF682" s="441"/>
      <c r="AG682" s="441"/>
      <c r="AH682" s="441"/>
      <c r="AI682" s="441"/>
      <c r="AJ682" s="441"/>
      <c r="AK682" s="441"/>
      <c r="AL682" s="441"/>
      <c r="AM682" s="441"/>
      <c r="AN682" s="441"/>
      <c r="AO682" s="441"/>
      <c r="AP682" s="448"/>
      <c r="AQ682" s="448"/>
      <c r="AR682" s="448"/>
      <c r="AS682" s="448"/>
      <c r="AT682" s="448"/>
      <c r="AU682" s="448"/>
      <c r="AV682" s="448"/>
      <c r="AW682" s="448"/>
      <c r="AX682" s="448"/>
      <c r="AY682" s="448"/>
      <c r="AZ682" s="448"/>
      <c r="BA682" s="448"/>
      <c r="BB682" s="448"/>
      <c r="BC682" s="448"/>
      <c r="BD682" s="448"/>
      <c r="BE682" s="448"/>
      <c r="BF682" s="448"/>
    </row>
    <row r="683" spans="1:58" ht="12.75" hidden="1" thickBot="1">
      <c r="A683" s="1" t="s">
        <v>1276</v>
      </c>
      <c r="B683" s="2" t="s">
        <v>1235</v>
      </c>
      <c r="C683" s="2" t="s">
        <v>1236</v>
      </c>
      <c r="D683" s="8" t="s">
        <v>567</v>
      </c>
      <c r="E683" s="460"/>
      <c r="F683" s="4"/>
      <c r="G683" s="449"/>
      <c r="H683" s="4"/>
      <c r="I683" s="4"/>
      <c r="J683" s="4"/>
      <c r="K683" s="4"/>
      <c r="L683" s="4"/>
      <c r="M683" s="449"/>
      <c r="N683" s="449"/>
      <c r="O683" s="4"/>
      <c r="P683" s="4"/>
      <c r="Q683" s="449"/>
      <c r="R683" s="449"/>
      <c r="S683" s="445">
        <f t="shared" si="68"/>
        <v>0</v>
      </c>
      <c r="T683" s="445">
        <f t="shared" si="69"/>
        <v>0</v>
      </c>
      <c r="U683" s="445">
        <f t="shared" si="70"/>
        <v>0</v>
      </c>
      <c r="W683" s="450"/>
      <c r="X683" s="450"/>
      <c r="Y683" s="441"/>
      <c r="Z683" s="441"/>
      <c r="AA683" s="441"/>
      <c r="AB683" s="441"/>
      <c r="AC683" s="441"/>
      <c r="AD683" s="441"/>
      <c r="AE683" s="441"/>
      <c r="AF683" s="441"/>
      <c r="AG683" s="441"/>
      <c r="AH683" s="441"/>
      <c r="AI683" s="441"/>
      <c r="AJ683" s="441"/>
      <c r="AK683" s="441"/>
      <c r="AL683" s="441"/>
      <c r="AM683" s="441"/>
      <c r="AN683" s="441"/>
      <c r="AO683" s="441"/>
      <c r="AP683" s="448"/>
      <c r="AQ683" s="448"/>
      <c r="AR683" s="448"/>
      <c r="AS683" s="448"/>
      <c r="AT683" s="448"/>
      <c r="AU683" s="448"/>
      <c r="AV683" s="448"/>
      <c r="AW683" s="448"/>
      <c r="AX683" s="448"/>
      <c r="AY683" s="448"/>
      <c r="AZ683" s="448"/>
      <c r="BA683" s="448"/>
      <c r="BB683" s="448"/>
      <c r="BC683" s="448"/>
      <c r="BD683" s="448"/>
      <c r="BE683" s="448"/>
      <c r="BF683" s="448"/>
    </row>
    <row r="684" spans="1:58" ht="12.75" hidden="1" thickBot="1">
      <c r="A684" s="1" t="s">
        <v>1276</v>
      </c>
      <c r="B684" s="2" t="s">
        <v>318</v>
      </c>
      <c r="C684" s="2" t="s">
        <v>1086</v>
      </c>
      <c r="D684" s="8" t="s">
        <v>567</v>
      </c>
      <c r="E684" s="459"/>
      <c r="F684" s="6"/>
      <c r="G684" s="6"/>
      <c r="H684" s="6"/>
      <c r="I684" s="6"/>
      <c r="J684" s="6"/>
      <c r="K684" s="6"/>
      <c r="L684" s="6"/>
      <c r="M684" s="6"/>
      <c r="N684" s="6"/>
      <c r="O684" s="6"/>
      <c r="P684" s="6"/>
      <c r="Q684" s="6"/>
      <c r="R684" s="6"/>
      <c r="S684" s="445">
        <f t="shared" si="68"/>
        <v>0</v>
      </c>
      <c r="T684" s="445">
        <f t="shared" si="69"/>
        <v>0</v>
      </c>
      <c r="U684" s="445">
        <f t="shared" si="70"/>
        <v>0</v>
      </c>
      <c r="W684" s="450"/>
      <c r="X684" s="450"/>
      <c r="Y684" s="441"/>
      <c r="Z684" s="441"/>
      <c r="AA684" s="441"/>
      <c r="AB684" s="441"/>
      <c r="AC684" s="441"/>
      <c r="AD684" s="441"/>
      <c r="AE684" s="441"/>
      <c r="AF684" s="441"/>
      <c r="AG684" s="441"/>
      <c r="AH684" s="441"/>
      <c r="AI684" s="441"/>
      <c r="AJ684" s="441"/>
      <c r="AK684" s="441"/>
      <c r="AL684" s="441"/>
      <c r="AM684" s="441"/>
      <c r="AN684" s="441"/>
      <c r="AO684" s="441"/>
      <c r="AP684" s="448"/>
      <c r="AQ684" s="448"/>
      <c r="AR684" s="448"/>
      <c r="AS684" s="448"/>
      <c r="AT684" s="448"/>
      <c r="AU684" s="448"/>
      <c r="AV684" s="448"/>
      <c r="AW684" s="448"/>
      <c r="AX684" s="448"/>
      <c r="AY684" s="448"/>
      <c r="AZ684" s="448"/>
      <c r="BA684" s="448"/>
      <c r="BB684" s="448"/>
      <c r="BC684" s="448"/>
      <c r="BD684" s="448"/>
      <c r="BE684" s="448"/>
      <c r="BF684" s="448"/>
    </row>
    <row r="685" spans="1:58" ht="12.75" hidden="1" thickBot="1">
      <c r="A685" s="1" t="s">
        <v>1276</v>
      </c>
      <c r="B685" s="2" t="s">
        <v>1237</v>
      </c>
      <c r="C685" s="2" t="s">
        <v>1238</v>
      </c>
      <c r="D685" s="8" t="s">
        <v>567</v>
      </c>
      <c r="E685" s="460"/>
      <c r="F685" s="4"/>
      <c r="G685" s="449"/>
      <c r="H685" s="4"/>
      <c r="I685" s="4"/>
      <c r="J685" s="4"/>
      <c r="K685" s="4"/>
      <c r="L685" s="4"/>
      <c r="M685" s="449"/>
      <c r="N685" s="449"/>
      <c r="O685" s="4"/>
      <c r="P685" s="4"/>
      <c r="Q685" s="449"/>
      <c r="R685" s="449"/>
      <c r="S685" s="445">
        <f t="shared" si="68"/>
        <v>0</v>
      </c>
      <c r="T685" s="445">
        <f t="shared" si="69"/>
        <v>0</v>
      </c>
      <c r="U685" s="445">
        <f t="shared" si="70"/>
        <v>0</v>
      </c>
      <c r="W685" s="450"/>
      <c r="X685" s="450"/>
      <c r="Y685" s="441"/>
      <c r="Z685" s="441"/>
      <c r="AA685" s="441"/>
      <c r="AB685" s="441"/>
      <c r="AC685" s="441"/>
      <c r="AD685" s="441"/>
      <c r="AE685" s="441"/>
      <c r="AF685" s="441"/>
      <c r="AG685" s="441"/>
      <c r="AH685" s="441"/>
      <c r="AI685" s="441"/>
      <c r="AJ685" s="441"/>
      <c r="AK685" s="441"/>
      <c r="AL685" s="441"/>
      <c r="AM685" s="441"/>
      <c r="AN685" s="441"/>
      <c r="AO685" s="441"/>
      <c r="AP685" s="448"/>
      <c r="AQ685" s="448"/>
      <c r="AR685" s="448"/>
      <c r="AS685" s="448"/>
      <c r="AT685" s="448"/>
      <c r="AU685" s="448"/>
      <c r="AV685" s="448"/>
      <c r="AW685" s="448"/>
      <c r="AX685" s="448"/>
      <c r="AY685" s="448"/>
      <c r="AZ685" s="448"/>
      <c r="BA685" s="448"/>
      <c r="BB685" s="448"/>
      <c r="BC685" s="448"/>
      <c r="BD685" s="448"/>
      <c r="BE685" s="448"/>
      <c r="BF685" s="448"/>
    </row>
    <row r="686" spans="1:58" ht="12.75" hidden="1" thickBot="1">
      <c r="A686" s="1" t="s">
        <v>1276</v>
      </c>
      <c r="B686" s="2" t="s">
        <v>319</v>
      </c>
      <c r="C686" s="2" t="s">
        <v>1087</v>
      </c>
      <c r="D686" s="8" t="s">
        <v>567</v>
      </c>
      <c r="E686" s="459"/>
      <c r="F686" s="6"/>
      <c r="G686" s="6"/>
      <c r="H686" s="6"/>
      <c r="I686" s="6"/>
      <c r="J686" s="6"/>
      <c r="K686" s="6"/>
      <c r="L686" s="6"/>
      <c r="M686" s="6"/>
      <c r="N686" s="6"/>
      <c r="O686" s="6"/>
      <c r="P686" s="6"/>
      <c r="Q686" s="6"/>
      <c r="R686" s="6"/>
      <c r="S686" s="445">
        <f t="shared" si="68"/>
        <v>0</v>
      </c>
      <c r="T686" s="445">
        <f t="shared" si="69"/>
        <v>0</v>
      </c>
      <c r="U686" s="445">
        <f t="shared" si="70"/>
        <v>0</v>
      </c>
      <c r="W686" s="450"/>
      <c r="X686" s="450"/>
      <c r="Y686" s="441"/>
      <c r="Z686" s="441"/>
      <c r="AA686" s="441"/>
      <c r="AB686" s="441"/>
      <c r="AC686" s="441"/>
      <c r="AD686" s="441"/>
      <c r="AE686" s="441"/>
      <c r="AF686" s="441"/>
      <c r="AG686" s="441"/>
      <c r="AH686" s="441"/>
      <c r="AI686" s="441"/>
      <c r="AJ686" s="441"/>
      <c r="AK686" s="441"/>
      <c r="AL686" s="441"/>
      <c r="AM686" s="441"/>
      <c r="AN686" s="441"/>
      <c r="AO686" s="441"/>
      <c r="AP686" s="448"/>
      <c r="AQ686" s="448"/>
      <c r="AR686" s="448"/>
      <c r="AS686" s="448"/>
      <c r="AT686" s="448"/>
      <c r="AU686" s="448"/>
      <c r="AV686" s="448"/>
      <c r="AW686" s="448"/>
      <c r="AX686" s="448"/>
      <c r="AY686" s="448"/>
      <c r="AZ686" s="448"/>
      <c r="BA686" s="448"/>
      <c r="BB686" s="448"/>
      <c r="BC686" s="448"/>
      <c r="BD686" s="448"/>
      <c r="BE686" s="448"/>
      <c r="BF686" s="448"/>
    </row>
    <row r="687" spans="1:58" ht="12.75" hidden="1" thickBot="1">
      <c r="A687" s="1" t="s">
        <v>1276</v>
      </c>
      <c r="B687" s="2" t="s">
        <v>1225</v>
      </c>
      <c r="C687" s="2" t="s">
        <v>1226</v>
      </c>
      <c r="D687" s="8" t="s">
        <v>567</v>
      </c>
      <c r="E687" s="460"/>
      <c r="F687" s="4"/>
      <c r="G687" s="449"/>
      <c r="H687" s="4"/>
      <c r="I687" s="4"/>
      <c r="J687" s="4"/>
      <c r="K687" s="4"/>
      <c r="L687" s="4"/>
      <c r="M687" s="449"/>
      <c r="N687" s="449"/>
      <c r="O687" s="4"/>
      <c r="P687" s="4"/>
      <c r="Q687" s="449"/>
      <c r="R687" s="449"/>
      <c r="S687" s="445">
        <f t="shared" si="68"/>
        <v>0</v>
      </c>
      <c r="T687" s="445">
        <f t="shared" si="69"/>
        <v>0</v>
      </c>
      <c r="U687" s="445">
        <f t="shared" si="70"/>
        <v>0</v>
      </c>
      <c r="W687" s="450"/>
      <c r="X687" s="450"/>
      <c r="Y687" s="441"/>
      <c r="Z687" s="441"/>
      <c r="AA687" s="441"/>
      <c r="AB687" s="441"/>
      <c r="AC687" s="441"/>
      <c r="AD687" s="441"/>
      <c r="AE687" s="441"/>
      <c r="AF687" s="441"/>
      <c r="AG687" s="441"/>
      <c r="AH687" s="441"/>
      <c r="AI687" s="441"/>
      <c r="AJ687" s="441"/>
      <c r="AK687" s="441"/>
      <c r="AL687" s="441"/>
      <c r="AM687" s="441"/>
      <c r="AN687" s="441"/>
      <c r="AO687" s="441"/>
      <c r="AP687" s="448"/>
      <c r="AQ687" s="448"/>
      <c r="AR687" s="448"/>
      <c r="AS687" s="448"/>
      <c r="AT687" s="448"/>
      <c r="AU687" s="448"/>
      <c r="AV687" s="448"/>
      <c r="AW687" s="448"/>
      <c r="AX687" s="448"/>
      <c r="AY687" s="448"/>
      <c r="AZ687" s="448"/>
      <c r="BA687" s="448"/>
      <c r="BB687" s="448"/>
      <c r="BC687" s="448"/>
      <c r="BD687" s="448"/>
      <c r="BE687" s="448"/>
      <c r="BF687" s="448"/>
    </row>
    <row r="688" spans="1:58" ht="12.75" hidden="1" thickBot="1">
      <c r="A688" s="1" t="s">
        <v>1276</v>
      </c>
      <c r="B688" s="2" t="s">
        <v>320</v>
      </c>
      <c r="C688" s="2" t="s">
        <v>1088</v>
      </c>
      <c r="D688" s="8" t="s">
        <v>567</v>
      </c>
      <c r="E688" s="459"/>
      <c r="F688" s="6"/>
      <c r="G688" s="451"/>
      <c r="H688" s="6"/>
      <c r="I688" s="6"/>
      <c r="J688" s="6"/>
      <c r="K688" s="6"/>
      <c r="L688" s="6"/>
      <c r="M688" s="451"/>
      <c r="N688" s="451"/>
      <c r="O688" s="6"/>
      <c r="P688" s="6"/>
      <c r="Q688" s="451"/>
      <c r="R688" s="451"/>
      <c r="S688" s="445">
        <f t="shared" si="68"/>
        <v>0</v>
      </c>
      <c r="T688" s="445">
        <f t="shared" si="69"/>
        <v>0</v>
      </c>
      <c r="U688" s="445">
        <f t="shared" si="70"/>
        <v>0</v>
      </c>
      <c r="W688" s="450"/>
      <c r="X688" s="450"/>
      <c r="Y688" s="441"/>
      <c r="Z688" s="441"/>
      <c r="AA688" s="441"/>
      <c r="AB688" s="441"/>
      <c r="AC688" s="441"/>
      <c r="AD688" s="441"/>
      <c r="AE688" s="441"/>
      <c r="AF688" s="441"/>
      <c r="AG688" s="441"/>
      <c r="AH688" s="441"/>
      <c r="AI688" s="441"/>
      <c r="AJ688" s="441"/>
      <c r="AK688" s="441"/>
      <c r="AL688" s="441"/>
      <c r="AM688" s="441"/>
      <c r="AN688" s="441"/>
      <c r="AO688" s="441"/>
      <c r="AP688" s="448"/>
      <c r="AQ688" s="448"/>
      <c r="AR688" s="448"/>
      <c r="AS688" s="448"/>
      <c r="AT688" s="448"/>
      <c r="AU688" s="448"/>
      <c r="AV688" s="448"/>
      <c r="AW688" s="448"/>
      <c r="AX688" s="448"/>
      <c r="AY688" s="448"/>
      <c r="AZ688" s="448"/>
      <c r="BA688" s="448"/>
      <c r="BB688" s="448"/>
      <c r="BC688" s="448"/>
      <c r="BD688" s="448"/>
      <c r="BE688" s="448"/>
      <c r="BF688" s="448"/>
    </row>
    <row r="689" spans="1:58" ht="12.75" hidden="1" thickBot="1">
      <c r="A689" s="1" t="s">
        <v>1276</v>
      </c>
      <c r="B689" s="2" t="s">
        <v>321</v>
      </c>
      <c r="C689" s="2" t="s">
        <v>1089</v>
      </c>
      <c r="D689" s="8" t="s">
        <v>567</v>
      </c>
      <c r="E689" s="460"/>
      <c r="F689" s="4"/>
      <c r="G689" s="4"/>
      <c r="H689" s="4"/>
      <c r="I689" s="4"/>
      <c r="J689" s="4"/>
      <c r="K689" s="4"/>
      <c r="L689" s="4"/>
      <c r="M689" s="4"/>
      <c r="N689" s="4"/>
      <c r="O689" s="4"/>
      <c r="P689" s="4"/>
      <c r="Q689" s="4"/>
      <c r="R689" s="4"/>
      <c r="S689" s="445">
        <f t="shared" si="68"/>
        <v>0</v>
      </c>
      <c r="T689" s="445">
        <f t="shared" si="69"/>
        <v>0</v>
      </c>
      <c r="U689" s="445">
        <f t="shared" si="70"/>
        <v>0</v>
      </c>
      <c r="W689" s="450"/>
      <c r="X689" s="450"/>
      <c r="Y689" s="441"/>
      <c r="Z689" s="441"/>
      <c r="AA689" s="441"/>
      <c r="AB689" s="441"/>
      <c r="AC689" s="441"/>
      <c r="AD689" s="441"/>
      <c r="AE689" s="441"/>
      <c r="AF689" s="441"/>
      <c r="AG689" s="441"/>
      <c r="AH689" s="441"/>
      <c r="AI689" s="441"/>
      <c r="AJ689" s="441"/>
      <c r="AK689" s="441"/>
      <c r="AL689" s="441"/>
      <c r="AM689" s="441"/>
      <c r="AN689" s="441"/>
      <c r="AO689" s="441"/>
      <c r="AP689" s="448"/>
      <c r="AQ689" s="448"/>
      <c r="AR689" s="448"/>
      <c r="AS689" s="448"/>
      <c r="AT689" s="448"/>
      <c r="AU689" s="448"/>
      <c r="AV689" s="448"/>
      <c r="AW689" s="448"/>
      <c r="AX689" s="448"/>
      <c r="AY689" s="448"/>
      <c r="AZ689" s="448"/>
      <c r="BA689" s="448"/>
      <c r="BB689" s="448"/>
      <c r="BC689" s="448"/>
      <c r="BD689" s="448"/>
      <c r="BE689" s="448"/>
      <c r="BF689" s="448"/>
    </row>
    <row r="690" spans="1:58" ht="12.75" hidden="1" thickBot="1">
      <c r="A690" s="1" t="s">
        <v>1276</v>
      </c>
      <c r="B690" s="2" t="s">
        <v>1227</v>
      </c>
      <c r="C690" s="2" t="s">
        <v>1228</v>
      </c>
      <c r="D690" s="8" t="s">
        <v>567</v>
      </c>
      <c r="E690" s="459"/>
      <c r="F690" s="6"/>
      <c r="G690" s="451"/>
      <c r="H690" s="6"/>
      <c r="I690" s="6"/>
      <c r="J690" s="6"/>
      <c r="K690" s="6"/>
      <c r="L690" s="6"/>
      <c r="M690" s="451"/>
      <c r="N690" s="451"/>
      <c r="O690" s="6"/>
      <c r="P690" s="6"/>
      <c r="Q690" s="451"/>
      <c r="R690" s="451"/>
      <c r="S690" s="445">
        <f t="shared" si="68"/>
        <v>0</v>
      </c>
      <c r="T690" s="445">
        <f t="shared" si="69"/>
        <v>0</v>
      </c>
      <c r="U690" s="445">
        <f t="shared" si="70"/>
        <v>0</v>
      </c>
      <c r="W690" s="450"/>
      <c r="X690" s="450"/>
      <c r="Y690" s="441"/>
      <c r="Z690" s="441"/>
      <c r="AA690" s="441"/>
      <c r="AB690" s="441"/>
      <c r="AC690" s="441"/>
      <c r="AD690" s="441"/>
      <c r="AE690" s="441"/>
      <c r="AF690" s="441"/>
      <c r="AG690" s="441"/>
      <c r="AH690" s="441"/>
      <c r="AI690" s="441"/>
      <c r="AJ690" s="441"/>
      <c r="AK690" s="441"/>
      <c r="AL690" s="441"/>
      <c r="AM690" s="441"/>
      <c r="AN690" s="441"/>
      <c r="AO690" s="441"/>
      <c r="AP690" s="448"/>
      <c r="AQ690" s="448"/>
      <c r="AR690" s="448"/>
      <c r="AS690" s="448"/>
      <c r="AT690" s="448"/>
      <c r="AU690" s="448"/>
      <c r="AV690" s="448"/>
      <c r="AW690" s="448"/>
      <c r="AX690" s="448"/>
      <c r="AY690" s="448"/>
      <c r="AZ690" s="448"/>
      <c r="BA690" s="448"/>
      <c r="BB690" s="448"/>
      <c r="BC690" s="448"/>
      <c r="BD690" s="448"/>
      <c r="BE690" s="448"/>
      <c r="BF690" s="448"/>
    </row>
    <row r="691" spans="1:58" ht="12.75" hidden="1" thickBot="1">
      <c r="A691" s="1" t="s">
        <v>1276</v>
      </c>
      <c r="B691" s="2" t="s">
        <v>322</v>
      </c>
      <c r="C691" s="2" t="s">
        <v>1090</v>
      </c>
      <c r="D691" s="8" t="s">
        <v>567</v>
      </c>
      <c r="E691" s="460"/>
      <c r="F691" s="4"/>
      <c r="G691" s="449"/>
      <c r="H691" s="4"/>
      <c r="I691" s="4"/>
      <c r="J691" s="4"/>
      <c r="K691" s="4"/>
      <c r="L691" s="4"/>
      <c r="M691" s="449"/>
      <c r="N691" s="449"/>
      <c r="O691" s="4"/>
      <c r="P691" s="4"/>
      <c r="Q691" s="449"/>
      <c r="R691" s="449"/>
      <c r="S691" s="445">
        <f t="shared" si="68"/>
        <v>0</v>
      </c>
      <c r="T691" s="445">
        <f t="shared" si="69"/>
        <v>0</v>
      </c>
      <c r="U691" s="445">
        <f t="shared" si="70"/>
        <v>0</v>
      </c>
      <c r="W691" s="450"/>
      <c r="X691" s="450"/>
      <c r="Y691" s="441"/>
      <c r="Z691" s="441"/>
      <c r="AA691" s="441"/>
      <c r="AB691" s="441"/>
      <c r="AC691" s="441"/>
      <c r="AD691" s="441"/>
      <c r="AE691" s="441"/>
      <c r="AF691" s="441"/>
      <c r="AG691" s="441"/>
      <c r="AH691" s="441"/>
      <c r="AI691" s="441"/>
      <c r="AJ691" s="441"/>
      <c r="AK691" s="441"/>
      <c r="AL691" s="441"/>
      <c r="AM691" s="441"/>
      <c r="AN691" s="441"/>
      <c r="AO691" s="441"/>
      <c r="AP691" s="448"/>
      <c r="AQ691" s="448"/>
      <c r="AR691" s="448"/>
      <c r="AS691" s="448"/>
      <c r="AT691" s="448"/>
      <c r="AU691" s="448"/>
      <c r="AV691" s="448"/>
      <c r="AW691" s="448"/>
      <c r="AX691" s="448"/>
      <c r="AY691" s="448"/>
      <c r="AZ691" s="448"/>
      <c r="BA691" s="448"/>
      <c r="BB691" s="448"/>
      <c r="BC691" s="448"/>
      <c r="BD691" s="448"/>
      <c r="BE691" s="448"/>
      <c r="BF691" s="448"/>
    </row>
    <row r="692" spans="1:58" ht="12.75" hidden="1" thickBot="1">
      <c r="A692" s="1" t="s">
        <v>1276</v>
      </c>
      <c r="B692" s="2" t="s">
        <v>323</v>
      </c>
      <c r="C692" s="2" t="s">
        <v>1091</v>
      </c>
      <c r="D692" s="453" t="s">
        <v>459</v>
      </c>
      <c r="E692" s="459"/>
      <c r="F692" s="6"/>
      <c r="G692" s="451"/>
      <c r="H692" s="6"/>
      <c r="I692" s="6"/>
      <c r="J692" s="6"/>
      <c r="K692" s="6"/>
      <c r="L692" s="6"/>
      <c r="M692" s="451"/>
      <c r="N692" s="451"/>
      <c r="O692" s="6"/>
      <c r="P692" s="6"/>
      <c r="Q692" s="451"/>
      <c r="R692" s="451"/>
      <c r="S692" s="445">
        <f t="shared" si="68"/>
        <v>0</v>
      </c>
      <c r="T692" s="445">
        <f t="shared" si="69"/>
        <v>0</v>
      </c>
      <c r="U692" s="445">
        <f t="shared" si="70"/>
        <v>0</v>
      </c>
      <c r="W692" s="450"/>
      <c r="X692" s="450"/>
      <c r="Y692" s="441"/>
      <c r="Z692" s="441"/>
      <c r="AA692" s="441"/>
      <c r="AB692" s="441"/>
      <c r="AC692" s="441"/>
      <c r="AD692" s="441"/>
      <c r="AE692" s="441"/>
      <c r="AF692" s="441"/>
      <c r="AG692" s="441"/>
      <c r="AH692" s="441"/>
      <c r="AI692" s="441"/>
      <c r="AJ692" s="441"/>
      <c r="AK692" s="441"/>
      <c r="AL692" s="441"/>
      <c r="AM692" s="441"/>
      <c r="AN692" s="441"/>
      <c r="AO692" s="441"/>
      <c r="AP692" s="448"/>
      <c r="AQ692" s="448"/>
      <c r="AR692" s="448"/>
      <c r="AS692" s="448"/>
      <c r="AT692" s="448"/>
      <c r="AU692" s="448"/>
      <c r="AV692" s="448"/>
      <c r="AW692" s="448"/>
      <c r="AX692" s="448"/>
      <c r="AY692" s="448"/>
      <c r="AZ692" s="448"/>
      <c r="BA692" s="448"/>
      <c r="BB692" s="448"/>
      <c r="BC692" s="448"/>
      <c r="BD692" s="448"/>
      <c r="BE692" s="448"/>
      <c r="BF692" s="448"/>
    </row>
    <row r="693" spans="1:58" ht="12.75" hidden="1" thickBot="1">
      <c r="A693" s="1" t="s">
        <v>1276</v>
      </c>
      <c r="B693" s="2" t="s">
        <v>328</v>
      </c>
      <c r="C693" s="2" t="s">
        <v>1092</v>
      </c>
      <c r="D693" s="8" t="s">
        <v>567</v>
      </c>
      <c r="E693" s="460"/>
      <c r="F693" s="4"/>
      <c r="G693" s="449"/>
      <c r="H693" s="4"/>
      <c r="I693" s="4"/>
      <c r="J693" s="4"/>
      <c r="K693" s="4"/>
      <c r="L693" s="4"/>
      <c r="M693" s="449"/>
      <c r="N693" s="449"/>
      <c r="O693" s="4"/>
      <c r="P693" s="4"/>
      <c r="Q693" s="449"/>
      <c r="R693" s="449"/>
      <c r="S693" s="445">
        <f t="shared" si="68"/>
        <v>0</v>
      </c>
      <c r="T693" s="445">
        <f t="shared" si="69"/>
        <v>0</v>
      </c>
      <c r="U693" s="445">
        <f t="shared" si="70"/>
        <v>0</v>
      </c>
      <c r="W693" s="450"/>
      <c r="X693" s="450"/>
      <c r="Y693" s="441"/>
      <c r="Z693" s="441"/>
      <c r="AA693" s="441"/>
      <c r="AB693" s="441"/>
      <c r="AC693" s="441"/>
      <c r="AD693" s="441"/>
      <c r="AE693" s="441"/>
      <c r="AF693" s="441"/>
      <c r="AG693" s="441"/>
      <c r="AH693" s="441"/>
      <c r="AI693" s="441"/>
      <c r="AJ693" s="441"/>
      <c r="AK693" s="441"/>
      <c r="AL693" s="441"/>
      <c r="AM693" s="441"/>
      <c r="AN693" s="441"/>
      <c r="AO693" s="441"/>
      <c r="AP693" s="448"/>
      <c r="AQ693" s="448"/>
      <c r="AR693" s="448"/>
      <c r="AS693" s="448"/>
      <c r="AT693" s="448"/>
      <c r="AU693" s="448"/>
      <c r="AV693" s="448"/>
      <c r="AW693" s="448"/>
      <c r="AX693" s="448"/>
      <c r="AY693" s="448"/>
      <c r="AZ693" s="448"/>
      <c r="BA693" s="448"/>
      <c r="BB693" s="448"/>
      <c r="BC693" s="448"/>
      <c r="BD693" s="448"/>
      <c r="BE693" s="448"/>
      <c r="BF693" s="448"/>
    </row>
    <row r="694" spans="1:58" ht="12.75" hidden="1" thickBot="1">
      <c r="A694" s="1" t="s">
        <v>1276</v>
      </c>
      <c r="B694" s="2" t="s">
        <v>329</v>
      </c>
      <c r="C694" s="2" t="s">
        <v>1093</v>
      </c>
      <c r="D694" s="453" t="s">
        <v>459</v>
      </c>
      <c r="E694" s="459"/>
      <c r="F694" s="6"/>
      <c r="G694" s="451"/>
      <c r="H694" s="6"/>
      <c r="I694" s="6"/>
      <c r="J694" s="6"/>
      <c r="K694" s="6"/>
      <c r="L694" s="6"/>
      <c r="M694" s="451"/>
      <c r="N694" s="451"/>
      <c r="O694" s="6"/>
      <c r="P694" s="6"/>
      <c r="Q694" s="451"/>
      <c r="R694" s="451"/>
      <c r="S694" s="445">
        <f t="shared" si="68"/>
        <v>0</v>
      </c>
      <c r="T694" s="445">
        <f t="shared" si="69"/>
        <v>0</v>
      </c>
      <c r="U694" s="445">
        <f t="shared" si="70"/>
        <v>0</v>
      </c>
      <c r="W694" s="450"/>
      <c r="X694" s="450"/>
      <c r="Y694" s="441"/>
      <c r="Z694" s="441"/>
      <c r="AA694" s="441"/>
      <c r="AB694" s="441"/>
      <c r="AC694" s="441"/>
      <c r="AD694" s="441"/>
      <c r="AE694" s="441"/>
      <c r="AF694" s="441"/>
      <c r="AG694" s="441"/>
      <c r="AH694" s="441"/>
      <c r="AI694" s="441"/>
      <c r="AJ694" s="441"/>
      <c r="AK694" s="441"/>
      <c r="AL694" s="441"/>
      <c r="AM694" s="441"/>
      <c r="AN694" s="441"/>
      <c r="AO694" s="441"/>
      <c r="AP694" s="448"/>
      <c r="AQ694" s="448"/>
      <c r="AR694" s="448"/>
      <c r="AS694" s="448"/>
      <c r="AT694" s="448"/>
      <c r="AU694" s="448"/>
      <c r="AV694" s="448"/>
      <c r="AW694" s="448"/>
      <c r="AX694" s="448"/>
      <c r="AY694" s="448"/>
      <c r="AZ694" s="448"/>
      <c r="BA694" s="448"/>
      <c r="BB694" s="448"/>
      <c r="BC694" s="448"/>
      <c r="BD694" s="448"/>
      <c r="BE694" s="448"/>
      <c r="BF694" s="448"/>
    </row>
    <row r="695" spans="1:58" ht="12.75" hidden="1" thickBot="1">
      <c r="A695" s="1" t="s">
        <v>1276</v>
      </c>
      <c r="B695" s="2" t="s">
        <v>330</v>
      </c>
      <c r="C695" s="2" t="s">
        <v>1094</v>
      </c>
      <c r="D695" s="8" t="s">
        <v>567</v>
      </c>
      <c r="E695" s="460"/>
      <c r="F695" s="4"/>
      <c r="G695" s="449"/>
      <c r="H695" s="4"/>
      <c r="I695" s="4"/>
      <c r="J695" s="4"/>
      <c r="K695" s="4"/>
      <c r="L695" s="4"/>
      <c r="M695" s="449"/>
      <c r="N695" s="449"/>
      <c r="O695" s="4"/>
      <c r="P695" s="4"/>
      <c r="Q695" s="449"/>
      <c r="R695" s="449"/>
      <c r="S695" s="445">
        <f t="shared" si="68"/>
        <v>0</v>
      </c>
      <c r="T695" s="445">
        <f t="shared" si="69"/>
        <v>0</v>
      </c>
      <c r="U695" s="445">
        <f t="shared" si="70"/>
        <v>0</v>
      </c>
      <c r="W695" s="450"/>
      <c r="X695" s="450"/>
      <c r="Y695" s="441"/>
      <c r="Z695" s="441"/>
      <c r="AA695" s="441"/>
      <c r="AB695" s="441"/>
      <c r="AC695" s="441"/>
      <c r="AD695" s="441"/>
      <c r="AE695" s="441"/>
      <c r="AF695" s="441"/>
      <c r="AG695" s="441"/>
      <c r="AH695" s="441"/>
      <c r="AI695" s="441"/>
      <c r="AJ695" s="441"/>
      <c r="AK695" s="441"/>
      <c r="AL695" s="441"/>
      <c r="AM695" s="441"/>
      <c r="AN695" s="441"/>
      <c r="AO695" s="441"/>
      <c r="AP695" s="448"/>
      <c r="AQ695" s="448"/>
      <c r="AR695" s="448"/>
      <c r="AS695" s="448"/>
      <c r="AT695" s="448"/>
      <c r="AU695" s="448"/>
      <c r="AV695" s="448"/>
      <c r="AW695" s="448"/>
      <c r="AX695" s="448"/>
      <c r="AY695" s="448"/>
      <c r="AZ695" s="448"/>
      <c r="BA695" s="448"/>
      <c r="BB695" s="448"/>
      <c r="BC695" s="448"/>
      <c r="BD695" s="448"/>
      <c r="BE695" s="448"/>
      <c r="BF695" s="448"/>
    </row>
    <row r="696" spans="1:58" ht="12.75" hidden="1" thickBot="1">
      <c r="A696" s="1" t="s">
        <v>1276</v>
      </c>
      <c r="B696" s="2" t="s">
        <v>331</v>
      </c>
      <c r="C696" s="2" t="s">
        <v>1095</v>
      </c>
      <c r="D696" s="453" t="s">
        <v>459</v>
      </c>
      <c r="E696" s="459"/>
      <c r="F696" s="6"/>
      <c r="G696" s="451"/>
      <c r="H696" s="6"/>
      <c r="I696" s="6"/>
      <c r="J696" s="6"/>
      <c r="K696" s="6"/>
      <c r="L696" s="6"/>
      <c r="M696" s="451"/>
      <c r="N696" s="451"/>
      <c r="O696" s="6"/>
      <c r="P696" s="6"/>
      <c r="Q696" s="451"/>
      <c r="R696" s="451"/>
      <c r="S696" s="445">
        <f t="shared" si="68"/>
        <v>0</v>
      </c>
      <c r="T696" s="445">
        <f t="shared" si="69"/>
        <v>0</v>
      </c>
      <c r="U696" s="445">
        <f t="shared" si="70"/>
        <v>0</v>
      </c>
      <c r="W696" s="450"/>
      <c r="X696" s="450"/>
      <c r="Y696" s="441"/>
      <c r="Z696" s="441"/>
      <c r="AA696" s="441"/>
      <c r="AB696" s="441"/>
      <c r="AC696" s="441"/>
      <c r="AD696" s="441"/>
      <c r="AE696" s="441"/>
      <c r="AF696" s="441"/>
      <c r="AG696" s="441"/>
      <c r="AH696" s="441"/>
      <c r="AI696" s="441"/>
      <c r="AJ696" s="441"/>
      <c r="AK696" s="441"/>
      <c r="AL696" s="441"/>
      <c r="AM696" s="441"/>
      <c r="AN696" s="441"/>
      <c r="AO696" s="441"/>
      <c r="AP696" s="448"/>
      <c r="AQ696" s="448"/>
      <c r="AR696" s="448"/>
      <c r="AS696" s="448"/>
      <c r="AT696" s="448"/>
      <c r="AU696" s="448"/>
      <c r="AV696" s="448"/>
      <c r="AW696" s="448"/>
      <c r="AX696" s="448"/>
      <c r="AY696" s="448"/>
      <c r="AZ696" s="448"/>
      <c r="BA696" s="448"/>
      <c r="BB696" s="448"/>
      <c r="BC696" s="448"/>
      <c r="BD696" s="448"/>
      <c r="BE696" s="448"/>
      <c r="BF696" s="448"/>
    </row>
    <row r="697" spans="1:58" ht="12.75" hidden="1" thickBot="1">
      <c r="A697" s="1" t="s">
        <v>1276</v>
      </c>
      <c r="B697" s="2" t="s">
        <v>332</v>
      </c>
      <c r="C697" s="2" t="s">
        <v>1096</v>
      </c>
      <c r="D697" s="453" t="s">
        <v>459</v>
      </c>
      <c r="E697" s="460"/>
      <c r="F697" s="4"/>
      <c r="G697" s="449"/>
      <c r="H697" s="4"/>
      <c r="I697" s="4"/>
      <c r="J697" s="4"/>
      <c r="K697" s="4"/>
      <c r="L697" s="4"/>
      <c r="M697" s="449"/>
      <c r="N697" s="449"/>
      <c r="O697" s="4"/>
      <c r="P697" s="4"/>
      <c r="Q697" s="449"/>
      <c r="R697" s="449"/>
      <c r="S697" s="445">
        <f t="shared" si="68"/>
        <v>0</v>
      </c>
      <c r="T697" s="445">
        <f t="shared" si="69"/>
        <v>0</v>
      </c>
      <c r="U697" s="445">
        <f t="shared" si="70"/>
        <v>0</v>
      </c>
      <c r="W697" s="450"/>
      <c r="X697" s="450"/>
      <c r="Y697" s="441"/>
      <c r="Z697" s="441"/>
      <c r="AA697" s="441"/>
      <c r="AB697" s="441"/>
      <c r="AC697" s="441"/>
      <c r="AD697" s="441"/>
      <c r="AE697" s="441"/>
      <c r="AF697" s="441"/>
      <c r="AG697" s="441"/>
      <c r="AH697" s="441"/>
      <c r="AI697" s="441"/>
      <c r="AJ697" s="441"/>
      <c r="AK697" s="441"/>
      <c r="AL697" s="441"/>
      <c r="AM697" s="441"/>
      <c r="AN697" s="441"/>
      <c r="AO697" s="441"/>
      <c r="AP697" s="448"/>
      <c r="AQ697" s="448"/>
      <c r="AR697" s="448"/>
      <c r="AS697" s="448"/>
      <c r="AT697" s="448"/>
      <c r="AU697" s="448"/>
      <c r="AV697" s="448"/>
      <c r="AW697" s="448"/>
      <c r="AX697" s="448"/>
      <c r="AY697" s="448"/>
      <c r="AZ697" s="448"/>
      <c r="BA697" s="448"/>
      <c r="BB697" s="448"/>
      <c r="BC697" s="448"/>
      <c r="BD697" s="448"/>
      <c r="BE697" s="448"/>
      <c r="BF697" s="448"/>
    </row>
    <row r="698" spans="1:58" ht="12.75" hidden="1" thickBot="1">
      <c r="A698" s="1" t="s">
        <v>1276</v>
      </c>
      <c r="B698" s="2" t="s">
        <v>333</v>
      </c>
      <c r="C698" s="2" t="s">
        <v>1097</v>
      </c>
      <c r="D698" s="8" t="s">
        <v>567</v>
      </c>
      <c r="E698" s="459"/>
      <c r="F698" s="6"/>
      <c r="G698" s="451"/>
      <c r="H698" s="6"/>
      <c r="I698" s="6"/>
      <c r="J698" s="6"/>
      <c r="K698" s="6"/>
      <c r="L698" s="6"/>
      <c r="M698" s="451"/>
      <c r="N698" s="451"/>
      <c r="O698" s="6"/>
      <c r="P698" s="6"/>
      <c r="Q698" s="451"/>
      <c r="R698" s="451"/>
      <c r="S698" s="445">
        <f t="shared" si="68"/>
        <v>0</v>
      </c>
      <c r="T698" s="445">
        <f t="shared" si="69"/>
        <v>0</v>
      </c>
      <c r="U698" s="445">
        <f t="shared" si="70"/>
        <v>0</v>
      </c>
      <c r="W698" s="450"/>
      <c r="X698" s="450"/>
      <c r="Y698" s="441"/>
      <c r="Z698" s="441"/>
      <c r="AA698" s="441"/>
      <c r="AB698" s="441"/>
      <c r="AC698" s="441"/>
      <c r="AD698" s="441"/>
      <c r="AE698" s="441"/>
      <c r="AF698" s="441"/>
      <c r="AG698" s="441"/>
      <c r="AH698" s="441"/>
      <c r="AI698" s="441"/>
      <c r="AJ698" s="441"/>
      <c r="AK698" s="441"/>
      <c r="AL698" s="441"/>
      <c r="AM698" s="441"/>
      <c r="AN698" s="441"/>
      <c r="AO698" s="441"/>
      <c r="AP698" s="448"/>
      <c r="AQ698" s="448"/>
      <c r="AR698" s="448"/>
      <c r="AS698" s="448"/>
      <c r="AT698" s="448"/>
      <c r="AU698" s="448"/>
      <c r="AV698" s="448"/>
      <c r="AW698" s="448"/>
      <c r="AX698" s="448"/>
      <c r="AY698" s="448"/>
      <c r="AZ698" s="448"/>
      <c r="BA698" s="448"/>
      <c r="BB698" s="448"/>
      <c r="BC698" s="448"/>
      <c r="BD698" s="448"/>
      <c r="BE698" s="448"/>
      <c r="BF698" s="448"/>
    </row>
    <row r="699" spans="1:58" ht="12.75" hidden="1" thickBot="1">
      <c r="A699" s="1" t="s">
        <v>1276</v>
      </c>
      <c r="B699" s="2" t="s">
        <v>334</v>
      </c>
      <c r="C699" s="2" t="s">
        <v>1098</v>
      </c>
      <c r="D699" s="453" t="s">
        <v>459</v>
      </c>
      <c r="E699" s="460"/>
      <c r="F699" s="4"/>
      <c r="G699" s="449"/>
      <c r="H699" s="4"/>
      <c r="I699" s="4"/>
      <c r="J699" s="4"/>
      <c r="K699" s="4"/>
      <c r="L699" s="4"/>
      <c r="M699" s="449"/>
      <c r="N699" s="449"/>
      <c r="O699" s="4"/>
      <c r="P699" s="4"/>
      <c r="Q699" s="449"/>
      <c r="R699" s="449"/>
      <c r="S699" s="445">
        <f t="shared" si="68"/>
        <v>0</v>
      </c>
      <c r="T699" s="445">
        <f t="shared" si="69"/>
        <v>0</v>
      </c>
      <c r="U699" s="445">
        <f t="shared" si="70"/>
        <v>0</v>
      </c>
      <c r="W699" s="450"/>
      <c r="X699" s="450"/>
      <c r="Y699" s="441"/>
      <c r="Z699" s="441"/>
      <c r="AA699" s="441"/>
      <c r="AB699" s="441"/>
      <c r="AC699" s="441"/>
      <c r="AD699" s="441"/>
      <c r="AE699" s="441"/>
      <c r="AF699" s="441"/>
      <c r="AG699" s="441"/>
      <c r="AH699" s="441"/>
      <c r="AI699" s="441"/>
      <c r="AJ699" s="441"/>
      <c r="AK699" s="441"/>
      <c r="AL699" s="441"/>
      <c r="AM699" s="441"/>
      <c r="AN699" s="441"/>
      <c r="AO699" s="441"/>
      <c r="AP699" s="448"/>
      <c r="AQ699" s="448"/>
      <c r="AR699" s="448"/>
      <c r="AS699" s="448"/>
      <c r="AT699" s="448"/>
      <c r="AU699" s="448"/>
      <c r="AV699" s="448"/>
      <c r="AW699" s="448"/>
      <c r="AX699" s="448"/>
      <c r="AY699" s="448"/>
      <c r="AZ699" s="448"/>
      <c r="BA699" s="448"/>
      <c r="BB699" s="448"/>
      <c r="BC699" s="448"/>
      <c r="BD699" s="448"/>
      <c r="BE699" s="448"/>
      <c r="BF699" s="448"/>
    </row>
    <row r="700" spans="1:58" ht="12.75" hidden="1" thickBot="1">
      <c r="A700" s="1" t="s">
        <v>1276</v>
      </c>
      <c r="B700" s="2" t="s">
        <v>620</v>
      </c>
      <c r="C700" s="2" t="s">
        <v>1099</v>
      </c>
      <c r="D700" s="8" t="s">
        <v>567</v>
      </c>
      <c r="E700" s="459"/>
      <c r="F700" s="6"/>
      <c r="G700" s="451"/>
      <c r="H700" s="6"/>
      <c r="I700" s="6"/>
      <c r="J700" s="6"/>
      <c r="K700" s="6"/>
      <c r="L700" s="6"/>
      <c r="M700" s="451"/>
      <c r="N700" s="451"/>
      <c r="O700" s="6"/>
      <c r="P700" s="6"/>
      <c r="Q700" s="451"/>
      <c r="R700" s="451"/>
      <c r="S700" s="445">
        <f t="shared" si="68"/>
        <v>0</v>
      </c>
      <c r="T700" s="445">
        <f t="shared" si="69"/>
        <v>0</v>
      </c>
      <c r="U700" s="445">
        <f t="shared" si="70"/>
        <v>0</v>
      </c>
      <c r="W700" s="450"/>
      <c r="X700" s="450"/>
      <c r="Y700" s="441"/>
      <c r="Z700" s="441"/>
      <c r="AA700" s="441"/>
      <c r="AB700" s="441"/>
      <c r="AC700" s="441"/>
      <c r="AD700" s="441"/>
      <c r="AE700" s="441"/>
      <c r="AF700" s="441"/>
      <c r="AG700" s="441"/>
      <c r="AH700" s="441"/>
      <c r="AI700" s="441"/>
      <c r="AJ700" s="441"/>
      <c r="AK700" s="441"/>
      <c r="AL700" s="441"/>
      <c r="AM700" s="441"/>
      <c r="AN700" s="441"/>
      <c r="AO700" s="441"/>
      <c r="AP700" s="448"/>
      <c r="AQ700" s="448"/>
      <c r="AR700" s="448"/>
      <c r="AS700" s="448"/>
      <c r="AT700" s="448"/>
      <c r="AU700" s="448"/>
      <c r="AV700" s="448"/>
      <c r="AW700" s="448"/>
      <c r="AX700" s="448"/>
      <c r="AY700" s="448"/>
      <c r="AZ700" s="448"/>
      <c r="BA700" s="448"/>
      <c r="BB700" s="448"/>
      <c r="BC700" s="448"/>
      <c r="BD700" s="448"/>
      <c r="BE700" s="448"/>
      <c r="BF700" s="448"/>
    </row>
    <row r="701" spans="1:58" ht="12.75" hidden="1" thickBot="1">
      <c r="A701" s="1" t="s">
        <v>1276</v>
      </c>
      <c r="B701" s="2" t="s">
        <v>360</v>
      </c>
      <c r="C701" s="2" t="s">
        <v>1100</v>
      </c>
      <c r="D701" s="8" t="s">
        <v>567</v>
      </c>
      <c r="E701" s="460"/>
      <c r="F701" s="4"/>
      <c r="G701" s="449"/>
      <c r="H701" s="4"/>
      <c r="I701" s="4"/>
      <c r="J701" s="4"/>
      <c r="K701" s="4"/>
      <c r="L701" s="4"/>
      <c r="M701" s="449"/>
      <c r="N701" s="449"/>
      <c r="O701" s="4"/>
      <c r="P701" s="4"/>
      <c r="Q701" s="449"/>
      <c r="R701" s="449"/>
      <c r="S701" s="445">
        <f t="shared" si="68"/>
        <v>0</v>
      </c>
      <c r="T701" s="445">
        <f t="shared" si="69"/>
        <v>0</v>
      </c>
      <c r="U701" s="445">
        <f t="shared" si="70"/>
        <v>0</v>
      </c>
      <c r="W701" s="450"/>
      <c r="X701" s="450"/>
      <c r="Y701" s="441"/>
      <c r="Z701" s="441"/>
      <c r="AA701" s="441"/>
      <c r="AB701" s="441"/>
      <c r="AC701" s="441"/>
      <c r="AD701" s="441"/>
      <c r="AE701" s="441"/>
      <c r="AF701" s="441"/>
      <c r="AG701" s="441"/>
      <c r="AH701" s="441"/>
      <c r="AI701" s="441"/>
      <c r="AJ701" s="441"/>
      <c r="AK701" s="441"/>
      <c r="AL701" s="441"/>
      <c r="AM701" s="441"/>
      <c r="AN701" s="441"/>
      <c r="AO701" s="441"/>
      <c r="AP701" s="448"/>
      <c r="AQ701" s="448"/>
      <c r="AR701" s="448"/>
      <c r="AS701" s="448"/>
      <c r="AT701" s="448"/>
      <c r="AU701" s="448"/>
      <c r="AV701" s="448"/>
      <c r="AW701" s="448"/>
      <c r="AX701" s="448"/>
      <c r="AY701" s="448"/>
      <c r="AZ701" s="448"/>
      <c r="BA701" s="448"/>
      <c r="BB701" s="448"/>
      <c r="BC701" s="448"/>
      <c r="BD701" s="448"/>
      <c r="BE701" s="448"/>
      <c r="BF701" s="448"/>
    </row>
    <row r="702" spans="1:58" ht="12.75" hidden="1" thickBot="1">
      <c r="A702" s="1" t="s">
        <v>1276</v>
      </c>
      <c r="B702" s="2" t="s">
        <v>335</v>
      </c>
      <c r="C702" s="2" t="s">
        <v>1101</v>
      </c>
      <c r="D702" s="8" t="s">
        <v>567</v>
      </c>
      <c r="E702" s="459"/>
      <c r="F702" s="6"/>
      <c r="G702" s="451"/>
      <c r="H702" s="6"/>
      <c r="I702" s="6"/>
      <c r="J702" s="6"/>
      <c r="K702" s="6"/>
      <c r="L702" s="6"/>
      <c r="M702" s="451"/>
      <c r="N702" s="451"/>
      <c r="O702" s="6"/>
      <c r="P702" s="6"/>
      <c r="Q702" s="451"/>
      <c r="R702" s="451"/>
      <c r="S702" s="445">
        <f t="shared" si="68"/>
        <v>0</v>
      </c>
      <c r="T702" s="445">
        <f t="shared" si="69"/>
        <v>0</v>
      </c>
      <c r="U702" s="445">
        <f t="shared" si="70"/>
        <v>0</v>
      </c>
      <c r="W702" s="450"/>
      <c r="X702" s="450"/>
      <c r="Y702" s="441"/>
      <c r="Z702" s="441"/>
      <c r="AA702" s="441"/>
      <c r="AB702" s="441"/>
      <c r="AC702" s="441"/>
      <c r="AD702" s="441"/>
      <c r="AE702" s="441"/>
      <c r="AF702" s="441"/>
      <c r="AG702" s="441"/>
      <c r="AH702" s="441"/>
      <c r="AI702" s="441"/>
      <c r="AJ702" s="441"/>
      <c r="AK702" s="441"/>
      <c r="AL702" s="441"/>
      <c r="AM702" s="441"/>
      <c r="AN702" s="441"/>
      <c r="AO702" s="441"/>
      <c r="AP702" s="448"/>
      <c r="AQ702" s="448"/>
      <c r="AR702" s="448"/>
      <c r="AS702" s="448"/>
      <c r="AT702" s="448"/>
      <c r="AU702" s="448"/>
      <c r="AV702" s="448"/>
      <c r="AW702" s="448"/>
      <c r="AX702" s="448"/>
      <c r="AY702" s="448"/>
      <c r="AZ702" s="448"/>
      <c r="BA702" s="448"/>
      <c r="BB702" s="448"/>
      <c r="BC702" s="448"/>
      <c r="BD702" s="448"/>
      <c r="BE702" s="448"/>
      <c r="BF702" s="448"/>
    </row>
    <row r="703" spans="1:58" ht="12.75" hidden="1" thickBot="1">
      <c r="A703" s="1" t="s">
        <v>1276</v>
      </c>
      <c r="B703" s="2" t="s">
        <v>336</v>
      </c>
      <c r="C703" s="2" t="s">
        <v>1102</v>
      </c>
      <c r="D703" s="8" t="s">
        <v>567</v>
      </c>
      <c r="E703" s="460"/>
      <c r="F703" s="4"/>
      <c r="G703" s="449"/>
      <c r="H703" s="4"/>
      <c r="I703" s="4"/>
      <c r="J703" s="4"/>
      <c r="K703" s="4"/>
      <c r="L703" s="4"/>
      <c r="M703" s="449"/>
      <c r="N703" s="449"/>
      <c r="O703" s="4"/>
      <c r="P703" s="4"/>
      <c r="Q703" s="449"/>
      <c r="R703" s="449"/>
      <c r="S703" s="445">
        <f t="shared" si="68"/>
        <v>0</v>
      </c>
      <c r="T703" s="445">
        <f t="shared" si="69"/>
        <v>0</v>
      </c>
      <c r="U703" s="445">
        <f t="shared" si="70"/>
        <v>0</v>
      </c>
      <c r="W703" s="450"/>
      <c r="X703" s="450"/>
      <c r="Y703" s="441"/>
      <c r="Z703" s="441"/>
      <c r="AA703" s="441"/>
      <c r="AB703" s="441"/>
      <c r="AC703" s="441"/>
      <c r="AD703" s="441"/>
      <c r="AE703" s="441"/>
      <c r="AF703" s="441"/>
      <c r="AG703" s="441"/>
      <c r="AH703" s="441"/>
      <c r="AI703" s="441"/>
      <c r="AJ703" s="441"/>
      <c r="AK703" s="441"/>
      <c r="AL703" s="441"/>
      <c r="AM703" s="441"/>
      <c r="AN703" s="441"/>
      <c r="AO703" s="441"/>
      <c r="AP703" s="448"/>
      <c r="AQ703" s="448"/>
      <c r="AR703" s="448"/>
      <c r="AS703" s="448"/>
      <c r="AT703" s="448"/>
      <c r="AU703" s="448"/>
      <c r="AV703" s="448"/>
      <c r="AW703" s="448"/>
      <c r="AX703" s="448"/>
      <c r="AY703" s="448"/>
      <c r="AZ703" s="448"/>
      <c r="BA703" s="448"/>
      <c r="BB703" s="448"/>
      <c r="BC703" s="448"/>
      <c r="BD703" s="448"/>
      <c r="BE703" s="448"/>
      <c r="BF703" s="448"/>
    </row>
    <row r="704" spans="1:58" ht="12.75" hidden="1" thickBot="1">
      <c r="A704" s="1" t="s">
        <v>1276</v>
      </c>
      <c r="B704" s="2" t="s">
        <v>337</v>
      </c>
      <c r="C704" s="2" t="s">
        <v>1103</v>
      </c>
      <c r="D704" s="8" t="s">
        <v>567</v>
      </c>
      <c r="E704" s="459"/>
      <c r="F704" s="6"/>
      <c r="G704" s="451"/>
      <c r="H704" s="6"/>
      <c r="I704" s="6"/>
      <c r="J704" s="6"/>
      <c r="K704" s="6"/>
      <c r="L704" s="6"/>
      <c r="M704" s="451"/>
      <c r="N704" s="451"/>
      <c r="O704" s="6"/>
      <c r="P704" s="6"/>
      <c r="Q704" s="451"/>
      <c r="R704" s="451"/>
      <c r="S704" s="445">
        <f t="shared" si="68"/>
        <v>0</v>
      </c>
      <c r="T704" s="445">
        <f t="shared" si="69"/>
        <v>0</v>
      </c>
      <c r="U704" s="445">
        <f t="shared" si="70"/>
        <v>0</v>
      </c>
      <c r="W704" s="450"/>
      <c r="X704" s="450"/>
      <c r="Y704" s="441"/>
      <c r="Z704" s="441"/>
      <c r="AA704" s="441"/>
      <c r="AB704" s="441"/>
      <c r="AC704" s="441"/>
      <c r="AD704" s="441"/>
      <c r="AE704" s="441"/>
      <c r="AF704" s="441"/>
      <c r="AG704" s="441"/>
      <c r="AH704" s="441"/>
      <c r="AI704" s="441"/>
      <c r="AJ704" s="441"/>
      <c r="AK704" s="441"/>
      <c r="AL704" s="441"/>
      <c r="AM704" s="441"/>
      <c r="AN704" s="441"/>
      <c r="AO704" s="441"/>
      <c r="AP704" s="448"/>
      <c r="AQ704" s="448"/>
      <c r="AR704" s="448"/>
      <c r="AS704" s="448"/>
      <c r="AT704" s="448"/>
      <c r="AU704" s="448"/>
      <c r="AV704" s="448"/>
      <c r="AW704" s="448"/>
      <c r="AX704" s="448"/>
      <c r="AY704" s="448"/>
      <c r="AZ704" s="448"/>
      <c r="BA704" s="448"/>
      <c r="BB704" s="448"/>
      <c r="BC704" s="448"/>
      <c r="BD704" s="448"/>
      <c r="BE704" s="448"/>
      <c r="BF704" s="448"/>
    </row>
    <row r="705" spans="1:58" ht="12.75" hidden="1" thickBot="1">
      <c r="A705" s="1" t="s">
        <v>1276</v>
      </c>
      <c r="B705" s="454" t="s">
        <v>7</v>
      </c>
      <c r="C705" s="455"/>
      <c r="D705" s="7"/>
      <c r="E705" s="7"/>
      <c r="F705" s="456"/>
      <c r="G705" s="456"/>
      <c r="H705" s="456"/>
      <c r="I705" s="456"/>
      <c r="J705" s="456"/>
      <c r="K705" s="456"/>
      <c r="L705" s="456"/>
      <c r="M705" s="456"/>
      <c r="N705" s="456"/>
      <c r="O705" s="456"/>
      <c r="P705" s="456"/>
      <c r="Q705" s="456"/>
      <c r="R705" s="456"/>
      <c r="S705" s="445">
        <f t="shared" si="68"/>
        <v>0</v>
      </c>
      <c r="T705" s="445">
        <f t="shared" si="69"/>
        <v>0</v>
      </c>
      <c r="U705" s="445">
        <f t="shared" si="70"/>
        <v>0</v>
      </c>
      <c r="W705" s="450"/>
      <c r="X705" s="450"/>
      <c r="Y705" s="441"/>
      <c r="Z705" s="441"/>
      <c r="AA705" s="441"/>
      <c r="AB705" s="441"/>
      <c r="AC705" s="441"/>
      <c r="AD705" s="441"/>
      <c r="AE705" s="441"/>
      <c r="AF705" s="441"/>
      <c r="AG705" s="441"/>
      <c r="AH705" s="441"/>
      <c r="AI705" s="441"/>
      <c r="AJ705" s="441"/>
      <c r="AK705" s="441"/>
      <c r="AL705" s="441"/>
      <c r="AM705" s="441"/>
      <c r="AN705" s="441"/>
      <c r="AO705" s="441"/>
      <c r="AP705" s="448"/>
      <c r="AQ705" s="448"/>
      <c r="AR705" s="448"/>
      <c r="AS705" s="448"/>
      <c r="AT705" s="448"/>
      <c r="AU705" s="448"/>
      <c r="AV705" s="448"/>
      <c r="AW705" s="448"/>
      <c r="AX705" s="448"/>
      <c r="AY705" s="448"/>
      <c r="AZ705" s="448"/>
      <c r="BA705" s="448"/>
      <c r="BB705" s="448"/>
      <c r="BC705" s="448"/>
      <c r="BD705" s="448"/>
      <c r="BE705" s="448"/>
      <c r="BF705" s="448"/>
    </row>
    <row r="706" spans="1:58" ht="12.75" hidden="1" thickBot="1">
      <c r="A706" s="1" t="s">
        <v>1277</v>
      </c>
      <c r="B706" s="2" t="s">
        <v>797</v>
      </c>
      <c r="C706" s="2" t="s">
        <v>1031</v>
      </c>
      <c r="D706" s="8" t="s">
        <v>830</v>
      </c>
      <c r="E706" s="457"/>
      <c r="F706" s="4"/>
      <c r="G706" s="4"/>
      <c r="H706" s="4"/>
      <c r="I706" s="4"/>
      <c r="J706" s="4"/>
      <c r="K706" s="4"/>
      <c r="L706" s="4"/>
      <c r="M706" s="4"/>
      <c r="N706" s="4"/>
      <c r="O706" s="4"/>
      <c r="P706" s="4"/>
      <c r="Q706" s="4"/>
      <c r="R706" s="449"/>
      <c r="S706" s="445">
        <f t="shared" si="68"/>
        <v>0</v>
      </c>
      <c r="T706" s="445">
        <f t="shared" si="69"/>
        <v>0</v>
      </c>
      <c r="U706" s="445">
        <f t="shared" si="70"/>
        <v>0</v>
      </c>
      <c r="W706" s="450"/>
      <c r="X706" s="450"/>
      <c r="Y706" s="441"/>
      <c r="Z706" s="441"/>
      <c r="AA706" s="441"/>
      <c r="AB706" s="441"/>
      <c r="AC706" s="441"/>
      <c r="AD706" s="441"/>
      <c r="AE706" s="441"/>
      <c r="AF706" s="441"/>
      <c r="AG706" s="441"/>
      <c r="AH706" s="441"/>
      <c r="AI706" s="441"/>
      <c r="AJ706" s="441"/>
      <c r="AK706" s="441"/>
      <c r="AL706" s="441"/>
      <c r="AM706" s="441"/>
      <c r="AN706" s="441"/>
      <c r="AO706" s="441"/>
      <c r="AP706" s="448"/>
      <c r="AQ706" s="448"/>
      <c r="AR706" s="448"/>
      <c r="AS706" s="448"/>
      <c r="AT706" s="448"/>
      <c r="AU706" s="448"/>
      <c r="AV706" s="448"/>
      <c r="AW706" s="448"/>
      <c r="AX706" s="448"/>
      <c r="AY706" s="448"/>
      <c r="AZ706" s="448"/>
      <c r="BA706" s="448"/>
      <c r="BB706" s="448"/>
      <c r="BC706" s="448"/>
      <c r="BD706" s="448"/>
      <c r="BE706" s="448"/>
      <c r="BF706" s="448"/>
    </row>
    <row r="707" spans="1:58" ht="12.75" hidden="1" thickBot="1">
      <c r="A707" s="1" t="s">
        <v>1277</v>
      </c>
      <c r="B707" s="2" t="s">
        <v>797</v>
      </c>
      <c r="C707" s="2" t="s">
        <v>798</v>
      </c>
      <c r="D707" s="8" t="s">
        <v>830</v>
      </c>
      <c r="E707" s="458"/>
      <c r="F707" s="6"/>
      <c r="G707" s="6"/>
      <c r="H707" s="6"/>
      <c r="I707" s="6"/>
      <c r="J707" s="6"/>
      <c r="K707" s="6"/>
      <c r="L707" s="6"/>
      <c r="M707" s="6"/>
      <c r="N707" s="6"/>
      <c r="O707" s="6"/>
      <c r="P707" s="6"/>
      <c r="Q707" s="6"/>
      <c r="R707" s="451"/>
      <c r="S707" s="445">
        <f t="shared" si="68"/>
        <v>0</v>
      </c>
      <c r="T707" s="445">
        <f t="shared" si="69"/>
        <v>0</v>
      </c>
      <c r="U707" s="445">
        <f t="shared" si="70"/>
        <v>0</v>
      </c>
      <c r="W707" s="450"/>
      <c r="X707" s="450"/>
      <c r="Y707" s="441"/>
      <c r="Z707" s="441"/>
      <c r="AA707" s="441"/>
      <c r="AB707" s="441"/>
      <c r="AC707" s="441"/>
      <c r="AD707" s="441"/>
      <c r="AE707" s="441"/>
      <c r="AF707" s="441"/>
      <c r="AG707" s="441"/>
      <c r="AH707" s="441"/>
      <c r="AI707" s="441"/>
      <c r="AJ707" s="441"/>
      <c r="AK707" s="441"/>
      <c r="AL707" s="441"/>
      <c r="AM707" s="441"/>
      <c r="AN707" s="441"/>
      <c r="AO707" s="441"/>
      <c r="AP707" s="448"/>
      <c r="AQ707" s="448"/>
      <c r="AR707" s="448"/>
      <c r="AS707" s="448"/>
      <c r="AT707" s="448"/>
      <c r="AU707" s="448"/>
      <c r="AV707" s="448"/>
      <c r="AW707" s="448"/>
      <c r="AX707" s="448"/>
      <c r="AY707" s="448"/>
      <c r="AZ707" s="448"/>
      <c r="BA707" s="448"/>
      <c r="BB707" s="448"/>
      <c r="BC707" s="448"/>
      <c r="BD707" s="448"/>
      <c r="BE707" s="448"/>
      <c r="BF707" s="448"/>
    </row>
    <row r="708" spans="1:58" ht="12.75" hidden="1" thickBot="1">
      <c r="A708" s="1" t="s">
        <v>1277</v>
      </c>
      <c r="B708" s="2" t="s">
        <v>793</v>
      </c>
      <c r="C708" s="2" t="s">
        <v>1032</v>
      </c>
      <c r="D708" s="8" t="s">
        <v>793</v>
      </c>
      <c r="E708" s="3">
        <f t="shared" ref="E708:R727" si="71">ROUND(SUMIFS(E$1410:E$1613,$A$1410:$A$1613,$A708,$B$1410:$B$1613,$B708),0)</f>
        <v>7505864</v>
      </c>
      <c r="F708" s="452">
        <f t="shared" si="71"/>
        <v>0</v>
      </c>
      <c r="G708" s="452">
        <f t="shared" si="71"/>
        <v>1346833</v>
      </c>
      <c r="H708" s="452">
        <f t="shared" si="71"/>
        <v>204535</v>
      </c>
      <c r="I708" s="452">
        <f t="shared" si="71"/>
        <v>0</v>
      </c>
      <c r="J708" s="452">
        <f t="shared" si="71"/>
        <v>0</v>
      </c>
      <c r="K708" s="452">
        <f t="shared" si="71"/>
        <v>0</v>
      </c>
      <c r="L708" s="452">
        <f t="shared" si="71"/>
        <v>0</v>
      </c>
      <c r="M708" s="452">
        <f t="shared" si="71"/>
        <v>14702</v>
      </c>
      <c r="N708" s="452">
        <f t="shared" si="71"/>
        <v>47403</v>
      </c>
      <c r="O708" s="452">
        <f t="shared" si="71"/>
        <v>0</v>
      </c>
      <c r="P708" s="452">
        <f t="shared" si="71"/>
        <v>0</v>
      </c>
      <c r="Q708" s="452"/>
      <c r="R708" s="452">
        <f t="shared" si="71"/>
        <v>1613472</v>
      </c>
      <c r="S708" s="445">
        <f t="shared" si="68"/>
        <v>1551368</v>
      </c>
      <c r="T708" s="445">
        <f t="shared" si="69"/>
        <v>0</v>
      </c>
      <c r="U708" s="445">
        <f t="shared" si="70"/>
        <v>47403</v>
      </c>
      <c r="W708" s="450"/>
      <c r="X708" s="450"/>
      <c r="Y708" s="441"/>
      <c r="Z708" s="441"/>
      <c r="AA708" s="441"/>
      <c r="AB708" s="441"/>
      <c r="AC708" s="441"/>
      <c r="AD708" s="441"/>
      <c r="AE708" s="441"/>
      <c r="AF708" s="441"/>
      <c r="AG708" s="441"/>
      <c r="AH708" s="441"/>
      <c r="AI708" s="441"/>
      <c r="AJ708" s="441"/>
      <c r="AK708" s="441"/>
      <c r="AL708" s="441"/>
      <c r="AM708" s="441"/>
      <c r="AN708" s="441"/>
      <c r="AO708" s="441"/>
      <c r="AP708" s="448"/>
      <c r="AQ708" s="448"/>
      <c r="AR708" s="448"/>
      <c r="AS708" s="448"/>
      <c r="AT708" s="448"/>
      <c r="AU708" s="448"/>
      <c r="AV708" s="448"/>
      <c r="AW708" s="448"/>
      <c r="AX708" s="448"/>
      <c r="AY708" s="448"/>
      <c r="AZ708" s="448"/>
      <c r="BA708" s="448"/>
      <c r="BB708" s="448"/>
      <c r="BC708" s="448"/>
      <c r="BD708" s="448"/>
      <c r="BE708" s="448"/>
      <c r="BF708" s="448"/>
    </row>
    <row r="709" spans="1:58" ht="12.75" hidden="1" thickBot="1">
      <c r="A709" s="1" t="s">
        <v>1277</v>
      </c>
      <c r="B709" s="2" t="s">
        <v>1111</v>
      </c>
      <c r="C709" s="2" t="s">
        <v>1199</v>
      </c>
      <c r="D709" s="8" t="s">
        <v>830</v>
      </c>
      <c r="E709" s="3">
        <f t="shared" si="71"/>
        <v>0</v>
      </c>
      <c r="F709" s="452">
        <f t="shared" si="71"/>
        <v>0</v>
      </c>
      <c r="G709" s="452">
        <f t="shared" si="71"/>
        <v>0</v>
      </c>
      <c r="H709" s="452">
        <f t="shared" si="71"/>
        <v>0</v>
      </c>
      <c r="I709" s="452">
        <f t="shared" si="71"/>
        <v>0</v>
      </c>
      <c r="J709" s="452">
        <f t="shared" si="71"/>
        <v>0</v>
      </c>
      <c r="K709" s="452">
        <f t="shared" si="71"/>
        <v>0</v>
      </c>
      <c r="L709" s="452">
        <f t="shared" si="71"/>
        <v>0</v>
      </c>
      <c r="M709" s="452">
        <f t="shared" si="71"/>
        <v>0</v>
      </c>
      <c r="N709" s="452">
        <f t="shared" si="71"/>
        <v>0</v>
      </c>
      <c r="O709" s="452">
        <f t="shared" si="71"/>
        <v>0</v>
      </c>
      <c r="P709" s="452">
        <f t="shared" si="71"/>
        <v>0</v>
      </c>
      <c r="Q709" s="452"/>
      <c r="R709" s="452">
        <f t="shared" si="71"/>
        <v>0</v>
      </c>
      <c r="S709" s="445">
        <f t="shared" si="68"/>
        <v>0</v>
      </c>
      <c r="T709" s="445">
        <f t="shared" si="69"/>
        <v>0</v>
      </c>
      <c r="U709" s="445">
        <f t="shared" si="70"/>
        <v>0</v>
      </c>
      <c r="W709" s="450"/>
      <c r="X709" s="450"/>
      <c r="Y709" s="441"/>
      <c r="Z709" s="441"/>
      <c r="AA709" s="441"/>
      <c r="AB709" s="441"/>
      <c r="AC709" s="441"/>
      <c r="AD709" s="441"/>
      <c r="AE709" s="441"/>
      <c r="AF709" s="441"/>
      <c r="AG709" s="441"/>
      <c r="AH709" s="441"/>
      <c r="AI709" s="441"/>
      <c r="AJ709" s="441"/>
      <c r="AK709" s="441"/>
      <c r="AL709" s="441"/>
      <c r="AM709" s="441"/>
      <c r="AN709" s="441"/>
      <c r="AO709" s="441"/>
      <c r="AP709" s="448"/>
      <c r="AQ709" s="448"/>
      <c r="AR709" s="448"/>
      <c r="AS709" s="448"/>
      <c r="AT709" s="448"/>
      <c r="AU709" s="448"/>
      <c r="AV709" s="448"/>
      <c r="AW709" s="448"/>
      <c r="AX709" s="448"/>
      <c r="AY709" s="448"/>
      <c r="AZ709" s="448"/>
      <c r="BA709" s="448"/>
      <c r="BB709" s="448"/>
      <c r="BC709" s="448"/>
      <c r="BD709" s="448"/>
      <c r="BE709" s="448"/>
      <c r="BF709" s="448"/>
    </row>
    <row r="710" spans="1:58" ht="12.75" hidden="1" thickBot="1">
      <c r="A710" s="1" t="s">
        <v>1277</v>
      </c>
      <c r="B710" s="2" t="s">
        <v>801</v>
      </c>
      <c r="C710" s="2" t="s">
        <v>1243</v>
      </c>
      <c r="D710" s="8" t="s">
        <v>1205</v>
      </c>
      <c r="E710" s="3">
        <f t="shared" si="71"/>
        <v>0</v>
      </c>
      <c r="F710" s="452">
        <f t="shared" si="71"/>
        <v>0</v>
      </c>
      <c r="G710" s="452">
        <f t="shared" si="71"/>
        <v>0</v>
      </c>
      <c r="H710" s="452">
        <f t="shared" si="71"/>
        <v>0</v>
      </c>
      <c r="I710" s="452">
        <f t="shared" si="71"/>
        <v>0</v>
      </c>
      <c r="J710" s="452">
        <f t="shared" si="71"/>
        <v>0</v>
      </c>
      <c r="K710" s="452">
        <f t="shared" si="71"/>
        <v>0</v>
      </c>
      <c r="L710" s="452">
        <f t="shared" si="71"/>
        <v>0</v>
      </c>
      <c r="M710" s="452">
        <f t="shared" si="71"/>
        <v>0</v>
      </c>
      <c r="N710" s="452">
        <f t="shared" si="71"/>
        <v>0</v>
      </c>
      <c r="O710" s="452">
        <f t="shared" si="71"/>
        <v>0</v>
      </c>
      <c r="P710" s="452">
        <f t="shared" si="71"/>
        <v>0</v>
      </c>
      <c r="Q710" s="452"/>
      <c r="R710" s="452">
        <f t="shared" si="71"/>
        <v>0</v>
      </c>
      <c r="S710" s="445">
        <f t="shared" si="68"/>
        <v>0</v>
      </c>
      <c r="T710" s="445">
        <f t="shared" si="69"/>
        <v>0</v>
      </c>
      <c r="U710" s="445">
        <f t="shared" si="70"/>
        <v>0</v>
      </c>
      <c r="W710" s="450"/>
      <c r="X710" s="450"/>
      <c r="Y710" s="441"/>
      <c r="Z710" s="441"/>
      <c r="AA710" s="441"/>
      <c r="AB710" s="441"/>
      <c r="AC710" s="441"/>
      <c r="AD710" s="441"/>
      <c r="AE710" s="441"/>
      <c r="AF710" s="441"/>
      <c r="AG710" s="441"/>
      <c r="AH710" s="441"/>
      <c r="AI710" s="441"/>
      <c r="AJ710" s="441"/>
      <c r="AK710" s="441"/>
      <c r="AL710" s="441"/>
      <c r="AM710" s="441"/>
      <c r="AN710" s="441"/>
      <c r="AO710" s="441"/>
      <c r="AP710" s="448"/>
      <c r="AQ710" s="448"/>
      <c r="AR710" s="448"/>
      <c r="AS710" s="448"/>
      <c r="AT710" s="448"/>
      <c r="AU710" s="448"/>
      <c r="AV710" s="448"/>
      <c r="AW710" s="448"/>
      <c r="AX710" s="448"/>
      <c r="AY710" s="448"/>
      <c r="AZ710" s="448"/>
      <c r="BA710" s="448"/>
      <c r="BB710" s="448"/>
      <c r="BC710" s="448"/>
      <c r="BD710" s="448"/>
      <c r="BE710" s="448"/>
      <c r="BF710" s="448"/>
    </row>
    <row r="711" spans="1:58" ht="12.75" hidden="1" thickBot="1">
      <c r="A711" s="1" t="s">
        <v>1277</v>
      </c>
      <c r="B711" s="2" t="s">
        <v>368</v>
      </c>
      <c r="C711" s="2" t="s">
        <v>1200</v>
      </c>
      <c r="D711" s="8" t="s">
        <v>417</v>
      </c>
      <c r="E711" s="3">
        <f t="shared" si="71"/>
        <v>0</v>
      </c>
      <c r="F711" s="452">
        <f t="shared" si="71"/>
        <v>0</v>
      </c>
      <c r="G711" s="452">
        <f t="shared" si="71"/>
        <v>0</v>
      </c>
      <c r="H711" s="452">
        <f t="shared" si="71"/>
        <v>0</v>
      </c>
      <c r="I711" s="452">
        <f t="shared" si="71"/>
        <v>0</v>
      </c>
      <c r="J711" s="452">
        <f t="shared" si="71"/>
        <v>0</v>
      </c>
      <c r="K711" s="452">
        <f t="shared" si="71"/>
        <v>0</v>
      </c>
      <c r="L711" s="452">
        <f t="shared" si="71"/>
        <v>0</v>
      </c>
      <c r="M711" s="452">
        <f t="shared" si="71"/>
        <v>0</v>
      </c>
      <c r="N711" s="452">
        <f t="shared" si="71"/>
        <v>0</v>
      </c>
      <c r="O711" s="452">
        <f t="shared" si="71"/>
        <v>0</v>
      </c>
      <c r="P711" s="452">
        <f t="shared" si="71"/>
        <v>0</v>
      </c>
      <c r="Q711" s="452"/>
      <c r="R711" s="452">
        <f t="shared" si="71"/>
        <v>0</v>
      </c>
      <c r="S711" s="445">
        <f t="shared" si="68"/>
        <v>0</v>
      </c>
      <c r="T711" s="445">
        <f t="shared" si="69"/>
        <v>0</v>
      </c>
      <c r="U711" s="445">
        <f t="shared" si="70"/>
        <v>0</v>
      </c>
      <c r="W711" s="450"/>
      <c r="X711" s="450"/>
      <c r="Y711" s="441"/>
      <c r="Z711" s="441"/>
      <c r="AA711" s="441"/>
      <c r="AB711" s="441"/>
      <c r="AC711" s="441"/>
      <c r="AD711" s="441"/>
      <c r="AE711" s="441"/>
      <c r="AF711" s="441"/>
      <c r="AG711" s="441"/>
      <c r="AH711" s="441"/>
      <c r="AI711" s="441"/>
      <c r="AJ711" s="441"/>
      <c r="AK711" s="441"/>
      <c r="AL711" s="441"/>
      <c r="AM711" s="441"/>
      <c r="AN711" s="441"/>
      <c r="AO711" s="441"/>
      <c r="AP711" s="448"/>
      <c r="AQ711" s="448"/>
      <c r="AR711" s="448"/>
      <c r="AS711" s="448"/>
      <c r="AT711" s="448"/>
      <c r="AU711" s="448"/>
      <c r="AV711" s="448"/>
      <c r="AW711" s="448"/>
      <c r="AX711" s="448"/>
      <c r="AY711" s="448"/>
      <c r="AZ711" s="448"/>
      <c r="BA711" s="448"/>
      <c r="BB711" s="448"/>
      <c r="BC711" s="448"/>
      <c r="BD711" s="448"/>
      <c r="BE711" s="448"/>
      <c r="BF711" s="448"/>
    </row>
    <row r="712" spans="1:58" ht="12.75" hidden="1" thickBot="1">
      <c r="A712" s="1" t="s">
        <v>1277</v>
      </c>
      <c r="B712" s="2" t="s">
        <v>370</v>
      </c>
      <c r="C712" s="2" t="s">
        <v>118</v>
      </c>
      <c r="D712" s="8" t="s">
        <v>414</v>
      </c>
      <c r="E712" s="3">
        <f t="shared" si="71"/>
        <v>40110981</v>
      </c>
      <c r="F712" s="452">
        <f t="shared" si="71"/>
        <v>563114</v>
      </c>
      <c r="G712" s="452">
        <f t="shared" si="71"/>
        <v>2503727</v>
      </c>
      <c r="H712" s="452">
        <f t="shared" si="71"/>
        <v>1093024</v>
      </c>
      <c r="I712" s="452">
        <f t="shared" si="71"/>
        <v>66985</v>
      </c>
      <c r="J712" s="452">
        <f t="shared" si="71"/>
        <v>0</v>
      </c>
      <c r="K712" s="452">
        <f t="shared" si="71"/>
        <v>0</v>
      </c>
      <c r="L712" s="452">
        <f t="shared" si="71"/>
        <v>66058</v>
      </c>
      <c r="M712" s="452">
        <f t="shared" si="71"/>
        <v>78567</v>
      </c>
      <c r="N712" s="452">
        <f t="shared" si="71"/>
        <v>0</v>
      </c>
      <c r="O712" s="452">
        <f t="shared" si="71"/>
        <v>253317</v>
      </c>
      <c r="P712" s="452">
        <f t="shared" si="71"/>
        <v>0</v>
      </c>
      <c r="Q712" s="452"/>
      <c r="R712" s="452">
        <f t="shared" si="71"/>
        <v>4624793</v>
      </c>
      <c r="S712" s="445">
        <f t="shared" si="68"/>
        <v>3663736</v>
      </c>
      <c r="T712" s="445">
        <f t="shared" si="69"/>
        <v>0</v>
      </c>
      <c r="U712" s="445">
        <f t="shared" si="70"/>
        <v>253317</v>
      </c>
      <c r="W712" s="450"/>
      <c r="X712" s="450"/>
      <c r="Y712" s="441"/>
      <c r="Z712" s="441"/>
      <c r="AA712" s="441"/>
      <c r="AB712" s="441"/>
      <c r="AC712" s="441"/>
      <c r="AD712" s="441"/>
      <c r="AE712" s="441"/>
      <c r="AF712" s="441"/>
      <c r="AG712" s="441"/>
      <c r="AH712" s="441"/>
      <c r="AI712" s="441"/>
      <c r="AJ712" s="441"/>
      <c r="AK712" s="441"/>
      <c r="AL712" s="441"/>
      <c r="AM712" s="441"/>
      <c r="AN712" s="441"/>
      <c r="AO712" s="441"/>
      <c r="AP712" s="448"/>
      <c r="AQ712" s="448"/>
      <c r="AR712" s="448"/>
      <c r="AS712" s="448"/>
      <c r="AT712" s="448"/>
      <c r="AU712" s="448"/>
      <c r="AV712" s="448"/>
      <c r="AW712" s="448"/>
      <c r="AX712" s="448"/>
      <c r="AY712" s="448"/>
      <c r="AZ712" s="448"/>
      <c r="BA712" s="448"/>
      <c r="BB712" s="448"/>
      <c r="BC712" s="448"/>
      <c r="BD712" s="448"/>
      <c r="BE712" s="448"/>
      <c r="BF712" s="448"/>
    </row>
    <row r="713" spans="1:58" ht="12.75" hidden="1" thickBot="1">
      <c r="A713" s="1" t="s">
        <v>1277</v>
      </c>
      <c r="B713" s="2" t="s">
        <v>371</v>
      </c>
      <c r="C713" s="2" t="s">
        <v>1201</v>
      </c>
      <c r="D713" s="8" t="s">
        <v>414</v>
      </c>
      <c r="E713" s="3">
        <f t="shared" si="71"/>
        <v>0</v>
      </c>
      <c r="F713" s="452">
        <f t="shared" si="71"/>
        <v>0</v>
      </c>
      <c r="G713" s="452">
        <f t="shared" si="71"/>
        <v>0</v>
      </c>
      <c r="H713" s="452">
        <f t="shared" si="71"/>
        <v>0</v>
      </c>
      <c r="I713" s="452">
        <f t="shared" si="71"/>
        <v>0</v>
      </c>
      <c r="J713" s="452">
        <f t="shared" si="71"/>
        <v>0</v>
      </c>
      <c r="K713" s="452">
        <f t="shared" si="71"/>
        <v>0</v>
      </c>
      <c r="L713" s="452">
        <f t="shared" si="71"/>
        <v>0</v>
      </c>
      <c r="M713" s="452">
        <f t="shared" si="71"/>
        <v>0</v>
      </c>
      <c r="N713" s="452">
        <f t="shared" si="71"/>
        <v>0</v>
      </c>
      <c r="O713" s="452">
        <f t="shared" si="71"/>
        <v>0</v>
      </c>
      <c r="P713" s="452">
        <f t="shared" si="71"/>
        <v>0</v>
      </c>
      <c r="Q713" s="452"/>
      <c r="R713" s="452">
        <f t="shared" si="71"/>
        <v>0</v>
      </c>
      <c r="S713" s="445">
        <f t="shared" si="68"/>
        <v>0</v>
      </c>
      <c r="T713" s="445">
        <f t="shared" si="69"/>
        <v>0</v>
      </c>
      <c r="U713" s="445">
        <f t="shared" si="70"/>
        <v>0</v>
      </c>
      <c r="W713" s="450"/>
      <c r="X713" s="450"/>
      <c r="Y713" s="441"/>
      <c r="Z713" s="441"/>
      <c r="AA713" s="441"/>
      <c r="AB713" s="441"/>
      <c r="AC713" s="441"/>
      <c r="AD713" s="441"/>
      <c r="AE713" s="441"/>
      <c r="AF713" s="441"/>
      <c r="AG713" s="441"/>
      <c r="AH713" s="441"/>
      <c r="AI713" s="441"/>
      <c r="AJ713" s="441"/>
      <c r="AK713" s="441"/>
      <c r="AL713" s="441"/>
      <c r="AM713" s="441"/>
      <c r="AN713" s="441"/>
      <c r="AO713" s="441"/>
      <c r="AP713" s="448"/>
      <c r="AQ713" s="448"/>
      <c r="AR713" s="448"/>
      <c r="AS713" s="448"/>
      <c r="AT713" s="448"/>
      <c r="AU713" s="448"/>
      <c r="AV713" s="448"/>
      <c r="AW713" s="448"/>
      <c r="AX713" s="448"/>
      <c r="AY713" s="448"/>
      <c r="AZ713" s="448"/>
      <c r="BA713" s="448"/>
      <c r="BB713" s="448"/>
      <c r="BC713" s="448"/>
      <c r="BD713" s="448"/>
      <c r="BE713" s="448"/>
      <c r="BF713" s="448"/>
    </row>
    <row r="714" spans="1:58" ht="12.75" hidden="1" thickBot="1">
      <c r="A714" s="1" t="s">
        <v>1277</v>
      </c>
      <c r="B714" s="2" t="s">
        <v>372</v>
      </c>
      <c r="C714" s="2" t="s">
        <v>1202</v>
      </c>
      <c r="D714" s="8" t="s">
        <v>416</v>
      </c>
      <c r="E714" s="3">
        <f t="shared" si="71"/>
        <v>0</v>
      </c>
      <c r="F714" s="452">
        <f t="shared" si="71"/>
        <v>0</v>
      </c>
      <c r="G714" s="452">
        <f t="shared" si="71"/>
        <v>0</v>
      </c>
      <c r="H714" s="452">
        <f t="shared" si="71"/>
        <v>0</v>
      </c>
      <c r="I714" s="452">
        <f t="shared" si="71"/>
        <v>0</v>
      </c>
      <c r="J714" s="452">
        <f t="shared" si="71"/>
        <v>0</v>
      </c>
      <c r="K714" s="452">
        <f t="shared" si="71"/>
        <v>0</v>
      </c>
      <c r="L714" s="452">
        <f t="shared" si="71"/>
        <v>0</v>
      </c>
      <c r="M714" s="452">
        <f t="shared" si="71"/>
        <v>0</v>
      </c>
      <c r="N714" s="452">
        <f t="shared" si="71"/>
        <v>0</v>
      </c>
      <c r="O714" s="452">
        <f t="shared" si="71"/>
        <v>0</v>
      </c>
      <c r="P714" s="452">
        <f t="shared" si="71"/>
        <v>0</v>
      </c>
      <c r="Q714" s="452"/>
      <c r="R714" s="452">
        <f t="shared" si="71"/>
        <v>0</v>
      </c>
      <c r="S714" s="445">
        <f t="shared" si="68"/>
        <v>0</v>
      </c>
      <c r="T714" s="445">
        <f t="shared" si="69"/>
        <v>0</v>
      </c>
      <c r="U714" s="445">
        <f t="shared" si="70"/>
        <v>0</v>
      </c>
      <c r="W714" s="450"/>
      <c r="X714" s="450"/>
      <c r="Y714" s="441"/>
      <c r="Z714" s="441"/>
      <c r="AA714" s="441"/>
      <c r="AB714" s="441"/>
      <c r="AC714" s="441"/>
      <c r="AD714" s="441"/>
      <c r="AE714" s="441"/>
      <c r="AF714" s="441"/>
      <c r="AG714" s="441"/>
      <c r="AH714" s="441"/>
      <c r="AI714" s="441"/>
      <c r="AJ714" s="441"/>
      <c r="AK714" s="441"/>
      <c r="AL714" s="441"/>
      <c r="AM714" s="441"/>
      <c r="AN714" s="441"/>
      <c r="AO714" s="441"/>
      <c r="AP714" s="448"/>
      <c r="AQ714" s="448"/>
      <c r="AR714" s="448"/>
      <c r="AS714" s="448"/>
      <c r="AT714" s="448"/>
      <c r="AU714" s="448"/>
      <c r="AV714" s="448"/>
      <c r="AW714" s="448"/>
      <c r="AX714" s="448"/>
      <c r="AY714" s="448"/>
      <c r="AZ714" s="448"/>
      <c r="BA714" s="448"/>
      <c r="BB714" s="448"/>
      <c r="BC714" s="448"/>
      <c r="BD714" s="448"/>
      <c r="BE714" s="448"/>
      <c r="BF714" s="448"/>
    </row>
    <row r="715" spans="1:58" ht="12.75" hidden="1" thickBot="1">
      <c r="A715" s="1" t="s">
        <v>1277</v>
      </c>
      <c r="B715" s="2" t="s">
        <v>374</v>
      </c>
      <c r="C715" s="2" t="s">
        <v>415</v>
      </c>
      <c r="D715" s="8" t="s">
        <v>414</v>
      </c>
      <c r="E715" s="3">
        <f t="shared" si="71"/>
        <v>0</v>
      </c>
      <c r="F715" s="452">
        <f t="shared" si="71"/>
        <v>0</v>
      </c>
      <c r="G715" s="452">
        <f t="shared" si="71"/>
        <v>0</v>
      </c>
      <c r="H715" s="452">
        <f t="shared" si="71"/>
        <v>0</v>
      </c>
      <c r="I715" s="452">
        <f t="shared" si="71"/>
        <v>0</v>
      </c>
      <c r="J715" s="452">
        <f t="shared" si="71"/>
        <v>0</v>
      </c>
      <c r="K715" s="452">
        <f t="shared" si="71"/>
        <v>0</v>
      </c>
      <c r="L715" s="452">
        <f t="shared" si="71"/>
        <v>0</v>
      </c>
      <c r="M715" s="452">
        <f t="shared" si="71"/>
        <v>0</v>
      </c>
      <c r="N715" s="452">
        <f t="shared" si="71"/>
        <v>0</v>
      </c>
      <c r="O715" s="452">
        <f t="shared" si="71"/>
        <v>0</v>
      </c>
      <c r="P715" s="452">
        <f t="shared" si="71"/>
        <v>0</v>
      </c>
      <c r="Q715" s="452"/>
      <c r="R715" s="452">
        <f t="shared" si="71"/>
        <v>0</v>
      </c>
      <c r="S715" s="445">
        <f t="shared" si="68"/>
        <v>0</v>
      </c>
      <c r="T715" s="445">
        <f t="shared" si="69"/>
        <v>0</v>
      </c>
      <c r="U715" s="445">
        <f t="shared" si="70"/>
        <v>0</v>
      </c>
      <c r="W715" s="450"/>
      <c r="X715" s="450"/>
      <c r="Y715" s="441"/>
      <c r="Z715" s="441"/>
      <c r="AA715" s="441"/>
      <c r="AB715" s="441"/>
      <c r="AC715" s="441"/>
      <c r="AD715" s="441"/>
      <c r="AE715" s="441"/>
      <c r="AF715" s="441"/>
      <c r="AG715" s="441"/>
      <c r="AH715" s="441"/>
      <c r="AI715" s="441"/>
      <c r="AJ715" s="441"/>
      <c r="AK715" s="441"/>
      <c r="AL715" s="441"/>
      <c r="AM715" s="441"/>
      <c r="AN715" s="441"/>
      <c r="AO715" s="441"/>
      <c r="AP715" s="448"/>
      <c r="AQ715" s="448"/>
      <c r="AR715" s="448"/>
      <c r="AS715" s="448"/>
      <c r="AT715" s="448"/>
      <c r="AU715" s="448"/>
      <c r="AV715" s="448"/>
      <c r="AW715" s="448"/>
      <c r="AX715" s="448"/>
      <c r="AY715" s="448"/>
      <c r="AZ715" s="448"/>
      <c r="BA715" s="448"/>
      <c r="BB715" s="448"/>
      <c r="BC715" s="448"/>
      <c r="BD715" s="448"/>
      <c r="BE715" s="448"/>
      <c r="BF715" s="448"/>
    </row>
    <row r="716" spans="1:58" ht="12.75" hidden="1" thickBot="1">
      <c r="A716" s="1" t="s">
        <v>1277</v>
      </c>
      <c r="B716" s="2" t="s">
        <v>375</v>
      </c>
      <c r="C716" s="2" t="s">
        <v>406</v>
      </c>
      <c r="D716" s="8" t="s">
        <v>20</v>
      </c>
      <c r="E716" s="3">
        <f t="shared" si="71"/>
        <v>168924378</v>
      </c>
      <c r="F716" s="452">
        <f t="shared" si="71"/>
        <v>232110</v>
      </c>
      <c r="G716" s="452">
        <f t="shared" si="71"/>
        <v>2255140</v>
      </c>
      <c r="H716" s="452">
        <f t="shared" si="71"/>
        <v>4603189</v>
      </c>
      <c r="I716" s="452">
        <f t="shared" si="71"/>
        <v>0</v>
      </c>
      <c r="J716" s="452">
        <f t="shared" si="71"/>
        <v>195172</v>
      </c>
      <c r="K716" s="452">
        <f t="shared" si="71"/>
        <v>6473220</v>
      </c>
      <c r="L716" s="452">
        <f t="shared" si="71"/>
        <v>278198</v>
      </c>
      <c r="M716" s="452">
        <f t="shared" si="71"/>
        <v>330880</v>
      </c>
      <c r="N716" s="452">
        <f t="shared" si="71"/>
        <v>0</v>
      </c>
      <c r="O716" s="452">
        <f t="shared" si="71"/>
        <v>1066824</v>
      </c>
      <c r="P716" s="452">
        <f t="shared" si="71"/>
        <v>0</v>
      </c>
      <c r="Q716" s="452"/>
      <c r="R716" s="452">
        <f t="shared" si="71"/>
        <v>15434735</v>
      </c>
      <c r="S716" s="445">
        <f t="shared" si="68"/>
        <v>6858329</v>
      </c>
      <c r="T716" s="445">
        <f t="shared" si="69"/>
        <v>6668392</v>
      </c>
      <c r="U716" s="445">
        <f t="shared" si="70"/>
        <v>1066824</v>
      </c>
      <c r="W716" s="450"/>
      <c r="X716" s="450"/>
      <c r="Y716" s="441"/>
      <c r="Z716" s="441"/>
      <c r="AA716" s="441"/>
      <c r="AB716" s="441"/>
      <c r="AC716" s="441"/>
      <c r="AD716" s="441"/>
      <c r="AE716" s="441"/>
      <c r="AF716" s="441"/>
      <c r="AG716" s="441"/>
      <c r="AH716" s="441"/>
      <c r="AI716" s="441"/>
      <c r="AJ716" s="441"/>
      <c r="AK716" s="441"/>
      <c r="AL716" s="441"/>
      <c r="AM716" s="441"/>
      <c r="AN716" s="441"/>
      <c r="AO716" s="441"/>
      <c r="AP716" s="448"/>
      <c r="AQ716" s="448"/>
      <c r="AR716" s="448"/>
      <c r="AS716" s="448"/>
      <c r="AT716" s="448"/>
      <c r="AU716" s="448"/>
      <c r="AV716" s="448"/>
      <c r="AW716" s="448"/>
      <c r="AX716" s="448"/>
      <c r="AY716" s="448"/>
      <c r="AZ716" s="448"/>
      <c r="BA716" s="448"/>
      <c r="BB716" s="448"/>
      <c r="BC716" s="448"/>
      <c r="BD716" s="448"/>
      <c r="BE716" s="448"/>
      <c r="BF716" s="448"/>
    </row>
    <row r="717" spans="1:58" ht="12.75" hidden="1" thickBot="1">
      <c r="A717" s="1" t="s">
        <v>1277</v>
      </c>
      <c r="B717" s="2" t="s">
        <v>376</v>
      </c>
      <c r="C717" s="2" t="s">
        <v>404</v>
      </c>
      <c r="D717" s="8" t="s">
        <v>21</v>
      </c>
      <c r="E717" s="3">
        <f t="shared" si="71"/>
        <v>14939406</v>
      </c>
      <c r="F717" s="452">
        <f t="shared" si="71"/>
        <v>8840</v>
      </c>
      <c r="G717" s="452">
        <f t="shared" si="71"/>
        <v>179422</v>
      </c>
      <c r="H717" s="452">
        <f t="shared" si="71"/>
        <v>407099</v>
      </c>
      <c r="I717" s="452">
        <f t="shared" si="71"/>
        <v>0</v>
      </c>
      <c r="J717" s="452">
        <f t="shared" si="71"/>
        <v>16806</v>
      </c>
      <c r="K717" s="452">
        <f t="shared" si="71"/>
        <v>471616</v>
      </c>
      <c r="L717" s="452">
        <f t="shared" si="71"/>
        <v>24603</v>
      </c>
      <c r="M717" s="452">
        <f t="shared" si="71"/>
        <v>29263</v>
      </c>
      <c r="N717" s="452">
        <f t="shared" si="71"/>
        <v>0</v>
      </c>
      <c r="O717" s="452">
        <f t="shared" si="71"/>
        <v>94348</v>
      </c>
      <c r="P717" s="452">
        <f t="shared" si="71"/>
        <v>0</v>
      </c>
      <c r="Q717" s="452"/>
      <c r="R717" s="452">
        <f t="shared" si="71"/>
        <v>1231997</v>
      </c>
      <c r="S717" s="445">
        <f t="shared" si="68"/>
        <v>586521</v>
      </c>
      <c r="T717" s="445">
        <f t="shared" si="69"/>
        <v>488422</v>
      </c>
      <c r="U717" s="445">
        <f t="shared" si="70"/>
        <v>94348</v>
      </c>
      <c r="W717" s="450"/>
      <c r="X717" s="450"/>
      <c r="Y717" s="441"/>
      <c r="Z717" s="441"/>
      <c r="AA717" s="441"/>
      <c r="AB717" s="441"/>
      <c r="AC717" s="441"/>
      <c r="AD717" s="441"/>
      <c r="AE717" s="441"/>
      <c r="AF717" s="441"/>
      <c r="AG717" s="441"/>
      <c r="AH717" s="441"/>
      <c r="AI717" s="441"/>
      <c r="AJ717" s="441"/>
      <c r="AK717" s="441"/>
      <c r="AL717" s="441"/>
      <c r="AM717" s="441"/>
      <c r="AN717" s="441"/>
      <c r="AO717" s="441"/>
      <c r="AP717" s="448"/>
      <c r="AQ717" s="448"/>
      <c r="AR717" s="448"/>
      <c r="AS717" s="448"/>
      <c r="AT717" s="448"/>
      <c r="AU717" s="448"/>
      <c r="AV717" s="448"/>
      <c r="AW717" s="448"/>
      <c r="AX717" s="448"/>
      <c r="AY717" s="448"/>
      <c r="AZ717" s="448"/>
      <c r="BA717" s="448"/>
      <c r="BB717" s="448"/>
      <c r="BC717" s="448"/>
      <c r="BD717" s="448"/>
      <c r="BE717" s="448"/>
      <c r="BF717" s="448"/>
    </row>
    <row r="718" spans="1:58" ht="12.75" hidden="1" thickBot="1">
      <c r="A718" s="1" t="s">
        <v>1277</v>
      </c>
      <c r="B718" s="2" t="s">
        <v>377</v>
      </c>
      <c r="C718" s="2" t="s">
        <v>407</v>
      </c>
      <c r="D718" s="8" t="s">
        <v>20</v>
      </c>
      <c r="E718" s="3">
        <f t="shared" si="71"/>
        <v>0</v>
      </c>
      <c r="F718" s="452">
        <f t="shared" si="71"/>
        <v>0</v>
      </c>
      <c r="G718" s="452">
        <f t="shared" si="71"/>
        <v>0</v>
      </c>
      <c r="H718" s="452">
        <f t="shared" si="71"/>
        <v>0</v>
      </c>
      <c r="I718" s="452">
        <f t="shared" si="71"/>
        <v>0</v>
      </c>
      <c r="J718" s="452">
        <f t="shared" si="71"/>
        <v>0</v>
      </c>
      <c r="K718" s="452">
        <f t="shared" si="71"/>
        <v>0</v>
      </c>
      <c r="L718" s="452">
        <f t="shared" si="71"/>
        <v>0</v>
      </c>
      <c r="M718" s="452">
        <f t="shared" si="71"/>
        <v>0</v>
      </c>
      <c r="N718" s="452">
        <f t="shared" si="71"/>
        <v>0</v>
      </c>
      <c r="O718" s="452">
        <f t="shared" si="71"/>
        <v>0</v>
      </c>
      <c r="P718" s="452">
        <f t="shared" si="71"/>
        <v>0</v>
      </c>
      <c r="Q718" s="452"/>
      <c r="R718" s="452">
        <f t="shared" si="71"/>
        <v>0</v>
      </c>
      <c r="S718" s="445">
        <f t="shared" si="68"/>
        <v>0</v>
      </c>
      <c r="T718" s="445">
        <f t="shared" si="69"/>
        <v>0</v>
      </c>
      <c r="U718" s="445">
        <f t="shared" si="70"/>
        <v>0</v>
      </c>
      <c r="W718" s="450"/>
      <c r="X718" s="450"/>
      <c r="Y718" s="441"/>
      <c r="Z718" s="441"/>
      <c r="AA718" s="441"/>
      <c r="AB718" s="441"/>
      <c r="AC718" s="441"/>
      <c r="AD718" s="441"/>
      <c r="AE718" s="441"/>
      <c r="AF718" s="441"/>
      <c r="AG718" s="441"/>
      <c r="AH718" s="441"/>
      <c r="AI718" s="441"/>
      <c r="AJ718" s="441"/>
      <c r="AK718" s="441"/>
      <c r="AL718" s="441"/>
      <c r="AM718" s="441"/>
      <c r="AN718" s="441"/>
      <c r="AO718" s="441"/>
      <c r="AP718" s="448"/>
      <c r="AQ718" s="448"/>
      <c r="AR718" s="448"/>
      <c r="AS718" s="448"/>
      <c r="AT718" s="448"/>
      <c r="AU718" s="448"/>
      <c r="AV718" s="448"/>
      <c r="AW718" s="448"/>
      <c r="AX718" s="448"/>
      <c r="AY718" s="448"/>
      <c r="AZ718" s="448"/>
      <c r="BA718" s="448"/>
      <c r="BB718" s="448"/>
      <c r="BC718" s="448"/>
      <c r="BD718" s="448"/>
      <c r="BE718" s="448"/>
      <c r="BF718" s="448"/>
    </row>
    <row r="719" spans="1:58" ht="12.75" hidden="1" thickBot="1">
      <c r="A719" s="1" t="s">
        <v>1277</v>
      </c>
      <c r="B719" s="2" t="s">
        <v>378</v>
      </c>
      <c r="C719" s="2" t="s">
        <v>1033</v>
      </c>
      <c r="D719" s="8" t="s">
        <v>1006</v>
      </c>
      <c r="E719" s="3">
        <f t="shared" si="71"/>
        <v>76574431</v>
      </c>
      <c r="F719" s="452">
        <f t="shared" si="71"/>
        <v>43200</v>
      </c>
      <c r="G719" s="452">
        <f t="shared" si="71"/>
        <v>968667</v>
      </c>
      <c r="H719" s="452">
        <f t="shared" si="71"/>
        <v>2086653</v>
      </c>
      <c r="I719" s="452">
        <f t="shared" si="71"/>
        <v>0</v>
      </c>
      <c r="J719" s="452">
        <f t="shared" si="71"/>
        <v>73502</v>
      </c>
      <c r="K719" s="452">
        <f t="shared" si="71"/>
        <v>2158816</v>
      </c>
      <c r="L719" s="452">
        <f t="shared" si="71"/>
        <v>126109</v>
      </c>
      <c r="M719" s="452">
        <f t="shared" si="71"/>
        <v>149990</v>
      </c>
      <c r="N719" s="452">
        <f t="shared" si="71"/>
        <v>0</v>
      </c>
      <c r="O719" s="452">
        <f t="shared" si="71"/>
        <v>483598</v>
      </c>
      <c r="P719" s="452">
        <f t="shared" si="71"/>
        <v>0</v>
      </c>
      <c r="Q719" s="452"/>
      <c r="R719" s="452">
        <f t="shared" si="71"/>
        <v>6090535</v>
      </c>
      <c r="S719" s="445">
        <f t="shared" si="68"/>
        <v>3055320</v>
      </c>
      <c r="T719" s="445">
        <f t="shared" si="69"/>
        <v>2232318</v>
      </c>
      <c r="U719" s="445">
        <f t="shared" si="70"/>
        <v>483598</v>
      </c>
      <c r="W719" s="450"/>
      <c r="X719" s="450"/>
      <c r="Y719" s="441"/>
      <c r="Z719" s="441"/>
      <c r="AA719" s="441"/>
      <c r="AB719" s="441"/>
      <c r="AC719" s="441"/>
      <c r="AD719" s="441"/>
      <c r="AE719" s="441"/>
      <c r="AF719" s="441"/>
      <c r="AG719" s="441"/>
      <c r="AH719" s="441"/>
      <c r="AI719" s="441"/>
      <c r="AJ719" s="441"/>
      <c r="AK719" s="441"/>
      <c r="AL719" s="441"/>
      <c r="AM719" s="441"/>
      <c r="AN719" s="441"/>
      <c r="AO719" s="441"/>
      <c r="AP719" s="448"/>
      <c r="AQ719" s="448"/>
      <c r="AR719" s="448"/>
      <c r="AS719" s="448"/>
      <c r="AT719" s="448"/>
      <c r="AU719" s="448"/>
      <c r="AV719" s="448"/>
      <c r="AW719" s="448"/>
      <c r="AX719" s="448"/>
      <c r="AY719" s="448"/>
      <c r="AZ719" s="448"/>
      <c r="BA719" s="448"/>
      <c r="BB719" s="448"/>
      <c r="BC719" s="448"/>
      <c r="BD719" s="448"/>
      <c r="BE719" s="448"/>
      <c r="BF719" s="448"/>
    </row>
    <row r="720" spans="1:58" ht="12.75" hidden="1" thickBot="1">
      <c r="A720" s="1" t="s">
        <v>1277</v>
      </c>
      <c r="B720" s="2" t="s">
        <v>379</v>
      </c>
      <c r="C720" s="2" t="s">
        <v>408</v>
      </c>
      <c r="D720" s="8" t="s">
        <v>409</v>
      </c>
      <c r="E720" s="3">
        <f t="shared" si="71"/>
        <v>36804280</v>
      </c>
      <c r="F720" s="452">
        <f t="shared" si="71"/>
        <v>11400</v>
      </c>
      <c r="G720" s="452">
        <f t="shared" si="71"/>
        <v>399326</v>
      </c>
      <c r="H720" s="452">
        <f t="shared" si="71"/>
        <v>1002917</v>
      </c>
      <c r="I720" s="452">
        <f t="shared" si="71"/>
        <v>0</v>
      </c>
      <c r="J720" s="452">
        <f t="shared" si="71"/>
        <v>33575</v>
      </c>
      <c r="K720" s="452">
        <f t="shared" si="71"/>
        <v>1074672</v>
      </c>
      <c r="L720" s="452">
        <f t="shared" si="71"/>
        <v>60612</v>
      </c>
      <c r="M720" s="452">
        <f t="shared" si="71"/>
        <v>72090</v>
      </c>
      <c r="N720" s="452">
        <f t="shared" si="71"/>
        <v>0</v>
      </c>
      <c r="O720" s="452">
        <f t="shared" si="71"/>
        <v>232434</v>
      </c>
      <c r="P720" s="452">
        <f t="shared" si="71"/>
        <v>0</v>
      </c>
      <c r="Q720" s="452"/>
      <c r="R720" s="452">
        <f t="shared" si="71"/>
        <v>2887026</v>
      </c>
      <c r="S720" s="445">
        <f t="shared" si="68"/>
        <v>1402243</v>
      </c>
      <c r="T720" s="445">
        <f t="shared" si="69"/>
        <v>1108247</v>
      </c>
      <c r="U720" s="445">
        <f t="shared" si="70"/>
        <v>232434</v>
      </c>
      <c r="W720" s="450"/>
      <c r="X720" s="450"/>
      <c r="Y720" s="441"/>
      <c r="Z720" s="441"/>
      <c r="AA720" s="441"/>
      <c r="AB720" s="441"/>
      <c r="AC720" s="441"/>
      <c r="AD720" s="441"/>
      <c r="AE720" s="441"/>
      <c r="AF720" s="441"/>
      <c r="AG720" s="441"/>
      <c r="AH720" s="441"/>
      <c r="AI720" s="441"/>
      <c r="AJ720" s="441"/>
      <c r="AK720" s="441"/>
      <c r="AL720" s="441"/>
      <c r="AM720" s="441"/>
      <c r="AN720" s="441"/>
      <c r="AO720" s="441"/>
      <c r="AP720" s="448"/>
      <c r="AQ720" s="448"/>
      <c r="AR720" s="448"/>
      <c r="AS720" s="448"/>
      <c r="AT720" s="448"/>
      <c r="AU720" s="448"/>
      <c r="AV720" s="448"/>
      <c r="AW720" s="448"/>
      <c r="AX720" s="448"/>
      <c r="AY720" s="448"/>
      <c r="AZ720" s="448"/>
      <c r="BA720" s="448"/>
      <c r="BB720" s="448"/>
      <c r="BC720" s="448"/>
      <c r="BD720" s="448"/>
      <c r="BE720" s="448"/>
      <c r="BF720" s="448"/>
    </row>
    <row r="721" spans="1:58" ht="12.75" hidden="1" thickBot="1">
      <c r="A721" s="1" t="s">
        <v>1277</v>
      </c>
      <c r="B721" s="2" t="s">
        <v>381</v>
      </c>
      <c r="C721" s="2" t="s">
        <v>59</v>
      </c>
      <c r="D721" s="8" t="s">
        <v>14</v>
      </c>
      <c r="E721" s="3">
        <f t="shared" si="71"/>
        <v>102495326</v>
      </c>
      <c r="F721" s="452">
        <f t="shared" si="71"/>
        <v>572190</v>
      </c>
      <c r="G721" s="452">
        <f t="shared" si="71"/>
        <v>6397758</v>
      </c>
      <c r="H721" s="452">
        <f t="shared" si="71"/>
        <v>2792998</v>
      </c>
      <c r="I721" s="452">
        <f t="shared" si="71"/>
        <v>171167</v>
      </c>
      <c r="J721" s="452">
        <f t="shared" si="71"/>
        <v>0</v>
      </c>
      <c r="K721" s="452">
        <f t="shared" si="71"/>
        <v>0</v>
      </c>
      <c r="L721" s="452">
        <f t="shared" si="71"/>
        <v>168798</v>
      </c>
      <c r="M721" s="452">
        <f t="shared" si="71"/>
        <v>200762</v>
      </c>
      <c r="N721" s="452">
        <f t="shared" si="71"/>
        <v>0</v>
      </c>
      <c r="O721" s="452">
        <f t="shared" si="71"/>
        <v>647299</v>
      </c>
      <c r="P721" s="452">
        <f t="shared" si="71"/>
        <v>0</v>
      </c>
      <c r="Q721" s="452"/>
      <c r="R721" s="452">
        <f t="shared" si="71"/>
        <v>10950971</v>
      </c>
      <c r="S721" s="445">
        <f t="shared" si="68"/>
        <v>9361923</v>
      </c>
      <c r="T721" s="445">
        <f t="shared" si="69"/>
        <v>0</v>
      </c>
      <c r="U721" s="445">
        <f t="shared" si="70"/>
        <v>647299</v>
      </c>
      <c r="W721" s="450"/>
      <c r="X721" s="450"/>
      <c r="Y721" s="441"/>
      <c r="Z721" s="441"/>
      <c r="AA721" s="441"/>
      <c r="AB721" s="441"/>
      <c r="AC721" s="441"/>
      <c r="AD721" s="441"/>
      <c r="AE721" s="441"/>
      <c r="AF721" s="441"/>
      <c r="AG721" s="441"/>
      <c r="AH721" s="441"/>
      <c r="AI721" s="441"/>
      <c r="AJ721" s="441"/>
      <c r="AK721" s="441"/>
      <c r="AL721" s="441"/>
      <c r="AM721" s="441"/>
      <c r="AN721" s="441"/>
      <c r="AO721" s="441"/>
      <c r="AP721" s="448"/>
      <c r="AQ721" s="448"/>
      <c r="AR721" s="448"/>
      <c r="AS721" s="448"/>
      <c r="AT721" s="448"/>
      <c r="AU721" s="448"/>
      <c r="AV721" s="448"/>
      <c r="AW721" s="448"/>
      <c r="AX721" s="448"/>
      <c r="AY721" s="448"/>
      <c r="AZ721" s="448"/>
      <c r="BA721" s="448"/>
      <c r="BB721" s="448"/>
      <c r="BC721" s="448"/>
      <c r="BD721" s="448"/>
      <c r="BE721" s="448"/>
      <c r="BF721" s="448"/>
    </row>
    <row r="722" spans="1:58" ht="12.75" hidden="1" thickBot="1">
      <c r="A722" s="1" t="s">
        <v>1277</v>
      </c>
      <c r="B722" s="2" t="s">
        <v>382</v>
      </c>
      <c r="C722" s="2" t="s">
        <v>1244</v>
      </c>
      <c r="D722" s="8" t="s">
        <v>14</v>
      </c>
      <c r="E722" s="3">
        <f t="shared" si="71"/>
        <v>0</v>
      </c>
      <c r="F722" s="452">
        <f t="shared" si="71"/>
        <v>0</v>
      </c>
      <c r="G722" s="452">
        <f t="shared" si="71"/>
        <v>0</v>
      </c>
      <c r="H722" s="452">
        <f t="shared" si="71"/>
        <v>0</v>
      </c>
      <c r="I722" s="452">
        <f t="shared" si="71"/>
        <v>0</v>
      </c>
      <c r="J722" s="452">
        <f t="shared" si="71"/>
        <v>0</v>
      </c>
      <c r="K722" s="452">
        <f t="shared" si="71"/>
        <v>0</v>
      </c>
      <c r="L722" s="452">
        <f t="shared" si="71"/>
        <v>0</v>
      </c>
      <c r="M722" s="452">
        <f t="shared" si="71"/>
        <v>0</v>
      </c>
      <c r="N722" s="452">
        <f t="shared" si="71"/>
        <v>0</v>
      </c>
      <c r="O722" s="452">
        <f t="shared" si="71"/>
        <v>0</v>
      </c>
      <c r="P722" s="452">
        <f t="shared" si="71"/>
        <v>0</v>
      </c>
      <c r="Q722" s="452"/>
      <c r="R722" s="452">
        <f t="shared" si="71"/>
        <v>0</v>
      </c>
      <c r="S722" s="445">
        <f t="shared" si="68"/>
        <v>0</v>
      </c>
      <c r="T722" s="445">
        <f t="shared" si="69"/>
        <v>0</v>
      </c>
      <c r="U722" s="445">
        <f t="shared" si="70"/>
        <v>0</v>
      </c>
      <c r="W722" s="450"/>
      <c r="X722" s="450"/>
      <c r="Y722" s="441"/>
      <c r="Z722" s="441"/>
      <c r="AA722" s="441"/>
      <c r="AB722" s="441"/>
      <c r="AC722" s="441"/>
      <c r="AD722" s="441"/>
      <c r="AE722" s="441"/>
      <c r="AF722" s="441"/>
      <c r="AG722" s="441"/>
      <c r="AH722" s="441"/>
      <c r="AI722" s="441"/>
      <c r="AJ722" s="441"/>
      <c r="AK722" s="441"/>
      <c r="AL722" s="441"/>
      <c r="AM722" s="441"/>
      <c r="AN722" s="441"/>
      <c r="AO722" s="441"/>
      <c r="AP722" s="448"/>
      <c r="AQ722" s="448"/>
      <c r="AR722" s="448"/>
      <c r="AS722" s="448"/>
      <c r="AT722" s="448"/>
      <c r="AU722" s="448"/>
      <c r="AV722" s="448"/>
      <c r="AW722" s="448"/>
      <c r="AX722" s="448"/>
      <c r="AY722" s="448"/>
      <c r="AZ722" s="448"/>
      <c r="BA722" s="448"/>
      <c r="BB722" s="448"/>
      <c r="BC722" s="448"/>
      <c r="BD722" s="448"/>
      <c r="BE722" s="448"/>
      <c r="BF722" s="448"/>
    </row>
    <row r="723" spans="1:58" ht="12.75" hidden="1" thickBot="1">
      <c r="A723" s="1" t="s">
        <v>1277</v>
      </c>
      <c r="B723" s="2" t="s">
        <v>384</v>
      </c>
      <c r="C723" s="2" t="s">
        <v>413</v>
      </c>
      <c r="D723" s="8" t="s">
        <v>14</v>
      </c>
      <c r="E723" s="3">
        <f t="shared" si="71"/>
        <v>0</v>
      </c>
      <c r="F723" s="452">
        <f t="shared" si="71"/>
        <v>0</v>
      </c>
      <c r="G723" s="452">
        <f t="shared" si="71"/>
        <v>0</v>
      </c>
      <c r="H723" s="452">
        <f t="shared" si="71"/>
        <v>0</v>
      </c>
      <c r="I723" s="452">
        <f t="shared" si="71"/>
        <v>0</v>
      </c>
      <c r="J723" s="452">
        <f t="shared" si="71"/>
        <v>0</v>
      </c>
      <c r="K723" s="452">
        <f t="shared" si="71"/>
        <v>0</v>
      </c>
      <c r="L723" s="452">
        <f t="shared" si="71"/>
        <v>0</v>
      </c>
      <c r="M723" s="452">
        <f t="shared" si="71"/>
        <v>0</v>
      </c>
      <c r="N723" s="452">
        <f t="shared" si="71"/>
        <v>0</v>
      </c>
      <c r="O723" s="452">
        <f t="shared" si="71"/>
        <v>0</v>
      </c>
      <c r="P723" s="452">
        <f t="shared" si="71"/>
        <v>0</v>
      </c>
      <c r="Q723" s="452"/>
      <c r="R723" s="452">
        <f t="shared" si="71"/>
        <v>0</v>
      </c>
      <c r="S723" s="445">
        <f t="shared" ref="S723:S786" si="72">G723+H723+I723</f>
        <v>0</v>
      </c>
      <c r="T723" s="445">
        <f t="shared" ref="T723:T786" si="73">J723+K723</f>
        <v>0</v>
      </c>
      <c r="U723" s="445">
        <f t="shared" ref="U723:U786" si="74">N723+O723</f>
        <v>0</v>
      </c>
      <c r="W723" s="450"/>
      <c r="X723" s="450"/>
      <c r="Y723" s="441"/>
      <c r="Z723" s="441"/>
      <c r="AA723" s="441"/>
      <c r="AB723" s="441"/>
      <c r="AC723" s="441"/>
      <c r="AD723" s="441"/>
      <c r="AE723" s="441"/>
      <c r="AF723" s="441"/>
      <c r="AG723" s="441"/>
      <c r="AH723" s="441"/>
      <c r="AI723" s="441"/>
      <c r="AJ723" s="441"/>
      <c r="AK723" s="441"/>
      <c r="AL723" s="441"/>
      <c r="AM723" s="441"/>
      <c r="AN723" s="441"/>
      <c r="AO723" s="441"/>
      <c r="AP723" s="448"/>
      <c r="AQ723" s="448"/>
      <c r="AR723" s="448"/>
      <c r="AS723" s="448"/>
      <c r="AT723" s="448"/>
      <c r="AU723" s="448"/>
      <c r="AV723" s="448"/>
      <c r="AW723" s="448"/>
      <c r="AX723" s="448"/>
      <c r="AY723" s="448"/>
      <c r="AZ723" s="448"/>
      <c r="BA723" s="448"/>
      <c r="BB723" s="448"/>
      <c r="BC723" s="448"/>
      <c r="BD723" s="448"/>
      <c r="BE723" s="448"/>
      <c r="BF723" s="448"/>
    </row>
    <row r="724" spans="1:58" ht="12.75" hidden="1" thickBot="1">
      <c r="A724" s="1" t="s">
        <v>1277</v>
      </c>
      <c r="B724" s="2" t="s">
        <v>385</v>
      </c>
      <c r="C724" s="2" t="s">
        <v>424</v>
      </c>
      <c r="D724" s="8" t="s">
        <v>425</v>
      </c>
      <c r="E724" s="3">
        <f t="shared" si="71"/>
        <v>5252400</v>
      </c>
      <c r="F724" s="452">
        <f t="shared" si="71"/>
        <v>0</v>
      </c>
      <c r="G724" s="452">
        <f t="shared" si="71"/>
        <v>51316</v>
      </c>
      <c r="H724" s="452">
        <f t="shared" si="71"/>
        <v>143128</v>
      </c>
      <c r="I724" s="452">
        <f t="shared" si="71"/>
        <v>0</v>
      </c>
      <c r="J724" s="452">
        <f t="shared" si="71"/>
        <v>3497</v>
      </c>
      <c r="K724" s="452">
        <f t="shared" si="71"/>
        <v>94314</v>
      </c>
      <c r="L724" s="452">
        <f t="shared" si="71"/>
        <v>0</v>
      </c>
      <c r="M724" s="452">
        <f t="shared" si="71"/>
        <v>10288</v>
      </c>
      <c r="N724" s="452">
        <f t="shared" si="71"/>
        <v>0</v>
      </c>
      <c r="O724" s="452">
        <f t="shared" si="71"/>
        <v>33171</v>
      </c>
      <c r="P724" s="452">
        <f t="shared" si="71"/>
        <v>0</v>
      </c>
      <c r="Q724" s="452"/>
      <c r="R724" s="452">
        <f t="shared" si="71"/>
        <v>335714</v>
      </c>
      <c r="S724" s="445">
        <f t="shared" si="72"/>
        <v>194444</v>
      </c>
      <c r="T724" s="445">
        <f t="shared" si="73"/>
        <v>97811</v>
      </c>
      <c r="U724" s="445">
        <f t="shared" si="74"/>
        <v>33171</v>
      </c>
      <c r="W724" s="450"/>
      <c r="X724" s="450"/>
      <c r="Y724" s="441"/>
      <c r="Z724" s="441"/>
      <c r="AA724" s="441"/>
      <c r="AB724" s="441"/>
      <c r="AC724" s="441"/>
      <c r="AD724" s="441"/>
      <c r="AE724" s="441"/>
      <c r="AF724" s="441"/>
      <c r="AG724" s="441"/>
      <c r="AH724" s="441"/>
      <c r="AI724" s="441"/>
      <c r="AJ724" s="441"/>
      <c r="AK724" s="441"/>
      <c r="AL724" s="441"/>
      <c r="AM724" s="441"/>
      <c r="AN724" s="441"/>
      <c r="AO724" s="441"/>
      <c r="AP724" s="448"/>
      <c r="AQ724" s="448"/>
      <c r="AR724" s="448"/>
      <c r="AS724" s="448"/>
      <c r="AT724" s="448"/>
      <c r="AU724" s="448"/>
      <c r="AV724" s="448"/>
      <c r="AW724" s="448"/>
      <c r="AX724" s="448"/>
      <c r="AY724" s="448"/>
      <c r="AZ724" s="448"/>
      <c r="BA724" s="448"/>
      <c r="BB724" s="448"/>
      <c r="BC724" s="448"/>
      <c r="BD724" s="448"/>
      <c r="BE724" s="448"/>
      <c r="BF724" s="448"/>
    </row>
    <row r="725" spans="1:58" ht="12.75" hidden="1" thickBot="1">
      <c r="A725" s="1" t="s">
        <v>1277</v>
      </c>
      <c r="B725" s="2" t="s">
        <v>1223</v>
      </c>
      <c r="C725" s="2" t="s">
        <v>1224</v>
      </c>
      <c r="D725" s="8" t="s">
        <v>63</v>
      </c>
      <c r="E725" s="3">
        <f t="shared" si="71"/>
        <v>0</v>
      </c>
      <c r="F725" s="452">
        <f t="shared" si="71"/>
        <v>0</v>
      </c>
      <c r="G725" s="452">
        <f t="shared" si="71"/>
        <v>0</v>
      </c>
      <c r="H725" s="452">
        <f t="shared" si="71"/>
        <v>0</v>
      </c>
      <c r="I725" s="452">
        <f t="shared" si="71"/>
        <v>0</v>
      </c>
      <c r="J725" s="452">
        <f t="shared" si="71"/>
        <v>0</v>
      </c>
      <c r="K725" s="452">
        <f t="shared" si="71"/>
        <v>0</v>
      </c>
      <c r="L725" s="452">
        <f t="shared" si="71"/>
        <v>0</v>
      </c>
      <c r="M725" s="452">
        <f t="shared" si="71"/>
        <v>0</v>
      </c>
      <c r="N725" s="452">
        <f t="shared" si="71"/>
        <v>0</v>
      </c>
      <c r="O725" s="452">
        <f t="shared" si="71"/>
        <v>0</v>
      </c>
      <c r="P725" s="452">
        <f t="shared" si="71"/>
        <v>-286526</v>
      </c>
      <c r="Q725" s="452"/>
      <c r="R725" s="452">
        <f t="shared" si="71"/>
        <v>-286526</v>
      </c>
      <c r="S725" s="445">
        <f t="shared" si="72"/>
        <v>0</v>
      </c>
      <c r="T725" s="445">
        <f t="shared" si="73"/>
        <v>0</v>
      </c>
      <c r="U725" s="445">
        <f t="shared" si="74"/>
        <v>0</v>
      </c>
      <c r="W725" s="450"/>
      <c r="X725" s="450"/>
      <c r="Y725" s="441"/>
      <c r="Z725" s="441"/>
      <c r="AA725" s="441"/>
      <c r="AB725" s="441"/>
      <c r="AC725" s="441"/>
      <c r="AD725" s="441"/>
      <c r="AE725" s="441"/>
      <c r="AF725" s="441"/>
      <c r="AG725" s="441"/>
      <c r="AH725" s="441"/>
      <c r="AI725" s="441"/>
      <c r="AJ725" s="441"/>
      <c r="AK725" s="441"/>
      <c r="AL725" s="441"/>
      <c r="AM725" s="441"/>
      <c r="AN725" s="441"/>
      <c r="AO725" s="441"/>
      <c r="AP725" s="448"/>
      <c r="AQ725" s="448"/>
      <c r="AR725" s="448"/>
      <c r="AS725" s="448"/>
      <c r="AT725" s="448"/>
      <c r="AU725" s="448"/>
      <c r="AV725" s="448"/>
      <c r="AW725" s="448"/>
      <c r="AX725" s="448"/>
      <c r="AY725" s="448"/>
      <c r="AZ725" s="448"/>
      <c r="BA725" s="448"/>
      <c r="BB725" s="448"/>
      <c r="BC725" s="448"/>
      <c r="BD725" s="448"/>
      <c r="BE725" s="448"/>
      <c r="BF725" s="448"/>
    </row>
    <row r="726" spans="1:58" ht="12.75" hidden="1" thickBot="1">
      <c r="A726" s="1" t="s">
        <v>1277</v>
      </c>
      <c r="B726" s="2" t="s">
        <v>386</v>
      </c>
      <c r="C726" s="2" t="s">
        <v>405</v>
      </c>
      <c r="D726" s="8" t="s">
        <v>63</v>
      </c>
      <c r="E726" s="3">
        <f t="shared" si="71"/>
        <v>0</v>
      </c>
      <c r="F726" s="452">
        <f t="shared" si="71"/>
        <v>0</v>
      </c>
      <c r="G726" s="452">
        <f t="shared" si="71"/>
        <v>0</v>
      </c>
      <c r="H726" s="452">
        <f t="shared" si="71"/>
        <v>0</v>
      </c>
      <c r="I726" s="452">
        <f t="shared" si="71"/>
        <v>0</v>
      </c>
      <c r="J726" s="452">
        <f t="shared" si="71"/>
        <v>0</v>
      </c>
      <c r="K726" s="452">
        <f t="shared" si="71"/>
        <v>0</v>
      </c>
      <c r="L726" s="452">
        <f t="shared" si="71"/>
        <v>0</v>
      </c>
      <c r="M726" s="452">
        <f t="shared" si="71"/>
        <v>0</v>
      </c>
      <c r="N726" s="452">
        <f t="shared" si="71"/>
        <v>0</v>
      </c>
      <c r="O726" s="452">
        <f t="shared" si="71"/>
        <v>0</v>
      </c>
      <c r="P726" s="452">
        <f t="shared" si="71"/>
        <v>0</v>
      </c>
      <c r="Q726" s="452"/>
      <c r="R726" s="452">
        <f t="shared" si="71"/>
        <v>0</v>
      </c>
      <c r="S726" s="445">
        <f t="shared" si="72"/>
        <v>0</v>
      </c>
      <c r="T726" s="445">
        <f t="shared" si="73"/>
        <v>0</v>
      </c>
      <c r="U726" s="445">
        <f t="shared" si="74"/>
        <v>0</v>
      </c>
      <c r="W726" s="450"/>
      <c r="X726" s="450"/>
      <c r="Y726" s="441"/>
      <c r="Z726" s="441"/>
      <c r="AA726" s="441"/>
      <c r="AB726" s="441"/>
      <c r="AC726" s="441"/>
      <c r="AD726" s="441"/>
      <c r="AE726" s="441"/>
      <c r="AF726" s="441"/>
      <c r="AG726" s="441"/>
      <c r="AH726" s="441"/>
      <c r="AI726" s="441"/>
      <c r="AJ726" s="441"/>
      <c r="AK726" s="441"/>
      <c r="AL726" s="441"/>
      <c r="AM726" s="441"/>
      <c r="AN726" s="441"/>
      <c r="AO726" s="441"/>
      <c r="AP726" s="448"/>
      <c r="AQ726" s="448"/>
      <c r="AR726" s="448"/>
      <c r="AS726" s="448"/>
      <c r="AT726" s="448"/>
      <c r="AU726" s="448"/>
      <c r="AV726" s="448"/>
      <c r="AW726" s="448"/>
      <c r="AX726" s="448"/>
      <c r="AY726" s="448"/>
      <c r="AZ726" s="448"/>
      <c r="BA726" s="448"/>
      <c r="BB726" s="448"/>
      <c r="BC726" s="448"/>
      <c r="BD726" s="448"/>
      <c r="BE726" s="448"/>
      <c r="BF726" s="448"/>
    </row>
    <row r="727" spans="1:58" ht="12.75" hidden="1" thickBot="1">
      <c r="A727" s="1" t="s">
        <v>1277</v>
      </c>
      <c r="B727" s="2" t="s">
        <v>803</v>
      </c>
      <c r="C727" s="2" t="s">
        <v>804</v>
      </c>
      <c r="D727" s="8" t="s">
        <v>1205</v>
      </c>
      <c r="E727" s="3">
        <f t="shared" si="71"/>
        <v>0</v>
      </c>
      <c r="F727" s="452">
        <f t="shared" si="71"/>
        <v>0</v>
      </c>
      <c r="G727" s="452">
        <f t="shared" si="71"/>
        <v>0</v>
      </c>
      <c r="H727" s="452">
        <f t="shared" si="71"/>
        <v>0</v>
      </c>
      <c r="I727" s="452">
        <f t="shared" si="71"/>
        <v>0</v>
      </c>
      <c r="J727" s="452">
        <f t="shared" si="71"/>
        <v>0</v>
      </c>
      <c r="K727" s="452">
        <f t="shared" si="71"/>
        <v>0</v>
      </c>
      <c r="L727" s="452">
        <f t="shared" si="71"/>
        <v>0</v>
      </c>
      <c r="M727" s="452">
        <f t="shared" ref="G727:R745" si="75">ROUND(SUMIFS(M$1410:M$1613,$A$1410:$A$1613,$A727,$B$1410:$B$1613,$B727),0)</f>
        <v>0</v>
      </c>
      <c r="N727" s="452">
        <f t="shared" si="75"/>
        <v>0</v>
      </c>
      <c r="O727" s="452">
        <f t="shared" si="75"/>
        <v>0</v>
      </c>
      <c r="P727" s="452">
        <f t="shared" si="75"/>
        <v>0</v>
      </c>
      <c r="Q727" s="452"/>
      <c r="R727" s="452">
        <f t="shared" si="75"/>
        <v>0</v>
      </c>
      <c r="S727" s="445">
        <f t="shared" si="72"/>
        <v>0</v>
      </c>
      <c r="T727" s="445">
        <f t="shared" si="73"/>
        <v>0</v>
      </c>
      <c r="U727" s="445">
        <f t="shared" si="74"/>
        <v>0</v>
      </c>
      <c r="W727" s="450"/>
      <c r="X727" s="450"/>
      <c r="Y727" s="441"/>
      <c r="Z727" s="441"/>
      <c r="AA727" s="441"/>
      <c r="AB727" s="441"/>
      <c r="AC727" s="441"/>
      <c r="AD727" s="441"/>
      <c r="AE727" s="441"/>
      <c r="AF727" s="441"/>
      <c r="AG727" s="441"/>
      <c r="AH727" s="441"/>
      <c r="AI727" s="441"/>
      <c r="AJ727" s="441"/>
      <c r="AK727" s="441"/>
      <c r="AL727" s="441"/>
      <c r="AM727" s="441"/>
      <c r="AN727" s="441"/>
      <c r="AO727" s="441"/>
      <c r="AP727" s="448"/>
      <c r="AQ727" s="448"/>
      <c r="AR727" s="448"/>
      <c r="AS727" s="448"/>
      <c r="AT727" s="448"/>
      <c r="AU727" s="448"/>
      <c r="AV727" s="448"/>
      <c r="AW727" s="448"/>
      <c r="AX727" s="448"/>
      <c r="AY727" s="448"/>
      <c r="AZ727" s="448"/>
      <c r="BA727" s="448"/>
      <c r="BB727" s="448"/>
      <c r="BC727" s="448"/>
      <c r="BD727" s="448"/>
      <c r="BE727" s="448"/>
      <c r="BF727" s="448"/>
    </row>
    <row r="728" spans="1:58" ht="12.75" hidden="1" thickBot="1">
      <c r="A728" s="1" t="s">
        <v>1277</v>
      </c>
      <c r="B728" s="2" t="s">
        <v>387</v>
      </c>
      <c r="C728" s="2" t="s">
        <v>411</v>
      </c>
      <c r="D728" s="8" t="s">
        <v>412</v>
      </c>
      <c r="E728" s="3">
        <f t="shared" ref="E728:F745" si="76">ROUND(SUMIFS(E$1410:E$1613,$A$1410:$A$1613,$A728,$B$1410:$B$1613,$B728),0)</f>
        <v>10990000</v>
      </c>
      <c r="F728" s="452">
        <f t="shared" si="76"/>
        <v>0</v>
      </c>
      <c r="G728" s="452">
        <f t="shared" si="75"/>
        <v>111549</v>
      </c>
      <c r="H728" s="452">
        <f t="shared" si="75"/>
        <v>299478</v>
      </c>
      <c r="I728" s="452">
        <f t="shared" si="75"/>
        <v>0</v>
      </c>
      <c r="J728" s="452">
        <f t="shared" si="75"/>
        <v>8032</v>
      </c>
      <c r="K728" s="452">
        <f t="shared" si="75"/>
        <v>301731</v>
      </c>
      <c r="L728" s="452">
        <f t="shared" si="75"/>
        <v>0</v>
      </c>
      <c r="M728" s="452">
        <f t="shared" si="75"/>
        <v>21527</v>
      </c>
      <c r="N728" s="452">
        <f t="shared" si="75"/>
        <v>0</v>
      </c>
      <c r="O728" s="452">
        <f t="shared" si="75"/>
        <v>69406</v>
      </c>
      <c r="P728" s="452">
        <f t="shared" si="75"/>
        <v>0</v>
      </c>
      <c r="Q728" s="452"/>
      <c r="R728" s="452">
        <f t="shared" si="75"/>
        <v>811723</v>
      </c>
      <c r="S728" s="445">
        <f t="shared" si="72"/>
        <v>411027</v>
      </c>
      <c r="T728" s="445">
        <f t="shared" si="73"/>
        <v>309763</v>
      </c>
      <c r="U728" s="445">
        <f t="shared" si="74"/>
        <v>69406</v>
      </c>
      <c r="W728" s="450"/>
      <c r="X728" s="450"/>
      <c r="Y728" s="441"/>
      <c r="Z728" s="441"/>
      <c r="AA728" s="441"/>
      <c r="AB728" s="441"/>
      <c r="AC728" s="441"/>
      <c r="AD728" s="441"/>
      <c r="AE728" s="441"/>
      <c r="AF728" s="441"/>
      <c r="AG728" s="441"/>
      <c r="AH728" s="441"/>
      <c r="AI728" s="441"/>
      <c r="AJ728" s="441"/>
      <c r="AK728" s="441"/>
      <c r="AL728" s="441"/>
      <c r="AM728" s="441"/>
      <c r="AN728" s="441"/>
      <c r="AO728" s="441"/>
      <c r="AP728" s="448"/>
      <c r="AQ728" s="448"/>
      <c r="AR728" s="448"/>
      <c r="AS728" s="448"/>
      <c r="AT728" s="448"/>
      <c r="AU728" s="448"/>
      <c r="AV728" s="448"/>
      <c r="AW728" s="448"/>
      <c r="AX728" s="448"/>
      <c r="AY728" s="448"/>
      <c r="AZ728" s="448"/>
      <c r="BA728" s="448"/>
      <c r="BB728" s="448"/>
      <c r="BC728" s="448"/>
      <c r="BD728" s="448"/>
      <c r="BE728" s="448"/>
      <c r="BF728" s="448"/>
    </row>
    <row r="729" spans="1:58" ht="12.75" hidden="1" thickBot="1">
      <c r="A729" s="1" t="s">
        <v>1277</v>
      </c>
      <c r="B729" s="2" t="s">
        <v>388</v>
      </c>
      <c r="C729" s="2" t="s">
        <v>54</v>
      </c>
      <c r="D729" s="8" t="s">
        <v>15</v>
      </c>
      <c r="E729" s="3">
        <f t="shared" si="76"/>
        <v>71457686</v>
      </c>
      <c r="F729" s="452">
        <f t="shared" si="76"/>
        <v>9000</v>
      </c>
      <c r="G729" s="452">
        <f t="shared" si="75"/>
        <v>632401</v>
      </c>
      <c r="H729" s="452">
        <f t="shared" si="75"/>
        <v>1947222</v>
      </c>
      <c r="I729" s="452">
        <f t="shared" si="75"/>
        <v>0</v>
      </c>
      <c r="J729" s="452">
        <f t="shared" si="75"/>
        <v>42317</v>
      </c>
      <c r="K729" s="452">
        <f t="shared" si="75"/>
        <v>1216661</v>
      </c>
      <c r="L729" s="452">
        <f t="shared" si="75"/>
        <v>0</v>
      </c>
      <c r="M729" s="452">
        <f t="shared" si="75"/>
        <v>139967</v>
      </c>
      <c r="N729" s="452">
        <f t="shared" si="75"/>
        <v>0</v>
      </c>
      <c r="O729" s="452">
        <f t="shared" si="75"/>
        <v>451284</v>
      </c>
      <c r="P729" s="452">
        <f t="shared" si="75"/>
        <v>0</v>
      </c>
      <c r="Q729" s="452"/>
      <c r="R729" s="452">
        <f t="shared" si="75"/>
        <v>4438851</v>
      </c>
      <c r="S729" s="445">
        <f t="shared" si="72"/>
        <v>2579623</v>
      </c>
      <c r="T729" s="445">
        <f t="shared" si="73"/>
        <v>1258978</v>
      </c>
      <c r="U729" s="445">
        <f t="shared" si="74"/>
        <v>451284</v>
      </c>
      <c r="W729" s="450"/>
      <c r="X729" s="450"/>
      <c r="Y729" s="441"/>
      <c r="Z729" s="441"/>
      <c r="AA729" s="441"/>
      <c r="AB729" s="441"/>
      <c r="AC729" s="441"/>
      <c r="AD729" s="441"/>
      <c r="AE729" s="441"/>
      <c r="AF729" s="441"/>
      <c r="AG729" s="441"/>
      <c r="AH729" s="441"/>
      <c r="AI729" s="441"/>
      <c r="AJ729" s="441"/>
      <c r="AK729" s="441"/>
      <c r="AL729" s="441"/>
      <c r="AM729" s="441"/>
      <c r="AN729" s="441"/>
      <c r="AO729" s="441"/>
      <c r="AP729" s="448"/>
      <c r="AQ729" s="448"/>
      <c r="AR729" s="448"/>
      <c r="AS729" s="448"/>
      <c r="AT729" s="448"/>
      <c r="AU729" s="448"/>
      <c r="AV729" s="448"/>
      <c r="AW729" s="448"/>
      <c r="AX729" s="448"/>
      <c r="AY729" s="448"/>
      <c r="AZ729" s="448"/>
      <c r="BA729" s="448"/>
      <c r="BB729" s="448"/>
      <c r="BC729" s="448"/>
      <c r="BD729" s="448"/>
      <c r="BE729" s="448"/>
      <c r="BF729" s="448"/>
    </row>
    <row r="730" spans="1:58" ht="12.75" hidden="1" thickBot="1">
      <c r="A730" s="1" t="s">
        <v>1277</v>
      </c>
      <c r="B730" s="2" t="s">
        <v>389</v>
      </c>
      <c r="C730" s="2" t="s">
        <v>419</v>
      </c>
      <c r="D730" s="8" t="s">
        <v>20</v>
      </c>
      <c r="E730" s="3">
        <f t="shared" si="76"/>
        <v>23496230</v>
      </c>
      <c r="F730" s="452">
        <f t="shared" si="76"/>
        <v>19440</v>
      </c>
      <c r="G730" s="452">
        <f t="shared" si="75"/>
        <v>313675</v>
      </c>
      <c r="H730" s="452">
        <f t="shared" si="75"/>
        <v>640272</v>
      </c>
      <c r="I730" s="452">
        <f t="shared" si="75"/>
        <v>0</v>
      </c>
      <c r="J730" s="452">
        <f t="shared" si="75"/>
        <v>34160</v>
      </c>
      <c r="K730" s="452">
        <f t="shared" si="75"/>
        <v>1132984</v>
      </c>
      <c r="L730" s="452">
        <f t="shared" si="75"/>
        <v>38695</v>
      </c>
      <c r="M730" s="452">
        <f t="shared" si="75"/>
        <v>46023</v>
      </c>
      <c r="N730" s="452">
        <f t="shared" si="75"/>
        <v>0</v>
      </c>
      <c r="O730" s="452">
        <f t="shared" si="75"/>
        <v>148388</v>
      </c>
      <c r="P730" s="452">
        <f t="shared" si="75"/>
        <v>0</v>
      </c>
      <c r="Q730" s="452"/>
      <c r="R730" s="452">
        <f t="shared" si="75"/>
        <v>2373638</v>
      </c>
      <c r="S730" s="445">
        <f t="shared" si="72"/>
        <v>953947</v>
      </c>
      <c r="T730" s="445">
        <f t="shared" si="73"/>
        <v>1167144</v>
      </c>
      <c r="U730" s="445">
        <f t="shared" si="74"/>
        <v>148388</v>
      </c>
      <c r="W730" s="450"/>
      <c r="X730" s="450"/>
      <c r="Y730" s="441"/>
      <c r="Z730" s="441"/>
      <c r="AA730" s="441"/>
      <c r="AB730" s="441"/>
      <c r="AC730" s="441"/>
      <c r="AD730" s="441"/>
      <c r="AE730" s="441"/>
      <c r="AF730" s="441"/>
      <c r="AG730" s="441"/>
      <c r="AH730" s="441"/>
      <c r="AI730" s="441"/>
      <c r="AJ730" s="441"/>
      <c r="AK730" s="441"/>
      <c r="AL730" s="441"/>
      <c r="AM730" s="441"/>
      <c r="AN730" s="441"/>
      <c r="AO730" s="441"/>
      <c r="AP730" s="448"/>
      <c r="AQ730" s="448"/>
      <c r="AR730" s="448"/>
      <c r="AS730" s="448"/>
      <c r="AT730" s="448"/>
      <c r="AU730" s="448"/>
      <c r="AV730" s="448"/>
      <c r="AW730" s="448"/>
      <c r="AX730" s="448"/>
      <c r="AY730" s="448"/>
      <c r="AZ730" s="448"/>
      <c r="BA730" s="448"/>
      <c r="BB730" s="448"/>
      <c r="BC730" s="448"/>
      <c r="BD730" s="448"/>
      <c r="BE730" s="448"/>
      <c r="BF730" s="448"/>
    </row>
    <row r="731" spans="1:58" ht="12.75" hidden="1" thickBot="1">
      <c r="A731" s="1" t="s">
        <v>1277</v>
      </c>
      <c r="B731" s="2" t="s">
        <v>390</v>
      </c>
      <c r="C731" s="2" t="s">
        <v>418</v>
      </c>
      <c r="D731" s="2" t="s">
        <v>21</v>
      </c>
      <c r="E731" s="3">
        <f t="shared" si="76"/>
        <v>1185295</v>
      </c>
      <c r="F731" s="452">
        <f t="shared" si="76"/>
        <v>3570</v>
      </c>
      <c r="G731" s="452">
        <f t="shared" si="75"/>
        <v>14235</v>
      </c>
      <c r="H731" s="452">
        <f t="shared" si="75"/>
        <v>32299</v>
      </c>
      <c r="I731" s="452">
        <f t="shared" si="75"/>
        <v>0</v>
      </c>
      <c r="J731" s="452">
        <f t="shared" si="75"/>
        <v>2001</v>
      </c>
      <c r="K731" s="452">
        <f t="shared" si="75"/>
        <v>56152</v>
      </c>
      <c r="L731" s="452">
        <f t="shared" si="75"/>
        <v>1952</v>
      </c>
      <c r="M731" s="452">
        <f t="shared" si="75"/>
        <v>2322</v>
      </c>
      <c r="N731" s="452">
        <f t="shared" si="75"/>
        <v>0</v>
      </c>
      <c r="O731" s="452">
        <f t="shared" si="75"/>
        <v>7486</v>
      </c>
      <c r="P731" s="452">
        <f t="shared" si="75"/>
        <v>0</v>
      </c>
      <c r="Q731" s="452"/>
      <c r="R731" s="452">
        <f t="shared" si="75"/>
        <v>120017</v>
      </c>
      <c r="S731" s="445">
        <f t="shared" si="72"/>
        <v>46534</v>
      </c>
      <c r="T731" s="445">
        <f t="shared" si="73"/>
        <v>58153</v>
      </c>
      <c r="U731" s="445">
        <f t="shared" si="74"/>
        <v>7486</v>
      </c>
      <c r="W731" s="450"/>
      <c r="X731" s="450"/>
      <c r="Y731" s="441"/>
      <c r="Z731" s="441"/>
      <c r="AA731" s="441"/>
      <c r="AB731" s="441"/>
      <c r="AC731" s="441"/>
      <c r="AD731" s="441"/>
      <c r="AE731" s="441"/>
      <c r="AF731" s="441"/>
      <c r="AG731" s="441"/>
      <c r="AH731" s="441"/>
      <c r="AI731" s="441"/>
      <c r="AJ731" s="441"/>
      <c r="AK731" s="441"/>
      <c r="AL731" s="441"/>
      <c r="AM731" s="441"/>
      <c r="AN731" s="441"/>
      <c r="AO731" s="441"/>
      <c r="AP731" s="448"/>
      <c r="AQ731" s="448"/>
      <c r="AR731" s="448"/>
      <c r="AS731" s="448"/>
      <c r="AT731" s="448"/>
      <c r="AU731" s="448"/>
      <c r="AV731" s="448"/>
      <c r="AW731" s="448"/>
      <c r="AX731" s="448"/>
      <c r="AY731" s="448"/>
      <c r="AZ731" s="448"/>
      <c r="BA731" s="448"/>
      <c r="BB731" s="448"/>
      <c r="BC731" s="448"/>
      <c r="BD731" s="448"/>
      <c r="BE731" s="448"/>
      <c r="BF731" s="448"/>
    </row>
    <row r="732" spans="1:58" ht="12.75" hidden="1" thickBot="1">
      <c r="A732" s="1" t="s">
        <v>1277</v>
      </c>
      <c r="B732" s="2" t="s">
        <v>391</v>
      </c>
      <c r="C732" s="2" t="s">
        <v>1034</v>
      </c>
      <c r="D732" s="8" t="s">
        <v>422</v>
      </c>
      <c r="E732" s="3">
        <f t="shared" si="76"/>
        <v>23109451</v>
      </c>
      <c r="F732" s="452">
        <f t="shared" si="76"/>
        <v>18600</v>
      </c>
      <c r="G732" s="452">
        <f t="shared" si="75"/>
        <v>292335</v>
      </c>
      <c r="H732" s="452">
        <f t="shared" si="75"/>
        <v>629733</v>
      </c>
      <c r="I732" s="452">
        <f t="shared" si="75"/>
        <v>0</v>
      </c>
      <c r="J732" s="452">
        <f t="shared" si="75"/>
        <v>25057</v>
      </c>
      <c r="K732" s="452">
        <f t="shared" si="75"/>
        <v>732934</v>
      </c>
      <c r="L732" s="452">
        <f t="shared" si="75"/>
        <v>38059</v>
      </c>
      <c r="M732" s="452">
        <f t="shared" si="75"/>
        <v>45266</v>
      </c>
      <c r="N732" s="452">
        <f t="shared" si="75"/>
        <v>0</v>
      </c>
      <c r="O732" s="452">
        <f t="shared" si="75"/>
        <v>145945</v>
      </c>
      <c r="P732" s="452">
        <f t="shared" si="75"/>
        <v>0</v>
      </c>
      <c r="Q732" s="452"/>
      <c r="R732" s="452">
        <f t="shared" si="75"/>
        <v>1927927</v>
      </c>
      <c r="S732" s="445">
        <f t="shared" si="72"/>
        <v>922068</v>
      </c>
      <c r="T732" s="445">
        <f t="shared" si="73"/>
        <v>757991</v>
      </c>
      <c r="U732" s="445">
        <f t="shared" si="74"/>
        <v>145945</v>
      </c>
      <c r="W732" s="450"/>
      <c r="X732" s="450"/>
      <c r="Y732" s="441"/>
      <c r="Z732" s="441"/>
      <c r="AA732" s="441"/>
      <c r="AB732" s="441"/>
      <c r="AC732" s="441"/>
      <c r="AD732" s="441"/>
      <c r="AE732" s="441"/>
      <c r="AF732" s="441"/>
      <c r="AG732" s="441"/>
      <c r="AH732" s="441"/>
      <c r="AI732" s="441"/>
      <c r="AJ732" s="441"/>
      <c r="AK732" s="441"/>
      <c r="AL732" s="441"/>
      <c r="AM732" s="441"/>
      <c r="AN732" s="441"/>
      <c r="AO732" s="441"/>
      <c r="AP732" s="448"/>
      <c r="AQ732" s="448"/>
      <c r="AR732" s="448"/>
      <c r="AS732" s="448"/>
      <c r="AT732" s="448"/>
      <c r="AU732" s="448"/>
      <c r="AV732" s="448"/>
      <c r="AW732" s="448"/>
      <c r="AX732" s="448"/>
      <c r="AY732" s="448"/>
      <c r="AZ732" s="448"/>
      <c r="BA732" s="448"/>
      <c r="BB732" s="448"/>
      <c r="BC732" s="448"/>
      <c r="BD732" s="448"/>
      <c r="BE732" s="448"/>
      <c r="BF732" s="448"/>
    </row>
    <row r="733" spans="1:58" ht="12.75" hidden="1" thickBot="1">
      <c r="A733" s="1" t="s">
        <v>1277</v>
      </c>
      <c r="B733" s="2" t="s">
        <v>392</v>
      </c>
      <c r="C733" s="2" t="s">
        <v>420</v>
      </c>
      <c r="D733" s="8" t="s">
        <v>421</v>
      </c>
      <c r="E733" s="3">
        <f t="shared" si="76"/>
        <v>149464743</v>
      </c>
      <c r="F733" s="452">
        <f t="shared" si="76"/>
        <v>20400</v>
      </c>
      <c r="G733" s="452">
        <f t="shared" si="75"/>
        <v>1215148</v>
      </c>
      <c r="H733" s="452">
        <f t="shared" si="75"/>
        <v>4072914</v>
      </c>
      <c r="I733" s="452">
        <f t="shared" si="75"/>
        <v>0</v>
      </c>
      <c r="J733" s="452">
        <f t="shared" si="75"/>
        <v>139734</v>
      </c>
      <c r="K733" s="452">
        <f t="shared" si="75"/>
        <v>3853985</v>
      </c>
      <c r="L733" s="452">
        <f t="shared" si="75"/>
        <v>246151</v>
      </c>
      <c r="M733" s="452">
        <f t="shared" si="75"/>
        <v>292763</v>
      </c>
      <c r="N733" s="452">
        <f t="shared" si="75"/>
        <v>0</v>
      </c>
      <c r="O733" s="452">
        <f t="shared" si="75"/>
        <v>943929</v>
      </c>
      <c r="P733" s="452">
        <f t="shared" si="75"/>
        <v>0</v>
      </c>
      <c r="Q733" s="452"/>
      <c r="R733" s="452">
        <f t="shared" si="75"/>
        <v>10785025</v>
      </c>
      <c r="S733" s="445">
        <f t="shared" si="72"/>
        <v>5288062</v>
      </c>
      <c r="T733" s="445">
        <f t="shared" si="73"/>
        <v>3993719</v>
      </c>
      <c r="U733" s="445">
        <f t="shared" si="74"/>
        <v>943929</v>
      </c>
      <c r="W733" s="450"/>
      <c r="X733" s="450"/>
      <c r="Y733" s="441"/>
      <c r="Z733" s="441"/>
      <c r="AA733" s="441"/>
      <c r="AB733" s="441"/>
      <c r="AC733" s="441"/>
      <c r="AD733" s="441"/>
      <c r="AE733" s="441"/>
      <c r="AF733" s="441"/>
      <c r="AG733" s="441"/>
      <c r="AH733" s="441"/>
      <c r="AI733" s="441"/>
      <c r="AJ733" s="441"/>
      <c r="AK733" s="441"/>
      <c r="AL733" s="441"/>
      <c r="AM733" s="441"/>
      <c r="AN733" s="441"/>
      <c r="AO733" s="441"/>
      <c r="AP733" s="448"/>
      <c r="AQ733" s="448"/>
      <c r="AR733" s="448"/>
      <c r="AS733" s="448"/>
      <c r="AT733" s="448"/>
      <c r="AU733" s="448"/>
      <c r="AV733" s="448"/>
      <c r="AW733" s="448"/>
      <c r="AX733" s="448"/>
      <c r="AY733" s="448"/>
      <c r="AZ733" s="448"/>
      <c r="BA733" s="448"/>
      <c r="BB733" s="448"/>
      <c r="BC733" s="448"/>
      <c r="BD733" s="448"/>
      <c r="BE733" s="448"/>
      <c r="BF733" s="448"/>
    </row>
    <row r="734" spans="1:58" ht="12.75" hidden="1" thickBot="1">
      <c r="A734" s="1" t="s">
        <v>1277</v>
      </c>
      <c r="B734" s="2" t="s">
        <v>394</v>
      </c>
      <c r="C734" s="2" t="s">
        <v>423</v>
      </c>
      <c r="D734" s="8" t="s">
        <v>17</v>
      </c>
      <c r="E734" s="3">
        <f t="shared" si="76"/>
        <v>0</v>
      </c>
      <c r="F734" s="452">
        <f t="shared" si="76"/>
        <v>0</v>
      </c>
      <c r="G734" s="452">
        <f t="shared" si="75"/>
        <v>0</v>
      </c>
      <c r="H734" s="452">
        <f t="shared" si="75"/>
        <v>0</v>
      </c>
      <c r="I734" s="452">
        <f t="shared" si="75"/>
        <v>0</v>
      </c>
      <c r="J734" s="452">
        <f t="shared" si="75"/>
        <v>0</v>
      </c>
      <c r="K734" s="452">
        <f t="shared" si="75"/>
        <v>0</v>
      </c>
      <c r="L734" s="452">
        <f t="shared" si="75"/>
        <v>0</v>
      </c>
      <c r="M734" s="452">
        <f t="shared" si="75"/>
        <v>0</v>
      </c>
      <c r="N734" s="452">
        <f t="shared" si="75"/>
        <v>0</v>
      </c>
      <c r="O734" s="452">
        <f t="shared" si="75"/>
        <v>0</v>
      </c>
      <c r="P734" s="452">
        <f t="shared" si="75"/>
        <v>0</v>
      </c>
      <c r="Q734" s="452"/>
      <c r="R734" s="452">
        <f t="shared" si="75"/>
        <v>0</v>
      </c>
      <c r="S734" s="445">
        <f t="shared" si="72"/>
        <v>0</v>
      </c>
      <c r="T734" s="445">
        <f t="shared" si="73"/>
        <v>0</v>
      </c>
      <c r="U734" s="445">
        <f t="shared" si="74"/>
        <v>0</v>
      </c>
      <c r="W734" s="450"/>
      <c r="X734" s="450"/>
      <c r="Y734" s="441"/>
      <c r="Z734" s="441"/>
      <c r="AA734" s="441"/>
      <c r="AB734" s="441"/>
      <c r="AC734" s="441"/>
      <c r="AD734" s="441"/>
      <c r="AE734" s="441"/>
      <c r="AF734" s="441"/>
      <c r="AG734" s="441"/>
      <c r="AH734" s="441"/>
      <c r="AI734" s="441"/>
      <c r="AJ734" s="441"/>
      <c r="AK734" s="441"/>
      <c r="AL734" s="441"/>
      <c r="AM734" s="441"/>
      <c r="AN734" s="441"/>
      <c r="AO734" s="441"/>
      <c r="AP734" s="448"/>
      <c r="AQ734" s="448"/>
      <c r="AR734" s="448"/>
      <c r="AS734" s="448"/>
      <c r="AT734" s="448"/>
      <c r="AU734" s="448"/>
      <c r="AV734" s="448"/>
      <c r="AW734" s="448"/>
      <c r="AX734" s="448"/>
      <c r="AY734" s="448"/>
      <c r="AZ734" s="448"/>
      <c r="BA734" s="448"/>
      <c r="BB734" s="448"/>
      <c r="BC734" s="448"/>
      <c r="BD734" s="448"/>
      <c r="BE734" s="448"/>
      <c r="BF734" s="448"/>
    </row>
    <row r="735" spans="1:58" ht="12.75" hidden="1" thickBot="1">
      <c r="A735" s="1" t="s">
        <v>1277</v>
      </c>
      <c r="B735" s="2" t="s">
        <v>395</v>
      </c>
      <c r="C735" s="2" t="s">
        <v>423</v>
      </c>
      <c r="D735" s="8" t="s">
        <v>17</v>
      </c>
      <c r="E735" s="3">
        <f t="shared" si="76"/>
        <v>0</v>
      </c>
      <c r="F735" s="452">
        <f t="shared" si="76"/>
        <v>0</v>
      </c>
      <c r="G735" s="452">
        <f t="shared" si="75"/>
        <v>0</v>
      </c>
      <c r="H735" s="452">
        <f t="shared" si="75"/>
        <v>0</v>
      </c>
      <c r="I735" s="452">
        <f t="shared" si="75"/>
        <v>0</v>
      </c>
      <c r="J735" s="452">
        <f t="shared" si="75"/>
        <v>0</v>
      </c>
      <c r="K735" s="452">
        <f t="shared" si="75"/>
        <v>0</v>
      </c>
      <c r="L735" s="452">
        <f t="shared" si="75"/>
        <v>0</v>
      </c>
      <c r="M735" s="452">
        <f t="shared" si="75"/>
        <v>0</v>
      </c>
      <c r="N735" s="452">
        <f t="shared" si="75"/>
        <v>0</v>
      </c>
      <c r="O735" s="452">
        <f t="shared" si="75"/>
        <v>0</v>
      </c>
      <c r="P735" s="452">
        <f t="shared" si="75"/>
        <v>0</v>
      </c>
      <c r="Q735" s="452"/>
      <c r="R735" s="452">
        <f t="shared" si="75"/>
        <v>0</v>
      </c>
      <c r="S735" s="445">
        <f t="shared" si="72"/>
        <v>0</v>
      </c>
      <c r="T735" s="445">
        <f t="shared" si="73"/>
        <v>0</v>
      </c>
      <c r="U735" s="445">
        <f t="shared" si="74"/>
        <v>0</v>
      </c>
      <c r="W735" s="450"/>
      <c r="X735" s="450"/>
      <c r="Y735" s="441"/>
      <c r="Z735" s="441"/>
      <c r="AA735" s="441"/>
      <c r="AB735" s="441"/>
      <c r="AC735" s="441"/>
      <c r="AD735" s="441"/>
      <c r="AE735" s="441"/>
      <c r="AF735" s="441"/>
      <c r="AG735" s="441"/>
      <c r="AH735" s="441"/>
      <c r="AI735" s="441"/>
      <c r="AJ735" s="441"/>
      <c r="AK735" s="441"/>
      <c r="AL735" s="441"/>
      <c r="AM735" s="441"/>
      <c r="AN735" s="441"/>
      <c r="AO735" s="441"/>
      <c r="AP735" s="448"/>
      <c r="AQ735" s="448"/>
      <c r="AR735" s="448"/>
      <c r="AS735" s="448"/>
      <c r="AT735" s="448"/>
      <c r="AU735" s="448"/>
      <c r="AV735" s="448"/>
      <c r="AW735" s="448"/>
      <c r="AX735" s="448"/>
      <c r="AY735" s="448"/>
      <c r="AZ735" s="448"/>
      <c r="BA735" s="448"/>
      <c r="BB735" s="448"/>
      <c r="BC735" s="448"/>
      <c r="BD735" s="448"/>
      <c r="BE735" s="448"/>
      <c r="BF735" s="448"/>
    </row>
    <row r="736" spans="1:58" ht="12.75" hidden="1" thickBot="1">
      <c r="A736" s="1" t="s">
        <v>1277</v>
      </c>
      <c r="B736" s="2" t="s">
        <v>396</v>
      </c>
      <c r="C736" s="2" t="s">
        <v>423</v>
      </c>
      <c r="D736" s="8" t="s">
        <v>17</v>
      </c>
      <c r="E736" s="3">
        <f t="shared" si="76"/>
        <v>0</v>
      </c>
      <c r="F736" s="452">
        <f t="shared" si="76"/>
        <v>0</v>
      </c>
      <c r="G736" s="452">
        <f t="shared" si="75"/>
        <v>0</v>
      </c>
      <c r="H736" s="452">
        <f t="shared" si="75"/>
        <v>0</v>
      </c>
      <c r="I736" s="452">
        <f t="shared" si="75"/>
        <v>0</v>
      </c>
      <c r="J736" s="452">
        <f t="shared" si="75"/>
        <v>0</v>
      </c>
      <c r="K736" s="452">
        <f t="shared" si="75"/>
        <v>0</v>
      </c>
      <c r="L736" s="452">
        <f t="shared" si="75"/>
        <v>0</v>
      </c>
      <c r="M736" s="452">
        <f t="shared" si="75"/>
        <v>0</v>
      </c>
      <c r="N736" s="452">
        <f t="shared" si="75"/>
        <v>0</v>
      </c>
      <c r="O736" s="452">
        <f t="shared" si="75"/>
        <v>0</v>
      </c>
      <c r="P736" s="452">
        <f t="shared" si="75"/>
        <v>0</v>
      </c>
      <c r="Q736" s="452"/>
      <c r="R736" s="452">
        <f t="shared" si="75"/>
        <v>0</v>
      </c>
      <c r="S736" s="445">
        <f t="shared" si="72"/>
        <v>0</v>
      </c>
      <c r="T736" s="445">
        <f t="shared" si="73"/>
        <v>0</v>
      </c>
      <c r="U736" s="445">
        <f t="shared" si="74"/>
        <v>0</v>
      </c>
      <c r="W736" s="450"/>
      <c r="X736" s="450"/>
      <c r="Y736" s="441"/>
      <c r="Z736" s="441"/>
      <c r="AA736" s="441"/>
      <c r="AB736" s="441"/>
      <c r="AC736" s="441"/>
      <c r="AD736" s="441"/>
      <c r="AE736" s="441"/>
      <c r="AF736" s="441"/>
      <c r="AG736" s="441"/>
      <c r="AH736" s="441"/>
      <c r="AI736" s="441"/>
      <c r="AJ736" s="441"/>
      <c r="AK736" s="441"/>
      <c r="AL736" s="441"/>
      <c r="AM736" s="441"/>
      <c r="AN736" s="441"/>
      <c r="AO736" s="441"/>
      <c r="AP736" s="448"/>
      <c r="AQ736" s="448"/>
      <c r="AR736" s="448"/>
      <c r="AS736" s="448"/>
      <c r="AT736" s="448"/>
      <c r="AU736" s="448"/>
      <c r="AV736" s="448"/>
      <c r="AW736" s="448"/>
      <c r="AX736" s="448"/>
      <c r="AY736" s="448"/>
      <c r="AZ736" s="448"/>
      <c r="BA736" s="448"/>
      <c r="BB736" s="448"/>
      <c r="BC736" s="448"/>
      <c r="BD736" s="448"/>
      <c r="BE736" s="448"/>
      <c r="BF736" s="448"/>
    </row>
    <row r="737" spans="1:58" ht="12.75" hidden="1" thickBot="1">
      <c r="A737" s="1" t="s">
        <v>1277</v>
      </c>
      <c r="B737" s="2" t="s">
        <v>397</v>
      </c>
      <c r="C737" s="2" t="s">
        <v>55</v>
      </c>
      <c r="D737" s="8" t="s">
        <v>18</v>
      </c>
      <c r="E737" s="3">
        <f t="shared" si="76"/>
        <v>0</v>
      </c>
      <c r="F737" s="452">
        <f t="shared" si="76"/>
        <v>0</v>
      </c>
      <c r="G737" s="452">
        <f t="shared" si="75"/>
        <v>0</v>
      </c>
      <c r="H737" s="452">
        <f t="shared" si="75"/>
        <v>0</v>
      </c>
      <c r="I737" s="452">
        <f t="shared" si="75"/>
        <v>0</v>
      </c>
      <c r="J737" s="452">
        <f t="shared" si="75"/>
        <v>0</v>
      </c>
      <c r="K737" s="452">
        <f t="shared" si="75"/>
        <v>0</v>
      </c>
      <c r="L737" s="452">
        <f t="shared" si="75"/>
        <v>0</v>
      </c>
      <c r="M737" s="452">
        <f t="shared" si="75"/>
        <v>0</v>
      </c>
      <c r="N737" s="452">
        <f t="shared" si="75"/>
        <v>0</v>
      </c>
      <c r="O737" s="452">
        <f t="shared" si="75"/>
        <v>0</v>
      </c>
      <c r="P737" s="452">
        <f t="shared" si="75"/>
        <v>0</v>
      </c>
      <c r="Q737" s="452"/>
      <c r="R737" s="452">
        <f t="shared" si="75"/>
        <v>0</v>
      </c>
      <c r="S737" s="445">
        <f t="shared" si="72"/>
        <v>0</v>
      </c>
      <c r="T737" s="445">
        <f t="shared" si="73"/>
        <v>0</v>
      </c>
      <c r="U737" s="445">
        <f t="shared" si="74"/>
        <v>0</v>
      </c>
      <c r="W737" s="450"/>
      <c r="X737" s="450"/>
      <c r="Y737" s="441"/>
      <c r="Z737" s="441"/>
      <c r="AA737" s="441"/>
      <c r="AB737" s="441"/>
      <c r="AC737" s="441"/>
      <c r="AD737" s="441"/>
      <c r="AE737" s="441"/>
      <c r="AF737" s="441"/>
      <c r="AG737" s="441"/>
      <c r="AH737" s="441"/>
      <c r="AI737" s="441"/>
      <c r="AJ737" s="441"/>
      <c r="AK737" s="441"/>
      <c r="AL737" s="441"/>
      <c r="AM737" s="441"/>
      <c r="AN737" s="441"/>
      <c r="AO737" s="441"/>
      <c r="AP737" s="448"/>
      <c r="AQ737" s="448"/>
      <c r="AR737" s="448"/>
      <c r="AS737" s="448"/>
      <c r="AT737" s="448"/>
      <c r="AU737" s="448"/>
      <c r="AV737" s="448"/>
      <c r="AW737" s="448"/>
      <c r="AX737" s="448"/>
      <c r="AY737" s="448"/>
      <c r="AZ737" s="448"/>
      <c r="BA737" s="448"/>
      <c r="BB737" s="448"/>
      <c r="BC737" s="448"/>
      <c r="BD737" s="448"/>
      <c r="BE737" s="448"/>
      <c r="BF737" s="448"/>
    </row>
    <row r="738" spans="1:58" ht="12.75" hidden="1" thickBot="1">
      <c r="A738" s="1" t="s">
        <v>1277</v>
      </c>
      <c r="B738" s="2" t="s">
        <v>398</v>
      </c>
      <c r="C738" s="2" t="s">
        <v>55</v>
      </c>
      <c r="D738" s="8" t="s">
        <v>18</v>
      </c>
      <c r="E738" s="3">
        <f t="shared" si="76"/>
        <v>0</v>
      </c>
      <c r="F738" s="452">
        <f t="shared" si="76"/>
        <v>0</v>
      </c>
      <c r="G738" s="452">
        <f t="shared" si="75"/>
        <v>0</v>
      </c>
      <c r="H738" s="452">
        <f t="shared" si="75"/>
        <v>0</v>
      </c>
      <c r="I738" s="452">
        <f t="shared" si="75"/>
        <v>0</v>
      </c>
      <c r="J738" s="452">
        <f t="shared" si="75"/>
        <v>0</v>
      </c>
      <c r="K738" s="452">
        <f t="shared" si="75"/>
        <v>0</v>
      </c>
      <c r="L738" s="452">
        <f t="shared" si="75"/>
        <v>0</v>
      </c>
      <c r="M738" s="452">
        <f t="shared" si="75"/>
        <v>0</v>
      </c>
      <c r="N738" s="452">
        <f t="shared" si="75"/>
        <v>0</v>
      </c>
      <c r="O738" s="452">
        <f t="shared" si="75"/>
        <v>0</v>
      </c>
      <c r="P738" s="452">
        <f t="shared" si="75"/>
        <v>0</v>
      </c>
      <c r="Q738" s="452"/>
      <c r="R738" s="452">
        <f t="shared" si="75"/>
        <v>0</v>
      </c>
      <c r="S738" s="445">
        <f t="shared" si="72"/>
        <v>0</v>
      </c>
      <c r="T738" s="445">
        <f t="shared" si="73"/>
        <v>0</v>
      </c>
      <c r="U738" s="445">
        <f t="shared" si="74"/>
        <v>0</v>
      </c>
      <c r="W738" s="450"/>
      <c r="X738" s="450"/>
      <c r="Y738" s="441"/>
      <c r="Z738" s="441"/>
      <c r="AA738" s="441"/>
      <c r="AB738" s="441"/>
      <c r="AC738" s="441"/>
      <c r="AD738" s="441"/>
      <c r="AE738" s="441"/>
      <c r="AF738" s="441"/>
      <c r="AG738" s="441"/>
      <c r="AH738" s="441"/>
      <c r="AI738" s="441"/>
      <c r="AJ738" s="441"/>
      <c r="AK738" s="441"/>
      <c r="AL738" s="441"/>
      <c r="AM738" s="441"/>
      <c r="AN738" s="441"/>
      <c r="AO738" s="441"/>
      <c r="AP738" s="448"/>
      <c r="AQ738" s="448"/>
      <c r="AR738" s="448"/>
      <c r="AS738" s="448"/>
      <c r="AT738" s="448"/>
      <c r="AU738" s="448"/>
      <c r="AV738" s="448"/>
      <c r="AW738" s="448"/>
      <c r="AX738" s="448"/>
      <c r="AY738" s="448"/>
      <c r="AZ738" s="448"/>
      <c r="BA738" s="448"/>
      <c r="BB738" s="448"/>
      <c r="BC738" s="448"/>
      <c r="BD738" s="448"/>
      <c r="BE738" s="448"/>
      <c r="BF738" s="448"/>
    </row>
    <row r="739" spans="1:58" ht="12.75" hidden="1" thickBot="1">
      <c r="A739" s="1" t="s">
        <v>1277</v>
      </c>
      <c r="B739" s="2" t="s">
        <v>805</v>
      </c>
      <c r="C739" s="2" t="s">
        <v>806</v>
      </c>
      <c r="D739" s="8" t="s">
        <v>1205</v>
      </c>
      <c r="E739" s="3">
        <f t="shared" si="76"/>
        <v>0</v>
      </c>
      <c r="F739" s="452">
        <f t="shared" si="76"/>
        <v>0</v>
      </c>
      <c r="G739" s="452">
        <f t="shared" si="75"/>
        <v>0</v>
      </c>
      <c r="H739" s="452">
        <f t="shared" si="75"/>
        <v>0</v>
      </c>
      <c r="I739" s="452">
        <f t="shared" si="75"/>
        <v>0</v>
      </c>
      <c r="J739" s="452">
        <f t="shared" si="75"/>
        <v>0</v>
      </c>
      <c r="K739" s="452">
        <f t="shared" si="75"/>
        <v>0</v>
      </c>
      <c r="L739" s="452">
        <f t="shared" si="75"/>
        <v>0</v>
      </c>
      <c r="M739" s="452">
        <f t="shared" si="75"/>
        <v>0</v>
      </c>
      <c r="N739" s="452">
        <f t="shared" si="75"/>
        <v>0</v>
      </c>
      <c r="O739" s="452">
        <f t="shared" si="75"/>
        <v>0</v>
      </c>
      <c r="P739" s="452">
        <f t="shared" si="75"/>
        <v>0</v>
      </c>
      <c r="Q739" s="452"/>
      <c r="R739" s="452">
        <f t="shared" si="75"/>
        <v>0</v>
      </c>
      <c r="S739" s="445">
        <f t="shared" si="72"/>
        <v>0</v>
      </c>
      <c r="T739" s="445">
        <f t="shared" si="73"/>
        <v>0</v>
      </c>
      <c r="U739" s="445">
        <f t="shared" si="74"/>
        <v>0</v>
      </c>
      <c r="W739" s="450"/>
      <c r="X739" s="450"/>
      <c r="Y739" s="441"/>
      <c r="Z739" s="441"/>
      <c r="AA739" s="441"/>
      <c r="AB739" s="441"/>
      <c r="AC739" s="441"/>
      <c r="AD739" s="441"/>
      <c r="AE739" s="441"/>
      <c r="AF739" s="441"/>
      <c r="AG739" s="441"/>
      <c r="AH739" s="441"/>
      <c r="AI739" s="441"/>
      <c r="AJ739" s="441"/>
      <c r="AK739" s="441"/>
      <c r="AL739" s="441"/>
      <c r="AM739" s="441"/>
      <c r="AN739" s="441"/>
      <c r="AO739" s="441"/>
      <c r="AP739" s="448"/>
      <c r="AQ739" s="448"/>
      <c r="AR739" s="448"/>
      <c r="AS739" s="448"/>
      <c r="AT739" s="448"/>
      <c r="AU739" s="448"/>
      <c r="AV739" s="448"/>
      <c r="AW739" s="448"/>
      <c r="AX739" s="448"/>
      <c r="AY739" s="448"/>
      <c r="AZ739" s="448"/>
      <c r="BA739" s="448"/>
      <c r="BB739" s="448"/>
      <c r="BC739" s="448"/>
      <c r="BD739" s="448"/>
      <c r="BE739" s="448"/>
      <c r="BF739" s="448"/>
    </row>
    <row r="740" spans="1:58" ht="12.75" thickBot="1">
      <c r="A740" s="1" t="s">
        <v>1277</v>
      </c>
      <c r="B740" s="2" t="s">
        <v>399</v>
      </c>
      <c r="C740" s="2" t="s">
        <v>430</v>
      </c>
      <c r="D740" s="8" t="s">
        <v>13</v>
      </c>
      <c r="E740" s="3">
        <f t="shared" si="76"/>
        <v>0</v>
      </c>
      <c r="F740" s="452">
        <f t="shared" si="76"/>
        <v>0</v>
      </c>
      <c r="G740" s="452">
        <f t="shared" si="75"/>
        <v>0</v>
      </c>
      <c r="H740" s="452">
        <f t="shared" si="75"/>
        <v>0</v>
      </c>
      <c r="I740" s="452">
        <f t="shared" si="75"/>
        <v>0</v>
      </c>
      <c r="J740" s="452">
        <f t="shared" si="75"/>
        <v>0</v>
      </c>
      <c r="K740" s="452">
        <f t="shared" si="75"/>
        <v>0</v>
      </c>
      <c r="L740" s="452">
        <f t="shared" si="75"/>
        <v>0</v>
      </c>
      <c r="M740" s="452">
        <f t="shared" si="75"/>
        <v>0</v>
      </c>
      <c r="N740" s="452">
        <f t="shared" si="75"/>
        <v>0</v>
      </c>
      <c r="O740" s="452">
        <f t="shared" si="75"/>
        <v>0</v>
      </c>
      <c r="P740" s="452">
        <f t="shared" si="75"/>
        <v>0</v>
      </c>
      <c r="Q740" s="452"/>
      <c r="R740" s="452">
        <f t="shared" si="75"/>
        <v>0</v>
      </c>
      <c r="S740" s="445">
        <f t="shared" si="72"/>
        <v>0</v>
      </c>
      <c r="T740" s="445">
        <f t="shared" si="73"/>
        <v>0</v>
      </c>
      <c r="U740" s="445">
        <f t="shared" si="74"/>
        <v>0</v>
      </c>
      <c r="W740" s="450"/>
      <c r="X740" s="450"/>
      <c r="Y740" s="441"/>
      <c r="Z740" s="441"/>
      <c r="AA740" s="441"/>
      <c r="AB740" s="441"/>
      <c r="AC740" s="441"/>
      <c r="AD740" s="441"/>
      <c r="AE740" s="441"/>
      <c r="AF740" s="441"/>
      <c r="AG740" s="441"/>
      <c r="AH740" s="441"/>
      <c r="AI740" s="441"/>
      <c r="AJ740" s="441"/>
      <c r="AK740" s="441"/>
      <c r="AL740" s="441"/>
      <c r="AM740" s="441"/>
      <c r="AN740" s="441"/>
      <c r="AO740" s="441"/>
      <c r="AP740" s="448"/>
      <c r="AQ740" s="448"/>
      <c r="AR740" s="448"/>
      <c r="AS740" s="448"/>
      <c r="AT740" s="448"/>
      <c r="AU740" s="448"/>
      <c r="AV740" s="448"/>
      <c r="AW740" s="448"/>
      <c r="AX740" s="448"/>
      <c r="AY740" s="448"/>
      <c r="AZ740" s="448"/>
      <c r="BA740" s="448"/>
      <c r="BB740" s="448"/>
      <c r="BC740" s="448"/>
      <c r="BD740" s="448"/>
      <c r="BE740" s="448"/>
      <c r="BF740" s="448"/>
    </row>
    <row r="741" spans="1:58" ht="12.75" thickBot="1">
      <c r="A741" s="1" t="s">
        <v>1277</v>
      </c>
      <c r="B741" s="2" t="s">
        <v>400</v>
      </c>
      <c r="C741" s="2" t="s">
        <v>427</v>
      </c>
      <c r="D741" s="8" t="s">
        <v>13</v>
      </c>
      <c r="E741" s="3">
        <f t="shared" si="76"/>
        <v>517311366</v>
      </c>
      <c r="F741" s="452">
        <f t="shared" si="76"/>
        <v>3874214</v>
      </c>
      <c r="G741" s="452">
        <f t="shared" si="75"/>
        <v>26988134</v>
      </c>
      <c r="H741" s="452">
        <f t="shared" si="75"/>
        <v>14096735</v>
      </c>
      <c r="I741" s="452">
        <f t="shared" si="75"/>
        <v>693197</v>
      </c>
      <c r="J741" s="452">
        <f t="shared" si="75"/>
        <v>0</v>
      </c>
      <c r="K741" s="452">
        <f t="shared" si="75"/>
        <v>0</v>
      </c>
      <c r="L741" s="452">
        <f t="shared" si="75"/>
        <v>851950</v>
      </c>
      <c r="M741" s="452">
        <f t="shared" si="75"/>
        <v>1013282</v>
      </c>
      <c r="N741" s="452">
        <f t="shared" si="75"/>
        <v>3267026</v>
      </c>
      <c r="O741" s="452">
        <f t="shared" si="75"/>
        <v>0</v>
      </c>
      <c r="P741" s="452">
        <f t="shared" si="75"/>
        <v>0</v>
      </c>
      <c r="Q741" s="452"/>
      <c r="R741" s="452">
        <f t="shared" si="75"/>
        <v>50784538</v>
      </c>
      <c r="S741" s="445">
        <f t="shared" si="72"/>
        <v>41778066</v>
      </c>
      <c r="T741" s="445">
        <f t="shared" si="73"/>
        <v>0</v>
      </c>
      <c r="U741" s="445">
        <f t="shared" si="74"/>
        <v>3267026</v>
      </c>
      <c r="W741" s="450"/>
      <c r="X741" s="450"/>
      <c r="Y741" s="441"/>
      <c r="Z741" s="441"/>
      <c r="AA741" s="441"/>
      <c r="AB741" s="441"/>
      <c r="AC741" s="441"/>
      <c r="AD741" s="441"/>
      <c r="AE741" s="441"/>
      <c r="AF741" s="441"/>
      <c r="AG741" s="441"/>
      <c r="AH741" s="441"/>
      <c r="AI741" s="441"/>
      <c r="AJ741" s="441"/>
      <c r="AK741" s="441"/>
      <c r="AL741" s="441"/>
      <c r="AM741" s="441"/>
      <c r="AN741" s="441"/>
      <c r="AO741" s="441"/>
      <c r="AP741" s="448"/>
      <c r="AQ741" s="448"/>
      <c r="AR741" s="448"/>
      <c r="AS741" s="448"/>
      <c r="AT741" s="448"/>
      <c r="AU741" s="448"/>
      <c r="AV741" s="448"/>
      <c r="AW741" s="448"/>
      <c r="AX741" s="448"/>
      <c r="AY741" s="448"/>
      <c r="AZ741" s="448"/>
      <c r="BA741" s="448"/>
      <c r="BB741" s="448"/>
      <c r="BC741" s="448"/>
      <c r="BD741" s="448"/>
      <c r="BE741" s="448"/>
      <c r="BF741" s="448"/>
    </row>
    <row r="742" spans="1:58" ht="12.75" thickBot="1">
      <c r="A742" s="1" t="s">
        <v>1277</v>
      </c>
      <c r="B742" s="2" t="s">
        <v>401</v>
      </c>
      <c r="C742" s="2" t="s">
        <v>428</v>
      </c>
      <c r="D742" s="8" t="s">
        <v>13</v>
      </c>
      <c r="E742" s="3">
        <f t="shared" si="76"/>
        <v>0</v>
      </c>
      <c r="F742" s="452">
        <f t="shared" si="76"/>
        <v>0</v>
      </c>
      <c r="G742" s="452">
        <f t="shared" si="75"/>
        <v>0</v>
      </c>
      <c r="H742" s="452">
        <f t="shared" si="75"/>
        <v>0</v>
      </c>
      <c r="I742" s="452">
        <f t="shared" si="75"/>
        <v>0</v>
      </c>
      <c r="J742" s="452">
        <f t="shared" si="75"/>
        <v>0</v>
      </c>
      <c r="K742" s="452">
        <f t="shared" si="75"/>
        <v>0</v>
      </c>
      <c r="L742" s="452">
        <f t="shared" si="75"/>
        <v>0</v>
      </c>
      <c r="M742" s="452">
        <f t="shared" si="75"/>
        <v>0</v>
      </c>
      <c r="N742" s="452">
        <f t="shared" si="75"/>
        <v>0</v>
      </c>
      <c r="O742" s="452">
        <f t="shared" si="75"/>
        <v>0</v>
      </c>
      <c r="P742" s="452">
        <f t="shared" si="75"/>
        <v>0</v>
      </c>
      <c r="Q742" s="452"/>
      <c r="R742" s="452">
        <f t="shared" si="75"/>
        <v>0</v>
      </c>
      <c r="S742" s="445">
        <f t="shared" si="72"/>
        <v>0</v>
      </c>
      <c r="T742" s="445">
        <f t="shared" si="73"/>
        <v>0</v>
      </c>
      <c r="U742" s="445">
        <f t="shared" si="74"/>
        <v>0</v>
      </c>
      <c r="W742" s="450"/>
      <c r="X742" s="450"/>
      <c r="Y742" s="441"/>
      <c r="Z742" s="441"/>
      <c r="AA742" s="441"/>
      <c r="AB742" s="441"/>
      <c r="AC742" s="441"/>
      <c r="AD742" s="441"/>
      <c r="AE742" s="441"/>
      <c r="AF742" s="441"/>
      <c r="AG742" s="441"/>
      <c r="AH742" s="441"/>
      <c r="AI742" s="441"/>
      <c r="AJ742" s="441"/>
      <c r="AK742" s="441"/>
      <c r="AL742" s="441"/>
      <c r="AM742" s="441"/>
      <c r="AN742" s="441"/>
      <c r="AO742" s="441"/>
      <c r="AP742" s="448"/>
      <c r="AQ742" s="448"/>
      <c r="AR742" s="448"/>
      <c r="AS742" s="448"/>
      <c r="AT742" s="448"/>
      <c r="AU742" s="448"/>
      <c r="AV742" s="448"/>
      <c r="AW742" s="448"/>
      <c r="AX742" s="448"/>
      <c r="AY742" s="448"/>
      <c r="AZ742" s="448"/>
      <c r="BA742" s="448"/>
      <c r="BB742" s="448"/>
      <c r="BC742" s="448"/>
      <c r="BD742" s="448"/>
      <c r="BE742" s="448"/>
      <c r="BF742" s="448"/>
    </row>
    <row r="743" spans="1:58" ht="12.75" thickBot="1">
      <c r="A743" s="1" t="s">
        <v>1277</v>
      </c>
      <c r="B743" s="2" t="s">
        <v>402</v>
      </c>
      <c r="C743" s="2" t="s">
        <v>429</v>
      </c>
      <c r="D743" s="8" t="s">
        <v>13</v>
      </c>
      <c r="E743" s="3">
        <f t="shared" si="76"/>
        <v>0</v>
      </c>
      <c r="F743" s="452">
        <f t="shared" si="76"/>
        <v>0</v>
      </c>
      <c r="G743" s="452">
        <f t="shared" si="75"/>
        <v>0</v>
      </c>
      <c r="H743" s="452">
        <f t="shared" si="75"/>
        <v>0</v>
      </c>
      <c r="I743" s="452">
        <f t="shared" si="75"/>
        <v>0</v>
      </c>
      <c r="J743" s="452">
        <f t="shared" si="75"/>
        <v>0</v>
      </c>
      <c r="K743" s="452">
        <f t="shared" si="75"/>
        <v>0</v>
      </c>
      <c r="L743" s="452">
        <f t="shared" si="75"/>
        <v>0</v>
      </c>
      <c r="M743" s="452">
        <f t="shared" si="75"/>
        <v>0</v>
      </c>
      <c r="N743" s="452">
        <f t="shared" si="75"/>
        <v>0</v>
      </c>
      <c r="O743" s="452">
        <f t="shared" si="75"/>
        <v>0</v>
      </c>
      <c r="P743" s="452">
        <f t="shared" si="75"/>
        <v>0</v>
      </c>
      <c r="Q743" s="452"/>
      <c r="R743" s="452">
        <f t="shared" si="75"/>
        <v>0</v>
      </c>
      <c r="S743" s="445">
        <f t="shared" si="72"/>
        <v>0</v>
      </c>
      <c r="T743" s="445">
        <f t="shared" si="73"/>
        <v>0</v>
      </c>
      <c r="U743" s="445">
        <f t="shared" si="74"/>
        <v>0</v>
      </c>
      <c r="W743" s="450"/>
      <c r="X743" s="450"/>
      <c r="Y743" s="441"/>
      <c r="Z743" s="441"/>
      <c r="AA743" s="441"/>
      <c r="AB743" s="441"/>
      <c r="AC743" s="441"/>
      <c r="AD743" s="441"/>
      <c r="AE743" s="441"/>
      <c r="AF743" s="441"/>
      <c r="AG743" s="441"/>
      <c r="AH743" s="441"/>
      <c r="AI743" s="441"/>
      <c r="AJ743" s="441"/>
      <c r="AK743" s="441"/>
      <c r="AL743" s="441"/>
      <c r="AM743" s="441"/>
      <c r="AN743" s="441"/>
      <c r="AO743" s="441"/>
      <c r="AP743" s="448"/>
      <c r="AQ743" s="448"/>
      <c r="AR743" s="448"/>
      <c r="AS743" s="448"/>
      <c r="AT743" s="448"/>
      <c r="AU743" s="448"/>
      <c r="AV743" s="448"/>
      <c r="AW743" s="448"/>
      <c r="AX743" s="448"/>
      <c r="AY743" s="448"/>
      <c r="AZ743" s="448"/>
      <c r="BA743" s="448"/>
      <c r="BB743" s="448"/>
      <c r="BC743" s="448"/>
      <c r="BD743" s="448"/>
      <c r="BE743" s="448"/>
      <c r="BF743" s="448"/>
    </row>
    <row r="744" spans="1:58" ht="12.75" hidden="1" thickBot="1">
      <c r="A744" s="1" t="s">
        <v>1277</v>
      </c>
      <c r="B744" s="2" t="s">
        <v>706</v>
      </c>
      <c r="C744" s="2" t="s">
        <v>1204</v>
      </c>
      <c r="D744" s="8" t="s">
        <v>641</v>
      </c>
      <c r="E744" s="3">
        <f t="shared" si="76"/>
        <v>0</v>
      </c>
      <c r="F744" s="452">
        <f t="shared" si="76"/>
        <v>0</v>
      </c>
      <c r="G744" s="452">
        <f t="shared" si="75"/>
        <v>0</v>
      </c>
      <c r="H744" s="452">
        <f t="shared" si="75"/>
        <v>0</v>
      </c>
      <c r="I744" s="452">
        <f t="shared" si="75"/>
        <v>0</v>
      </c>
      <c r="J744" s="452">
        <f t="shared" si="75"/>
        <v>0</v>
      </c>
      <c r="K744" s="452">
        <f t="shared" si="75"/>
        <v>0</v>
      </c>
      <c r="L744" s="452">
        <f t="shared" si="75"/>
        <v>0</v>
      </c>
      <c r="M744" s="452">
        <f t="shared" si="75"/>
        <v>0</v>
      </c>
      <c r="N744" s="452">
        <f t="shared" si="75"/>
        <v>0</v>
      </c>
      <c r="O744" s="452">
        <f t="shared" si="75"/>
        <v>0</v>
      </c>
      <c r="P744" s="452">
        <f t="shared" si="75"/>
        <v>0</v>
      </c>
      <c r="Q744" s="452"/>
      <c r="R744" s="452">
        <f t="shared" si="75"/>
        <v>0</v>
      </c>
      <c r="S744" s="445">
        <f t="shared" si="72"/>
        <v>0</v>
      </c>
      <c r="T744" s="445">
        <f t="shared" si="73"/>
        <v>0</v>
      </c>
      <c r="U744" s="445">
        <f t="shared" si="74"/>
        <v>0</v>
      </c>
      <c r="W744" s="450"/>
      <c r="X744" s="450"/>
      <c r="Y744" s="441"/>
      <c r="Z744" s="441"/>
      <c r="AA744" s="441"/>
      <c r="AB744" s="441"/>
      <c r="AC744" s="441"/>
      <c r="AD744" s="441"/>
      <c r="AE744" s="441"/>
      <c r="AF744" s="441"/>
      <c r="AG744" s="441"/>
      <c r="AH744" s="441"/>
      <c r="AI744" s="441"/>
      <c r="AJ744" s="441"/>
      <c r="AK744" s="441"/>
      <c r="AL744" s="441"/>
      <c r="AM744" s="441"/>
      <c r="AN744" s="441"/>
      <c r="AO744" s="441"/>
      <c r="AP744" s="448"/>
      <c r="AQ744" s="448"/>
      <c r="AR744" s="448"/>
      <c r="AS744" s="448"/>
      <c r="AT744" s="448"/>
      <c r="AU744" s="448"/>
      <c r="AV744" s="448"/>
      <c r="AW744" s="448"/>
      <c r="AX744" s="448"/>
      <c r="AY744" s="448"/>
      <c r="AZ744" s="448"/>
      <c r="BA744" s="448"/>
      <c r="BB744" s="448"/>
      <c r="BC744" s="448"/>
      <c r="BD744" s="448"/>
      <c r="BE744" s="448"/>
      <c r="BF744" s="448"/>
    </row>
    <row r="745" spans="1:58" ht="12.75" hidden="1" thickBot="1">
      <c r="A745" s="1" t="s">
        <v>1277</v>
      </c>
      <c r="B745" s="2" t="s">
        <v>1230</v>
      </c>
      <c r="C745" s="2" t="s">
        <v>1245</v>
      </c>
      <c r="D745" s="8" t="s">
        <v>641</v>
      </c>
      <c r="E745" s="3">
        <f t="shared" si="76"/>
        <v>0</v>
      </c>
      <c r="F745" s="452">
        <f t="shared" si="76"/>
        <v>0</v>
      </c>
      <c r="G745" s="452">
        <f t="shared" si="75"/>
        <v>0</v>
      </c>
      <c r="H745" s="452">
        <f t="shared" si="75"/>
        <v>0</v>
      </c>
      <c r="I745" s="452">
        <f t="shared" si="75"/>
        <v>0</v>
      </c>
      <c r="J745" s="452">
        <f t="shared" si="75"/>
        <v>0</v>
      </c>
      <c r="K745" s="452">
        <f t="shared" si="75"/>
        <v>0</v>
      </c>
      <c r="L745" s="452">
        <f t="shared" si="75"/>
        <v>0</v>
      </c>
      <c r="M745" s="452">
        <f t="shared" si="75"/>
        <v>0</v>
      </c>
      <c r="N745" s="452">
        <f t="shared" si="75"/>
        <v>0</v>
      </c>
      <c r="O745" s="452">
        <f t="shared" si="75"/>
        <v>0</v>
      </c>
      <c r="P745" s="452">
        <f t="shared" si="75"/>
        <v>0</v>
      </c>
      <c r="Q745" s="452"/>
      <c r="R745" s="452">
        <f t="shared" si="75"/>
        <v>0</v>
      </c>
      <c r="S745" s="445">
        <f t="shared" si="72"/>
        <v>0</v>
      </c>
      <c r="T745" s="445">
        <f t="shared" si="73"/>
        <v>0</v>
      </c>
      <c r="U745" s="445">
        <f t="shared" si="74"/>
        <v>0</v>
      </c>
      <c r="W745" s="450"/>
      <c r="X745" s="450"/>
      <c r="Y745" s="441"/>
      <c r="Z745" s="441"/>
      <c r="AA745" s="441"/>
      <c r="AB745" s="441"/>
      <c r="AC745" s="441"/>
      <c r="AD745" s="441"/>
      <c r="AE745" s="441"/>
      <c r="AF745" s="441"/>
      <c r="AG745" s="441"/>
      <c r="AH745" s="441"/>
      <c r="AI745" s="441"/>
      <c r="AJ745" s="441"/>
      <c r="AK745" s="441"/>
      <c r="AL745" s="441"/>
      <c r="AM745" s="441"/>
      <c r="AN745" s="441"/>
      <c r="AO745" s="441"/>
      <c r="AP745" s="448"/>
      <c r="AQ745" s="448"/>
      <c r="AR745" s="448"/>
      <c r="AS745" s="448"/>
      <c r="AT745" s="448"/>
      <c r="AU745" s="448"/>
      <c r="AV745" s="448"/>
      <c r="AW745" s="448"/>
      <c r="AX745" s="448"/>
      <c r="AY745" s="448"/>
      <c r="AZ745" s="448"/>
      <c r="BA745" s="448"/>
      <c r="BB745" s="448"/>
      <c r="BC745" s="448"/>
      <c r="BD745" s="448"/>
      <c r="BE745" s="448"/>
      <c r="BF745" s="448"/>
    </row>
    <row r="746" spans="1:58" ht="12.75" hidden="1" thickBot="1">
      <c r="A746" s="1" t="s">
        <v>1277</v>
      </c>
      <c r="B746" s="2" t="s">
        <v>362</v>
      </c>
      <c r="C746" s="2" t="s">
        <v>363</v>
      </c>
      <c r="D746" s="8" t="s">
        <v>1205</v>
      </c>
      <c r="E746" s="457"/>
      <c r="F746" s="4"/>
      <c r="G746" s="4"/>
      <c r="H746" s="4"/>
      <c r="I746" s="4"/>
      <c r="J746" s="4"/>
      <c r="K746" s="4"/>
      <c r="L746" s="4"/>
      <c r="M746" s="4"/>
      <c r="N746" s="4"/>
      <c r="O746" s="4"/>
      <c r="P746" s="4"/>
      <c r="Q746" s="4"/>
      <c r="R746" s="4"/>
      <c r="S746" s="445">
        <f t="shared" si="72"/>
        <v>0</v>
      </c>
      <c r="T746" s="445">
        <f t="shared" si="73"/>
        <v>0</v>
      </c>
      <c r="U746" s="445">
        <f t="shared" si="74"/>
        <v>0</v>
      </c>
      <c r="W746" s="450"/>
      <c r="X746" s="450"/>
      <c r="Y746" s="441"/>
      <c r="Z746" s="441"/>
      <c r="AA746" s="441"/>
      <c r="AB746" s="441"/>
      <c r="AC746" s="441"/>
      <c r="AD746" s="441"/>
      <c r="AE746" s="441"/>
      <c r="AF746" s="441"/>
      <c r="AG746" s="441"/>
      <c r="AH746" s="441"/>
      <c r="AI746" s="441"/>
      <c r="AJ746" s="441"/>
      <c r="AK746" s="441"/>
      <c r="AL746" s="441"/>
      <c r="AM746" s="441"/>
      <c r="AN746" s="441"/>
      <c r="AO746" s="441"/>
      <c r="AP746" s="448"/>
      <c r="AQ746" s="448"/>
      <c r="AR746" s="448"/>
      <c r="AS746" s="448"/>
      <c r="AT746" s="448"/>
      <c r="AU746" s="448"/>
      <c r="AV746" s="448"/>
      <c r="AW746" s="448"/>
      <c r="AX746" s="448"/>
      <c r="AY746" s="448"/>
      <c r="AZ746" s="448"/>
      <c r="BA746" s="448"/>
      <c r="BB746" s="448"/>
      <c r="BC746" s="448"/>
      <c r="BD746" s="448"/>
      <c r="BE746" s="448"/>
      <c r="BF746" s="448"/>
    </row>
    <row r="747" spans="1:58" ht="12.75" hidden="1" thickBot="1">
      <c r="A747" s="1" t="s">
        <v>1277</v>
      </c>
      <c r="B747" s="2" t="s">
        <v>342</v>
      </c>
      <c r="C747" s="2" t="s">
        <v>1035</v>
      </c>
      <c r="D747" s="8" t="s">
        <v>459</v>
      </c>
      <c r="E747" s="459"/>
      <c r="F747" s="6"/>
      <c r="G747" s="451"/>
      <c r="H747" s="6"/>
      <c r="I747" s="6"/>
      <c r="J747" s="6"/>
      <c r="K747" s="6"/>
      <c r="L747" s="6"/>
      <c r="M747" s="451"/>
      <c r="N747" s="451"/>
      <c r="O747" s="6"/>
      <c r="P747" s="6"/>
      <c r="Q747" s="451"/>
      <c r="R747" s="451"/>
      <c r="S747" s="445">
        <f t="shared" si="72"/>
        <v>0</v>
      </c>
      <c r="T747" s="445">
        <f t="shared" si="73"/>
        <v>0</v>
      </c>
      <c r="U747" s="445">
        <f t="shared" si="74"/>
        <v>0</v>
      </c>
      <c r="W747" s="450"/>
      <c r="X747" s="450"/>
      <c r="Y747" s="441"/>
      <c r="Z747" s="441"/>
      <c r="AA747" s="441"/>
      <c r="AB747" s="441"/>
      <c r="AC747" s="441"/>
      <c r="AD747" s="441"/>
      <c r="AE747" s="441"/>
      <c r="AF747" s="441"/>
      <c r="AG747" s="441"/>
      <c r="AH747" s="441"/>
      <c r="AI747" s="441"/>
      <c r="AJ747" s="441"/>
      <c r="AK747" s="441"/>
      <c r="AL747" s="441"/>
      <c r="AM747" s="441"/>
      <c r="AN747" s="441"/>
      <c r="AO747" s="441"/>
      <c r="AP747" s="448"/>
      <c r="AQ747" s="448"/>
      <c r="AR747" s="448"/>
      <c r="AS747" s="448"/>
      <c r="AT747" s="448"/>
      <c r="AU747" s="448"/>
      <c r="AV747" s="448"/>
      <c r="AW747" s="448"/>
      <c r="AX747" s="448"/>
      <c r="AY747" s="448"/>
      <c r="AZ747" s="448"/>
      <c r="BA747" s="448"/>
      <c r="BB747" s="448"/>
      <c r="BC747" s="448"/>
      <c r="BD747" s="448"/>
      <c r="BE747" s="448"/>
      <c r="BF747" s="448"/>
    </row>
    <row r="748" spans="1:58" ht="12.75" hidden="1" thickBot="1">
      <c r="A748" s="1" t="s">
        <v>1277</v>
      </c>
      <c r="B748" s="2" t="s">
        <v>213</v>
      </c>
      <c r="C748" s="2" t="s">
        <v>1036</v>
      </c>
      <c r="D748" s="8" t="s">
        <v>459</v>
      </c>
      <c r="E748" s="460"/>
      <c r="F748" s="4"/>
      <c r="G748" s="449"/>
      <c r="H748" s="4"/>
      <c r="I748" s="4"/>
      <c r="J748" s="4"/>
      <c r="K748" s="4"/>
      <c r="L748" s="4"/>
      <c r="M748" s="449"/>
      <c r="N748" s="449"/>
      <c r="O748" s="4"/>
      <c r="P748" s="4"/>
      <c r="Q748" s="449"/>
      <c r="R748" s="449"/>
      <c r="S748" s="445">
        <f t="shared" si="72"/>
        <v>0</v>
      </c>
      <c r="T748" s="445">
        <f t="shared" si="73"/>
        <v>0</v>
      </c>
      <c r="U748" s="445">
        <f t="shared" si="74"/>
        <v>0</v>
      </c>
      <c r="W748" s="450"/>
      <c r="X748" s="450"/>
      <c r="Y748" s="441"/>
      <c r="Z748" s="441"/>
      <c r="AA748" s="441"/>
      <c r="AB748" s="441"/>
      <c r="AC748" s="441"/>
      <c r="AD748" s="441"/>
      <c r="AE748" s="441"/>
      <c r="AF748" s="441"/>
      <c r="AG748" s="441"/>
      <c r="AH748" s="441"/>
      <c r="AI748" s="441"/>
      <c r="AJ748" s="441"/>
      <c r="AK748" s="441"/>
      <c r="AL748" s="441"/>
      <c r="AM748" s="441"/>
      <c r="AN748" s="441"/>
      <c r="AO748" s="441"/>
      <c r="AP748" s="448"/>
      <c r="AQ748" s="448"/>
      <c r="AR748" s="448"/>
      <c r="AS748" s="448"/>
      <c r="AT748" s="448"/>
      <c r="AU748" s="448"/>
      <c r="AV748" s="448"/>
      <c r="AW748" s="448"/>
      <c r="AX748" s="448"/>
      <c r="AY748" s="448"/>
      <c r="AZ748" s="448"/>
      <c r="BA748" s="448"/>
      <c r="BB748" s="448"/>
      <c r="BC748" s="448"/>
      <c r="BD748" s="448"/>
      <c r="BE748" s="448"/>
      <c r="BF748" s="448"/>
    </row>
    <row r="749" spans="1:58" ht="12.75" hidden="1" thickBot="1">
      <c r="A749" s="1" t="s">
        <v>1277</v>
      </c>
      <c r="B749" s="2" t="s">
        <v>214</v>
      </c>
      <c r="C749" s="2" t="s">
        <v>1037</v>
      </c>
      <c r="D749" s="8" t="s">
        <v>459</v>
      </c>
      <c r="E749" s="459"/>
      <c r="F749" s="6"/>
      <c r="G749" s="451"/>
      <c r="H749" s="6"/>
      <c r="I749" s="6"/>
      <c r="J749" s="6"/>
      <c r="K749" s="6"/>
      <c r="L749" s="6"/>
      <c r="M749" s="451"/>
      <c r="N749" s="451"/>
      <c r="O749" s="6"/>
      <c r="P749" s="6"/>
      <c r="Q749" s="451"/>
      <c r="R749" s="451"/>
      <c r="S749" s="445">
        <f t="shared" si="72"/>
        <v>0</v>
      </c>
      <c r="T749" s="445">
        <f t="shared" si="73"/>
        <v>0</v>
      </c>
      <c r="U749" s="445">
        <f t="shared" si="74"/>
        <v>0</v>
      </c>
      <c r="W749" s="450"/>
      <c r="X749" s="450"/>
      <c r="Y749" s="441"/>
      <c r="Z749" s="441"/>
      <c r="AA749" s="441"/>
      <c r="AB749" s="441"/>
      <c r="AC749" s="441"/>
      <c r="AD749" s="441"/>
      <c r="AE749" s="441"/>
      <c r="AF749" s="441"/>
      <c r="AG749" s="441"/>
      <c r="AH749" s="441"/>
      <c r="AI749" s="441"/>
      <c r="AJ749" s="441"/>
      <c r="AK749" s="441"/>
      <c r="AL749" s="441"/>
      <c r="AM749" s="441"/>
      <c r="AN749" s="441"/>
      <c r="AO749" s="441"/>
      <c r="AP749" s="448"/>
      <c r="AQ749" s="448"/>
      <c r="AR749" s="448"/>
      <c r="AS749" s="448"/>
      <c r="AT749" s="448"/>
      <c r="AU749" s="448"/>
      <c r="AV749" s="448"/>
      <c r="AW749" s="448"/>
      <c r="AX749" s="448"/>
      <c r="AY749" s="448"/>
      <c r="AZ749" s="448"/>
      <c r="BA749" s="448"/>
      <c r="BB749" s="448"/>
      <c r="BC749" s="448"/>
      <c r="BD749" s="448"/>
      <c r="BE749" s="448"/>
      <c r="BF749" s="448"/>
    </row>
    <row r="750" spans="1:58" ht="12.75" hidden="1" thickBot="1">
      <c r="A750" s="1" t="s">
        <v>1277</v>
      </c>
      <c r="B750" s="2" t="s">
        <v>1231</v>
      </c>
      <c r="C750" s="2" t="s">
        <v>1232</v>
      </c>
      <c r="D750" s="8" t="s">
        <v>459</v>
      </c>
      <c r="E750" s="460"/>
      <c r="F750" s="4"/>
      <c r="G750" s="4"/>
      <c r="H750" s="4"/>
      <c r="I750" s="4"/>
      <c r="J750" s="4"/>
      <c r="K750" s="4"/>
      <c r="L750" s="4"/>
      <c r="M750" s="4"/>
      <c r="N750" s="4"/>
      <c r="O750" s="4"/>
      <c r="P750" s="4"/>
      <c r="Q750" s="4"/>
      <c r="R750" s="4"/>
      <c r="S750" s="445">
        <f t="shared" si="72"/>
        <v>0</v>
      </c>
      <c r="T750" s="445">
        <f t="shared" si="73"/>
        <v>0</v>
      </c>
      <c r="U750" s="445">
        <f t="shared" si="74"/>
        <v>0</v>
      </c>
      <c r="W750" s="450"/>
      <c r="X750" s="450"/>
      <c r="Y750" s="441"/>
      <c r="Z750" s="441"/>
      <c r="AA750" s="441"/>
      <c r="AB750" s="441"/>
      <c r="AC750" s="441"/>
      <c r="AD750" s="441"/>
      <c r="AE750" s="441"/>
      <c r="AF750" s="441"/>
      <c r="AG750" s="441"/>
      <c r="AH750" s="441"/>
      <c r="AI750" s="441"/>
      <c r="AJ750" s="441"/>
      <c r="AK750" s="441"/>
      <c r="AL750" s="441"/>
      <c r="AM750" s="441"/>
      <c r="AN750" s="441"/>
      <c r="AO750" s="441"/>
      <c r="AP750" s="448"/>
      <c r="AQ750" s="448"/>
      <c r="AR750" s="448"/>
      <c r="AS750" s="448"/>
      <c r="AT750" s="448"/>
      <c r="AU750" s="448"/>
      <c r="AV750" s="448"/>
      <c r="AW750" s="448"/>
      <c r="AX750" s="448"/>
      <c r="AY750" s="448"/>
      <c r="AZ750" s="448"/>
      <c r="BA750" s="448"/>
      <c r="BB750" s="448"/>
      <c r="BC750" s="448"/>
      <c r="BD750" s="448"/>
      <c r="BE750" s="448"/>
      <c r="BF750" s="448"/>
    </row>
    <row r="751" spans="1:58" ht="12.75" hidden="1" thickBot="1">
      <c r="A751" s="1" t="s">
        <v>1277</v>
      </c>
      <c r="B751" s="2" t="s">
        <v>215</v>
      </c>
      <c r="C751" s="2" t="s">
        <v>1038</v>
      </c>
      <c r="D751" s="8" t="s">
        <v>459</v>
      </c>
      <c r="E751" s="459"/>
      <c r="F751" s="6"/>
      <c r="G751" s="451"/>
      <c r="H751" s="6"/>
      <c r="I751" s="6"/>
      <c r="J751" s="6"/>
      <c r="K751" s="6"/>
      <c r="L751" s="6"/>
      <c r="M751" s="451"/>
      <c r="N751" s="451"/>
      <c r="O751" s="6"/>
      <c r="P751" s="6"/>
      <c r="Q751" s="451"/>
      <c r="R751" s="451"/>
      <c r="S751" s="445">
        <f t="shared" si="72"/>
        <v>0</v>
      </c>
      <c r="T751" s="445">
        <f t="shared" si="73"/>
        <v>0</v>
      </c>
      <c r="U751" s="445">
        <f t="shared" si="74"/>
        <v>0</v>
      </c>
      <c r="W751" s="450"/>
      <c r="X751" s="450"/>
      <c r="Y751" s="441"/>
      <c r="Z751" s="441"/>
      <c r="AA751" s="441"/>
      <c r="AB751" s="441"/>
      <c r="AC751" s="441"/>
      <c r="AD751" s="441"/>
      <c r="AE751" s="441"/>
      <c r="AF751" s="441"/>
      <c r="AG751" s="441"/>
      <c r="AH751" s="441"/>
      <c r="AI751" s="441"/>
      <c r="AJ751" s="441"/>
      <c r="AK751" s="441"/>
      <c r="AL751" s="441"/>
      <c r="AM751" s="441"/>
      <c r="AN751" s="441"/>
      <c r="AO751" s="441"/>
      <c r="AP751" s="448"/>
      <c r="AQ751" s="448"/>
      <c r="AR751" s="448"/>
      <c r="AS751" s="448"/>
      <c r="AT751" s="448"/>
      <c r="AU751" s="448"/>
      <c r="AV751" s="448"/>
      <c r="AW751" s="448"/>
      <c r="AX751" s="448"/>
      <c r="AY751" s="448"/>
      <c r="AZ751" s="448"/>
      <c r="BA751" s="448"/>
      <c r="BB751" s="448"/>
      <c r="BC751" s="448"/>
      <c r="BD751" s="448"/>
      <c r="BE751" s="448"/>
      <c r="BF751" s="448"/>
    </row>
    <row r="752" spans="1:58" ht="12.75" hidden="1" thickBot="1">
      <c r="A752" s="1" t="s">
        <v>1277</v>
      </c>
      <c r="B752" s="2" t="s">
        <v>216</v>
      </c>
      <c r="C752" s="2" t="s">
        <v>1039</v>
      </c>
      <c r="D752" s="8" t="s">
        <v>459</v>
      </c>
      <c r="E752" s="460"/>
      <c r="F752" s="4"/>
      <c r="G752" s="449"/>
      <c r="H752" s="4"/>
      <c r="I752" s="4"/>
      <c r="J752" s="4"/>
      <c r="K752" s="4"/>
      <c r="L752" s="4"/>
      <c r="M752" s="449"/>
      <c r="N752" s="449"/>
      <c r="O752" s="4"/>
      <c r="P752" s="4"/>
      <c r="Q752" s="449"/>
      <c r="R752" s="449"/>
      <c r="S752" s="445">
        <f t="shared" si="72"/>
        <v>0</v>
      </c>
      <c r="T752" s="445">
        <f t="shared" si="73"/>
        <v>0</v>
      </c>
      <c r="U752" s="445">
        <f t="shared" si="74"/>
        <v>0</v>
      </c>
      <c r="W752" s="450"/>
      <c r="X752" s="450"/>
      <c r="Y752" s="441"/>
      <c r="Z752" s="441"/>
      <c r="AA752" s="441"/>
      <c r="AB752" s="441"/>
      <c r="AC752" s="441"/>
      <c r="AD752" s="441"/>
      <c r="AE752" s="441"/>
      <c r="AF752" s="441"/>
      <c r="AG752" s="441"/>
      <c r="AH752" s="441"/>
      <c r="AI752" s="441"/>
      <c r="AJ752" s="441"/>
      <c r="AK752" s="441"/>
      <c r="AL752" s="441"/>
      <c r="AM752" s="441"/>
      <c r="AN752" s="441"/>
      <c r="AO752" s="441"/>
      <c r="AP752" s="448"/>
      <c r="AQ752" s="448"/>
      <c r="AR752" s="448"/>
      <c r="AS752" s="448"/>
      <c r="AT752" s="448"/>
      <c r="AU752" s="448"/>
      <c r="AV752" s="448"/>
      <c r="AW752" s="448"/>
      <c r="AX752" s="448"/>
      <c r="AY752" s="448"/>
      <c r="AZ752" s="448"/>
      <c r="BA752" s="448"/>
      <c r="BB752" s="448"/>
      <c r="BC752" s="448"/>
      <c r="BD752" s="448"/>
      <c r="BE752" s="448"/>
      <c r="BF752" s="448"/>
    </row>
    <row r="753" spans="1:58" ht="12.75" hidden="1" thickBot="1">
      <c r="A753" s="1" t="s">
        <v>1277</v>
      </c>
      <c r="B753" s="2" t="s">
        <v>217</v>
      </c>
      <c r="C753" s="2" t="s">
        <v>1040</v>
      </c>
      <c r="D753" s="8" t="s">
        <v>459</v>
      </c>
      <c r="E753" s="459"/>
      <c r="F753" s="6"/>
      <c r="G753" s="451"/>
      <c r="H753" s="6"/>
      <c r="I753" s="6"/>
      <c r="J753" s="6"/>
      <c r="K753" s="6"/>
      <c r="L753" s="6"/>
      <c r="M753" s="451"/>
      <c r="N753" s="451"/>
      <c r="O753" s="6"/>
      <c r="P753" s="6"/>
      <c r="Q753" s="451"/>
      <c r="R753" s="451"/>
      <c r="S753" s="445">
        <f t="shared" si="72"/>
        <v>0</v>
      </c>
      <c r="T753" s="445">
        <f t="shared" si="73"/>
        <v>0</v>
      </c>
      <c r="U753" s="445">
        <f t="shared" si="74"/>
        <v>0</v>
      </c>
      <c r="W753" s="450"/>
      <c r="X753" s="450"/>
      <c r="Y753" s="441"/>
      <c r="Z753" s="441"/>
      <c r="AA753" s="441"/>
      <c r="AB753" s="441"/>
      <c r="AC753" s="441"/>
      <c r="AD753" s="441"/>
      <c r="AE753" s="441"/>
      <c r="AF753" s="441"/>
      <c r="AG753" s="441"/>
      <c r="AH753" s="441"/>
      <c r="AI753" s="441"/>
      <c r="AJ753" s="441"/>
      <c r="AK753" s="441"/>
      <c r="AL753" s="441"/>
      <c r="AM753" s="441"/>
      <c r="AN753" s="441"/>
      <c r="AO753" s="441"/>
      <c r="AP753" s="448"/>
      <c r="AQ753" s="448"/>
      <c r="AR753" s="448"/>
      <c r="AS753" s="448"/>
      <c r="AT753" s="448"/>
      <c r="AU753" s="448"/>
      <c r="AV753" s="448"/>
      <c r="AW753" s="448"/>
      <c r="AX753" s="448"/>
      <c r="AY753" s="448"/>
      <c r="AZ753" s="448"/>
      <c r="BA753" s="448"/>
      <c r="BB753" s="448"/>
      <c r="BC753" s="448"/>
      <c r="BD753" s="448"/>
      <c r="BE753" s="448"/>
      <c r="BF753" s="448"/>
    </row>
    <row r="754" spans="1:58" ht="12.75" hidden="1" thickBot="1">
      <c r="A754" s="1" t="s">
        <v>1277</v>
      </c>
      <c r="B754" s="2" t="s">
        <v>344</v>
      </c>
      <c r="C754" s="2" t="s">
        <v>1041</v>
      </c>
      <c r="D754" s="8" t="s">
        <v>459</v>
      </c>
      <c r="E754" s="460"/>
      <c r="F754" s="4"/>
      <c r="G754" s="449"/>
      <c r="H754" s="4"/>
      <c r="I754" s="4"/>
      <c r="J754" s="4"/>
      <c r="K754" s="4"/>
      <c r="L754" s="4"/>
      <c r="M754" s="449"/>
      <c r="N754" s="449"/>
      <c r="O754" s="4"/>
      <c r="P754" s="4"/>
      <c r="Q754" s="449"/>
      <c r="R754" s="449"/>
      <c r="S754" s="445">
        <f t="shared" si="72"/>
        <v>0</v>
      </c>
      <c r="T754" s="445">
        <f t="shared" si="73"/>
        <v>0</v>
      </c>
      <c r="U754" s="445">
        <f t="shared" si="74"/>
        <v>0</v>
      </c>
      <c r="W754" s="450"/>
      <c r="X754" s="450"/>
      <c r="Y754" s="441"/>
      <c r="Z754" s="441"/>
      <c r="AA754" s="441"/>
      <c r="AB754" s="441"/>
      <c r="AC754" s="441"/>
      <c r="AD754" s="441"/>
      <c r="AE754" s="441"/>
      <c r="AF754" s="441"/>
      <c r="AG754" s="441"/>
      <c r="AH754" s="441"/>
      <c r="AI754" s="441"/>
      <c r="AJ754" s="441"/>
      <c r="AK754" s="441"/>
      <c r="AL754" s="441"/>
      <c r="AM754" s="441"/>
      <c r="AN754" s="441"/>
      <c r="AO754" s="441"/>
      <c r="AP754" s="448"/>
      <c r="AQ754" s="448"/>
      <c r="AR754" s="448"/>
      <c r="AS754" s="448"/>
      <c r="AT754" s="448"/>
      <c r="AU754" s="448"/>
      <c r="AV754" s="448"/>
      <c r="AW754" s="448"/>
      <c r="AX754" s="448"/>
      <c r="AY754" s="448"/>
      <c r="AZ754" s="448"/>
      <c r="BA754" s="448"/>
      <c r="BB754" s="448"/>
      <c r="BC754" s="448"/>
      <c r="BD754" s="448"/>
      <c r="BE754" s="448"/>
      <c r="BF754" s="448"/>
    </row>
    <row r="755" spans="1:58" ht="12.75" hidden="1" thickBot="1">
      <c r="A755" s="1" t="s">
        <v>1277</v>
      </c>
      <c r="B755" s="2" t="s">
        <v>1233</v>
      </c>
      <c r="C755" s="2" t="s">
        <v>1234</v>
      </c>
      <c r="D755" s="8" t="s">
        <v>459</v>
      </c>
      <c r="E755" s="459"/>
      <c r="F755" s="6"/>
      <c r="G755" s="6"/>
      <c r="H755" s="6"/>
      <c r="I755" s="6"/>
      <c r="J755" s="6"/>
      <c r="K755" s="6"/>
      <c r="L755" s="6"/>
      <c r="M755" s="6"/>
      <c r="N755" s="6"/>
      <c r="O755" s="6"/>
      <c r="P755" s="6"/>
      <c r="Q755" s="6"/>
      <c r="R755" s="6"/>
      <c r="S755" s="445">
        <f t="shared" si="72"/>
        <v>0</v>
      </c>
      <c r="T755" s="445">
        <f t="shared" si="73"/>
        <v>0</v>
      </c>
      <c r="U755" s="445">
        <f t="shared" si="74"/>
        <v>0</v>
      </c>
      <c r="W755" s="450"/>
      <c r="X755" s="450"/>
      <c r="Y755" s="441"/>
      <c r="Z755" s="441"/>
      <c r="AA755" s="441"/>
      <c r="AB755" s="441"/>
      <c r="AC755" s="441"/>
      <c r="AD755" s="441"/>
      <c r="AE755" s="441"/>
      <c r="AF755" s="441"/>
      <c r="AG755" s="441"/>
      <c r="AH755" s="441"/>
      <c r="AI755" s="441"/>
      <c r="AJ755" s="441"/>
      <c r="AK755" s="441"/>
      <c r="AL755" s="441"/>
      <c r="AM755" s="441"/>
      <c r="AN755" s="441"/>
      <c r="AO755" s="441"/>
      <c r="AP755" s="448"/>
      <c r="AQ755" s="448"/>
      <c r="AR755" s="448"/>
      <c r="AS755" s="448"/>
      <c r="AT755" s="448"/>
      <c r="AU755" s="448"/>
      <c r="AV755" s="448"/>
      <c r="AW755" s="448"/>
      <c r="AX755" s="448"/>
      <c r="AY755" s="448"/>
      <c r="AZ755" s="448"/>
      <c r="BA755" s="448"/>
      <c r="BB755" s="448"/>
      <c r="BC755" s="448"/>
      <c r="BD755" s="448"/>
      <c r="BE755" s="448"/>
      <c r="BF755" s="448"/>
    </row>
    <row r="756" spans="1:58" ht="12.75" hidden="1" thickBot="1">
      <c r="A756" s="1" t="s">
        <v>1277</v>
      </c>
      <c r="B756" s="2" t="s">
        <v>218</v>
      </c>
      <c r="C756" s="2" t="s">
        <v>1042</v>
      </c>
      <c r="D756" s="8" t="s">
        <v>459</v>
      </c>
      <c r="E756" s="460"/>
      <c r="F756" s="4"/>
      <c r="G756" s="449"/>
      <c r="H756" s="4"/>
      <c r="I756" s="4"/>
      <c r="J756" s="4"/>
      <c r="K756" s="4"/>
      <c r="L756" s="4"/>
      <c r="M756" s="449"/>
      <c r="N756" s="449"/>
      <c r="O756" s="4"/>
      <c r="P756" s="4"/>
      <c r="Q756" s="449"/>
      <c r="R756" s="449"/>
      <c r="S756" s="445">
        <f t="shared" si="72"/>
        <v>0</v>
      </c>
      <c r="T756" s="445">
        <f t="shared" si="73"/>
        <v>0</v>
      </c>
      <c r="U756" s="445">
        <f t="shared" si="74"/>
        <v>0</v>
      </c>
      <c r="W756" s="450"/>
      <c r="X756" s="450"/>
      <c r="Y756" s="441"/>
      <c r="Z756" s="441"/>
      <c r="AA756" s="441"/>
      <c r="AB756" s="441"/>
      <c r="AC756" s="441"/>
      <c r="AD756" s="441"/>
      <c r="AE756" s="441"/>
      <c r="AF756" s="441"/>
      <c r="AG756" s="441"/>
      <c r="AH756" s="441"/>
      <c r="AI756" s="441"/>
      <c r="AJ756" s="441"/>
      <c r="AK756" s="441"/>
      <c r="AL756" s="441"/>
      <c r="AM756" s="441"/>
      <c r="AN756" s="441"/>
      <c r="AO756" s="441"/>
      <c r="AP756" s="448"/>
      <c r="AQ756" s="448"/>
      <c r="AR756" s="448"/>
      <c r="AS756" s="448"/>
      <c r="AT756" s="448"/>
      <c r="AU756" s="448"/>
      <c r="AV756" s="448"/>
      <c r="AW756" s="448"/>
      <c r="AX756" s="448"/>
      <c r="AY756" s="448"/>
      <c r="AZ756" s="448"/>
      <c r="BA756" s="448"/>
      <c r="BB756" s="448"/>
      <c r="BC756" s="448"/>
      <c r="BD756" s="448"/>
      <c r="BE756" s="448"/>
      <c r="BF756" s="448"/>
    </row>
    <row r="757" spans="1:58" ht="12.75" hidden="1" thickBot="1">
      <c r="A757" s="1" t="s">
        <v>1277</v>
      </c>
      <c r="B757" s="2" t="s">
        <v>223</v>
      </c>
      <c r="C757" s="2" t="s">
        <v>1043</v>
      </c>
      <c r="D757" s="8" t="s">
        <v>459</v>
      </c>
      <c r="E757" s="459"/>
      <c r="F757" s="6"/>
      <c r="G757" s="451"/>
      <c r="H757" s="6"/>
      <c r="I757" s="6"/>
      <c r="J757" s="6"/>
      <c r="K757" s="6"/>
      <c r="L757" s="6"/>
      <c r="M757" s="451"/>
      <c r="N757" s="451"/>
      <c r="O757" s="6"/>
      <c r="P757" s="6"/>
      <c r="Q757" s="451"/>
      <c r="R757" s="451"/>
      <c r="S757" s="445">
        <f t="shared" si="72"/>
        <v>0</v>
      </c>
      <c r="T757" s="445">
        <f t="shared" si="73"/>
        <v>0</v>
      </c>
      <c r="U757" s="445">
        <f t="shared" si="74"/>
        <v>0</v>
      </c>
      <c r="W757" s="450"/>
      <c r="X757" s="450"/>
      <c r="Y757" s="441"/>
      <c r="Z757" s="441"/>
      <c r="AA757" s="441"/>
      <c r="AB757" s="441"/>
      <c r="AC757" s="441"/>
      <c r="AD757" s="441"/>
      <c r="AE757" s="441"/>
      <c r="AF757" s="441"/>
      <c r="AG757" s="441"/>
      <c r="AH757" s="441"/>
      <c r="AI757" s="441"/>
      <c r="AJ757" s="441"/>
      <c r="AK757" s="441"/>
      <c r="AL757" s="441"/>
      <c r="AM757" s="441"/>
      <c r="AN757" s="441"/>
      <c r="AO757" s="441"/>
      <c r="AP757" s="448"/>
      <c r="AQ757" s="448"/>
      <c r="AR757" s="448"/>
      <c r="AS757" s="448"/>
      <c r="AT757" s="448"/>
      <c r="AU757" s="448"/>
      <c r="AV757" s="448"/>
      <c r="AW757" s="448"/>
      <c r="AX757" s="448"/>
      <c r="AY757" s="448"/>
      <c r="AZ757" s="448"/>
      <c r="BA757" s="448"/>
      <c r="BB757" s="448"/>
      <c r="BC757" s="448"/>
      <c r="BD757" s="448"/>
      <c r="BE757" s="448"/>
      <c r="BF757" s="448"/>
    </row>
    <row r="758" spans="1:58" ht="12.75" hidden="1" thickBot="1">
      <c r="A758" s="1" t="s">
        <v>1277</v>
      </c>
      <c r="B758" s="2" t="s">
        <v>231</v>
      </c>
      <c r="C758" s="2" t="s">
        <v>1044</v>
      </c>
      <c r="D758" s="8" t="s">
        <v>459</v>
      </c>
      <c r="E758" s="460"/>
      <c r="F758" s="4"/>
      <c r="G758" s="449"/>
      <c r="H758" s="4"/>
      <c r="I758" s="4"/>
      <c r="J758" s="4"/>
      <c r="K758" s="4"/>
      <c r="L758" s="4"/>
      <c r="M758" s="449"/>
      <c r="N758" s="449"/>
      <c r="O758" s="4"/>
      <c r="P758" s="4"/>
      <c r="Q758" s="449"/>
      <c r="R758" s="449"/>
      <c r="S758" s="445">
        <f t="shared" si="72"/>
        <v>0</v>
      </c>
      <c r="T758" s="445">
        <f t="shared" si="73"/>
        <v>0</v>
      </c>
      <c r="U758" s="445">
        <f t="shared" si="74"/>
        <v>0</v>
      </c>
      <c r="W758" s="450"/>
      <c r="X758" s="450"/>
      <c r="Y758" s="441"/>
      <c r="Z758" s="441"/>
      <c r="AA758" s="441"/>
      <c r="AB758" s="441"/>
      <c r="AC758" s="441"/>
      <c r="AD758" s="441"/>
      <c r="AE758" s="441"/>
      <c r="AF758" s="441"/>
      <c r="AG758" s="441"/>
      <c r="AH758" s="441"/>
      <c r="AI758" s="441"/>
      <c r="AJ758" s="441"/>
      <c r="AK758" s="441"/>
      <c r="AL758" s="441"/>
      <c r="AM758" s="441"/>
      <c r="AN758" s="441"/>
      <c r="AO758" s="441"/>
      <c r="AP758" s="448"/>
      <c r="AQ758" s="448"/>
      <c r="AR758" s="448"/>
      <c r="AS758" s="448"/>
      <c r="AT758" s="448"/>
      <c r="AU758" s="448"/>
      <c r="AV758" s="448"/>
      <c r="AW758" s="448"/>
      <c r="AX758" s="448"/>
      <c r="AY758" s="448"/>
      <c r="AZ758" s="448"/>
      <c r="BA758" s="448"/>
      <c r="BB758" s="448"/>
      <c r="BC758" s="448"/>
      <c r="BD758" s="448"/>
      <c r="BE758" s="448"/>
      <c r="BF758" s="448"/>
    </row>
    <row r="759" spans="1:58" ht="12.75" hidden="1" thickBot="1">
      <c r="A759" s="1" t="s">
        <v>1277</v>
      </c>
      <c r="B759" s="2" t="s">
        <v>232</v>
      </c>
      <c r="C759" s="2" t="s">
        <v>1045</v>
      </c>
      <c r="D759" s="8" t="s">
        <v>459</v>
      </c>
      <c r="E759" s="459"/>
      <c r="F759" s="6"/>
      <c r="G759" s="451"/>
      <c r="H759" s="6"/>
      <c r="I759" s="6"/>
      <c r="J759" s="6"/>
      <c r="K759" s="6"/>
      <c r="L759" s="6"/>
      <c r="M759" s="451"/>
      <c r="N759" s="451"/>
      <c r="O759" s="6"/>
      <c r="P759" s="6"/>
      <c r="Q759" s="451"/>
      <c r="R759" s="451"/>
      <c r="S759" s="445">
        <f t="shared" si="72"/>
        <v>0</v>
      </c>
      <c r="T759" s="445">
        <f t="shared" si="73"/>
        <v>0</v>
      </c>
      <c r="U759" s="445">
        <f t="shared" si="74"/>
        <v>0</v>
      </c>
      <c r="W759" s="450"/>
      <c r="X759" s="450"/>
      <c r="Y759" s="441"/>
      <c r="Z759" s="441"/>
      <c r="AA759" s="441"/>
      <c r="AB759" s="441"/>
      <c r="AC759" s="441"/>
      <c r="AD759" s="441"/>
      <c r="AE759" s="441"/>
      <c r="AF759" s="441"/>
      <c r="AG759" s="441"/>
      <c r="AH759" s="441"/>
      <c r="AI759" s="441"/>
      <c r="AJ759" s="441"/>
      <c r="AK759" s="441"/>
      <c r="AL759" s="441"/>
      <c r="AM759" s="441"/>
      <c r="AN759" s="441"/>
      <c r="AO759" s="441"/>
      <c r="AP759" s="448"/>
      <c r="AQ759" s="448"/>
      <c r="AR759" s="448"/>
      <c r="AS759" s="448"/>
      <c r="AT759" s="448"/>
      <c r="AU759" s="448"/>
      <c r="AV759" s="448"/>
      <c r="AW759" s="448"/>
      <c r="AX759" s="448"/>
      <c r="AY759" s="448"/>
      <c r="AZ759" s="448"/>
      <c r="BA759" s="448"/>
      <c r="BB759" s="448"/>
      <c r="BC759" s="448"/>
      <c r="BD759" s="448"/>
      <c r="BE759" s="448"/>
      <c r="BF759" s="448"/>
    </row>
    <row r="760" spans="1:58" ht="12.75" hidden="1" thickBot="1">
      <c r="A760" s="1" t="s">
        <v>1277</v>
      </c>
      <c r="B760" s="2" t="s">
        <v>234</v>
      </c>
      <c r="C760" s="2" t="s">
        <v>1046</v>
      </c>
      <c r="D760" s="8" t="s">
        <v>459</v>
      </c>
      <c r="E760" s="460"/>
      <c r="F760" s="4"/>
      <c r="G760" s="449"/>
      <c r="H760" s="4"/>
      <c r="I760" s="4"/>
      <c r="J760" s="4"/>
      <c r="K760" s="4"/>
      <c r="L760" s="4"/>
      <c r="M760" s="449"/>
      <c r="N760" s="449"/>
      <c r="O760" s="4"/>
      <c r="P760" s="4"/>
      <c r="Q760" s="449"/>
      <c r="R760" s="449"/>
      <c r="S760" s="445">
        <f t="shared" si="72"/>
        <v>0</v>
      </c>
      <c r="T760" s="445">
        <f t="shared" si="73"/>
        <v>0</v>
      </c>
      <c r="U760" s="445">
        <f t="shared" si="74"/>
        <v>0</v>
      </c>
      <c r="W760" s="450"/>
      <c r="X760" s="450"/>
      <c r="Y760" s="441"/>
      <c r="Z760" s="441"/>
      <c r="AA760" s="441"/>
      <c r="AB760" s="441"/>
      <c r="AC760" s="441"/>
      <c r="AD760" s="441"/>
      <c r="AE760" s="441"/>
      <c r="AF760" s="441"/>
      <c r="AG760" s="441"/>
      <c r="AH760" s="441"/>
      <c r="AI760" s="441"/>
      <c r="AJ760" s="441"/>
      <c r="AK760" s="441"/>
      <c r="AL760" s="441"/>
      <c r="AM760" s="441"/>
      <c r="AN760" s="441"/>
      <c r="AO760" s="441"/>
      <c r="AP760" s="448"/>
      <c r="AQ760" s="448"/>
      <c r="AR760" s="448"/>
      <c r="AS760" s="448"/>
      <c r="AT760" s="448"/>
      <c r="AU760" s="448"/>
      <c r="AV760" s="448"/>
      <c r="AW760" s="448"/>
      <c r="AX760" s="448"/>
      <c r="AY760" s="448"/>
      <c r="AZ760" s="448"/>
      <c r="BA760" s="448"/>
      <c r="BB760" s="448"/>
      <c r="BC760" s="448"/>
      <c r="BD760" s="448"/>
      <c r="BE760" s="448"/>
      <c r="BF760" s="448"/>
    </row>
    <row r="761" spans="1:58" ht="12.75" hidden="1" thickBot="1">
      <c r="A761" s="1" t="s">
        <v>1277</v>
      </c>
      <c r="B761" s="2" t="s">
        <v>353</v>
      </c>
      <c r="C761" s="2" t="s">
        <v>1047</v>
      </c>
      <c r="D761" s="8" t="s">
        <v>459</v>
      </c>
      <c r="E761" s="459"/>
      <c r="F761" s="6"/>
      <c r="G761" s="451"/>
      <c r="H761" s="6"/>
      <c r="I761" s="6"/>
      <c r="J761" s="6"/>
      <c r="K761" s="6"/>
      <c r="L761" s="6"/>
      <c r="M761" s="451"/>
      <c r="N761" s="451"/>
      <c r="O761" s="6"/>
      <c r="P761" s="6"/>
      <c r="Q761" s="451"/>
      <c r="R761" s="451"/>
      <c r="S761" s="445">
        <f t="shared" si="72"/>
        <v>0</v>
      </c>
      <c r="T761" s="445">
        <f t="shared" si="73"/>
        <v>0</v>
      </c>
      <c r="U761" s="445">
        <f t="shared" si="74"/>
        <v>0</v>
      </c>
      <c r="W761" s="450"/>
      <c r="X761" s="450"/>
      <c r="Y761" s="441"/>
      <c r="Z761" s="441"/>
      <c r="AA761" s="441"/>
      <c r="AB761" s="441"/>
      <c r="AC761" s="441"/>
      <c r="AD761" s="441"/>
      <c r="AE761" s="441"/>
      <c r="AF761" s="441"/>
      <c r="AG761" s="441"/>
      <c r="AH761" s="441"/>
      <c r="AI761" s="441"/>
      <c r="AJ761" s="441"/>
      <c r="AK761" s="441"/>
      <c r="AL761" s="441"/>
      <c r="AM761" s="441"/>
      <c r="AN761" s="441"/>
      <c r="AO761" s="441"/>
      <c r="AP761" s="448"/>
      <c r="AQ761" s="448"/>
      <c r="AR761" s="448"/>
      <c r="AS761" s="448"/>
      <c r="AT761" s="448"/>
      <c r="AU761" s="448"/>
      <c r="AV761" s="448"/>
      <c r="AW761" s="448"/>
      <c r="AX761" s="448"/>
      <c r="AY761" s="448"/>
      <c r="AZ761" s="448"/>
      <c r="BA761" s="448"/>
      <c r="BB761" s="448"/>
      <c r="BC761" s="448"/>
      <c r="BD761" s="448"/>
      <c r="BE761" s="448"/>
      <c r="BF761" s="448"/>
    </row>
    <row r="762" spans="1:58" ht="12.75" hidden="1" thickBot="1">
      <c r="A762" s="1" t="s">
        <v>1277</v>
      </c>
      <c r="B762" s="2" t="s">
        <v>235</v>
      </c>
      <c r="C762" s="2" t="s">
        <v>1048</v>
      </c>
      <c r="D762" s="8" t="s">
        <v>459</v>
      </c>
      <c r="E762" s="460"/>
      <c r="F762" s="4"/>
      <c r="G762" s="449"/>
      <c r="H762" s="4"/>
      <c r="I762" s="4"/>
      <c r="J762" s="4"/>
      <c r="K762" s="4"/>
      <c r="L762" s="4"/>
      <c r="M762" s="449"/>
      <c r="N762" s="449"/>
      <c r="O762" s="4"/>
      <c r="P762" s="4"/>
      <c r="Q762" s="449"/>
      <c r="R762" s="449"/>
      <c r="S762" s="445">
        <f t="shared" si="72"/>
        <v>0</v>
      </c>
      <c r="T762" s="445">
        <f t="shared" si="73"/>
        <v>0</v>
      </c>
      <c r="U762" s="445">
        <f t="shared" si="74"/>
        <v>0</v>
      </c>
      <c r="W762" s="450"/>
      <c r="X762" s="450"/>
      <c r="Y762" s="441"/>
      <c r="Z762" s="441"/>
      <c r="AA762" s="441"/>
      <c r="AB762" s="441"/>
      <c r="AC762" s="441"/>
      <c r="AD762" s="441"/>
      <c r="AE762" s="441"/>
      <c r="AF762" s="441"/>
      <c r="AG762" s="441"/>
      <c r="AH762" s="441"/>
      <c r="AI762" s="441"/>
      <c r="AJ762" s="441"/>
      <c r="AK762" s="441"/>
      <c r="AL762" s="441"/>
      <c r="AM762" s="441"/>
      <c r="AN762" s="441"/>
      <c r="AO762" s="441"/>
      <c r="AP762" s="448"/>
      <c r="AQ762" s="448"/>
      <c r="AR762" s="448"/>
      <c r="AS762" s="448"/>
      <c r="AT762" s="448"/>
      <c r="AU762" s="448"/>
      <c r="AV762" s="448"/>
      <c r="AW762" s="448"/>
      <c r="AX762" s="448"/>
      <c r="AY762" s="448"/>
      <c r="AZ762" s="448"/>
      <c r="BA762" s="448"/>
      <c r="BB762" s="448"/>
      <c r="BC762" s="448"/>
      <c r="BD762" s="448"/>
      <c r="BE762" s="448"/>
      <c r="BF762" s="448"/>
    </row>
    <row r="763" spans="1:58" ht="12.75" hidden="1" thickBot="1">
      <c r="A763" s="1" t="s">
        <v>1277</v>
      </c>
      <c r="B763" s="2" t="s">
        <v>236</v>
      </c>
      <c r="C763" s="2" t="s">
        <v>1049</v>
      </c>
      <c r="D763" s="8" t="s">
        <v>459</v>
      </c>
      <c r="E763" s="459"/>
      <c r="F763" s="6"/>
      <c r="G763" s="451"/>
      <c r="H763" s="6"/>
      <c r="I763" s="6"/>
      <c r="J763" s="6"/>
      <c r="K763" s="6"/>
      <c r="L763" s="6"/>
      <c r="M763" s="451"/>
      <c r="N763" s="451"/>
      <c r="O763" s="6"/>
      <c r="P763" s="6"/>
      <c r="Q763" s="451"/>
      <c r="R763" s="451"/>
      <c r="S763" s="445">
        <f t="shared" si="72"/>
        <v>0</v>
      </c>
      <c r="T763" s="445">
        <f t="shared" si="73"/>
        <v>0</v>
      </c>
      <c r="U763" s="445">
        <f t="shared" si="74"/>
        <v>0</v>
      </c>
      <c r="W763" s="450"/>
      <c r="X763" s="450"/>
      <c r="Y763" s="441"/>
      <c r="Z763" s="441"/>
      <c r="AA763" s="441"/>
      <c r="AB763" s="441"/>
      <c r="AC763" s="441"/>
      <c r="AD763" s="441"/>
      <c r="AE763" s="441"/>
      <c r="AF763" s="441"/>
      <c r="AG763" s="441"/>
      <c r="AH763" s="441"/>
      <c r="AI763" s="441"/>
      <c r="AJ763" s="441"/>
      <c r="AK763" s="441"/>
      <c r="AL763" s="441"/>
      <c r="AM763" s="441"/>
      <c r="AN763" s="441"/>
      <c r="AO763" s="441"/>
      <c r="AP763" s="448"/>
      <c r="AQ763" s="448"/>
      <c r="AR763" s="448"/>
      <c r="AS763" s="448"/>
      <c r="AT763" s="448"/>
      <c r="AU763" s="448"/>
      <c r="AV763" s="448"/>
      <c r="AW763" s="448"/>
      <c r="AX763" s="448"/>
      <c r="AY763" s="448"/>
      <c r="AZ763" s="448"/>
      <c r="BA763" s="448"/>
      <c r="BB763" s="448"/>
      <c r="BC763" s="448"/>
      <c r="BD763" s="448"/>
      <c r="BE763" s="448"/>
      <c r="BF763" s="448"/>
    </row>
    <row r="764" spans="1:58" ht="12.75" hidden="1" thickBot="1">
      <c r="A764" s="1" t="s">
        <v>1277</v>
      </c>
      <c r="B764" s="2" t="s">
        <v>354</v>
      </c>
      <c r="C764" s="2" t="s">
        <v>1050</v>
      </c>
      <c r="D764" s="8" t="s">
        <v>459</v>
      </c>
      <c r="E764" s="460"/>
      <c r="F764" s="4"/>
      <c r="G764" s="449"/>
      <c r="H764" s="4"/>
      <c r="I764" s="4"/>
      <c r="J764" s="4"/>
      <c r="K764" s="4"/>
      <c r="L764" s="4"/>
      <c r="M764" s="449"/>
      <c r="N764" s="449"/>
      <c r="O764" s="4"/>
      <c r="P764" s="4"/>
      <c r="Q764" s="449"/>
      <c r="R764" s="449"/>
      <c r="S764" s="445">
        <f t="shared" si="72"/>
        <v>0</v>
      </c>
      <c r="T764" s="445">
        <f t="shared" si="73"/>
        <v>0</v>
      </c>
      <c r="U764" s="445">
        <f t="shared" si="74"/>
        <v>0</v>
      </c>
      <c r="W764" s="450"/>
      <c r="X764" s="450"/>
      <c r="Y764" s="441"/>
      <c r="Z764" s="441"/>
      <c r="AA764" s="441"/>
      <c r="AB764" s="441"/>
      <c r="AC764" s="441"/>
      <c r="AD764" s="441"/>
      <c r="AE764" s="441"/>
      <c r="AF764" s="441"/>
      <c r="AG764" s="441"/>
      <c r="AH764" s="441"/>
      <c r="AI764" s="441"/>
      <c r="AJ764" s="441"/>
      <c r="AK764" s="441"/>
      <c r="AL764" s="441"/>
      <c r="AM764" s="441"/>
      <c r="AN764" s="441"/>
      <c r="AO764" s="441"/>
      <c r="AP764" s="448"/>
      <c r="AQ764" s="448"/>
      <c r="AR764" s="448"/>
      <c r="AS764" s="448"/>
      <c r="AT764" s="448"/>
      <c r="AU764" s="448"/>
      <c r="AV764" s="448"/>
      <c r="AW764" s="448"/>
      <c r="AX764" s="448"/>
      <c r="AY764" s="448"/>
      <c r="AZ764" s="448"/>
      <c r="BA764" s="448"/>
      <c r="BB764" s="448"/>
      <c r="BC764" s="448"/>
      <c r="BD764" s="448"/>
      <c r="BE764" s="448"/>
      <c r="BF764" s="448"/>
    </row>
    <row r="765" spans="1:58" ht="12.75" hidden="1" thickBot="1">
      <c r="A765" s="1" t="s">
        <v>1277</v>
      </c>
      <c r="B765" s="2" t="s">
        <v>355</v>
      </c>
      <c r="C765" s="2" t="s">
        <v>1051</v>
      </c>
      <c r="D765" s="8" t="s">
        <v>459</v>
      </c>
      <c r="E765" s="459"/>
      <c r="F765" s="6"/>
      <c r="G765" s="451"/>
      <c r="H765" s="6"/>
      <c r="I765" s="6"/>
      <c r="J765" s="6"/>
      <c r="K765" s="6"/>
      <c r="L765" s="6"/>
      <c r="M765" s="451"/>
      <c r="N765" s="451"/>
      <c r="O765" s="6"/>
      <c r="P765" s="6"/>
      <c r="Q765" s="451"/>
      <c r="R765" s="451"/>
      <c r="S765" s="445">
        <f t="shared" si="72"/>
        <v>0</v>
      </c>
      <c r="T765" s="445">
        <f t="shared" si="73"/>
        <v>0</v>
      </c>
      <c r="U765" s="445">
        <f t="shared" si="74"/>
        <v>0</v>
      </c>
      <c r="W765" s="450"/>
      <c r="X765" s="450"/>
      <c r="Y765" s="441"/>
      <c r="Z765" s="441"/>
      <c r="AA765" s="441"/>
      <c r="AB765" s="441"/>
      <c r="AC765" s="441"/>
      <c r="AD765" s="441"/>
      <c r="AE765" s="441"/>
      <c r="AF765" s="441"/>
      <c r="AG765" s="441"/>
      <c r="AH765" s="441"/>
      <c r="AI765" s="441"/>
      <c r="AJ765" s="441"/>
      <c r="AK765" s="441"/>
      <c r="AL765" s="441"/>
      <c r="AM765" s="441"/>
      <c r="AN765" s="441"/>
      <c r="AO765" s="441"/>
      <c r="AP765" s="448"/>
      <c r="AQ765" s="448"/>
      <c r="AR765" s="448"/>
      <c r="AS765" s="448"/>
      <c r="AT765" s="448"/>
      <c r="AU765" s="448"/>
      <c r="AV765" s="448"/>
      <c r="AW765" s="448"/>
      <c r="AX765" s="448"/>
      <c r="AY765" s="448"/>
      <c r="AZ765" s="448"/>
      <c r="BA765" s="448"/>
      <c r="BB765" s="448"/>
      <c r="BC765" s="448"/>
      <c r="BD765" s="448"/>
      <c r="BE765" s="448"/>
      <c r="BF765" s="448"/>
    </row>
    <row r="766" spans="1:58" ht="12.75" hidden="1" thickBot="1">
      <c r="A766" s="1" t="s">
        <v>1277</v>
      </c>
      <c r="B766" s="2" t="s">
        <v>359</v>
      </c>
      <c r="C766" s="2" t="s">
        <v>1052</v>
      </c>
      <c r="D766" s="8" t="s">
        <v>459</v>
      </c>
      <c r="E766" s="460"/>
      <c r="F766" s="4"/>
      <c r="G766" s="449"/>
      <c r="H766" s="4"/>
      <c r="I766" s="4"/>
      <c r="J766" s="4"/>
      <c r="K766" s="4"/>
      <c r="L766" s="4"/>
      <c r="M766" s="449"/>
      <c r="N766" s="449"/>
      <c r="O766" s="4"/>
      <c r="P766" s="4"/>
      <c r="Q766" s="449"/>
      <c r="R766" s="449"/>
      <c r="S766" s="445">
        <f t="shared" si="72"/>
        <v>0</v>
      </c>
      <c r="T766" s="445">
        <f t="shared" si="73"/>
        <v>0</v>
      </c>
      <c r="U766" s="445">
        <f t="shared" si="74"/>
        <v>0</v>
      </c>
      <c r="W766" s="450"/>
      <c r="X766" s="450"/>
      <c r="Y766" s="441"/>
      <c r="Z766" s="441"/>
      <c r="AA766" s="441"/>
      <c r="AB766" s="441"/>
      <c r="AC766" s="441"/>
      <c r="AD766" s="441"/>
      <c r="AE766" s="441"/>
      <c r="AF766" s="441"/>
      <c r="AG766" s="441"/>
      <c r="AH766" s="441"/>
      <c r="AI766" s="441"/>
      <c r="AJ766" s="441"/>
      <c r="AK766" s="441"/>
      <c r="AL766" s="441"/>
      <c r="AM766" s="441"/>
      <c r="AN766" s="441"/>
      <c r="AO766" s="441"/>
      <c r="AP766" s="448"/>
      <c r="AQ766" s="448"/>
      <c r="AR766" s="448"/>
      <c r="AS766" s="448"/>
      <c r="AT766" s="448"/>
      <c r="AU766" s="448"/>
      <c r="AV766" s="448"/>
      <c r="AW766" s="448"/>
      <c r="AX766" s="448"/>
      <c r="AY766" s="448"/>
      <c r="AZ766" s="448"/>
      <c r="BA766" s="448"/>
      <c r="BB766" s="448"/>
      <c r="BC766" s="448"/>
      <c r="BD766" s="448"/>
      <c r="BE766" s="448"/>
      <c r="BF766" s="448"/>
    </row>
    <row r="767" spans="1:58" ht="12.75" hidden="1" thickBot="1">
      <c r="A767" s="1" t="s">
        <v>1277</v>
      </c>
      <c r="B767" s="2" t="s">
        <v>356</v>
      </c>
      <c r="C767" s="2" t="s">
        <v>1053</v>
      </c>
      <c r="D767" s="8" t="s">
        <v>459</v>
      </c>
      <c r="E767" s="459"/>
      <c r="F767" s="6"/>
      <c r="G767" s="451"/>
      <c r="H767" s="6"/>
      <c r="I767" s="6"/>
      <c r="J767" s="6"/>
      <c r="K767" s="6"/>
      <c r="L767" s="6"/>
      <c r="M767" s="451"/>
      <c r="N767" s="451"/>
      <c r="O767" s="6"/>
      <c r="P767" s="6"/>
      <c r="Q767" s="451"/>
      <c r="R767" s="451"/>
      <c r="S767" s="445">
        <f t="shared" si="72"/>
        <v>0</v>
      </c>
      <c r="T767" s="445">
        <f t="shared" si="73"/>
        <v>0</v>
      </c>
      <c r="U767" s="445">
        <f t="shared" si="74"/>
        <v>0</v>
      </c>
      <c r="W767" s="450"/>
      <c r="X767" s="450"/>
      <c r="Y767" s="441"/>
      <c r="Z767" s="441"/>
      <c r="AA767" s="441"/>
      <c r="AB767" s="441"/>
      <c r="AC767" s="441"/>
      <c r="AD767" s="441"/>
      <c r="AE767" s="441"/>
      <c r="AF767" s="441"/>
      <c r="AG767" s="441"/>
      <c r="AH767" s="441"/>
      <c r="AI767" s="441"/>
      <c r="AJ767" s="441"/>
      <c r="AK767" s="441"/>
      <c r="AL767" s="441"/>
      <c r="AM767" s="441"/>
      <c r="AN767" s="441"/>
      <c r="AO767" s="441"/>
      <c r="AP767" s="448"/>
      <c r="AQ767" s="448"/>
      <c r="AR767" s="448"/>
      <c r="AS767" s="448"/>
      <c r="AT767" s="448"/>
      <c r="AU767" s="448"/>
      <c r="AV767" s="448"/>
      <c r="AW767" s="448"/>
      <c r="AX767" s="448"/>
      <c r="AY767" s="448"/>
      <c r="AZ767" s="448"/>
      <c r="BA767" s="448"/>
      <c r="BB767" s="448"/>
      <c r="BC767" s="448"/>
      <c r="BD767" s="448"/>
      <c r="BE767" s="448"/>
      <c r="BF767" s="448"/>
    </row>
    <row r="768" spans="1:58" ht="12.75" hidden="1" thickBot="1">
      <c r="A768" s="1" t="s">
        <v>1277</v>
      </c>
      <c r="B768" s="2" t="s">
        <v>357</v>
      </c>
      <c r="C768" s="2" t="s">
        <v>1054</v>
      </c>
      <c r="D768" s="8" t="s">
        <v>459</v>
      </c>
      <c r="E768" s="460"/>
      <c r="F768" s="4"/>
      <c r="G768" s="449"/>
      <c r="H768" s="4"/>
      <c r="I768" s="4"/>
      <c r="J768" s="4"/>
      <c r="K768" s="4"/>
      <c r="L768" s="4"/>
      <c r="M768" s="449"/>
      <c r="N768" s="449"/>
      <c r="O768" s="4"/>
      <c r="P768" s="4"/>
      <c r="Q768" s="449"/>
      <c r="R768" s="449"/>
      <c r="S768" s="445">
        <f t="shared" si="72"/>
        <v>0</v>
      </c>
      <c r="T768" s="445">
        <f t="shared" si="73"/>
        <v>0</v>
      </c>
      <c r="U768" s="445">
        <f t="shared" si="74"/>
        <v>0</v>
      </c>
      <c r="W768" s="450"/>
      <c r="X768" s="450"/>
      <c r="Y768" s="441"/>
      <c r="Z768" s="441"/>
      <c r="AA768" s="441"/>
      <c r="AB768" s="441"/>
      <c r="AC768" s="441"/>
      <c r="AD768" s="441"/>
      <c r="AE768" s="441"/>
      <c r="AF768" s="441"/>
      <c r="AG768" s="441"/>
      <c r="AH768" s="441"/>
      <c r="AI768" s="441"/>
      <c r="AJ768" s="441"/>
      <c r="AK768" s="441"/>
      <c r="AL768" s="441"/>
      <c r="AM768" s="441"/>
      <c r="AN768" s="441"/>
      <c r="AO768" s="441"/>
      <c r="AP768" s="448"/>
      <c r="AQ768" s="448"/>
      <c r="AR768" s="448"/>
      <c r="AS768" s="448"/>
      <c r="AT768" s="448"/>
      <c r="AU768" s="448"/>
      <c r="AV768" s="448"/>
      <c r="AW768" s="448"/>
      <c r="AX768" s="448"/>
      <c r="AY768" s="448"/>
      <c r="AZ768" s="448"/>
      <c r="BA768" s="448"/>
      <c r="BB768" s="448"/>
      <c r="BC768" s="448"/>
      <c r="BD768" s="448"/>
      <c r="BE768" s="448"/>
      <c r="BF768" s="448"/>
    </row>
    <row r="769" spans="1:58" ht="12.75" hidden="1" thickBot="1">
      <c r="A769" s="1" t="s">
        <v>1277</v>
      </c>
      <c r="B769" s="2" t="s">
        <v>358</v>
      </c>
      <c r="C769" s="2" t="s">
        <v>1055</v>
      </c>
      <c r="D769" s="8" t="s">
        <v>459</v>
      </c>
      <c r="E769" s="459"/>
      <c r="F769" s="6"/>
      <c r="G769" s="451"/>
      <c r="H769" s="6"/>
      <c r="I769" s="6"/>
      <c r="J769" s="6"/>
      <c r="K769" s="6"/>
      <c r="L769" s="6"/>
      <c r="M769" s="451"/>
      <c r="N769" s="451"/>
      <c r="O769" s="6"/>
      <c r="P769" s="6"/>
      <c r="Q769" s="451"/>
      <c r="R769" s="451"/>
      <c r="S769" s="445">
        <f t="shared" si="72"/>
        <v>0</v>
      </c>
      <c r="T769" s="445">
        <f t="shared" si="73"/>
        <v>0</v>
      </c>
      <c r="U769" s="445">
        <f t="shared" si="74"/>
        <v>0</v>
      </c>
      <c r="W769" s="450"/>
      <c r="X769" s="450"/>
      <c r="Y769" s="441"/>
      <c r="Z769" s="441"/>
      <c r="AA769" s="441"/>
      <c r="AB769" s="441"/>
      <c r="AC769" s="441"/>
      <c r="AD769" s="441"/>
      <c r="AE769" s="441"/>
      <c r="AF769" s="441"/>
      <c r="AG769" s="441"/>
      <c r="AH769" s="441"/>
      <c r="AI769" s="441"/>
      <c r="AJ769" s="441"/>
      <c r="AK769" s="441"/>
      <c r="AL769" s="441"/>
      <c r="AM769" s="441"/>
      <c r="AN769" s="441"/>
      <c r="AO769" s="441"/>
      <c r="AP769" s="448"/>
      <c r="AQ769" s="448"/>
      <c r="AR769" s="448"/>
      <c r="AS769" s="448"/>
      <c r="AT769" s="448"/>
      <c r="AU769" s="448"/>
      <c r="AV769" s="448"/>
      <c r="AW769" s="448"/>
      <c r="AX769" s="448"/>
      <c r="AY769" s="448"/>
      <c r="AZ769" s="448"/>
      <c r="BA769" s="448"/>
      <c r="BB769" s="448"/>
      <c r="BC769" s="448"/>
      <c r="BD769" s="448"/>
      <c r="BE769" s="448"/>
      <c r="BF769" s="448"/>
    </row>
    <row r="770" spans="1:58" ht="12.75" hidden="1" thickBot="1">
      <c r="A770" s="1" t="s">
        <v>1277</v>
      </c>
      <c r="B770" s="2" t="s">
        <v>250</v>
      </c>
      <c r="C770" s="2" t="s">
        <v>1056</v>
      </c>
      <c r="D770" s="8" t="s">
        <v>459</v>
      </c>
      <c r="E770" s="460"/>
      <c r="F770" s="4"/>
      <c r="G770" s="449"/>
      <c r="H770" s="4"/>
      <c r="I770" s="4"/>
      <c r="J770" s="4"/>
      <c r="K770" s="4"/>
      <c r="L770" s="4"/>
      <c r="M770" s="449"/>
      <c r="N770" s="449"/>
      <c r="O770" s="4"/>
      <c r="P770" s="4"/>
      <c r="Q770" s="449"/>
      <c r="R770" s="449"/>
      <c r="S770" s="445">
        <f t="shared" si="72"/>
        <v>0</v>
      </c>
      <c r="T770" s="445">
        <f t="shared" si="73"/>
        <v>0</v>
      </c>
      <c r="U770" s="445">
        <f t="shared" si="74"/>
        <v>0</v>
      </c>
      <c r="W770" s="450"/>
      <c r="X770" s="450"/>
      <c r="Y770" s="441"/>
      <c r="Z770" s="441"/>
      <c r="AA770" s="441"/>
      <c r="AB770" s="441"/>
      <c r="AC770" s="441"/>
      <c r="AD770" s="441"/>
      <c r="AE770" s="441"/>
      <c r="AF770" s="441"/>
      <c r="AG770" s="441"/>
      <c r="AH770" s="441"/>
      <c r="AI770" s="441"/>
      <c r="AJ770" s="441"/>
      <c r="AK770" s="441"/>
      <c r="AL770" s="441"/>
      <c r="AM770" s="441"/>
      <c r="AN770" s="441"/>
      <c r="AO770" s="441"/>
      <c r="AP770" s="448"/>
      <c r="AQ770" s="448"/>
      <c r="AR770" s="448"/>
      <c r="AS770" s="448"/>
      <c r="AT770" s="448"/>
      <c r="AU770" s="448"/>
      <c r="AV770" s="448"/>
      <c r="AW770" s="448"/>
      <c r="AX770" s="448"/>
      <c r="AY770" s="448"/>
      <c r="AZ770" s="448"/>
      <c r="BA770" s="448"/>
      <c r="BB770" s="448"/>
      <c r="BC770" s="448"/>
      <c r="BD770" s="448"/>
      <c r="BE770" s="448"/>
      <c r="BF770" s="448"/>
    </row>
    <row r="771" spans="1:58" ht="12.75" hidden="1" thickBot="1">
      <c r="A771" s="1" t="s">
        <v>1277</v>
      </c>
      <c r="B771" s="2" t="s">
        <v>251</v>
      </c>
      <c r="C771" s="2" t="s">
        <v>1057</v>
      </c>
      <c r="D771" s="8" t="s">
        <v>459</v>
      </c>
      <c r="E771" s="459"/>
      <c r="F771" s="6"/>
      <c r="G771" s="451"/>
      <c r="H771" s="6"/>
      <c r="I771" s="6"/>
      <c r="J771" s="6"/>
      <c r="K771" s="6"/>
      <c r="L771" s="6"/>
      <c r="M771" s="451"/>
      <c r="N771" s="451"/>
      <c r="O771" s="6"/>
      <c r="P771" s="6"/>
      <c r="Q771" s="451"/>
      <c r="R771" s="451"/>
      <c r="S771" s="445">
        <f t="shared" si="72"/>
        <v>0</v>
      </c>
      <c r="T771" s="445">
        <f t="shared" si="73"/>
        <v>0</v>
      </c>
      <c r="U771" s="445">
        <f t="shared" si="74"/>
        <v>0</v>
      </c>
      <c r="W771" s="450"/>
      <c r="X771" s="450"/>
      <c r="Y771" s="441"/>
      <c r="Z771" s="441"/>
      <c r="AA771" s="441"/>
      <c r="AB771" s="441"/>
      <c r="AC771" s="441"/>
      <c r="AD771" s="441"/>
      <c r="AE771" s="441"/>
      <c r="AF771" s="441"/>
      <c r="AG771" s="441"/>
      <c r="AH771" s="441"/>
      <c r="AI771" s="441"/>
      <c r="AJ771" s="441"/>
      <c r="AK771" s="441"/>
      <c r="AL771" s="441"/>
      <c r="AM771" s="441"/>
      <c r="AN771" s="441"/>
      <c r="AO771" s="441"/>
      <c r="AP771" s="448"/>
      <c r="AQ771" s="448"/>
      <c r="AR771" s="448"/>
      <c r="AS771" s="448"/>
      <c r="AT771" s="448"/>
      <c r="AU771" s="448"/>
      <c r="AV771" s="448"/>
      <c r="AW771" s="448"/>
      <c r="AX771" s="448"/>
      <c r="AY771" s="448"/>
      <c r="AZ771" s="448"/>
      <c r="BA771" s="448"/>
      <c r="BB771" s="448"/>
      <c r="BC771" s="448"/>
      <c r="BD771" s="448"/>
      <c r="BE771" s="448"/>
      <c r="BF771" s="448"/>
    </row>
    <row r="772" spans="1:58" ht="12.75" hidden="1" thickBot="1">
      <c r="A772" s="1" t="s">
        <v>1277</v>
      </c>
      <c r="B772" s="2" t="s">
        <v>254</v>
      </c>
      <c r="C772" s="2" t="s">
        <v>1058</v>
      </c>
      <c r="D772" s="8" t="s">
        <v>459</v>
      </c>
      <c r="E772" s="460"/>
      <c r="F772" s="4"/>
      <c r="G772" s="449"/>
      <c r="H772" s="4"/>
      <c r="I772" s="4"/>
      <c r="J772" s="4"/>
      <c r="K772" s="4"/>
      <c r="L772" s="4"/>
      <c r="M772" s="449"/>
      <c r="N772" s="449"/>
      <c r="O772" s="4"/>
      <c r="P772" s="4"/>
      <c r="Q772" s="449"/>
      <c r="R772" s="449"/>
      <c r="S772" s="445">
        <f t="shared" si="72"/>
        <v>0</v>
      </c>
      <c r="T772" s="445">
        <f t="shared" si="73"/>
        <v>0</v>
      </c>
      <c r="U772" s="445">
        <f t="shared" si="74"/>
        <v>0</v>
      </c>
      <c r="W772" s="450"/>
      <c r="X772" s="450"/>
      <c r="Y772" s="441"/>
      <c r="Z772" s="441"/>
      <c r="AA772" s="441"/>
      <c r="AB772" s="441"/>
      <c r="AC772" s="441"/>
      <c r="AD772" s="441"/>
      <c r="AE772" s="441"/>
      <c r="AF772" s="441"/>
      <c r="AG772" s="441"/>
      <c r="AH772" s="441"/>
      <c r="AI772" s="441"/>
      <c r="AJ772" s="441"/>
      <c r="AK772" s="441"/>
      <c r="AL772" s="441"/>
      <c r="AM772" s="441"/>
      <c r="AN772" s="441"/>
      <c r="AO772" s="441"/>
      <c r="AP772" s="448"/>
      <c r="AQ772" s="448"/>
      <c r="AR772" s="448"/>
      <c r="AS772" s="448"/>
      <c r="AT772" s="448"/>
      <c r="AU772" s="448"/>
      <c r="AV772" s="448"/>
      <c r="AW772" s="448"/>
      <c r="AX772" s="448"/>
      <c r="AY772" s="448"/>
      <c r="AZ772" s="448"/>
      <c r="BA772" s="448"/>
      <c r="BB772" s="448"/>
      <c r="BC772" s="448"/>
      <c r="BD772" s="448"/>
      <c r="BE772" s="448"/>
      <c r="BF772" s="448"/>
    </row>
    <row r="773" spans="1:58" ht="12.75" hidden="1" thickBot="1">
      <c r="A773" s="1" t="s">
        <v>1277</v>
      </c>
      <c r="B773" s="2" t="s">
        <v>260</v>
      </c>
      <c r="C773" s="2" t="s">
        <v>1059</v>
      </c>
      <c r="D773" s="8" t="s">
        <v>459</v>
      </c>
      <c r="E773" s="459"/>
      <c r="F773" s="6"/>
      <c r="G773" s="451"/>
      <c r="H773" s="6"/>
      <c r="I773" s="6"/>
      <c r="J773" s="6"/>
      <c r="K773" s="6"/>
      <c r="L773" s="6"/>
      <c r="M773" s="451"/>
      <c r="N773" s="451"/>
      <c r="O773" s="6"/>
      <c r="P773" s="6"/>
      <c r="Q773" s="451"/>
      <c r="R773" s="451"/>
      <c r="S773" s="445">
        <f t="shared" si="72"/>
        <v>0</v>
      </c>
      <c r="T773" s="445">
        <f t="shared" si="73"/>
        <v>0</v>
      </c>
      <c r="U773" s="445">
        <f t="shared" si="74"/>
        <v>0</v>
      </c>
      <c r="W773" s="450"/>
      <c r="X773" s="450"/>
      <c r="Y773" s="441"/>
      <c r="Z773" s="441"/>
      <c r="AA773" s="441"/>
      <c r="AB773" s="441"/>
      <c r="AC773" s="441"/>
      <c r="AD773" s="441"/>
      <c r="AE773" s="441"/>
      <c r="AF773" s="441"/>
      <c r="AG773" s="441"/>
      <c r="AH773" s="441"/>
      <c r="AI773" s="441"/>
      <c r="AJ773" s="441"/>
      <c r="AK773" s="441"/>
      <c r="AL773" s="441"/>
      <c r="AM773" s="441"/>
      <c r="AN773" s="441"/>
      <c r="AO773" s="441"/>
      <c r="AP773" s="448"/>
      <c r="AQ773" s="448"/>
      <c r="AR773" s="448"/>
      <c r="AS773" s="448"/>
      <c r="AT773" s="448"/>
      <c r="AU773" s="448"/>
      <c r="AV773" s="448"/>
      <c r="AW773" s="448"/>
      <c r="AX773" s="448"/>
      <c r="AY773" s="448"/>
      <c r="AZ773" s="448"/>
      <c r="BA773" s="448"/>
      <c r="BB773" s="448"/>
      <c r="BC773" s="448"/>
      <c r="BD773" s="448"/>
      <c r="BE773" s="448"/>
      <c r="BF773" s="448"/>
    </row>
    <row r="774" spans="1:58" ht="12.75" hidden="1" thickBot="1">
      <c r="A774" s="1" t="s">
        <v>1277</v>
      </c>
      <c r="B774" s="2" t="s">
        <v>262</v>
      </c>
      <c r="C774" s="2" t="s">
        <v>1060</v>
      </c>
      <c r="D774" s="8" t="s">
        <v>459</v>
      </c>
      <c r="E774" s="460"/>
      <c r="F774" s="4"/>
      <c r="G774" s="449"/>
      <c r="H774" s="4"/>
      <c r="I774" s="4"/>
      <c r="J774" s="4"/>
      <c r="K774" s="4"/>
      <c r="L774" s="4"/>
      <c r="M774" s="449"/>
      <c r="N774" s="449"/>
      <c r="O774" s="4"/>
      <c r="P774" s="4"/>
      <c r="Q774" s="449"/>
      <c r="R774" s="449"/>
      <c r="S774" s="445">
        <f t="shared" si="72"/>
        <v>0</v>
      </c>
      <c r="T774" s="445">
        <f t="shared" si="73"/>
        <v>0</v>
      </c>
      <c r="U774" s="445">
        <f t="shared" si="74"/>
        <v>0</v>
      </c>
      <c r="W774" s="450"/>
      <c r="X774" s="450"/>
      <c r="Y774" s="441"/>
      <c r="Z774" s="441"/>
      <c r="AA774" s="441"/>
      <c r="AB774" s="441"/>
      <c r="AC774" s="441"/>
      <c r="AD774" s="441"/>
      <c r="AE774" s="441"/>
      <c r="AF774" s="441"/>
      <c r="AG774" s="441"/>
      <c r="AH774" s="441"/>
      <c r="AI774" s="441"/>
      <c r="AJ774" s="441"/>
      <c r="AK774" s="441"/>
      <c r="AL774" s="441"/>
      <c r="AM774" s="441"/>
      <c r="AN774" s="441"/>
      <c r="AO774" s="441"/>
      <c r="AP774" s="448"/>
      <c r="AQ774" s="448"/>
      <c r="AR774" s="448"/>
      <c r="AS774" s="448"/>
      <c r="AT774" s="448"/>
      <c r="AU774" s="448"/>
      <c r="AV774" s="448"/>
      <c r="AW774" s="448"/>
      <c r="AX774" s="448"/>
      <c r="AY774" s="448"/>
      <c r="AZ774" s="448"/>
      <c r="BA774" s="448"/>
      <c r="BB774" s="448"/>
      <c r="BC774" s="448"/>
      <c r="BD774" s="448"/>
      <c r="BE774" s="448"/>
      <c r="BF774" s="448"/>
    </row>
    <row r="775" spans="1:58" ht="12.75" hidden="1" thickBot="1">
      <c r="A775" s="1" t="s">
        <v>1277</v>
      </c>
      <c r="B775" s="2" t="s">
        <v>340</v>
      </c>
      <c r="C775" s="2" t="s">
        <v>1061</v>
      </c>
      <c r="D775" s="8" t="s">
        <v>567</v>
      </c>
      <c r="E775" s="459"/>
      <c r="F775" s="6"/>
      <c r="G775" s="451"/>
      <c r="H775" s="6"/>
      <c r="I775" s="6"/>
      <c r="J775" s="6"/>
      <c r="K775" s="6"/>
      <c r="L775" s="6"/>
      <c r="M775" s="451"/>
      <c r="N775" s="451"/>
      <c r="O775" s="6"/>
      <c r="P775" s="6"/>
      <c r="Q775" s="6"/>
      <c r="R775" s="451"/>
      <c r="S775" s="445">
        <f t="shared" si="72"/>
        <v>0</v>
      </c>
      <c r="T775" s="445">
        <f t="shared" si="73"/>
        <v>0</v>
      </c>
      <c r="U775" s="445">
        <f t="shared" si="74"/>
        <v>0</v>
      </c>
      <c r="W775" s="450"/>
      <c r="X775" s="450"/>
      <c r="Y775" s="441"/>
      <c r="Z775" s="441"/>
      <c r="AA775" s="441"/>
      <c r="AB775" s="441"/>
      <c r="AC775" s="441"/>
      <c r="AD775" s="441"/>
      <c r="AE775" s="441"/>
      <c r="AF775" s="441"/>
      <c r="AG775" s="441"/>
      <c r="AH775" s="441"/>
      <c r="AI775" s="441"/>
      <c r="AJ775" s="441"/>
      <c r="AK775" s="441"/>
      <c r="AL775" s="441"/>
      <c r="AM775" s="441"/>
      <c r="AN775" s="441"/>
      <c r="AO775" s="441"/>
      <c r="AP775" s="448"/>
      <c r="AQ775" s="448"/>
      <c r="AR775" s="448"/>
      <c r="AS775" s="448"/>
      <c r="AT775" s="448"/>
      <c r="AU775" s="448"/>
      <c r="AV775" s="448"/>
      <c r="AW775" s="448"/>
      <c r="AX775" s="448"/>
      <c r="AY775" s="448"/>
      <c r="AZ775" s="448"/>
      <c r="BA775" s="448"/>
      <c r="BB775" s="448"/>
      <c r="BC775" s="448"/>
      <c r="BD775" s="448"/>
      <c r="BE775" s="448"/>
      <c r="BF775" s="448"/>
    </row>
    <row r="776" spans="1:58" ht="12.75" hidden="1" thickBot="1">
      <c r="A776" s="1" t="s">
        <v>1277</v>
      </c>
      <c r="B776" s="2" t="s">
        <v>692</v>
      </c>
      <c r="C776" s="2" t="s">
        <v>1062</v>
      </c>
      <c r="D776" s="8" t="s">
        <v>567</v>
      </c>
      <c r="E776" s="460"/>
      <c r="F776" s="4"/>
      <c r="G776" s="449"/>
      <c r="H776" s="4"/>
      <c r="I776" s="4"/>
      <c r="J776" s="4"/>
      <c r="K776" s="4"/>
      <c r="L776" s="4"/>
      <c r="M776" s="449"/>
      <c r="N776" s="449"/>
      <c r="O776" s="4"/>
      <c r="P776" s="4"/>
      <c r="Q776" s="4"/>
      <c r="R776" s="449"/>
      <c r="S776" s="445">
        <f t="shared" si="72"/>
        <v>0</v>
      </c>
      <c r="T776" s="445">
        <f t="shared" si="73"/>
        <v>0</v>
      </c>
      <c r="U776" s="445">
        <f t="shared" si="74"/>
        <v>0</v>
      </c>
      <c r="W776" s="450"/>
      <c r="X776" s="450"/>
      <c r="Y776" s="441"/>
      <c r="Z776" s="441"/>
      <c r="AA776" s="441"/>
      <c r="AB776" s="441"/>
      <c r="AC776" s="441"/>
      <c r="AD776" s="441"/>
      <c r="AE776" s="441"/>
      <c r="AF776" s="441"/>
      <c r="AG776" s="441"/>
      <c r="AH776" s="441"/>
      <c r="AI776" s="441"/>
      <c r="AJ776" s="441"/>
      <c r="AK776" s="441"/>
      <c r="AL776" s="441"/>
      <c r="AM776" s="441"/>
      <c r="AN776" s="441"/>
      <c r="AO776" s="441"/>
      <c r="AP776" s="448"/>
      <c r="AQ776" s="448"/>
      <c r="AR776" s="448"/>
      <c r="AS776" s="448"/>
      <c r="AT776" s="448"/>
      <c r="AU776" s="448"/>
      <c r="AV776" s="448"/>
      <c r="AW776" s="448"/>
      <c r="AX776" s="448"/>
      <c r="AY776" s="448"/>
      <c r="AZ776" s="448"/>
      <c r="BA776" s="448"/>
      <c r="BB776" s="448"/>
      <c r="BC776" s="448"/>
      <c r="BD776" s="448"/>
      <c r="BE776" s="448"/>
      <c r="BF776" s="448"/>
    </row>
    <row r="777" spans="1:58" ht="12.75" hidden="1" thickBot="1">
      <c r="A777" s="1" t="s">
        <v>1277</v>
      </c>
      <c r="B777" s="2" t="s">
        <v>292</v>
      </c>
      <c r="C777" s="2" t="s">
        <v>1063</v>
      </c>
      <c r="D777" s="8" t="s">
        <v>567</v>
      </c>
      <c r="E777" s="459"/>
      <c r="F777" s="6"/>
      <c r="G777" s="451"/>
      <c r="H777" s="6"/>
      <c r="I777" s="6"/>
      <c r="J777" s="6"/>
      <c r="K777" s="6"/>
      <c r="L777" s="6"/>
      <c r="M777" s="451"/>
      <c r="N777" s="451"/>
      <c r="O777" s="6"/>
      <c r="P777" s="6"/>
      <c r="Q777" s="451"/>
      <c r="R777" s="451"/>
      <c r="S777" s="445">
        <f t="shared" si="72"/>
        <v>0</v>
      </c>
      <c r="T777" s="445">
        <f t="shared" si="73"/>
        <v>0</v>
      </c>
      <c r="U777" s="445">
        <f t="shared" si="74"/>
        <v>0</v>
      </c>
      <c r="W777" s="450"/>
      <c r="X777" s="450"/>
      <c r="Y777" s="441"/>
      <c r="Z777" s="441"/>
      <c r="AA777" s="441"/>
      <c r="AB777" s="441"/>
      <c r="AC777" s="441"/>
      <c r="AD777" s="441"/>
      <c r="AE777" s="441"/>
      <c r="AF777" s="441"/>
      <c r="AG777" s="441"/>
      <c r="AH777" s="441"/>
      <c r="AI777" s="441"/>
      <c r="AJ777" s="441"/>
      <c r="AK777" s="441"/>
      <c r="AL777" s="441"/>
      <c r="AM777" s="441"/>
      <c r="AN777" s="441"/>
      <c r="AO777" s="441"/>
      <c r="AP777" s="448"/>
      <c r="AQ777" s="448"/>
      <c r="AR777" s="448"/>
      <c r="AS777" s="448"/>
      <c r="AT777" s="448"/>
      <c r="AU777" s="448"/>
      <c r="AV777" s="448"/>
      <c r="AW777" s="448"/>
      <c r="AX777" s="448"/>
      <c r="AY777" s="448"/>
      <c r="AZ777" s="448"/>
      <c r="BA777" s="448"/>
      <c r="BB777" s="448"/>
      <c r="BC777" s="448"/>
      <c r="BD777" s="448"/>
      <c r="BE777" s="448"/>
      <c r="BF777" s="448"/>
    </row>
    <row r="778" spans="1:58" ht="12.75" hidden="1" thickBot="1">
      <c r="A778" s="1" t="s">
        <v>1277</v>
      </c>
      <c r="B778" s="2" t="s">
        <v>293</v>
      </c>
      <c r="C778" s="2" t="s">
        <v>1064</v>
      </c>
      <c r="D778" s="8" t="s">
        <v>567</v>
      </c>
      <c r="E778" s="460"/>
      <c r="F778" s="4"/>
      <c r="G778" s="449"/>
      <c r="H778" s="4"/>
      <c r="I778" s="4"/>
      <c r="J778" s="4"/>
      <c r="K778" s="4"/>
      <c r="L778" s="4"/>
      <c r="M778" s="449"/>
      <c r="N778" s="449"/>
      <c r="O778" s="4"/>
      <c r="P778" s="4"/>
      <c r="Q778" s="449"/>
      <c r="R778" s="449"/>
      <c r="S778" s="445">
        <f t="shared" si="72"/>
        <v>0</v>
      </c>
      <c r="T778" s="445">
        <f t="shared" si="73"/>
        <v>0</v>
      </c>
      <c r="U778" s="445">
        <f t="shared" si="74"/>
        <v>0</v>
      </c>
      <c r="W778" s="450"/>
      <c r="X778" s="450"/>
      <c r="Y778" s="441"/>
      <c r="Z778" s="441"/>
      <c r="AA778" s="441"/>
      <c r="AB778" s="441"/>
      <c r="AC778" s="441"/>
      <c r="AD778" s="441"/>
      <c r="AE778" s="441"/>
      <c r="AF778" s="441"/>
      <c r="AG778" s="441"/>
      <c r="AH778" s="441"/>
      <c r="AI778" s="441"/>
      <c r="AJ778" s="441"/>
      <c r="AK778" s="441"/>
      <c r="AL778" s="441"/>
      <c r="AM778" s="441"/>
      <c r="AN778" s="441"/>
      <c r="AO778" s="441"/>
      <c r="AP778" s="448"/>
      <c r="AQ778" s="448"/>
      <c r="AR778" s="448"/>
      <c r="AS778" s="448"/>
      <c r="AT778" s="448"/>
      <c r="AU778" s="448"/>
      <c r="AV778" s="448"/>
      <c r="AW778" s="448"/>
      <c r="AX778" s="448"/>
      <c r="AY778" s="448"/>
      <c r="AZ778" s="448"/>
      <c r="BA778" s="448"/>
      <c r="BB778" s="448"/>
      <c r="BC778" s="448"/>
      <c r="BD778" s="448"/>
      <c r="BE778" s="448"/>
      <c r="BF778" s="448"/>
    </row>
    <row r="779" spans="1:58" ht="12.75" hidden="1" thickBot="1">
      <c r="A779" s="1" t="s">
        <v>1277</v>
      </c>
      <c r="B779" s="2" t="s">
        <v>295</v>
      </c>
      <c r="C779" s="2" t="s">
        <v>1065</v>
      </c>
      <c r="D779" s="8" t="s">
        <v>567</v>
      </c>
      <c r="E779" s="459"/>
      <c r="F779" s="6"/>
      <c r="G779" s="451"/>
      <c r="H779" s="6"/>
      <c r="I779" s="6"/>
      <c r="J779" s="6"/>
      <c r="K779" s="6"/>
      <c r="L779" s="6"/>
      <c r="M779" s="451"/>
      <c r="N779" s="451"/>
      <c r="O779" s="6"/>
      <c r="P779" s="6"/>
      <c r="Q779" s="451"/>
      <c r="R779" s="451"/>
      <c r="S779" s="445">
        <f t="shared" si="72"/>
        <v>0</v>
      </c>
      <c r="T779" s="445">
        <f t="shared" si="73"/>
        <v>0</v>
      </c>
      <c r="U779" s="445">
        <f t="shared" si="74"/>
        <v>0</v>
      </c>
      <c r="W779" s="450"/>
      <c r="X779" s="450"/>
      <c r="Y779" s="441"/>
      <c r="Z779" s="441"/>
      <c r="AA779" s="441"/>
      <c r="AB779" s="441"/>
      <c r="AC779" s="441"/>
      <c r="AD779" s="441"/>
      <c r="AE779" s="441"/>
      <c r="AF779" s="441"/>
      <c r="AG779" s="441"/>
      <c r="AH779" s="441"/>
      <c r="AI779" s="441"/>
      <c r="AJ779" s="441"/>
      <c r="AK779" s="441"/>
      <c r="AL779" s="441"/>
      <c r="AM779" s="441"/>
      <c r="AN779" s="441"/>
      <c r="AO779" s="441"/>
      <c r="AP779" s="448"/>
      <c r="AQ779" s="448"/>
      <c r="AR779" s="448"/>
      <c r="AS779" s="448"/>
      <c r="AT779" s="448"/>
      <c r="AU779" s="448"/>
      <c r="AV779" s="448"/>
      <c r="AW779" s="448"/>
      <c r="AX779" s="448"/>
      <c r="AY779" s="448"/>
      <c r="AZ779" s="448"/>
      <c r="BA779" s="448"/>
      <c r="BB779" s="448"/>
      <c r="BC779" s="448"/>
      <c r="BD779" s="448"/>
      <c r="BE779" s="448"/>
      <c r="BF779" s="448"/>
    </row>
    <row r="780" spans="1:58" ht="12.75" hidden="1" thickBot="1">
      <c r="A780" s="1" t="s">
        <v>1277</v>
      </c>
      <c r="B780" s="2" t="s">
        <v>296</v>
      </c>
      <c r="C780" s="2" t="s">
        <v>1066</v>
      </c>
      <c r="D780" s="8" t="s">
        <v>567</v>
      </c>
      <c r="E780" s="460"/>
      <c r="F780" s="4"/>
      <c r="G780" s="449"/>
      <c r="H780" s="4"/>
      <c r="I780" s="4"/>
      <c r="J780" s="4"/>
      <c r="K780" s="4"/>
      <c r="L780" s="4"/>
      <c r="M780" s="449"/>
      <c r="N780" s="449"/>
      <c r="O780" s="4"/>
      <c r="P780" s="4"/>
      <c r="Q780" s="449"/>
      <c r="R780" s="449"/>
      <c r="S780" s="445">
        <f t="shared" si="72"/>
        <v>0</v>
      </c>
      <c r="T780" s="445">
        <f t="shared" si="73"/>
        <v>0</v>
      </c>
      <c r="U780" s="445">
        <f t="shared" si="74"/>
        <v>0</v>
      </c>
      <c r="W780" s="450"/>
      <c r="X780" s="450"/>
      <c r="Y780" s="441"/>
      <c r="Z780" s="441"/>
      <c r="AA780" s="441"/>
      <c r="AB780" s="441"/>
      <c r="AC780" s="441"/>
      <c r="AD780" s="441"/>
      <c r="AE780" s="441"/>
      <c r="AF780" s="441"/>
      <c r="AG780" s="441"/>
      <c r="AH780" s="441"/>
      <c r="AI780" s="441"/>
      <c r="AJ780" s="441"/>
      <c r="AK780" s="441"/>
      <c r="AL780" s="441"/>
      <c r="AM780" s="441"/>
      <c r="AN780" s="441"/>
      <c r="AO780" s="441"/>
      <c r="AP780" s="448"/>
      <c r="AQ780" s="448"/>
      <c r="AR780" s="448"/>
      <c r="AS780" s="448"/>
      <c r="AT780" s="448"/>
      <c r="AU780" s="448"/>
      <c r="AV780" s="448"/>
      <c r="AW780" s="448"/>
      <c r="AX780" s="448"/>
      <c r="AY780" s="448"/>
      <c r="AZ780" s="448"/>
      <c r="BA780" s="448"/>
      <c r="BB780" s="448"/>
      <c r="BC780" s="448"/>
      <c r="BD780" s="448"/>
      <c r="BE780" s="448"/>
      <c r="BF780" s="448"/>
    </row>
    <row r="781" spans="1:58" ht="12.75" hidden="1" thickBot="1">
      <c r="A781" s="1" t="s">
        <v>1277</v>
      </c>
      <c r="B781" s="2" t="s">
        <v>297</v>
      </c>
      <c r="C781" s="2" t="s">
        <v>1067</v>
      </c>
      <c r="D781" s="8" t="s">
        <v>459</v>
      </c>
      <c r="E781" s="459"/>
      <c r="F781" s="6"/>
      <c r="G781" s="451"/>
      <c r="H781" s="6"/>
      <c r="I781" s="6"/>
      <c r="J781" s="6"/>
      <c r="K781" s="6"/>
      <c r="L781" s="6"/>
      <c r="M781" s="451"/>
      <c r="N781" s="451"/>
      <c r="O781" s="6"/>
      <c r="P781" s="6"/>
      <c r="Q781" s="451"/>
      <c r="R781" s="451"/>
      <c r="S781" s="445">
        <f t="shared" si="72"/>
        <v>0</v>
      </c>
      <c r="T781" s="445">
        <f t="shared" si="73"/>
        <v>0</v>
      </c>
      <c r="U781" s="445">
        <f t="shared" si="74"/>
        <v>0</v>
      </c>
      <c r="W781" s="450"/>
      <c r="X781" s="450"/>
      <c r="Y781" s="441"/>
      <c r="Z781" s="441"/>
      <c r="AA781" s="441"/>
      <c r="AB781" s="441"/>
      <c r="AC781" s="441"/>
      <c r="AD781" s="441"/>
      <c r="AE781" s="441"/>
      <c r="AF781" s="441"/>
      <c r="AG781" s="441"/>
      <c r="AH781" s="441"/>
      <c r="AI781" s="441"/>
      <c r="AJ781" s="441"/>
      <c r="AK781" s="441"/>
      <c r="AL781" s="441"/>
      <c r="AM781" s="441"/>
      <c r="AN781" s="441"/>
      <c r="AO781" s="441"/>
      <c r="AP781" s="448"/>
      <c r="AQ781" s="448"/>
      <c r="AR781" s="448"/>
      <c r="AS781" s="448"/>
      <c r="AT781" s="448"/>
      <c r="AU781" s="448"/>
      <c r="AV781" s="448"/>
      <c r="AW781" s="448"/>
      <c r="AX781" s="448"/>
      <c r="AY781" s="448"/>
      <c r="AZ781" s="448"/>
      <c r="BA781" s="448"/>
      <c r="BB781" s="448"/>
      <c r="BC781" s="448"/>
      <c r="BD781" s="448"/>
      <c r="BE781" s="448"/>
      <c r="BF781" s="448"/>
    </row>
    <row r="782" spans="1:58" ht="12.75" hidden="1" thickBot="1">
      <c r="A782" s="1" t="s">
        <v>1277</v>
      </c>
      <c r="B782" s="2" t="s">
        <v>299</v>
      </c>
      <c r="C782" s="2" t="s">
        <v>1068</v>
      </c>
      <c r="D782" s="8" t="s">
        <v>459</v>
      </c>
      <c r="E782" s="460"/>
      <c r="F782" s="4"/>
      <c r="G782" s="449"/>
      <c r="H782" s="4"/>
      <c r="I782" s="4"/>
      <c r="J782" s="4"/>
      <c r="K782" s="4"/>
      <c r="L782" s="4"/>
      <c r="M782" s="449"/>
      <c r="N782" s="449"/>
      <c r="O782" s="4"/>
      <c r="P782" s="4"/>
      <c r="Q782" s="449"/>
      <c r="R782" s="449"/>
      <c r="S782" s="445">
        <f t="shared" si="72"/>
        <v>0</v>
      </c>
      <c r="T782" s="445">
        <f t="shared" si="73"/>
        <v>0</v>
      </c>
      <c r="U782" s="445">
        <f t="shared" si="74"/>
        <v>0</v>
      </c>
      <c r="W782" s="450"/>
      <c r="X782" s="450"/>
      <c r="Y782" s="441"/>
      <c r="Z782" s="441"/>
      <c r="AA782" s="441"/>
      <c r="AB782" s="441"/>
      <c r="AC782" s="441"/>
      <c r="AD782" s="441"/>
      <c r="AE782" s="441"/>
      <c r="AF782" s="441"/>
      <c r="AG782" s="441"/>
      <c r="AH782" s="441"/>
      <c r="AI782" s="441"/>
      <c r="AJ782" s="441"/>
      <c r="AK782" s="441"/>
      <c r="AL782" s="441"/>
      <c r="AM782" s="441"/>
      <c r="AN782" s="441"/>
      <c r="AO782" s="441"/>
      <c r="AP782" s="448"/>
      <c r="AQ782" s="448"/>
      <c r="AR782" s="448"/>
      <c r="AS782" s="448"/>
      <c r="AT782" s="448"/>
      <c r="AU782" s="448"/>
      <c r="AV782" s="448"/>
      <c r="AW782" s="448"/>
      <c r="AX782" s="448"/>
      <c r="AY782" s="448"/>
      <c r="AZ782" s="448"/>
      <c r="BA782" s="448"/>
      <c r="BB782" s="448"/>
      <c r="BC782" s="448"/>
      <c r="BD782" s="448"/>
      <c r="BE782" s="448"/>
      <c r="BF782" s="448"/>
    </row>
    <row r="783" spans="1:58" ht="12.75" hidden="1" thickBot="1">
      <c r="A783" s="1" t="s">
        <v>1277</v>
      </c>
      <c r="B783" s="2" t="s">
        <v>300</v>
      </c>
      <c r="C783" s="2" t="s">
        <v>1069</v>
      </c>
      <c r="D783" s="8" t="s">
        <v>567</v>
      </c>
      <c r="E783" s="459"/>
      <c r="F783" s="6"/>
      <c r="G783" s="451"/>
      <c r="H783" s="6"/>
      <c r="I783" s="6"/>
      <c r="J783" s="6"/>
      <c r="K783" s="6"/>
      <c r="L783" s="6"/>
      <c r="M783" s="451"/>
      <c r="N783" s="451"/>
      <c r="O783" s="6"/>
      <c r="P783" s="6"/>
      <c r="Q783" s="451"/>
      <c r="R783" s="451"/>
      <c r="S783" s="445">
        <f t="shared" si="72"/>
        <v>0</v>
      </c>
      <c r="T783" s="445">
        <f t="shared" si="73"/>
        <v>0</v>
      </c>
      <c r="U783" s="445">
        <f t="shared" si="74"/>
        <v>0</v>
      </c>
      <c r="W783" s="450"/>
      <c r="X783" s="450"/>
      <c r="Y783" s="441"/>
      <c r="Z783" s="441"/>
      <c r="AA783" s="441"/>
      <c r="AB783" s="441"/>
      <c r="AC783" s="441"/>
      <c r="AD783" s="441"/>
      <c r="AE783" s="441"/>
      <c r="AF783" s="441"/>
      <c r="AG783" s="441"/>
      <c r="AH783" s="441"/>
      <c r="AI783" s="441"/>
      <c r="AJ783" s="441"/>
      <c r="AK783" s="441"/>
      <c r="AL783" s="441"/>
      <c r="AM783" s="441"/>
      <c r="AN783" s="441"/>
      <c r="AO783" s="441"/>
      <c r="AP783" s="448"/>
      <c r="AQ783" s="448"/>
      <c r="AR783" s="448"/>
      <c r="AS783" s="448"/>
      <c r="AT783" s="448"/>
      <c r="AU783" s="448"/>
      <c r="AV783" s="448"/>
      <c r="AW783" s="448"/>
      <c r="AX783" s="448"/>
      <c r="AY783" s="448"/>
      <c r="AZ783" s="448"/>
      <c r="BA783" s="448"/>
      <c r="BB783" s="448"/>
      <c r="BC783" s="448"/>
      <c r="BD783" s="448"/>
      <c r="BE783" s="448"/>
      <c r="BF783" s="448"/>
    </row>
    <row r="784" spans="1:58" ht="12.75" hidden="1" thickBot="1">
      <c r="A784" s="1" t="s">
        <v>1277</v>
      </c>
      <c r="B784" s="2" t="s">
        <v>301</v>
      </c>
      <c r="C784" s="2" t="s">
        <v>1070</v>
      </c>
      <c r="D784" s="8" t="s">
        <v>567</v>
      </c>
      <c r="E784" s="460"/>
      <c r="F784" s="4"/>
      <c r="G784" s="449"/>
      <c r="H784" s="4"/>
      <c r="I784" s="4"/>
      <c r="J784" s="4"/>
      <c r="K784" s="4"/>
      <c r="L784" s="4"/>
      <c r="M784" s="449"/>
      <c r="N784" s="449"/>
      <c r="O784" s="4"/>
      <c r="P784" s="4"/>
      <c r="Q784" s="449"/>
      <c r="R784" s="449"/>
      <c r="S784" s="445">
        <f t="shared" si="72"/>
        <v>0</v>
      </c>
      <c r="T784" s="445">
        <f t="shared" si="73"/>
        <v>0</v>
      </c>
      <c r="U784" s="445">
        <f t="shared" si="74"/>
        <v>0</v>
      </c>
      <c r="W784" s="450"/>
      <c r="X784" s="450"/>
      <c r="Y784" s="441"/>
      <c r="Z784" s="441"/>
      <c r="AA784" s="441"/>
      <c r="AB784" s="441"/>
      <c r="AC784" s="441"/>
      <c r="AD784" s="441"/>
      <c r="AE784" s="441"/>
      <c r="AF784" s="441"/>
      <c r="AG784" s="441"/>
      <c r="AH784" s="441"/>
      <c r="AI784" s="441"/>
      <c r="AJ784" s="441"/>
      <c r="AK784" s="441"/>
      <c r="AL784" s="441"/>
      <c r="AM784" s="441"/>
      <c r="AN784" s="441"/>
      <c r="AO784" s="441"/>
      <c r="AP784" s="448"/>
      <c r="AQ784" s="448"/>
      <c r="AR784" s="448"/>
      <c r="AS784" s="448"/>
      <c r="AT784" s="448"/>
      <c r="AU784" s="448"/>
      <c r="AV784" s="448"/>
      <c r="AW784" s="448"/>
      <c r="AX784" s="448"/>
      <c r="AY784" s="448"/>
      <c r="AZ784" s="448"/>
      <c r="BA784" s="448"/>
      <c r="BB784" s="448"/>
      <c r="BC784" s="448"/>
      <c r="BD784" s="448"/>
      <c r="BE784" s="448"/>
      <c r="BF784" s="448"/>
    </row>
    <row r="785" spans="1:58" ht="12.75" hidden="1" thickBot="1">
      <c r="A785" s="1" t="s">
        <v>1277</v>
      </c>
      <c r="B785" s="2" t="s">
        <v>302</v>
      </c>
      <c r="C785" s="2" t="s">
        <v>1071</v>
      </c>
      <c r="D785" s="8" t="s">
        <v>567</v>
      </c>
      <c r="E785" s="459"/>
      <c r="F785" s="6"/>
      <c r="G785" s="451"/>
      <c r="H785" s="6"/>
      <c r="I785" s="6"/>
      <c r="J785" s="6"/>
      <c r="K785" s="6"/>
      <c r="L785" s="6"/>
      <c r="M785" s="451"/>
      <c r="N785" s="451"/>
      <c r="O785" s="6"/>
      <c r="P785" s="6"/>
      <c r="Q785" s="451"/>
      <c r="R785" s="451"/>
      <c r="S785" s="445">
        <f t="shared" si="72"/>
        <v>0</v>
      </c>
      <c r="T785" s="445">
        <f t="shared" si="73"/>
        <v>0</v>
      </c>
      <c r="U785" s="445">
        <f t="shared" si="74"/>
        <v>0</v>
      </c>
      <c r="W785" s="450"/>
      <c r="X785" s="450"/>
      <c r="Y785" s="441"/>
      <c r="Z785" s="441"/>
      <c r="AA785" s="441"/>
      <c r="AB785" s="441"/>
      <c r="AC785" s="441"/>
      <c r="AD785" s="441"/>
      <c r="AE785" s="441"/>
      <c r="AF785" s="441"/>
      <c r="AG785" s="441"/>
      <c r="AH785" s="441"/>
      <c r="AI785" s="441"/>
      <c r="AJ785" s="441"/>
      <c r="AK785" s="441"/>
      <c r="AL785" s="441"/>
      <c r="AM785" s="441"/>
      <c r="AN785" s="441"/>
      <c r="AO785" s="441"/>
      <c r="AP785" s="448"/>
      <c r="AQ785" s="448"/>
      <c r="AR785" s="448"/>
      <c r="AS785" s="448"/>
      <c r="AT785" s="448"/>
      <c r="AU785" s="448"/>
      <c r="AV785" s="448"/>
      <c r="AW785" s="448"/>
      <c r="AX785" s="448"/>
      <c r="AY785" s="448"/>
      <c r="AZ785" s="448"/>
      <c r="BA785" s="448"/>
      <c r="BB785" s="448"/>
      <c r="BC785" s="448"/>
      <c r="BD785" s="448"/>
      <c r="BE785" s="448"/>
      <c r="BF785" s="448"/>
    </row>
    <row r="786" spans="1:58" ht="12.75" hidden="1" thickBot="1">
      <c r="A786" s="1" t="s">
        <v>1277</v>
      </c>
      <c r="B786" s="2" t="s">
        <v>303</v>
      </c>
      <c r="C786" s="2" t="s">
        <v>1072</v>
      </c>
      <c r="D786" s="8" t="s">
        <v>567</v>
      </c>
      <c r="E786" s="460"/>
      <c r="F786" s="4"/>
      <c r="G786" s="449"/>
      <c r="H786" s="4"/>
      <c r="I786" s="4"/>
      <c r="J786" s="4"/>
      <c r="K786" s="4"/>
      <c r="L786" s="4"/>
      <c r="M786" s="449"/>
      <c r="N786" s="449"/>
      <c r="O786" s="4"/>
      <c r="P786" s="4"/>
      <c r="Q786" s="449"/>
      <c r="R786" s="449"/>
      <c r="S786" s="445">
        <f t="shared" si="72"/>
        <v>0</v>
      </c>
      <c r="T786" s="445">
        <f t="shared" si="73"/>
        <v>0</v>
      </c>
      <c r="U786" s="445">
        <f t="shared" si="74"/>
        <v>0</v>
      </c>
      <c r="W786" s="450"/>
      <c r="X786" s="450"/>
      <c r="Y786" s="441"/>
      <c r="Z786" s="441"/>
      <c r="AA786" s="441"/>
      <c r="AB786" s="441"/>
      <c r="AC786" s="441"/>
      <c r="AD786" s="441"/>
      <c r="AE786" s="441"/>
      <c r="AF786" s="441"/>
      <c r="AG786" s="441"/>
      <c r="AH786" s="441"/>
      <c r="AI786" s="441"/>
      <c r="AJ786" s="441"/>
      <c r="AK786" s="441"/>
      <c r="AL786" s="441"/>
      <c r="AM786" s="441"/>
      <c r="AN786" s="441"/>
      <c r="AO786" s="441"/>
      <c r="AP786" s="448"/>
      <c r="AQ786" s="448"/>
      <c r="AR786" s="448"/>
      <c r="AS786" s="448"/>
      <c r="AT786" s="448"/>
      <c r="AU786" s="448"/>
      <c r="AV786" s="448"/>
      <c r="AW786" s="448"/>
      <c r="AX786" s="448"/>
      <c r="AY786" s="448"/>
      <c r="AZ786" s="448"/>
      <c r="BA786" s="448"/>
      <c r="BB786" s="448"/>
      <c r="BC786" s="448"/>
      <c r="BD786" s="448"/>
      <c r="BE786" s="448"/>
      <c r="BF786" s="448"/>
    </row>
    <row r="787" spans="1:58" ht="12.75" hidden="1" thickBot="1">
      <c r="A787" s="1" t="s">
        <v>1277</v>
      </c>
      <c r="B787" s="2" t="s">
        <v>304</v>
      </c>
      <c r="C787" s="2" t="s">
        <v>1073</v>
      </c>
      <c r="D787" s="8" t="s">
        <v>567</v>
      </c>
      <c r="E787" s="459"/>
      <c r="F787" s="6"/>
      <c r="G787" s="451"/>
      <c r="H787" s="6"/>
      <c r="I787" s="6"/>
      <c r="J787" s="6"/>
      <c r="K787" s="6"/>
      <c r="L787" s="6"/>
      <c r="M787" s="451"/>
      <c r="N787" s="451"/>
      <c r="O787" s="6"/>
      <c r="P787" s="6"/>
      <c r="Q787" s="451"/>
      <c r="R787" s="451"/>
      <c r="S787" s="445">
        <f t="shared" ref="S787:S850" si="77">G787+H787+I787</f>
        <v>0</v>
      </c>
      <c r="T787" s="445">
        <f t="shared" ref="T787:T850" si="78">J787+K787</f>
        <v>0</v>
      </c>
      <c r="U787" s="445">
        <f t="shared" ref="U787:U850" si="79">N787+O787</f>
        <v>0</v>
      </c>
      <c r="W787" s="450"/>
      <c r="X787" s="450"/>
      <c r="Y787" s="441"/>
      <c r="Z787" s="441"/>
      <c r="AA787" s="441"/>
      <c r="AB787" s="441"/>
      <c r="AC787" s="441"/>
      <c r="AD787" s="441"/>
      <c r="AE787" s="441"/>
      <c r="AF787" s="441"/>
      <c r="AG787" s="441"/>
      <c r="AH787" s="441"/>
      <c r="AI787" s="441"/>
      <c r="AJ787" s="441"/>
      <c r="AK787" s="441"/>
      <c r="AL787" s="441"/>
      <c r="AM787" s="441"/>
      <c r="AN787" s="441"/>
      <c r="AO787" s="441"/>
      <c r="AP787" s="448"/>
      <c r="AQ787" s="448"/>
      <c r="AR787" s="448"/>
      <c r="AS787" s="448"/>
      <c r="AT787" s="448"/>
      <c r="AU787" s="448"/>
      <c r="AV787" s="448"/>
      <c r="AW787" s="448"/>
      <c r="AX787" s="448"/>
      <c r="AY787" s="448"/>
      <c r="AZ787" s="448"/>
      <c r="BA787" s="448"/>
      <c r="BB787" s="448"/>
      <c r="BC787" s="448"/>
      <c r="BD787" s="448"/>
      <c r="BE787" s="448"/>
      <c r="BF787" s="448"/>
    </row>
    <row r="788" spans="1:58" ht="12.75" hidden="1" thickBot="1">
      <c r="A788" s="1" t="s">
        <v>1277</v>
      </c>
      <c r="B788" s="2" t="s">
        <v>305</v>
      </c>
      <c r="C788" s="2" t="s">
        <v>1074</v>
      </c>
      <c r="D788" s="8" t="s">
        <v>567</v>
      </c>
      <c r="E788" s="460"/>
      <c r="F788" s="4"/>
      <c r="G788" s="449"/>
      <c r="H788" s="4"/>
      <c r="I788" s="4"/>
      <c r="J788" s="4"/>
      <c r="K788" s="4"/>
      <c r="L788" s="4"/>
      <c r="M788" s="449"/>
      <c r="N788" s="449"/>
      <c r="O788" s="4"/>
      <c r="P788" s="4"/>
      <c r="Q788" s="449"/>
      <c r="R788" s="449"/>
      <c r="S788" s="445">
        <f t="shared" si="77"/>
        <v>0</v>
      </c>
      <c r="T788" s="445">
        <f t="shared" si="78"/>
        <v>0</v>
      </c>
      <c r="U788" s="445">
        <f t="shared" si="79"/>
        <v>0</v>
      </c>
      <c r="W788" s="450"/>
      <c r="X788" s="450"/>
      <c r="Y788" s="441"/>
      <c r="Z788" s="441"/>
      <c r="AA788" s="441"/>
      <c r="AB788" s="441"/>
      <c r="AC788" s="441"/>
      <c r="AD788" s="441"/>
      <c r="AE788" s="441"/>
      <c r="AF788" s="441"/>
      <c r="AG788" s="441"/>
      <c r="AH788" s="441"/>
      <c r="AI788" s="441"/>
      <c r="AJ788" s="441"/>
      <c r="AK788" s="441"/>
      <c r="AL788" s="441"/>
      <c r="AM788" s="441"/>
      <c r="AN788" s="441"/>
      <c r="AO788" s="441"/>
      <c r="AP788" s="448"/>
      <c r="AQ788" s="448"/>
      <c r="AR788" s="448"/>
      <c r="AS788" s="448"/>
      <c r="AT788" s="448"/>
      <c r="AU788" s="448"/>
      <c r="AV788" s="448"/>
      <c r="AW788" s="448"/>
      <c r="AX788" s="448"/>
      <c r="AY788" s="448"/>
      <c r="AZ788" s="448"/>
      <c r="BA788" s="448"/>
      <c r="BB788" s="448"/>
      <c r="BC788" s="448"/>
      <c r="BD788" s="448"/>
      <c r="BE788" s="448"/>
      <c r="BF788" s="448"/>
    </row>
    <row r="789" spans="1:58" ht="12.75" hidden="1" thickBot="1">
      <c r="A789" s="1" t="s">
        <v>1277</v>
      </c>
      <c r="B789" s="2" t="s">
        <v>306</v>
      </c>
      <c r="C789" s="2" t="s">
        <v>1075</v>
      </c>
      <c r="D789" s="453" t="s">
        <v>459</v>
      </c>
      <c r="E789" s="459"/>
      <c r="F789" s="6"/>
      <c r="G789" s="451"/>
      <c r="H789" s="6"/>
      <c r="I789" s="6"/>
      <c r="J789" s="6"/>
      <c r="K789" s="6"/>
      <c r="L789" s="6"/>
      <c r="M789" s="451"/>
      <c r="N789" s="451"/>
      <c r="O789" s="6"/>
      <c r="P789" s="6"/>
      <c r="Q789" s="451"/>
      <c r="R789" s="451"/>
      <c r="S789" s="445">
        <f t="shared" si="77"/>
        <v>0</v>
      </c>
      <c r="T789" s="445">
        <f t="shared" si="78"/>
        <v>0</v>
      </c>
      <c r="U789" s="445">
        <f t="shared" si="79"/>
        <v>0</v>
      </c>
      <c r="W789" s="450"/>
      <c r="X789" s="450"/>
      <c r="Y789" s="441"/>
      <c r="Z789" s="441"/>
      <c r="AA789" s="441"/>
      <c r="AB789" s="441"/>
      <c r="AC789" s="441"/>
      <c r="AD789" s="441"/>
      <c r="AE789" s="441"/>
      <c r="AF789" s="441"/>
      <c r="AG789" s="441"/>
      <c r="AH789" s="441"/>
      <c r="AI789" s="441"/>
      <c r="AJ789" s="441"/>
      <c r="AK789" s="441"/>
      <c r="AL789" s="441"/>
      <c r="AM789" s="441"/>
      <c r="AN789" s="441"/>
      <c r="AO789" s="441"/>
      <c r="AP789" s="448"/>
      <c r="AQ789" s="448"/>
      <c r="AR789" s="448"/>
      <c r="AS789" s="448"/>
      <c r="AT789" s="448"/>
      <c r="AU789" s="448"/>
      <c r="AV789" s="448"/>
      <c r="AW789" s="448"/>
      <c r="AX789" s="448"/>
      <c r="AY789" s="448"/>
      <c r="AZ789" s="448"/>
      <c r="BA789" s="448"/>
      <c r="BB789" s="448"/>
      <c r="BC789" s="448"/>
      <c r="BD789" s="448"/>
      <c r="BE789" s="448"/>
      <c r="BF789" s="448"/>
    </row>
    <row r="790" spans="1:58" ht="12.75" hidden="1" thickBot="1">
      <c r="A790" s="1" t="s">
        <v>1277</v>
      </c>
      <c r="B790" s="2" t="s">
        <v>307</v>
      </c>
      <c r="C790" s="2" t="s">
        <v>1076</v>
      </c>
      <c r="D790" s="8" t="s">
        <v>567</v>
      </c>
      <c r="E790" s="460"/>
      <c r="F790" s="4"/>
      <c r="G790" s="449"/>
      <c r="H790" s="4"/>
      <c r="I790" s="4"/>
      <c r="J790" s="4"/>
      <c r="K790" s="4"/>
      <c r="L790" s="4"/>
      <c r="M790" s="449"/>
      <c r="N790" s="449"/>
      <c r="O790" s="4"/>
      <c r="P790" s="4"/>
      <c r="Q790" s="449"/>
      <c r="R790" s="449"/>
      <c r="S790" s="445">
        <f t="shared" si="77"/>
        <v>0</v>
      </c>
      <c r="T790" s="445">
        <f t="shared" si="78"/>
        <v>0</v>
      </c>
      <c r="U790" s="445">
        <f t="shared" si="79"/>
        <v>0</v>
      </c>
      <c r="W790" s="450"/>
      <c r="X790" s="450"/>
      <c r="Y790" s="441"/>
      <c r="Z790" s="441"/>
      <c r="AA790" s="441"/>
      <c r="AB790" s="441"/>
      <c r="AC790" s="441"/>
      <c r="AD790" s="441"/>
      <c r="AE790" s="441"/>
      <c r="AF790" s="441"/>
      <c r="AG790" s="441"/>
      <c r="AH790" s="441"/>
      <c r="AI790" s="441"/>
      <c r="AJ790" s="441"/>
      <c r="AK790" s="441"/>
      <c r="AL790" s="441"/>
      <c r="AM790" s="441"/>
      <c r="AN790" s="441"/>
      <c r="AO790" s="441"/>
      <c r="AP790" s="448"/>
      <c r="AQ790" s="448"/>
      <c r="AR790" s="448"/>
      <c r="AS790" s="448"/>
      <c r="AT790" s="448"/>
      <c r="AU790" s="448"/>
      <c r="AV790" s="448"/>
      <c r="AW790" s="448"/>
      <c r="AX790" s="448"/>
      <c r="AY790" s="448"/>
      <c r="AZ790" s="448"/>
      <c r="BA790" s="448"/>
      <c r="BB790" s="448"/>
      <c r="BC790" s="448"/>
      <c r="BD790" s="448"/>
      <c r="BE790" s="448"/>
      <c r="BF790" s="448"/>
    </row>
    <row r="791" spans="1:58" ht="12.75" hidden="1" thickBot="1">
      <c r="A791" s="1" t="s">
        <v>1277</v>
      </c>
      <c r="B791" s="2" t="s">
        <v>308</v>
      </c>
      <c r="C791" s="2" t="s">
        <v>1077</v>
      </c>
      <c r="D791" s="453" t="s">
        <v>459</v>
      </c>
      <c r="E791" s="459"/>
      <c r="F791" s="6"/>
      <c r="G791" s="451"/>
      <c r="H791" s="6"/>
      <c r="I791" s="6"/>
      <c r="J791" s="6"/>
      <c r="K791" s="6"/>
      <c r="L791" s="6"/>
      <c r="M791" s="451"/>
      <c r="N791" s="451"/>
      <c r="O791" s="6"/>
      <c r="P791" s="6"/>
      <c r="Q791" s="451"/>
      <c r="R791" s="451"/>
      <c r="S791" s="445">
        <f t="shared" si="77"/>
        <v>0</v>
      </c>
      <c r="T791" s="445">
        <f t="shared" si="78"/>
        <v>0</v>
      </c>
      <c r="U791" s="445">
        <f t="shared" si="79"/>
        <v>0</v>
      </c>
      <c r="W791" s="450"/>
      <c r="X791" s="450"/>
      <c r="Y791" s="441"/>
      <c r="Z791" s="441"/>
      <c r="AA791" s="441"/>
      <c r="AB791" s="441"/>
      <c r="AC791" s="441"/>
      <c r="AD791" s="441"/>
      <c r="AE791" s="441"/>
      <c r="AF791" s="441"/>
      <c r="AG791" s="441"/>
      <c r="AH791" s="441"/>
      <c r="AI791" s="441"/>
      <c r="AJ791" s="441"/>
      <c r="AK791" s="441"/>
      <c r="AL791" s="441"/>
      <c r="AM791" s="441"/>
      <c r="AN791" s="441"/>
      <c r="AO791" s="441"/>
      <c r="AP791" s="448"/>
      <c r="AQ791" s="448"/>
      <c r="AR791" s="448"/>
      <c r="AS791" s="448"/>
      <c r="AT791" s="448"/>
      <c r="AU791" s="448"/>
      <c r="AV791" s="448"/>
      <c r="AW791" s="448"/>
      <c r="AX791" s="448"/>
      <c r="AY791" s="448"/>
      <c r="AZ791" s="448"/>
      <c r="BA791" s="448"/>
      <c r="BB791" s="448"/>
      <c r="BC791" s="448"/>
      <c r="BD791" s="448"/>
      <c r="BE791" s="448"/>
      <c r="BF791" s="448"/>
    </row>
    <row r="792" spans="1:58" ht="12.75" hidden="1" thickBot="1">
      <c r="A792" s="1" t="s">
        <v>1277</v>
      </c>
      <c r="B792" s="2" t="s">
        <v>309</v>
      </c>
      <c r="C792" s="2" t="s">
        <v>1078</v>
      </c>
      <c r="D792" s="8" t="s">
        <v>567</v>
      </c>
      <c r="E792" s="460"/>
      <c r="F792" s="4"/>
      <c r="G792" s="449"/>
      <c r="H792" s="4"/>
      <c r="I792" s="4"/>
      <c r="J792" s="4"/>
      <c r="K792" s="4"/>
      <c r="L792" s="4"/>
      <c r="M792" s="449"/>
      <c r="N792" s="449"/>
      <c r="O792" s="4"/>
      <c r="P792" s="4"/>
      <c r="Q792" s="449"/>
      <c r="R792" s="449"/>
      <c r="S792" s="445">
        <f t="shared" si="77"/>
        <v>0</v>
      </c>
      <c r="T792" s="445">
        <f t="shared" si="78"/>
        <v>0</v>
      </c>
      <c r="U792" s="445">
        <f t="shared" si="79"/>
        <v>0</v>
      </c>
      <c r="W792" s="450"/>
      <c r="X792" s="450"/>
      <c r="Y792" s="441"/>
      <c r="Z792" s="441"/>
      <c r="AA792" s="441"/>
      <c r="AB792" s="441"/>
      <c r="AC792" s="441"/>
      <c r="AD792" s="441"/>
      <c r="AE792" s="441"/>
      <c r="AF792" s="441"/>
      <c r="AG792" s="441"/>
      <c r="AH792" s="441"/>
      <c r="AI792" s="441"/>
      <c r="AJ792" s="441"/>
      <c r="AK792" s="441"/>
      <c r="AL792" s="441"/>
      <c r="AM792" s="441"/>
      <c r="AN792" s="441"/>
      <c r="AO792" s="441"/>
      <c r="AP792" s="448"/>
      <c r="AQ792" s="448"/>
      <c r="AR792" s="448"/>
      <c r="AS792" s="448"/>
      <c r="AT792" s="448"/>
      <c r="AU792" s="448"/>
      <c r="AV792" s="448"/>
      <c r="AW792" s="448"/>
      <c r="AX792" s="448"/>
      <c r="AY792" s="448"/>
      <c r="AZ792" s="448"/>
      <c r="BA792" s="448"/>
      <c r="BB792" s="448"/>
      <c r="BC792" s="448"/>
      <c r="BD792" s="448"/>
      <c r="BE792" s="448"/>
      <c r="BF792" s="448"/>
    </row>
    <row r="793" spans="1:58" ht="12.75" hidden="1" thickBot="1">
      <c r="A793" s="1" t="s">
        <v>1277</v>
      </c>
      <c r="B793" s="2" t="s">
        <v>310</v>
      </c>
      <c r="C793" s="2" t="s">
        <v>1079</v>
      </c>
      <c r="D793" s="453" t="s">
        <v>459</v>
      </c>
      <c r="E793" s="459"/>
      <c r="F793" s="6"/>
      <c r="G793" s="451"/>
      <c r="H793" s="6"/>
      <c r="I793" s="6"/>
      <c r="J793" s="6"/>
      <c r="K793" s="6"/>
      <c r="L793" s="6"/>
      <c r="M793" s="451"/>
      <c r="N793" s="451"/>
      <c r="O793" s="6"/>
      <c r="P793" s="6"/>
      <c r="Q793" s="451"/>
      <c r="R793" s="451"/>
      <c r="S793" s="445">
        <f t="shared" si="77"/>
        <v>0</v>
      </c>
      <c r="T793" s="445">
        <f t="shared" si="78"/>
        <v>0</v>
      </c>
      <c r="U793" s="445">
        <f t="shared" si="79"/>
        <v>0</v>
      </c>
      <c r="W793" s="450"/>
      <c r="X793" s="450"/>
      <c r="Y793" s="441"/>
      <c r="Z793" s="441"/>
      <c r="AA793" s="441"/>
      <c r="AB793" s="441"/>
      <c r="AC793" s="441"/>
      <c r="AD793" s="441"/>
      <c r="AE793" s="441"/>
      <c r="AF793" s="441"/>
      <c r="AG793" s="441"/>
      <c r="AH793" s="441"/>
      <c r="AI793" s="441"/>
      <c r="AJ793" s="441"/>
      <c r="AK793" s="441"/>
      <c r="AL793" s="441"/>
      <c r="AM793" s="441"/>
      <c r="AN793" s="441"/>
      <c r="AO793" s="441"/>
      <c r="AP793" s="448"/>
      <c r="AQ793" s="448"/>
      <c r="AR793" s="448"/>
      <c r="AS793" s="448"/>
      <c r="AT793" s="448"/>
      <c r="AU793" s="448"/>
      <c r="AV793" s="448"/>
      <c r="AW793" s="448"/>
      <c r="AX793" s="448"/>
      <c r="AY793" s="448"/>
      <c r="AZ793" s="448"/>
      <c r="BA793" s="448"/>
      <c r="BB793" s="448"/>
      <c r="BC793" s="448"/>
      <c r="BD793" s="448"/>
      <c r="BE793" s="448"/>
      <c r="BF793" s="448"/>
    </row>
    <row r="794" spans="1:58" ht="12.75" hidden="1" thickBot="1">
      <c r="A794" s="1" t="s">
        <v>1277</v>
      </c>
      <c r="B794" s="2" t="s">
        <v>311</v>
      </c>
      <c r="C794" s="2" t="s">
        <v>1080</v>
      </c>
      <c r="D794" s="8" t="s">
        <v>567</v>
      </c>
      <c r="E794" s="460"/>
      <c r="F794" s="4"/>
      <c r="G794" s="449"/>
      <c r="H794" s="4"/>
      <c r="I794" s="4"/>
      <c r="J794" s="4"/>
      <c r="K794" s="4"/>
      <c r="L794" s="4"/>
      <c r="M794" s="449"/>
      <c r="N794" s="449"/>
      <c r="O794" s="4"/>
      <c r="P794" s="4"/>
      <c r="Q794" s="449"/>
      <c r="R794" s="449"/>
      <c r="S794" s="445">
        <f t="shared" si="77"/>
        <v>0</v>
      </c>
      <c r="T794" s="445">
        <f t="shared" si="78"/>
        <v>0</v>
      </c>
      <c r="U794" s="445">
        <f t="shared" si="79"/>
        <v>0</v>
      </c>
      <c r="W794" s="450"/>
      <c r="X794" s="450"/>
      <c r="Y794" s="441"/>
      <c r="Z794" s="441"/>
      <c r="AA794" s="441"/>
      <c r="AB794" s="441"/>
      <c r="AC794" s="441"/>
      <c r="AD794" s="441"/>
      <c r="AE794" s="441"/>
      <c r="AF794" s="441"/>
      <c r="AG794" s="441"/>
      <c r="AH794" s="441"/>
      <c r="AI794" s="441"/>
      <c r="AJ794" s="441"/>
      <c r="AK794" s="441"/>
      <c r="AL794" s="441"/>
      <c r="AM794" s="441"/>
      <c r="AN794" s="441"/>
      <c r="AO794" s="441"/>
      <c r="AP794" s="448"/>
      <c r="AQ794" s="448"/>
      <c r="AR794" s="448"/>
      <c r="AS794" s="448"/>
      <c r="AT794" s="448"/>
      <c r="AU794" s="448"/>
      <c r="AV794" s="448"/>
      <c r="AW794" s="448"/>
      <c r="AX794" s="448"/>
      <c r="AY794" s="448"/>
      <c r="AZ794" s="448"/>
      <c r="BA794" s="448"/>
      <c r="BB794" s="448"/>
      <c r="BC794" s="448"/>
      <c r="BD794" s="448"/>
      <c r="BE794" s="448"/>
      <c r="BF794" s="448"/>
    </row>
    <row r="795" spans="1:58" ht="12.75" hidden="1" thickBot="1">
      <c r="A795" s="1" t="s">
        <v>1277</v>
      </c>
      <c r="B795" s="2" t="s">
        <v>339</v>
      </c>
      <c r="C795" s="2" t="s">
        <v>1081</v>
      </c>
      <c r="D795" s="453" t="s">
        <v>459</v>
      </c>
      <c r="E795" s="459"/>
      <c r="F795" s="6"/>
      <c r="G795" s="451"/>
      <c r="H795" s="6"/>
      <c r="I795" s="6"/>
      <c r="J795" s="6"/>
      <c r="K795" s="6"/>
      <c r="L795" s="6"/>
      <c r="M795" s="451"/>
      <c r="N795" s="451"/>
      <c r="O795" s="6"/>
      <c r="P795" s="6"/>
      <c r="Q795" s="451"/>
      <c r="R795" s="451"/>
      <c r="S795" s="445">
        <f t="shared" si="77"/>
        <v>0</v>
      </c>
      <c r="T795" s="445">
        <f t="shared" si="78"/>
        <v>0</v>
      </c>
      <c r="U795" s="445">
        <f t="shared" si="79"/>
        <v>0</v>
      </c>
      <c r="W795" s="450"/>
      <c r="X795" s="450"/>
      <c r="Y795" s="441"/>
      <c r="Z795" s="441"/>
      <c r="AA795" s="441"/>
      <c r="AB795" s="441"/>
      <c r="AC795" s="441"/>
      <c r="AD795" s="441"/>
      <c r="AE795" s="441"/>
      <c r="AF795" s="441"/>
      <c r="AG795" s="441"/>
      <c r="AH795" s="441"/>
      <c r="AI795" s="441"/>
      <c r="AJ795" s="441"/>
      <c r="AK795" s="441"/>
      <c r="AL795" s="441"/>
      <c r="AM795" s="441"/>
      <c r="AN795" s="441"/>
      <c r="AO795" s="441"/>
      <c r="AP795" s="448"/>
      <c r="AQ795" s="448"/>
      <c r="AR795" s="448"/>
      <c r="AS795" s="448"/>
      <c r="AT795" s="448"/>
      <c r="AU795" s="448"/>
      <c r="AV795" s="448"/>
      <c r="AW795" s="448"/>
      <c r="AX795" s="448"/>
      <c r="AY795" s="448"/>
      <c r="AZ795" s="448"/>
      <c r="BA795" s="448"/>
      <c r="BB795" s="448"/>
      <c r="BC795" s="448"/>
      <c r="BD795" s="448"/>
      <c r="BE795" s="448"/>
      <c r="BF795" s="448"/>
    </row>
    <row r="796" spans="1:58" ht="12.75" hidden="1" thickBot="1">
      <c r="A796" s="1" t="s">
        <v>1277</v>
      </c>
      <c r="B796" s="2" t="s">
        <v>312</v>
      </c>
      <c r="C796" s="2" t="s">
        <v>1082</v>
      </c>
      <c r="D796" s="8" t="s">
        <v>567</v>
      </c>
      <c r="E796" s="460"/>
      <c r="F796" s="4"/>
      <c r="G796" s="449"/>
      <c r="H796" s="4"/>
      <c r="I796" s="4"/>
      <c r="J796" s="4"/>
      <c r="K796" s="4"/>
      <c r="L796" s="4"/>
      <c r="M796" s="449"/>
      <c r="N796" s="449"/>
      <c r="O796" s="4"/>
      <c r="P796" s="4"/>
      <c r="Q796" s="449"/>
      <c r="R796" s="449"/>
      <c r="S796" s="445">
        <f t="shared" si="77"/>
        <v>0</v>
      </c>
      <c r="T796" s="445">
        <f t="shared" si="78"/>
        <v>0</v>
      </c>
      <c r="U796" s="445">
        <f t="shared" si="79"/>
        <v>0</v>
      </c>
      <c r="W796" s="450"/>
      <c r="X796" s="450"/>
      <c r="Y796" s="441"/>
      <c r="Z796" s="441"/>
      <c r="AA796" s="441"/>
      <c r="AB796" s="441"/>
      <c r="AC796" s="441"/>
      <c r="AD796" s="441"/>
      <c r="AE796" s="441"/>
      <c r="AF796" s="441"/>
      <c r="AG796" s="441"/>
      <c r="AH796" s="441"/>
      <c r="AI796" s="441"/>
      <c r="AJ796" s="441"/>
      <c r="AK796" s="441"/>
      <c r="AL796" s="441"/>
      <c r="AM796" s="441"/>
      <c r="AN796" s="441"/>
      <c r="AO796" s="441"/>
      <c r="AP796" s="448"/>
      <c r="AQ796" s="448"/>
      <c r="AR796" s="448"/>
      <c r="AS796" s="448"/>
      <c r="AT796" s="448"/>
      <c r="AU796" s="448"/>
      <c r="AV796" s="448"/>
      <c r="AW796" s="448"/>
      <c r="AX796" s="448"/>
      <c r="AY796" s="448"/>
      <c r="AZ796" s="448"/>
      <c r="BA796" s="448"/>
      <c r="BB796" s="448"/>
      <c r="BC796" s="448"/>
      <c r="BD796" s="448"/>
      <c r="BE796" s="448"/>
      <c r="BF796" s="448"/>
    </row>
    <row r="797" spans="1:58" ht="12.75" hidden="1" thickBot="1">
      <c r="A797" s="1" t="s">
        <v>1277</v>
      </c>
      <c r="B797" s="2" t="s">
        <v>688</v>
      </c>
      <c r="C797" s="2" t="s">
        <v>1083</v>
      </c>
      <c r="D797" s="8" t="s">
        <v>567</v>
      </c>
      <c r="E797" s="459"/>
      <c r="F797" s="6"/>
      <c r="G797" s="451"/>
      <c r="H797" s="6"/>
      <c r="I797" s="6"/>
      <c r="J797" s="6"/>
      <c r="K797" s="6"/>
      <c r="L797" s="6"/>
      <c r="M797" s="451"/>
      <c r="N797" s="451"/>
      <c r="O797" s="6"/>
      <c r="P797" s="6"/>
      <c r="Q797" s="6"/>
      <c r="R797" s="451"/>
      <c r="S797" s="445">
        <f t="shared" si="77"/>
        <v>0</v>
      </c>
      <c r="T797" s="445">
        <f t="shared" si="78"/>
        <v>0</v>
      </c>
      <c r="U797" s="445">
        <f t="shared" si="79"/>
        <v>0</v>
      </c>
      <c r="W797" s="450"/>
      <c r="X797" s="450"/>
      <c r="Y797" s="441"/>
      <c r="Z797" s="441"/>
      <c r="AA797" s="441"/>
      <c r="AB797" s="441"/>
      <c r="AC797" s="441"/>
      <c r="AD797" s="441"/>
      <c r="AE797" s="441"/>
      <c r="AF797" s="441"/>
      <c r="AG797" s="441"/>
      <c r="AH797" s="441"/>
      <c r="AI797" s="441"/>
      <c r="AJ797" s="441"/>
      <c r="AK797" s="441"/>
      <c r="AL797" s="441"/>
      <c r="AM797" s="441"/>
      <c r="AN797" s="441"/>
      <c r="AO797" s="441"/>
      <c r="AP797" s="448"/>
      <c r="AQ797" s="448"/>
      <c r="AR797" s="448"/>
      <c r="AS797" s="448"/>
      <c r="AT797" s="448"/>
      <c r="AU797" s="448"/>
      <c r="AV797" s="448"/>
      <c r="AW797" s="448"/>
      <c r="AX797" s="448"/>
      <c r="AY797" s="448"/>
      <c r="AZ797" s="448"/>
      <c r="BA797" s="448"/>
      <c r="BB797" s="448"/>
      <c r="BC797" s="448"/>
      <c r="BD797" s="448"/>
      <c r="BE797" s="448"/>
      <c r="BF797" s="448"/>
    </row>
    <row r="798" spans="1:58" ht="12.75" hidden="1" thickBot="1">
      <c r="A798" s="1" t="s">
        <v>1277</v>
      </c>
      <c r="B798" s="2" t="s">
        <v>341</v>
      </c>
      <c r="C798" s="2" t="s">
        <v>1084</v>
      </c>
      <c r="D798" s="8" t="s">
        <v>567</v>
      </c>
      <c r="E798" s="460"/>
      <c r="F798" s="4"/>
      <c r="G798" s="449"/>
      <c r="H798" s="4"/>
      <c r="I798" s="4"/>
      <c r="J798" s="4"/>
      <c r="K798" s="4"/>
      <c r="L798" s="4"/>
      <c r="M798" s="449"/>
      <c r="N798" s="449"/>
      <c r="O798" s="4"/>
      <c r="P798" s="4"/>
      <c r="Q798" s="4"/>
      <c r="R798" s="449"/>
      <c r="S798" s="445">
        <f t="shared" si="77"/>
        <v>0</v>
      </c>
      <c r="T798" s="445">
        <f t="shared" si="78"/>
        <v>0</v>
      </c>
      <c r="U798" s="445">
        <f t="shared" si="79"/>
        <v>0</v>
      </c>
      <c r="W798" s="450"/>
      <c r="X798" s="450"/>
      <c r="Y798" s="441"/>
      <c r="Z798" s="441"/>
      <c r="AA798" s="441"/>
      <c r="AB798" s="441"/>
      <c r="AC798" s="441"/>
      <c r="AD798" s="441"/>
      <c r="AE798" s="441"/>
      <c r="AF798" s="441"/>
      <c r="AG798" s="441"/>
      <c r="AH798" s="441"/>
      <c r="AI798" s="441"/>
      <c r="AJ798" s="441"/>
      <c r="AK798" s="441"/>
      <c r="AL798" s="441"/>
      <c r="AM798" s="441"/>
      <c r="AN798" s="441"/>
      <c r="AO798" s="441"/>
      <c r="AP798" s="448"/>
      <c r="AQ798" s="448"/>
      <c r="AR798" s="448"/>
      <c r="AS798" s="448"/>
      <c r="AT798" s="448"/>
      <c r="AU798" s="448"/>
      <c r="AV798" s="448"/>
      <c r="AW798" s="448"/>
      <c r="AX798" s="448"/>
      <c r="AY798" s="448"/>
      <c r="AZ798" s="448"/>
      <c r="BA798" s="448"/>
      <c r="BB798" s="448"/>
      <c r="BC798" s="448"/>
      <c r="BD798" s="448"/>
      <c r="BE798" s="448"/>
      <c r="BF798" s="448"/>
    </row>
    <row r="799" spans="1:58" ht="12.75" hidden="1" thickBot="1">
      <c r="A799" s="1" t="s">
        <v>1277</v>
      </c>
      <c r="B799" s="2" t="s">
        <v>317</v>
      </c>
      <c r="C799" s="2" t="s">
        <v>1085</v>
      </c>
      <c r="D799" s="8" t="s">
        <v>567</v>
      </c>
      <c r="E799" s="459"/>
      <c r="F799" s="6"/>
      <c r="G799" s="451"/>
      <c r="H799" s="6"/>
      <c r="I799" s="6"/>
      <c r="J799" s="6"/>
      <c r="K799" s="6"/>
      <c r="L799" s="6"/>
      <c r="M799" s="451"/>
      <c r="N799" s="451"/>
      <c r="O799" s="6"/>
      <c r="P799" s="6"/>
      <c r="Q799" s="451"/>
      <c r="R799" s="451"/>
      <c r="S799" s="445">
        <f t="shared" si="77"/>
        <v>0</v>
      </c>
      <c r="T799" s="445">
        <f t="shared" si="78"/>
        <v>0</v>
      </c>
      <c r="U799" s="445">
        <f t="shared" si="79"/>
        <v>0</v>
      </c>
      <c r="W799" s="450"/>
      <c r="X799" s="450"/>
      <c r="Y799" s="441"/>
      <c r="Z799" s="441"/>
      <c r="AA799" s="441"/>
      <c r="AB799" s="441"/>
      <c r="AC799" s="441"/>
      <c r="AD799" s="441"/>
      <c r="AE799" s="441"/>
      <c r="AF799" s="441"/>
      <c r="AG799" s="441"/>
      <c r="AH799" s="441"/>
      <c r="AI799" s="441"/>
      <c r="AJ799" s="441"/>
      <c r="AK799" s="441"/>
      <c r="AL799" s="441"/>
      <c r="AM799" s="441"/>
      <c r="AN799" s="441"/>
      <c r="AO799" s="441"/>
      <c r="AP799" s="448"/>
      <c r="AQ799" s="448"/>
      <c r="AR799" s="448"/>
      <c r="AS799" s="448"/>
      <c r="AT799" s="448"/>
      <c r="AU799" s="448"/>
      <c r="AV799" s="448"/>
      <c r="AW799" s="448"/>
      <c r="AX799" s="448"/>
      <c r="AY799" s="448"/>
      <c r="AZ799" s="448"/>
      <c r="BA799" s="448"/>
      <c r="BB799" s="448"/>
      <c r="BC799" s="448"/>
      <c r="BD799" s="448"/>
      <c r="BE799" s="448"/>
      <c r="BF799" s="448"/>
    </row>
    <row r="800" spans="1:58" ht="12.75" hidden="1" thickBot="1">
      <c r="A800" s="1" t="s">
        <v>1277</v>
      </c>
      <c r="B800" s="2" t="s">
        <v>1235</v>
      </c>
      <c r="C800" s="2" t="s">
        <v>1236</v>
      </c>
      <c r="D800" s="8" t="s">
        <v>567</v>
      </c>
      <c r="E800" s="460"/>
      <c r="F800" s="4"/>
      <c r="G800" s="449"/>
      <c r="H800" s="4"/>
      <c r="I800" s="4"/>
      <c r="J800" s="4"/>
      <c r="K800" s="4"/>
      <c r="L800" s="4"/>
      <c r="M800" s="449"/>
      <c r="N800" s="449"/>
      <c r="O800" s="4"/>
      <c r="P800" s="4"/>
      <c r="Q800" s="449"/>
      <c r="R800" s="449"/>
      <c r="S800" s="445">
        <f t="shared" si="77"/>
        <v>0</v>
      </c>
      <c r="T800" s="445">
        <f t="shared" si="78"/>
        <v>0</v>
      </c>
      <c r="U800" s="445">
        <f t="shared" si="79"/>
        <v>0</v>
      </c>
      <c r="W800" s="450"/>
      <c r="X800" s="450"/>
      <c r="Y800" s="441"/>
      <c r="Z800" s="441"/>
      <c r="AA800" s="441"/>
      <c r="AB800" s="441"/>
      <c r="AC800" s="441"/>
      <c r="AD800" s="441"/>
      <c r="AE800" s="441"/>
      <c r="AF800" s="441"/>
      <c r="AG800" s="441"/>
      <c r="AH800" s="441"/>
      <c r="AI800" s="441"/>
      <c r="AJ800" s="441"/>
      <c r="AK800" s="441"/>
      <c r="AL800" s="441"/>
      <c r="AM800" s="441"/>
      <c r="AN800" s="441"/>
      <c r="AO800" s="441"/>
      <c r="AP800" s="448"/>
      <c r="AQ800" s="448"/>
      <c r="AR800" s="448"/>
      <c r="AS800" s="448"/>
      <c r="AT800" s="448"/>
      <c r="AU800" s="448"/>
      <c r="AV800" s="448"/>
      <c r="AW800" s="448"/>
      <c r="AX800" s="448"/>
      <c r="AY800" s="448"/>
      <c r="AZ800" s="448"/>
      <c r="BA800" s="448"/>
      <c r="BB800" s="448"/>
      <c r="BC800" s="448"/>
      <c r="BD800" s="448"/>
      <c r="BE800" s="448"/>
      <c r="BF800" s="448"/>
    </row>
    <row r="801" spans="1:58" ht="12.75" hidden="1" thickBot="1">
      <c r="A801" s="1" t="s">
        <v>1277</v>
      </c>
      <c r="B801" s="2" t="s">
        <v>318</v>
      </c>
      <c r="C801" s="2" t="s">
        <v>1086</v>
      </c>
      <c r="D801" s="8" t="s">
        <v>567</v>
      </c>
      <c r="E801" s="459"/>
      <c r="F801" s="6"/>
      <c r="G801" s="6"/>
      <c r="H801" s="6"/>
      <c r="I801" s="6"/>
      <c r="J801" s="6"/>
      <c r="K801" s="6"/>
      <c r="L801" s="6"/>
      <c r="M801" s="6"/>
      <c r="N801" s="6"/>
      <c r="O801" s="6"/>
      <c r="P801" s="6"/>
      <c r="Q801" s="6"/>
      <c r="R801" s="6"/>
      <c r="S801" s="445">
        <f t="shared" si="77"/>
        <v>0</v>
      </c>
      <c r="T801" s="445">
        <f t="shared" si="78"/>
        <v>0</v>
      </c>
      <c r="U801" s="445">
        <f t="shared" si="79"/>
        <v>0</v>
      </c>
      <c r="W801" s="450"/>
      <c r="X801" s="450"/>
      <c r="Y801" s="441"/>
      <c r="Z801" s="441"/>
      <c r="AA801" s="441"/>
      <c r="AB801" s="441"/>
      <c r="AC801" s="441"/>
      <c r="AD801" s="441"/>
      <c r="AE801" s="441"/>
      <c r="AF801" s="441"/>
      <c r="AG801" s="441"/>
      <c r="AH801" s="441"/>
      <c r="AI801" s="441"/>
      <c r="AJ801" s="441"/>
      <c r="AK801" s="441"/>
      <c r="AL801" s="441"/>
      <c r="AM801" s="441"/>
      <c r="AN801" s="441"/>
      <c r="AO801" s="441"/>
      <c r="AP801" s="448"/>
      <c r="AQ801" s="448"/>
      <c r="AR801" s="448"/>
      <c r="AS801" s="448"/>
      <c r="AT801" s="448"/>
      <c r="AU801" s="448"/>
      <c r="AV801" s="448"/>
      <c r="AW801" s="448"/>
      <c r="AX801" s="448"/>
      <c r="AY801" s="448"/>
      <c r="AZ801" s="448"/>
      <c r="BA801" s="448"/>
      <c r="BB801" s="448"/>
      <c r="BC801" s="448"/>
      <c r="BD801" s="448"/>
      <c r="BE801" s="448"/>
      <c r="BF801" s="448"/>
    </row>
    <row r="802" spans="1:58" ht="12.75" hidden="1" thickBot="1">
      <c r="A802" s="1" t="s">
        <v>1277</v>
      </c>
      <c r="B802" s="2" t="s">
        <v>1237</v>
      </c>
      <c r="C802" s="2" t="s">
        <v>1238</v>
      </c>
      <c r="D802" s="8" t="s">
        <v>567</v>
      </c>
      <c r="E802" s="460"/>
      <c r="F802" s="4"/>
      <c r="G802" s="449"/>
      <c r="H802" s="4"/>
      <c r="I802" s="4"/>
      <c r="J802" s="4"/>
      <c r="K802" s="4"/>
      <c r="L802" s="4"/>
      <c r="M802" s="449"/>
      <c r="N802" s="449"/>
      <c r="O802" s="4"/>
      <c r="P802" s="4"/>
      <c r="Q802" s="449"/>
      <c r="R802" s="449"/>
      <c r="S802" s="445">
        <f t="shared" si="77"/>
        <v>0</v>
      </c>
      <c r="T802" s="445">
        <f t="shared" si="78"/>
        <v>0</v>
      </c>
      <c r="U802" s="445">
        <f t="shared" si="79"/>
        <v>0</v>
      </c>
      <c r="W802" s="450"/>
      <c r="X802" s="450"/>
      <c r="Y802" s="441"/>
      <c r="Z802" s="441"/>
      <c r="AA802" s="441"/>
      <c r="AB802" s="441"/>
      <c r="AC802" s="441"/>
      <c r="AD802" s="441"/>
      <c r="AE802" s="441"/>
      <c r="AF802" s="441"/>
      <c r="AG802" s="441"/>
      <c r="AH802" s="441"/>
      <c r="AI802" s="441"/>
      <c r="AJ802" s="441"/>
      <c r="AK802" s="441"/>
      <c r="AL802" s="441"/>
      <c r="AM802" s="441"/>
      <c r="AN802" s="441"/>
      <c r="AO802" s="441"/>
      <c r="AP802" s="448"/>
      <c r="AQ802" s="448"/>
      <c r="AR802" s="448"/>
      <c r="AS802" s="448"/>
      <c r="AT802" s="448"/>
      <c r="AU802" s="448"/>
      <c r="AV802" s="448"/>
      <c r="AW802" s="448"/>
      <c r="AX802" s="448"/>
      <c r="AY802" s="448"/>
      <c r="AZ802" s="448"/>
      <c r="BA802" s="448"/>
      <c r="BB802" s="448"/>
      <c r="BC802" s="448"/>
      <c r="BD802" s="448"/>
      <c r="BE802" s="448"/>
      <c r="BF802" s="448"/>
    </row>
    <row r="803" spans="1:58" ht="12.75" hidden="1" thickBot="1">
      <c r="A803" s="1" t="s">
        <v>1277</v>
      </c>
      <c r="B803" s="2" t="s">
        <v>319</v>
      </c>
      <c r="C803" s="2" t="s">
        <v>1087</v>
      </c>
      <c r="D803" s="8" t="s">
        <v>567</v>
      </c>
      <c r="E803" s="459"/>
      <c r="F803" s="6"/>
      <c r="G803" s="6"/>
      <c r="H803" s="6"/>
      <c r="I803" s="6"/>
      <c r="J803" s="6"/>
      <c r="K803" s="6"/>
      <c r="L803" s="6"/>
      <c r="M803" s="6"/>
      <c r="N803" s="6"/>
      <c r="O803" s="6"/>
      <c r="P803" s="6"/>
      <c r="Q803" s="6"/>
      <c r="R803" s="6"/>
      <c r="S803" s="445">
        <f t="shared" si="77"/>
        <v>0</v>
      </c>
      <c r="T803" s="445">
        <f t="shared" si="78"/>
        <v>0</v>
      </c>
      <c r="U803" s="445">
        <f t="shared" si="79"/>
        <v>0</v>
      </c>
      <c r="W803" s="450"/>
      <c r="X803" s="450"/>
      <c r="Y803" s="441"/>
      <c r="Z803" s="441"/>
      <c r="AA803" s="441"/>
      <c r="AB803" s="441"/>
      <c r="AC803" s="441"/>
      <c r="AD803" s="441"/>
      <c r="AE803" s="441"/>
      <c r="AF803" s="441"/>
      <c r="AG803" s="441"/>
      <c r="AH803" s="441"/>
      <c r="AI803" s="441"/>
      <c r="AJ803" s="441"/>
      <c r="AK803" s="441"/>
      <c r="AL803" s="441"/>
      <c r="AM803" s="441"/>
      <c r="AN803" s="441"/>
      <c r="AO803" s="441"/>
      <c r="AP803" s="448"/>
      <c r="AQ803" s="448"/>
      <c r="AR803" s="448"/>
      <c r="AS803" s="448"/>
      <c r="AT803" s="448"/>
      <c r="AU803" s="448"/>
      <c r="AV803" s="448"/>
      <c r="AW803" s="448"/>
      <c r="AX803" s="448"/>
      <c r="AY803" s="448"/>
      <c r="AZ803" s="448"/>
      <c r="BA803" s="448"/>
      <c r="BB803" s="448"/>
      <c r="BC803" s="448"/>
      <c r="BD803" s="448"/>
      <c r="BE803" s="448"/>
      <c r="BF803" s="448"/>
    </row>
    <row r="804" spans="1:58" ht="12.75" hidden="1" thickBot="1">
      <c r="A804" s="1" t="s">
        <v>1277</v>
      </c>
      <c r="B804" s="2" t="s">
        <v>1225</v>
      </c>
      <c r="C804" s="2" t="s">
        <v>1226</v>
      </c>
      <c r="D804" s="8" t="s">
        <v>567</v>
      </c>
      <c r="E804" s="460"/>
      <c r="F804" s="4"/>
      <c r="G804" s="449"/>
      <c r="H804" s="4"/>
      <c r="I804" s="4"/>
      <c r="J804" s="4"/>
      <c r="K804" s="4"/>
      <c r="L804" s="4"/>
      <c r="M804" s="449"/>
      <c r="N804" s="449"/>
      <c r="O804" s="4"/>
      <c r="P804" s="4"/>
      <c r="Q804" s="449"/>
      <c r="R804" s="449"/>
      <c r="S804" s="445">
        <f t="shared" si="77"/>
        <v>0</v>
      </c>
      <c r="T804" s="445">
        <f t="shared" si="78"/>
        <v>0</v>
      </c>
      <c r="U804" s="445">
        <f t="shared" si="79"/>
        <v>0</v>
      </c>
      <c r="W804" s="450"/>
      <c r="X804" s="450"/>
      <c r="Y804" s="441"/>
      <c r="Z804" s="441"/>
      <c r="AA804" s="441"/>
      <c r="AB804" s="441"/>
      <c r="AC804" s="441"/>
      <c r="AD804" s="441"/>
      <c r="AE804" s="441"/>
      <c r="AF804" s="441"/>
      <c r="AG804" s="441"/>
      <c r="AH804" s="441"/>
      <c r="AI804" s="441"/>
      <c r="AJ804" s="441"/>
      <c r="AK804" s="441"/>
      <c r="AL804" s="441"/>
      <c r="AM804" s="441"/>
      <c r="AN804" s="441"/>
      <c r="AO804" s="441"/>
      <c r="AP804" s="448"/>
      <c r="AQ804" s="448"/>
      <c r="AR804" s="448"/>
      <c r="AS804" s="448"/>
      <c r="AT804" s="448"/>
      <c r="AU804" s="448"/>
      <c r="AV804" s="448"/>
      <c r="AW804" s="448"/>
      <c r="AX804" s="448"/>
      <c r="AY804" s="448"/>
      <c r="AZ804" s="448"/>
      <c r="BA804" s="448"/>
      <c r="BB804" s="448"/>
      <c r="BC804" s="448"/>
      <c r="BD804" s="448"/>
      <c r="BE804" s="448"/>
      <c r="BF804" s="448"/>
    </row>
    <row r="805" spans="1:58" ht="12.75" hidden="1" thickBot="1">
      <c r="A805" s="1" t="s">
        <v>1277</v>
      </c>
      <c r="B805" s="2" t="s">
        <v>320</v>
      </c>
      <c r="C805" s="2" t="s">
        <v>1088</v>
      </c>
      <c r="D805" s="8" t="s">
        <v>567</v>
      </c>
      <c r="E805" s="459"/>
      <c r="F805" s="6"/>
      <c r="G805" s="451"/>
      <c r="H805" s="6"/>
      <c r="I805" s="6"/>
      <c r="J805" s="6"/>
      <c r="K805" s="6"/>
      <c r="L805" s="6"/>
      <c r="M805" s="451"/>
      <c r="N805" s="451"/>
      <c r="O805" s="6"/>
      <c r="P805" s="6"/>
      <c r="Q805" s="451"/>
      <c r="R805" s="451"/>
      <c r="S805" s="445">
        <f t="shared" si="77"/>
        <v>0</v>
      </c>
      <c r="T805" s="445">
        <f t="shared" si="78"/>
        <v>0</v>
      </c>
      <c r="U805" s="445">
        <f t="shared" si="79"/>
        <v>0</v>
      </c>
      <c r="W805" s="450"/>
      <c r="X805" s="450"/>
      <c r="Y805" s="441"/>
      <c r="Z805" s="441"/>
      <c r="AA805" s="441"/>
      <c r="AB805" s="441"/>
      <c r="AC805" s="441"/>
      <c r="AD805" s="441"/>
      <c r="AE805" s="441"/>
      <c r="AF805" s="441"/>
      <c r="AG805" s="441"/>
      <c r="AH805" s="441"/>
      <c r="AI805" s="441"/>
      <c r="AJ805" s="441"/>
      <c r="AK805" s="441"/>
      <c r="AL805" s="441"/>
      <c r="AM805" s="441"/>
      <c r="AN805" s="441"/>
      <c r="AO805" s="441"/>
      <c r="AP805" s="448"/>
      <c r="AQ805" s="448"/>
      <c r="AR805" s="448"/>
      <c r="AS805" s="448"/>
      <c r="AT805" s="448"/>
      <c r="AU805" s="448"/>
      <c r="AV805" s="448"/>
      <c r="AW805" s="448"/>
      <c r="AX805" s="448"/>
      <c r="AY805" s="448"/>
      <c r="AZ805" s="448"/>
      <c r="BA805" s="448"/>
      <c r="BB805" s="448"/>
      <c r="BC805" s="448"/>
      <c r="BD805" s="448"/>
      <c r="BE805" s="448"/>
      <c r="BF805" s="448"/>
    </row>
    <row r="806" spans="1:58" ht="12.75" hidden="1" thickBot="1">
      <c r="A806" s="1" t="s">
        <v>1277</v>
      </c>
      <c r="B806" s="2" t="s">
        <v>321</v>
      </c>
      <c r="C806" s="2" t="s">
        <v>1089</v>
      </c>
      <c r="D806" s="8" t="s">
        <v>567</v>
      </c>
      <c r="E806" s="460"/>
      <c r="F806" s="4"/>
      <c r="G806" s="4"/>
      <c r="H806" s="4"/>
      <c r="I806" s="4"/>
      <c r="J806" s="4"/>
      <c r="K806" s="4"/>
      <c r="L806" s="4"/>
      <c r="M806" s="4"/>
      <c r="N806" s="4"/>
      <c r="O806" s="4"/>
      <c r="P806" s="4"/>
      <c r="Q806" s="4"/>
      <c r="R806" s="4"/>
      <c r="S806" s="445">
        <f t="shared" si="77"/>
        <v>0</v>
      </c>
      <c r="T806" s="445">
        <f t="shared" si="78"/>
        <v>0</v>
      </c>
      <c r="U806" s="445">
        <f t="shared" si="79"/>
        <v>0</v>
      </c>
      <c r="W806" s="450"/>
      <c r="X806" s="450"/>
      <c r="Y806" s="441"/>
      <c r="Z806" s="441"/>
      <c r="AA806" s="441"/>
      <c r="AB806" s="441"/>
      <c r="AC806" s="441"/>
      <c r="AD806" s="441"/>
      <c r="AE806" s="441"/>
      <c r="AF806" s="441"/>
      <c r="AG806" s="441"/>
      <c r="AH806" s="441"/>
      <c r="AI806" s="441"/>
      <c r="AJ806" s="441"/>
      <c r="AK806" s="441"/>
      <c r="AL806" s="441"/>
      <c r="AM806" s="441"/>
      <c r="AN806" s="441"/>
      <c r="AO806" s="441"/>
      <c r="AP806" s="448"/>
      <c r="AQ806" s="448"/>
      <c r="AR806" s="448"/>
      <c r="AS806" s="448"/>
      <c r="AT806" s="448"/>
      <c r="AU806" s="448"/>
      <c r="AV806" s="448"/>
      <c r="AW806" s="448"/>
      <c r="AX806" s="448"/>
      <c r="AY806" s="448"/>
      <c r="AZ806" s="448"/>
      <c r="BA806" s="448"/>
      <c r="BB806" s="448"/>
      <c r="BC806" s="448"/>
      <c r="BD806" s="448"/>
      <c r="BE806" s="448"/>
      <c r="BF806" s="448"/>
    </row>
    <row r="807" spans="1:58" ht="12.75" hidden="1" thickBot="1">
      <c r="A807" s="1" t="s">
        <v>1277</v>
      </c>
      <c r="B807" s="2" t="s">
        <v>1227</v>
      </c>
      <c r="C807" s="2" t="s">
        <v>1228</v>
      </c>
      <c r="D807" s="8" t="s">
        <v>567</v>
      </c>
      <c r="E807" s="459"/>
      <c r="F807" s="6"/>
      <c r="G807" s="451"/>
      <c r="H807" s="6"/>
      <c r="I807" s="6"/>
      <c r="J807" s="6"/>
      <c r="K807" s="6"/>
      <c r="L807" s="6"/>
      <c r="M807" s="451"/>
      <c r="N807" s="451"/>
      <c r="O807" s="6"/>
      <c r="P807" s="6"/>
      <c r="Q807" s="451"/>
      <c r="R807" s="451"/>
      <c r="S807" s="445">
        <f t="shared" si="77"/>
        <v>0</v>
      </c>
      <c r="T807" s="445">
        <f t="shared" si="78"/>
        <v>0</v>
      </c>
      <c r="U807" s="445">
        <f t="shared" si="79"/>
        <v>0</v>
      </c>
      <c r="W807" s="450"/>
      <c r="X807" s="450"/>
      <c r="Y807" s="441"/>
      <c r="Z807" s="441"/>
      <c r="AA807" s="441"/>
      <c r="AB807" s="441"/>
      <c r="AC807" s="441"/>
      <c r="AD807" s="441"/>
      <c r="AE807" s="441"/>
      <c r="AF807" s="441"/>
      <c r="AG807" s="441"/>
      <c r="AH807" s="441"/>
      <c r="AI807" s="441"/>
      <c r="AJ807" s="441"/>
      <c r="AK807" s="441"/>
      <c r="AL807" s="441"/>
      <c r="AM807" s="441"/>
      <c r="AN807" s="441"/>
      <c r="AO807" s="441"/>
      <c r="AP807" s="448"/>
      <c r="AQ807" s="448"/>
      <c r="AR807" s="448"/>
      <c r="AS807" s="448"/>
      <c r="AT807" s="448"/>
      <c r="AU807" s="448"/>
      <c r="AV807" s="448"/>
      <c r="AW807" s="448"/>
      <c r="AX807" s="448"/>
      <c r="AY807" s="448"/>
      <c r="AZ807" s="448"/>
      <c r="BA807" s="448"/>
      <c r="BB807" s="448"/>
      <c r="BC807" s="448"/>
      <c r="BD807" s="448"/>
      <c r="BE807" s="448"/>
      <c r="BF807" s="448"/>
    </row>
    <row r="808" spans="1:58" ht="12.75" hidden="1" thickBot="1">
      <c r="A808" s="1" t="s">
        <v>1277</v>
      </c>
      <c r="B808" s="2" t="s">
        <v>322</v>
      </c>
      <c r="C808" s="2" t="s">
        <v>1090</v>
      </c>
      <c r="D808" s="8" t="s">
        <v>567</v>
      </c>
      <c r="E808" s="460"/>
      <c r="F808" s="4"/>
      <c r="G808" s="449"/>
      <c r="H808" s="4"/>
      <c r="I808" s="4"/>
      <c r="J808" s="4"/>
      <c r="K808" s="4"/>
      <c r="L808" s="4"/>
      <c r="M808" s="449"/>
      <c r="N808" s="449"/>
      <c r="O808" s="4"/>
      <c r="P808" s="4"/>
      <c r="Q808" s="449"/>
      <c r="R808" s="449"/>
      <c r="S808" s="445">
        <f t="shared" si="77"/>
        <v>0</v>
      </c>
      <c r="T808" s="445">
        <f t="shared" si="78"/>
        <v>0</v>
      </c>
      <c r="U808" s="445">
        <f t="shared" si="79"/>
        <v>0</v>
      </c>
      <c r="W808" s="450"/>
      <c r="X808" s="450"/>
      <c r="Y808" s="441"/>
      <c r="Z808" s="441"/>
      <c r="AA808" s="441"/>
      <c r="AB808" s="441"/>
      <c r="AC808" s="441"/>
      <c r="AD808" s="441"/>
      <c r="AE808" s="441"/>
      <c r="AF808" s="441"/>
      <c r="AG808" s="441"/>
      <c r="AH808" s="441"/>
      <c r="AI808" s="441"/>
      <c r="AJ808" s="441"/>
      <c r="AK808" s="441"/>
      <c r="AL808" s="441"/>
      <c r="AM808" s="441"/>
      <c r="AN808" s="441"/>
      <c r="AO808" s="441"/>
      <c r="AP808" s="448"/>
      <c r="AQ808" s="448"/>
      <c r="AR808" s="448"/>
      <c r="AS808" s="448"/>
      <c r="AT808" s="448"/>
      <c r="AU808" s="448"/>
      <c r="AV808" s="448"/>
      <c r="AW808" s="448"/>
      <c r="AX808" s="448"/>
      <c r="AY808" s="448"/>
      <c r="AZ808" s="448"/>
      <c r="BA808" s="448"/>
      <c r="BB808" s="448"/>
      <c r="BC808" s="448"/>
      <c r="BD808" s="448"/>
      <c r="BE808" s="448"/>
      <c r="BF808" s="448"/>
    </row>
    <row r="809" spans="1:58" ht="12.75" hidden="1" thickBot="1">
      <c r="A809" s="1" t="s">
        <v>1277</v>
      </c>
      <c r="B809" s="2" t="s">
        <v>323</v>
      </c>
      <c r="C809" s="2" t="s">
        <v>1091</v>
      </c>
      <c r="D809" s="453" t="s">
        <v>459</v>
      </c>
      <c r="E809" s="459"/>
      <c r="F809" s="6"/>
      <c r="G809" s="451"/>
      <c r="H809" s="6"/>
      <c r="I809" s="6"/>
      <c r="J809" s="6"/>
      <c r="K809" s="6"/>
      <c r="L809" s="6"/>
      <c r="M809" s="451"/>
      <c r="N809" s="451"/>
      <c r="O809" s="6"/>
      <c r="P809" s="6"/>
      <c r="Q809" s="451"/>
      <c r="R809" s="451"/>
      <c r="S809" s="445">
        <f t="shared" si="77"/>
        <v>0</v>
      </c>
      <c r="T809" s="445">
        <f t="shared" si="78"/>
        <v>0</v>
      </c>
      <c r="U809" s="445">
        <f t="shared" si="79"/>
        <v>0</v>
      </c>
      <c r="W809" s="450"/>
      <c r="X809" s="450"/>
      <c r="Y809" s="441"/>
      <c r="Z809" s="441"/>
      <c r="AA809" s="441"/>
      <c r="AB809" s="441"/>
      <c r="AC809" s="441"/>
      <c r="AD809" s="441"/>
      <c r="AE809" s="441"/>
      <c r="AF809" s="441"/>
      <c r="AG809" s="441"/>
      <c r="AH809" s="441"/>
      <c r="AI809" s="441"/>
      <c r="AJ809" s="441"/>
      <c r="AK809" s="441"/>
      <c r="AL809" s="441"/>
      <c r="AM809" s="441"/>
      <c r="AN809" s="441"/>
      <c r="AO809" s="441"/>
      <c r="AP809" s="448"/>
      <c r="AQ809" s="448"/>
      <c r="AR809" s="448"/>
      <c r="AS809" s="448"/>
      <c r="AT809" s="448"/>
      <c r="AU809" s="448"/>
      <c r="AV809" s="448"/>
      <c r="AW809" s="448"/>
      <c r="AX809" s="448"/>
      <c r="AY809" s="448"/>
      <c r="AZ809" s="448"/>
      <c r="BA809" s="448"/>
      <c r="BB809" s="448"/>
      <c r="BC809" s="448"/>
      <c r="BD809" s="448"/>
      <c r="BE809" s="448"/>
      <c r="BF809" s="448"/>
    </row>
    <row r="810" spans="1:58" ht="12.75" hidden="1" thickBot="1">
      <c r="A810" s="1" t="s">
        <v>1277</v>
      </c>
      <c r="B810" s="2" t="s">
        <v>328</v>
      </c>
      <c r="C810" s="2" t="s">
        <v>1092</v>
      </c>
      <c r="D810" s="8" t="s">
        <v>567</v>
      </c>
      <c r="E810" s="460"/>
      <c r="F810" s="4"/>
      <c r="G810" s="449"/>
      <c r="H810" s="4"/>
      <c r="I810" s="4"/>
      <c r="J810" s="4"/>
      <c r="K810" s="4"/>
      <c r="L810" s="4"/>
      <c r="M810" s="449"/>
      <c r="N810" s="449"/>
      <c r="O810" s="4"/>
      <c r="P810" s="4"/>
      <c r="Q810" s="449"/>
      <c r="R810" s="449"/>
      <c r="S810" s="445">
        <f t="shared" si="77"/>
        <v>0</v>
      </c>
      <c r="T810" s="445">
        <f t="shared" si="78"/>
        <v>0</v>
      </c>
      <c r="U810" s="445">
        <f t="shared" si="79"/>
        <v>0</v>
      </c>
      <c r="W810" s="450"/>
      <c r="X810" s="450"/>
      <c r="Y810" s="441"/>
      <c r="Z810" s="441"/>
      <c r="AA810" s="441"/>
      <c r="AB810" s="441"/>
      <c r="AC810" s="441"/>
      <c r="AD810" s="441"/>
      <c r="AE810" s="441"/>
      <c r="AF810" s="441"/>
      <c r="AG810" s="441"/>
      <c r="AH810" s="441"/>
      <c r="AI810" s="441"/>
      <c r="AJ810" s="441"/>
      <c r="AK810" s="441"/>
      <c r="AL810" s="441"/>
      <c r="AM810" s="441"/>
      <c r="AN810" s="441"/>
      <c r="AO810" s="441"/>
      <c r="AP810" s="448"/>
      <c r="AQ810" s="448"/>
      <c r="AR810" s="448"/>
      <c r="AS810" s="448"/>
      <c r="AT810" s="448"/>
      <c r="AU810" s="448"/>
      <c r="AV810" s="448"/>
      <c r="AW810" s="448"/>
      <c r="AX810" s="448"/>
      <c r="AY810" s="448"/>
      <c r="AZ810" s="448"/>
      <c r="BA810" s="448"/>
      <c r="BB810" s="448"/>
      <c r="BC810" s="448"/>
      <c r="BD810" s="448"/>
      <c r="BE810" s="448"/>
      <c r="BF810" s="448"/>
    </row>
    <row r="811" spans="1:58" ht="12.75" hidden="1" thickBot="1">
      <c r="A811" s="1" t="s">
        <v>1277</v>
      </c>
      <c r="B811" s="2" t="s">
        <v>329</v>
      </c>
      <c r="C811" s="2" t="s">
        <v>1093</v>
      </c>
      <c r="D811" s="453" t="s">
        <v>459</v>
      </c>
      <c r="E811" s="459"/>
      <c r="F811" s="6"/>
      <c r="G811" s="451"/>
      <c r="H811" s="6"/>
      <c r="I811" s="6"/>
      <c r="J811" s="6"/>
      <c r="K811" s="6"/>
      <c r="L811" s="6"/>
      <c r="M811" s="451"/>
      <c r="N811" s="451"/>
      <c r="O811" s="6"/>
      <c r="P811" s="6"/>
      <c r="Q811" s="451"/>
      <c r="R811" s="451"/>
      <c r="S811" s="445">
        <f t="shared" si="77"/>
        <v>0</v>
      </c>
      <c r="T811" s="445">
        <f t="shared" si="78"/>
        <v>0</v>
      </c>
      <c r="U811" s="445">
        <f t="shared" si="79"/>
        <v>0</v>
      </c>
      <c r="W811" s="450"/>
      <c r="X811" s="450"/>
      <c r="Y811" s="441"/>
      <c r="Z811" s="441"/>
      <c r="AA811" s="441"/>
      <c r="AB811" s="441"/>
      <c r="AC811" s="441"/>
      <c r="AD811" s="441"/>
      <c r="AE811" s="441"/>
      <c r="AF811" s="441"/>
      <c r="AG811" s="441"/>
      <c r="AH811" s="441"/>
      <c r="AI811" s="441"/>
      <c r="AJ811" s="441"/>
      <c r="AK811" s="441"/>
      <c r="AL811" s="441"/>
      <c r="AM811" s="441"/>
      <c r="AN811" s="441"/>
      <c r="AO811" s="441"/>
      <c r="AP811" s="448"/>
      <c r="AQ811" s="448"/>
      <c r="AR811" s="448"/>
      <c r="AS811" s="448"/>
      <c r="AT811" s="448"/>
      <c r="AU811" s="448"/>
      <c r="AV811" s="448"/>
      <c r="AW811" s="448"/>
      <c r="AX811" s="448"/>
      <c r="AY811" s="448"/>
      <c r="AZ811" s="448"/>
      <c r="BA811" s="448"/>
      <c r="BB811" s="448"/>
      <c r="BC811" s="448"/>
      <c r="BD811" s="448"/>
      <c r="BE811" s="448"/>
      <c r="BF811" s="448"/>
    </row>
    <row r="812" spans="1:58" ht="12.75" hidden="1" thickBot="1">
      <c r="A812" s="1" t="s">
        <v>1277</v>
      </c>
      <c r="B812" s="2" t="s">
        <v>330</v>
      </c>
      <c r="C812" s="2" t="s">
        <v>1094</v>
      </c>
      <c r="D812" s="8" t="s">
        <v>567</v>
      </c>
      <c r="E812" s="460"/>
      <c r="F812" s="4"/>
      <c r="G812" s="449"/>
      <c r="H812" s="4"/>
      <c r="I812" s="4"/>
      <c r="J812" s="4"/>
      <c r="K812" s="4"/>
      <c r="L812" s="4"/>
      <c r="M812" s="449"/>
      <c r="N812" s="449"/>
      <c r="O812" s="4"/>
      <c r="P812" s="4"/>
      <c r="Q812" s="449"/>
      <c r="R812" s="449"/>
      <c r="S812" s="445">
        <f t="shared" si="77"/>
        <v>0</v>
      </c>
      <c r="T812" s="445">
        <f t="shared" si="78"/>
        <v>0</v>
      </c>
      <c r="U812" s="445">
        <f t="shared" si="79"/>
        <v>0</v>
      </c>
      <c r="W812" s="450"/>
      <c r="X812" s="450"/>
      <c r="Y812" s="441"/>
      <c r="Z812" s="441"/>
      <c r="AA812" s="441"/>
      <c r="AB812" s="441"/>
      <c r="AC812" s="441"/>
      <c r="AD812" s="441"/>
      <c r="AE812" s="441"/>
      <c r="AF812" s="441"/>
      <c r="AG812" s="441"/>
      <c r="AH812" s="441"/>
      <c r="AI812" s="441"/>
      <c r="AJ812" s="441"/>
      <c r="AK812" s="441"/>
      <c r="AL812" s="441"/>
      <c r="AM812" s="441"/>
      <c r="AN812" s="441"/>
      <c r="AO812" s="441"/>
      <c r="AP812" s="448"/>
      <c r="AQ812" s="448"/>
      <c r="AR812" s="448"/>
      <c r="AS812" s="448"/>
      <c r="AT812" s="448"/>
      <c r="AU812" s="448"/>
      <c r="AV812" s="448"/>
      <c r="AW812" s="448"/>
      <c r="AX812" s="448"/>
      <c r="AY812" s="448"/>
      <c r="AZ812" s="448"/>
      <c r="BA812" s="448"/>
      <c r="BB812" s="448"/>
      <c r="BC812" s="448"/>
      <c r="BD812" s="448"/>
      <c r="BE812" s="448"/>
      <c r="BF812" s="448"/>
    </row>
    <row r="813" spans="1:58" ht="12.75" hidden="1" thickBot="1">
      <c r="A813" s="1" t="s">
        <v>1277</v>
      </c>
      <c r="B813" s="2" t="s">
        <v>331</v>
      </c>
      <c r="C813" s="2" t="s">
        <v>1095</v>
      </c>
      <c r="D813" s="453" t="s">
        <v>459</v>
      </c>
      <c r="E813" s="459"/>
      <c r="F813" s="6"/>
      <c r="G813" s="451"/>
      <c r="H813" s="6"/>
      <c r="I813" s="6"/>
      <c r="J813" s="6"/>
      <c r="K813" s="6"/>
      <c r="L813" s="6"/>
      <c r="M813" s="451"/>
      <c r="N813" s="451"/>
      <c r="O813" s="6"/>
      <c r="P813" s="6"/>
      <c r="Q813" s="451"/>
      <c r="R813" s="451"/>
      <c r="S813" s="445">
        <f t="shared" si="77"/>
        <v>0</v>
      </c>
      <c r="T813" s="445">
        <f t="shared" si="78"/>
        <v>0</v>
      </c>
      <c r="U813" s="445">
        <f t="shared" si="79"/>
        <v>0</v>
      </c>
      <c r="W813" s="450"/>
      <c r="X813" s="450"/>
      <c r="Y813" s="441"/>
      <c r="Z813" s="441"/>
      <c r="AA813" s="441"/>
      <c r="AB813" s="441"/>
      <c r="AC813" s="441"/>
      <c r="AD813" s="441"/>
      <c r="AE813" s="441"/>
      <c r="AF813" s="441"/>
      <c r="AG813" s="441"/>
      <c r="AH813" s="441"/>
      <c r="AI813" s="441"/>
      <c r="AJ813" s="441"/>
      <c r="AK813" s="441"/>
      <c r="AL813" s="441"/>
      <c r="AM813" s="441"/>
      <c r="AN813" s="441"/>
      <c r="AO813" s="441"/>
      <c r="AP813" s="448"/>
      <c r="AQ813" s="448"/>
      <c r="AR813" s="448"/>
      <c r="AS813" s="448"/>
      <c r="AT813" s="448"/>
      <c r="AU813" s="448"/>
      <c r="AV813" s="448"/>
      <c r="AW813" s="448"/>
      <c r="AX813" s="448"/>
      <c r="AY813" s="448"/>
      <c r="AZ813" s="448"/>
      <c r="BA813" s="448"/>
      <c r="BB813" s="448"/>
      <c r="BC813" s="448"/>
      <c r="BD813" s="448"/>
      <c r="BE813" s="448"/>
      <c r="BF813" s="448"/>
    </row>
    <row r="814" spans="1:58" ht="12.75" hidden="1" thickBot="1">
      <c r="A814" s="1" t="s">
        <v>1277</v>
      </c>
      <c r="B814" s="2" t="s">
        <v>332</v>
      </c>
      <c r="C814" s="2" t="s">
        <v>1096</v>
      </c>
      <c r="D814" s="453" t="s">
        <v>459</v>
      </c>
      <c r="E814" s="460"/>
      <c r="F814" s="4"/>
      <c r="G814" s="449"/>
      <c r="H814" s="4"/>
      <c r="I814" s="4"/>
      <c r="J814" s="4"/>
      <c r="K814" s="4"/>
      <c r="L814" s="4"/>
      <c r="M814" s="449"/>
      <c r="N814" s="449"/>
      <c r="O814" s="4"/>
      <c r="P814" s="4"/>
      <c r="Q814" s="449"/>
      <c r="R814" s="449"/>
      <c r="S814" s="445">
        <f t="shared" si="77"/>
        <v>0</v>
      </c>
      <c r="T814" s="445">
        <f t="shared" si="78"/>
        <v>0</v>
      </c>
      <c r="U814" s="445">
        <f t="shared" si="79"/>
        <v>0</v>
      </c>
      <c r="W814" s="450"/>
      <c r="X814" s="450"/>
      <c r="Y814" s="441"/>
      <c r="Z814" s="441"/>
      <c r="AA814" s="441"/>
      <c r="AB814" s="441"/>
      <c r="AC814" s="441"/>
      <c r="AD814" s="441"/>
      <c r="AE814" s="441"/>
      <c r="AF814" s="441"/>
      <c r="AG814" s="441"/>
      <c r="AH814" s="441"/>
      <c r="AI814" s="441"/>
      <c r="AJ814" s="441"/>
      <c r="AK814" s="441"/>
      <c r="AL814" s="441"/>
      <c r="AM814" s="441"/>
      <c r="AN814" s="441"/>
      <c r="AO814" s="441"/>
      <c r="AP814" s="448"/>
      <c r="AQ814" s="448"/>
      <c r="AR814" s="448"/>
      <c r="AS814" s="448"/>
      <c r="AT814" s="448"/>
      <c r="AU814" s="448"/>
      <c r="AV814" s="448"/>
      <c r="AW814" s="448"/>
      <c r="AX814" s="448"/>
      <c r="AY814" s="448"/>
      <c r="AZ814" s="448"/>
      <c r="BA814" s="448"/>
      <c r="BB814" s="448"/>
      <c r="BC814" s="448"/>
      <c r="BD814" s="448"/>
      <c r="BE814" s="448"/>
      <c r="BF814" s="448"/>
    </row>
    <row r="815" spans="1:58" ht="12.75" hidden="1" thickBot="1">
      <c r="A815" s="1" t="s">
        <v>1277</v>
      </c>
      <c r="B815" s="2" t="s">
        <v>333</v>
      </c>
      <c r="C815" s="2" t="s">
        <v>1097</v>
      </c>
      <c r="D815" s="8" t="s">
        <v>567</v>
      </c>
      <c r="E815" s="459"/>
      <c r="F815" s="6"/>
      <c r="G815" s="451"/>
      <c r="H815" s="6"/>
      <c r="I815" s="6"/>
      <c r="J815" s="6"/>
      <c r="K815" s="6"/>
      <c r="L815" s="6"/>
      <c r="M815" s="451"/>
      <c r="N815" s="451"/>
      <c r="O815" s="6"/>
      <c r="P815" s="6"/>
      <c r="Q815" s="451"/>
      <c r="R815" s="451"/>
      <c r="S815" s="445">
        <f t="shared" si="77"/>
        <v>0</v>
      </c>
      <c r="T815" s="445">
        <f t="shared" si="78"/>
        <v>0</v>
      </c>
      <c r="U815" s="445">
        <f t="shared" si="79"/>
        <v>0</v>
      </c>
      <c r="W815" s="450"/>
      <c r="X815" s="450"/>
      <c r="Y815" s="441"/>
      <c r="Z815" s="441"/>
      <c r="AA815" s="441"/>
      <c r="AB815" s="441"/>
      <c r="AC815" s="441"/>
      <c r="AD815" s="441"/>
      <c r="AE815" s="441"/>
      <c r="AF815" s="441"/>
      <c r="AG815" s="441"/>
      <c r="AH815" s="441"/>
      <c r="AI815" s="441"/>
      <c r="AJ815" s="441"/>
      <c r="AK815" s="441"/>
      <c r="AL815" s="441"/>
      <c r="AM815" s="441"/>
      <c r="AN815" s="441"/>
      <c r="AO815" s="441"/>
      <c r="AP815" s="448"/>
      <c r="AQ815" s="448"/>
      <c r="AR815" s="448"/>
      <c r="AS815" s="448"/>
      <c r="AT815" s="448"/>
      <c r="AU815" s="448"/>
      <c r="AV815" s="448"/>
      <c r="AW815" s="448"/>
      <c r="AX815" s="448"/>
      <c r="AY815" s="448"/>
      <c r="AZ815" s="448"/>
      <c r="BA815" s="448"/>
      <c r="BB815" s="448"/>
      <c r="BC815" s="448"/>
      <c r="BD815" s="448"/>
      <c r="BE815" s="448"/>
      <c r="BF815" s="448"/>
    </row>
    <row r="816" spans="1:58" ht="12.75" hidden="1" thickBot="1">
      <c r="A816" s="1" t="s">
        <v>1277</v>
      </c>
      <c r="B816" s="2" t="s">
        <v>334</v>
      </c>
      <c r="C816" s="2" t="s">
        <v>1098</v>
      </c>
      <c r="D816" s="453" t="s">
        <v>459</v>
      </c>
      <c r="E816" s="460"/>
      <c r="F816" s="4"/>
      <c r="G816" s="449"/>
      <c r="H816" s="4"/>
      <c r="I816" s="4"/>
      <c r="J816" s="4"/>
      <c r="K816" s="4"/>
      <c r="L816" s="4"/>
      <c r="M816" s="449"/>
      <c r="N816" s="449"/>
      <c r="O816" s="4"/>
      <c r="P816" s="4"/>
      <c r="Q816" s="449"/>
      <c r="R816" s="449"/>
      <c r="S816" s="445">
        <f t="shared" si="77"/>
        <v>0</v>
      </c>
      <c r="T816" s="445">
        <f t="shared" si="78"/>
        <v>0</v>
      </c>
      <c r="U816" s="445">
        <f t="shared" si="79"/>
        <v>0</v>
      </c>
      <c r="W816" s="450"/>
      <c r="X816" s="450"/>
      <c r="Y816" s="441"/>
      <c r="Z816" s="441"/>
      <c r="AA816" s="441"/>
      <c r="AB816" s="441"/>
      <c r="AC816" s="441"/>
      <c r="AD816" s="441"/>
      <c r="AE816" s="441"/>
      <c r="AF816" s="441"/>
      <c r="AG816" s="441"/>
      <c r="AH816" s="441"/>
      <c r="AI816" s="441"/>
      <c r="AJ816" s="441"/>
      <c r="AK816" s="441"/>
      <c r="AL816" s="441"/>
      <c r="AM816" s="441"/>
      <c r="AN816" s="441"/>
      <c r="AO816" s="441"/>
      <c r="AP816" s="448"/>
      <c r="AQ816" s="448"/>
      <c r="AR816" s="448"/>
      <c r="AS816" s="448"/>
      <c r="AT816" s="448"/>
      <c r="AU816" s="448"/>
      <c r="AV816" s="448"/>
      <c r="AW816" s="448"/>
      <c r="AX816" s="448"/>
      <c r="AY816" s="448"/>
      <c r="AZ816" s="448"/>
      <c r="BA816" s="448"/>
      <c r="BB816" s="448"/>
      <c r="BC816" s="448"/>
      <c r="BD816" s="448"/>
      <c r="BE816" s="448"/>
      <c r="BF816" s="448"/>
    </row>
    <row r="817" spans="1:58" ht="12.75" hidden="1" thickBot="1">
      <c r="A817" s="1" t="s">
        <v>1277</v>
      </c>
      <c r="B817" s="2" t="s">
        <v>620</v>
      </c>
      <c r="C817" s="2" t="s">
        <v>1099</v>
      </c>
      <c r="D817" s="8" t="s">
        <v>567</v>
      </c>
      <c r="E817" s="459"/>
      <c r="F817" s="6"/>
      <c r="G817" s="451"/>
      <c r="H817" s="6"/>
      <c r="I817" s="6"/>
      <c r="J817" s="6"/>
      <c r="K817" s="6"/>
      <c r="L817" s="6"/>
      <c r="M817" s="451"/>
      <c r="N817" s="451"/>
      <c r="O817" s="6"/>
      <c r="P817" s="6"/>
      <c r="Q817" s="451"/>
      <c r="R817" s="451"/>
      <c r="S817" s="445">
        <f t="shared" si="77"/>
        <v>0</v>
      </c>
      <c r="T817" s="445">
        <f t="shared" si="78"/>
        <v>0</v>
      </c>
      <c r="U817" s="445">
        <f t="shared" si="79"/>
        <v>0</v>
      </c>
      <c r="W817" s="450"/>
      <c r="X817" s="450"/>
      <c r="Y817" s="441"/>
      <c r="Z817" s="441"/>
      <c r="AA817" s="441"/>
      <c r="AB817" s="441"/>
      <c r="AC817" s="441"/>
      <c r="AD817" s="441"/>
      <c r="AE817" s="441"/>
      <c r="AF817" s="441"/>
      <c r="AG817" s="441"/>
      <c r="AH817" s="441"/>
      <c r="AI817" s="441"/>
      <c r="AJ817" s="441"/>
      <c r="AK817" s="441"/>
      <c r="AL817" s="441"/>
      <c r="AM817" s="441"/>
      <c r="AN817" s="441"/>
      <c r="AO817" s="441"/>
      <c r="AP817" s="448"/>
      <c r="AQ817" s="448"/>
      <c r="AR817" s="448"/>
      <c r="AS817" s="448"/>
      <c r="AT817" s="448"/>
      <c r="AU817" s="448"/>
      <c r="AV817" s="448"/>
      <c r="AW817" s="448"/>
      <c r="AX817" s="448"/>
      <c r="AY817" s="448"/>
      <c r="AZ817" s="448"/>
      <c r="BA817" s="448"/>
      <c r="BB817" s="448"/>
      <c r="BC817" s="448"/>
      <c r="BD817" s="448"/>
      <c r="BE817" s="448"/>
      <c r="BF817" s="448"/>
    </row>
    <row r="818" spans="1:58" ht="12.75" hidden="1" thickBot="1">
      <c r="A818" s="1" t="s">
        <v>1277</v>
      </c>
      <c r="B818" s="2" t="s">
        <v>360</v>
      </c>
      <c r="C818" s="2" t="s">
        <v>1100</v>
      </c>
      <c r="D818" s="8" t="s">
        <v>567</v>
      </c>
      <c r="E818" s="460"/>
      <c r="F818" s="4"/>
      <c r="G818" s="449"/>
      <c r="H818" s="4"/>
      <c r="I818" s="4"/>
      <c r="J818" s="4"/>
      <c r="K818" s="4"/>
      <c r="L818" s="4"/>
      <c r="M818" s="449"/>
      <c r="N818" s="449"/>
      <c r="O818" s="4"/>
      <c r="P818" s="4"/>
      <c r="Q818" s="449"/>
      <c r="R818" s="449"/>
      <c r="S818" s="445">
        <f t="shared" si="77"/>
        <v>0</v>
      </c>
      <c r="T818" s="445">
        <f t="shared" si="78"/>
        <v>0</v>
      </c>
      <c r="U818" s="445">
        <f t="shared" si="79"/>
        <v>0</v>
      </c>
      <c r="W818" s="450"/>
      <c r="X818" s="450"/>
      <c r="Y818" s="441"/>
      <c r="Z818" s="441"/>
      <c r="AA818" s="441"/>
      <c r="AB818" s="441"/>
      <c r="AC818" s="441"/>
      <c r="AD818" s="441"/>
      <c r="AE818" s="441"/>
      <c r="AF818" s="441"/>
      <c r="AG818" s="441"/>
      <c r="AH818" s="441"/>
      <c r="AI818" s="441"/>
      <c r="AJ818" s="441"/>
      <c r="AK818" s="441"/>
      <c r="AL818" s="441"/>
      <c r="AM818" s="441"/>
      <c r="AN818" s="441"/>
      <c r="AO818" s="441"/>
      <c r="AP818" s="448"/>
      <c r="AQ818" s="448"/>
      <c r="AR818" s="448"/>
      <c r="AS818" s="448"/>
      <c r="AT818" s="448"/>
      <c r="AU818" s="448"/>
      <c r="AV818" s="448"/>
      <c r="AW818" s="448"/>
      <c r="AX818" s="448"/>
      <c r="AY818" s="448"/>
      <c r="AZ818" s="448"/>
      <c r="BA818" s="448"/>
      <c r="BB818" s="448"/>
      <c r="BC818" s="448"/>
      <c r="BD818" s="448"/>
      <c r="BE818" s="448"/>
      <c r="BF818" s="448"/>
    </row>
    <row r="819" spans="1:58" ht="12.75" hidden="1" thickBot="1">
      <c r="A819" s="1" t="s">
        <v>1277</v>
      </c>
      <c r="B819" s="2" t="s">
        <v>335</v>
      </c>
      <c r="C819" s="2" t="s">
        <v>1101</v>
      </c>
      <c r="D819" s="8" t="s">
        <v>567</v>
      </c>
      <c r="E819" s="459"/>
      <c r="F819" s="6"/>
      <c r="G819" s="451"/>
      <c r="H819" s="6"/>
      <c r="I819" s="6"/>
      <c r="J819" s="6"/>
      <c r="K819" s="6"/>
      <c r="L819" s="6"/>
      <c r="M819" s="451"/>
      <c r="N819" s="451"/>
      <c r="O819" s="6"/>
      <c r="P819" s="6"/>
      <c r="Q819" s="451"/>
      <c r="R819" s="451"/>
      <c r="S819" s="445">
        <f t="shared" si="77"/>
        <v>0</v>
      </c>
      <c r="T819" s="445">
        <f t="shared" si="78"/>
        <v>0</v>
      </c>
      <c r="U819" s="445">
        <f t="shared" si="79"/>
        <v>0</v>
      </c>
      <c r="W819" s="450"/>
      <c r="X819" s="450"/>
      <c r="Y819" s="441"/>
      <c r="Z819" s="441"/>
      <c r="AA819" s="441"/>
      <c r="AB819" s="441"/>
      <c r="AC819" s="441"/>
      <c r="AD819" s="441"/>
      <c r="AE819" s="441"/>
      <c r="AF819" s="441"/>
      <c r="AG819" s="441"/>
      <c r="AH819" s="441"/>
      <c r="AI819" s="441"/>
      <c r="AJ819" s="441"/>
      <c r="AK819" s="441"/>
      <c r="AL819" s="441"/>
      <c r="AM819" s="441"/>
      <c r="AN819" s="441"/>
      <c r="AO819" s="441"/>
      <c r="AP819" s="448"/>
      <c r="AQ819" s="448"/>
      <c r="AR819" s="448"/>
      <c r="AS819" s="448"/>
      <c r="AT819" s="448"/>
      <c r="AU819" s="448"/>
      <c r="AV819" s="448"/>
      <c r="AW819" s="448"/>
      <c r="AX819" s="448"/>
      <c r="AY819" s="448"/>
      <c r="AZ819" s="448"/>
      <c r="BA819" s="448"/>
      <c r="BB819" s="448"/>
      <c r="BC819" s="448"/>
      <c r="BD819" s="448"/>
      <c r="BE819" s="448"/>
      <c r="BF819" s="448"/>
    </row>
    <row r="820" spans="1:58" ht="12.75" hidden="1" thickBot="1">
      <c r="A820" s="1" t="s">
        <v>1277</v>
      </c>
      <c r="B820" s="2" t="s">
        <v>336</v>
      </c>
      <c r="C820" s="2" t="s">
        <v>1102</v>
      </c>
      <c r="D820" s="8" t="s">
        <v>567</v>
      </c>
      <c r="E820" s="460"/>
      <c r="F820" s="4"/>
      <c r="G820" s="449"/>
      <c r="H820" s="4"/>
      <c r="I820" s="4"/>
      <c r="J820" s="4"/>
      <c r="K820" s="4"/>
      <c r="L820" s="4"/>
      <c r="M820" s="449"/>
      <c r="N820" s="449"/>
      <c r="O820" s="4"/>
      <c r="P820" s="4"/>
      <c r="Q820" s="449"/>
      <c r="R820" s="449"/>
      <c r="S820" s="445">
        <f t="shared" si="77"/>
        <v>0</v>
      </c>
      <c r="T820" s="445">
        <f t="shared" si="78"/>
        <v>0</v>
      </c>
      <c r="U820" s="445">
        <f t="shared" si="79"/>
        <v>0</v>
      </c>
      <c r="W820" s="450"/>
      <c r="X820" s="450"/>
      <c r="Y820" s="441"/>
      <c r="Z820" s="441"/>
      <c r="AA820" s="441"/>
      <c r="AB820" s="441"/>
      <c r="AC820" s="441"/>
      <c r="AD820" s="441"/>
      <c r="AE820" s="441"/>
      <c r="AF820" s="441"/>
      <c r="AG820" s="441"/>
      <c r="AH820" s="441"/>
      <c r="AI820" s="441"/>
      <c r="AJ820" s="441"/>
      <c r="AK820" s="441"/>
      <c r="AL820" s="441"/>
      <c r="AM820" s="441"/>
      <c r="AN820" s="441"/>
      <c r="AO820" s="441"/>
      <c r="AP820" s="448"/>
      <c r="AQ820" s="448"/>
      <c r="AR820" s="448"/>
      <c r="AS820" s="448"/>
      <c r="AT820" s="448"/>
      <c r="AU820" s="448"/>
      <c r="AV820" s="448"/>
      <c r="AW820" s="448"/>
      <c r="AX820" s="448"/>
      <c r="AY820" s="448"/>
      <c r="AZ820" s="448"/>
      <c r="BA820" s="448"/>
      <c r="BB820" s="448"/>
      <c r="BC820" s="448"/>
      <c r="BD820" s="448"/>
      <c r="BE820" s="448"/>
      <c r="BF820" s="448"/>
    </row>
    <row r="821" spans="1:58" ht="12.75" hidden="1" thickBot="1">
      <c r="A821" s="1" t="s">
        <v>1277</v>
      </c>
      <c r="B821" s="2" t="s">
        <v>337</v>
      </c>
      <c r="C821" s="2" t="s">
        <v>1103</v>
      </c>
      <c r="D821" s="8" t="s">
        <v>567</v>
      </c>
      <c r="E821" s="459"/>
      <c r="F821" s="6"/>
      <c r="G821" s="451"/>
      <c r="H821" s="6"/>
      <c r="I821" s="6"/>
      <c r="J821" s="6"/>
      <c r="K821" s="6"/>
      <c r="L821" s="6"/>
      <c r="M821" s="451"/>
      <c r="N821" s="451"/>
      <c r="O821" s="6"/>
      <c r="P821" s="6"/>
      <c r="Q821" s="451"/>
      <c r="R821" s="451"/>
      <c r="S821" s="445">
        <f t="shared" si="77"/>
        <v>0</v>
      </c>
      <c r="T821" s="445">
        <f t="shared" si="78"/>
        <v>0</v>
      </c>
      <c r="U821" s="445">
        <f t="shared" si="79"/>
        <v>0</v>
      </c>
      <c r="W821" s="450"/>
      <c r="X821" s="450"/>
      <c r="Y821" s="441"/>
      <c r="Z821" s="441"/>
      <c r="AA821" s="441"/>
      <c r="AB821" s="441"/>
      <c r="AC821" s="441"/>
      <c r="AD821" s="441"/>
      <c r="AE821" s="441"/>
      <c r="AF821" s="441"/>
      <c r="AG821" s="441"/>
      <c r="AH821" s="441"/>
      <c r="AI821" s="441"/>
      <c r="AJ821" s="441"/>
      <c r="AK821" s="441"/>
      <c r="AL821" s="441"/>
      <c r="AM821" s="441"/>
      <c r="AN821" s="441"/>
      <c r="AO821" s="441"/>
      <c r="AP821" s="448"/>
      <c r="AQ821" s="448"/>
      <c r="AR821" s="448"/>
      <c r="AS821" s="448"/>
      <c r="AT821" s="448"/>
      <c r="AU821" s="448"/>
      <c r="AV821" s="448"/>
      <c r="AW821" s="448"/>
      <c r="AX821" s="448"/>
      <c r="AY821" s="448"/>
      <c r="AZ821" s="448"/>
      <c r="BA821" s="448"/>
      <c r="BB821" s="448"/>
      <c r="BC821" s="448"/>
      <c r="BD821" s="448"/>
      <c r="BE821" s="448"/>
      <c r="BF821" s="448"/>
    </row>
    <row r="822" spans="1:58" ht="12.75" hidden="1" thickBot="1">
      <c r="A822" s="1" t="s">
        <v>1277</v>
      </c>
      <c r="B822" s="454" t="s">
        <v>7</v>
      </c>
      <c r="C822" s="455"/>
      <c r="D822" s="7"/>
      <c r="E822" s="7"/>
      <c r="F822" s="456"/>
      <c r="G822" s="456"/>
      <c r="H822" s="456"/>
      <c r="I822" s="456"/>
      <c r="J822" s="456"/>
      <c r="K822" s="456"/>
      <c r="L822" s="456"/>
      <c r="M822" s="456"/>
      <c r="N822" s="456"/>
      <c r="O822" s="456"/>
      <c r="P822" s="456"/>
      <c r="Q822" s="456"/>
      <c r="R822" s="456"/>
      <c r="S822" s="445">
        <f t="shared" si="77"/>
        <v>0</v>
      </c>
      <c r="T822" s="445">
        <f t="shared" si="78"/>
        <v>0</v>
      </c>
      <c r="U822" s="445">
        <f t="shared" si="79"/>
        <v>0</v>
      </c>
      <c r="W822" s="450"/>
      <c r="X822" s="450"/>
      <c r="Y822" s="441"/>
      <c r="Z822" s="441"/>
      <c r="AA822" s="441"/>
      <c r="AB822" s="441"/>
      <c r="AC822" s="441"/>
      <c r="AD822" s="441"/>
      <c r="AE822" s="441"/>
      <c r="AF822" s="441"/>
      <c r="AG822" s="441"/>
      <c r="AH822" s="441"/>
      <c r="AI822" s="441"/>
      <c r="AJ822" s="441"/>
      <c r="AK822" s="441"/>
      <c r="AL822" s="441"/>
      <c r="AM822" s="441"/>
      <c r="AN822" s="441"/>
      <c r="AO822" s="441"/>
      <c r="AP822" s="448"/>
      <c r="AQ822" s="448"/>
      <c r="AR822" s="448"/>
      <c r="AS822" s="448"/>
      <c r="AT822" s="448"/>
      <c r="AU822" s="448"/>
      <c r="AV822" s="448"/>
      <c r="AW822" s="448"/>
      <c r="AX822" s="448"/>
      <c r="AY822" s="448"/>
      <c r="AZ822" s="448"/>
      <c r="BA822" s="448"/>
      <c r="BB822" s="448"/>
      <c r="BC822" s="448"/>
      <c r="BD822" s="448"/>
      <c r="BE822" s="448"/>
      <c r="BF822" s="448"/>
    </row>
    <row r="823" spans="1:58" ht="12.75" hidden="1" thickBot="1">
      <c r="A823" s="1" t="s">
        <v>1278</v>
      </c>
      <c r="B823" s="2" t="s">
        <v>797</v>
      </c>
      <c r="C823" s="2" t="s">
        <v>1031</v>
      </c>
      <c r="D823" s="8" t="s">
        <v>830</v>
      </c>
      <c r="E823" s="457"/>
      <c r="F823" s="4"/>
      <c r="G823" s="4"/>
      <c r="H823" s="4"/>
      <c r="I823" s="4"/>
      <c r="J823" s="4"/>
      <c r="K823" s="4"/>
      <c r="L823" s="4"/>
      <c r="M823" s="4"/>
      <c r="N823" s="4"/>
      <c r="O823" s="4"/>
      <c r="P823" s="4"/>
      <c r="Q823" s="4"/>
      <c r="R823" s="449"/>
      <c r="S823" s="445">
        <f t="shared" si="77"/>
        <v>0</v>
      </c>
      <c r="T823" s="445">
        <f t="shared" si="78"/>
        <v>0</v>
      </c>
      <c r="U823" s="445">
        <f t="shared" si="79"/>
        <v>0</v>
      </c>
      <c r="W823" s="450"/>
      <c r="X823" s="450"/>
      <c r="Y823" s="441"/>
      <c r="Z823" s="441"/>
      <c r="AA823" s="441"/>
      <c r="AB823" s="441"/>
      <c r="AC823" s="441"/>
      <c r="AD823" s="441"/>
      <c r="AE823" s="441"/>
      <c r="AF823" s="441"/>
      <c r="AG823" s="441"/>
      <c r="AH823" s="441"/>
      <c r="AI823" s="441"/>
      <c r="AJ823" s="441"/>
      <c r="AK823" s="441"/>
      <c r="AL823" s="441"/>
      <c r="AM823" s="441"/>
      <c r="AN823" s="441"/>
      <c r="AO823" s="441"/>
      <c r="AP823" s="448"/>
      <c r="AQ823" s="448"/>
      <c r="AR823" s="448"/>
      <c r="AS823" s="448"/>
      <c r="AT823" s="448"/>
      <c r="AU823" s="448"/>
      <c r="AV823" s="448"/>
      <c r="AW823" s="448"/>
      <c r="AX823" s="448"/>
      <c r="AY823" s="448"/>
      <c r="AZ823" s="448"/>
      <c r="BA823" s="448"/>
      <c r="BB823" s="448"/>
      <c r="BC823" s="448"/>
      <c r="BD823" s="448"/>
      <c r="BE823" s="448"/>
      <c r="BF823" s="448"/>
    </row>
    <row r="824" spans="1:58" ht="12.75" hidden="1" thickBot="1">
      <c r="A824" s="1" t="s">
        <v>1278</v>
      </c>
      <c r="B824" s="2" t="s">
        <v>797</v>
      </c>
      <c r="C824" s="2" t="s">
        <v>798</v>
      </c>
      <c r="D824" s="8" t="s">
        <v>830</v>
      </c>
      <c r="E824" s="458"/>
      <c r="F824" s="6"/>
      <c r="G824" s="6"/>
      <c r="H824" s="6"/>
      <c r="I824" s="6"/>
      <c r="J824" s="6"/>
      <c r="K824" s="6"/>
      <c r="L824" s="6"/>
      <c r="M824" s="6"/>
      <c r="N824" s="6"/>
      <c r="O824" s="6"/>
      <c r="P824" s="6"/>
      <c r="Q824" s="6"/>
      <c r="R824" s="451"/>
      <c r="S824" s="445">
        <f t="shared" si="77"/>
        <v>0</v>
      </c>
      <c r="T824" s="445">
        <f t="shared" si="78"/>
        <v>0</v>
      </c>
      <c r="U824" s="445">
        <f t="shared" si="79"/>
        <v>0</v>
      </c>
      <c r="W824" s="450"/>
      <c r="X824" s="450"/>
      <c r="Y824" s="441"/>
      <c r="Z824" s="441"/>
      <c r="AA824" s="441"/>
      <c r="AB824" s="441"/>
      <c r="AC824" s="441"/>
      <c r="AD824" s="441"/>
      <c r="AE824" s="441"/>
      <c r="AF824" s="441"/>
      <c r="AG824" s="441"/>
      <c r="AH824" s="441"/>
      <c r="AI824" s="441"/>
      <c r="AJ824" s="441"/>
      <c r="AK824" s="441"/>
      <c r="AL824" s="441"/>
      <c r="AM824" s="441"/>
      <c r="AN824" s="441"/>
      <c r="AO824" s="441"/>
      <c r="AP824" s="448"/>
      <c r="AQ824" s="448"/>
      <c r="AR824" s="448"/>
      <c r="AS824" s="448"/>
      <c r="AT824" s="448"/>
      <c r="AU824" s="448"/>
      <c r="AV824" s="448"/>
      <c r="AW824" s="448"/>
      <c r="AX824" s="448"/>
      <c r="AY824" s="448"/>
      <c r="AZ824" s="448"/>
      <c r="BA824" s="448"/>
      <c r="BB824" s="448"/>
      <c r="BC824" s="448"/>
      <c r="BD824" s="448"/>
      <c r="BE824" s="448"/>
      <c r="BF824" s="448"/>
    </row>
    <row r="825" spans="1:58" ht="12.75" hidden="1" thickBot="1">
      <c r="A825" s="1" t="s">
        <v>1278</v>
      </c>
      <c r="B825" s="2" t="s">
        <v>793</v>
      </c>
      <c r="C825" s="2" t="s">
        <v>1032</v>
      </c>
      <c r="D825" s="8" t="s">
        <v>793</v>
      </c>
      <c r="E825" s="3">
        <f t="shared" ref="E825:R844" si="80">ROUND(SUMIFS(E$1410:E$1613,$A$1410:$A$1613,$A825,$B$1410:$B$1613,$B825),0)</f>
        <v>7966910</v>
      </c>
      <c r="F825" s="452">
        <f t="shared" si="80"/>
        <v>0</v>
      </c>
      <c r="G825" s="452">
        <f t="shared" si="80"/>
        <v>1330281</v>
      </c>
      <c r="H825" s="452">
        <f t="shared" si="80"/>
        <v>217098</v>
      </c>
      <c r="I825" s="452">
        <f t="shared" si="80"/>
        <v>0</v>
      </c>
      <c r="J825" s="452">
        <f t="shared" si="80"/>
        <v>0</v>
      </c>
      <c r="K825" s="452">
        <f t="shared" si="80"/>
        <v>0</v>
      </c>
      <c r="L825" s="452">
        <f t="shared" si="80"/>
        <v>0</v>
      </c>
      <c r="M825" s="452">
        <f t="shared" si="80"/>
        <v>17133</v>
      </c>
      <c r="N825" s="452">
        <f t="shared" si="80"/>
        <v>51055</v>
      </c>
      <c r="O825" s="452">
        <f t="shared" si="80"/>
        <v>0</v>
      </c>
      <c r="P825" s="452">
        <f t="shared" si="80"/>
        <v>0</v>
      </c>
      <c r="Q825" s="452"/>
      <c r="R825" s="452">
        <f t="shared" si="80"/>
        <v>1615568</v>
      </c>
      <c r="S825" s="445">
        <f t="shared" si="77"/>
        <v>1547379</v>
      </c>
      <c r="T825" s="445">
        <f t="shared" si="78"/>
        <v>0</v>
      </c>
      <c r="U825" s="445">
        <f t="shared" si="79"/>
        <v>51055</v>
      </c>
      <c r="W825" s="450"/>
      <c r="X825" s="450"/>
      <c r="Y825" s="441"/>
      <c r="Z825" s="441"/>
      <c r="AA825" s="441"/>
      <c r="AB825" s="441"/>
      <c r="AC825" s="441"/>
      <c r="AD825" s="441"/>
      <c r="AE825" s="441"/>
      <c r="AF825" s="441"/>
      <c r="AG825" s="441"/>
      <c r="AH825" s="441"/>
      <c r="AI825" s="441"/>
      <c r="AJ825" s="441"/>
      <c r="AK825" s="441"/>
      <c r="AL825" s="441"/>
      <c r="AM825" s="441"/>
      <c r="AN825" s="441"/>
      <c r="AO825" s="441"/>
      <c r="AP825" s="448"/>
      <c r="AQ825" s="448"/>
      <c r="AR825" s="448"/>
      <c r="AS825" s="448"/>
      <c r="AT825" s="448"/>
      <c r="AU825" s="448"/>
      <c r="AV825" s="448"/>
      <c r="AW825" s="448"/>
      <c r="AX825" s="448"/>
      <c r="AY825" s="448"/>
      <c r="AZ825" s="448"/>
      <c r="BA825" s="448"/>
      <c r="BB825" s="448"/>
      <c r="BC825" s="448"/>
      <c r="BD825" s="448"/>
      <c r="BE825" s="448"/>
      <c r="BF825" s="448"/>
    </row>
    <row r="826" spans="1:58" ht="12.75" hidden="1" thickBot="1">
      <c r="A826" s="1" t="s">
        <v>1278</v>
      </c>
      <c r="B826" s="2" t="s">
        <v>1111</v>
      </c>
      <c r="C826" s="2" t="s">
        <v>1199</v>
      </c>
      <c r="D826" s="8" t="s">
        <v>830</v>
      </c>
      <c r="E826" s="3">
        <f t="shared" si="80"/>
        <v>0</v>
      </c>
      <c r="F826" s="452">
        <f t="shared" si="80"/>
        <v>0</v>
      </c>
      <c r="G826" s="452">
        <f t="shared" si="80"/>
        <v>0</v>
      </c>
      <c r="H826" s="452">
        <f t="shared" si="80"/>
        <v>0</v>
      </c>
      <c r="I826" s="452">
        <f t="shared" si="80"/>
        <v>0</v>
      </c>
      <c r="J826" s="452">
        <f t="shared" si="80"/>
        <v>0</v>
      </c>
      <c r="K826" s="452">
        <f t="shared" si="80"/>
        <v>0</v>
      </c>
      <c r="L826" s="452">
        <f t="shared" si="80"/>
        <v>0</v>
      </c>
      <c r="M826" s="452">
        <f t="shared" si="80"/>
        <v>0</v>
      </c>
      <c r="N826" s="452">
        <f t="shared" si="80"/>
        <v>0</v>
      </c>
      <c r="O826" s="452">
        <f t="shared" si="80"/>
        <v>0</v>
      </c>
      <c r="P826" s="452">
        <f t="shared" si="80"/>
        <v>0</v>
      </c>
      <c r="Q826" s="452"/>
      <c r="R826" s="452">
        <f t="shared" si="80"/>
        <v>0</v>
      </c>
      <c r="S826" s="445">
        <f t="shared" si="77"/>
        <v>0</v>
      </c>
      <c r="T826" s="445">
        <f t="shared" si="78"/>
        <v>0</v>
      </c>
      <c r="U826" s="445">
        <f t="shared" si="79"/>
        <v>0</v>
      </c>
      <c r="W826" s="450"/>
      <c r="X826" s="450"/>
      <c r="Y826" s="441"/>
      <c r="Z826" s="441"/>
      <c r="AA826" s="441"/>
      <c r="AB826" s="441"/>
      <c r="AC826" s="441"/>
      <c r="AD826" s="441"/>
      <c r="AE826" s="441"/>
      <c r="AF826" s="441"/>
      <c r="AG826" s="441"/>
      <c r="AH826" s="441"/>
      <c r="AI826" s="441"/>
      <c r="AJ826" s="441"/>
      <c r="AK826" s="441"/>
      <c r="AL826" s="441"/>
      <c r="AM826" s="441"/>
      <c r="AN826" s="441"/>
      <c r="AO826" s="441"/>
      <c r="AP826" s="448"/>
      <c r="AQ826" s="448"/>
      <c r="AR826" s="448"/>
      <c r="AS826" s="448"/>
      <c r="AT826" s="448"/>
      <c r="AU826" s="448"/>
      <c r="AV826" s="448"/>
      <c r="AW826" s="448"/>
      <c r="AX826" s="448"/>
      <c r="AY826" s="448"/>
      <c r="AZ826" s="448"/>
      <c r="BA826" s="448"/>
      <c r="BB826" s="448"/>
      <c r="BC826" s="448"/>
      <c r="BD826" s="448"/>
      <c r="BE826" s="448"/>
      <c r="BF826" s="448"/>
    </row>
    <row r="827" spans="1:58" ht="12.75" hidden="1" thickBot="1">
      <c r="A827" s="1" t="s">
        <v>1278</v>
      </c>
      <c r="B827" s="2" t="s">
        <v>801</v>
      </c>
      <c r="C827" s="2" t="s">
        <v>1243</v>
      </c>
      <c r="D827" s="8" t="s">
        <v>1205</v>
      </c>
      <c r="E827" s="3">
        <f t="shared" si="80"/>
        <v>0</v>
      </c>
      <c r="F827" s="452">
        <f t="shared" si="80"/>
        <v>0</v>
      </c>
      <c r="G827" s="452">
        <f t="shared" si="80"/>
        <v>0</v>
      </c>
      <c r="H827" s="452">
        <f t="shared" si="80"/>
        <v>0</v>
      </c>
      <c r="I827" s="452">
        <f t="shared" si="80"/>
        <v>0</v>
      </c>
      <c r="J827" s="452">
        <f t="shared" si="80"/>
        <v>0</v>
      </c>
      <c r="K827" s="452">
        <f t="shared" si="80"/>
        <v>0</v>
      </c>
      <c r="L827" s="452">
        <f t="shared" si="80"/>
        <v>0</v>
      </c>
      <c r="M827" s="452">
        <f t="shared" si="80"/>
        <v>0</v>
      </c>
      <c r="N827" s="452">
        <f t="shared" si="80"/>
        <v>0</v>
      </c>
      <c r="O827" s="452">
        <f t="shared" si="80"/>
        <v>0</v>
      </c>
      <c r="P827" s="452">
        <f t="shared" si="80"/>
        <v>0</v>
      </c>
      <c r="Q827" s="452"/>
      <c r="R827" s="452">
        <f t="shared" si="80"/>
        <v>0</v>
      </c>
      <c r="S827" s="445">
        <f t="shared" si="77"/>
        <v>0</v>
      </c>
      <c r="T827" s="445">
        <f t="shared" si="78"/>
        <v>0</v>
      </c>
      <c r="U827" s="445">
        <f t="shared" si="79"/>
        <v>0</v>
      </c>
      <c r="W827" s="450"/>
      <c r="X827" s="450"/>
      <c r="Y827" s="441"/>
      <c r="Z827" s="441"/>
      <c r="AA827" s="441"/>
      <c r="AB827" s="441"/>
      <c r="AC827" s="441"/>
      <c r="AD827" s="441"/>
      <c r="AE827" s="441"/>
      <c r="AF827" s="441"/>
      <c r="AG827" s="441"/>
      <c r="AH827" s="441"/>
      <c r="AI827" s="441"/>
      <c r="AJ827" s="441"/>
      <c r="AK827" s="441"/>
      <c r="AL827" s="441"/>
      <c r="AM827" s="441"/>
      <c r="AN827" s="441"/>
      <c r="AO827" s="441"/>
      <c r="AP827" s="448"/>
      <c r="AQ827" s="448"/>
      <c r="AR827" s="448"/>
      <c r="AS827" s="448"/>
      <c r="AT827" s="448"/>
      <c r="AU827" s="448"/>
      <c r="AV827" s="448"/>
      <c r="AW827" s="448"/>
      <c r="AX827" s="448"/>
      <c r="AY827" s="448"/>
      <c r="AZ827" s="448"/>
      <c r="BA827" s="448"/>
      <c r="BB827" s="448"/>
      <c r="BC827" s="448"/>
      <c r="BD827" s="448"/>
      <c r="BE827" s="448"/>
      <c r="BF827" s="448"/>
    </row>
    <row r="828" spans="1:58" ht="12.75" hidden="1" thickBot="1">
      <c r="A828" s="1" t="s">
        <v>1278</v>
      </c>
      <c r="B828" s="2" t="s">
        <v>368</v>
      </c>
      <c r="C828" s="2" t="s">
        <v>1200</v>
      </c>
      <c r="D828" s="8" t="s">
        <v>417</v>
      </c>
      <c r="E828" s="3">
        <f t="shared" si="80"/>
        <v>0</v>
      </c>
      <c r="F828" s="452">
        <f t="shared" si="80"/>
        <v>0</v>
      </c>
      <c r="G828" s="452">
        <f t="shared" si="80"/>
        <v>0</v>
      </c>
      <c r="H828" s="452">
        <f t="shared" si="80"/>
        <v>0</v>
      </c>
      <c r="I828" s="452">
        <f t="shared" si="80"/>
        <v>0</v>
      </c>
      <c r="J828" s="452">
        <f t="shared" si="80"/>
        <v>0</v>
      </c>
      <c r="K828" s="452">
        <f t="shared" si="80"/>
        <v>0</v>
      </c>
      <c r="L828" s="452">
        <f t="shared" si="80"/>
        <v>0</v>
      </c>
      <c r="M828" s="452">
        <f t="shared" si="80"/>
        <v>0</v>
      </c>
      <c r="N828" s="452">
        <f t="shared" si="80"/>
        <v>0</v>
      </c>
      <c r="O828" s="452">
        <f t="shared" si="80"/>
        <v>0</v>
      </c>
      <c r="P828" s="452">
        <f t="shared" si="80"/>
        <v>0</v>
      </c>
      <c r="Q828" s="452"/>
      <c r="R828" s="452">
        <f t="shared" si="80"/>
        <v>0</v>
      </c>
      <c r="S828" s="445">
        <f t="shared" si="77"/>
        <v>0</v>
      </c>
      <c r="T828" s="445">
        <f t="shared" si="78"/>
        <v>0</v>
      </c>
      <c r="U828" s="445">
        <f t="shared" si="79"/>
        <v>0</v>
      </c>
      <c r="W828" s="450"/>
      <c r="X828" s="450"/>
      <c r="Y828" s="441"/>
      <c r="Z828" s="441"/>
      <c r="AA828" s="441"/>
      <c r="AB828" s="441"/>
      <c r="AC828" s="441"/>
      <c r="AD828" s="441"/>
      <c r="AE828" s="441"/>
      <c r="AF828" s="441"/>
      <c r="AG828" s="441"/>
      <c r="AH828" s="441"/>
      <c r="AI828" s="441"/>
      <c r="AJ828" s="441"/>
      <c r="AK828" s="441"/>
      <c r="AL828" s="441"/>
      <c r="AM828" s="441"/>
      <c r="AN828" s="441"/>
      <c r="AO828" s="441"/>
      <c r="AP828" s="448"/>
      <c r="AQ828" s="448"/>
      <c r="AR828" s="448"/>
      <c r="AS828" s="448"/>
      <c r="AT828" s="448"/>
      <c r="AU828" s="448"/>
      <c r="AV828" s="448"/>
      <c r="AW828" s="448"/>
      <c r="AX828" s="448"/>
      <c r="AY828" s="448"/>
      <c r="AZ828" s="448"/>
      <c r="BA828" s="448"/>
      <c r="BB828" s="448"/>
      <c r="BC828" s="448"/>
      <c r="BD828" s="448"/>
      <c r="BE828" s="448"/>
      <c r="BF828" s="448"/>
    </row>
    <row r="829" spans="1:58" ht="12.75" hidden="1" thickBot="1">
      <c r="A829" s="1" t="s">
        <v>1278</v>
      </c>
      <c r="B829" s="2" t="s">
        <v>370</v>
      </c>
      <c r="C829" s="2" t="s">
        <v>118</v>
      </c>
      <c r="D829" s="8" t="s">
        <v>414</v>
      </c>
      <c r="E829" s="3">
        <f t="shared" si="80"/>
        <v>40346505</v>
      </c>
      <c r="F829" s="452">
        <f t="shared" si="80"/>
        <v>563329</v>
      </c>
      <c r="G829" s="452">
        <f t="shared" si="80"/>
        <v>2518429</v>
      </c>
      <c r="H829" s="452">
        <f t="shared" si="80"/>
        <v>1099442</v>
      </c>
      <c r="I829" s="452">
        <f t="shared" si="80"/>
        <v>67379</v>
      </c>
      <c r="J829" s="452">
        <f t="shared" si="80"/>
        <v>0</v>
      </c>
      <c r="K829" s="452">
        <f t="shared" si="80"/>
        <v>0</v>
      </c>
      <c r="L829" s="452">
        <f t="shared" si="80"/>
        <v>81733</v>
      </c>
      <c r="M829" s="452">
        <f t="shared" si="80"/>
        <v>86768</v>
      </c>
      <c r="N829" s="452">
        <f t="shared" si="80"/>
        <v>0</v>
      </c>
      <c r="O829" s="452">
        <f t="shared" si="80"/>
        <v>258556</v>
      </c>
      <c r="P829" s="452">
        <f t="shared" si="80"/>
        <v>0</v>
      </c>
      <c r="Q829" s="452"/>
      <c r="R829" s="452">
        <f t="shared" si="80"/>
        <v>4675636</v>
      </c>
      <c r="S829" s="445">
        <f t="shared" si="77"/>
        <v>3685250</v>
      </c>
      <c r="T829" s="445">
        <f t="shared" si="78"/>
        <v>0</v>
      </c>
      <c r="U829" s="445">
        <f t="shared" si="79"/>
        <v>258556</v>
      </c>
      <c r="W829" s="450"/>
      <c r="X829" s="450"/>
      <c r="Y829" s="441"/>
      <c r="Z829" s="441"/>
      <c r="AA829" s="441"/>
      <c r="AB829" s="441"/>
      <c r="AC829" s="441"/>
      <c r="AD829" s="441"/>
      <c r="AE829" s="441"/>
      <c r="AF829" s="441"/>
      <c r="AG829" s="441"/>
      <c r="AH829" s="441"/>
      <c r="AI829" s="441"/>
      <c r="AJ829" s="441"/>
      <c r="AK829" s="441"/>
      <c r="AL829" s="441"/>
      <c r="AM829" s="441"/>
      <c r="AN829" s="441"/>
      <c r="AO829" s="441"/>
      <c r="AP829" s="448"/>
      <c r="AQ829" s="448"/>
      <c r="AR829" s="448"/>
      <c r="AS829" s="448"/>
      <c r="AT829" s="448"/>
      <c r="AU829" s="448"/>
      <c r="AV829" s="448"/>
      <c r="AW829" s="448"/>
      <c r="AX829" s="448"/>
      <c r="AY829" s="448"/>
      <c r="AZ829" s="448"/>
      <c r="BA829" s="448"/>
      <c r="BB829" s="448"/>
      <c r="BC829" s="448"/>
      <c r="BD829" s="448"/>
      <c r="BE829" s="448"/>
      <c r="BF829" s="448"/>
    </row>
    <row r="830" spans="1:58" ht="12.75" hidden="1" thickBot="1">
      <c r="A830" s="1" t="s">
        <v>1278</v>
      </c>
      <c r="B830" s="2" t="s">
        <v>371</v>
      </c>
      <c r="C830" s="2" t="s">
        <v>1201</v>
      </c>
      <c r="D830" s="8" t="s">
        <v>414</v>
      </c>
      <c r="E830" s="3">
        <f t="shared" si="80"/>
        <v>0</v>
      </c>
      <c r="F830" s="452">
        <f t="shared" si="80"/>
        <v>0</v>
      </c>
      <c r="G830" s="452">
        <f t="shared" si="80"/>
        <v>0</v>
      </c>
      <c r="H830" s="452">
        <f t="shared" si="80"/>
        <v>0</v>
      </c>
      <c r="I830" s="452">
        <f t="shared" si="80"/>
        <v>0</v>
      </c>
      <c r="J830" s="452">
        <f t="shared" si="80"/>
        <v>0</v>
      </c>
      <c r="K830" s="452">
        <f t="shared" si="80"/>
        <v>0</v>
      </c>
      <c r="L830" s="452">
        <f t="shared" si="80"/>
        <v>0</v>
      </c>
      <c r="M830" s="452">
        <f t="shared" si="80"/>
        <v>0</v>
      </c>
      <c r="N830" s="452">
        <f t="shared" si="80"/>
        <v>0</v>
      </c>
      <c r="O830" s="452">
        <f t="shared" si="80"/>
        <v>0</v>
      </c>
      <c r="P830" s="452">
        <f t="shared" si="80"/>
        <v>0</v>
      </c>
      <c r="Q830" s="452"/>
      <c r="R830" s="452">
        <f t="shared" si="80"/>
        <v>0</v>
      </c>
      <c r="S830" s="445">
        <f t="shared" si="77"/>
        <v>0</v>
      </c>
      <c r="T830" s="445">
        <f t="shared" si="78"/>
        <v>0</v>
      </c>
      <c r="U830" s="445">
        <f t="shared" si="79"/>
        <v>0</v>
      </c>
      <c r="W830" s="450"/>
      <c r="X830" s="450"/>
      <c r="Y830" s="441"/>
      <c r="Z830" s="441"/>
      <c r="AA830" s="441"/>
      <c r="AB830" s="441"/>
      <c r="AC830" s="441"/>
      <c r="AD830" s="441"/>
      <c r="AE830" s="441"/>
      <c r="AF830" s="441"/>
      <c r="AG830" s="441"/>
      <c r="AH830" s="441"/>
      <c r="AI830" s="441"/>
      <c r="AJ830" s="441"/>
      <c r="AK830" s="441"/>
      <c r="AL830" s="441"/>
      <c r="AM830" s="441"/>
      <c r="AN830" s="441"/>
      <c r="AO830" s="441"/>
      <c r="AP830" s="448"/>
      <c r="AQ830" s="448"/>
      <c r="AR830" s="448"/>
      <c r="AS830" s="448"/>
      <c r="AT830" s="448"/>
      <c r="AU830" s="448"/>
      <c r="AV830" s="448"/>
      <c r="AW830" s="448"/>
      <c r="AX830" s="448"/>
      <c r="AY830" s="448"/>
      <c r="AZ830" s="448"/>
      <c r="BA830" s="448"/>
      <c r="BB830" s="448"/>
      <c r="BC830" s="448"/>
      <c r="BD830" s="448"/>
      <c r="BE830" s="448"/>
      <c r="BF830" s="448"/>
    </row>
    <row r="831" spans="1:58" ht="12.75" hidden="1" thickBot="1">
      <c r="A831" s="1" t="s">
        <v>1278</v>
      </c>
      <c r="B831" s="2" t="s">
        <v>372</v>
      </c>
      <c r="C831" s="2" t="s">
        <v>1202</v>
      </c>
      <c r="D831" s="8" t="s">
        <v>416</v>
      </c>
      <c r="E831" s="3">
        <f t="shared" si="80"/>
        <v>0</v>
      </c>
      <c r="F831" s="452">
        <f t="shared" si="80"/>
        <v>0</v>
      </c>
      <c r="G831" s="452">
        <f t="shared" si="80"/>
        <v>0</v>
      </c>
      <c r="H831" s="452">
        <f t="shared" si="80"/>
        <v>0</v>
      </c>
      <c r="I831" s="452">
        <f t="shared" si="80"/>
        <v>0</v>
      </c>
      <c r="J831" s="452">
        <f t="shared" si="80"/>
        <v>0</v>
      </c>
      <c r="K831" s="452">
        <f t="shared" si="80"/>
        <v>0</v>
      </c>
      <c r="L831" s="452">
        <f t="shared" si="80"/>
        <v>0</v>
      </c>
      <c r="M831" s="452">
        <f t="shared" si="80"/>
        <v>0</v>
      </c>
      <c r="N831" s="452">
        <f t="shared" si="80"/>
        <v>0</v>
      </c>
      <c r="O831" s="452">
        <f t="shared" si="80"/>
        <v>0</v>
      </c>
      <c r="P831" s="452">
        <f t="shared" si="80"/>
        <v>0</v>
      </c>
      <c r="Q831" s="452"/>
      <c r="R831" s="452">
        <f t="shared" si="80"/>
        <v>0</v>
      </c>
      <c r="S831" s="445">
        <f t="shared" si="77"/>
        <v>0</v>
      </c>
      <c r="T831" s="445">
        <f t="shared" si="78"/>
        <v>0</v>
      </c>
      <c r="U831" s="445">
        <f t="shared" si="79"/>
        <v>0</v>
      </c>
      <c r="W831" s="450"/>
      <c r="X831" s="450"/>
      <c r="Y831" s="441"/>
      <c r="Z831" s="441"/>
      <c r="AA831" s="441"/>
      <c r="AB831" s="441"/>
      <c r="AC831" s="441"/>
      <c r="AD831" s="441"/>
      <c r="AE831" s="441"/>
      <c r="AF831" s="441"/>
      <c r="AG831" s="441"/>
      <c r="AH831" s="441"/>
      <c r="AI831" s="441"/>
      <c r="AJ831" s="441"/>
      <c r="AK831" s="441"/>
      <c r="AL831" s="441"/>
      <c r="AM831" s="441"/>
      <c r="AN831" s="441"/>
      <c r="AO831" s="441"/>
      <c r="AP831" s="448"/>
      <c r="AQ831" s="448"/>
      <c r="AR831" s="448"/>
      <c r="AS831" s="448"/>
      <c r="AT831" s="448"/>
      <c r="AU831" s="448"/>
      <c r="AV831" s="448"/>
      <c r="AW831" s="448"/>
      <c r="AX831" s="448"/>
      <c r="AY831" s="448"/>
      <c r="AZ831" s="448"/>
      <c r="BA831" s="448"/>
      <c r="BB831" s="448"/>
      <c r="BC831" s="448"/>
      <c r="BD831" s="448"/>
      <c r="BE831" s="448"/>
      <c r="BF831" s="448"/>
    </row>
    <row r="832" spans="1:58" ht="12.75" hidden="1" thickBot="1">
      <c r="A832" s="1" t="s">
        <v>1278</v>
      </c>
      <c r="B832" s="2" t="s">
        <v>374</v>
      </c>
      <c r="C832" s="2" t="s">
        <v>415</v>
      </c>
      <c r="D832" s="8" t="s">
        <v>414</v>
      </c>
      <c r="E832" s="3">
        <f t="shared" si="80"/>
        <v>0</v>
      </c>
      <c r="F832" s="452">
        <f t="shared" si="80"/>
        <v>0</v>
      </c>
      <c r="G832" s="452">
        <f t="shared" si="80"/>
        <v>0</v>
      </c>
      <c r="H832" s="452">
        <f t="shared" si="80"/>
        <v>0</v>
      </c>
      <c r="I832" s="452">
        <f t="shared" si="80"/>
        <v>0</v>
      </c>
      <c r="J832" s="452">
        <f t="shared" si="80"/>
        <v>0</v>
      </c>
      <c r="K832" s="452">
        <f t="shared" si="80"/>
        <v>0</v>
      </c>
      <c r="L832" s="452">
        <f t="shared" si="80"/>
        <v>0</v>
      </c>
      <c r="M832" s="452">
        <f t="shared" si="80"/>
        <v>0</v>
      </c>
      <c r="N832" s="452">
        <f t="shared" si="80"/>
        <v>0</v>
      </c>
      <c r="O832" s="452">
        <f t="shared" si="80"/>
        <v>0</v>
      </c>
      <c r="P832" s="452">
        <f t="shared" si="80"/>
        <v>0</v>
      </c>
      <c r="Q832" s="452"/>
      <c r="R832" s="452">
        <f t="shared" si="80"/>
        <v>0</v>
      </c>
      <c r="S832" s="445">
        <f t="shared" si="77"/>
        <v>0</v>
      </c>
      <c r="T832" s="445">
        <f t="shared" si="78"/>
        <v>0</v>
      </c>
      <c r="U832" s="445">
        <f t="shared" si="79"/>
        <v>0</v>
      </c>
      <c r="W832" s="450"/>
      <c r="X832" s="450"/>
      <c r="Y832" s="441"/>
      <c r="Z832" s="441"/>
      <c r="AA832" s="441"/>
      <c r="AB832" s="441"/>
      <c r="AC832" s="441"/>
      <c r="AD832" s="441"/>
      <c r="AE832" s="441"/>
      <c r="AF832" s="441"/>
      <c r="AG832" s="441"/>
      <c r="AH832" s="441"/>
      <c r="AI832" s="441"/>
      <c r="AJ832" s="441"/>
      <c r="AK832" s="441"/>
      <c r="AL832" s="441"/>
      <c r="AM832" s="441"/>
      <c r="AN832" s="441"/>
      <c r="AO832" s="441"/>
      <c r="AP832" s="448"/>
      <c r="AQ832" s="448"/>
      <c r="AR832" s="448"/>
      <c r="AS832" s="448"/>
      <c r="AT832" s="448"/>
      <c r="AU832" s="448"/>
      <c r="AV832" s="448"/>
      <c r="AW832" s="448"/>
      <c r="AX832" s="448"/>
      <c r="AY832" s="448"/>
      <c r="AZ832" s="448"/>
      <c r="BA832" s="448"/>
      <c r="BB832" s="448"/>
      <c r="BC832" s="448"/>
      <c r="BD832" s="448"/>
      <c r="BE832" s="448"/>
      <c r="BF832" s="448"/>
    </row>
    <row r="833" spans="1:58" ht="12.75" hidden="1" thickBot="1">
      <c r="A833" s="1" t="s">
        <v>1278</v>
      </c>
      <c r="B833" s="2" t="s">
        <v>375</v>
      </c>
      <c r="C833" s="2" t="s">
        <v>406</v>
      </c>
      <c r="D833" s="8" t="s">
        <v>20</v>
      </c>
      <c r="E833" s="3">
        <f t="shared" si="80"/>
        <v>169566983</v>
      </c>
      <c r="F833" s="452">
        <f t="shared" si="80"/>
        <v>232110</v>
      </c>
      <c r="G833" s="452">
        <f t="shared" si="80"/>
        <v>2263719</v>
      </c>
      <c r="H833" s="452">
        <f t="shared" si="80"/>
        <v>4620700</v>
      </c>
      <c r="I833" s="452">
        <f t="shared" si="80"/>
        <v>0</v>
      </c>
      <c r="J833" s="452">
        <f t="shared" si="80"/>
        <v>198210</v>
      </c>
      <c r="K833" s="452">
        <f t="shared" si="80"/>
        <v>6573975</v>
      </c>
      <c r="L833" s="452">
        <f t="shared" si="80"/>
        <v>343506</v>
      </c>
      <c r="M833" s="452">
        <f t="shared" si="80"/>
        <v>364664</v>
      </c>
      <c r="N833" s="452">
        <f t="shared" si="80"/>
        <v>0</v>
      </c>
      <c r="O833" s="452">
        <f t="shared" si="80"/>
        <v>1086650</v>
      </c>
      <c r="P833" s="452">
        <f t="shared" si="80"/>
        <v>0</v>
      </c>
      <c r="Q833" s="452"/>
      <c r="R833" s="452">
        <f t="shared" si="80"/>
        <v>15683535</v>
      </c>
      <c r="S833" s="445">
        <f t="shared" si="77"/>
        <v>6884419</v>
      </c>
      <c r="T833" s="445">
        <f t="shared" si="78"/>
        <v>6772185</v>
      </c>
      <c r="U833" s="445">
        <f t="shared" si="79"/>
        <v>1086650</v>
      </c>
      <c r="W833" s="450"/>
      <c r="X833" s="450"/>
      <c r="Y833" s="441"/>
      <c r="Z833" s="441"/>
      <c r="AA833" s="441"/>
      <c r="AB833" s="441"/>
      <c r="AC833" s="441"/>
      <c r="AD833" s="441"/>
      <c r="AE833" s="441"/>
      <c r="AF833" s="441"/>
      <c r="AG833" s="441"/>
      <c r="AH833" s="441"/>
      <c r="AI833" s="441"/>
      <c r="AJ833" s="441"/>
      <c r="AK833" s="441"/>
      <c r="AL833" s="441"/>
      <c r="AM833" s="441"/>
      <c r="AN833" s="441"/>
      <c r="AO833" s="441"/>
      <c r="AP833" s="448"/>
      <c r="AQ833" s="448"/>
      <c r="AR833" s="448"/>
      <c r="AS833" s="448"/>
      <c r="AT833" s="448"/>
      <c r="AU833" s="448"/>
      <c r="AV833" s="448"/>
      <c r="AW833" s="448"/>
      <c r="AX833" s="448"/>
      <c r="AY833" s="448"/>
      <c r="AZ833" s="448"/>
      <c r="BA833" s="448"/>
      <c r="BB833" s="448"/>
      <c r="BC833" s="448"/>
      <c r="BD833" s="448"/>
      <c r="BE833" s="448"/>
      <c r="BF833" s="448"/>
    </row>
    <row r="834" spans="1:58" ht="12.75" hidden="1" thickBot="1">
      <c r="A834" s="1" t="s">
        <v>1278</v>
      </c>
      <c r="B834" s="2" t="s">
        <v>376</v>
      </c>
      <c r="C834" s="2" t="s">
        <v>404</v>
      </c>
      <c r="D834" s="8" t="s">
        <v>21</v>
      </c>
      <c r="E834" s="3">
        <f t="shared" si="80"/>
        <v>14885241</v>
      </c>
      <c r="F834" s="452">
        <f t="shared" si="80"/>
        <v>8840</v>
      </c>
      <c r="G834" s="452">
        <f t="shared" si="80"/>
        <v>178772</v>
      </c>
      <c r="H834" s="452">
        <f t="shared" si="80"/>
        <v>405623</v>
      </c>
      <c r="I834" s="452">
        <f t="shared" si="80"/>
        <v>0</v>
      </c>
      <c r="J834" s="452">
        <f t="shared" si="80"/>
        <v>16949</v>
      </c>
      <c r="K834" s="452">
        <f t="shared" si="80"/>
        <v>475623</v>
      </c>
      <c r="L834" s="452">
        <f t="shared" si="80"/>
        <v>30154</v>
      </c>
      <c r="M834" s="452">
        <f t="shared" si="80"/>
        <v>32012</v>
      </c>
      <c r="N834" s="452">
        <f t="shared" si="80"/>
        <v>0</v>
      </c>
      <c r="O834" s="452">
        <f t="shared" si="80"/>
        <v>95390</v>
      </c>
      <c r="P834" s="452">
        <f t="shared" si="80"/>
        <v>0</v>
      </c>
      <c r="Q834" s="452"/>
      <c r="R834" s="452">
        <f t="shared" si="80"/>
        <v>1243362</v>
      </c>
      <c r="S834" s="445">
        <f t="shared" si="77"/>
        <v>584395</v>
      </c>
      <c r="T834" s="445">
        <f t="shared" si="78"/>
        <v>492572</v>
      </c>
      <c r="U834" s="445">
        <f t="shared" si="79"/>
        <v>95390</v>
      </c>
      <c r="W834" s="450"/>
      <c r="X834" s="450"/>
      <c r="Y834" s="441"/>
      <c r="Z834" s="441"/>
      <c r="AA834" s="441"/>
      <c r="AB834" s="441"/>
      <c r="AC834" s="441"/>
      <c r="AD834" s="441"/>
      <c r="AE834" s="441"/>
      <c r="AF834" s="441"/>
      <c r="AG834" s="441"/>
      <c r="AH834" s="441"/>
      <c r="AI834" s="441"/>
      <c r="AJ834" s="441"/>
      <c r="AK834" s="441"/>
      <c r="AL834" s="441"/>
      <c r="AM834" s="441"/>
      <c r="AN834" s="441"/>
      <c r="AO834" s="441"/>
      <c r="AP834" s="448"/>
      <c r="AQ834" s="448"/>
      <c r="AR834" s="448"/>
      <c r="AS834" s="448"/>
      <c r="AT834" s="448"/>
      <c r="AU834" s="448"/>
      <c r="AV834" s="448"/>
      <c r="AW834" s="448"/>
      <c r="AX834" s="448"/>
      <c r="AY834" s="448"/>
      <c r="AZ834" s="448"/>
      <c r="BA834" s="448"/>
      <c r="BB834" s="448"/>
      <c r="BC834" s="448"/>
      <c r="BD834" s="448"/>
      <c r="BE834" s="448"/>
      <c r="BF834" s="448"/>
    </row>
    <row r="835" spans="1:58" ht="12.75" hidden="1" thickBot="1">
      <c r="A835" s="1" t="s">
        <v>1278</v>
      </c>
      <c r="B835" s="2" t="s">
        <v>377</v>
      </c>
      <c r="C835" s="2" t="s">
        <v>407</v>
      </c>
      <c r="D835" s="8" t="s">
        <v>20</v>
      </c>
      <c r="E835" s="3">
        <f t="shared" si="80"/>
        <v>0</v>
      </c>
      <c r="F835" s="452">
        <f t="shared" si="80"/>
        <v>0</v>
      </c>
      <c r="G835" s="452">
        <f t="shared" si="80"/>
        <v>0</v>
      </c>
      <c r="H835" s="452">
        <f t="shared" si="80"/>
        <v>0</v>
      </c>
      <c r="I835" s="452">
        <f t="shared" si="80"/>
        <v>0</v>
      </c>
      <c r="J835" s="452">
        <f t="shared" si="80"/>
        <v>0</v>
      </c>
      <c r="K835" s="452">
        <f t="shared" si="80"/>
        <v>0</v>
      </c>
      <c r="L835" s="452">
        <f t="shared" si="80"/>
        <v>0</v>
      </c>
      <c r="M835" s="452">
        <f t="shared" si="80"/>
        <v>0</v>
      </c>
      <c r="N835" s="452">
        <f t="shared" si="80"/>
        <v>0</v>
      </c>
      <c r="O835" s="452">
        <f t="shared" si="80"/>
        <v>0</v>
      </c>
      <c r="P835" s="452">
        <f t="shared" si="80"/>
        <v>0</v>
      </c>
      <c r="Q835" s="452"/>
      <c r="R835" s="452">
        <f t="shared" si="80"/>
        <v>0</v>
      </c>
      <c r="S835" s="445">
        <f t="shared" si="77"/>
        <v>0</v>
      </c>
      <c r="T835" s="445">
        <f t="shared" si="78"/>
        <v>0</v>
      </c>
      <c r="U835" s="445">
        <f t="shared" si="79"/>
        <v>0</v>
      </c>
      <c r="W835" s="450"/>
      <c r="X835" s="450"/>
      <c r="Y835" s="441"/>
      <c r="Z835" s="441"/>
      <c r="AA835" s="441"/>
      <c r="AB835" s="441"/>
      <c r="AC835" s="441"/>
      <c r="AD835" s="441"/>
      <c r="AE835" s="441"/>
      <c r="AF835" s="441"/>
      <c r="AG835" s="441"/>
      <c r="AH835" s="441"/>
      <c r="AI835" s="441"/>
      <c r="AJ835" s="441"/>
      <c r="AK835" s="441"/>
      <c r="AL835" s="441"/>
      <c r="AM835" s="441"/>
      <c r="AN835" s="441"/>
      <c r="AO835" s="441"/>
      <c r="AP835" s="448"/>
      <c r="AQ835" s="448"/>
      <c r="AR835" s="448"/>
      <c r="AS835" s="448"/>
      <c r="AT835" s="448"/>
      <c r="AU835" s="448"/>
      <c r="AV835" s="448"/>
      <c r="AW835" s="448"/>
      <c r="AX835" s="448"/>
      <c r="AY835" s="448"/>
      <c r="AZ835" s="448"/>
      <c r="BA835" s="448"/>
      <c r="BB835" s="448"/>
      <c r="BC835" s="448"/>
      <c r="BD835" s="448"/>
      <c r="BE835" s="448"/>
      <c r="BF835" s="448"/>
    </row>
    <row r="836" spans="1:58" ht="12.75" hidden="1" thickBot="1">
      <c r="A836" s="1" t="s">
        <v>1278</v>
      </c>
      <c r="B836" s="2" t="s">
        <v>378</v>
      </c>
      <c r="C836" s="2" t="s">
        <v>1033</v>
      </c>
      <c r="D836" s="8" t="s">
        <v>1006</v>
      </c>
      <c r="E836" s="3">
        <f t="shared" si="80"/>
        <v>77456015</v>
      </c>
      <c r="F836" s="452">
        <f t="shared" si="80"/>
        <v>43400</v>
      </c>
      <c r="G836" s="452">
        <f t="shared" si="80"/>
        <v>979819</v>
      </c>
      <c r="H836" s="452">
        <f t="shared" si="80"/>
        <v>2110676</v>
      </c>
      <c r="I836" s="452">
        <f t="shared" si="80"/>
        <v>0</v>
      </c>
      <c r="J836" s="452">
        <f t="shared" si="80"/>
        <v>76166</v>
      </c>
      <c r="K836" s="452">
        <f t="shared" si="80"/>
        <v>2237054</v>
      </c>
      <c r="L836" s="452">
        <f t="shared" si="80"/>
        <v>156909</v>
      </c>
      <c r="M836" s="452">
        <f t="shared" si="80"/>
        <v>166574</v>
      </c>
      <c r="N836" s="452">
        <f t="shared" si="80"/>
        <v>0</v>
      </c>
      <c r="O836" s="452">
        <f t="shared" si="80"/>
        <v>496368</v>
      </c>
      <c r="P836" s="452">
        <f t="shared" si="80"/>
        <v>0</v>
      </c>
      <c r="Q836" s="452"/>
      <c r="R836" s="452">
        <f t="shared" si="80"/>
        <v>6266966</v>
      </c>
      <c r="S836" s="445">
        <f t="shared" si="77"/>
        <v>3090495</v>
      </c>
      <c r="T836" s="445">
        <f t="shared" si="78"/>
        <v>2313220</v>
      </c>
      <c r="U836" s="445">
        <f t="shared" si="79"/>
        <v>496368</v>
      </c>
      <c r="W836" s="450"/>
      <c r="X836" s="450"/>
      <c r="Y836" s="441"/>
      <c r="Z836" s="441"/>
      <c r="AA836" s="441"/>
      <c r="AB836" s="441"/>
      <c r="AC836" s="441"/>
      <c r="AD836" s="441"/>
      <c r="AE836" s="441"/>
      <c r="AF836" s="441"/>
      <c r="AG836" s="441"/>
      <c r="AH836" s="441"/>
      <c r="AI836" s="441"/>
      <c r="AJ836" s="441"/>
      <c r="AK836" s="441"/>
      <c r="AL836" s="441"/>
      <c r="AM836" s="441"/>
      <c r="AN836" s="441"/>
      <c r="AO836" s="441"/>
      <c r="AP836" s="448"/>
      <c r="AQ836" s="448"/>
      <c r="AR836" s="448"/>
      <c r="AS836" s="448"/>
      <c r="AT836" s="448"/>
      <c r="AU836" s="448"/>
      <c r="AV836" s="448"/>
      <c r="AW836" s="448"/>
      <c r="AX836" s="448"/>
      <c r="AY836" s="448"/>
      <c r="AZ836" s="448"/>
      <c r="BA836" s="448"/>
      <c r="BB836" s="448"/>
      <c r="BC836" s="448"/>
      <c r="BD836" s="448"/>
      <c r="BE836" s="448"/>
      <c r="BF836" s="448"/>
    </row>
    <row r="837" spans="1:58" ht="12.75" hidden="1" thickBot="1">
      <c r="A837" s="1" t="s">
        <v>1278</v>
      </c>
      <c r="B837" s="2" t="s">
        <v>379</v>
      </c>
      <c r="C837" s="2" t="s">
        <v>408</v>
      </c>
      <c r="D837" s="8" t="s">
        <v>409</v>
      </c>
      <c r="E837" s="3">
        <f t="shared" si="80"/>
        <v>36677896</v>
      </c>
      <c r="F837" s="452">
        <f t="shared" si="80"/>
        <v>11400</v>
      </c>
      <c r="G837" s="452">
        <f t="shared" si="80"/>
        <v>397955</v>
      </c>
      <c r="H837" s="452">
        <f t="shared" si="80"/>
        <v>999473</v>
      </c>
      <c r="I837" s="452">
        <f t="shared" si="80"/>
        <v>0</v>
      </c>
      <c r="J837" s="452">
        <f t="shared" si="80"/>
        <v>33684</v>
      </c>
      <c r="K837" s="452">
        <f t="shared" si="80"/>
        <v>1079814</v>
      </c>
      <c r="L837" s="452">
        <f t="shared" si="80"/>
        <v>74302</v>
      </c>
      <c r="M837" s="452">
        <f t="shared" si="80"/>
        <v>78878</v>
      </c>
      <c r="N837" s="452">
        <f t="shared" si="80"/>
        <v>0</v>
      </c>
      <c r="O837" s="452">
        <f t="shared" si="80"/>
        <v>235046</v>
      </c>
      <c r="P837" s="452">
        <f t="shared" si="80"/>
        <v>0</v>
      </c>
      <c r="Q837" s="452"/>
      <c r="R837" s="452">
        <f t="shared" si="80"/>
        <v>2910551</v>
      </c>
      <c r="S837" s="445">
        <f t="shared" si="77"/>
        <v>1397428</v>
      </c>
      <c r="T837" s="445">
        <f t="shared" si="78"/>
        <v>1113498</v>
      </c>
      <c r="U837" s="445">
        <f t="shared" si="79"/>
        <v>235046</v>
      </c>
      <c r="W837" s="450"/>
      <c r="X837" s="450"/>
      <c r="Y837" s="441"/>
      <c r="Z837" s="441"/>
      <c r="AA837" s="441"/>
      <c r="AB837" s="441"/>
      <c r="AC837" s="441"/>
      <c r="AD837" s="441"/>
      <c r="AE837" s="441"/>
      <c r="AF837" s="441"/>
      <c r="AG837" s="441"/>
      <c r="AH837" s="441"/>
      <c r="AI837" s="441"/>
      <c r="AJ837" s="441"/>
      <c r="AK837" s="441"/>
      <c r="AL837" s="441"/>
      <c r="AM837" s="441"/>
      <c r="AN837" s="441"/>
      <c r="AO837" s="441"/>
      <c r="AP837" s="448"/>
      <c r="AQ837" s="448"/>
      <c r="AR837" s="448"/>
      <c r="AS837" s="448"/>
      <c r="AT837" s="448"/>
      <c r="AU837" s="448"/>
      <c r="AV837" s="448"/>
      <c r="AW837" s="448"/>
      <c r="AX837" s="448"/>
      <c r="AY837" s="448"/>
      <c r="AZ837" s="448"/>
      <c r="BA837" s="448"/>
      <c r="BB837" s="448"/>
      <c r="BC837" s="448"/>
      <c r="BD837" s="448"/>
      <c r="BE837" s="448"/>
      <c r="BF837" s="448"/>
    </row>
    <row r="838" spans="1:58" ht="12.75" hidden="1" thickBot="1">
      <c r="A838" s="1" t="s">
        <v>1278</v>
      </c>
      <c r="B838" s="2" t="s">
        <v>381</v>
      </c>
      <c r="C838" s="2" t="s">
        <v>59</v>
      </c>
      <c r="D838" s="8" t="s">
        <v>14</v>
      </c>
      <c r="E838" s="3">
        <f t="shared" si="80"/>
        <v>103100960</v>
      </c>
      <c r="F838" s="452">
        <f t="shared" si="80"/>
        <v>572408</v>
      </c>
      <c r="G838" s="452">
        <f t="shared" si="80"/>
        <v>6435562</v>
      </c>
      <c r="H838" s="452">
        <f t="shared" si="80"/>
        <v>2809501</v>
      </c>
      <c r="I838" s="452">
        <f t="shared" si="80"/>
        <v>172179</v>
      </c>
      <c r="J838" s="452">
        <f t="shared" si="80"/>
        <v>0</v>
      </c>
      <c r="K838" s="452">
        <f t="shared" si="80"/>
        <v>0</v>
      </c>
      <c r="L838" s="452">
        <f t="shared" si="80"/>
        <v>208860</v>
      </c>
      <c r="M838" s="452">
        <f t="shared" si="80"/>
        <v>221725</v>
      </c>
      <c r="N838" s="452">
        <f t="shared" si="80"/>
        <v>0</v>
      </c>
      <c r="O838" s="452">
        <f t="shared" si="80"/>
        <v>660710</v>
      </c>
      <c r="P838" s="452">
        <f t="shared" si="80"/>
        <v>0</v>
      </c>
      <c r="Q838" s="452"/>
      <c r="R838" s="452">
        <f t="shared" si="80"/>
        <v>11080946</v>
      </c>
      <c r="S838" s="445">
        <f t="shared" si="77"/>
        <v>9417242</v>
      </c>
      <c r="T838" s="445">
        <f t="shared" si="78"/>
        <v>0</v>
      </c>
      <c r="U838" s="445">
        <f t="shared" si="79"/>
        <v>660710</v>
      </c>
      <c r="W838" s="450"/>
      <c r="X838" s="450"/>
      <c r="Y838" s="441"/>
      <c r="Z838" s="441"/>
      <c r="AA838" s="441"/>
      <c r="AB838" s="441"/>
      <c r="AC838" s="441"/>
      <c r="AD838" s="441"/>
      <c r="AE838" s="441"/>
      <c r="AF838" s="441"/>
      <c r="AG838" s="441"/>
      <c r="AH838" s="441"/>
      <c r="AI838" s="441"/>
      <c r="AJ838" s="441"/>
      <c r="AK838" s="441"/>
      <c r="AL838" s="441"/>
      <c r="AM838" s="441"/>
      <c r="AN838" s="441"/>
      <c r="AO838" s="441"/>
      <c r="AP838" s="448"/>
      <c r="AQ838" s="448"/>
      <c r="AR838" s="448"/>
      <c r="AS838" s="448"/>
      <c r="AT838" s="448"/>
      <c r="AU838" s="448"/>
      <c r="AV838" s="448"/>
      <c r="AW838" s="448"/>
      <c r="AX838" s="448"/>
      <c r="AY838" s="448"/>
      <c r="AZ838" s="448"/>
      <c r="BA838" s="448"/>
      <c r="BB838" s="448"/>
      <c r="BC838" s="448"/>
      <c r="BD838" s="448"/>
      <c r="BE838" s="448"/>
      <c r="BF838" s="448"/>
    </row>
    <row r="839" spans="1:58" ht="12.75" hidden="1" thickBot="1">
      <c r="A839" s="1" t="s">
        <v>1278</v>
      </c>
      <c r="B839" s="2" t="s">
        <v>382</v>
      </c>
      <c r="C839" s="2" t="s">
        <v>1244</v>
      </c>
      <c r="D839" s="8" t="s">
        <v>14</v>
      </c>
      <c r="E839" s="3">
        <f t="shared" si="80"/>
        <v>0</v>
      </c>
      <c r="F839" s="452">
        <f t="shared" si="80"/>
        <v>0</v>
      </c>
      <c r="G839" s="452">
        <f t="shared" si="80"/>
        <v>0</v>
      </c>
      <c r="H839" s="452">
        <f t="shared" si="80"/>
        <v>0</v>
      </c>
      <c r="I839" s="452">
        <f t="shared" si="80"/>
        <v>0</v>
      </c>
      <c r="J839" s="452">
        <f t="shared" si="80"/>
        <v>0</v>
      </c>
      <c r="K839" s="452">
        <f t="shared" si="80"/>
        <v>0</v>
      </c>
      <c r="L839" s="452">
        <f t="shared" si="80"/>
        <v>0</v>
      </c>
      <c r="M839" s="452">
        <f t="shared" si="80"/>
        <v>0</v>
      </c>
      <c r="N839" s="452">
        <f t="shared" si="80"/>
        <v>0</v>
      </c>
      <c r="O839" s="452">
        <f t="shared" si="80"/>
        <v>0</v>
      </c>
      <c r="P839" s="452">
        <f t="shared" si="80"/>
        <v>0</v>
      </c>
      <c r="Q839" s="452"/>
      <c r="R839" s="452">
        <f t="shared" si="80"/>
        <v>0</v>
      </c>
      <c r="S839" s="445">
        <f t="shared" si="77"/>
        <v>0</v>
      </c>
      <c r="T839" s="445">
        <f t="shared" si="78"/>
        <v>0</v>
      </c>
      <c r="U839" s="445">
        <f t="shared" si="79"/>
        <v>0</v>
      </c>
      <c r="W839" s="450"/>
      <c r="X839" s="450"/>
      <c r="Y839" s="441"/>
      <c r="Z839" s="441"/>
      <c r="AA839" s="441"/>
      <c r="AB839" s="441"/>
      <c r="AC839" s="441"/>
      <c r="AD839" s="441"/>
      <c r="AE839" s="441"/>
      <c r="AF839" s="441"/>
      <c r="AG839" s="441"/>
      <c r="AH839" s="441"/>
      <c r="AI839" s="441"/>
      <c r="AJ839" s="441"/>
      <c r="AK839" s="441"/>
      <c r="AL839" s="441"/>
      <c r="AM839" s="441"/>
      <c r="AN839" s="441"/>
      <c r="AO839" s="441"/>
      <c r="AP839" s="448"/>
      <c r="AQ839" s="448"/>
      <c r="AR839" s="448"/>
      <c r="AS839" s="448"/>
      <c r="AT839" s="448"/>
      <c r="AU839" s="448"/>
      <c r="AV839" s="448"/>
      <c r="AW839" s="448"/>
      <c r="AX839" s="448"/>
      <c r="AY839" s="448"/>
      <c r="AZ839" s="448"/>
      <c r="BA839" s="448"/>
      <c r="BB839" s="448"/>
      <c r="BC839" s="448"/>
      <c r="BD839" s="448"/>
      <c r="BE839" s="448"/>
      <c r="BF839" s="448"/>
    </row>
    <row r="840" spans="1:58" ht="12.75" hidden="1" thickBot="1">
      <c r="A840" s="1" t="s">
        <v>1278</v>
      </c>
      <c r="B840" s="2" t="s">
        <v>384</v>
      </c>
      <c r="C840" s="2" t="s">
        <v>413</v>
      </c>
      <c r="D840" s="8" t="s">
        <v>14</v>
      </c>
      <c r="E840" s="3">
        <f t="shared" si="80"/>
        <v>0</v>
      </c>
      <c r="F840" s="452">
        <f t="shared" si="80"/>
        <v>0</v>
      </c>
      <c r="G840" s="452">
        <f t="shared" si="80"/>
        <v>0</v>
      </c>
      <c r="H840" s="452">
        <f t="shared" si="80"/>
        <v>0</v>
      </c>
      <c r="I840" s="452">
        <f t="shared" si="80"/>
        <v>0</v>
      </c>
      <c r="J840" s="452">
        <f t="shared" si="80"/>
        <v>0</v>
      </c>
      <c r="K840" s="452">
        <f t="shared" si="80"/>
        <v>0</v>
      </c>
      <c r="L840" s="452">
        <f t="shared" si="80"/>
        <v>0</v>
      </c>
      <c r="M840" s="452">
        <f t="shared" si="80"/>
        <v>0</v>
      </c>
      <c r="N840" s="452">
        <f t="shared" si="80"/>
        <v>0</v>
      </c>
      <c r="O840" s="452">
        <f t="shared" si="80"/>
        <v>0</v>
      </c>
      <c r="P840" s="452">
        <f t="shared" si="80"/>
        <v>0</v>
      </c>
      <c r="Q840" s="452"/>
      <c r="R840" s="452">
        <f t="shared" si="80"/>
        <v>0</v>
      </c>
      <c r="S840" s="445">
        <f t="shared" si="77"/>
        <v>0</v>
      </c>
      <c r="T840" s="445">
        <f t="shared" si="78"/>
        <v>0</v>
      </c>
      <c r="U840" s="445">
        <f t="shared" si="79"/>
        <v>0</v>
      </c>
      <c r="W840" s="450"/>
      <c r="X840" s="450"/>
      <c r="Y840" s="441"/>
      <c r="Z840" s="441"/>
      <c r="AA840" s="441"/>
      <c r="AB840" s="441"/>
      <c r="AC840" s="441"/>
      <c r="AD840" s="441"/>
      <c r="AE840" s="441"/>
      <c r="AF840" s="441"/>
      <c r="AG840" s="441"/>
      <c r="AH840" s="441"/>
      <c r="AI840" s="441"/>
      <c r="AJ840" s="441"/>
      <c r="AK840" s="441"/>
      <c r="AL840" s="441"/>
      <c r="AM840" s="441"/>
      <c r="AN840" s="441"/>
      <c r="AO840" s="441"/>
      <c r="AP840" s="448"/>
      <c r="AQ840" s="448"/>
      <c r="AR840" s="448"/>
      <c r="AS840" s="448"/>
      <c r="AT840" s="448"/>
      <c r="AU840" s="448"/>
      <c r="AV840" s="448"/>
      <c r="AW840" s="448"/>
      <c r="AX840" s="448"/>
      <c r="AY840" s="448"/>
      <c r="AZ840" s="448"/>
      <c r="BA840" s="448"/>
      <c r="BB840" s="448"/>
      <c r="BC840" s="448"/>
      <c r="BD840" s="448"/>
      <c r="BE840" s="448"/>
      <c r="BF840" s="448"/>
    </row>
    <row r="841" spans="1:58" ht="12.75" hidden="1" thickBot="1">
      <c r="A841" s="1" t="s">
        <v>1278</v>
      </c>
      <c r="B841" s="2" t="s">
        <v>385</v>
      </c>
      <c r="C841" s="2" t="s">
        <v>424</v>
      </c>
      <c r="D841" s="8" t="s">
        <v>425</v>
      </c>
      <c r="E841" s="3">
        <f t="shared" si="80"/>
        <v>5119500</v>
      </c>
      <c r="F841" s="452">
        <f t="shared" si="80"/>
        <v>0</v>
      </c>
      <c r="G841" s="452">
        <f t="shared" si="80"/>
        <v>50018</v>
      </c>
      <c r="H841" s="452">
        <f t="shared" si="80"/>
        <v>139506</v>
      </c>
      <c r="I841" s="452">
        <f t="shared" si="80"/>
        <v>0</v>
      </c>
      <c r="J841" s="452">
        <f t="shared" si="80"/>
        <v>3497</v>
      </c>
      <c r="K841" s="452">
        <f t="shared" si="80"/>
        <v>94314</v>
      </c>
      <c r="L841" s="452">
        <f t="shared" si="80"/>
        <v>0</v>
      </c>
      <c r="M841" s="452">
        <f t="shared" si="80"/>
        <v>11010</v>
      </c>
      <c r="N841" s="452">
        <f t="shared" si="80"/>
        <v>0</v>
      </c>
      <c r="O841" s="452">
        <f t="shared" si="80"/>
        <v>32808</v>
      </c>
      <c r="P841" s="452">
        <f t="shared" si="80"/>
        <v>0</v>
      </c>
      <c r="Q841" s="452"/>
      <c r="R841" s="452">
        <f t="shared" si="80"/>
        <v>331152</v>
      </c>
      <c r="S841" s="445">
        <f t="shared" si="77"/>
        <v>189524</v>
      </c>
      <c r="T841" s="445">
        <f t="shared" si="78"/>
        <v>97811</v>
      </c>
      <c r="U841" s="445">
        <f t="shared" si="79"/>
        <v>32808</v>
      </c>
      <c r="W841" s="450"/>
      <c r="X841" s="450"/>
      <c r="Y841" s="441"/>
      <c r="Z841" s="441"/>
      <c r="AA841" s="441"/>
      <c r="AB841" s="441"/>
      <c r="AC841" s="441"/>
      <c r="AD841" s="441"/>
      <c r="AE841" s="441"/>
      <c r="AF841" s="441"/>
      <c r="AG841" s="441"/>
      <c r="AH841" s="441"/>
      <c r="AI841" s="441"/>
      <c r="AJ841" s="441"/>
      <c r="AK841" s="441"/>
      <c r="AL841" s="441"/>
      <c r="AM841" s="441"/>
      <c r="AN841" s="441"/>
      <c r="AO841" s="441"/>
      <c r="AP841" s="448"/>
      <c r="AQ841" s="448"/>
      <c r="AR841" s="448"/>
      <c r="AS841" s="448"/>
      <c r="AT841" s="448"/>
      <c r="AU841" s="448"/>
      <c r="AV841" s="448"/>
      <c r="AW841" s="448"/>
      <c r="AX841" s="448"/>
      <c r="AY841" s="448"/>
      <c r="AZ841" s="448"/>
      <c r="BA841" s="448"/>
      <c r="BB841" s="448"/>
      <c r="BC841" s="448"/>
      <c r="BD841" s="448"/>
      <c r="BE841" s="448"/>
      <c r="BF841" s="448"/>
    </row>
    <row r="842" spans="1:58" ht="12.75" hidden="1" thickBot="1">
      <c r="A842" s="1" t="s">
        <v>1278</v>
      </c>
      <c r="B842" s="2" t="s">
        <v>1223</v>
      </c>
      <c r="C842" s="2" t="s">
        <v>1224</v>
      </c>
      <c r="D842" s="8" t="s">
        <v>63</v>
      </c>
      <c r="E842" s="3">
        <f t="shared" si="80"/>
        <v>0</v>
      </c>
      <c r="F842" s="452">
        <f t="shared" si="80"/>
        <v>0</v>
      </c>
      <c r="G842" s="452">
        <f t="shared" si="80"/>
        <v>0</v>
      </c>
      <c r="H842" s="452">
        <f t="shared" si="80"/>
        <v>0</v>
      </c>
      <c r="I842" s="452">
        <f t="shared" si="80"/>
        <v>0</v>
      </c>
      <c r="J842" s="452">
        <f t="shared" si="80"/>
        <v>0</v>
      </c>
      <c r="K842" s="452">
        <f t="shared" si="80"/>
        <v>0</v>
      </c>
      <c r="L842" s="452">
        <f t="shared" si="80"/>
        <v>0</v>
      </c>
      <c r="M842" s="452">
        <f t="shared" si="80"/>
        <v>0</v>
      </c>
      <c r="N842" s="452">
        <f t="shared" si="80"/>
        <v>0</v>
      </c>
      <c r="O842" s="452">
        <f t="shared" si="80"/>
        <v>0</v>
      </c>
      <c r="P842" s="452">
        <f t="shared" si="80"/>
        <v>-286526</v>
      </c>
      <c r="Q842" s="452"/>
      <c r="R842" s="452">
        <f t="shared" si="80"/>
        <v>-286526</v>
      </c>
      <c r="S842" s="445">
        <f t="shared" si="77"/>
        <v>0</v>
      </c>
      <c r="T842" s="445">
        <f t="shared" si="78"/>
        <v>0</v>
      </c>
      <c r="U842" s="445">
        <f t="shared" si="79"/>
        <v>0</v>
      </c>
      <c r="W842" s="450"/>
      <c r="X842" s="450"/>
      <c r="Y842" s="441"/>
      <c r="Z842" s="441"/>
      <c r="AA842" s="441"/>
      <c r="AB842" s="441"/>
      <c r="AC842" s="441"/>
      <c r="AD842" s="441"/>
      <c r="AE842" s="441"/>
      <c r="AF842" s="441"/>
      <c r="AG842" s="441"/>
      <c r="AH842" s="441"/>
      <c r="AI842" s="441"/>
      <c r="AJ842" s="441"/>
      <c r="AK842" s="441"/>
      <c r="AL842" s="441"/>
      <c r="AM842" s="441"/>
      <c r="AN842" s="441"/>
      <c r="AO842" s="441"/>
      <c r="AP842" s="448"/>
      <c r="AQ842" s="448"/>
      <c r="AR842" s="448"/>
      <c r="AS842" s="448"/>
      <c r="AT842" s="448"/>
      <c r="AU842" s="448"/>
      <c r="AV842" s="448"/>
      <c r="AW842" s="448"/>
      <c r="AX842" s="448"/>
      <c r="AY842" s="448"/>
      <c r="AZ842" s="448"/>
      <c r="BA842" s="448"/>
      <c r="BB842" s="448"/>
      <c r="BC842" s="448"/>
      <c r="BD842" s="448"/>
      <c r="BE842" s="448"/>
      <c r="BF842" s="448"/>
    </row>
    <row r="843" spans="1:58" ht="12.75" hidden="1" thickBot="1">
      <c r="A843" s="1" t="s">
        <v>1278</v>
      </c>
      <c r="B843" s="2" t="s">
        <v>386</v>
      </c>
      <c r="C843" s="2" t="s">
        <v>405</v>
      </c>
      <c r="D843" s="8" t="s">
        <v>63</v>
      </c>
      <c r="E843" s="3">
        <f t="shared" si="80"/>
        <v>0</v>
      </c>
      <c r="F843" s="452">
        <f t="shared" si="80"/>
        <v>0</v>
      </c>
      <c r="G843" s="452">
        <f t="shared" si="80"/>
        <v>0</v>
      </c>
      <c r="H843" s="452">
        <f t="shared" si="80"/>
        <v>0</v>
      </c>
      <c r="I843" s="452">
        <f t="shared" si="80"/>
        <v>0</v>
      </c>
      <c r="J843" s="452">
        <f t="shared" si="80"/>
        <v>0</v>
      </c>
      <c r="K843" s="452">
        <f t="shared" si="80"/>
        <v>0</v>
      </c>
      <c r="L843" s="452">
        <f t="shared" si="80"/>
        <v>0</v>
      </c>
      <c r="M843" s="452">
        <f t="shared" si="80"/>
        <v>0</v>
      </c>
      <c r="N843" s="452">
        <f t="shared" si="80"/>
        <v>0</v>
      </c>
      <c r="O843" s="452">
        <f t="shared" si="80"/>
        <v>0</v>
      </c>
      <c r="P843" s="452">
        <f t="shared" si="80"/>
        <v>0</v>
      </c>
      <c r="Q843" s="452"/>
      <c r="R843" s="452">
        <f t="shared" si="80"/>
        <v>0</v>
      </c>
      <c r="S843" s="445">
        <f t="shared" si="77"/>
        <v>0</v>
      </c>
      <c r="T843" s="445">
        <f t="shared" si="78"/>
        <v>0</v>
      </c>
      <c r="U843" s="445">
        <f t="shared" si="79"/>
        <v>0</v>
      </c>
      <c r="W843" s="450"/>
      <c r="X843" s="450"/>
      <c r="Y843" s="441"/>
      <c r="Z843" s="441"/>
      <c r="AA843" s="441"/>
      <c r="AB843" s="441"/>
      <c r="AC843" s="441"/>
      <c r="AD843" s="441"/>
      <c r="AE843" s="441"/>
      <c r="AF843" s="441"/>
      <c r="AG843" s="441"/>
      <c r="AH843" s="441"/>
      <c r="AI843" s="441"/>
      <c r="AJ843" s="441"/>
      <c r="AK843" s="441"/>
      <c r="AL843" s="441"/>
      <c r="AM843" s="441"/>
      <c r="AN843" s="441"/>
      <c r="AO843" s="441"/>
      <c r="AP843" s="448"/>
      <c r="AQ843" s="448"/>
      <c r="AR843" s="448"/>
      <c r="AS843" s="448"/>
      <c r="AT843" s="448"/>
      <c r="AU843" s="448"/>
      <c r="AV843" s="448"/>
      <c r="AW843" s="448"/>
      <c r="AX843" s="448"/>
      <c r="AY843" s="448"/>
      <c r="AZ843" s="448"/>
      <c r="BA843" s="448"/>
      <c r="BB843" s="448"/>
      <c r="BC843" s="448"/>
      <c r="BD843" s="448"/>
      <c r="BE843" s="448"/>
      <c r="BF843" s="448"/>
    </row>
    <row r="844" spans="1:58" ht="12.75" hidden="1" thickBot="1">
      <c r="A844" s="1" t="s">
        <v>1278</v>
      </c>
      <c r="B844" s="2" t="s">
        <v>803</v>
      </c>
      <c r="C844" s="2" t="s">
        <v>804</v>
      </c>
      <c r="D844" s="8" t="s">
        <v>1205</v>
      </c>
      <c r="E844" s="3">
        <f t="shared" si="80"/>
        <v>0</v>
      </c>
      <c r="F844" s="452">
        <f t="shared" si="80"/>
        <v>0</v>
      </c>
      <c r="G844" s="452">
        <f t="shared" si="80"/>
        <v>0</v>
      </c>
      <c r="H844" s="452">
        <f t="shared" si="80"/>
        <v>0</v>
      </c>
      <c r="I844" s="452">
        <f t="shared" si="80"/>
        <v>0</v>
      </c>
      <c r="J844" s="452">
        <f t="shared" si="80"/>
        <v>0</v>
      </c>
      <c r="K844" s="452">
        <f t="shared" si="80"/>
        <v>0</v>
      </c>
      <c r="L844" s="452">
        <f t="shared" si="80"/>
        <v>0</v>
      </c>
      <c r="M844" s="452">
        <f t="shared" ref="G844:R862" si="81">ROUND(SUMIFS(M$1410:M$1613,$A$1410:$A$1613,$A844,$B$1410:$B$1613,$B844),0)</f>
        <v>0</v>
      </c>
      <c r="N844" s="452">
        <f t="shared" si="81"/>
        <v>0</v>
      </c>
      <c r="O844" s="452">
        <f t="shared" si="81"/>
        <v>0</v>
      </c>
      <c r="P844" s="452">
        <f t="shared" si="81"/>
        <v>0</v>
      </c>
      <c r="Q844" s="452"/>
      <c r="R844" s="452">
        <f t="shared" si="81"/>
        <v>0</v>
      </c>
      <c r="S844" s="445">
        <f t="shared" si="77"/>
        <v>0</v>
      </c>
      <c r="T844" s="445">
        <f t="shared" si="78"/>
        <v>0</v>
      </c>
      <c r="U844" s="445">
        <f t="shared" si="79"/>
        <v>0</v>
      </c>
      <c r="W844" s="450"/>
      <c r="X844" s="450"/>
      <c r="Y844" s="441"/>
      <c r="Z844" s="441"/>
      <c r="AA844" s="441"/>
      <c r="AB844" s="441"/>
      <c r="AC844" s="441"/>
      <c r="AD844" s="441"/>
      <c r="AE844" s="441"/>
      <c r="AF844" s="441"/>
      <c r="AG844" s="441"/>
      <c r="AH844" s="441"/>
      <c r="AI844" s="441"/>
      <c r="AJ844" s="441"/>
      <c r="AK844" s="441"/>
      <c r="AL844" s="441"/>
      <c r="AM844" s="441"/>
      <c r="AN844" s="441"/>
      <c r="AO844" s="441"/>
      <c r="AP844" s="448"/>
      <c r="AQ844" s="448"/>
      <c r="AR844" s="448"/>
      <c r="AS844" s="448"/>
      <c r="AT844" s="448"/>
      <c r="AU844" s="448"/>
      <c r="AV844" s="448"/>
      <c r="AW844" s="448"/>
      <c r="AX844" s="448"/>
      <c r="AY844" s="448"/>
      <c r="AZ844" s="448"/>
      <c r="BA844" s="448"/>
      <c r="BB844" s="448"/>
      <c r="BC844" s="448"/>
      <c r="BD844" s="448"/>
      <c r="BE844" s="448"/>
      <c r="BF844" s="448"/>
    </row>
    <row r="845" spans="1:58" ht="12.75" hidden="1" thickBot="1">
      <c r="A845" s="1" t="s">
        <v>1278</v>
      </c>
      <c r="B845" s="2" t="s">
        <v>387</v>
      </c>
      <c r="C845" s="2" t="s">
        <v>411</v>
      </c>
      <c r="D845" s="8" t="s">
        <v>412</v>
      </c>
      <c r="E845" s="3">
        <f t="shared" ref="E845:F862" si="82">ROUND(SUMIFS(E$1410:E$1613,$A$1410:$A$1613,$A845,$B$1410:$B$1613,$B845),0)</f>
        <v>10824200</v>
      </c>
      <c r="F845" s="452">
        <f t="shared" si="82"/>
        <v>0</v>
      </c>
      <c r="G845" s="452">
        <f t="shared" si="81"/>
        <v>109866</v>
      </c>
      <c r="H845" s="452">
        <f t="shared" si="81"/>
        <v>294959</v>
      </c>
      <c r="I845" s="452">
        <f t="shared" si="81"/>
        <v>0</v>
      </c>
      <c r="J845" s="452">
        <f t="shared" si="81"/>
        <v>6455</v>
      </c>
      <c r="K845" s="452">
        <f t="shared" si="81"/>
        <v>242487</v>
      </c>
      <c r="L845" s="452">
        <f t="shared" si="81"/>
        <v>0</v>
      </c>
      <c r="M845" s="452">
        <f t="shared" si="81"/>
        <v>23278</v>
      </c>
      <c r="N845" s="452">
        <f t="shared" si="81"/>
        <v>0</v>
      </c>
      <c r="O845" s="452">
        <f t="shared" si="81"/>
        <v>69366</v>
      </c>
      <c r="P845" s="452">
        <f t="shared" si="81"/>
        <v>0</v>
      </c>
      <c r="Q845" s="452"/>
      <c r="R845" s="452">
        <f t="shared" si="81"/>
        <v>746411</v>
      </c>
      <c r="S845" s="445">
        <f t="shared" si="77"/>
        <v>404825</v>
      </c>
      <c r="T845" s="445">
        <f t="shared" si="78"/>
        <v>248942</v>
      </c>
      <c r="U845" s="445">
        <f t="shared" si="79"/>
        <v>69366</v>
      </c>
      <c r="W845" s="450"/>
      <c r="X845" s="450"/>
      <c r="Y845" s="441"/>
      <c r="Z845" s="441"/>
      <c r="AA845" s="441"/>
      <c r="AB845" s="441"/>
      <c r="AC845" s="441"/>
      <c r="AD845" s="441"/>
      <c r="AE845" s="441"/>
      <c r="AF845" s="441"/>
      <c r="AG845" s="441"/>
      <c r="AH845" s="441"/>
      <c r="AI845" s="441"/>
      <c r="AJ845" s="441"/>
      <c r="AK845" s="441"/>
      <c r="AL845" s="441"/>
      <c r="AM845" s="441"/>
      <c r="AN845" s="441"/>
      <c r="AO845" s="441"/>
      <c r="AP845" s="448"/>
      <c r="AQ845" s="448"/>
      <c r="AR845" s="448"/>
      <c r="AS845" s="448"/>
      <c r="AT845" s="448"/>
      <c r="AU845" s="448"/>
      <c r="AV845" s="448"/>
      <c r="AW845" s="448"/>
      <c r="AX845" s="448"/>
      <c r="AY845" s="448"/>
      <c r="AZ845" s="448"/>
      <c r="BA845" s="448"/>
      <c r="BB845" s="448"/>
      <c r="BC845" s="448"/>
      <c r="BD845" s="448"/>
      <c r="BE845" s="448"/>
      <c r="BF845" s="448"/>
    </row>
    <row r="846" spans="1:58" ht="12.75" hidden="1" thickBot="1">
      <c r="A846" s="1" t="s">
        <v>1278</v>
      </c>
      <c r="B846" s="2" t="s">
        <v>388</v>
      </c>
      <c r="C846" s="2" t="s">
        <v>54</v>
      </c>
      <c r="D846" s="8" t="s">
        <v>15</v>
      </c>
      <c r="E846" s="3">
        <f t="shared" si="82"/>
        <v>77369757</v>
      </c>
      <c r="F846" s="452">
        <f t="shared" si="82"/>
        <v>9000</v>
      </c>
      <c r="G846" s="452">
        <f t="shared" si="81"/>
        <v>684722</v>
      </c>
      <c r="H846" s="452">
        <f t="shared" si="81"/>
        <v>2108326</v>
      </c>
      <c r="I846" s="452">
        <f t="shared" si="81"/>
        <v>0</v>
      </c>
      <c r="J846" s="452">
        <f t="shared" si="81"/>
        <v>45202</v>
      </c>
      <c r="K846" s="452">
        <f t="shared" si="81"/>
        <v>1303614</v>
      </c>
      <c r="L846" s="452">
        <f t="shared" si="81"/>
        <v>0</v>
      </c>
      <c r="M846" s="452">
        <f t="shared" si="81"/>
        <v>166388</v>
      </c>
      <c r="N846" s="452">
        <f t="shared" si="81"/>
        <v>0</v>
      </c>
      <c r="O846" s="452">
        <f t="shared" si="81"/>
        <v>495815</v>
      </c>
      <c r="P846" s="452">
        <f t="shared" si="81"/>
        <v>0</v>
      </c>
      <c r="Q846" s="452"/>
      <c r="R846" s="452">
        <f t="shared" si="81"/>
        <v>4813068</v>
      </c>
      <c r="S846" s="445">
        <f t="shared" si="77"/>
        <v>2793048</v>
      </c>
      <c r="T846" s="445">
        <f t="shared" si="78"/>
        <v>1348816</v>
      </c>
      <c r="U846" s="445">
        <f t="shared" si="79"/>
        <v>495815</v>
      </c>
      <c r="W846" s="450"/>
      <c r="X846" s="450"/>
      <c r="Y846" s="441"/>
      <c r="Z846" s="441"/>
      <c r="AA846" s="441"/>
      <c r="AB846" s="441"/>
      <c r="AC846" s="441"/>
      <c r="AD846" s="441"/>
      <c r="AE846" s="441"/>
      <c r="AF846" s="441"/>
      <c r="AG846" s="441"/>
      <c r="AH846" s="441"/>
      <c r="AI846" s="441"/>
      <c r="AJ846" s="441"/>
      <c r="AK846" s="441"/>
      <c r="AL846" s="441"/>
      <c r="AM846" s="441"/>
      <c r="AN846" s="441"/>
      <c r="AO846" s="441"/>
      <c r="AP846" s="448"/>
      <c r="AQ846" s="448"/>
      <c r="AR846" s="448"/>
      <c r="AS846" s="448"/>
      <c r="AT846" s="448"/>
      <c r="AU846" s="448"/>
      <c r="AV846" s="448"/>
      <c r="AW846" s="448"/>
      <c r="AX846" s="448"/>
      <c r="AY846" s="448"/>
      <c r="AZ846" s="448"/>
      <c r="BA846" s="448"/>
      <c r="BB846" s="448"/>
      <c r="BC846" s="448"/>
      <c r="BD846" s="448"/>
      <c r="BE846" s="448"/>
      <c r="BF846" s="448"/>
    </row>
    <row r="847" spans="1:58" ht="12.75" hidden="1" thickBot="1">
      <c r="A847" s="1" t="s">
        <v>1278</v>
      </c>
      <c r="B847" s="2" t="s">
        <v>389</v>
      </c>
      <c r="C847" s="2" t="s">
        <v>419</v>
      </c>
      <c r="D847" s="8" t="s">
        <v>20</v>
      </c>
      <c r="E847" s="3">
        <f t="shared" si="82"/>
        <v>22942935</v>
      </c>
      <c r="F847" s="452">
        <f t="shared" si="82"/>
        <v>19440</v>
      </c>
      <c r="G847" s="452">
        <f t="shared" si="81"/>
        <v>306288</v>
      </c>
      <c r="H847" s="452">
        <f t="shared" si="81"/>
        <v>625195</v>
      </c>
      <c r="I847" s="452">
        <f t="shared" si="81"/>
        <v>0</v>
      </c>
      <c r="J847" s="452">
        <f t="shared" si="81"/>
        <v>33781</v>
      </c>
      <c r="K847" s="452">
        <f t="shared" si="81"/>
        <v>1120399</v>
      </c>
      <c r="L847" s="452">
        <f t="shared" si="81"/>
        <v>46477</v>
      </c>
      <c r="M847" s="452">
        <f t="shared" si="81"/>
        <v>49340</v>
      </c>
      <c r="N847" s="452">
        <f t="shared" si="81"/>
        <v>0</v>
      </c>
      <c r="O847" s="452">
        <f t="shared" si="81"/>
        <v>147027</v>
      </c>
      <c r="P847" s="452">
        <f t="shared" si="81"/>
        <v>0</v>
      </c>
      <c r="Q847" s="452"/>
      <c r="R847" s="452">
        <f t="shared" si="81"/>
        <v>2347947</v>
      </c>
      <c r="S847" s="445">
        <f t="shared" si="77"/>
        <v>931483</v>
      </c>
      <c r="T847" s="445">
        <f t="shared" si="78"/>
        <v>1154180</v>
      </c>
      <c r="U847" s="445">
        <f t="shared" si="79"/>
        <v>147027</v>
      </c>
      <c r="W847" s="450"/>
      <c r="X847" s="450"/>
      <c r="Y847" s="441"/>
      <c r="Z847" s="441"/>
      <c r="AA847" s="441"/>
      <c r="AB847" s="441"/>
      <c r="AC847" s="441"/>
      <c r="AD847" s="441"/>
      <c r="AE847" s="441"/>
      <c r="AF847" s="441"/>
      <c r="AG847" s="441"/>
      <c r="AH847" s="441"/>
      <c r="AI847" s="441"/>
      <c r="AJ847" s="441"/>
      <c r="AK847" s="441"/>
      <c r="AL847" s="441"/>
      <c r="AM847" s="441"/>
      <c r="AN847" s="441"/>
      <c r="AO847" s="441"/>
      <c r="AP847" s="448"/>
      <c r="AQ847" s="448"/>
      <c r="AR847" s="448"/>
      <c r="AS847" s="448"/>
      <c r="AT847" s="448"/>
      <c r="AU847" s="448"/>
      <c r="AV847" s="448"/>
      <c r="AW847" s="448"/>
      <c r="AX847" s="448"/>
      <c r="AY847" s="448"/>
      <c r="AZ847" s="448"/>
      <c r="BA847" s="448"/>
      <c r="BB847" s="448"/>
      <c r="BC847" s="448"/>
      <c r="BD847" s="448"/>
      <c r="BE847" s="448"/>
      <c r="BF847" s="448"/>
    </row>
    <row r="848" spans="1:58" ht="12.75" hidden="1" thickBot="1">
      <c r="A848" s="1" t="s">
        <v>1278</v>
      </c>
      <c r="B848" s="2" t="s">
        <v>390</v>
      </c>
      <c r="C848" s="2" t="s">
        <v>418</v>
      </c>
      <c r="D848" s="2" t="s">
        <v>21</v>
      </c>
      <c r="E848" s="3">
        <f t="shared" si="82"/>
        <v>1251083</v>
      </c>
      <c r="F848" s="452">
        <f t="shared" si="82"/>
        <v>3570</v>
      </c>
      <c r="G848" s="452">
        <f t="shared" si="81"/>
        <v>15026</v>
      </c>
      <c r="H848" s="452">
        <f t="shared" si="81"/>
        <v>34092</v>
      </c>
      <c r="I848" s="452">
        <f t="shared" si="81"/>
        <v>0</v>
      </c>
      <c r="J848" s="452">
        <f t="shared" si="81"/>
        <v>2137</v>
      </c>
      <c r="K848" s="452">
        <f t="shared" si="81"/>
        <v>59964</v>
      </c>
      <c r="L848" s="452">
        <f t="shared" si="81"/>
        <v>2534</v>
      </c>
      <c r="M848" s="452">
        <f t="shared" si="81"/>
        <v>2691</v>
      </c>
      <c r="N848" s="452">
        <f t="shared" si="81"/>
        <v>0</v>
      </c>
      <c r="O848" s="452">
        <f t="shared" si="81"/>
        <v>8017</v>
      </c>
      <c r="P848" s="452">
        <f t="shared" si="81"/>
        <v>0</v>
      </c>
      <c r="Q848" s="452"/>
      <c r="R848" s="452">
        <f t="shared" si="81"/>
        <v>128031</v>
      </c>
      <c r="S848" s="445">
        <f t="shared" si="77"/>
        <v>49118</v>
      </c>
      <c r="T848" s="445">
        <f t="shared" si="78"/>
        <v>62101</v>
      </c>
      <c r="U848" s="445">
        <f t="shared" si="79"/>
        <v>8017</v>
      </c>
      <c r="W848" s="450"/>
      <c r="X848" s="450"/>
      <c r="Y848" s="441"/>
      <c r="Z848" s="441"/>
      <c r="AA848" s="441"/>
      <c r="AB848" s="441"/>
      <c r="AC848" s="441"/>
      <c r="AD848" s="441"/>
      <c r="AE848" s="441"/>
      <c r="AF848" s="441"/>
      <c r="AG848" s="441"/>
      <c r="AH848" s="441"/>
      <c r="AI848" s="441"/>
      <c r="AJ848" s="441"/>
      <c r="AK848" s="441"/>
      <c r="AL848" s="441"/>
      <c r="AM848" s="441"/>
      <c r="AN848" s="441"/>
      <c r="AO848" s="441"/>
      <c r="AP848" s="448"/>
      <c r="AQ848" s="448"/>
      <c r="AR848" s="448"/>
      <c r="AS848" s="448"/>
      <c r="AT848" s="448"/>
      <c r="AU848" s="448"/>
      <c r="AV848" s="448"/>
      <c r="AW848" s="448"/>
      <c r="AX848" s="448"/>
      <c r="AY848" s="448"/>
      <c r="AZ848" s="448"/>
      <c r="BA848" s="448"/>
      <c r="BB848" s="448"/>
      <c r="BC848" s="448"/>
      <c r="BD848" s="448"/>
      <c r="BE848" s="448"/>
      <c r="BF848" s="448"/>
    </row>
    <row r="849" spans="1:58" ht="12.75" hidden="1" thickBot="1">
      <c r="A849" s="1" t="s">
        <v>1278</v>
      </c>
      <c r="B849" s="2" t="s">
        <v>391</v>
      </c>
      <c r="C849" s="2" t="s">
        <v>1034</v>
      </c>
      <c r="D849" s="8" t="s">
        <v>422</v>
      </c>
      <c r="E849" s="3">
        <f t="shared" si="82"/>
        <v>23497311</v>
      </c>
      <c r="F849" s="452">
        <f t="shared" si="82"/>
        <v>18800</v>
      </c>
      <c r="G849" s="452">
        <f t="shared" si="81"/>
        <v>297241</v>
      </c>
      <c r="H849" s="452">
        <f t="shared" si="81"/>
        <v>640302</v>
      </c>
      <c r="I849" s="452">
        <f t="shared" si="81"/>
        <v>0</v>
      </c>
      <c r="J849" s="452">
        <f t="shared" si="81"/>
        <v>26112</v>
      </c>
      <c r="K849" s="452">
        <f t="shared" si="81"/>
        <v>763983</v>
      </c>
      <c r="L849" s="452">
        <f t="shared" si="81"/>
        <v>47601</v>
      </c>
      <c r="M849" s="452">
        <f t="shared" si="81"/>
        <v>50532</v>
      </c>
      <c r="N849" s="452">
        <f t="shared" si="81"/>
        <v>0</v>
      </c>
      <c r="O849" s="452">
        <f t="shared" si="81"/>
        <v>150580</v>
      </c>
      <c r="P849" s="452">
        <f t="shared" si="81"/>
        <v>0</v>
      </c>
      <c r="Q849" s="452"/>
      <c r="R849" s="452">
        <f t="shared" si="81"/>
        <v>1995150</v>
      </c>
      <c r="S849" s="445">
        <f t="shared" si="77"/>
        <v>937543</v>
      </c>
      <c r="T849" s="445">
        <f t="shared" si="78"/>
        <v>790095</v>
      </c>
      <c r="U849" s="445">
        <f t="shared" si="79"/>
        <v>150580</v>
      </c>
      <c r="W849" s="450"/>
      <c r="X849" s="450"/>
      <c r="Y849" s="441"/>
      <c r="Z849" s="441"/>
      <c r="AA849" s="441"/>
      <c r="AB849" s="441"/>
      <c r="AC849" s="441"/>
      <c r="AD849" s="441"/>
      <c r="AE849" s="441"/>
      <c r="AF849" s="441"/>
      <c r="AG849" s="441"/>
      <c r="AH849" s="441"/>
      <c r="AI849" s="441"/>
      <c r="AJ849" s="441"/>
      <c r="AK849" s="441"/>
      <c r="AL849" s="441"/>
      <c r="AM849" s="441"/>
      <c r="AN849" s="441"/>
      <c r="AO849" s="441"/>
      <c r="AP849" s="448"/>
      <c r="AQ849" s="448"/>
      <c r="AR849" s="448"/>
      <c r="AS849" s="448"/>
      <c r="AT849" s="448"/>
      <c r="AU849" s="448"/>
      <c r="AV849" s="448"/>
      <c r="AW849" s="448"/>
      <c r="AX849" s="448"/>
      <c r="AY849" s="448"/>
      <c r="AZ849" s="448"/>
      <c r="BA849" s="448"/>
      <c r="BB849" s="448"/>
      <c r="BC849" s="448"/>
      <c r="BD849" s="448"/>
      <c r="BE849" s="448"/>
      <c r="BF849" s="448"/>
    </row>
    <row r="850" spans="1:58" ht="12.75" hidden="1" thickBot="1">
      <c r="A850" s="1" t="s">
        <v>1278</v>
      </c>
      <c r="B850" s="2" t="s">
        <v>392</v>
      </c>
      <c r="C850" s="2" t="s">
        <v>420</v>
      </c>
      <c r="D850" s="8" t="s">
        <v>421</v>
      </c>
      <c r="E850" s="3">
        <f t="shared" si="82"/>
        <v>157760478</v>
      </c>
      <c r="F850" s="452">
        <f t="shared" si="82"/>
        <v>20700</v>
      </c>
      <c r="G850" s="452">
        <f t="shared" si="81"/>
        <v>1282593</v>
      </c>
      <c r="H850" s="452">
        <f t="shared" si="81"/>
        <v>4298973</v>
      </c>
      <c r="I850" s="452">
        <f t="shared" si="81"/>
        <v>0</v>
      </c>
      <c r="J850" s="452">
        <f t="shared" si="81"/>
        <v>149222</v>
      </c>
      <c r="K850" s="452">
        <f t="shared" si="81"/>
        <v>4115666</v>
      </c>
      <c r="L850" s="452">
        <f t="shared" si="81"/>
        <v>319589</v>
      </c>
      <c r="M850" s="452">
        <f t="shared" si="81"/>
        <v>339274</v>
      </c>
      <c r="N850" s="452">
        <f t="shared" si="81"/>
        <v>0</v>
      </c>
      <c r="O850" s="452">
        <f t="shared" si="81"/>
        <v>1010989</v>
      </c>
      <c r="P850" s="452">
        <f t="shared" si="81"/>
        <v>0</v>
      </c>
      <c r="Q850" s="452"/>
      <c r="R850" s="452">
        <f t="shared" si="81"/>
        <v>11537005</v>
      </c>
      <c r="S850" s="445">
        <f t="shared" si="77"/>
        <v>5581566</v>
      </c>
      <c r="T850" s="445">
        <f t="shared" si="78"/>
        <v>4264888</v>
      </c>
      <c r="U850" s="445">
        <f t="shared" si="79"/>
        <v>1010989</v>
      </c>
      <c r="W850" s="450"/>
      <c r="X850" s="450"/>
      <c r="Y850" s="441"/>
      <c r="Z850" s="441"/>
      <c r="AA850" s="441"/>
      <c r="AB850" s="441"/>
      <c r="AC850" s="441"/>
      <c r="AD850" s="441"/>
      <c r="AE850" s="441"/>
      <c r="AF850" s="441"/>
      <c r="AG850" s="441"/>
      <c r="AH850" s="441"/>
      <c r="AI850" s="441"/>
      <c r="AJ850" s="441"/>
      <c r="AK850" s="441"/>
      <c r="AL850" s="441"/>
      <c r="AM850" s="441"/>
      <c r="AN850" s="441"/>
      <c r="AO850" s="441"/>
      <c r="AP850" s="448"/>
      <c r="AQ850" s="448"/>
      <c r="AR850" s="448"/>
      <c r="AS850" s="448"/>
      <c r="AT850" s="448"/>
      <c r="AU850" s="448"/>
      <c r="AV850" s="448"/>
      <c r="AW850" s="448"/>
      <c r="AX850" s="448"/>
      <c r="AY850" s="448"/>
      <c r="AZ850" s="448"/>
      <c r="BA850" s="448"/>
      <c r="BB850" s="448"/>
      <c r="BC850" s="448"/>
      <c r="BD850" s="448"/>
      <c r="BE850" s="448"/>
      <c r="BF850" s="448"/>
    </row>
    <row r="851" spans="1:58" ht="12.75" hidden="1" thickBot="1">
      <c r="A851" s="1" t="s">
        <v>1278</v>
      </c>
      <c r="B851" s="2" t="s">
        <v>394</v>
      </c>
      <c r="C851" s="2" t="s">
        <v>423</v>
      </c>
      <c r="D851" s="8" t="s">
        <v>17</v>
      </c>
      <c r="E851" s="3">
        <f t="shared" si="82"/>
        <v>0</v>
      </c>
      <c r="F851" s="452">
        <f t="shared" si="82"/>
        <v>0</v>
      </c>
      <c r="G851" s="452">
        <f t="shared" si="81"/>
        <v>0</v>
      </c>
      <c r="H851" s="452">
        <f t="shared" si="81"/>
        <v>0</v>
      </c>
      <c r="I851" s="452">
        <f t="shared" si="81"/>
        <v>0</v>
      </c>
      <c r="J851" s="452">
        <f t="shared" si="81"/>
        <v>0</v>
      </c>
      <c r="K851" s="452">
        <f t="shared" si="81"/>
        <v>0</v>
      </c>
      <c r="L851" s="452">
        <f t="shared" si="81"/>
        <v>0</v>
      </c>
      <c r="M851" s="452">
        <f t="shared" si="81"/>
        <v>0</v>
      </c>
      <c r="N851" s="452">
        <f t="shared" si="81"/>
        <v>0</v>
      </c>
      <c r="O851" s="452">
        <f t="shared" si="81"/>
        <v>0</v>
      </c>
      <c r="P851" s="452">
        <f t="shared" si="81"/>
        <v>0</v>
      </c>
      <c r="Q851" s="452"/>
      <c r="R851" s="452">
        <f t="shared" si="81"/>
        <v>0</v>
      </c>
      <c r="S851" s="445">
        <f t="shared" ref="S851:S914" si="83">G851+H851+I851</f>
        <v>0</v>
      </c>
      <c r="T851" s="445">
        <f t="shared" ref="T851:T914" si="84">J851+K851</f>
        <v>0</v>
      </c>
      <c r="U851" s="445">
        <f t="shared" ref="U851:U914" si="85">N851+O851</f>
        <v>0</v>
      </c>
      <c r="W851" s="450"/>
      <c r="X851" s="450"/>
      <c r="Y851" s="441"/>
      <c r="Z851" s="441"/>
      <c r="AA851" s="441"/>
      <c r="AB851" s="441"/>
      <c r="AC851" s="441"/>
      <c r="AD851" s="441"/>
      <c r="AE851" s="441"/>
      <c r="AF851" s="441"/>
      <c r="AG851" s="441"/>
      <c r="AH851" s="441"/>
      <c r="AI851" s="441"/>
      <c r="AJ851" s="441"/>
      <c r="AK851" s="441"/>
      <c r="AL851" s="441"/>
      <c r="AM851" s="441"/>
      <c r="AN851" s="441"/>
      <c r="AO851" s="441"/>
      <c r="AP851" s="448"/>
      <c r="AQ851" s="448"/>
      <c r="AR851" s="448"/>
      <c r="AS851" s="448"/>
      <c r="AT851" s="448"/>
      <c r="AU851" s="448"/>
      <c r="AV851" s="448"/>
      <c r="AW851" s="448"/>
      <c r="AX851" s="448"/>
      <c r="AY851" s="448"/>
      <c r="AZ851" s="448"/>
      <c r="BA851" s="448"/>
      <c r="BB851" s="448"/>
      <c r="BC851" s="448"/>
      <c r="BD851" s="448"/>
      <c r="BE851" s="448"/>
      <c r="BF851" s="448"/>
    </row>
    <row r="852" spans="1:58" ht="12.75" hidden="1" thickBot="1">
      <c r="A852" s="1" t="s">
        <v>1278</v>
      </c>
      <c r="B852" s="2" t="s">
        <v>395</v>
      </c>
      <c r="C852" s="2" t="s">
        <v>423</v>
      </c>
      <c r="D852" s="8" t="s">
        <v>17</v>
      </c>
      <c r="E852" s="3">
        <f t="shared" si="82"/>
        <v>0</v>
      </c>
      <c r="F852" s="452">
        <f t="shared" si="82"/>
        <v>0</v>
      </c>
      <c r="G852" s="452">
        <f t="shared" si="81"/>
        <v>0</v>
      </c>
      <c r="H852" s="452">
        <f t="shared" si="81"/>
        <v>0</v>
      </c>
      <c r="I852" s="452">
        <f t="shared" si="81"/>
        <v>0</v>
      </c>
      <c r="J852" s="452">
        <f t="shared" si="81"/>
        <v>0</v>
      </c>
      <c r="K852" s="452">
        <f t="shared" si="81"/>
        <v>0</v>
      </c>
      <c r="L852" s="452">
        <f t="shared" si="81"/>
        <v>0</v>
      </c>
      <c r="M852" s="452">
        <f t="shared" si="81"/>
        <v>0</v>
      </c>
      <c r="N852" s="452">
        <f t="shared" si="81"/>
        <v>0</v>
      </c>
      <c r="O852" s="452">
        <f t="shared" si="81"/>
        <v>0</v>
      </c>
      <c r="P852" s="452">
        <f t="shared" si="81"/>
        <v>0</v>
      </c>
      <c r="Q852" s="452"/>
      <c r="R852" s="452">
        <f t="shared" si="81"/>
        <v>0</v>
      </c>
      <c r="S852" s="445">
        <f t="shared" si="83"/>
        <v>0</v>
      </c>
      <c r="T852" s="445">
        <f t="shared" si="84"/>
        <v>0</v>
      </c>
      <c r="U852" s="445">
        <f t="shared" si="85"/>
        <v>0</v>
      </c>
      <c r="W852" s="450"/>
      <c r="X852" s="450"/>
      <c r="Y852" s="441"/>
      <c r="Z852" s="441"/>
      <c r="AA852" s="441"/>
      <c r="AB852" s="441"/>
      <c r="AC852" s="441"/>
      <c r="AD852" s="441"/>
      <c r="AE852" s="441"/>
      <c r="AF852" s="441"/>
      <c r="AG852" s="441"/>
      <c r="AH852" s="441"/>
      <c r="AI852" s="441"/>
      <c r="AJ852" s="441"/>
      <c r="AK852" s="441"/>
      <c r="AL852" s="441"/>
      <c r="AM852" s="441"/>
      <c r="AN852" s="441"/>
      <c r="AO852" s="441"/>
      <c r="AP852" s="448"/>
      <c r="AQ852" s="448"/>
      <c r="AR852" s="448"/>
      <c r="AS852" s="448"/>
      <c r="AT852" s="448"/>
      <c r="AU852" s="448"/>
      <c r="AV852" s="448"/>
      <c r="AW852" s="448"/>
      <c r="AX852" s="448"/>
      <c r="AY852" s="448"/>
      <c r="AZ852" s="448"/>
      <c r="BA852" s="448"/>
      <c r="BB852" s="448"/>
      <c r="BC852" s="448"/>
      <c r="BD852" s="448"/>
      <c r="BE852" s="448"/>
      <c r="BF852" s="448"/>
    </row>
    <row r="853" spans="1:58" ht="12.75" hidden="1" thickBot="1">
      <c r="A853" s="1" t="s">
        <v>1278</v>
      </c>
      <c r="B853" s="2" t="s">
        <v>396</v>
      </c>
      <c r="C853" s="2" t="s">
        <v>423</v>
      </c>
      <c r="D853" s="8" t="s">
        <v>17</v>
      </c>
      <c r="E853" s="3">
        <f t="shared" si="82"/>
        <v>0</v>
      </c>
      <c r="F853" s="452">
        <f t="shared" si="82"/>
        <v>0</v>
      </c>
      <c r="G853" s="452">
        <f t="shared" si="81"/>
        <v>0</v>
      </c>
      <c r="H853" s="452">
        <f t="shared" si="81"/>
        <v>0</v>
      </c>
      <c r="I853" s="452">
        <f t="shared" si="81"/>
        <v>0</v>
      </c>
      <c r="J853" s="452">
        <f t="shared" si="81"/>
        <v>0</v>
      </c>
      <c r="K853" s="452">
        <f t="shared" si="81"/>
        <v>0</v>
      </c>
      <c r="L853" s="452">
        <f t="shared" si="81"/>
        <v>0</v>
      </c>
      <c r="M853" s="452">
        <f t="shared" si="81"/>
        <v>0</v>
      </c>
      <c r="N853" s="452">
        <f t="shared" si="81"/>
        <v>0</v>
      </c>
      <c r="O853" s="452">
        <f t="shared" si="81"/>
        <v>0</v>
      </c>
      <c r="P853" s="452">
        <f t="shared" si="81"/>
        <v>0</v>
      </c>
      <c r="Q853" s="452"/>
      <c r="R853" s="452">
        <f t="shared" si="81"/>
        <v>0</v>
      </c>
      <c r="S853" s="445">
        <f t="shared" si="83"/>
        <v>0</v>
      </c>
      <c r="T853" s="445">
        <f t="shared" si="84"/>
        <v>0</v>
      </c>
      <c r="U853" s="445">
        <f t="shared" si="85"/>
        <v>0</v>
      </c>
      <c r="W853" s="450"/>
      <c r="X853" s="450"/>
      <c r="Y853" s="441"/>
      <c r="Z853" s="441"/>
      <c r="AA853" s="441"/>
      <c r="AB853" s="441"/>
      <c r="AC853" s="441"/>
      <c r="AD853" s="441"/>
      <c r="AE853" s="441"/>
      <c r="AF853" s="441"/>
      <c r="AG853" s="441"/>
      <c r="AH853" s="441"/>
      <c r="AI853" s="441"/>
      <c r="AJ853" s="441"/>
      <c r="AK853" s="441"/>
      <c r="AL853" s="441"/>
      <c r="AM853" s="441"/>
      <c r="AN853" s="441"/>
      <c r="AO853" s="441"/>
      <c r="AP853" s="448"/>
      <c r="AQ853" s="448"/>
      <c r="AR853" s="448"/>
      <c r="AS853" s="448"/>
      <c r="AT853" s="448"/>
      <c r="AU853" s="448"/>
      <c r="AV853" s="448"/>
      <c r="AW853" s="448"/>
      <c r="AX853" s="448"/>
      <c r="AY853" s="448"/>
      <c r="AZ853" s="448"/>
      <c r="BA853" s="448"/>
      <c r="BB853" s="448"/>
      <c r="BC853" s="448"/>
      <c r="BD853" s="448"/>
      <c r="BE853" s="448"/>
      <c r="BF853" s="448"/>
    </row>
    <row r="854" spans="1:58" ht="12.75" hidden="1" thickBot="1">
      <c r="A854" s="1" t="s">
        <v>1278</v>
      </c>
      <c r="B854" s="2" t="s">
        <v>397</v>
      </c>
      <c r="C854" s="2" t="s">
        <v>55</v>
      </c>
      <c r="D854" s="8" t="s">
        <v>18</v>
      </c>
      <c r="E854" s="3">
        <f t="shared" si="82"/>
        <v>0</v>
      </c>
      <c r="F854" s="452">
        <f t="shared" si="82"/>
        <v>0</v>
      </c>
      <c r="G854" s="452">
        <f t="shared" si="81"/>
        <v>0</v>
      </c>
      <c r="H854" s="452">
        <f t="shared" si="81"/>
        <v>0</v>
      </c>
      <c r="I854" s="452">
        <f t="shared" si="81"/>
        <v>0</v>
      </c>
      <c r="J854" s="452">
        <f t="shared" si="81"/>
        <v>0</v>
      </c>
      <c r="K854" s="452">
        <f t="shared" si="81"/>
        <v>0</v>
      </c>
      <c r="L854" s="452">
        <f t="shared" si="81"/>
        <v>0</v>
      </c>
      <c r="M854" s="452">
        <f t="shared" si="81"/>
        <v>0</v>
      </c>
      <c r="N854" s="452">
        <f t="shared" si="81"/>
        <v>0</v>
      </c>
      <c r="O854" s="452">
        <f t="shared" si="81"/>
        <v>0</v>
      </c>
      <c r="P854" s="452">
        <f t="shared" si="81"/>
        <v>0</v>
      </c>
      <c r="Q854" s="452"/>
      <c r="R854" s="452">
        <f t="shared" si="81"/>
        <v>0</v>
      </c>
      <c r="S854" s="445">
        <f t="shared" si="83"/>
        <v>0</v>
      </c>
      <c r="T854" s="445">
        <f t="shared" si="84"/>
        <v>0</v>
      </c>
      <c r="U854" s="445">
        <f t="shared" si="85"/>
        <v>0</v>
      </c>
      <c r="W854" s="450"/>
      <c r="X854" s="450"/>
      <c r="Y854" s="441"/>
      <c r="Z854" s="441"/>
      <c r="AA854" s="441"/>
      <c r="AB854" s="441"/>
      <c r="AC854" s="441"/>
      <c r="AD854" s="441"/>
      <c r="AE854" s="441"/>
      <c r="AF854" s="441"/>
      <c r="AG854" s="441"/>
      <c r="AH854" s="441"/>
      <c r="AI854" s="441"/>
      <c r="AJ854" s="441"/>
      <c r="AK854" s="441"/>
      <c r="AL854" s="441"/>
      <c r="AM854" s="441"/>
      <c r="AN854" s="441"/>
      <c r="AO854" s="441"/>
      <c r="AP854" s="448"/>
      <c r="AQ854" s="448"/>
      <c r="AR854" s="448"/>
      <c r="AS854" s="448"/>
      <c r="AT854" s="448"/>
      <c r="AU854" s="448"/>
      <c r="AV854" s="448"/>
      <c r="AW854" s="448"/>
      <c r="AX854" s="448"/>
      <c r="AY854" s="448"/>
      <c r="AZ854" s="448"/>
      <c r="BA854" s="448"/>
      <c r="BB854" s="448"/>
      <c r="BC854" s="448"/>
      <c r="BD854" s="448"/>
      <c r="BE854" s="448"/>
      <c r="BF854" s="448"/>
    </row>
    <row r="855" spans="1:58" ht="12.75" hidden="1" thickBot="1">
      <c r="A855" s="1" t="s">
        <v>1278</v>
      </c>
      <c r="B855" s="2" t="s">
        <v>398</v>
      </c>
      <c r="C855" s="2" t="s">
        <v>55</v>
      </c>
      <c r="D855" s="8" t="s">
        <v>18</v>
      </c>
      <c r="E855" s="3">
        <f t="shared" si="82"/>
        <v>0</v>
      </c>
      <c r="F855" s="452">
        <f t="shared" si="82"/>
        <v>0</v>
      </c>
      <c r="G855" s="452">
        <f t="shared" si="81"/>
        <v>0</v>
      </c>
      <c r="H855" s="452">
        <f t="shared" si="81"/>
        <v>0</v>
      </c>
      <c r="I855" s="452">
        <f t="shared" si="81"/>
        <v>0</v>
      </c>
      <c r="J855" s="452">
        <f t="shared" si="81"/>
        <v>0</v>
      </c>
      <c r="K855" s="452">
        <f t="shared" si="81"/>
        <v>0</v>
      </c>
      <c r="L855" s="452">
        <f t="shared" si="81"/>
        <v>0</v>
      </c>
      <c r="M855" s="452">
        <f t="shared" si="81"/>
        <v>0</v>
      </c>
      <c r="N855" s="452">
        <f t="shared" si="81"/>
        <v>0</v>
      </c>
      <c r="O855" s="452">
        <f t="shared" si="81"/>
        <v>0</v>
      </c>
      <c r="P855" s="452">
        <f t="shared" si="81"/>
        <v>0</v>
      </c>
      <c r="Q855" s="452"/>
      <c r="R855" s="452">
        <f t="shared" si="81"/>
        <v>0</v>
      </c>
      <c r="S855" s="445">
        <f t="shared" si="83"/>
        <v>0</v>
      </c>
      <c r="T855" s="445">
        <f t="shared" si="84"/>
        <v>0</v>
      </c>
      <c r="U855" s="445">
        <f t="shared" si="85"/>
        <v>0</v>
      </c>
      <c r="W855" s="450"/>
      <c r="X855" s="450"/>
      <c r="Y855" s="441"/>
      <c r="Z855" s="441"/>
      <c r="AA855" s="441"/>
      <c r="AB855" s="441"/>
      <c r="AC855" s="441"/>
      <c r="AD855" s="441"/>
      <c r="AE855" s="441"/>
      <c r="AF855" s="441"/>
      <c r="AG855" s="441"/>
      <c r="AH855" s="441"/>
      <c r="AI855" s="441"/>
      <c r="AJ855" s="441"/>
      <c r="AK855" s="441"/>
      <c r="AL855" s="441"/>
      <c r="AM855" s="441"/>
      <c r="AN855" s="441"/>
      <c r="AO855" s="441"/>
      <c r="AP855" s="448"/>
      <c r="AQ855" s="448"/>
      <c r="AR855" s="448"/>
      <c r="AS855" s="448"/>
      <c r="AT855" s="448"/>
      <c r="AU855" s="448"/>
      <c r="AV855" s="448"/>
      <c r="AW855" s="448"/>
      <c r="AX855" s="448"/>
      <c r="AY855" s="448"/>
      <c r="AZ855" s="448"/>
      <c r="BA855" s="448"/>
      <c r="BB855" s="448"/>
      <c r="BC855" s="448"/>
      <c r="BD855" s="448"/>
      <c r="BE855" s="448"/>
      <c r="BF855" s="448"/>
    </row>
    <row r="856" spans="1:58" ht="12.75" hidden="1" thickBot="1">
      <c r="A856" s="1" t="s">
        <v>1278</v>
      </c>
      <c r="B856" s="2" t="s">
        <v>805</v>
      </c>
      <c r="C856" s="2" t="s">
        <v>806</v>
      </c>
      <c r="D856" s="8" t="s">
        <v>1205</v>
      </c>
      <c r="E856" s="3">
        <f t="shared" si="82"/>
        <v>0</v>
      </c>
      <c r="F856" s="452">
        <f t="shared" si="82"/>
        <v>0</v>
      </c>
      <c r="G856" s="452">
        <f t="shared" si="81"/>
        <v>0</v>
      </c>
      <c r="H856" s="452">
        <f t="shared" si="81"/>
        <v>0</v>
      </c>
      <c r="I856" s="452">
        <f t="shared" si="81"/>
        <v>0</v>
      </c>
      <c r="J856" s="452">
        <f t="shared" si="81"/>
        <v>0</v>
      </c>
      <c r="K856" s="452">
        <f t="shared" si="81"/>
        <v>0</v>
      </c>
      <c r="L856" s="452">
        <f t="shared" si="81"/>
        <v>0</v>
      </c>
      <c r="M856" s="452">
        <f t="shared" si="81"/>
        <v>0</v>
      </c>
      <c r="N856" s="452">
        <f t="shared" si="81"/>
        <v>0</v>
      </c>
      <c r="O856" s="452">
        <f t="shared" si="81"/>
        <v>0</v>
      </c>
      <c r="P856" s="452">
        <f t="shared" si="81"/>
        <v>0</v>
      </c>
      <c r="Q856" s="452"/>
      <c r="R856" s="452">
        <f t="shared" si="81"/>
        <v>0</v>
      </c>
      <c r="S856" s="445">
        <f t="shared" si="83"/>
        <v>0</v>
      </c>
      <c r="T856" s="445">
        <f t="shared" si="84"/>
        <v>0</v>
      </c>
      <c r="U856" s="445">
        <f t="shared" si="85"/>
        <v>0</v>
      </c>
      <c r="W856" s="450"/>
      <c r="X856" s="450"/>
      <c r="Y856" s="441"/>
      <c r="Z856" s="441"/>
      <c r="AA856" s="441"/>
      <c r="AB856" s="441"/>
      <c r="AC856" s="441"/>
      <c r="AD856" s="441"/>
      <c r="AE856" s="441"/>
      <c r="AF856" s="441"/>
      <c r="AG856" s="441"/>
      <c r="AH856" s="441"/>
      <c r="AI856" s="441"/>
      <c r="AJ856" s="441"/>
      <c r="AK856" s="441"/>
      <c r="AL856" s="441"/>
      <c r="AM856" s="441"/>
      <c r="AN856" s="441"/>
      <c r="AO856" s="441"/>
      <c r="AP856" s="448"/>
      <c r="AQ856" s="448"/>
      <c r="AR856" s="448"/>
      <c r="AS856" s="448"/>
      <c r="AT856" s="448"/>
      <c r="AU856" s="448"/>
      <c r="AV856" s="448"/>
      <c r="AW856" s="448"/>
      <c r="AX856" s="448"/>
      <c r="AY856" s="448"/>
      <c r="AZ856" s="448"/>
      <c r="BA856" s="448"/>
      <c r="BB856" s="448"/>
      <c r="BC856" s="448"/>
      <c r="BD856" s="448"/>
      <c r="BE856" s="448"/>
      <c r="BF856" s="448"/>
    </row>
    <row r="857" spans="1:58" ht="12.75" thickBot="1">
      <c r="A857" s="1" t="s">
        <v>1278</v>
      </c>
      <c r="B857" s="2" t="s">
        <v>399</v>
      </c>
      <c r="C857" s="2" t="s">
        <v>430</v>
      </c>
      <c r="D857" s="8" t="s">
        <v>13</v>
      </c>
      <c r="E857" s="3">
        <f t="shared" si="82"/>
        <v>0</v>
      </c>
      <c r="F857" s="452">
        <f t="shared" si="82"/>
        <v>0</v>
      </c>
      <c r="G857" s="452">
        <f t="shared" si="81"/>
        <v>0</v>
      </c>
      <c r="H857" s="452">
        <f t="shared" si="81"/>
        <v>0</v>
      </c>
      <c r="I857" s="452">
        <f t="shared" si="81"/>
        <v>0</v>
      </c>
      <c r="J857" s="452">
        <f t="shared" si="81"/>
        <v>0</v>
      </c>
      <c r="K857" s="452">
        <f t="shared" si="81"/>
        <v>0</v>
      </c>
      <c r="L857" s="452">
        <f t="shared" si="81"/>
        <v>0</v>
      </c>
      <c r="M857" s="452">
        <f t="shared" si="81"/>
        <v>0</v>
      </c>
      <c r="N857" s="452">
        <f t="shared" si="81"/>
        <v>0</v>
      </c>
      <c r="O857" s="452">
        <f t="shared" si="81"/>
        <v>0</v>
      </c>
      <c r="P857" s="452">
        <f t="shared" si="81"/>
        <v>0</v>
      </c>
      <c r="Q857" s="452"/>
      <c r="R857" s="452">
        <f t="shared" si="81"/>
        <v>0</v>
      </c>
      <c r="S857" s="445">
        <f t="shared" si="83"/>
        <v>0</v>
      </c>
      <c r="T857" s="445">
        <f t="shared" si="84"/>
        <v>0</v>
      </c>
      <c r="U857" s="445">
        <f t="shared" si="85"/>
        <v>0</v>
      </c>
      <c r="W857" s="450"/>
      <c r="X857" s="450"/>
      <c r="Y857" s="441"/>
      <c r="Z857" s="441"/>
      <c r="AA857" s="441"/>
      <c r="AB857" s="441"/>
      <c r="AC857" s="441"/>
      <c r="AD857" s="441"/>
      <c r="AE857" s="441"/>
      <c r="AF857" s="441"/>
      <c r="AG857" s="441"/>
      <c r="AH857" s="441"/>
      <c r="AI857" s="441"/>
      <c r="AJ857" s="441"/>
      <c r="AK857" s="441"/>
      <c r="AL857" s="441"/>
      <c r="AM857" s="441"/>
      <c r="AN857" s="441"/>
      <c r="AO857" s="441"/>
      <c r="AP857" s="448"/>
      <c r="AQ857" s="448"/>
      <c r="AR857" s="448"/>
      <c r="AS857" s="448"/>
      <c r="AT857" s="448"/>
      <c r="AU857" s="448"/>
      <c r="AV857" s="448"/>
      <c r="AW857" s="448"/>
      <c r="AX857" s="448"/>
      <c r="AY857" s="448"/>
      <c r="AZ857" s="448"/>
      <c r="BA857" s="448"/>
      <c r="BB857" s="448"/>
      <c r="BC857" s="448"/>
      <c r="BD857" s="448"/>
      <c r="BE857" s="448"/>
      <c r="BF857" s="448"/>
    </row>
    <row r="858" spans="1:58" ht="12.75" thickBot="1">
      <c r="A858" s="1" t="s">
        <v>1278</v>
      </c>
      <c r="B858" s="2" t="s">
        <v>400</v>
      </c>
      <c r="C858" s="2" t="s">
        <v>427</v>
      </c>
      <c r="D858" s="8" t="s">
        <v>13</v>
      </c>
      <c r="E858" s="3">
        <f t="shared" si="82"/>
        <v>516787603</v>
      </c>
      <c r="F858" s="452">
        <f t="shared" si="82"/>
        <v>3876429</v>
      </c>
      <c r="G858" s="452">
        <f t="shared" si="81"/>
        <v>26960809</v>
      </c>
      <c r="H858" s="452">
        <f t="shared" si="81"/>
        <v>14082462</v>
      </c>
      <c r="I858" s="452">
        <f t="shared" si="81"/>
        <v>692495</v>
      </c>
      <c r="J858" s="452">
        <f t="shared" si="81"/>
        <v>0</v>
      </c>
      <c r="K858" s="452">
        <f t="shared" si="81"/>
        <v>0</v>
      </c>
      <c r="L858" s="452">
        <f t="shared" si="81"/>
        <v>1046901</v>
      </c>
      <c r="M858" s="452">
        <f t="shared" si="81"/>
        <v>1111384</v>
      </c>
      <c r="N858" s="452">
        <f t="shared" si="81"/>
        <v>3311772</v>
      </c>
      <c r="O858" s="452">
        <f t="shared" si="81"/>
        <v>0</v>
      </c>
      <c r="P858" s="452">
        <f t="shared" si="81"/>
        <v>0</v>
      </c>
      <c r="Q858" s="452"/>
      <c r="R858" s="452">
        <f t="shared" si="81"/>
        <v>51082253</v>
      </c>
      <c r="S858" s="445">
        <f t="shared" si="83"/>
        <v>41735766</v>
      </c>
      <c r="T858" s="445">
        <f t="shared" si="84"/>
        <v>0</v>
      </c>
      <c r="U858" s="445">
        <f t="shared" si="85"/>
        <v>3311772</v>
      </c>
      <c r="W858" s="450"/>
      <c r="X858" s="450"/>
      <c r="Y858" s="441"/>
      <c r="Z858" s="441"/>
      <c r="AA858" s="441"/>
      <c r="AB858" s="441"/>
      <c r="AC858" s="441"/>
      <c r="AD858" s="441"/>
      <c r="AE858" s="441"/>
      <c r="AF858" s="441"/>
      <c r="AG858" s="441"/>
      <c r="AH858" s="441"/>
      <c r="AI858" s="441"/>
      <c r="AJ858" s="441"/>
      <c r="AK858" s="441"/>
      <c r="AL858" s="441"/>
      <c r="AM858" s="441"/>
      <c r="AN858" s="441"/>
      <c r="AO858" s="441"/>
      <c r="AP858" s="448"/>
      <c r="AQ858" s="448"/>
      <c r="AR858" s="448"/>
      <c r="AS858" s="448"/>
      <c r="AT858" s="448"/>
      <c r="AU858" s="448"/>
      <c r="AV858" s="448"/>
      <c r="AW858" s="448"/>
      <c r="AX858" s="448"/>
      <c r="AY858" s="448"/>
      <c r="AZ858" s="448"/>
      <c r="BA858" s="448"/>
      <c r="BB858" s="448"/>
      <c r="BC858" s="448"/>
      <c r="BD858" s="448"/>
      <c r="BE858" s="448"/>
      <c r="BF858" s="448"/>
    </row>
    <row r="859" spans="1:58" ht="12.75" thickBot="1">
      <c r="A859" s="1" t="s">
        <v>1278</v>
      </c>
      <c r="B859" s="2" t="s">
        <v>401</v>
      </c>
      <c r="C859" s="2" t="s">
        <v>428</v>
      </c>
      <c r="D859" s="8" t="s">
        <v>13</v>
      </c>
      <c r="E859" s="3">
        <f t="shared" si="82"/>
        <v>0</v>
      </c>
      <c r="F859" s="452">
        <f t="shared" si="82"/>
        <v>0</v>
      </c>
      <c r="G859" s="452">
        <f t="shared" si="81"/>
        <v>0</v>
      </c>
      <c r="H859" s="452">
        <f t="shared" si="81"/>
        <v>0</v>
      </c>
      <c r="I859" s="452">
        <f t="shared" si="81"/>
        <v>0</v>
      </c>
      <c r="J859" s="452">
        <f t="shared" si="81"/>
        <v>0</v>
      </c>
      <c r="K859" s="452">
        <f t="shared" si="81"/>
        <v>0</v>
      </c>
      <c r="L859" s="452">
        <f t="shared" si="81"/>
        <v>0</v>
      </c>
      <c r="M859" s="452">
        <f t="shared" si="81"/>
        <v>0</v>
      </c>
      <c r="N859" s="452">
        <f t="shared" si="81"/>
        <v>0</v>
      </c>
      <c r="O859" s="452">
        <f t="shared" si="81"/>
        <v>0</v>
      </c>
      <c r="P859" s="452">
        <f t="shared" si="81"/>
        <v>0</v>
      </c>
      <c r="Q859" s="452"/>
      <c r="R859" s="452">
        <f t="shared" si="81"/>
        <v>0</v>
      </c>
      <c r="S859" s="445">
        <f t="shared" si="83"/>
        <v>0</v>
      </c>
      <c r="T859" s="445">
        <f t="shared" si="84"/>
        <v>0</v>
      </c>
      <c r="U859" s="445">
        <f t="shared" si="85"/>
        <v>0</v>
      </c>
      <c r="W859" s="450"/>
      <c r="X859" s="450"/>
      <c r="Y859" s="441"/>
      <c r="Z859" s="441"/>
      <c r="AA859" s="441"/>
      <c r="AB859" s="441"/>
      <c r="AC859" s="441"/>
      <c r="AD859" s="441"/>
      <c r="AE859" s="441"/>
      <c r="AF859" s="441"/>
      <c r="AG859" s="441"/>
      <c r="AH859" s="441"/>
      <c r="AI859" s="441"/>
      <c r="AJ859" s="441"/>
      <c r="AK859" s="441"/>
      <c r="AL859" s="441"/>
      <c r="AM859" s="441"/>
      <c r="AN859" s="441"/>
      <c r="AO859" s="441"/>
      <c r="AP859" s="448"/>
      <c r="AQ859" s="448"/>
      <c r="AR859" s="448"/>
      <c r="AS859" s="448"/>
      <c r="AT859" s="448"/>
      <c r="AU859" s="448"/>
      <c r="AV859" s="448"/>
      <c r="AW859" s="448"/>
      <c r="AX859" s="448"/>
      <c r="AY859" s="448"/>
      <c r="AZ859" s="448"/>
      <c r="BA859" s="448"/>
      <c r="BB859" s="448"/>
      <c r="BC859" s="448"/>
      <c r="BD859" s="448"/>
      <c r="BE859" s="448"/>
      <c r="BF859" s="448"/>
    </row>
    <row r="860" spans="1:58" ht="12.75" thickBot="1">
      <c r="A860" s="1" t="s">
        <v>1278</v>
      </c>
      <c r="B860" s="2" t="s">
        <v>402</v>
      </c>
      <c r="C860" s="2" t="s">
        <v>429</v>
      </c>
      <c r="D860" s="8" t="s">
        <v>13</v>
      </c>
      <c r="E860" s="3">
        <f t="shared" si="82"/>
        <v>0</v>
      </c>
      <c r="F860" s="452">
        <f t="shared" si="82"/>
        <v>0</v>
      </c>
      <c r="G860" s="452">
        <f t="shared" si="81"/>
        <v>0</v>
      </c>
      <c r="H860" s="452">
        <f t="shared" si="81"/>
        <v>0</v>
      </c>
      <c r="I860" s="452">
        <f t="shared" si="81"/>
        <v>0</v>
      </c>
      <c r="J860" s="452">
        <f t="shared" si="81"/>
        <v>0</v>
      </c>
      <c r="K860" s="452">
        <f t="shared" si="81"/>
        <v>0</v>
      </c>
      <c r="L860" s="452">
        <f t="shared" si="81"/>
        <v>0</v>
      </c>
      <c r="M860" s="452">
        <f t="shared" si="81"/>
        <v>0</v>
      </c>
      <c r="N860" s="452">
        <f t="shared" si="81"/>
        <v>0</v>
      </c>
      <c r="O860" s="452">
        <f t="shared" si="81"/>
        <v>0</v>
      </c>
      <c r="P860" s="452">
        <f t="shared" si="81"/>
        <v>0</v>
      </c>
      <c r="Q860" s="452"/>
      <c r="R860" s="452">
        <f t="shared" si="81"/>
        <v>0</v>
      </c>
      <c r="S860" s="445">
        <f t="shared" si="83"/>
        <v>0</v>
      </c>
      <c r="T860" s="445">
        <f t="shared" si="84"/>
        <v>0</v>
      </c>
      <c r="U860" s="445">
        <f t="shared" si="85"/>
        <v>0</v>
      </c>
      <c r="W860" s="450"/>
      <c r="X860" s="450"/>
      <c r="Y860" s="441"/>
      <c r="Z860" s="441"/>
      <c r="AA860" s="441"/>
      <c r="AB860" s="441"/>
      <c r="AC860" s="441"/>
      <c r="AD860" s="441"/>
      <c r="AE860" s="441"/>
      <c r="AF860" s="441"/>
      <c r="AG860" s="441"/>
      <c r="AH860" s="441"/>
      <c r="AI860" s="441"/>
      <c r="AJ860" s="441"/>
      <c r="AK860" s="441"/>
      <c r="AL860" s="441"/>
      <c r="AM860" s="441"/>
      <c r="AN860" s="441"/>
      <c r="AO860" s="441"/>
      <c r="AP860" s="448"/>
      <c r="AQ860" s="448"/>
      <c r="AR860" s="448"/>
      <c r="AS860" s="448"/>
      <c r="AT860" s="448"/>
      <c r="AU860" s="448"/>
      <c r="AV860" s="448"/>
      <c r="AW860" s="448"/>
      <c r="AX860" s="448"/>
      <c r="AY860" s="448"/>
      <c r="AZ860" s="448"/>
      <c r="BA860" s="448"/>
      <c r="BB860" s="448"/>
      <c r="BC860" s="448"/>
      <c r="BD860" s="448"/>
      <c r="BE860" s="448"/>
      <c r="BF860" s="448"/>
    </row>
    <row r="861" spans="1:58" ht="12.75" hidden="1" thickBot="1">
      <c r="A861" s="1" t="s">
        <v>1278</v>
      </c>
      <c r="B861" s="2" t="s">
        <v>706</v>
      </c>
      <c r="C861" s="2" t="s">
        <v>1204</v>
      </c>
      <c r="D861" s="8" t="s">
        <v>641</v>
      </c>
      <c r="E861" s="3">
        <f t="shared" si="82"/>
        <v>0</v>
      </c>
      <c r="F861" s="452">
        <f t="shared" si="82"/>
        <v>0</v>
      </c>
      <c r="G861" s="452">
        <f t="shared" si="81"/>
        <v>0</v>
      </c>
      <c r="H861" s="452">
        <f t="shared" si="81"/>
        <v>0</v>
      </c>
      <c r="I861" s="452">
        <f t="shared" si="81"/>
        <v>0</v>
      </c>
      <c r="J861" s="452">
        <f t="shared" si="81"/>
        <v>0</v>
      </c>
      <c r="K861" s="452">
        <f t="shared" si="81"/>
        <v>0</v>
      </c>
      <c r="L861" s="452">
        <f t="shared" si="81"/>
        <v>0</v>
      </c>
      <c r="M861" s="452">
        <f t="shared" si="81"/>
        <v>0</v>
      </c>
      <c r="N861" s="452">
        <f t="shared" si="81"/>
        <v>0</v>
      </c>
      <c r="O861" s="452">
        <f t="shared" si="81"/>
        <v>0</v>
      </c>
      <c r="P861" s="452">
        <f t="shared" si="81"/>
        <v>0</v>
      </c>
      <c r="Q861" s="452"/>
      <c r="R861" s="452">
        <f t="shared" si="81"/>
        <v>0</v>
      </c>
      <c r="S861" s="445">
        <f t="shared" si="83"/>
        <v>0</v>
      </c>
      <c r="T861" s="445">
        <f t="shared" si="84"/>
        <v>0</v>
      </c>
      <c r="U861" s="445">
        <f t="shared" si="85"/>
        <v>0</v>
      </c>
      <c r="W861" s="450"/>
      <c r="X861" s="450"/>
      <c r="Y861" s="441"/>
      <c r="Z861" s="441"/>
      <c r="AA861" s="441"/>
      <c r="AB861" s="441"/>
      <c r="AC861" s="441"/>
      <c r="AD861" s="441"/>
      <c r="AE861" s="441"/>
      <c r="AF861" s="441"/>
      <c r="AG861" s="441"/>
      <c r="AH861" s="441"/>
      <c r="AI861" s="441"/>
      <c r="AJ861" s="441"/>
      <c r="AK861" s="441"/>
      <c r="AL861" s="441"/>
      <c r="AM861" s="441"/>
      <c r="AN861" s="441"/>
      <c r="AO861" s="441"/>
      <c r="AP861" s="448"/>
      <c r="AQ861" s="448"/>
      <c r="AR861" s="448"/>
      <c r="AS861" s="448"/>
      <c r="AT861" s="448"/>
      <c r="AU861" s="448"/>
      <c r="AV861" s="448"/>
      <c r="AW861" s="448"/>
      <c r="AX861" s="448"/>
      <c r="AY861" s="448"/>
      <c r="AZ861" s="448"/>
      <c r="BA861" s="448"/>
      <c r="BB861" s="448"/>
      <c r="BC861" s="448"/>
      <c r="BD861" s="448"/>
      <c r="BE861" s="448"/>
      <c r="BF861" s="448"/>
    </row>
    <row r="862" spans="1:58" ht="12.75" hidden="1" thickBot="1">
      <c r="A862" s="1" t="s">
        <v>1278</v>
      </c>
      <c r="B862" s="2" t="s">
        <v>1230</v>
      </c>
      <c r="C862" s="2" t="s">
        <v>1245</v>
      </c>
      <c r="D862" s="8" t="s">
        <v>641</v>
      </c>
      <c r="E862" s="3">
        <f t="shared" si="82"/>
        <v>0</v>
      </c>
      <c r="F862" s="452">
        <f t="shared" si="82"/>
        <v>0</v>
      </c>
      <c r="G862" s="452">
        <f t="shared" si="81"/>
        <v>0</v>
      </c>
      <c r="H862" s="452">
        <f t="shared" si="81"/>
        <v>0</v>
      </c>
      <c r="I862" s="452">
        <f t="shared" si="81"/>
        <v>0</v>
      </c>
      <c r="J862" s="452">
        <f t="shared" si="81"/>
        <v>0</v>
      </c>
      <c r="K862" s="452">
        <f t="shared" si="81"/>
        <v>0</v>
      </c>
      <c r="L862" s="452">
        <f t="shared" si="81"/>
        <v>0</v>
      </c>
      <c r="M862" s="452">
        <f t="shared" si="81"/>
        <v>0</v>
      </c>
      <c r="N862" s="452">
        <f t="shared" si="81"/>
        <v>0</v>
      </c>
      <c r="O862" s="452">
        <f t="shared" si="81"/>
        <v>0</v>
      </c>
      <c r="P862" s="452">
        <f t="shared" si="81"/>
        <v>0</v>
      </c>
      <c r="Q862" s="452"/>
      <c r="R862" s="452">
        <f t="shared" si="81"/>
        <v>0</v>
      </c>
      <c r="S862" s="445">
        <f t="shared" si="83"/>
        <v>0</v>
      </c>
      <c r="T862" s="445">
        <f t="shared" si="84"/>
        <v>0</v>
      </c>
      <c r="U862" s="445">
        <f t="shared" si="85"/>
        <v>0</v>
      </c>
      <c r="W862" s="450"/>
      <c r="X862" s="450"/>
      <c r="Y862" s="441"/>
      <c r="Z862" s="441"/>
      <c r="AA862" s="441"/>
      <c r="AB862" s="441"/>
      <c r="AC862" s="441"/>
      <c r="AD862" s="441"/>
      <c r="AE862" s="441"/>
      <c r="AF862" s="441"/>
      <c r="AG862" s="441"/>
      <c r="AH862" s="441"/>
      <c r="AI862" s="441"/>
      <c r="AJ862" s="441"/>
      <c r="AK862" s="441"/>
      <c r="AL862" s="441"/>
      <c r="AM862" s="441"/>
      <c r="AN862" s="441"/>
      <c r="AO862" s="441"/>
      <c r="AP862" s="448"/>
      <c r="AQ862" s="448"/>
      <c r="AR862" s="448"/>
      <c r="AS862" s="448"/>
      <c r="AT862" s="448"/>
      <c r="AU862" s="448"/>
      <c r="AV862" s="448"/>
      <c r="AW862" s="448"/>
      <c r="AX862" s="448"/>
      <c r="AY862" s="448"/>
      <c r="AZ862" s="448"/>
      <c r="BA862" s="448"/>
      <c r="BB862" s="448"/>
      <c r="BC862" s="448"/>
      <c r="BD862" s="448"/>
      <c r="BE862" s="448"/>
      <c r="BF862" s="448"/>
    </row>
    <row r="863" spans="1:58" ht="12.75" hidden="1" thickBot="1">
      <c r="A863" s="1" t="s">
        <v>1278</v>
      </c>
      <c r="B863" s="2" t="s">
        <v>362</v>
      </c>
      <c r="C863" s="2" t="s">
        <v>363</v>
      </c>
      <c r="D863" s="8" t="s">
        <v>1205</v>
      </c>
      <c r="E863" s="457"/>
      <c r="F863" s="4"/>
      <c r="G863" s="4"/>
      <c r="H863" s="4"/>
      <c r="I863" s="4"/>
      <c r="J863" s="4"/>
      <c r="K863" s="4"/>
      <c r="L863" s="4"/>
      <c r="M863" s="4"/>
      <c r="N863" s="4"/>
      <c r="O863" s="4"/>
      <c r="P863" s="4"/>
      <c r="Q863" s="4"/>
      <c r="R863" s="4"/>
      <c r="S863" s="445">
        <f t="shared" si="83"/>
        <v>0</v>
      </c>
      <c r="T863" s="445">
        <f t="shared" si="84"/>
        <v>0</v>
      </c>
      <c r="U863" s="445">
        <f t="shared" si="85"/>
        <v>0</v>
      </c>
      <c r="W863" s="450"/>
      <c r="X863" s="450"/>
      <c r="Y863" s="441"/>
      <c r="Z863" s="441"/>
      <c r="AA863" s="441"/>
      <c r="AB863" s="441"/>
      <c r="AC863" s="441"/>
      <c r="AD863" s="441"/>
      <c r="AE863" s="441"/>
      <c r="AF863" s="441"/>
      <c r="AG863" s="441"/>
      <c r="AH863" s="441"/>
      <c r="AI863" s="441"/>
      <c r="AJ863" s="441"/>
      <c r="AK863" s="441"/>
      <c r="AL863" s="441"/>
      <c r="AM863" s="441"/>
      <c r="AN863" s="441"/>
      <c r="AO863" s="441"/>
      <c r="AP863" s="448"/>
      <c r="AQ863" s="448"/>
      <c r="AR863" s="448"/>
      <c r="AS863" s="448"/>
      <c r="AT863" s="448"/>
      <c r="AU863" s="448"/>
      <c r="AV863" s="448"/>
      <c r="AW863" s="448"/>
      <c r="AX863" s="448"/>
      <c r="AY863" s="448"/>
      <c r="AZ863" s="448"/>
      <c r="BA863" s="448"/>
      <c r="BB863" s="448"/>
      <c r="BC863" s="448"/>
      <c r="BD863" s="448"/>
      <c r="BE863" s="448"/>
      <c r="BF863" s="448"/>
    </row>
    <row r="864" spans="1:58" ht="12.75" hidden="1" thickBot="1">
      <c r="A864" s="1" t="s">
        <v>1278</v>
      </c>
      <c r="B864" s="2" t="s">
        <v>342</v>
      </c>
      <c r="C864" s="2" t="s">
        <v>1035</v>
      </c>
      <c r="D864" s="8" t="s">
        <v>459</v>
      </c>
      <c r="E864" s="459"/>
      <c r="F864" s="6"/>
      <c r="G864" s="451"/>
      <c r="H864" s="6"/>
      <c r="I864" s="6"/>
      <c r="J864" s="6"/>
      <c r="K864" s="6"/>
      <c r="L864" s="6"/>
      <c r="M864" s="451"/>
      <c r="N864" s="451"/>
      <c r="O864" s="6"/>
      <c r="P864" s="6"/>
      <c r="Q864" s="451"/>
      <c r="R864" s="451"/>
      <c r="S864" s="445">
        <f t="shared" si="83"/>
        <v>0</v>
      </c>
      <c r="T864" s="445">
        <f t="shared" si="84"/>
        <v>0</v>
      </c>
      <c r="U864" s="445">
        <f t="shared" si="85"/>
        <v>0</v>
      </c>
      <c r="W864" s="450"/>
      <c r="X864" s="450"/>
      <c r="Y864" s="441"/>
      <c r="Z864" s="441"/>
      <c r="AA864" s="441"/>
      <c r="AB864" s="441"/>
      <c r="AC864" s="441"/>
      <c r="AD864" s="441"/>
      <c r="AE864" s="441"/>
      <c r="AF864" s="441"/>
      <c r="AG864" s="441"/>
      <c r="AH864" s="441"/>
      <c r="AI864" s="441"/>
      <c r="AJ864" s="441"/>
      <c r="AK864" s="441"/>
      <c r="AL864" s="441"/>
      <c r="AM864" s="441"/>
      <c r="AN864" s="441"/>
      <c r="AO864" s="441"/>
    </row>
    <row r="865" spans="1:41" ht="12.75" hidden="1" thickBot="1">
      <c r="A865" s="1" t="s">
        <v>1278</v>
      </c>
      <c r="B865" s="2" t="s">
        <v>213</v>
      </c>
      <c r="C865" s="2" t="s">
        <v>1036</v>
      </c>
      <c r="D865" s="8" t="s">
        <v>459</v>
      </c>
      <c r="E865" s="460"/>
      <c r="F865" s="4"/>
      <c r="G865" s="449"/>
      <c r="H865" s="4"/>
      <c r="I865" s="4"/>
      <c r="J865" s="4"/>
      <c r="K865" s="4"/>
      <c r="L865" s="4"/>
      <c r="M865" s="449"/>
      <c r="N865" s="449"/>
      <c r="O865" s="4"/>
      <c r="P865" s="4"/>
      <c r="Q865" s="449"/>
      <c r="R865" s="449"/>
      <c r="S865" s="445">
        <f t="shared" si="83"/>
        <v>0</v>
      </c>
      <c r="T865" s="445">
        <f t="shared" si="84"/>
        <v>0</v>
      </c>
      <c r="U865" s="445">
        <f t="shared" si="85"/>
        <v>0</v>
      </c>
      <c r="W865" s="450"/>
      <c r="X865" s="450"/>
      <c r="Y865" s="441"/>
      <c r="Z865" s="441"/>
      <c r="AA865" s="441"/>
      <c r="AB865" s="441"/>
      <c r="AC865" s="441"/>
      <c r="AD865" s="441"/>
      <c r="AE865" s="441"/>
      <c r="AF865" s="441"/>
      <c r="AG865" s="441"/>
      <c r="AH865" s="441"/>
      <c r="AI865" s="441"/>
      <c r="AJ865" s="441"/>
      <c r="AK865" s="441"/>
      <c r="AL865" s="441"/>
      <c r="AM865" s="441"/>
      <c r="AN865" s="441"/>
      <c r="AO865" s="441"/>
    </row>
    <row r="866" spans="1:41" ht="12.75" hidden="1" thickBot="1">
      <c r="A866" s="1" t="s">
        <v>1278</v>
      </c>
      <c r="B866" s="2" t="s">
        <v>214</v>
      </c>
      <c r="C866" s="2" t="s">
        <v>1037</v>
      </c>
      <c r="D866" s="8" t="s">
        <v>459</v>
      </c>
      <c r="E866" s="459"/>
      <c r="F866" s="6"/>
      <c r="G866" s="451"/>
      <c r="H866" s="6"/>
      <c r="I866" s="6"/>
      <c r="J866" s="6"/>
      <c r="K866" s="6"/>
      <c r="L866" s="6"/>
      <c r="M866" s="451"/>
      <c r="N866" s="451"/>
      <c r="O866" s="6"/>
      <c r="P866" s="6"/>
      <c r="Q866" s="451"/>
      <c r="R866" s="451"/>
      <c r="S866" s="445">
        <f t="shared" si="83"/>
        <v>0</v>
      </c>
      <c r="T866" s="445">
        <f t="shared" si="84"/>
        <v>0</v>
      </c>
      <c r="U866" s="445">
        <f t="shared" si="85"/>
        <v>0</v>
      </c>
      <c r="W866" s="450"/>
      <c r="X866" s="450"/>
      <c r="Y866" s="441"/>
      <c r="Z866" s="441"/>
      <c r="AA866" s="441"/>
      <c r="AB866" s="441"/>
      <c r="AC866" s="441"/>
      <c r="AD866" s="441"/>
      <c r="AE866" s="441"/>
      <c r="AF866" s="441"/>
      <c r="AG866" s="441"/>
      <c r="AH866" s="441"/>
      <c r="AI866" s="441"/>
      <c r="AJ866" s="441"/>
      <c r="AK866" s="441"/>
      <c r="AL866" s="441"/>
      <c r="AM866" s="441"/>
      <c r="AN866" s="441"/>
      <c r="AO866" s="441"/>
    </row>
    <row r="867" spans="1:41" ht="12.75" hidden="1" thickBot="1">
      <c r="A867" s="1" t="s">
        <v>1278</v>
      </c>
      <c r="B867" s="2" t="s">
        <v>1231</v>
      </c>
      <c r="C867" s="2" t="s">
        <v>1232</v>
      </c>
      <c r="D867" s="8" t="s">
        <v>459</v>
      </c>
      <c r="E867" s="460"/>
      <c r="F867" s="4"/>
      <c r="G867" s="4"/>
      <c r="H867" s="4"/>
      <c r="I867" s="4"/>
      <c r="J867" s="4"/>
      <c r="K867" s="4"/>
      <c r="L867" s="4"/>
      <c r="M867" s="4"/>
      <c r="N867" s="4"/>
      <c r="O867" s="4"/>
      <c r="P867" s="4"/>
      <c r="Q867" s="4"/>
      <c r="R867" s="4"/>
      <c r="S867" s="445">
        <f t="shared" si="83"/>
        <v>0</v>
      </c>
      <c r="T867" s="445">
        <f t="shared" si="84"/>
        <v>0</v>
      </c>
      <c r="U867" s="445">
        <f t="shared" si="85"/>
        <v>0</v>
      </c>
      <c r="W867" s="450"/>
      <c r="X867" s="450"/>
      <c r="Y867" s="441"/>
      <c r="Z867" s="441"/>
      <c r="AA867" s="441"/>
      <c r="AB867" s="441"/>
      <c r="AC867" s="441"/>
      <c r="AD867" s="441"/>
      <c r="AE867" s="441"/>
      <c r="AF867" s="441"/>
      <c r="AG867" s="441"/>
      <c r="AH867" s="441"/>
      <c r="AI867" s="441"/>
      <c r="AJ867" s="441"/>
      <c r="AK867" s="441"/>
      <c r="AL867" s="441"/>
      <c r="AM867" s="441"/>
      <c r="AN867" s="441"/>
      <c r="AO867" s="441"/>
    </row>
    <row r="868" spans="1:41" ht="12.75" hidden="1" thickBot="1">
      <c r="A868" s="1" t="s">
        <v>1278</v>
      </c>
      <c r="B868" s="2" t="s">
        <v>215</v>
      </c>
      <c r="C868" s="2" t="s">
        <v>1038</v>
      </c>
      <c r="D868" s="8" t="s">
        <v>459</v>
      </c>
      <c r="E868" s="459"/>
      <c r="F868" s="6"/>
      <c r="G868" s="451"/>
      <c r="H868" s="6"/>
      <c r="I868" s="6"/>
      <c r="J868" s="6"/>
      <c r="K868" s="6"/>
      <c r="L868" s="6"/>
      <c r="M868" s="451"/>
      <c r="N868" s="451"/>
      <c r="O868" s="6"/>
      <c r="P868" s="6"/>
      <c r="Q868" s="451"/>
      <c r="R868" s="451"/>
      <c r="S868" s="445">
        <f t="shared" si="83"/>
        <v>0</v>
      </c>
      <c r="T868" s="445">
        <f t="shared" si="84"/>
        <v>0</v>
      </c>
      <c r="U868" s="445">
        <f t="shared" si="85"/>
        <v>0</v>
      </c>
      <c r="W868" s="450"/>
      <c r="X868" s="450"/>
      <c r="Y868" s="441"/>
      <c r="Z868" s="441"/>
      <c r="AA868" s="441"/>
      <c r="AB868" s="441"/>
      <c r="AC868" s="441"/>
      <c r="AD868" s="441"/>
      <c r="AE868" s="441"/>
      <c r="AF868" s="441"/>
      <c r="AG868" s="441"/>
      <c r="AH868" s="441"/>
      <c r="AI868" s="441"/>
      <c r="AJ868" s="441"/>
      <c r="AK868" s="441"/>
      <c r="AL868" s="441"/>
      <c r="AM868" s="441"/>
      <c r="AN868" s="441"/>
      <c r="AO868" s="441"/>
    </row>
    <row r="869" spans="1:41" ht="12.75" hidden="1" thickBot="1">
      <c r="A869" s="1" t="s">
        <v>1278</v>
      </c>
      <c r="B869" s="2" t="s">
        <v>216</v>
      </c>
      <c r="C869" s="2" t="s">
        <v>1039</v>
      </c>
      <c r="D869" s="8" t="s">
        <v>459</v>
      </c>
      <c r="E869" s="460"/>
      <c r="F869" s="4"/>
      <c r="G869" s="449"/>
      <c r="H869" s="4"/>
      <c r="I869" s="4"/>
      <c r="J869" s="4"/>
      <c r="K869" s="4"/>
      <c r="L869" s="4"/>
      <c r="M869" s="449"/>
      <c r="N869" s="449"/>
      <c r="O869" s="4"/>
      <c r="P869" s="4"/>
      <c r="Q869" s="449"/>
      <c r="R869" s="449"/>
      <c r="S869" s="445">
        <f t="shared" si="83"/>
        <v>0</v>
      </c>
      <c r="T869" s="445">
        <f t="shared" si="84"/>
        <v>0</v>
      </c>
      <c r="U869" s="445">
        <f t="shared" si="85"/>
        <v>0</v>
      </c>
      <c r="W869" s="450"/>
      <c r="X869" s="450"/>
      <c r="Y869" s="441"/>
      <c r="Z869" s="441"/>
      <c r="AA869" s="441"/>
      <c r="AB869" s="441"/>
      <c r="AC869" s="441"/>
      <c r="AD869" s="441"/>
      <c r="AE869" s="441"/>
      <c r="AF869" s="441"/>
      <c r="AG869" s="441"/>
      <c r="AH869" s="441"/>
      <c r="AI869" s="441"/>
      <c r="AJ869" s="441"/>
      <c r="AK869" s="441"/>
      <c r="AL869" s="441"/>
      <c r="AM869" s="441"/>
      <c r="AN869" s="441"/>
      <c r="AO869" s="441"/>
    </row>
    <row r="870" spans="1:41" ht="12.75" hidden="1" thickBot="1">
      <c r="A870" s="1" t="s">
        <v>1278</v>
      </c>
      <c r="B870" s="2" t="s">
        <v>217</v>
      </c>
      <c r="C870" s="2" t="s">
        <v>1040</v>
      </c>
      <c r="D870" s="8" t="s">
        <v>459</v>
      </c>
      <c r="E870" s="459"/>
      <c r="F870" s="6"/>
      <c r="G870" s="451"/>
      <c r="H870" s="6"/>
      <c r="I870" s="6"/>
      <c r="J870" s="6"/>
      <c r="K870" s="6"/>
      <c r="L870" s="6"/>
      <c r="M870" s="451"/>
      <c r="N870" s="451"/>
      <c r="O870" s="6"/>
      <c r="P870" s="6"/>
      <c r="Q870" s="451"/>
      <c r="R870" s="451"/>
      <c r="S870" s="445">
        <f t="shared" si="83"/>
        <v>0</v>
      </c>
      <c r="T870" s="445">
        <f t="shared" si="84"/>
        <v>0</v>
      </c>
      <c r="U870" s="445">
        <f t="shared" si="85"/>
        <v>0</v>
      </c>
      <c r="W870" s="450"/>
      <c r="X870" s="450"/>
      <c r="Y870" s="441"/>
      <c r="Z870" s="441"/>
      <c r="AA870" s="441"/>
      <c r="AB870" s="441"/>
      <c r="AC870" s="441"/>
      <c r="AD870" s="441"/>
      <c r="AE870" s="441"/>
      <c r="AF870" s="441"/>
      <c r="AG870" s="441"/>
      <c r="AH870" s="441"/>
      <c r="AI870" s="441"/>
      <c r="AJ870" s="441"/>
      <c r="AK870" s="441"/>
      <c r="AL870" s="441"/>
      <c r="AM870" s="441"/>
      <c r="AN870" s="441"/>
      <c r="AO870" s="441"/>
    </row>
    <row r="871" spans="1:41" ht="12.75" hidden="1" thickBot="1">
      <c r="A871" s="1" t="s">
        <v>1278</v>
      </c>
      <c r="B871" s="2" t="s">
        <v>344</v>
      </c>
      <c r="C871" s="2" t="s">
        <v>1041</v>
      </c>
      <c r="D871" s="8" t="s">
        <v>459</v>
      </c>
      <c r="E871" s="460"/>
      <c r="F871" s="4"/>
      <c r="G871" s="449"/>
      <c r="H871" s="4"/>
      <c r="I871" s="4"/>
      <c r="J871" s="4"/>
      <c r="K871" s="4"/>
      <c r="L871" s="4"/>
      <c r="M871" s="449"/>
      <c r="N871" s="449"/>
      <c r="O871" s="4"/>
      <c r="P871" s="4"/>
      <c r="Q871" s="449"/>
      <c r="R871" s="449"/>
      <c r="S871" s="445">
        <f t="shared" si="83"/>
        <v>0</v>
      </c>
      <c r="T871" s="445">
        <f t="shared" si="84"/>
        <v>0</v>
      </c>
      <c r="U871" s="445">
        <f t="shared" si="85"/>
        <v>0</v>
      </c>
      <c r="W871" s="450"/>
      <c r="X871" s="450"/>
      <c r="Y871" s="441"/>
      <c r="Z871" s="441"/>
      <c r="AA871" s="441"/>
      <c r="AB871" s="441"/>
      <c r="AC871" s="441"/>
      <c r="AD871" s="441"/>
      <c r="AE871" s="441"/>
      <c r="AF871" s="441"/>
      <c r="AG871" s="441"/>
      <c r="AH871" s="441"/>
      <c r="AI871" s="441"/>
      <c r="AJ871" s="441"/>
      <c r="AK871" s="441"/>
      <c r="AL871" s="441"/>
      <c r="AM871" s="441"/>
      <c r="AN871" s="441"/>
      <c r="AO871" s="441"/>
    </row>
    <row r="872" spans="1:41" ht="12.75" hidden="1" thickBot="1">
      <c r="A872" s="1" t="s">
        <v>1278</v>
      </c>
      <c r="B872" s="2" t="s">
        <v>1233</v>
      </c>
      <c r="C872" s="2" t="s">
        <v>1234</v>
      </c>
      <c r="D872" s="8" t="s">
        <v>459</v>
      </c>
      <c r="E872" s="459"/>
      <c r="F872" s="6"/>
      <c r="G872" s="6"/>
      <c r="H872" s="6"/>
      <c r="I872" s="6"/>
      <c r="J872" s="6"/>
      <c r="K872" s="6"/>
      <c r="L872" s="6"/>
      <c r="M872" s="6"/>
      <c r="N872" s="6"/>
      <c r="O872" s="6"/>
      <c r="P872" s="6"/>
      <c r="Q872" s="6"/>
      <c r="R872" s="6"/>
      <c r="S872" s="445">
        <f t="shared" si="83"/>
        <v>0</v>
      </c>
      <c r="T872" s="445">
        <f t="shared" si="84"/>
        <v>0</v>
      </c>
      <c r="U872" s="445">
        <f t="shared" si="85"/>
        <v>0</v>
      </c>
      <c r="W872" s="450"/>
      <c r="X872" s="450"/>
      <c r="Y872" s="441"/>
      <c r="Z872" s="441"/>
      <c r="AA872" s="441"/>
      <c r="AB872" s="441"/>
      <c r="AC872" s="441"/>
      <c r="AD872" s="441"/>
      <c r="AE872" s="441"/>
      <c r="AF872" s="441"/>
      <c r="AG872" s="441"/>
      <c r="AH872" s="441"/>
      <c r="AI872" s="441"/>
      <c r="AJ872" s="441"/>
      <c r="AK872" s="441"/>
      <c r="AL872" s="441"/>
      <c r="AM872" s="441"/>
      <c r="AN872" s="441"/>
      <c r="AO872" s="441"/>
    </row>
    <row r="873" spans="1:41" ht="12.75" hidden="1" thickBot="1">
      <c r="A873" s="1" t="s">
        <v>1278</v>
      </c>
      <c r="B873" s="2" t="s">
        <v>218</v>
      </c>
      <c r="C873" s="2" t="s">
        <v>1042</v>
      </c>
      <c r="D873" s="8" t="s">
        <v>459</v>
      </c>
      <c r="E873" s="460"/>
      <c r="F873" s="4"/>
      <c r="G873" s="449"/>
      <c r="H873" s="4"/>
      <c r="I873" s="4"/>
      <c r="J873" s="4"/>
      <c r="K873" s="4"/>
      <c r="L873" s="4"/>
      <c r="M873" s="449"/>
      <c r="N873" s="449"/>
      <c r="O873" s="4"/>
      <c r="P873" s="4"/>
      <c r="Q873" s="449"/>
      <c r="R873" s="449"/>
      <c r="S873" s="445">
        <f t="shared" si="83"/>
        <v>0</v>
      </c>
      <c r="T873" s="445">
        <f t="shared" si="84"/>
        <v>0</v>
      </c>
      <c r="U873" s="445">
        <f t="shared" si="85"/>
        <v>0</v>
      </c>
      <c r="W873" s="450"/>
      <c r="X873" s="450"/>
      <c r="Y873" s="441"/>
      <c r="Z873" s="441"/>
      <c r="AA873" s="441"/>
      <c r="AB873" s="441"/>
      <c r="AC873" s="441"/>
      <c r="AD873" s="441"/>
      <c r="AE873" s="441"/>
      <c r="AF873" s="441"/>
      <c r="AG873" s="441"/>
      <c r="AH873" s="441"/>
      <c r="AI873" s="441"/>
      <c r="AJ873" s="441"/>
      <c r="AK873" s="441"/>
      <c r="AL873" s="441"/>
      <c r="AM873" s="441"/>
      <c r="AN873" s="441"/>
      <c r="AO873" s="441"/>
    </row>
    <row r="874" spans="1:41" ht="12.75" hidden="1" thickBot="1">
      <c r="A874" s="1" t="s">
        <v>1278</v>
      </c>
      <c r="B874" s="2" t="s">
        <v>223</v>
      </c>
      <c r="C874" s="2" t="s">
        <v>1043</v>
      </c>
      <c r="D874" s="8" t="s">
        <v>459</v>
      </c>
      <c r="E874" s="459"/>
      <c r="F874" s="6"/>
      <c r="G874" s="451"/>
      <c r="H874" s="6"/>
      <c r="I874" s="6"/>
      <c r="J874" s="6"/>
      <c r="K874" s="6"/>
      <c r="L874" s="6"/>
      <c r="M874" s="451"/>
      <c r="N874" s="451"/>
      <c r="O874" s="6"/>
      <c r="P874" s="6"/>
      <c r="Q874" s="451"/>
      <c r="R874" s="451"/>
      <c r="S874" s="445">
        <f t="shared" si="83"/>
        <v>0</v>
      </c>
      <c r="T874" s="445">
        <f t="shared" si="84"/>
        <v>0</v>
      </c>
      <c r="U874" s="445">
        <f t="shared" si="85"/>
        <v>0</v>
      </c>
      <c r="W874" s="450"/>
      <c r="X874" s="450"/>
      <c r="Y874" s="441"/>
      <c r="Z874" s="441"/>
      <c r="AA874" s="441"/>
      <c r="AB874" s="441"/>
      <c r="AC874" s="441"/>
      <c r="AD874" s="441"/>
      <c r="AE874" s="441"/>
      <c r="AF874" s="441"/>
      <c r="AG874" s="441"/>
      <c r="AH874" s="441"/>
      <c r="AI874" s="441"/>
      <c r="AJ874" s="441"/>
      <c r="AK874" s="441"/>
      <c r="AL874" s="441"/>
      <c r="AM874" s="441"/>
      <c r="AN874" s="441"/>
      <c r="AO874" s="441"/>
    </row>
    <row r="875" spans="1:41" ht="12.75" hidden="1" thickBot="1">
      <c r="A875" s="1" t="s">
        <v>1278</v>
      </c>
      <c r="B875" s="2" t="s">
        <v>231</v>
      </c>
      <c r="C875" s="2" t="s">
        <v>1044</v>
      </c>
      <c r="D875" s="8" t="s">
        <v>459</v>
      </c>
      <c r="E875" s="460"/>
      <c r="F875" s="4"/>
      <c r="G875" s="449"/>
      <c r="H875" s="4"/>
      <c r="I875" s="4"/>
      <c r="J875" s="4"/>
      <c r="K875" s="4"/>
      <c r="L875" s="4"/>
      <c r="M875" s="449"/>
      <c r="N875" s="449"/>
      <c r="O875" s="4"/>
      <c r="P875" s="4"/>
      <c r="Q875" s="449"/>
      <c r="R875" s="449"/>
      <c r="S875" s="445">
        <f t="shared" si="83"/>
        <v>0</v>
      </c>
      <c r="T875" s="445">
        <f t="shared" si="84"/>
        <v>0</v>
      </c>
      <c r="U875" s="445">
        <f t="shared" si="85"/>
        <v>0</v>
      </c>
      <c r="W875" s="450"/>
      <c r="X875" s="450"/>
      <c r="Y875" s="441"/>
      <c r="Z875" s="441"/>
      <c r="AA875" s="441"/>
      <c r="AB875" s="441"/>
      <c r="AC875" s="441"/>
      <c r="AD875" s="441"/>
      <c r="AE875" s="441"/>
      <c r="AF875" s="441"/>
      <c r="AG875" s="441"/>
      <c r="AH875" s="441"/>
      <c r="AI875" s="441"/>
      <c r="AJ875" s="441"/>
      <c r="AK875" s="441"/>
      <c r="AL875" s="441"/>
      <c r="AM875" s="441"/>
      <c r="AN875" s="441"/>
      <c r="AO875" s="441"/>
    </row>
    <row r="876" spans="1:41" ht="12.75" hidden="1" thickBot="1">
      <c r="A876" s="1" t="s">
        <v>1278</v>
      </c>
      <c r="B876" s="2" t="s">
        <v>232</v>
      </c>
      <c r="C876" s="2" t="s">
        <v>1045</v>
      </c>
      <c r="D876" s="8" t="s">
        <v>459</v>
      </c>
      <c r="E876" s="459"/>
      <c r="F876" s="6"/>
      <c r="G876" s="451"/>
      <c r="H876" s="6"/>
      <c r="I876" s="6"/>
      <c r="J876" s="6"/>
      <c r="K876" s="6"/>
      <c r="L876" s="6"/>
      <c r="M876" s="451"/>
      <c r="N876" s="451"/>
      <c r="O876" s="6"/>
      <c r="P876" s="6"/>
      <c r="Q876" s="451"/>
      <c r="R876" s="451"/>
      <c r="S876" s="445">
        <f t="shared" si="83"/>
        <v>0</v>
      </c>
      <c r="T876" s="445">
        <f t="shared" si="84"/>
        <v>0</v>
      </c>
      <c r="U876" s="445">
        <f t="shared" si="85"/>
        <v>0</v>
      </c>
      <c r="W876" s="450"/>
      <c r="X876" s="450"/>
      <c r="Y876" s="441"/>
      <c r="Z876" s="441"/>
      <c r="AA876" s="441"/>
      <c r="AB876" s="441"/>
      <c r="AC876" s="441"/>
      <c r="AD876" s="441"/>
      <c r="AE876" s="441"/>
      <c r="AF876" s="441"/>
      <c r="AG876" s="441"/>
      <c r="AH876" s="441"/>
      <c r="AI876" s="441"/>
      <c r="AJ876" s="441"/>
      <c r="AK876" s="441"/>
      <c r="AL876" s="441"/>
      <c r="AM876" s="441"/>
      <c r="AN876" s="441"/>
      <c r="AO876" s="441"/>
    </row>
    <row r="877" spans="1:41" ht="12.75" hidden="1" thickBot="1">
      <c r="A877" s="1" t="s">
        <v>1278</v>
      </c>
      <c r="B877" s="2" t="s">
        <v>234</v>
      </c>
      <c r="C877" s="2" t="s">
        <v>1046</v>
      </c>
      <c r="D877" s="8" t="s">
        <v>459</v>
      </c>
      <c r="E877" s="460"/>
      <c r="F877" s="4"/>
      <c r="G877" s="449"/>
      <c r="H877" s="4"/>
      <c r="I877" s="4"/>
      <c r="J877" s="4"/>
      <c r="K877" s="4"/>
      <c r="L877" s="4"/>
      <c r="M877" s="449"/>
      <c r="N877" s="449"/>
      <c r="O877" s="4"/>
      <c r="P877" s="4"/>
      <c r="Q877" s="449"/>
      <c r="R877" s="449"/>
      <c r="S877" s="445">
        <f t="shared" si="83"/>
        <v>0</v>
      </c>
      <c r="T877" s="445">
        <f t="shared" si="84"/>
        <v>0</v>
      </c>
      <c r="U877" s="445">
        <f t="shared" si="85"/>
        <v>0</v>
      </c>
      <c r="W877" s="450"/>
      <c r="X877" s="450"/>
      <c r="Y877" s="441"/>
      <c r="Z877" s="441"/>
      <c r="AA877" s="441"/>
      <c r="AB877" s="441"/>
      <c r="AC877" s="441"/>
      <c r="AD877" s="441"/>
      <c r="AE877" s="441"/>
      <c r="AF877" s="441"/>
      <c r="AG877" s="441"/>
      <c r="AH877" s="441"/>
      <c r="AI877" s="441"/>
      <c r="AJ877" s="441"/>
      <c r="AK877" s="441"/>
      <c r="AL877" s="441"/>
      <c r="AM877" s="441"/>
      <c r="AN877" s="441"/>
      <c r="AO877" s="441"/>
    </row>
    <row r="878" spans="1:41" ht="12.75" hidden="1" thickBot="1">
      <c r="A878" s="1" t="s">
        <v>1278</v>
      </c>
      <c r="B878" s="2" t="s">
        <v>353</v>
      </c>
      <c r="C878" s="2" t="s">
        <v>1047</v>
      </c>
      <c r="D878" s="8" t="s">
        <v>459</v>
      </c>
      <c r="E878" s="459"/>
      <c r="F878" s="6"/>
      <c r="G878" s="451"/>
      <c r="H878" s="6"/>
      <c r="I878" s="6"/>
      <c r="J878" s="6"/>
      <c r="K878" s="6"/>
      <c r="L878" s="6"/>
      <c r="M878" s="451"/>
      <c r="N878" s="451"/>
      <c r="O878" s="6"/>
      <c r="P878" s="6"/>
      <c r="Q878" s="451"/>
      <c r="R878" s="451"/>
      <c r="S878" s="445">
        <f t="shared" si="83"/>
        <v>0</v>
      </c>
      <c r="T878" s="445">
        <f t="shared" si="84"/>
        <v>0</v>
      </c>
      <c r="U878" s="445">
        <f t="shared" si="85"/>
        <v>0</v>
      </c>
      <c r="W878" s="450"/>
      <c r="X878" s="450"/>
      <c r="Y878" s="441"/>
      <c r="Z878" s="441"/>
      <c r="AA878" s="441"/>
      <c r="AB878" s="441"/>
      <c r="AC878" s="441"/>
      <c r="AD878" s="441"/>
      <c r="AE878" s="441"/>
      <c r="AF878" s="441"/>
      <c r="AG878" s="441"/>
      <c r="AH878" s="441"/>
      <c r="AI878" s="441"/>
      <c r="AJ878" s="441"/>
      <c r="AK878" s="441"/>
      <c r="AL878" s="441"/>
      <c r="AM878" s="441"/>
      <c r="AN878" s="441"/>
      <c r="AO878" s="441"/>
    </row>
    <row r="879" spans="1:41" ht="12.75" hidden="1" thickBot="1">
      <c r="A879" s="1" t="s">
        <v>1278</v>
      </c>
      <c r="B879" s="2" t="s">
        <v>235</v>
      </c>
      <c r="C879" s="2" t="s">
        <v>1048</v>
      </c>
      <c r="D879" s="8" t="s">
        <v>459</v>
      </c>
      <c r="E879" s="460"/>
      <c r="F879" s="4"/>
      <c r="G879" s="449"/>
      <c r="H879" s="4"/>
      <c r="I879" s="4"/>
      <c r="J879" s="4"/>
      <c r="K879" s="4"/>
      <c r="L879" s="4"/>
      <c r="M879" s="449"/>
      <c r="N879" s="449"/>
      <c r="O879" s="4"/>
      <c r="P879" s="4"/>
      <c r="Q879" s="449"/>
      <c r="R879" s="449"/>
      <c r="S879" s="445">
        <f t="shared" si="83"/>
        <v>0</v>
      </c>
      <c r="T879" s="445">
        <f t="shared" si="84"/>
        <v>0</v>
      </c>
      <c r="U879" s="445">
        <f t="shared" si="85"/>
        <v>0</v>
      </c>
      <c r="W879" s="450"/>
      <c r="X879" s="450"/>
      <c r="Y879" s="441"/>
      <c r="Z879" s="441"/>
      <c r="AA879" s="441"/>
      <c r="AB879" s="441"/>
      <c r="AC879" s="441"/>
      <c r="AD879" s="441"/>
      <c r="AE879" s="441"/>
      <c r="AF879" s="441"/>
      <c r="AG879" s="441"/>
      <c r="AH879" s="441"/>
      <c r="AI879" s="441"/>
      <c r="AJ879" s="441"/>
      <c r="AK879" s="441"/>
      <c r="AL879" s="441"/>
      <c r="AM879" s="441"/>
      <c r="AN879" s="441"/>
      <c r="AO879" s="441"/>
    </row>
    <row r="880" spans="1:41" ht="12.75" hidden="1" thickBot="1">
      <c r="A880" s="1" t="s">
        <v>1278</v>
      </c>
      <c r="B880" s="2" t="s">
        <v>236</v>
      </c>
      <c r="C880" s="2" t="s">
        <v>1049</v>
      </c>
      <c r="D880" s="8" t="s">
        <v>459</v>
      </c>
      <c r="E880" s="459"/>
      <c r="F880" s="6"/>
      <c r="G880" s="451"/>
      <c r="H880" s="6"/>
      <c r="I880" s="6"/>
      <c r="J880" s="6"/>
      <c r="K880" s="6"/>
      <c r="L880" s="6"/>
      <c r="M880" s="451"/>
      <c r="N880" s="451"/>
      <c r="O880" s="6"/>
      <c r="P880" s="6"/>
      <c r="Q880" s="451"/>
      <c r="R880" s="451"/>
      <c r="S880" s="445">
        <f t="shared" si="83"/>
        <v>0</v>
      </c>
      <c r="T880" s="445">
        <f t="shared" si="84"/>
        <v>0</v>
      </c>
      <c r="U880" s="445">
        <f t="shared" si="85"/>
        <v>0</v>
      </c>
      <c r="W880" s="450"/>
      <c r="X880" s="450"/>
      <c r="Y880" s="441"/>
      <c r="Z880" s="441"/>
      <c r="AA880" s="441"/>
      <c r="AB880" s="441"/>
      <c r="AC880" s="441"/>
      <c r="AD880" s="441"/>
      <c r="AE880" s="441"/>
      <c r="AF880" s="441"/>
      <c r="AG880" s="441"/>
      <c r="AH880" s="441"/>
      <c r="AI880" s="441"/>
      <c r="AJ880" s="441"/>
      <c r="AK880" s="441"/>
      <c r="AL880" s="441"/>
      <c r="AM880" s="441"/>
      <c r="AN880" s="441"/>
      <c r="AO880" s="441"/>
    </row>
    <row r="881" spans="1:41" ht="12.75" hidden="1" thickBot="1">
      <c r="A881" s="1" t="s">
        <v>1278</v>
      </c>
      <c r="B881" s="2" t="s">
        <v>354</v>
      </c>
      <c r="C881" s="2" t="s">
        <v>1050</v>
      </c>
      <c r="D881" s="8" t="s">
        <v>459</v>
      </c>
      <c r="E881" s="460"/>
      <c r="F881" s="4"/>
      <c r="G881" s="449"/>
      <c r="H881" s="4"/>
      <c r="I881" s="4"/>
      <c r="J881" s="4"/>
      <c r="K881" s="4"/>
      <c r="L881" s="4"/>
      <c r="M881" s="449"/>
      <c r="N881" s="449"/>
      <c r="O881" s="4"/>
      <c r="P881" s="4"/>
      <c r="Q881" s="449"/>
      <c r="R881" s="449"/>
      <c r="S881" s="445">
        <f t="shared" si="83"/>
        <v>0</v>
      </c>
      <c r="T881" s="445">
        <f t="shared" si="84"/>
        <v>0</v>
      </c>
      <c r="U881" s="445">
        <f t="shared" si="85"/>
        <v>0</v>
      </c>
      <c r="W881" s="450"/>
      <c r="X881" s="450"/>
      <c r="Y881" s="441"/>
      <c r="Z881" s="441"/>
      <c r="AA881" s="441"/>
      <c r="AB881" s="441"/>
      <c r="AC881" s="441"/>
      <c r="AD881" s="441"/>
      <c r="AE881" s="441"/>
      <c r="AF881" s="441"/>
      <c r="AG881" s="441"/>
      <c r="AH881" s="441"/>
      <c r="AI881" s="441"/>
      <c r="AJ881" s="441"/>
      <c r="AK881" s="441"/>
      <c r="AL881" s="441"/>
      <c r="AM881" s="441"/>
      <c r="AN881" s="441"/>
      <c r="AO881" s="441"/>
    </row>
    <row r="882" spans="1:41" ht="12.75" hidden="1" thickBot="1">
      <c r="A882" s="1" t="s">
        <v>1278</v>
      </c>
      <c r="B882" s="2" t="s">
        <v>355</v>
      </c>
      <c r="C882" s="2" t="s">
        <v>1051</v>
      </c>
      <c r="D882" s="8" t="s">
        <v>459</v>
      </c>
      <c r="E882" s="459"/>
      <c r="F882" s="6"/>
      <c r="G882" s="451"/>
      <c r="H882" s="6"/>
      <c r="I882" s="6"/>
      <c r="J882" s="6"/>
      <c r="K882" s="6"/>
      <c r="L882" s="6"/>
      <c r="M882" s="451"/>
      <c r="N882" s="451"/>
      <c r="O882" s="6"/>
      <c r="P882" s="6"/>
      <c r="Q882" s="451"/>
      <c r="R882" s="451"/>
      <c r="S882" s="445">
        <f t="shared" si="83"/>
        <v>0</v>
      </c>
      <c r="T882" s="445">
        <f t="shared" si="84"/>
        <v>0</v>
      </c>
      <c r="U882" s="445">
        <f t="shared" si="85"/>
        <v>0</v>
      </c>
      <c r="W882" s="450"/>
      <c r="X882" s="450"/>
      <c r="Y882" s="441"/>
      <c r="Z882" s="441"/>
      <c r="AA882" s="441"/>
      <c r="AB882" s="441"/>
      <c r="AC882" s="441"/>
      <c r="AD882" s="441"/>
      <c r="AE882" s="441"/>
      <c r="AF882" s="441"/>
      <c r="AG882" s="441"/>
      <c r="AH882" s="441"/>
      <c r="AI882" s="441"/>
      <c r="AJ882" s="441"/>
      <c r="AK882" s="441"/>
      <c r="AL882" s="441"/>
      <c r="AM882" s="441"/>
      <c r="AN882" s="441"/>
      <c r="AO882" s="441"/>
    </row>
    <row r="883" spans="1:41" ht="12.75" hidden="1" thickBot="1">
      <c r="A883" s="1" t="s">
        <v>1278</v>
      </c>
      <c r="B883" s="2" t="s">
        <v>359</v>
      </c>
      <c r="C883" s="2" t="s">
        <v>1052</v>
      </c>
      <c r="D883" s="8" t="s">
        <v>459</v>
      </c>
      <c r="E883" s="460"/>
      <c r="F883" s="4"/>
      <c r="G883" s="449"/>
      <c r="H883" s="4"/>
      <c r="I883" s="4"/>
      <c r="J883" s="4"/>
      <c r="K883" s="4"/>
      <c r="L883" s="4"/>
      <c r="M883" s="449"/>
      <c r="N883" s="449"/>
      <c r="O883" s="4"/>
      <c r="P883" s="4"/>
      <c r="Q883" s="449"/>
      <c r="R883" s="449"/>
      <c r="S883" s="445">
        <f t="shared" si="83"/>
        <v>0</v>
      </c>
      <c r="T883" s="445">
        <f t="shared" si="84"/>
        <v>0</v>
      </c>
      <c r="U883" s="445">
        <f t="shared" si="85"/>
        <v>0</v>
      </c>
      <c r="W883" s="450"/>
      <c r="X883" s="450"/>
      <c r="Y883" s="441"/>
      <c r="Z883" s="441"/>
      <c r="AA883" s="441"/>
      <c r="AB883" s="441"/>
      <c r="AC883" s="441"/>
      <c r="AD883" s="441"/>
      <c r="AE883" s="441"/>
      <c r="AF883" s="441"/>
      <c r="AG883" s="441"/>
      <c r="AH883" s="441"/>
      <c r="AI883" s="441"/>
      <c r="AJ883" s="441"/>
      <c r="AK883" s="441"/>
      <c r="AL883" s="441"/>
      <c r="AM883" s="441"/>
      <c r="AN883" s="441"/>
      <c r="AO883" s="441"/>
    </row>
    <row r="884" spans="1:41" ht="12.75" hidden="1" thickBot="1">
      <c r="A884" s="1" t="s">
        <v>1278</v>
      </c>
      <c r="B884" s="2" t="s">
        <v>356</v>
      </c>
      <c r="C884" s="2" t="s">
        <v>1053</v>
      </c>
      <c r="D884" s="8" t="s">
        <v>459</v>
      </c>
      <c r="E884" s="459"/>
      <c r="F884" s="6"/>
      <c r="G884" s="451"/>
      <c r="H884" s="6"/>
      <c r="I884" s="6"/>
      <c r="J884" s="6"/>
      <c r="K884" s="6"/>
      <c r="L884" s="6"/>
      <c r="M884" s="451"/>
      <c r="N884" s="451"/>
      <c r="O884" s="6"/>
      <c r="P884" s="6"/>
      <c r="Q884" s="451"/>
      <c r="R884" s="451"/>
      <c r="S884" s="445">
        <f t="shared" si="83"/>
        <v>0</v>
      </c>
      <c r="T884" s="445">
        <f t="shared" si="84"/>
        <v>0</v>
      </c>
      <c r="U884" s="445">
        <f t="shared" si="85"/>
        <v>0</v>
      </c>
      <c r="W884" s="450"/>
      <c r="X884" s="450"/>
      <c r="Y884" s="441"/>
      <c r="Z884" s="441"/>
      <c r="AA884" s="441"/>
      <c r="AB884" s="441"/>
      <c r="AC884" s="441"/>
      <c r="AD884" s="441"/>
      <c r="AE884" s="441"/>
      <c r="AF884" s="441"/>
      <c r="AG884" s="441"/>
      <c r="AH884" s="441"/>
      <c r="AI884" s="441"/>
      <c r="AJ884" s="441"/>
      <c r="AK884" s="441"/>
      <c r="AL884" s="441"/>
      <c r="AM884" s="441"/>
      <c r="AN884" s="441"/>
      <c r="AO884" s="441"/>
    </row>
    <row r="885" spans="1:41" ht="12.75" hidden="1" thickBot="1">
      <c r="A885" s="1" t="s">
        <v>1278</v>
      </c>
      <c r="B885" s="2" t="s">
        <v>357</v>
      </c>
      <c r="C885" s="2" t="s">
        <v>1054</v>
      </c>
      <c r="D885" s="8" t="s">
        <v>459</v>
      </c>
      <c r="E885" s="460"/>
      <c r="F885" s="4"/>
      <c r="G885" s="449"/>
      <c r="H885" s="4"/>
      <c r="I885" s="4"/>
      <c r="J885" s="4"/>
      <c r="K885" s="4"/>
      <c r="L885" s="4"/>
      <c r="M885" s="449"/>
      <c r="N885" s="449"/>
      <c r="O885" s="4"/>
      <c r="P885" s="4"/>
      <c r="Q885" s="449"/>
      <c r="R885" s="449"/>
      <c r="S885" s="445">
        <f t="shared" si="83"/>
        <v>0</v>
      </c>
      <c r="T885" s="445">
        <f t="shared" si="84"/>
        <v>0</v>
      </c>
      <c r="U885" s="445">
        <f t="shared" si="85"/>
        <v>0</v>
      </c>
      <c r="W885" s="450"/>
      <c r="X885" s="450"/>
      <c r="Y885" s="441"/>
      <c r="Z885" s="441"/>
      <c r="AA885" s="441"/>
      <c r="AB885" s="441"/>
      <c r="AC885" s="441"/>
      <c r="AD885" s="441"/>
      <c r="AE885" s="441"/>
      <c r="AF885" s="441"/>
      <c r="AG885" s="441"/>
      <c r="AH885" s="441"/>
      <c r="AI885" s="441"/>
      <c r="AJ885" s="441"/>
      <c r="AK885" s="441"/>
      <c r="AL885" s="441"/>
      <c r="AM885" s="441"/>
      <c r="AN885" s="441"/>
      <c r="AO885" s="441"/>
    </row>
    <row r="886" spans="1:41" ht="12.75" hidden="1" thickBot="1">
      <c r="A886" s="1" t="s">
        <v>1278</v>
      </c>
      <c r="B886" s="2" t="s">
        <v>358</v>
      </c>
      <c r="C886" s="2" t="s">
        <v>1055</v>
      </c>
      <c r="D886" s="8" t="s">
        <v>459</v>
      </c>
      <c r="E886" s="459"/>
      <c r="F886" s="6"/>
      <c r="G886" s="451"/>
      <c r="H886" s="6"/>
      <c r="I886" s="6"/>
      <c r="J886" s="6"/>
      <c r="K886" s="6"/>
      <c r="L886" s="6"/>
      <c r="M886" s="451"/>
      <c r="N886" s="451"/>
      <c r="O886" s="6"/>
      <c r="P886" s="6"/>
      <c r="Q886" s="451"/>
      <c r="R886" s="451"/>
      <c r="S886" s="445">
        <f t="shared" si="83"/>
        <v>0</v>
      </c>
      <c r="T886" s="445">
        <f t="shared" si="84"/>
        <v>0</v>
      </c>
      <c r="U886" s="445">
        <f t="shared" si="85"/>
        <v>0</v>
      </c>
      <c r="W886" s="450"/>
      <c r="X886" s="450"/>
      <c r="Y886" s="441"/>
      <c r="Z886" s="441"/>
      <c r="AA886" s="441"/>
      <c r="AB886" s="441"/>
      <c r="AC886" s="441"/>
      <c r="AD886" s="441"/>
      <c r="AE886" s="441"/>
      <c r="AF886" s="441"/>
      <c r="AG886" s="441"/>
      <c r="AH886" s="441"/>
      <c r="AI886" s="441"/>
      <c r="AJ886" s="441"/>
      <c r="AK886" s="441"/>
      <c r="AL886" s="441"/>
      <c r="AM886" s="441"/>
      <c r="AN886" s="441"/>
      <c r="AO886" s="441"/>
    </row>
    <row r="887" spans="1:41" ht="12.75" hidden="1" thickBot="1">
      <c r="A887" s="1" t="s">
        <v>1278</v>
      </c>
      <c r="B887" s="2" t="s">
        <v>250</v>
      </c>
      <c r="C887" s="2" t="s">
        <v>1056</v>
      </c>
      <c r="D887" s="8" t="s">
        <v>459</v>
      </c>
      <c r="E887" s="460"/>
      <c r="F887" s="4"/>
      <c r="G887" s="449"/>
      <c r="H887" s="4"/>
      <c r="I887" s="4"/>
      <c r="J887" s="4"/>
      <c r="K887" s="4"/>
      <c r="L887" s="4"/>
      <c r="M887" s="449"/>
      <c r="N887" s="449"/>
      <c r="O887" s="4"/>
      <c r="P887" s="4"/>
      <c r="Q887" s="449"/>
      <c r="R887" s="449"/>
      <c r="S887" s="445">
        <f t="shared" si="83"/>
        <v>0</v>
      </c>
      <c r="T887" s="445">
        <f t="shared" si="84"/>
        <v>0</v>
      </c>
      <c r="U887" s="445">
        <f t="shared" si="85"/>
        <v>0</v>
      </c>
      <c r="W887" s="450"/>
      <c r="X887" s="450"/>
      <c r="Y887" s="441"/>
      <c r="Z887" s="441"/>
      <c r="AA887" s="441"/>
      <c r="AB887" s="441"/>
      <c r="AC887" s="441"/>
      <c r="AD887" s="441"/>
      <c r="AE887" s="441"/>
      <c r="AF887" s="441"/>
      <c r="AG887" s="441"/>
      <c r="AH887" s="441"/>
      <c r="AI887" s="441"/>
      <c r="AJ887" s="441"/>
      <c r="AK887" s="441"/>
      <c r="AL887" s="441"/>
      <c r="AM887" s="441"/>
      <c r="AN887" s="441"/>
      <c r="AO887" s="441"/>
    </row>
    <row r="888" spans="1:41" ht="12.75" hidden="1" thickBot="1">
      <c r="A888" s="1" t="s">
        <v>1278</v>
      </c>
      <c r="B888" s="2" t="s">
        <v>251</v>
      </c>
      <c r="C888" s="2" t="s">
        <v>1057</v>
      </c>
      <c r="D888" s="8" t="s">
        <v>459</v>
      </c>
      <c r="E888" s="459"/>
      <c r="F888" s="6"/>
      <c r="G888" s="451"/>
      <c r="H888" s="6"/>
      <c r="I888" s="6"/>
      <c r="J888" s="6"/>
      <c r="K888" s="6"/>
      <c r="L888" s="6"/>
      <c r="M888" s="451"/>
      <c r="N888" s="451"/>
      <c r="O888" s="6"/>
      <c r="P888" s="6"/>
      <c r="Q888" s="451"/>
      <c r="R888" s="451"/>
      <c r="S888" s="445">
        <f t="shared" si="83"/>
        <v>0</v>
      </c>
      <c r="T888" s="445">
        <f t="shared" si="84"/>
        <v>0</v>
      </c>
      <c r="U888" s="445">
        <f t="shared" si="85"/>
        <v>0</v>
      </c>
      <c r="W888" s="450"/>
      <c r="X888" s="450"/>
      <c r="Y888" s="441"/>
      <c r="Z888" s="441"/>
      <c r="AA888" s="441"/>
      <c r="AB888" s="441"/>
      <c r="AC888" s="441"/>
      <c r="AD888" s="441"/>
      <c r="AE888" s="441"/>
      <c r="AF888" s="441"/>
      <c r="AG888" s="441"/>
      <c r="AH888" s="441"/>
      <c r="AI888" s="441"/>
      <c r="AJ888" s="441"/>
      <c r="AK888" s="441"/>
      <c r="AL888" s="441"/>
      <c r="AM888" s="441"/>
      <c r="AN888" s="441"/>
      <c r="AO888" s="441"/>
    </row>
    <row r="889" spans="1:41" ht="12.75" hidden="1" thickBot="1">
      <c r="A889" s="1" t="s">
        <v>1278</v>
      </c>
      <c r="B889" s="2" t="s">
        <v>254</v>
      </c>
      <c r="C889" s="2" t="s">
        <v>1058</v>
      </c>
      <c r="D889" s="8" t="s">
        <v>459</v>
      </c>
      <c r="E889" s="460"/>
      <c r="F889" s="4"/>
      <c r="G889" s="449"/>
      <c r="H889" s="4"/>
      <c r="I889" s="4"/>
      <c r="J889" s="4"/>
      <c r="K889" s="4"/>
      <c r="L889" s="4"/>
      <c r="M889" s="449"/>
      <c r="N889" s="449"/>
      <c r="O889" s="4"/>
      <c r="P889" s="4"/>
      <c r="Q889" s="449"/>
      <c r="R889" s="449"/>
      <c r="S889" s="445">
        <f t="shared" si="83"/>
        <v>0</v>
      </c>
      <c r="T889" s="445">
        <f t="shared" si="84"/>
        <v>0</v>
      </c>
      <c r="U889" s="445">
        <f t="shared" si="85"/>
        <v>0</v>
      </c>
      <c r="W889" s="450"/>
      <c r="X889" s="450"/>
      <c r="Y889" s="441"/>
      <c r="Z889" s="441"/>
      <c r="AA889" s="441"/>
      <c r="AB889" s="441"/>
      <c r="AC889" s="441"/>
      <c r="AD889" s="441"/>
      <c r="AE889" s="441"/>
      <c r="AF889" s="441"/>
      <c r="AG889" s="441"/>
      <c r="AH889" s="441"/>
      <c r="AI889" s="441"/>
      <c r="AJ889" s="441"/>
      <c r="AK889" s="441"/>
      <c r="AL889" s="441"/>
      <c r="AM889" s="441"/>
      <c r="AN889" s="441"/>
      <c r="AO889" s="441"/>
    </row>
    <row r="890" spans="1:41" ht="12.75" hidden="1" thickBot="1">
      <c r="A890" s="1" t="s">
        <v>1278</v>
      </c>
      <c r="B890" s="2" t="s">
        <v>260</v>
      </c>
      <c r="C890" s="2" t="s">
        <v>1059</v>
      </c>
      <c r="D890" s="8" t="s">
        <v>459</v>
      </c>
      <c r="E890" s="459"/>
      <c r="F890" s="6"/>
      <c r="G890" s="451"/>
      <c r="H890" s="6"/>
      <c r="I890" s="6"/>
      <c r="J890" s="6"/>
      <c r="K890" s="6"/>
      <c r="L890" s="6"/>
      <c r="M890" s="451"/>
      <c r="N890" s="451"/>
      <c r="O890" s="6"/>
      <c r="P890" s="6"/>
      <c r="Q890" s="451"/>
      <c r="R890" s="451"/>
      <c r="S890" s="445">
        <f t="shared" si="83"/>
        <v>0</v>
      </c>
      <c r="T890" s="445">
        <f t="shared" si="84"/>
        <v>0</v>
      </c>
      <c r="U890" s="445">
        <f t="shared" si="85"/>
        <v>0</v>
      </c>
      <c r="W890" s="450"/>
      <c r="X890" s="450"/>
      <c r="Y890" s="441"/>
      <c r="Z890" s="441"/>
      <c r="AA890" s="441"/>
      <c r="AB890" s="441"/>
      <c r="AC890" s="441"/>
      <c r="AD890" s="441"/>
      <c r="AE890" s="441"/>
      <c r="AF890" s="441"/>
      <c r="AG890" s="441"/>
      <c r="AH890" s="441"/>
      <c r="AI890" s="441"/>
      <c r="AJ890" s="441"/>
      <c r="AK890" s="441"/>
      <c r="AL890" s="441"/>
      <c r="AM890" s="441"/>
      <c r="AN890" s="441"/>
      <c r="AO890" s="441"/>
    </row>
    <row r="891" spans="1:41" ht="12.75" hidden="1" thickBot="1">
      <c r="A891" s="1" t="s">
        <v>1278</v>
      </c>
      <c r="B891" s="2" t="s">
        <v>262</v>
      </c>
      <c r="C891" s="2" t="s">
        <v>1060</v>
      </c>
      <c r="D891" s="8" t="s">
        <v>459</v>
      </c>
      <c r="E891" s="460"/>
      <c r="F891" s="4"/>
      <c r="G891" s="449"/>
      <c r="H891" s="4"/>
      <c r="I891" s="4"/>
      <c r="J891" s="4"/>
      <c r="K891" s="4"/>
      <c r="L891" s="4"/>
      <c r="M891" s="449"/>
      <c r="N891" s="449"/>
      <c r="O891" s="4"/>
      <c r="P891" s="4"/>
      <c r="Q891" s="449"/>
      <c r="R891" s="449"/>
      <c r="S891" s="445">
        <f t="shared" si="83"/>
        <v>0</v>
      </c>
      <c r="T891" s="445">
        <f t="shared" si="84"/>
        <v>0</v>
      </c>
      <c r="U891" s="445">
        <f t="shared" si="85"/>
        <v>0</v>
      </c>
      <c r="W891" s="450"/>
      <c r="X891" s="450"/>
      <c r="Y891" s="441"/>
      <c r="Z891" s="441"/>
      <c r="AA891" s="441"/>
      <c r="AB891" s="441"/>
      <c r="AC891" s="441"/>
      <c r="AD891" s="441"/>
      <c r="AE891" s="441"/>
      <c r="AF891" s="441"/>
      <c r="AG891" s="441"/>
      <c r="AH891" s="441"/>
      <c r="AI891" s="441"/>
      <c r="AJ891" s="441"/>
      <c r="AK891" s="441"/>
      <c r="AL891" s="441"/>
      <c r="AM891" s="441"/>
      <c r="AN891" s="441"/>
      <c r="AO891" s="441"/>
    </row>
    <row r="892" spans="1:41" ht="12.75" hidden="1" thickBot="1">
      <c r="A892" s="1" t="s">
        <v>1278</v>
      </c>
      <c r="B892" s="2" t="s">
        <v>340</v>
      </c>
      <c r="C892" s="2" t="s">
        <v>1061</v>
      </c>
      <c r="D892" s="8" t="s">
        <v>567</v>
      </c>
      <c r="E892" s="459"/>
      <c r="F892" s="6"/>
      <c r="G892" s="451"/>
      <c r="H892" s="6"/>
      <c r="I892" s="6"/>
      <c r="J892" s="6"/>
      <c r="K892" s="6"/>
      <c r="L892" s="6"/>
      <c r="M892" s="451"/>
      <c r="N892" s="451"/>
      <c r="O892" s="6"/>
      <c r="P892" s="6"/>
      <c r="Q892" s="6"/>
      <c r="R892" s="451"/>
      <c r="S892" s="445">
        <f t="shared" si="83"/>
        <v>0</v>
      </c>
      <c r="T892" s="445">
        <f t="shared" si="84"/>
        <v>0</v>
      </c>
      <c r="U892" s="445">
        <f t="shared" si="85"/>
        <v>0</v>
      </c>
      <c r="W892" s="450"/>
      <c r="X892" s="450"/>
      <c r="Y892" s="441"/>
      <c r="Z892" s="441"/>
      <c r="AA892" s="441"/>
      <c r="AB892" s="441"/>
      <c r="AC892" s="441"/>
      <c r="AD892" s="441"/>
      <c r="AE892" s="441"/>
      <c r="AF892" s="441"/>
      <c r="AG892" s="441"/>
      <c r="AH892" s="441"/>
      <c r="AI892" s="441"/>
      <c r="AJ892" s="441"/>
      <c r="AK892" s="441"/>
      <c r="AL892" s="441"/>
      <c r="AM892" s="441"/>
      <c r="AN892" s="441"/>
      <c r="AO892" s="441"/>
    </row>
    <row r="893" spans="1:41" ht="12.75" hidden="1" thickBot="1">
      <c r="A893" s="1" t="s">
        <v>1278</v>
      </c>
      <c r="B893" s="2" t="s">
        <v>692</v>
      </c>
      <c r="C893" s="2" t="s">
        <v>1062</v>
      </c>
      <c r="D893" s="8" t="s">
        <v>567</v>
      </c>
      <c r="E893" s="460"/>
      <c r="F893" s="4"/>
      <c r="G893" s="449"/>
      <c r="H893" s="4"/>
      <c r="I893" s="4"/>
      <c r="J893" s="4"/>
      <c r="K893" s="4"/>
      <c r="L893" s="4"/>
      <c r="M893" s="449"/>
      <c r="N893" s="449"/>
      <c r="O893" s="4"/>
      <c r="P893" s="4"/>
      <c r="Q893" s="4"/>
      <c r="R893" s="449"/>
      <c r="S893" s="445">
        <f t="shared" si="83"/>
        <v>0</v>
      </c>
      <c r="T893" s="445">
        <f t="shared" si="84"/>
        <v>0</v>
      </c>
      <c r="U893" s="445">
        <f t="shared" si="85"/>
        <v>0</v>
      </c>
      <c r="W893" s="450"/>
      <c r="X893" s="450"/>
      <c r="Y893" s="441"/>
      <c r="Z893" s="441"/>
      <c r="AA893" s="441"/>
      <c r="AB893" s="441"/>
      <c r="AC893" s="441"/>
      <c r="AD893" s="441"/>
      <c r="AE893" s="441"/>
      <c r="AF893" s="441"/>
      <c r="AG893" s="441"/>
      <c r="AH893" s="441"/>
      <c r="AI893" s="441"/>
      <c r="AJ893" s="441"/>
      <c r="AK893" s="441"/>
      <c r="AL893" s="441"/>
      <c r="AM893" s="441"/>
      <c r="AN893" s="441"/>
      <c r="AO893" s="441"/>
    </row>
    <row r="894" spans="1:41" ht="12.75" hidden="1" thickBot="1">
      <c r="A894" s="1" t="s">
        <v>1278</v>
      </c>
      <c r="B894" s="2" t="s">
        <v>292</v>
      </c>
      <c r="C894" s="2" t="s">
        <v>1063</v>
      </c>
      <c r="D894" s="8" t="s">
        <v>567</v>
      </c>
      <c r="E894" s="459"/>
      <c r="F894" s="6"/>
      <c r="G894" s="451"/>
      <c r="H894" s="6"/>
      <c r="I894" s="6"/>
      <c r="J894" s="6"/>
      <c r="K894" s="6"/>
      <c r="L894" s="6"/>
      <c r="M894" s="451"/>
      <c r="N894" s="451"/>
      <c r="O894" s="6"/>
      <c r="P894" s="6"/>
      <c r="Q894" s="451"/>
      <c r="R894" s="451"/>
      <c r="S894" s="445">
        <f t="shared" si="83"/>
        <v>0</v>
      </c>
      <c r="T894" s="445">
        <f t="shared" si="84"/>
        <v>0</v>
      </c>
      <c r="U894" s="445">
        <f t="shared" si="85"/>
        <v>0</v>
      </c>
      <c r="W894" s="450"/>
      <c r="X894" s="450"/>
      <c r="Y894" s="441"/>
      <c r="Z894" s="441"/>
      <c r="AA894" s="441"/>
      <c r="AB894" s="441"/>
      <c r="AC894" s="441"/>
      <c r="AD894" s="441"/>
      <c r="AE894" s="441"/>
      <c r="AF894" s="441"/>
      <c r="AG894" s="441"/>
      <c r="AH894" s="441"/>
      <c r="AI894" s="441"/>
      <c r="AJ894" s="441"/>
      <c r="AK894" s="441"/>
      <c r="AL894" s="441"/>
      <c r="AM894" s="441"/>
      <c r="AN894" s="441"/>
      <c r="AO894" s="441"/>
    </row>
    <row r="895" spans="1:41" ht="12.75" hidden="1" thickBot="1">
      <c r="A895" s="1" t="s">
        <v>1278</v>
      </c>
      <c r="B895" s="2" t="s">
        <v>293</v>
      </c>
      <c r="C895" s="2" t="s">
        <v>1064</v>
      </c>
      <c r="D895" s="8" t="s">
        <v>567</v>
      </c>
      <c r="E895" s="460"/>
      <c r="F895" s="4"/>
      <c r="G895" s="449"/>
      <c r="H895" s="4"/>
      <c r="I895" s="4"/>
      <c r="J895" s="4"/>
      <c r="K895" s="4"/>
      <c r="L895" s="4"/>
      <c r="M895" s="449"/>
      <c r="N895" s="449"/>
      <c r="O895" s="4"/>
      <c r="P895" s="4"/>
      <c r="Q895" s="449"/>
      <c r="R895" s="449"/>
      <c r="S895" s="445">
        <f t="shared" si="83"/>
        <v>0</v>
      </c>
      <c r="T895" s="445">
        <f t="shared" si="84"/>
        <v>0</v>
      </c>
      <c r="U895" s="445">
        <f t="shared" si="85"/>
        <v>0</v>
      </c>
      <c r="W895" s="450"/>
      <c r="X895" s="450"/>
      <c r="Y895" s="441"/>
      <c r="Z895" s="441"/>
      <c r="AA895" s="441"/>
      <c r="AB895" s="441"/>
      <c r="AC895" s="441"/>
      <c r="AD895" s="441"/>
      <c r="AE895" s="441"/>
      <c r="AF895" s="441"/>
      <c r="AG895" s="441"/>
      <c r="AH895" s="441"/>
      <c r="AI895" s="441"/>
      <c r="AJ895" s="441"/>
      <c r="AK895" s="441"/>
      <c r="AL895" s="441"/>
      <c r="AM895" s="441"/>
      <c r="AN895" s="441"/>
      <c r="AO895" s="441"/>
    </row>
    <row r="896" spans="1:41" ht="12.75" hidden="1" thickBot="1">
      <c r="A896" s="1" t="s">
        <v>1278</v>
      </c>
      <c r="B896" s="2" t="s">
        <v>295</v>
      </c>
      <c r="C896" s="2" t="s">
        <v>1065</v>
      </c>
      <c r="D896" s="8" t="s">
        <v>567</v>
      </c>
      <c r="E896" s="459"/>
      <c r="F896" s="6"/>
      <c r="G896" s="451"/>
      <c r="H896" s="6"/>
      <c r="I896" s="6"/>
      <c r="J896" s="6"/>
      <c r="K896" s="6"/>
      <c r="L896" s="6"/>
      <c r="M896" s="451"/>
      <c r="N896" s="451"/>
      <c r="O896" s="6"/>
      <c r="P896" s="6"/>
      <c r="Q896" s="451"/>
      <c r="R896" s="451"/>
      <c r="S896" s="445">
        <f t="shared" si="83"/>
        <v>0</v>
      </c>
      <c r="T896" s="445">
        <f t="shared" si="84"/>
        <v>0</v>
      </c>
      <c r="U896" s="445">
        <f t="shared" si="85"/>
        <v>0</v>
      </c>
      <c r="W896" s="450"/>
      <c r="X896" s="450"/>
      <c r="Y896" s="441"/>
      <c r="Z896" s="441"/>
      <c r="AA896" s="441"/>
      <c r="AB896" s="441"/>
      <c r="AC896" s="441"/>
      <c r="AD896" s="441"/>
      <c r="AE896" s="441"/>
      <c r="AF896" s="441"/>
      <c r="AG896" s="441"/>
      <c r="AH896" s="441"/>
      <c r="AI896" s="441"/>
      <c r="AJ896" s="441"/>
      <c r="AK896" s="441"/>
      <c r="AL896" s="441"/>
      <c r="AM896" s="441"/>
      <c r="AN896" s="441"/>
      <c r="AO896" s="441"/>
    </row>
    <row r="897" spans="1:41" ht="12.75" hidden="1" thickBot="1">
      <c r="A897" s="1" t="s">
        <v>1278</v>
      </c>
      <c r="B897" s="2" t="s">
        <v>296</v>
      </c>
      <c r="C897" s="2" t="s">
        <v>1066</v>
      </c>
      <c r="D897" s="8" t="s">
        <v>567</v>
      </c>
      <c r="E897" s="460"/>
      <c r="F897" s="4"/>
      <c r="G897" s="449"/>
      <c r="H897" s="4"/>
      <c r="I897" s="4"/>
      <c r="J897" s="4"/>
      <c r="K897" s="4"/>
      <c r="L897" s="4"/>
      <c r="M897" s="449"/>
      <c r="N897" s="449"/>
      <c r="O897" s="4"/>
      <c r="P897" s="4"/>
      <c r="Q897" s="449"/>
      <c r="R897" s="449"/>
      <c r="S897" s="445">
        <f t="shared" si="83"/>
        <v>0</v>
      </c>
      <c r="T897" s="445">
        <f t="shared" si="84"/>
        <v>0</v>
      </c>
      <c r="U897" s="445">
        <f t="shared" si="85"/>
        <v>0</v>
      </c>
      <c r="W897" s="450"/>
      <c r="X897" s="450"/>
      <c r="Y897" s="441"/>
      <c r="Z897" s="441"/>
      <c r="AA897" s="441"/>
      <c r="AB897" s="441"/>
      <c r="AC897" s="441"/>
      <c r="AD897" s="441"/>
      <c r="AE897" s="441"/>
      <c r="AF897" s="441"/>
      <c r="AG897" s="441"/>
      <c r="AH897" s="441"/>
      <c r="AI897" s="441"/>
      <c r="AJ897" s="441"/>
      <c r="AK897" s="441"/>
      <c r="AL897" s="441"/>
      <c r="AM897" s="441"/>
      <c r="AN897" s="441"/>
      <c r="AO897" s="441"/>
    </row>
    <row r="898" spans="1:41" ht="12.75" hidden="1" thickBot="1">
      <c r="A898" s="1" t="s">
        <v>1278</v>
      </c>
      <c r="B898" s="2" t="s">
        <v>297</v>
      </c>
      <c r="C898" s="2" t="s">
        <v>1067</v>
      </c>
      <c r="D898" s="8" t="s">
        <v>459</v>
      </c>
      <c r="E898" s="459"/>
      <c r="F898" s="6"/>
      <c r="G898" s="451"/>
      <c r="H898" s="6"/>
      <c r="I898" s="6"/>
      <c r="J898" s="6"/>
      <c r="K898" s="6"/>
      <c r="L898" s="6"/>
      <c r="M898" s="451"/>
      <c r="N898" s="451"/>
      <c r="O898" s="6"/>
      <c r="P898" s="6"/>
      <c r="Q898" s="451"/>
      <c r="R898" s="451"/>
      <c r="S898" s="445">
        <f t="shared" si="83"/>
        <v>0</v>
      </c>
      <c r="T898" s="445">
        <f t="shared" si="84"/>
        <v>0</v>
      </c>
      <c r="U898" s="445">
        <f t="shared" si="85"/>
        <v>0</v>
      </c>
      <c r="W898" s="450"/>
      <c r="X898" s="450"/>
      <c r="Y898" s="441"/>
      <c r="Z898" s="441"/>
      <c r="AA898" s="441"/>
      <c r="AB898" s="441"/>
      <c r="AC898" s="441"/>
      <c r="AD898" s="441"/>
      <c r="AE898" s="441"/>
      <c r="AF898" s="441"/>
      <c r="AG898" s="441"/>
      <c r="AH898" s="441"/>
      <c r="AI898" s="441"/>
      <c r="AJ898" s="441"/>
      <c r="AK898" s="441"/>
      <c r="AL898" s="441"/>
      <c r="AM898" s="441"/>
      <c r="AN898" s="441"/>
      <c r="AO898" s="441"/>
    </row>
    <row r="899" spans="1:41" ht="12.75" hidden="1" thickBot="1">
      <c r="A899" s="1" t="s">
        <v>1278</v>
      </c>
      <c r="B899" s="2" t="s">
        <v>299</v>
      </c>
      <c r="C899" s="2" t="s">
        <v>1068</v>
      </c>
      <c r="D899" s="8" t="s">
        <v>459</v>
      </c>
      <c r="E899" s="460"/>
      <c r="F899" s="4"/>
      <c r="G899" s="449"/>
      <c r="H899" s="4"/>
      <c r="I899" s="4"/>
      <c r="J899" s="4"/>
      <c r="K899" s="4"/>
      <c r="L899" s="4"/>
      <c r="M899" s="449"/>
      <c r="N899" s="449"/>
      <c r="O899" s="4"/>
      <c r="P899" s="4"/>
      <c r="Q899" s="449"/>
      <c r="R899" s="449"/>
      <c r="S899" s="445">
        <f t="shared" si="83"/>
        <v>0</v>
      </c>
      <c r="T899" s="445">
        <f t="shared" si="84"/>
        <v>0</v>
      </c>
      <c r="U899" s="445">
        <f t="shared" si="85"/>
        <v>0</v>
      </c>
      <c r="W899" s="450"/>
      <c r="X899" s="450"/>
      <c r="Y899" s="441"/>
      <c r="Z899" s="441"/>
      <c r="AA899" s="441"/>
      <c r="AB899" s="441"/>
      <c r="AC899" s="441"/>
      <c r="AD899" s="441"/>
      <c r="AE899" s="441"/>
      <c r="AF899" s="441"/>
      <c r="AG899" s="441"/>
      <c r="AH899" s="441"/>
      <c r="AI899" s="441"/>
      <c r="AJ899" s="441"/>
      <c r="AK899" s="441"/>
      <c r="AL899" s="441"/>
      <c r="AM899" s="441"/>
      <c r="AN899" s="441"/>
      <c r="AO899" s="441"/>
    </row>
    <row r="900" spans="1:41" ht="12.75" hidden="1" thickBot="1">
      <c r="A900" s="1" t="s">
        <v>1278</v>
      </c>
      <c r="B900" s="2" t="s">
        <v>300</v>
      </c>
      <c r="C900" s="2" t="s">
        <v>1069</v>
      </c>
      <c r="D900" s="8" t="s">
        <v>567</v>
      </c>
      <c r="E900" s="459"/>
      <c r="F900" s="6"/>
      <c r="G900" s="451"/>
      <c r="H900" s="6"/>
      <c r="I900" s="6"/>
      <c r="J900" s="6"/>
      <c r="K900" s="6"/>
      <c r="L900" s="6"/>
      <c r="M900" s="451"/>
      <c r="N900" s="451"/>
      <c r="O900" s="6"/>
      <c r="P900" s="6"/>
      <c r="Q900" s="451"/>
      <c r="R900" s="451"/>
      <c r="S900" s="445">
        <f t="shared" si="83"/>
        <v>0</v>
      </c>
      <c r="T900" s="445">
        <f t="shared" si="84"/>
        <v>0</v>
      </c>
      <c r="U900" s="445">
        <f t="shared" si="85"/>
        <v>0</v>
      </c>
      <c r="W900" s="450"/>
      <c r="X900" s="450"/>
      <c r="Y900" s="441"/>
      <c r="Z900" s="441"/>
      <c r="AA900" s="441"/>
      <c r="AB900" s="441"/>
      <c r="AC900" s="441"/>
      <c r="AD900" s="441"/>
      <c r="AE900" s="441"/>
      <c r="AF900" s="441"/>
      <c r="AG900" s="441"/>
      <c r="AH900" s="441"/>
      <c r="AI900" s="441"/>
      <c r="AJ900" s="441"/>
      <c r="AK900" s="441"/>
      <c r="AL900" s="441"/>
      <c r="AM900" s="441"/>
      <c r="AN900" s="441"/>
      <c r="AO900" s="441"/>
    </row>
    <row r="901" spans="1:41" ht="12.75" hidden="1" thickBot="1">
      <c r="A901" s="1" t="s">
        <v>1278</v>
      </c>
      <c r="B901" s="2" t="s">
        <v>301</v>
      </c>
      <c r="C901" s="2" t="s">
        <v>1070</v>
      </c>
      <c r="D901" s="8" t="s">
        <v>567</v>
      </c>
      <c r="E901" s="460"/>
      <c r="F901" s="4"/>
      <c r="G901" s="449"/>
      <c r="H901" s="4"/>
      <c r="I901" s="4"/>
      <c r="J901" s="4"/>
      <c r="K901" s="4"/>
      <c r="L901" s="4"/>
      <c r="M901" s="449"/>
      <c r="N901" s="449"/>
      <c r="O901" s="4"/>
      <c r="P901" s="4"/>
      <c r="Q901" s="449"/>
      <c r="R901" s="449"/>
      <c r="S901" s="445">
        <f t="shared" si="83"/>
        <v>0</v>
      </c>
      <c r="T901" s="445">
        <f t="shared" si="84"/>
        <v>0</v>
      </c>
      <c r="U901" s="445">
        <f t="shared" si="85"/>
        <v>0</v>
      </c>
      <c r="W901" s="450"/>
      <c r="X901" s="450"/>
      <c r="Y901" s="441"/>
      <c r="Z901" s="441"/>
      <c r="AA901" s="441"/>
      <c r="AB901" s="441"/>
      <c r="AC901" s="441"/>
      <c r="AD901" s="441"/>
      <c r="AE901" s="441"/>
      <c r="AF901" s="441"/>
      <c r="AG901" s="441"/>
      <c r="AH901" s="441"/>
      <c r="AI901" s="441"/>
      <c r="AJ901" s="441"/>
      <c r="AK901" s="441"/>
      <c r="AL901" s="441"/>
      <c r="AM901" s="441"/>
      <c r="AN901" s="441"/>
      <c r="AO901" s="441"/>
    </row>
    <row r="902" spans="1:41" ht="12.75" hidden="1" thickBot="1">
      <c r="A902" s="1" t="s">
        <v>1278</v>
      </c>
      <c r="B902" s="2" t="s">
        <v>302</v>
      </c>
      <c r="C902" s="2" t="s">
        <v>1071</v>
      </c>
      <c r="D902" s="8" t="s">
        <v>567</v>
      </c>
      <c r="E902" s="459"/>
      <c r="F902" s="6"/>
      <c r="G902" s="451"/>
      <c r="H902" s="6"/>
      <c r="I902" s="6"/>
      <c r="J902" s="6"/>
      <c r="K902" s="6"/>
      <c r="L902" s="6"/>
      <c r="M902" s="451"/>
      <c r="N902" s="451"/>
      <c r="O902" s="6"/>
      <c r="P902" s="6"/>
      <c r="Q902" s="451"/>
      <c r="R902" s="451"/>
      <c r="S902" s="445">
        <f t="shared" si="83"/>
        <v>0</v>
      </c>
      <c r="T902" s="445">
        <f t="shared" si="84"/>
        <v>0</v>
      </c>
      <c r="U902" s="445">
        <f t="shared" si="85"/>
        <v>0</v>
      </c>
      <c r="W902" s="450"/>
      <c r="X902" s="450"/>
      <c r="Y902" s="441"/>
      <c r="Z902" s="441"/>
      <c r="AA902" s="441"/>
      <c r="AB902" s="441"/>
      <c r="AC902" s="441"/>
      <c r="AD902" s="441"/>
      <c r="AE902" s="441"/>
      <c r="AF902" s="441"/>
      <c r="AG902" s="441"/>
      <c r="AH902" s="441"/>
      <c r="AI902" s="441"/>
      <c r="AJ902" s="441"/>
      <c r="AK902" s="441"/>
      <c r="AL902" s="441"/>
      <c r="AM902" s="441"/>
      <c r="AN902" s="441"/>
      <c r="AO902" s="441"/>
    </row>
    <row r="903" spans="1:41" ht="12.75" hidden="1" thickBot="1">
      <c r="A903" s="1" t="s">
        <v>1278</v>
      </c>
      <c r="B903" s="2" t="s">
        <v>303</v>
      </c>
      <c r="C903" s="2" t="s">
        <v>1072</v>
      </c>
      <c r="D903" s="8" t="s">
        <v>567</v>
      </c>
      <c r="E903" s="460"/>
      <c r="F903" s="4"/>
      <c r="G903" s="449"/>
      <c r="H903" s="4"/>
      <c r="I903" s="4"/>
      <c r="J903" s="4"/>
      <c r="K903" s="4"/>
      <c r="L903" s="4"/>
      <c r="M903" s="449"/>
      <c r="N903" s="449"/>
      <c r="O903" s="4"/>
      <c r="P903" s="4"/>
      <c r="Q903" s="449"/>
      <c r="R903" s="449"/>
      <c r="S903" s="445">
        <f t="shared" si="83"/>
        <v>0</v>
      </c>
      <c r="T903" s="445">
        <f t="shared" si="84"/>
        <v>0</v>
      </c>
      <c r="U903" s="445">
        <f t="shared" si="85"/>
        <v>0</v>
      </c>
      <c r="W903" s="450"/>
      <c r="X903" s="450"/>
      <c r="Y903" s="441"/>
      <c r="Z903" s="441"/>
      <c r="AA903" s="441"/>
      <c r="AB903" s="441"/>
      <c r="AC903" s="441"/>
      <c r="AD903" s="441"/>
      <c r="AE903" s="441"/>
      <c r="AF903" s="441"/>
      <c r="AG903" s="441"/>
      <c r="AH903" s="441"/>
      <c r="AI903" s="441"/>
      <c r="AJ903" s="441"/>
      <c r="AK903" s="441"/>
      <c r="AL903" s="441"/>
      <c r="AM903" s="441"/>
      <c r="AN903" s="441"/>
      <c r="AO903" s="441"/>
    </row>
    <row r="904" spans="1:41" ht="12.75" hidden="1" thickBot="1">
      <c r="A904" s="1" t="s">
        <v>1278</v>
      </c>
      <c r="B904" s="2" t="s">
        <v>304</v>
      </c>
      <c r="C904" s="2" t="s">
        <v>1073</v>
      </c>
      <c r="D904" s="8" t="s">
        <v>567</v>
      </c>
      <c r="E904" s="459"/>
      <c r="F904" s="6"/>
      <c r="G904" s="451"/>
      <c r="H904" s="6"/>
      <c r="I904" s="6"/>
      <c r="J904" s="6"/>
      <c r="K904" s="6"/>
      <c r="L904" s="6"/>
      <c r="M904" s="451"/>
      <c r="N904" s="451"/>
      <c r="O904" s="6"/>
      <c r="P904" s="6"/>
      <c r="Q904" s="451"/>
      <c r="R904" s="451"/>
      <c r="S904" s="445">
        <f t="shared" si="83"/>
        <v>0</v>
      </c>
      <c r="T904" s="445">
        <f t="shared" si="84"/>
        <v>0</v>
      </c>
      <c r="U904" s="445">
        <f t="shared" si="85"/>
        <v>0</v>
      </c>
      <c r="W904" s="450"/>
      <c r="X904" s="450"/>
      <c r="Y904" s="441"/>
      <c r="Z904" s="441"/>
      <c r="AA904" s="441"/>
      <c r="AB904" s="441"/>
      <c r="AC904" s="441"/>
      <c r="AD904" s="441"/>
      <c r="AE904" s="441"/>
      <c r="AF904" s="441"/>
      <c r="AG904" s="441"/>
      <c r="AH904" s="441"/>
      <c r="AI904" s="441"/>
      <c r="AJ904" s="441"/>
      <c r="AK904" s="441"/>
      <c r="AL904" s="441"/>
      <c r="AM904" s="441"/>
      <c r="AN904" s="441"/>
      <c r="AO904" s="441"/>
    </row>
    <row r="905" spans="1:41" ht="12.75" hidden="1" thickBot="1">
      <c r="A905" s="1" t="s">
        <v>1278</v>
      </c>
      <c r="B905" s="2" t="s">
        <v>305</v>
      </c>
      <c r="C905" s="2" t="s">
        <v>1074</v>
      </c>
      <c r="D905" s="8" t="s">
        <v>567</v>
      </c>
      <c r="E905" s="460"/>
      <c r="F905" s="4"/>
      <c r="G905" s="449"/>
      <c r="H905" s="4"/>
      <c r="I905" s="4"/>
      <c r="J905" s="4"/>
      <c r="K905" s="4"/>
      <c r="L905" s="4"/>
      <c r="M905" s="449"/>
      <c r="N905" s="449"/>
      <c r="O905" s="4"/>
      <c r="P905" s="4"/>
      <c r="Q905" s="449"/>
      <c r="R905" s="449"/>
      <c r="S905" s="445">
        <f t="shared" si="83"/>
        <v>0</v>
      </c>
      <c r="T905" s="445">
        <f t="shared" si="84"/>
        <v>0</v>
      </c>
      <c r="U905" s="445">
        <f t="shared" si="85"/>
        <v>0</v>
      </c>
      <c r="W905" s="450"/>
      <c r="X905" s="450"/>
      <c r="Y905" s="441"/>
      <c r="Z905" s="441"/>
      <c r="AA905" s="441"/>
      <c r="AB905" s="441"/>
      <c r="AC905" s="441"/>
      <c r="AD905" s="441"/>
      <c r="AE905" s="441"/>
      <c r="AF905" s="441"/>
      <c r="AG905" s="441"/>
      <c r="AH905" s="441"/>
      <c r="AI905" s="441"/>
      <c r="AJ905" s="441"/>
      <c r="AK905" s="441"/>
      <c r="AL905" s="441"/>
      <c r="AM905" s="441"/>
      <c r="AN905" s="441"/>
      <c r="AO905" s="441"/>
    </row>
    <row r="906" spans="1:41" ht="12.75" hidden="1" thickBot="1">
      <c r="A906" s="1" t="s">
        <v>1278</v>
      </c>
      <c r="B906" s="2" t="s">
        <v>306</v>
      </c>
      <c r="C906" s="2" t="s">
        <v>1075</v>
      </c>
      <c r="D906" s="453" t="s">
        <v>459</v>
      </c>
      <c r="E906" s="459"/>
      <c r="F906" s="6"/>
      <c r="G906" s="451"/>
      <c r="H906" s="6"/>
      <c r="I906" s="6"/>
      <c r="J906" s="6"/>
      <c r="K906" s="6"/>
      <c r="L906" s="6"/>
      <c r="M906" s="451"/>
      <c r="N906" s="451"/>
      <c r="O906" s="6"/>
      <c r="P906" s="6"/>
      <c r="Q906" s="451"/>
      <c r="R906" s="451"/>
      <c r="S906" s="445">
        <f t="shared" si="83"/>
        <v>0</v>
      </c>
      <c r="T906" s="445">
        <f t="shared" si="84"/>
        <v>0</v>
      </c>
      <c r="U906" s="445">
        <f t="shared" si="85"/>
        <v>0</v>
      </c>
      <c r="W906" s="450"/>
      <c r="X906" s="450"/>
      <c r="Y906" s="441"/>
      <c r="Z906" s="441"/>
      <c r="AA906" s="441"/>
      <c r="AB906" s="441"/>
      <c r="AC906" s="441"/>
      <c r="AD906" s="441"/>
      <c r="AE906" s="441"/>
      <c r="AF906" s="441"/>
      <c r="AG906" s="441"/>
      <c r="AH906" s="441"/>
      <c r="AI906" s="441"/>
      <c r="AJ906" s="441"/>
      <c r="AK906" s="441"/>
      <c r="AL906" s="441"/>
      <c r="AM906" s="441"/>
      <c r="AN906" s="441"/>
      <c r="AO906" s="441"/>
    </row>
    <row r="907" spans="1:41" ht="12.75" hidden="1" thickBot="1">
      <c r="A907" s="1" t="s">
        <v>1278</v>
      </c>
      <c r="B907" s="2" t="s">
        <v>307</v>
      </c>
      <c r="C907" s="2" t="s">
        <v>1076</v>
      </c>
      <c r="D907" s="8" t="s">
        <v>567</v>
      </c>
      <c r="E907" s="460"/>
      <c r="F907" s="4"/>
      <c r="G907" s="449"/>
      <c r="H907" s="4"/>
      <c r="I907" s="4"/>
      <c r="J907" s="4"/>
      <c r="K907" s="4"/>
      <c r="L907" s="4"/>
      <c r="M907" s="449"/>
      <c r="N907" s="449"/>
      <c r="O907" s="4"/>
      <c r="P907" s="4"/>
      <c r="Q907" s="449"/>
      <c r="R907" s="449"/>
      <c r="S907" s="445">
        <f t="shared" si="83"/>
        <v>0</v>
      </c>
      <c r="T907" s="445">
        <f t="shared" si="84"/>
        <v>0</v>
      </c>
      <c r="U907" s="445">
        <f t="shared" si="85"/>
        <v>0</v>
      </c>
      <c r="W907" s="450"/>
      <c r="X907" s="450"/>
      <c r="Y907" s="441"/>
      <c r="Z907" s="441"/>
      <c r="AA907" s="441"/>
      <c r="AB907" s="441"/>
      <c r="AC907" s="441"/>
      <c r="AD907" s="441"/>
      <c r="AE907" s="441"/>
      <c r="AF907" s="441"/>
      <c r="AG907" s="441"/>
      <c r="AH907" s="441"/>
      <c r="AI907" s="441"/>
      <c r="AJ907" s="441"/>
      <c r="AK907" s="441"/>
      <c r="AL907" s="441"/>
      <c r="AM907" s="441"/>
      <c r="AN907" s="441"/>
      <c r="AO907" s="441"/>
    </row>
    <row r="908" spans="1:41" ht="12.75" hidden="1" thickBot="1">
      <c r="A908" s="1" t="s">
        <v>1278</v>
      </c>
      <c r="B908" s="2" t="s">
        <v>308</v>
      </c>
      <c r="C908" s="2" t="s">
        <v>1077</v>
      </c>
      <c r="D908" s="453" t="s">
        <v>459</v>
      </c>
      <c r="E908" s="459"/>
      <c r="F908" s="6"/>
      <c r="G908" s="451"/>
      <c r="H908" s="6"/>
      <c r="I908" s="6"/>
      <c r="J908" s="6"/>
      <c r="K908" s="6"/>
      <c r="L908" s="6"/>
      <c r="M908" s="451"/>
      <c r="N908" s="451"/>
      <c r="O908" s="6"/>
      <c r="P908" s="6"/>
      <c r="Q908" s="451"/>
      <c r="R908" s="451"/>
      <c r="S908" s="445">
        <f t="shared" si="83"/>
        <v>0</v>
      </c>
      <c r="T908" s="445">
        <f t="shared" si="84"/>
        <v>0</v>
      </c>
      <c r="U908" s="445">
        <f t="shared" si="85"/>
        <v>0</v>
      </c>
      <c r="W908" s="450"/>
      <c r="X908" s="450"/>
      <c r="Y908" s="441"/>
      <c r="Z908" s="441"/>
      <c r="AA908" s="441"/>
      <c r="AB908" s="441"/>
      <c r="AC908" s="441"/>
      <c r="AD908" s="441"/>
      <c r="AE908" s="441"/>
      <c r="AF908" s="441"/>
      <c r="AG908" s="441"/>
      <c r="AH908" s="441"/>
      <c r="AI908" s="441"/>
      <c r="AJ908" s="441"/>
      <c r="AK908" s="441"/>
      <c r="AL908" s="441"/>
      <c r="AM908" s="441"/>
      <c r="AN908" s="441"/>
      <c r="AO908" s="441"/>
    </row>
    <row r="909" spans="1:41" ht="12.75" hidden="1" thickBot="1">
      <c r="A909" s="1" t="s">
        <v>1278</v>
      </c>
      <c r="B909" s="2" t="s">
        <v>309</v>
      </c>
      <c r="C909" s="2" t="s">
        <v>1078</v>
      </c>
      <c r="D909" s="8" t="s">
        <v>567</v>
      </c>
      <c r="E909" s="460"/>
      <c r="F909" s="4"/>
      <c r="G909" s="449"/>
      <c r="H909" s="4"/>
      <c r="I909" s="4"/>
      <c r="J909" s="4"/>
      <c r="K909" s="4"/>
      <c r="L909" s="4"/>
      <c r="M909" s="449"/>
      <c r="N909" s="449"/>
      <c r="O909" s="4"/>
      <c r="P909" s="4"/>
      <c r="Q909" s="449"/>
      <c r="R909" s="449"/>
      <c r="S909" s="445">
        <f t="shared" si="83"/>
        <v>0</v>
      </c>
      <c r="T909" s="445">
        <f t="shared" si="84"/>
        <v>0</v>
      </c>
      <c r="U909" s="445">
        <f t="shared" si="85"/>
        <v>0</v>
      </c>
      <c r="W909" s="450"/>
      <c r="X909" s="450"/>
      <c r="Y909" s="441"/>
      <c r="Z909" s="441"/>
      <c r="AA909" s="441"/>
      <c r="AB909" s="441"/>
      <c r="AC909" s="441"/>
      <c r="AD909" s="441"/>
      <c r="AE909" s="441"/>
      <c r="AF909" s="441"/>
      <c r="AG909" s="441"/>
      <c r="AH909" s="441"/>
      <c r="AI909" s="441"/>
      <c r="AJ909" s="441"/>
      <c r="AK909" s="441"/>
      <c r="AL909" s="441"/>
      <c r="AM909" s="441"/>
      <c r="AN909" s="441"/>
      <c r="AO909" s="441"/>
    </row>
    <row r="910" spans="1:41" ht="12.75" hidden="1" thickBot="1">
      <c r="A910" s="1" t="s">
        <v>1278</v>
      </c>
      <c r="B910" s="2" t="s">
        <v>310</v>
      </c>
      <c r="C910" s="2" t="s">
        <v>1079</v>
      </c>
      <c r="D910" s="453" t="s">
        <v>459</v>
      </c>
      <c r="E910" s="459"/>
      <c r="F910" s="6"/>
      <c r="G910" s="451"/>
      <c r="H910" s="6"/>
      <c r="I910" s="6"/>
      <c r="J910" s="6"/>
      <c r="K910" s="6"/>
      <c r="L910" s="6"/>
      <c r="M910" s="451"/>
      <c r="N910" s="451"/>
      <c r="O910" s="6"/>
      <c r="P910" s="6"/>
      <c r="Q910" s="451"/>
      <c r="R910" s="451"/>
      <c r="S910" s="445">
        <f t="shared" si="83"/>
        <v>0</v>
      </c>
      <c r="T910" s="445">
        <f t="shared" si="84"/>
        <v>0</v>
      </c>
      <c r="U910" s="445">
        <f t="shared" si="85"/>
        <v>0</v>
      </c>
      <c r="W910" s="450"/>
      <c r="X910" s="450"/>
      <c r="Y910" s="441"/>
      <c r="Z910" s="441"/>
      <c r="AA910" s="441"/>
      <c r="AB910" s="441"/>
      <c r="AC910" s="441"/>
      <c r="AD910" s="441"/>
      <c r="AE910" s="441"/>
      <c r="AF910" s="441"/>
      <c r="AG910" s="441"/>
      <c r="AH910" s="441"/>
      <c r="AI910" s="441"/>
      <c r="AJ910" s="441"/>
      <c r="AK910" s="441"/>
      <c r="AL910" s="441"/>
      <c r="AM910" s="441"/>
      <c r="AN910" s="441"/>
      <c r="AO910" s="441"/>
    </row>
    <row r="911" spans="1:41" ht="12.75" hidden="1" thickBot="1">
      <c r="A911" s="1" t="s">
        <v>1278</v>
      </c>
      <c r="B911" s="2" t="s">
        <v>311</v>
      </c>
      <c r="C911" s="2" t="s">
        <v>1080</v>
      </c>
      <c r="D911" s="8" t="s">
        <v>567</v>
      </c>
      <c r="E911" s="460"/>
      <c r="F911" s="4"/>
      <c r="G911" s="449"/>
      <c r="H911" s="4"/>
      <c r="I911" s="4"/>
      <c r="J911" s="4"/>
      <c r="K911" s="4"/>
      <c r="L911" s="4"/>
      <c r="M911" s="449"/>
      <c r="N911" s="449"/>
      <c r="O911" s="4"/>
      <c r="P911" s="4"/>
      <c r="Q911" s="449"/>
      <c r="R911" s="449"/>
      <c r="S911" s="445">
        <f t="shared" si="83"/>
        <v>0</v>
      </c>
      <c r="T911" s="445">
        <f t="shared" si="84"/>
        <v>0</v>
      </c>
      <c r="U911" s="445">
        <f t="shared" si="85"/>
        <v>0</v>
      </c>
      <c r="W911" s="450"/>
      <c r="X911" s="450"/>
      <c r="Y911" s="441"/>
      <c r="Z911" s="441"/>
      <c r="AA911" s="441"/>
      <c r="AB911" s="441"/>
      <c r="AC911" s="441"/>
      <c r="AD911" s="441"/>
      <c r="AE911" s="441"/>
      <c r="AF911" s="441"/>
      <c r="AG911" s="441"/>
      <c r="AH911" s="441"/>
      <c r="AI911" s="441"/>
      <c r="AJ911" s="441"/>
      <c r="AK911" s="441"/>
      <c r="AL911" s="441"/>
      <c r="AM911" s="441"/>
      <c r="AN911" s="441"/>
      <c r="AO911" s="441"/>
    </row>
    <row r="912" spans="1:41" ht="12.75" hidden="1" thickBot="1">
      <c r="A912" s="1" t="s">
        <v>1278</v>
      </c>
      <c r="B912" s="2" t="s">
        <v>339</v>
      </c>
      <c r="C912" s="2" t="s">
        <v>1081</v>
      </c>
      <c r="D912" s="453" t="s">
        <v>459</v>
      </c>
      <c r="E912" s="459"/>
      <c r="F912" s="6"/>
      <c r="G912" s="451"/>
      <c r="H912" s="6"/>
      <c r="I912" s="6"/>
      <c r="J912" s="6"/>
      <c r="K912" s="6"/>
      <c r="L912" s="6"/>
      <c r="M912" s="451"/>
      <c r="N912" s="451"/>
      <c r="O912" s="6"/>
      <c r="P912" s="6"/>
      <c r="Q912" s="451"/>
      <c r="R912" s="451"/>
      <c r="S912" s="445">
        <f t="shared" si="83"/>
        <v>0</v>
      </c>
      <c r="T912" s="445">
        <f t="shared" si="84"/>
        <v>0</v>
      </c>
      <c r="U912" s="445">
        <f t="shared" si="85"/>
        <v>0</v>
      </c>
      <c r="W912" s="450"/>
      <c r="X912" s="450"/>
      <c r="Y912" s="441"/>
      <c r="Z912" s="441"/>
      <c r="AA912" s="441"/>
      <c r="AB912" s="441"/>
      <c r="AC912" s="441"/>
      <c r="AD912" s="441"/>
      <c r="AE912" s="441"/>
      <c r="AF912" s="441"/>
      <c r="AG912" s="441"/>
      <c r="AH912" s="441"/>
      <c r="AI912" s="441"/>
      <c r="AJ912" s="441"/>
      <c r="AK912" s="441"/>
      <c r="AL912" s="441"/>
      <c r="AM912" s="441"/>
      <c r="AN912" s="441"/>
      <c r="AO912" s="441"/>
    </row>
    <row r="913" spans="1:41" ht="12.75" hidden="1" thickBot="1">
      <c r="A913" s="1" t="s">
        <v>1278</v>
      </c>
      <c r="B913" s="2" t="s">
        <v>312</v>
      </c>
      <c r="C913" s="2" t="s">
        <v>1082</v>
      </c>
      <c r="D913" s="8" t="s">
        <v>567</v>
      </c>
      <c r="E913" s="460"/>
      <c r="F913" s="4"/>
      <c r="G913" s="449"/>
      <c r="H913" s="4"/>
      <c r="I913" s="4"/>
      <c r="J913" s="4"/>
      <c r="K913" s="4"/>
      <c r="L913" s="4"/>
      <c r="M913" s="449"/>
      <c r="N913" s="449"/>
      <c r="O913" s="4"/>
      <c r="P913" s="4"/>
      <c r="Q913" s="449"/>
      <c r="R913" s="449"/>
      <c r="S913" s="445">
        <f t="shared" si="83"/>
        <v>0</v>
      </c>
      <c r="T913" s="445">
        <f t="shared" si="84"/>
        <v>0</v>
      </c>
      <c r="U913" s="445">
        <f t="shared" si="85"/>
        <v>0</v>
      </c>
      <c r="W913" s="450"/>
      <c r="X913" s="450"/>
      <c r="Y913" s="441"/>
      <c r="Z913" s="441"/>
      <c r="AA913" s="441"/>
      <c r="AB913" s="441"/>
      <c r="AC913" s="441"/>
      <c r="AD913" s="441"/>
      <c r="AE913" s="441"/>
      <c r="AF913" s="441"/>
      <c r="AG913" s="441"/>
      <c r="AH913" s="441"/>
      <c r="AI913" s="441"/>
      <c r="AJ913" s="441"/>
      <c r="AK913" s="441"/>
      <c r="AL913" s="441"/>
      <c r="AM913" s="441"/>
      <c r="AN913" s="441"/>
      <c r="AO913" s="441"/>
    </row>
    <row r="914" spans="1:41" ht="12.75" hidden="1" thickBot="1">
      <c r="A914" s="1" t="s">
        <v>1278</v>
      </c>
      <c r="B914" s="2" t="s">
        <v>688</v>
      </c>
      <c r="C914" s="2" t="s">
        <v>1083</v>
      </c>
      <c r="D914" s="8" t="s">
        <v>567</v>
      </c>
      <c r="E914" s="459"/>
      <c r="F914" s="6"/>
      <c r="G914" s="451"/>
      <c r="H914" s="6"/>
      <c r="I914" s="6"/>
      <c r="J914" s="6"/>
      <c r="K914" s="6"/>
      <c r="L914" s="6"/>
      <c r="M914" s="451"/>
      <c r="N914" s="451"/>
      <c r="O914" s="6"/>
      <c r="P914" s="6"/>
      <c r="Q914" s="6"/>
      <c r="R914" s="451"/>
      <c r="S914" s="445">
        <f t="shared" si="83"/>
        <v>0</v>
      </c>
      <c r="T914" s="445">
        <f t="shared" si="84"/>
        <v>0</v>
      </c>
      <c r="U914" s="445">
        <f t="shared" si="85"/>
        <v>0</v>
      </c>
      <c r="W914" s="450"/>
      <c r="X914" s="450"/>
      <c r="Y914" s="441"/>
      <c r="Z914" s="441"/>
      <c r="AA914" s="441"/>
      <c r="AB914" s="441"/>
      <c r="AC914" s="441"/>
      <c r="AD914" s="441"/>
      <c r="AE914" s="441"/>
      <c r="AF914" s="441"/>
      <c r="AG914" s="441"/>
      <c r="AH914" s="441"/>
      <c r="AI914" s="441"/>
      <c r="AJ914" s="441"/>
      <c r="AK914" s="441"/>
      <c r="AL914" s="441"/>
      <c r="AM914" s="441"/>
      <c r="AN914" s="441"/>
      <c r="AO914" s="441"/>
    </row>
    <row r="915" spans="1:41" ht="12.75" hidden="1" thickBot="1">
      <c r="A915" s="1" t="s">
        <v>1278</v>
      </c>
      <c r="B915" s="2" t="s">
        <v>341</v>
      </c>
      <c r="C915" s="2" t="s">
        <v>1084</v>
      </c>
      <c r="D915" s="8" t="s">
        <v>567</v>
      </c>
      <c r="E915" s="460"/>
      <c r="F915" s="4"/>
      <c r="G915" s="449"/>
      <c r="H915" s="4"/>
      <c r="I915" s="4"/>
      <c r="J915" s="4"/>
      <c r="K915" s="4"/>
      <c r="L915" s="4"/>
      <c r="M915" s="449"/>
      <c r="N915" s="449"/>
      <c r="O915" s="4"/>
      <c r="P915" s="4"/>
      <c r="Q915" s="4"/>
      <c r="R915" s="449"/>
      <c r="S915" s="445">
        <f t="shared" ref="S915:S970" si="86">G915+H915+I915</f>
        <v>0</v>
      </c>
      <c r="T915" s="445">
        <f t="shared" ref="T915:T970" si="87">J915+K915</f>
        <v>0</v>
      </c>
      <c r="U915" s="445">
        <f t="shared" ref="U915:U970" si="88">N915+O915</f>
        <v>0</v>
      </c>
      <c r="W915" s="450"/>
      <c r="X915" s="450"/>
      <c r="Y915" s="441"/>
      <c r="Z915" s="441"/>
      <c r="AA915" s="441"/>
      <c r="AB915" s="441"/>
      <c r="AC915" s="441"/>
      <c r="AD915" s="441"/>
      <c r="AE915" s="441"/>
      <c r="AF915" s="441"/>
      <c r="AG915" s="441"/>
      <c r="AH915" s="441"/>
      <c r="AI915" s="441"/>
      <c r="AJ915" s="441"/>
      <c r="AK915" s="441"/>
      <c r="AL915" s="441"/>
      <c r="AM915" s="441"/>
      <c r="AN915" s="441"/>
      <c r="AO915" s="441"/>
    </row>
    <row r="916" spans="1:41" ht="12.75" hidden="1" thickBot="1">
      <c r="A916" s="1" t="s">
        <v>1278</v>
      </c>
      <c r="B916" s="2" t="s">
        <v>317</v>
      </c>
      <c r="C916" s="2" t="s">
        <v>1085</v>
      </c>
      <c r="D916" s="8" t="s">
        <v>567</v>
      </c>
      <c r="E916" s="459"/>
      <c r="F916" s="6"/>
      <c r="G916" s="451"/>
      <c r="H916" s="6"/>
      <c r="I916" s="6"/>
      <c r="J916" s="6"/>
      <c r="K916" s="6"/>
      <c r="L916" s="6"/>
      <c r="M916" s="451"/>
      <c r="N916" s="451"/>
      <c r="O916" s="6"/>
      <c r="P916" s="6"/>
      <c r="Q916" s="451"/>
      <c r="R916" s="451"/>
      <c r="S916" s="445">
        <f t="shared" si="86"/>
        <v>0</v>
      </c>
      <c r="T916" s="445">
        <f t="shared" si="87"/>
        <v>0</v>
      </c>
      <c r="U916" s="445">
        <f t="shared" si="88"/>
        <v>0</v>
      </c>
      <c r="W916" s="450"/>
      <c r="X916" s="450"/>
      <c r="Y916" s="441"/>
      <c r="Z916" s="441"/>
      <c r="AA916" s="441"/>
      <c r="AB916" s="441"/>
      <c r="AC916" s="441"/>
      <c r="AD916" s="441"/>
      <c r="AE916" s="441"/>
      <c r="AF916" s="441"/>
      <c r="AG916" s="441"/>
      <c r="AH916" s="441"/>
      <c r="AI916" s="441"/>
      <c r="AJ916" s="441"/>
      <c r="AK916" s="441"/>
      <c r="AL916" s="441"/>
      <c r="AM916" s="441"/>
      <c r="AN916" s="441"/>
      <c r="AO916" s="441"/>
    </row>
    <row r="917" spans="1:41" ht="12.75" hidden="1" thickBot="1">
      <c r="A917" s="1" t="s">
        <v>1278</v>
      </c>
      <c r="B917" s="2" t="s">
        <v>1235</v>
      </c>
      <c r="C917" s="2" t="s">
        <v>1236</v>
      </c>
      <c r="D917" s="8" t="s">
        <v>567</v>
      </c>
      <c r="E917" s="460"/>
      <c r="F917" s="4"/>
      <c r="G917" s="449"/>
      <c r="H917" s="4"/>
      <c r="I917" s="4"/>
      <c r="J917" s="4"/>
      <c r="K917" s="4"/>
      <c r="L917" s="4"/>
      <c r="M917" s="449"/>
      <c r="N917" s="449"/>
      <c r="O917" s="4"/>
      <c r="P917" s="4"/>
      <c r="Q917" s="449"/>
      <c r="R917" s="449"/>
      <c r="S917" s="445">
        <f t="shared" si="86"/>
        <v>0</v>
      </c>
      <c r="T917" s="445">
        <f t="shared" si="87"/>
        <v>0</v>
      </c>
      <c r="U917" s="445">
        <f t="shared" si="88"/>
        <v>0</v>
      </c>
      <c r="W917" s="450"/>
      <c r="X917" s="450"/>
      <c r="Y917" s="441"/>
      <c r="Z917" s="441"/>
      <c r="AA917" s="441"/>
      <c r="AB917" s="441"/>
      <c r="AC917" s="441"/>
      <c r="AD917" s="441"/>
      <c r="AE917" s="441"/>
      <c r="AF917" s="441"/>
      <c r="AG917" s="441"/>
      <c r="AH917" s="441"/>
      <c r="AI917" s="441"/>
      <c r="AJ917" s="441"/>
      <c r="AK917" s="441"/>
      <c r="AL917" s="441"/>
      <c r="AM917" s="441"/>
      <c r="AN917" s="441"/>
      <c r="AO917" s="441"/>
    </row>
    <row r="918" spans="1:41" ht="12.75" hidden="1" thickBot="1">
      <c r="A918" s="1" t="s">
        <v>1278</v>
      </c>
      <c r="B918" s="2" t="s">
        <v>318</v>
      </c>
      <c r="C918" s="2" t="s">
        <v>1086</v>
      </c>
      <c r="D918" s="8" t="s">
        <v>567</v>
      </c>
      <c r="E918" s="459"/>
      <c r="F918" s="6"/>
      <c r="G918" s="6"/>
      <c r="H918" s="6"/>
      <c r="I918" s="6"/>
      <c r="J918" s="6"/>
      <c r="K918" s="6"/>
      <c r="L918" s="6"/>
      <c r="M918" s="6"/>
      <c r="N918" s="6"/>
      <c r="O918" s="6"/>
      <c r="P918" s="6"/>
      <c r="Q918" s="6"/>
      <c r="R918" s="6"/>
      <c r="S918" s="445">
        <f t="shared" si="86"/>
        <v>0</v>
      </c>
      <c r="T918" s="445">
        <f t="shared" si="87"/>
        <v>0</v>
      </c>
      <c r="U918" s="445">
        <f t="shared" si="88"/>
        <v>0</v>
      </c>
      <c r="W918" s="450"/>
      <c r="X918" s="450"/>
      <c r="Y918" s="441"/>
      <c r="Z918" s="441"/>
      <c r="AA918" s="441"/>
      <c r="AB918" s="441"/>
      <c r="AC918" s="441"/>
      <c r="AD918" s="441"/>
      <c r="AE918" s="441"/>
      <c r="AF918" s="441"/>
      <c r="AG918" s="441"/>
      <c r="AH918" s="441"/>
      <c r="AI918" s="441"/>
      <c r="AJ918" s="441"/>
      <c r="AK918" s="441"/>
      <c r="AL918" s="441"/>
      <c r="AM918" s="441"/>
      <c r="AN918" s="441"/>
      <c r="AO918" s="441"/>
    </row>
    <row r="919" spans="1:41" ht="12.75" hidden="1" thickBot="1">
      <c r="A919" s="1" t="s">
        <v>1278</v>
      </c>
      <c r="B919" s="2" t="s">
        <v>1237</v>
      </c>
      <c r="C919" s="2" t="s">
        <v>1238</v>
      </c>
      <c r="D919" s="8" t="s">
        <v>567</v>
      </c>
      <c r="E919" s="460"/>
      <c r="F919" s="4"/>
      <c r="G919" s="449"/>
      <c r="H919" s="4"/>
      <c r="I919" s="4"/>
      <c r="J919" s="4"/>
      <c r="K919" s="4"/>
      <c r="L919" s="4"/>
      <c r="M919" s="449"/>
      <c r="N919" s="449"/>
      <c r="O919" s="4"/>
      <c r="P919" s="4"/>
      <c r="Q919" s="449"/>
      <c r="R919" s="449"/>
      <c r="S919" s="445">
        <f t="shared" si="86"/>
        <v>0</v>
      </c>
      <c r="T919" s="445">
        <f t="shared" si="87"/>
        <v>0</v>
      </c>
      <c r="U919" s="445">
        <f t="shared" si="88"/>
        <v>0</v>
      </c>
      <c r="W919" s="450"/>
      <c r="X919" s="450"/>
      <c r="Y919" s="441"/>
      <c r="Z919" s="441"/>
      <c r="AA919" s="441"/>
      <c r="AB919" s="441"/>
      <c r="AC919" s="441"/>
      <c r="AD919" s="441"/>
      <c r="AE919" s="441"/>
      <c r="AF919" s="441"/>
      <c r="AG919" s="441"/>
      <c r="AH919" s="441"/>
      <c r="AI919" s="441"/>
      <c r="AJ919" s="441"/>
      <c r="AK919" s="441"/>
      <c r="AL919" s="441"/>
      <c r="AM919" s="441"/>
      <c r="AN919" s="441"/>
      <c r="AO919" s="441"/>
    </row>
    <row r="920" spans="1:41" ht="12.75" hidden="1" thickBot="1">
      <c r="A920" s="1" t="s">
        <v>1278</v>
      </c>
      <c r="B920" s="2" t="s">
        <v>319</v>
      </c>
      <c r="C920" s="2" t="s">
        <v>1087</v>
      </c>
      <c r="D920" s="8" t="s">
        <v>567</v>
      </c>
      <c r="E920" s="459"/>
      <c r="F920" s="6"/>
      <c r="G920" s="6"/>
      <c r="H920" s="6"/>
      <c r="I920" s="6"/>
      <c r="J920" s="6"/>
      <c r="K920" s="6"/>
      <c r="L920" s="6"/>
      <c r="M920" s="6"/>
      <c r="N920" s="6"/>
      <c r="O920" s="6"/>
      <c r="P920" s="6"/>
      <c r="Q920" s="6"/>
      <c r="R920" s="6"/>
      <c r="S920" s="445">
        <f t="shared" si="86"/>
        <v>0</v>
      </c>
      <c r="T920" s="445">
        <f t="shared" si="87"/>
        <v>0</v>
      </c>
      <c r="U920" s="445">
        <f t="shared" si="88"/>
        <v>0</v>
      </c>
      <c r="W920" s="450"/>
      <c r="X920" s="450"/>
      <c r="Y920" s="441"/>
      <c r="Z920" s="441"/>
      <c r="AA920" s="441"/>
      <c r="AB920" s="441"/>
      <c r="AC920" s="441"/>
      <c r="AD920" s="441"/>
      <c r="AE920" s="441"/>
      <c r="AF920" s="441"/>
      <c r="AG920" s="441"/>
      <c r="AH920" s="441"/>
      <c r="AI920" s="441"/>
      <c r="AJ920" s="441"/>
      <c r="AK920" s="441"/>
      <c r="AL920" s="441"/>
      <c r="AM920" s="441"/>
      <c r="AN920" s="441"/>
      <c r="AO920" s="441"/>
    </row>
    <row r="921" spans="1:41" ht="12.75" hidden="1" thickBot="1">
      <c r="A921" s="1" t="s">
        <v>1278</v>
      </c>
      <c r="B921" s="2" t="s">
        <v>1225</v>
      </c>
      <c r="C921" s="2" t="s">
        <v>1226</v>
      </c>
      <c r="D921" s="8" t="s">
        <v>567</v>
      </c>
      <c r="E921" s="460"/>
      <c r="F921" s="4"/>
      <c r="G921" s="449"/>
      <c r="H921" s="4"/>
      <c r="I921" s="4"/>
      <c r="J921" s="4"/>
      <c r="K921" s="4"/>
      <c r="L921" s="4"/>
      <c r="M921" s="449"/>
      <c r="N921" s="449"/>
      <c r="O921" s="4"/>
      <c r="P921" s="4"/>
      <c r="Q921" s="449"/>
      <c r="R921" s="449"/>
      <c r="S921" s="445">
        <f t="shared" si="86"/>
        <v>0</v>
      </c>
      <c r="T921" s="445">
        <f t="shared" si="87"/>
        <v>0</v>
      </c>
      <c r="U921" s="445">
        <f t="shared" si="88"/>
        <v>0</v>
      </c>
      <c r="W921" s="450"/>
      <c r="X921" s="450"/>
      <c r="Y921" s="441"/>
      <c r="Z921" s="441"/>
      <c r="AA921" s="441"/>
      <c r="AB921" s="441"/>
      <c r="AC921" s="441"/>
      <c r="AD921" s="441"/>
      <c r="AE921" s="441"/>
      <c r="AF921" s="441"/>
      <c r="AG921" s="441"/>
      <c r="AH921" s="441"/>
      <c r="AI921" s="441"/>
      <c r="AJ921" s="441"/>
      <c r="AK921" s="441"/>
      <c r="AL921" s="441"/>
      <c r="AM921" s="441"/>
      <c r="AN921" s="441"/>
      <c r="AO921" s="441"/>
    </row>
    <row r="922" spans="1:41" ht="12.75" hidden="1" thickBot="1">
      <c r="A922" s="1" t="s">
        <v>1278</v>
      </c>
      <c r="B922" s="2" t="s">
        <v>320</v>
      </c>
      <c r="C922" s="2" t="s">
        <v>1088</v>
      </c>
      <c r="D922" s="8" t="s">
        <v>567</v>
      </c>
      <c r="E922" s="459"/>
      <c r="F922" s="6"/>
      <c r="G922" s="451"/>
      <c r="H922" s="6"/>
      <c r="I922" s="6"/>
      <c r="J922" s="6"/>
      <c r="K922" s="6"/>
      <c r="L922" s="6"/>
      <c r="M922" s="451"/>
      <c r="N922" s="451"/>
      <c r="O922" s="6"/>
      <c r="P922" s="6"/>
      <c r="Q922" s="451"/>
      <c r="R922" s="451"/>
      <c r="S922" s="445">
        <f t="shared" si="86"/>
        <v>0</v>
      </c>
      <c r="T922" s="445">
        <f t="shared" si="87"/>
        <v>0</v>
      </c>
      <c r="U922" s="445">
        <f t="shared" si="88"/>
        <v>0</v>
      </c>
      <c r="W922" s="450"/>
      <c r="X922" s="450"/>
      <c r="Y922" s="441"/>
      <c r="Z922" s="441"/>
      <c r="AA922" s="441"/>
      <c r="AB922" s="441"/>
      <c r="AC922" s="441"/>
      <c r="AD922" s="441"/>
      <c r="AE922" s="441"/>
      <c r="AF922" s="441"/>
      <c r="AG922" s="441"/>
      <c r="AH922" s="441"/>
      <c r="AI922" s="441"/>
      <c r="AJ922" s="441"/>
      <c r="AK922" s="441"/>
      <c r="AL922" s="441"/>
      <c r="AM922" s="441"/>
      <c r="AN922" s="441"/>
      <c r="AO922" s="441"/>
    </row>
    <row r="923" spans="1:41" ht="12.75" hidden="1" thickBot="1">
      <c r="A923" s="1" t="s">
        <v>1278</v>
      </c>
      <c r="B923" s="2" t="s">
        <v>321</v>
      </c>
      <c r="C923" s="2" t="s">
        <v>1089</v>
      </c>
      <c r="D923" s="8" t="s">
        <v>567</v>
      </c>
      <c r="E923" s="460"/>
      <c r="F923" s="4"/>
      <c r="G923" s="4"/>
      <c r="H923" s="4"/>
      <c r="I923" s="4"/>
      <c r="J923" s="4"/>
      <c r="K923" s="4"/>
      <c r="L923" s="4"/>
      <c r="M923" s="4"/>
      <c r="N923" s="4"/>
      <c r="O923" s="4"/>
      <c r="P923" s="4"/>
      <c r="Q923" s="4"/>
      <c r="R923" s="4"/>
      <c r="S923" s="445">
        <f t="shared" si="86"/>
        <v>0</v>
      </c>
      <c r="T923" s="445">
        <f t="shared" si="87"/>
        <v>0</v>
      </c>
      <c r="U923" s="445">
        <f t="shared" si="88"/>
        <v>0</v>
      </c>
      <c r="W923" s="450"/>
      <c r="X923" s="450"/>
      <c r="Y923" s="441"/>
      <c r="Z923" s="441"/>
      <c r="AA923" s="441"/>
      <c r="AB923" s="441"/>
      <c r="AC923" s="441"/>
      <c r="AD923" s="441"/>
      <c r="AE923" s="441"/>
      <c r="AF923" s="441"/>
      <c r="AG923" s="441"/>
      <c r="AH923" s="441"/>
      <c r="AI923" s="441"/>
      <c r="AJ923" s="441"/>
      <c r="AK923" s="441"/>
      <c r="AL923" s="441"/>
      <c r="AM923" s="441"/>
      <c r="AN923" s="441"/>
      <c r="AO923" s="441"/>
    </row>
    <row r="924" spans="1:41" ht="12.75" hidden="1" thickBot="1">
      <c r="A924" s="1" t="s">
        <v>1278</v>
      </c>
      <c r="B924" s="2" t="s">
        <v>1227</v>
      </c>
      <c r="C924" s="2" t="s">
        <v>1228</v>
      </c>
      <c r="D924" s="8" t="s">
        <v>567</v>
      </c>
      <c r="E924" s="459"/>
      <c r="F924" s="6"/>
      <c r="G924" s="451"/>
      <c r="H924" s="6"/>
      <c r="I924" s="6"/>
      <c r="J924" s="6"/>
      <c r="K924" s="6"/>
      <c r="L924" s="6"/>
      <c r="M924" s="451"/>
      <c r="N924" s="451"/>
      <c r="O924" s="6"/>
      <c r="P924" s="6"/>
      <c r="Q924" s="451"/>
      <c r="R924" s="451"/>
      <c r="S924" s="445">
        <f t="shared" si="86"/>
        <v>0</v>
      </c>
      <c r="T924" s="445">
        <f t="shared" si="87"/>
        <v>0</v>
      </c>
      <c r="U924" s="445">
        <f t="shared" si="88"/>
        <v>0</v>
      </c>
      <c r="W924" s="450"/>
      <c r="X924" s="450"/>
      <c r="Y924" s="441"/>
      <c r="Z924" s="441"/>
      <c r="AA924" s="441"/>
      <c r="AB924" s="441"/>
      <c r="AC924" s="441"/>
      <c r="AD924" s="441"/>
      <c r="AE924" s="441"/>
      <c r="AF924" s="441"/>
      <c r="AG924" s="441"/>
      <c r="AH924" s="441"/>
      <c r="AI924" s="441"/>
      <c r="AJ924" s="441"/>
      <c r="AK924" s="441"/>
      <c r="AL924" s="441"/>
      <c r="AM924" s="441"/>
      <c r="AN924" s="441"/>
      <c r="AO924" s="441"/>
    </row>
    <row r="925" spans="1:41" ht="12.75" hidden="1" thickBot="1">
      <c r="A925" s="1" t="s">
        <v>1278</v>
      </c>
      <c r="B925" s="2" t="s">
        <v>322</v>
      </c>
      <c r="C925" s="2" t="s">
        <v>1090</v>
      </c>
      <c r="D925" s="8" t="s">
        <v>567</v>
      </c>
      <c r="E925" s="460"/>
      <c r="F925" s="4"/>
      <c r="G925" s="449"/>
      <c r="H925" s="4"/>
      <c r="I925" s="4"/>
      <c r="J925" s="4"/>
      <c r="K925" s="4"/>
      <c r="L925" s="4"/>
      <c r="M925" s="449"/>
      <c r="N925" s="449"/>
      <c r="O925" s="4"/>
      <c r="P925" s="4"/>
      <c r="Q925" s="449"/>
      <c r="R925" s="449"/>
      <c r="S925" s="445">
        <f t="shared" si="86"/>
        <v>0</v>
      </c>
      <c r="T925" s="445">
        <f t="shared" si="87"/>
        <v>0</v>
      </c>
      <c r="U925" s="445">
        <f t="shared" si="88"/>
        <v>0</v>
      </c>
      <c r="W925" s="450"/>
      <c r="X925" s="450"/>
      <c r="Y925" s="441"/>
      <c r="Z925" s="441"/>
      <c r="AA925" s="441"/>
      <c r="AB925" s="441"/>
      <c r="AC925" s="441"/>
      <c r="AD925" s="441"/>
      <c r="AE925" s="441"/>
      <c r="AF925" s="441"/>
      <c r="AG925" s="441"/>
      <c r="AH925" s="441"/>
      <c r="AI925" s="441"/>
      <c r="AJ925" s="441"/>
      <c r="AK925" s="441"/>
      <c r="AL925" s="441"/>
      <c r="AM925" s="441"/>
      <c r="AN925" s="441"/>
      <c r="AO925" s="441"/>
    </row>
    <row r="926" spans="1:41" ht="12.75" hidden="1" thickBot="1">
      <c r="A926" s="1" t="s">
        <v>1278</v>
      </c>
      <c r="B926" s="2" t="s">
        <v>323</v>
      </c>
      <c r="C926" s="2" t="s">
        <v>1091</v>
      </c>
      <c r="D926" s="453" t="s">
        <v>459</v>
      </c>
      <c r="E926" s="459"/>
      <c r="F926" s="6"/>
      <c r="G926" s="451"/>
      <c r="H926" s="6"/>
      <c r="I926" s="6"/>
      <c r="J926" s="6"/>
      <c r="K926" s="6"/>
      <c r="L926" s="6"/>
      <c r="M926" s="451"/>
      <c r="N926" s="451"/>
      <c r="O926" s="6"/>
      <c r="P926" s="6"/>
      <c r="Q926" s="451"/>
      <c r="R926" s="451"/>
      <c r="S926" s="445">
        <f t="shared" si="86"/>
        <v>0</v>
      </c>
      <c r="T926" s="445">
        <f t="shared" si="87"/>
        <v>0</v>
      </c>
      <c r="U926" s="445">
        <f t="shared" si="88"/>
        <v>0</v>
      </c>
      <c r="W926" s="450"/>
      <c r="X926" s="450"/>
      <c r="Y926" s="441"/>
      <c r="Z926" s="441"/>
      <c r="AA926" s="441"/>
      <c r="AB926" s="441"/>
      <c r="AC926" s="441"/>
      <c r="AD926" s="441"/>
      <c r="AE926" s="441"/>
      <c r="AF926" s="441"/>
      <c r="AG926" s="441"/>
      <c r="AH926" s="441"/>
      <c r="AI926" s="441"/>
      <c r="AJ926" s="441"/>
      <c r="AK926" s="441"/>
      <c r="AL926" s="441"/>
      <c r="AM926" s="441"/>
      <c r="AN926" s="441"/>
      <c r="AO926" s="441"/>
    </row>
    <row r="927" spans="1:41" ht="12.75" hidden="1" thickBot="1">
      <c r="A927" s="1" t="s">
        <v>1278</v>
      </c>
      <c r="B927" s="2" t="s">
        <v>328</v>
      </c>
      <c r="C927" s="2" t="s">
        <v>1092</v>
      </c>
      <c r="D927" s="8" t="s">
        <v>567</v>
      </c>
      <c r="E927" s="460"/>
      <c r="F927" s="4"/>
      <c r="G927" s="449"/>
      <c r="H927" s="4"/>
      <c r="I927" s="4"/>
      <c r="J927" s="4"/>
      <c r="K927" s="4"/>
      <c r="L927" s="4"/>
      <c r="M927" s="449"/>
      <c r="N927" s="449"/>
      <c r="O927" s="4"/>
      <c r="P927" s="4"/>
      <c r="Q927" s="449"/>
      <c r="R927" s="449"/>
      <c r="S927" s="445">
        <f t="shared" si="86"/>
        <v>0</v>
      </c>
      <c r="T927" s="445">
        <f t="shared" si="87"/>
        <v>0</v>
      </c>
      <c r="U927" s="445">
        <f t="shared" si="88"/>
        <v>0</v>
      </c>
      <c r="W927" s="450"/>
      <c r="X927" s="450"/>
      <c r="Y927" s="441"/>
      <c r="Z927" s="441"/>
      <c r="AA927" s="441"/>
      <c r="AB927" s="441"/>
      <c r="AC927" s="441"/>
      <c r="AD927" s="441"/>
      <c r="AE927" s="441"/>
      <c r="AF927" s="441"/>
      <c r="AG927" s="441"/>
      <c r="AH927" s="441"/>
      <c r="AI927" s="441"/>
      <c r="AJ927" s="441"/>
      <c r="AK927" s="441"/>
      <c r="AL927" s="441"/>
      <c r="AM927" s="441"/>
      <c r="AN927" s="441"/>
      <c r="AO927" s="441"/>
    </row>
    <row r="928" spans="1:41" ht="12.75" hidden="1" thickBot="1">
      <c r="A928" s="1" t="s">
        <v>1278</v>
      </c>
      <c r="B928" s="2" t="s">
        <v>329</v>
      </c>
      <c r="C928" s="2" t="s">
        <v>1093</v>
      </c>
      <c r="D928" s="453" t="s">
        <v>459</v>
      </c>
      <c r="E928" s="459"/>
      <c r="F928" s="6"/>
      <c r="G928" s="451"/>
      <c r="H928" s="6"/>
      <c r="I928" s="6"/>
      <c r="J928" s="6"/>
      <c r="K928" s="6"/>
      <c r="L928" s="6"/>
      <c r="M928" s="451"/>
      <c r="N928" s="451"/>
      <c r="O928" s="6"/>
      <c r="P928" s="6"/>
      <c r="Q928" s="451"/>
      <c r="R928" s="451"/>
      <c r="S928" s="445">
        <f t="shared" si="86"/>
        <v>0</v>
      </c>
      <c r="T928" s="445">
        <f t="shared" si="87"/>
        <v>0</v>
      </c>
      <c r="U928" s="445">
        <f t="shared" si="88"/>
        <v>0</v>
      </c>
      <c r="W928" s="450"/>
      <c r="X928" s="450"/>
      <c r="Y928" s="441"/>
      <c r="Z928" s="441"/>
      <c r="AA928" s="441"/>
      <c r="AB928" s="441"/>
      <c r="AC928" s="441"/>
      <c r="AD928" s="441"/>
      <c r="AE928" s="441"/>
      <c r="AF928" s="441"/>
      <c r="AG928" s="441"/>
      <c r="AH928" s="441"/>
      <c r="AI928" s="441"/>
      <c r="AJ928" s="441"/>
      <c r="AK928" s="441"/>
      <c r="AL928" s="441"/>
      <c r="AM928" s="441"/>
      <c r="AN928" s="441"/>
      <c r="AO928" s="441"/>
    </row>
    <row r="929" spans="1:41" ht="12.75" hidden="1" thickBot="1">
      <c r="A929" s="1" t="s">
        <v>1278</v>
      </c>
      <c r="B929" s="2" t="s">
        <v>330</v>
      </c>
      <c r="C929" s="2" t="s">
        <v>1094</v>
      </c>
      <c r="D929" s="8" t="s">
        <v>567</v>
      </c>
      <c r="E929" s="460"/>
      <c r="F929" s="4"/>
      <c r="G929" s="449"/>
      <c r="H929" s="4"/>
      <c r="I929" s="4"/>
      <c r="J929" s="4"/>
      <c r="K929" s="4"/>
      <c r="L929" s="4"/>
      <c r="M929" s="449"/>
      <c r="N929" s="449"/>
      <c r="O929" s="4"/>
      <c r="P929" s="4"/>
      <c r="Q929" s="449"/>
      <c r="R929" s="449"/>
      <c r="S929" s="445">
        <f t="shared" si="86"/>
        <v>0</v>
      </c>
      <c r="T929" s="445">
        <f t="shared" si="87"/>
        <v>0</v>
      </c>
      <c r="U929" s="445">
        <f t="shared" si="88"/>
        <v>0</v>
      </c>
      <c r="W929" s="450"/>
      <c r="X929" s="450"/>
      <c r="Y929" s="441"/>
      <c r="Z929" s="441"/>
      <c r="AA929" s="441"/>
      <c r="AB929" s="441"/>
      <c r="AC929" s="441"/>
      <c r="AD929" s="441"/>
      <c r="AE929" s="441"/>
      <c r="AF929" s="441"/>
      <c r="AG929" s="441"/>
      <c r="AH929" s="441"/>
      <c r="AI929" s="441"/>
      <c r="AJ929" s="441"/>
      <c r="AK929" s="441"/>
      <c r="AL929" s="441"/>
      <c r="AM929" s="441"/>
      <c r="AN929" s="441"/>
      <c r="AO929" s="441"/>
    </row>
    <row r="930" spans="1:41" ht="12.75" hidden="1" thickBot="1">
      <c r="A930" s="1" t="s">
        <v>1278</v>
      </c>
      <c r="B930" s="2" t="s">
        <v>331</v>
      </c>
      <c r="C930" s="2" t="s">
        <v>1095</v>
      </c>
      <c r="D930" s="453" t="s">
        <v>459</v>
      </c>
      <c r="E930" s="459"/>
      <c r="F930" s="6"/>
      <c r="G930" s="451"/>
      <c r="H930" s="6"/>
      <c r="I930" s="6"/>
      <c r="J930" s="6"/>
      <c r="K930" s="6"/>
      <c r="L930" s="6"/>
      <c r="M930" s="451"/>
      <c r="N930" s="451"/>
      <c r="O930" s="6"/>
      <c r="P930" s="6"/>
      <c r="Q930" s="451"/>
      <c r="R930" s="451"/>
      <c r="S930" s="445">
        <f t="shared" si="86"/>
        <v>0</v>
      </c>
      <c r="T930" s="445">
        <f t="shared" si="87"/>
        <v>0</v>
      </c>
      <c r="U930" s="445">
        <f t="shared" si="88"/>
        <v>0</v>
      </c>
      <c r="W930" s="450"/>
      <c r="X930" s="450"/>
      <c r="Y930" s="441"/>
      <c r="Z930" s="441"/>
      <c r="AA930" s="441"/>
      <c r="AB930" s="441"/>
      <c r="AC930" s="441"/>
      <c r="AD930" s="441"/>
      <c r="AE930" s="441"/>
      <c r="AF930" s="441"/>
      <c r="AG930" s="441"/>
      <c r="AH930" s="441"/>
      <c r="AI930" s="441"/>
      <c r="AJ930" s="441"/>
      <c r="AK930" s="441"/>
      <c r="AL930" s="441"/>
      <c r="AM930" s="441"/>
      <c r="AN930" s="441"/>
      <c r="AO930" s="441"/>
    </row>
    <row r="931" spans="1:41" ht="12.75" hidden="1" thickBot="1">
      <c r="A931" s="1" t="s">
        <v>1278</v>
      </c>
      <c r="B931" s="2" t="s">
        <v>332</v>
      </c>
      <c r="C931" s="2" t="s">
        <v>1096</v>
      </c>
      <c r="D931" s="453" t="s">
        <v>459</v>
      </c>
      <c r="E931" s="460"/>
      <c r="F931" s="4"/>
      <c r="G931" s="449"/>
      <c r="H931" s="4"/>
      <c r="I931" s="4"/>
      <c r="J931" s="4"/>
      <c r="K931" s="4"/>
      <c r="L931" s="4"/>
      <c r="M931" s="449"/>
      <c r="N931" s="449"/>
      <c r="O931" s="4"/>
      <c r="P931" s="4"/>
      <c r="Q931" s="449"/>
      <c r="R931" s="449"/>
      <c r="S931" s="445">
        <f t="shared" si="86"/>
        <v>0</v>
      </c>
      <c r="T931" s="445">
        <f t="shared" si="87"/>
        <v>0</v>
      </c>
      <c r="U931" s="445">
        <f t="shared" si="88"/>
        <v>0</v>
      </c>
      <c r="W931" s="450"/>
      <c r="X931" s="450"/>
      <c r="Y931" s="441"/>
      <c r="Z931" s="441"/>
      <c r="AA931" s="441"/>
      <c r="AB931" s="441"/>
      <c r="AC931" s="441"/>
      <c r="AD931" s="441"/>
      <c r="AE931" s="441"/>
      <c r="AF931" s="441"/>
      <c r="AG931" s="441"/>
      <c r="AH931" s="441"/>
      <c r="AI931" s="441"/>
      <c r="AJ931" s="441"/>
      <c r="AK931" s="441"/>
      <c r="AL931" s="441"/>
      <c r="AM931" s="441"/>
      <c r="AN931" s="441"/>
      <c r="AO931" s="441"/>
    </row>
    <row r="932" spans="1:41" ht="12.75" hidden="1" thickBot="1">
      <c r="A932" s="1" t="s">
        <v>1278</v>
      </c>
      <c r="B932" s="2" t="s">
        <v>333</v>
      </c>
      <c r="C932" s="2" t="s">
        <v>1097</v>
      </c>
      <c r="D932" s="8" t="s">
        <v>567</v>
      </c>
      <c r="E932" s="459"/>
      <c r="F932" s="6"/>
      <c r="G932" s="451"/>
      <c r="H932" s="6"/>
      <c r="I932" s="6"/>
      <c r="J932" s="6"/>
      <c r="K932" s="6"/>
      <c r="L932" s="6"/>
      <c r="M932" s="451"/>
      <c r="N932" s="451"/>
      <c r="O932" s="6"/>
      <c r="P932" s="6"/>
      <c r="Q932" s="451"/>
      <c r="R932" s="451"/>
      <c r="S932" s="445">
        <f t="shared" si="86"/>
        <v>0</v>
      </c>
      <c r="T932" s="445">
        <f t="shared" si="87"/>
        <v>0</v>
      </c>
      <c r="U932" s="445">
        <f t="shared" si="88"/>
        <v>0</v>
      </c>
      <c r="W932" s="450"/>
      <c r="X932" s="450"/>
      <c r="Y932" s="441"/>
      <c r="Z932" s="441"/>
      <c r="AA932" s="441"/>
      <c r="AB932" s="441"/>
      <c r="AC932" s="441"/>
      <c r="AD932" s="441"/>
      <c r="AE932" s="441"/>
      <c r="AF932" s="441"/>
      <c r="AG932" s="441"/>
      <c r="AH932" s="441"/>
      <c r="AI932" s="441"/>
      <c r="AJ932" s="441"/>
      <c r="AK932" s="441"/>
      <c r="AL932" s="441"/>
      <c r="AM932" s="441"/>
      <c r="AN932" s="441"/>
      <c r="AO932" s="441"/>
    </row>
    <row r="933" spans="1:41" ht="12.75" hidden="1" thickBot="1">
      <c r="A933" s="1" t="s">
        <v>1278</v>
      </c>
      <c r="B933" s="2" t="s">
        <v>334</v>
      </c>
      <c r="C933" s="2" t="s">
        <v>1098</v>
      </c>
      <c r="D933" s="453" t="s">
        <v>459</v>
      </c>
      <c r="E933" s="460"/>
      <c r="F933" s="4"/>
      <c r="G933" s="449"/>
      <c r="H933" s="4"/>
      <c r="I933" s="4"/>
      <c r="J933" s="4"/>
      <c r="K933" s="4"/>
      <c r="L933" s="4"/>
      <c r="M933" s="449"/>
      <c r="N933" s="449"/>
      <c r="O933" s="4"/>
      <c r="P933" s="4"/>
      <c r="Q933" s="449"/>
      <c r="R933" s="449"/>
      <c r="S933" s="445">
        <f t="shared" si="86"/>
        <v>0</v>
      </c>
      <c r="T933" s="445">
        <f t="shared" si="87"/>
        <v>0</v>
      </c>
      <c r="U933" s="445">
        <f t="shared" si="88"/>
        <v>0</v>
      </c>
      <c r="W933" s="450"/>
      <c r="X933" s="450"/>
      <c r="Y933" s="441"/>
      <c r="Z933" s="441"/>
      <c r="AA933" s="441"/>
      <c r="AB933" s="441"/>
      <c r="AC933" s="441"/>
      <c r="AD933" s="441"/>
      <c r="AE933" s="441"/>
      <c r="AF933" s="441"/>
      <c r="AG933" s="441"/>
      <c r="AH933" s="441"/>
      <c r="AI933" s="441"/>
      <c r="AJ933" s="441"/>
      <c r="AK933" s="441"/>
      <c r="AL933" s="441"/>
      <c r="AM933" s="441"/>
      <c r="AN933" s="441"/>
      <c r="AO933" s="441"/>
    </row>
    <row r="934" spans="1:41" ht="12.75" hidden="1" thickBot="1">
      <c r="A934" s="1" t="s">
        <v>1278</v>
      </c>
      <c r="B934" s="2" t="s">
        <v>620</v>
      </c>
      <c r="C934" s="2" t="s">
        <v>1099</v>
      </c>
      <c r="D934" s="8" t="s">
        <v>567</v>
      </c>
      <c r="E934" s="459"/>
      <c r="F934" s="6"/>
      <c r="G934" s="451"/>
      <c r="H934" s="6"/>
      <c r="I934" s="6"/>
      <c r="J934" s="6"/>
      <c r="K934" s="6"/>
      <c r="L934" s="6"/>
      <c r="M934" s="451"/>
      <c r="N934" s="451"/>
      <c r="O934" s="6"/>
      <c r="P934" s="6"/>
      <c r="Q934" s="451"/>
      <c r="R934" s="451"/>
      <c r="S934" s="445">
        <f t="shared" si="86"/>
        <v>0</v>
      </c>
      <c r="T934" s="445">
        <f t="shared" si="87"/>
        <v>0</v>
      </c>
      <c r="U934" s="445">
        <f t="shared" si="88"/>
        <v>0</v>
      </c>
      <c r="W934" s="450"/>
      <c r="X934" s="450"/>
      <c r="Y934" s="441"/>
      <c r="Z934" s="441"/>
      <c r="AA934" s="441"/>
      <c r="AB934" s="441"/>
      <c r="AC934" s="441"/>
      <c r="AD934" s="441"/>
      <c r="AE934" s="441"/>
      <c r="AF934" s="441"/>
      <c r="AG934" s="441"/>
      <c r="AH934" s="441"/>
      <c r="AI934" s="441"/>
      <c r="AJ934" s="441"/>
      <c r="AK934" s="441"/>
      <c r="AL934" s="441"/>
      <c r="AM934" s="441"/>
      <c r="AN934" s="441"/>
      <c r="AO934" s="441"/>
    </row>
    <row r="935" spans="1:41" ht="12.75" hidden="1" thickBot="1">
      <c r="A935" s="1" t="s">
        <v>1278</v>
      </c>
      <c r="B935" s="2" t="s">
        <v>360</v>
      </c>
      <c r="C935" s="2" t="s">
        <v>1100</v>
      </c>
      <c r="D935" s="8" t="s">
        <v>567</v>
      </c>
      <c r="E935" s="460"/>
      <c r="F935" s="4"/>
      <c r="G935" s="449"/>
      <c r="H935" s="4"/>
      <c r="I935" s="4"/>
      <c r="J935" s="4"/>
      <c r="K935" s="4"/>
      <c r="L935" s="4"/>
      <c r="M935" s="449"/>
      <c r="N935" s="449"/>
      <c r="O935" s="4"/>
      <c r="P935" s="4"/>
      <c r="Q935" s="449"/>
      <c r="R935" s="449"/>
      <c r="S935" s="445">
        <f t="shared" si="86"/>
        <v>0</v>
      </c>
      <c r="T935" s="445">
        <f t="shared" si="87"/>
        <v>0</v>
      </c>
      <c r="U935" s="445">
        <f t="shared" si="88"/>
        <v>0</v>
      </c>
      <c r="W935" s="450"/>
      <c r="X935" s="450"/>
      <c r="Y935" s="441"/>
      <c r="Z935" s="441"/>
      <c r="AA935" s="441"/>
      <c r="AB935" s="441"/>
      <c r="AC935" s="441"/>
      <c r="AD935" s="441"/>
      <c r="AE935" s="441"/>
      <c r="AF935" s="441"/>
      <c r="AG935" s="441"/>
      <c r="AH935" s="441"/>
      <c r="AI935" s="441"/>
      <c r="AJ935" s="441"/>
      <c r="AK935" s="441"/>
      <c r="AL935" s="441"/>
      <c r="AM935" s="441"/>
      <c r="AN935" s="441"/>
      <c r="AO935" s="441"/>
    </row>
    <row r="936" spans="1:41" ht="12.75" hidden="1" thickBot="1">
      <c r="A936" s="1" t="s">
        <v>1278</v>
      </c>
      <c r="B936" s="2" t="s">
        <v>335</v>
      </c>
      <c r="C936" s="2" t="s">
        <v>1101</v>
      </c>
      <c r="D936" s="8" t="s">
        <v>567</v>
      </c>
      <c r="E936" s="459"/>
      <c r="F936" s="6"/>
      <c r="G936" s="451"/>
      <c r="H936" s="6"/>
      <c r="I936" s="6"/>
      <c r="J936" s="6"/>
      <c r="K936" s="6"/>
      <c r="L936" s="6"/>
      <c r="M936" s="451"/>
      <c r="N936" s="451"/>
      <c r="O936" s="6"/>
      <c r="P936" s="6"/>
      <c r="Q936" s="451"/>
      <c r="R936" s="451"/>
      <c r="S936" s="445">
        <f t="shared" si="86"/>
        <v>0</v>
      </c>
      <c r="T936" s="445">
        <f t="shared" si="87"/>
        <v>0</v>
      </c>
      <c r="U936" s="445">
        <f t="shared" si="88"/>
        <v>0</v>
      </c>
      <c r="W936" s="450"/>
      <c r="X936" s="450"/>
      <c r="Y936" s="441"/>
      <c r="Z936" s="441"/>
      <c r="AA936" s="441"/>
      <c r="AB936" s="441"/>
      <c r="AC936" s="441"/>
      <c r="AD936" s="441"/>
      <c r="AE936" s="441"/>
      <c r="AF936" s="441"/>
      <c r="AG936" s="441"/>
      <c r="AH936" s="441"/>
      <c r="AI936" s="441"/>
      <c r="AJ936" s="441"/>
      <c r="AK936" s="441"/>
      <c r="AL936" s="441"/>
      <c r="AM936" s="441"/>
      <c r="AN936" s="441"/>
      <c r="AO936" s="441"/>
    </row>
    <row r="937" spans="1:41" ht="12.75" hidden="1" thickBot="1">
      <c r="A937" s="1" t="s">
        <v>1278</v>
      </c>
      <c r="B937" s="2" t="s">
        <v>336</v>
      </c>
      <c r="C937" s="2" t="s">
        <v>1102</v>
      </c>
      <c r="D937" s="8" t="s">
        <v>567</v>
      </c>
      <c r="E937" s="460"/>
      <c r="F937" s="4"/>
      <c r="G937" s="449"/>
      <c r="H937" s="4"/>
      <c r="I937" s="4"/>
      <c r="J937" s="4"/>
      <c r="K937" s="4"/>
      <c r="L937" s="4"/>
      <c r="M937" s="449"/>
      <c r="N937" s="449"/>
      <c r="O937" s="4"/>
      <c r="P937" s="4"/>
      <c r="Q937" s="449"/>
      <c r="R937" s="449"/>
      <c r="S937" s="445">
        <f t="shared" si="86"/>
        <v>0</v>
      </c>
      <c r="T937" s="445">
        <f t="shared" si="87"/>
        <v>0</v>
      </c>
      <c r="U937" s="445">
        <f t="shared" si="88"/>
        <v>0</v>
      </c>
      <c r="W937" s="450"/>
      <c r="X937" s="450"/>
      <c r="Y937" s="441"/>
      <c r="Z937" s="441"/>
      <c r="AA937" s="441"/>
      <c r="AB937" s="441"/>
      <c r="AC937" s="441"/>
      <c r="AD937" s="441"/>
      <c r="AE937" s="441"/>
      <c r="AF937" s="441"/>
      <c r="AG937" s="441"/>
      <c r="AH937" s="441"/>
      <c r="AI937" s="441"/>
      <c r="AJ937" s="441"/>
      <c r="AK937" s="441"/>
      <c r="AL937" s="441"/>
      <c r="AM937" s="441"/>
      <c r="AN937" s="441"/>
      <c r="AO937" s="441"/>
    </row>
    <row r="938" spans="1:41" ht="12.75" hidden="1" thickBot="1">
      <c r="A938" s="1" t="s">
        <v>1278</v>
      </c>
      <c r="B938" s="2" t="s">
        <v>337</v>
      </c>
      <c r="C938" s="2" t="s">
        <v>1103</v>
      </c>
      <c r="D938" s="8" t="s">
        <v>567</v>
      </c>
      <c r="E938" s="459"/>
      <c r="F938" s="6"/>
      <c r="G938" s="451"/>
      <c r="H938" s="6"/>
      <c r="I938" s="6"/>
      <c r="J938" s="6"/>
      <c r="K938" s="6"/>
      <c r="L938" s="6"/>
      <c r="M938" s="451"/>
      <c r="N938" s="451"/>
      <c r="O938" s="6"/>
      <c r="P938" s="6"/>
      <c r="Q938" s="451"/>
      <c r="R938" s="451"/>
      <c r="S938" s="445">
        <f t="shared" si="86"/>
        <v>0</v>
      </c>
      <c r="T938" s="445">
        <f t="shared" si="87"/>
        <v>0</v>
      </c>
      <c r="U938" s="445">
        <f t="shared" si="88"/>
        <v>0</v>
      </c>
      <c r="W938" s="450"/>
      <c r="X938" s="450"/>
      <c r="Y938" s="441"/>
      <c r="Z938" s="441"/>
      <c r="AA938" s="441"/>
      <c r="AB938" s="441"/>
      <c r="AC938" s="441"/>
      <c r="AD938" s="441"/>
      <c r="AE938" s="441"/>
      <c r="AF938" s="441"/>
      <c r="AG938" s="441"/>
      <c r="AH938" s="441"/>
      <c r="AI938" s="441"/>
      <c r="AJ938" s="441"/>
      <c r="AK938" s="441"/>
      <c r="AL938" s="441"/>
      <c r="AM938" s="441"/>
      <c r="AN938" s="441"/>
      <c r="AO938" s="441"/>
    </row>
    <row r="939" spans="1:41" ht="12.75" hidden="1" thickBot="1">
      <c r="A939" s="1" t="s">
        <v>1278</v>
      </c>
      <c r="B939" s="454" t="s">
        <v>7</v>
      </c>
      <c r="C939" s="455"/>
      <c r="D939" s="7"/>
      <c r="E939" s="7"/>
      <c r="F939" s="456"/>
      <c r="G939" s="456"/>
      <c r="H939" s="456"/>
      <c r="I939" s="456"/>
      <c r="J939" s="456"/>
      <c r="K939" s="456"/>
      <c r="L939" s="456"/>
      <c r="M939" s="456"/>
      <c r="N939" s="456"/>
      <c r="O939" s="456"/>
      <c r="P939" s="456"/>
      <c r="Q939" s="456"/>
      <c r="R939" s="456"/>
      <c r="S939" s="445">
        <f t="shared" si="86"/>
        <v>0</v>
      </c>
      <c r="T939" s="445">
        <f t="shared" si="87"/>
        <v>0</v>
      </c>
      <c r="U939" s="445">
        <f t="shared" si="88"/>
        <v>0</v>
      </c>
      <c r="W939" s="450"/>
      <c r="X939" s="450"/>
      <c r="Y939" s="441"/>
      <c r="Z939" s="441"/>
      <c r="AA939" s="441"/>
      <c r="AB939" s="441"/>
      <c r="AC939" s="441"/>
      <c r="AD939" s="441"/>
      <c r="AE939" s="441"/>
      <c r="AF939" s="441"/>
      <c r="AG939" s="441"/>
      <c r="AH939" s="441"/>
      <c r="AI939" s="441"/>
      <c r="AJ939" s="441"/>
      <c r="AK939" s="441"/>
      <c r="AL939" s="441"/>
      <c r="AM939" s="441"/>
      <c r="AN939" s="441"/>
      <c r="AO939" s="441"/>
    </row>
    <row r="940" spans="1:41" ht="12.75" hidden="1" thickBot="1">
      <c r="A940" s="2" t="s">
        <v>1279</v>
      </c>
      <c r="B940" s="2" t="s">
        <v>797</v>
      </c>
      <c r="C940" s="2" t="s">
        <v>1031</v>
      </c>
      <c r="D940" s="8" t="s">
        <v>830</v>
      </c>
      <c r="E940" s="457"/>
      <c r="F940" s="4"/>
      <c r="G940" s="4"/>
      <c r="H940" s="4"/>
      <c r="I940" s="4"/>
      <c r="J940" s="4"/>
      <c r="K940" s="4"/>
      <c r="L940" s="4"/>
      <c r="M940" s="4"/>
      <c r="N940" s="4"/>
      <c r="O940" s="4"/>
      <c r="P940" s="4"/>
      <c r="Q940" s="4"/>
      <c r="R940" s="449"/>
      <c r="S940" s="445">
        <f t="shared" si="86"/>
        <v>0</v>
      </c>
      <c r="T940" s="445">
        <f t="shared" si="87"/>
        <v>0</v>
      </c>
      <c r="U940" s="445">
        <f t="shared" si="88"/>
        <v>0</v>
      </c>
      <c r="W940" s="450"/>
      <c r="X940" s="450"/>
      <c r="Y940" s="441"/>
      <c r="Z940" s="441"/>
      <c r="AA940" s="441"/>
      <c r="AB940" s="441"/>
      <c r="AC940" s="441"/>
      <c r="AD940" s="441"/>
      <c r="AE940" s="441"/>
      <c r="AF940" s="441"/>
      <c r="AG940" s="441"/>
      <c r="AH940" s="441"/>
      <c r="AI940" s="441"/>
      <c r="AJ940" s="441"/>
      <c r="AK940" s="441"/>
      <c r="AL940" s="441"/>
      <c r="AM940" s="441"/>
      <c r="AN940" s="441"/>
      <c r="AO940" s="441"/>
    </row>
    <row r="941" spans="1:41" ht="12.75" hidden="1" thickBot="1">
      <c r="A941" s="2" t="s">
        <v>1279</v>
      </c>
      <c r="B941" s="2" t="s">
        <v>797</v>
      </c>
      <c r="C941" s="2" t="s">
        <v>798</v>
      </c>
      <c r="D941" s="8" t="s">
        <v>830</v>
      </c>
      <c r="E941" s="458"/>
      <c r="F941" s="6"/>
      <c r="G941" s="6"/>
      <c r="H941" s="6"/>
      <c r="I941" s="6"/>
      <c r="J941" s="6"/>
      <c r="K941" s="6"/>
      <c r="L941" s="6"/>
      <c r="M941" s="6"/>
      <c r="N941" s="6"/>
      <c r="O941" s="6"/>
      <c r="P941" s="6"/>
      <c r="Q941" s="6"/>
      <c r="R941" s="451"/>
      <c r="S941" s="445">
        <f t="shared" si="86"/>
        <v>0</v>
      </c>
      <c r="T941" s="445">
        <f t="shared" si="87"/>
        <v>0</v>
      </c>
      <c r="U941" s="445">
        <f t="shared" si="88"/>
        <v>0</v>
      </c>
      <c r="W941" s="450"/>
      <c r="X941" s="450"/>
      <c r="Y941" s="441"/>
      <c r="Z941" s="441"/>
      <c r="AA941" s="441"/>
      <c r="AB941" s="441"/>
      <c r="AC941" s="441"/>
      <c r="AD941" s="441"/>
      <c r="AE941" s="441"/>
      <c r="AF941" s="441"/>
      <c r="AG941" s="441"/>
      <c r="AH941" s="441"/>
      <c r="AI941" s="441"/>
      <c r="AJ941" s="441"/>
      <c r="AK941" s="441"/>
      <c r="AL941" s="441"/>
      <c r="AM941" s="441"/>
      <c r="AN941" s="441"/>
      <c r="AO941" s="441"/>
    </row>
    <row r="942" spans="1:41" ht="12.75" hidden="1" thickBot="1">
      <c r="A942" s="2" t="s">
        <v>1279</v>
      </c>
      <c r="B942" s="2" t="s">
        <v>793</v>
      </c>
      <c r="C942" s="2" t="s">
        <v>1032</v>
      </c>
      <c r="D942" s="8" t="s">
        <v>793</v>
      </c>
      <c r="E942" s="3">
        <f t="shared" ref="E942:R961" si="89">ROUND(SUMIFS(E$1410:E$1613,$A$1410:$A$1613,$A942,$B$1410:$B$1613,$B942),0)</f>
        <v>7528109</v>
      </c>
      <c r="F942" s="452">
        <f t="shared" si="89"/>
        <v>0</v>
      </c>
      <c r="G942" s="452">
        <f t="shared" si="89"/>
        <v>1315726</v>
      </c>
      <c r="H942" s="452">
        <f t="shared" si="89"/>
        <v>205141</v>
      </c>
      <c r="I942" s="452">
        <f t="shared" si="89"/>
        <v>0</v>
      </c>
      <c r="J942" s="452">
        <f t="shared" si="89"/>
        <v>0</v>
      </c>
      <c r="K942" s="452">
        <f t="shared" si="89"/>
        <v>0</v>
      </c>
      <c r="L942" s="452">
        <f t="shared" si="89"/>
        <v>0</v>
      </c>
      <c r="M942" s="452">
        <f t="shared" si="89"/>
        <v>1990</v>
      </c>
      <c r="N942" s="452">
        <f t="shared" si="89"/>
        <v>63496</v>
      </c>
      <c r="O942" s="452">
        <f t="shared" si="89"/>
        <v>0</v>
      </c>
      <c r="P942" s="452">
        <f t="shared" si="89"/>
        <v>0</v>
      </c>
      <c r="Q942" s="452"/>
      <c r="R942" s="452">
        <f t="shared" si="89"/>
        <v>1586353</v>
      </c>
      <c r="S942" s="445">
        <f t="shared" si="86"/>
        <v>1520867</v>
      </c>
      <c r="T942" s="445">
        <f t="shared" si="87"/>
        <v>0</v>
      </c>
      <c r="U942" s="445">
        <f t="shared" si="88"/>
        <v>63496</v>
      </c>
      <c r="W942" s="450"/>
      <c r="X942" s="450"/>
      <c r="Y942" s="441"/>
      <c r="Z942" s="441"/>
      <c r="AA942" s="441"/>
      <c r="AB942" s="441"/>
      <c r="AC942" s="441"/>
      <c r="AD942" s="441"/>
      <c r="AE942" s="441"/>
      <c r="AF942" s="441"/>
      <c r="AG942" s="441"/>
      <c r="AH942" s="441"/>
      <c r="AI942" s="441"/>
      <c r="AJ942" s="441"/>
      <c r="AK942" s="441"/>
      <c r="AL942" s="441"/>
      <c r="AM942" s="441"/>
      <c r="AN942" s="441"/>
      <c r="AO942" s="441"/>
    </row>
    <row r="943" spans="1:41" ht="12.75" hidden="1" thickBot="1">
      <c r="A943" s="2" t="s">
        <v>1279</v>
      </c>
      <c r="B943" s="2" t="s">
        <v>1111</v>
      </c>
      <c r="C943" s="2" t="s">
        <v>1199</v>
      </c>
      <c r="D943" s="8" t="s">
        <v>830</v>
      </c>
      <c r="E943" s="3">
        <f t="shared" si="89"/>
        <v>0</v>
      </c>
      <c r="F943" s="452">
        <f t="shared" si="89"/>
        <v>0</v>
      </c>
      <c r="G943" s="452">
        <f t="shared" si="89"/>
        <v>0</v>
      </c>
      <c r="H943" s="452">
        <f t="shared" si="89"/>
        <v>0</v>
      </c>
      <c r="I943" s="452">
        <f t="shared" si="89"/>
        <v>0</v>
      </c>
      <c r="J943" s="452">
        <f t="shared" si="89"/>
        <v>0</v>
      </c>
      <c r="K943" s="452">
        <f t="shared" si="89"/>
        <v>0</v>
      </c>
      <c r="L943" s="452">
        <f t="shared" si="89"/>
        <v>0</v>
      </c>
      <c r="M943" s="452">
        <f t="shared" si="89"/>
        <v>0</v>
      </c>
      <c r="N943" s="452">
        <f t="shared" si="89"/>
        <v>0</v>
      </c>
      <c r="O943" s="452">
        <f t="shared" si="89"/>
        <v>0</v>
      </c>
      <c r="P943" s="452">
        <f t="shared" si="89"/>
        <v>0</v>
      </c>
      <c r="Q943" s="452"/>
      <c r="R943" s="452">
        <f t="shared" si="89"/>
        <v>0</v>
      </c>
      <c r="S943" s="445">
        <f t="shared" si="86"/>
        <v>0</v>
      </c>
      <c r="T943" s="445">
        <f t="shared" si="87"/>
        <v>0</v>
      </c>
      <c r="U943" s="445">
        <f t="shared" si="88"/>
        <v>0</v>
      </c>
      <c r="W943" s="450"/>
      <c r="X943" s="450"/>
      <c r="Y943" s="441"/>
      <c r="Z943" s="441"/>
      <c r="AA943" s="441"/>
      <c r="AB943" s="441"/>
      <c r="AC943" s="441"/>
      <c r="AD943" s="441"/>
      <c r="AE943" s="441"/>
      <c r="AF943" s="441"/>
      <c r="AG943" s="441"/>
      <c r="AH943" s="441"/>
      <c r="AI943" s="441"/>
      <c r="AJ943" s="441"/>
      <c r="AK943" s="441"/>
      <c r="AL943" s="441"/>
      <c r="AM943" s="441"/>
      <c r="AN943" s="441"/>
      <c r="AO943" s="441"/>
    </row>
    <row r="944" spans="1:41" ht="12.75" hidden="1" thickBot="1">
      <c r="A944" s="2" t="s">
        <v>1279</v>
      </c>
      <c r="B944" s="2" t="s">
        <v>801</v>
      </c>
      <c r="C944" s="2" t="s">
        <v>1243</v>
      </c>
      <c r="D944" s="8" t="s">
        <v>1205</v>
      </c>
      <c r="E944" s="3">
        <f t="shared" si="89"/>
        <v>0</v>
      </c>
      <c r="F944" s="452">
        <f t="shared" si="89"/>
        <v>0</v>
      </c>
      <c r="G944" s="452">
        <f t="shared" si="89"/>
        <v>0</v>
      </c>
      <c r="H944" s="452">
        <f t="shared" si="89"/>
        <v>0</v>
      </c>
      <c r="I944" s="452">
        <f t="shared" si="89"/>
        <v>0</v>
      </c>
      <c r="J944" s="452">
        <f t="shared" si="89"/>
        <v>0</v>
      </c>
      <c r="K944" s="452">
        <f t="shared" si="89"/>
        <v>0</v>
      </c>
      <c r="L944" s="452">
        <f t="shared" si="89"/>
        <v>0</v>
      </c>
      <c r="M944" s="452">
        <f t="shared" si="89"/>
        <v>0</v>
      </c>
      <c r="N944" s="452">
        <f t="shared" si="89"/>
        <v>0</v>
      </c>
      <c r="O944" s="452">
        <f t="shared" si="89"/>
        <v>0</v>
      </c>
      <c r="P944" s="452">
        <f t="shared" si="89"/>
        <v>0</v>
      </c>
      <c r="Q944" s="452"/>
      <c r="R944" s="452">
        <f t="shared" si="89"/>
        <v>0</v>
      </c>
      <c r="S944" s="445">
        <f t="shared" si="86"/>
        <v>0</v>
      </c>
      <c r="T944" s="445">
        <f t="shared" si="87"/>
        <v>0</v>
      </c>
      <c r="U944" s="445">
        <f t="shared" si="88"/>
        <v>0</v>
      </c>
      <c r="W944" s="450"/>
      <c r="X944" s="450"/>
      <c r="Y944" s="441"/>
      <c r="Z944" s="441"/>
      <c r="AA944" s="441"/>
      <c r="AB944" s="441"/>
      <c r="AC944" s="441"/>
      <c r="AD944" s="441"/>
      <c r="AE944" s="441"/>
      <c r="AF944" s="441"/>
      <c r="AG944" s="441"/>
      <c r="AH944" s="441"/>
      <c r="AI944" s="441"/>
      <c r="AJ944" s="441"/>
      <c r="AK944" s="441"/>
      <c r="AL944" s="441"/>
      <c r="AM944" s="441"/>
      <c r="AN944" s="441"/>
      <c r="AO944" s="441"/>
    </row>
    <row r="945" spans="1:41" ht="12.75" hidden="1" thickBot="1">
      <c r="A945" s="2" t="s">
        <v>1279</v>
      </c>
      <c r="B945" s="2" t="s">
        <v>368</v>
      </c>
      <c r="C945" s="2" t="s">
        <v>1200</v>
      </c>
      <c r="D945" s="8" t="s">
        <v>417</v>
      </c>
      <c r="E945" s="3">
        <f t="shared" si="89"/>
        <v>0</v>
      </c>
      <c r="F945" s="452">
        <f t="shared" si="89"/>
        <v>0</v>
      </c>
      <c r="G945" s="452">
        <f t="shared" si="89"/>
        <v>0</v>
      </c>
      <c r="H945" s="452">
        <f t="shared" si="89"/>
        <v>0</v>
      </c>
      <c r="I945" s="452">
        <f t="shared" si="89"/>
        <v>0</v>
      </c>
      <c r="J945" s="452">
        <f t="shared" si="89"/>
        <v>0</v>
      </c>
      <c r="K945" s="452">
        <f t="shared" si="89"/>
        <v>0</v>
      </c>
      <c r="L945" s="452">
        <f t="shared" si="89"/>
        <v>0</v>
      </c>
      <c r="M945" s="452">
        <f t="shared" si="89"/>
        <v>0</v>
      </c>
      <c r="N945" s="452">
        <f t="shared" si="89"/>
        <v>0</v>
      </c>
      <c r="O945" s="452">
        <f t="shared" si="89"/>
        <v>0</v>
      </c>
      <c r="P945" s="452">
        <f t="shared" si="89"/>
        <v>0</v>
      </c>
      <c r="Q945" s="452"/>
      <c r="R945" s="452">
        <f t="shared" si="89"/>
        <v>0</v>
      </c>
      <c r="S945" s="445">
        <f t="shared" si="86"/>
        <v>0</v>
      </c>
      <c r="T945" s="445">
        <f t="shared" si="87"/>
        <v>0</v>
      </c>
      <c r="U945" s="445">
        <f t="shared" si="88"/>
        <v>0</v>
      </c>
      <c r="W945" s="450"/>
      <c r="X945" s="450"/>
      <c r="Y945" s="441"/>
      <c r="Z945" s="441"/>
      <c r="AA945" s="441"/>
      <c r="AB945" s="441"/>
      <c r="AC945" s="441"/>
      <c r="AD945" s="441"/>
      <c r="AE945" s="441"/>
      <c r="AF945" s="441"/>
      <c r="AG945" s="441"/>
      <c r="AH945" s="441"/>
      <c r="AI945" s="441"/>
      <c r="AJ945" s="441"/>
      <c r="AK945" s="441"/>
      <c r="AL945" s="441"/>
      <c r="AM945" s="441"/>
      <c r="AN945" s="441"/>
      <c r="AO945" s="441"/>
    </row>
    <row r="946" spans="1:41" ht="12.75" hidden="1" thickBot="1">
      <c r="A946" s="2" t="s">
        <v>1279</v>
      </c>
      <c r="B946" s="2" t="s">
        <v>370</v>
      </c>
      <c r="C946" s="2" t="s">
        <v>118</v>
      </c>
      <c r="D946" s="8" t="s">
        <v>414</v>
      </c>
      <c r="E946" s="3">
        <f t="shared" si="89"/>
        <v>32918663</v>
      </c>
      <c r="F946" s="452">
        <f t="shared" si="89"/>
        <v>563545</v>
      </c>
      <c r="G946" s="452">
        <f t="shared" si="89"/>
        <v>2054783</v>
      </c>
      <c r="H946" s="452">
        <f t="shared" si="89"/>
        <v>897034</v>
      </c>
      <c r="I946" s="452">
        <f t="shared" si="89"/>
        <v>54974</v>
      </c>
      <c r="J946" s="452">
        <f t="shared" si="89"/>
        <v>0</v>
      </c>
      <c r="K946" s="452">
        <f t="shared" si="89"/>
        <v>0</v>
      </c>
      <c r="L946" s="452">
        <f t="shared" si="89"/>
        <v>70389</v>
      </c>
      <c r="M946" s="452">
        <f t="shared" si="89"/>
        <v>8703</v>
      </c>
      <c r="N946" s="452">
        <f t="shared" si="89"/>
        <v>0</v>
      </c>
      <c r="O946" s="452">
        <f t="shared" si="89"/>
        <v>277652</v>
      </c>
      <c r="P946" s="452">
        <f t="shared" si="89"/>
        <v>0</v>
      </c>
      <c r="Q946" s="452"/>
      <c r="R946" s="452">
        <f t="shared" si="89"/>
        <v>3927079</v>
      </c>
      <c r="S946" s="445">
        <f t="shared" si="86"/>
        <v>3006791</v>
      </c>
      <c r="T946" s="445">
        <f t="shared" si="87"/>
        <v>0</v>
      </c>
      <c r="U946" s="445">
        <f t="shared" si="88"/>
        <v>277652</v>
      </c>
      <c r="W946" s="450"/>
      <c r="X946" s="450"/>
      <c r="Y946" s="441"/>
      <c r="Z946" s="441"/>
      <c r="AA946" s="441"/>
      <c r="AB946" s="441"/>
      <c r="AC946" s="441"/>
      <c r="AD946" s="441"/>
      <c r="AE946" s="441"/>
      <c r="AF946" s="441"/>
      <c r="AG946" s="441"/>
      <c r="AH946" s="441"/>
      <c r="AI946" s="441"/>
      <c r="AJ946" s="441"/>
      <c r="AK946" s="441"/>
      <c r="AL946" s="441"/>
      <c r="AM946" s="441"/>
      <c r="AN946" s="441"/>
      <c r="AO946" s="441"/>
    </row>
    <row r="947" spans="1:41" ht="12.75" hidden="1" thickBot="1">
      <c r="A947" s="2" t="s">
        <v>1279</v>
      </c>
      <c r="B947" s="2" t="s">
        <v>371</v>
      </c>
      <c r="C947" s="2" t="s">
        <v>1201</v>
      </c>
      <c r="D947" s="8" t="s">
        <v>414</v>
      </c>
      <c r="E947" s="3">
        <f t="shared" si="89"/>
        <v>0</v>
      </c>
      <c r="F947" s="452">
        <f t="shared" si="89"/>
        <v>0</v>
      </c>
      <c r="G947" s="452">
        <f t="shared" si="89"/>
        <v>0</v>
      </c>
      <c r="H947" s="452">
        <f t="shared" si="89"/>
        <v>0</v>
      </c>
      <c r="I947" s="452">
        <f t="shared" si="89"/>
        <v>0</v>
      </c>
      <c r="J947" s="452">
        <f t="shared" si="89"/>
        <v>0</v>
      </c>
      <c r="K947" s="452">
        <f t="shared" si="89"/>
        <v>0</v>
      </c>
      <c r="L947" s="452">
        <f t="shared" si="89"/>
        <v>0</v>
      </c>
      <c r="M947" s="452">
        <f t="shared" si="89"/>
        <v>0</v>
      </c>
      <c r="N947" s="452">
        <f t="shared" si="89"/>
        <v>0</v>
      </c>
      <c r="O947" s="452">
        <f t="shared" si="89"/>
        <v>0</v>
      </c>
      <c r="P947" s="452">
        <f t="shared" si="89"/>
        <v>0</v>
      </c>
      <c r="Q947" s="452"/>
      <c r="R947" s="452">
        <f t="shared" si="89"/>
        <v>0</v>
      </c>
      <c r="S947" s="445">
        <f t="shared" si="86"/>
        <v>0</v>
      </c>
      <c r="T947" s="445">
        <f t="shared" si="87"/>
        <v>0</v>
      </c>
      <c r="U947" s="445">
        <f t="shared" si="88"/>
        <v>0</v>
      </c>
      <c r="W947" s="450"/>
      <c r="X947" s="450"/>
      <c r="Y947" s="441"/>
      <c r="Z947" s="441"/>
      <c r="AA947" s="441"/>
      <c r="AB947" s="441"/>
      <c r="AC947" s="441"/>
      <c r="AD947" s="441"/>
      <c r="AE947" s="441"/>
      <c r="AF947" s="441"/>
      <c r="AG947" s="441"/>
      <c r="AH947" s="441"/>
      <c r="AI947" s="441"/>
      <c r="AJ947" s="441"/>
      <c r="AK947" s="441"/>
      <c r="AL947" s="441"/>
      <c r="AM947" s="441"/>
      <c r="AN947" s="441"/>
      <c r="AO947" s="441"/>
    </row>
    <row r="948" spans="1:41" ht="12.75" hidden="1" thickBot="1">
      <c r="A948" s="2" t="s">
        <v>1279</v>
      </c>
      <c r="B948" s="2" t="s">
        <v>372</v>
      </c>
      <c r="C948" s="2" t="s">
        <v>1202</v>
      </c>
      <c r="D948" s="8" t="s">
        <v>416</v>
      </c>
      <c r="E948" s="3">
        <f t="shared" si="89"/>
        <v>0</v>
      </c>
      <c r="F948" s="452">
        <f t="shared" si="89"/>
        <v>0</v>
      </c>
      <c r="G948" s="452">
        <f t="shared" si="89"/>
        <v>0</v>
      </c>
      <c r="H948" s="452">
        <f t="shared" si="89"/>
        <v>0</v>
      </c>
      <c r="I948" s="452">
        <f t="shared" si="89"/>
        <v>0</v>
      </c>
      <c r="J948" s="452">
        <f t="shared" si="89"/>
        <v>0</v>
      </c>
      <c r="K948" s="452">
        <f t="shared" si="89"/>
        <v>0</v>
      </c>
      <c r="L948" s="452">
        <f t="shared" si="89"/>
        <v>0</v>
      </c>
      <c r="M948" s="452">
        <f t="shared" si="89"/>
        <v>0</v>
      </c>
      <c r="N948" s="452">
        <f t="shared" si="89"/>
        <v>0</v>
      </c>
      <c r="O948" s="452">
        <f t="shared" si="89"/>
        <v>0</v>
      </c>
      <c r="P948" s="452">
        <f t="shared" si="89"/>
        <v>0</v>
      </c>
      <c r="Q948" s="452"/>
      <c r="R948" s="452">
        <f t="shared" si="89"/>
        <v>0</v>
      </c>
      <c r="S948" s="445">
        <f t="shared" si="86"/>
        <v>0</v>
      </c>
      <c r="T948" s="445">
        <f t="shared" si="87"/>
        <v>0</v>
      </c>
      <c r="U948" s="445">
        <f t="shared" si="88"/>
        <v>0</v>
      </c>
      <c r="W948" s="450"/>
      <c r="X948" s="450"/>
      <c r="Y948" s="441"/>
      <c r="Z948" s="441"/>
      <c r="AA948" s="441"/>
      <c r="AB948" s="441"/>
      <c r="AC948" s="441"/>
      <c r="AD948" s="441"/>
      <c r="AE948" s="441"/>
      <c r="AF948" s="441"/>
      <c r="AG948" s="441"/>
      <c r="AH948" s="441"/>
      <c r="AI948" s="441"/>
      <c r="AJ948" s="441"/>
      <c r="AK948" s="441"/>
      <c r="AL948" s="441"/>
      <c r="AM948" s="441"/>
      <c r="AN948" s="441"/>
      <c r="AO948" s="441"/>
    </row>
    <row r="949" spans="1:41" ht="12.75" hidden="1" thickBot="1">
      <c r="A949" s="2" t="s">
        <v>1279</v>
      </c>
      <c r="B949" s="2" t="s">
        <v>374</v>
      </c>
      <c r="C949" s="2" t="s">
        <v>415</v>
      </c>
      <c r="D949" s="8" t="s">
        <v>414</v>
      </c>
      <c r="E949" s="3">
        <f t="shared" si="89"/>
        <v>0</v>
      </c>
      <c r="F949" s="452">
        <f t="shared" si="89"/>
        <v>0</v>
      </c>
      <c r="G949" s="452">
        <f t="shared" si="89"/>
        <v>0</v>
      </c>
      <c r="H949" s="452">
        <f t="shared" si="89"/>
        <v>0</v>
      </c>
      <c r="I949" s="452">
        <f t="shared" si="89"/>
        <v>0</v>
      </c>
      <c r="J949" s="452">
        <f t="shared" si="89"/>
        <v>0</v>
      </c>
      <c r="K949" s="452">
        <f t="shared" si="89"/>
        <v>0</v>
      </c>
      <c r="L949" s="452">
        <f t="shared" si="89"/>
        <v>0</v>
      </c>
      <c r="M949" s="452">
        <f t="shared" si="89"/>
        <v>0</v>
      </c>
      <c r="N949" s="452">
        <f t="shared" si="89"/>
        <v>0</v>
      </c>
      <c r="O949" s="452">
        <f t="shared" si="89"/>
        <v>0</v>
      </c>
      <c r="P949" s="452">
        <f t="shared" si="89"/>
        <v>0</v>
      </c>
      <c r="Q949" s="452"/>
      <c r="R949" s="452">
        <f t="shared" si="89"/>
        <v>0</v>
      </c>
      <c r="S949" s="445">
        <f t="shared" si="86"/>
        <v>0</v>
      </c>
      <c r="T949" s="445">
        <f t="shared" si="87"/>
        <v>0</v>
      </c>
      <c r="U949" s="445">
        <f t="shared" si="88"/>
        <v>0</v>
      </c>
      <c r="W949" s="450"/>
      <c r="X949" s="450"/>
      <c r="Y949" s="441"/>
      <c r="Z949" s="441"/>
      <c r="AA949" s="441"/>
      <c r="AB949" s="441"/>
      <c r="AC949" s="441"/>
      <c r="AD949" s="441"/>
      <c r="AE949" s="441"/>
      <c r="AF949" s="441"/>
      <c r="AG949" s="441"/>
      <c r="AH949" s="441"/>
      <c r="AI949" s="441"/>
      <c r="AJ949" s="441"/>
      <c r="AK949" s="441"/>
      <c r="AL949" s="441"/>
      <c r="AM949" s="441"/>
      <c r="AN949" s="441"/>
      <c r="AO949" s="441"/>
    </row>
    <row r="950" spans="1:41" ht="12.75" hidden="1" thickBot="1">
      <c r="A950" s="2" t="s">
        <v>1279</v>
      </c>
      <c r="B950" s="2" t="s">
        <v>375</v>
      </c>
      <c r="C950" s="2" t="s">
        <v>406</v>
      </c>
      <c r="D950" s="8" t="s">
        <v>20</v>
      </c>
      <c r="E950" s="3">
        <f t="shared" si="89"/>
        <v>143721391</v>
      </c>
      <c r="F950" s="452">
        <f t="shared" si="89"/>
        <v>232110</v>
      </c>
      <c r="G950" s="452">
        <f t="shared" si="89"/>
        <v>1918681</v>
      </c>
      <c r="H950" s="452">
        <f t="shared" si="89"/>
        <v>3916408</v>
      </c>
      <c r="I950" s="452">
        <f t="shared" si="89"/>
        <v>0</v>
      </c>
      <c r="J950" s="452">
        <f t="shared" si="89"/>
        <v>195784</v>
      </c>
      <c r="K950" s="452">
        <f t="shared" si="89"/>
        <v>6493489</v>
      </c>
      <c r="L950" s="452">
        <f t="shared" si="89"/>
        <v>307314</v>
      </c>
      <c r="M950" s="452">
        <f t="shared" si="89"/>
        <v>37999</v>
      </c>
      <c r="N950" s="452">
        <f t="shared" si="89"/>
        <v>0</v>
      </c>
      <c r="O950" s="452">
        <f t="shared" si="89"/>
        <v>1212215</v>
      </c>
      <c r="P950" s="452">
        <f t="shared" si="89"/>
        <v>0</v>
      </c>
      <c r="Q950" s="452"/>
      <c r="R950" s="452">
        <f t="shared" si="89"/>
        <v>14314000</v>
      </c>
      <c r="S950" s="445">
        <f t="shared" si="86"/>
        <v>5835089</v>
      </c>
      <c r="T950" s="445">
        <f t="shared" si="87"/>
        <v>6689273</v>
      </c>
      <c r="U950" s="445">
        <f t="shared" si="88"/>
        <v>1212215</v>
      </c>
      <c r="W950" s="450"/>
      <c r="X950" s="450"/>
      <c r="Y950" s="441"/>
      <c r="Z950" s="441"/>
      <c r="AA950" s="441"/>
      <c r="AB950" s="441"/>
      <c r="AC950" s="441"/>
      <c r="AD950" s="441"/>
      <c r="AE950" s="441"/>
      <c r="AF950" s="441"/>
      <c r="AG950" s="441"/>
      <c r="AH950" s="441"/>
      <c r="AI950" s="441"/>
      <c r="AJ950" s="441"/>
      <c r="AK950" s="441"/>
      <c r="AL950" s="441"/>
      <c r="AM950" s="441"/>
      <c r="AN950" s="441"/>
      <c r="AO950" s="441"/>
    </row>
    <row r="951" spans="1:41" ht="12.75" hidden="1" thickBot="1">
      <c r="A951" s="2" t="s">
        <v>1279</v>
      </c>
      <c r="B951" s="2" t="s">
        <v>376</v>
      </c>
      <c r="C951" s="2" t="s">
        <v>404</v>
      </c>
      <c r="D951" s="8" t="s">
        <v>21</v>
      </c>
      <c r="E951" s="3">
        <f t="shared" si="89"/>
        <v>13180844</v>
      </c>
      <c r="F951" s="452">
        <f t="shared" si="89"/>
        <v>8840</v>
      </c>
      <c r="G951" s="452">
        <f t="shared" si="89"/>
        <v>158302</v>
      </c>
      <c r="H951" s="452">
        <f t="shared" si="89"/>
        <v>359178</v>
      </c>
      <c r="I951" s="452">
        <f t="shared" si="89"/>
        <v>0</v>
      </c>
      <c r="J951" s="452">
        <f t="shared" si="89"/>
        <v>17606</v>
      </c>
      <c r="K951" s="452">
        <f t="shared" si="89"/>
        <v>494072</v>
      </c>
      <c r="L951" s="452">
        <f t="shared" si="89"/>
        <v>28184</v>
      </c>
      <c r="M951" s="452">
        <f t="shared" si="89"/>
        <v>3485</v>
      </c>
      <c r="N951" s="452">
        <f t="shared" si="89"/>
        <v>0</v>
      </c>
      <c r="O951" s="452">
        <f t="shared" si="89"/>
        <v>111174</v>
      </c>
      <c r="P951" s="452">
        <f t="shared" si="89"/>
        <v>0</v>
      </c>
      <c r="Q951" s="452"/>
      <c r="R951" s="452">
        <f t="shared" si="89"/>
        <v>1180841</v>
      </c>
      <c r="S951" s="445">
        <f t="shared" si="86"/>
        <v>517480</v>
      </c>
      <c r="T951" s="445">
        <f t="shared" si="87"/>
        <v>511678</v>
      </c>
      <c r="U951" s="445">
        <f t="shared" si="88"/>
        <v>111174</v>
      </c>
      <c r="W951" s="450"/>
      <c r="X951" s="450"/>
      <c r="Y951" s="441"/>
      <c r="Z951" s="441"/>
      <c r="AA951" s="441"/>
      <c r="AB951" s="441"/>
      <c r="AC951" s="441"/>
      <c r="AD951" s="441"/>
      <c r="AE951" s="441"/>
      <c r="AF951" s="441"/>
      <c r="AG951" s="441"/>
      <c r="AH951" s="441"/>
      <c r="AI951" s="441"/>
      <c r="AJ951" s="441"/>
      <c r="AK951" s="441"/>
      <c r="AL951" s="441"/>
      <c r="AM951" s="441"/>
      <c r="AN951" s="441"/>
      <c r="AO951" s="441"/>
    </row>
    <row r="952" spans="1:41" ht="12.75" hidden="1" thickBot="1">
      <c r="A952" s="2" t="s">
        <v>1279</v>
      </c>
      <c r="B952" s="2" t="s">
        <v>377</v>
      </c>
      <c r="C952" s="2" t="s">
        <v>407</v>
      </c>
      <c r="D952" s="8" t="s">
        <v>20</v>
      </c>
      <c r="E952" s="3">
        <f t="shared" si="89"/>
        <v>0</v>
      </c>
      <c r="F952" s="452">
        <f t="shared" si="89"/>
        <v>0</v>
      </c>
      <c r="G952" s="452">
        <f t="shared" si="89"/>
        <v>0</v>
      </c>
      <c r="H952" s="452">
        <f t="shared" si="89"/>
        <v>0</v>
      </c>
      <c r="I952" s="452">
        <f t="shared" si="89"/>
        <v>0</v>
      </c>
      <c r="J952" s="452">
        <f t="shared" si="89"/>
        <v>0</v>
      </c>
      <c r="K952" s="452">
        <f t="shared" si="89"/>
        <v>0</v>
      </c>
      <c r="L952" s="452">
        <f t="shared" si="89"/>
        <v>0</v>
      </c>
      <c r="M952" s="452">
        <f t="shared" si="89"/>
        <v>0</v>
      </c>
      <c r="N952" s="452">
        <f t="shared" si="89"/>
        <v>0</v>
      </c>
      <c r="O952" s="452">
        <f t="shared" si="89"/>
        <v>0</v>
      </c>
      <c r="P952" s="452">
        <f t="shared" si="89"/>
        <v>0</v>
      </c>
      <c r="Q952" s="452"/>
      <c r="R952" s="452">
        <f t="shared" si="89"/>
        <v>0</v>
      </c>
      <c r="S952" s="445">
        <f t="shared" si="86"/>
        <v>0</v>
      </c>
      <c r="T952" s="445">
        <f t="shared" si="87"/>
        <v>0</v>
      </c>
      <c r="U952" s="445">
        <f t="shared" si="88"/>
        <v>0</v>
      </c>
      <c r="W952" s="450"/>
      <c r="X952" s="450"/>
      <c r="Y952" s="441"/>
      <c r="Z952" s="441"/>
      <c r="AA952" s="441"/>
      <c r="AB952" s="441"/>
      <c r="AC952" s="441"/>
      <c r="AD952" s="441"/>
      <c r="AE952" s="441"/>
      <c r="AF952" s="441"/>
      <c r="AG952" s="441"/>
      <c r="AH952" s="441"/>
      <c r="AI952" s="441"/>
      <c r="AJ952" s="441"/>
      <c r="AK952" s="441"/>
      <c r="AL952" s="441"/>
      <c r="AM952" s="441"/>
      <c r="AN952" s="441"/>
      <c r="AO952" s="441"/>
    </row>
    <row r="953" spans="1:41" ht="12.75" hidden="1" thickBot="1">
      <c r="A953" s="2" t="s">
        <v>1279</v>
      </c>
      <c r="B953" s="2" t="s">
        <v>378</v>
      </c>
      <c r="C953" s="2" t="s">
        <v>1033</v>
      </c>
      <c r="D953" s="8" t="s">
        <v>1006</v>
      </c>
      <c r="E953" s="3">
        <f t="shared" si="89"/>
        <v>66161499</v>
      </c>
      <c r="F953" s="452">
        <f t="shared" si="89"/>
        <v>43600</v>
      </c>
      <c r="G953" s="452">
        <f t="shared" si="89"/>
        <v>836943</v>
      </c>
      <c r="H953" s="452">
        <f t="shared" si="89"/>
        <v>1802901</v>
      </c>
      <c r="I953" s="452">
        <f t="shared" si="89"/>
        <v>0</v>
      </c>
      <c r="J953" s="452">
        <f t="shared" si="89"/>
        <v>73251</v>
      </c>
      <c r="K953" s="452">
        <f t="shared" si="89"/>
        <v>2151666</v>
      </c>
      <c r="L953" s="452">
        <f t="shared" si="89"/>
        <v>141471</v>
      </c>
      <c r="M953" s="452">
        <f t="shared" si="89"/>
        <v>17493</v>
      </c>
      <c r="N953" s="452">
        <f t="shared" si="89"/>
        <v>0</v>
      </c>
      <c r="O953" s="452">
        <f t="shared" si="89"/>
        <v>558038</v>
      </c>
      <c r="P953" s="452">
        <f t="shared" si="89"/>
        <v>0</v>
      </c>
      <c r="Q953" s="452"/>
      <c r="R953" s="452">
        <f t="shared" si="89"/>
        <v>5625363</v>
      </c>
      <c r="S953" s="445">
        <f t="shared" si="86"/>
        <v>2639844</v>
      </c>
      <c r="T953" s="445">
        <f t="shared" si="87"/>
        <v>2224917</v>
      </c>
      <c r="U953" s="445">
        <f t="shared" si="88"/>
        <v>558038</v>
      </c>
      <c r="W953" s="450"/>
      <c r="X953" s="450"/>
      <c r="Y953" s="441"/>
      <c r="Z953" s="441"/>
      <c r="AA953" s="441"/>
      <c r="AB953" s="441"/>
      <c r="AC953" s="441"/>
      <c r="AD953" s="441"/>
      <c r="AE953" s="441"/>
      <c r="AF953" s="441"/>
      <c r="AG953" s="441"/>
      <c r="AH953" s="441"/>
      <c r="AI953" s="441"/>
      <c r="AJ953" s="441"/>
      <c r="AK953" s="441"/>
      <c r="AL953" s="441"/>
      <c r="AM953" s="441"/>
      <c r="AN953" s="441"/>
      <c r="AO953" s="441"/>
    </row>
    <row r="954" spans="1:41" ht="12.75" hidden="1" thickBot="1">
      <c r="A954" s="2" t="s">
        <v>1279</v>
      </c>
      <c r="B954" s="2" t="s">
        <v>379</v>
      </c>
      <c r="C954" s="2" t="s">
        <v>408</v>
      </c>
      <c r="D954" s="8" t="s">
        <v>409</v>
      </c>
      <c r="E954" s="3">
        <f t="shared" si="89"/>
        <v>32700970</v>
      </c>
      <c r="F954" s="452">
        <f t="shared" si="89"/>
        <v>11400</v>
      </c>
      <c r="G954" s="452">
        <f t="shared" si="89"/>
        <v>354806</v>
      </c>
      <c r="H954" s="452">
        <f t="shared" si="89"/>
        <v>891101</v>
      </c>
      <c r="I954" s="452">
        <f t="shared" si="89"/>
        <v>0</v>
      </c>
      <c r="J954" s="452">
        <f t="shared" si="89"/>
        <v>34333</v>
      </c>
      <c r="K954" s="452">
        <f t="shared" si="89"/>
        <v>1102864</v>
      </c>
      <c r="L954" s="452">
        <f t="shared" si="89"/>
        <v>69923</v>
      </c>
      <c r="M954" s="452">
        <f t="shared" si="89"/>
        <v>8646</v>
      </c>
      <c r="N954" s="452">
        <f t="shared" si="89"/>
        <v>0</v>
      </c>
      <c r="O954" s="452">
        <f t="shared" si="89"/>
        <v>275816</v>
      </c>
      <c r="P954" s="452">
        <f t="shared" si="89"/>
        <v>0</v>
      </c>
      <c r="Q954" s="452"/>
      <c r="R954" s="452">
        <f t="shared" si="89"/>
        <v>2748888</v>
      </c>
      <c r="S954" s="445">
        <f t="shared" si="86"/>
        <v>1245907</v>
      </c>
      <c r="T954" s="445">
        <f t="shared" si="87"/>
        <v>1137197</v>
      </c>
      <c r="U954" s="445">
        <f t="shared" si="88"/>
        <v>275816</v>
      </c>
      <c r="W954" s="450"/>
      <c r="X954" s="450"/>
      <c r="Y954" s="441"/>
      <c r="Z954" s="441"/>
      <c r="AA954" s="441"/>
      <c r="AB954" s="441"/>
      <c r="AC954" s="441"/>
      <c r="AD954" s="441"/>
      <c r="AE954" s="441"/>
      <c r="AF954" s="441"/>
      <c r="AG954" s="441"/>
      <c r="AH954" s="441"/>
      <c r="AI954" s="441"/>
      <c r="AJ954" s="441"/>
      <c r="AK954" s="441"/>
      <c r="AL954" s="441"/>
      <c r="AM954" s="441"/>
      <c r="AN954" s="441"/>
      <c r="AO954" s="441"/>
    </row>
    <row r="955" spans="1:41" ht="12.75" hidden="1" thickBot="1">
      <c r="A955" s="2" t="s">
        <v>1279</v>
      </c>
      <c r="B955" s="2" t="s">
        <v>381</v>
      </c>
      <c r="C955" s="2" t="s">
        <v>59</v>
      </c>
      <c r="D955" s="8" t="s">
        <v>14</v>
      </c>
      <c r="E955" s="3">
        <f t="shared" si="89"/>
        <v>84000796</v>
      </c>
      <c r="F955" s="452">
        <f t="shared" si="89"/>
        <v>572627</v>
      </c>
      <c r="G955" s="452">
        <f t="shared" si="89"/>
        <v>5243330</v>
      </c>
      <c r="H955" s="452">
        <f t="shared" si="89"/>
        <v>2289022</v>
      </c>
      <c r="I955" s="452">
        <f t="shared" si="89"/>
        <v>140281</v>
      </c>
      <c r="J955" s="452">
        <f t="shared" si="89"/>
        <v>0</v>
      </c>
      <c r="K955" s="452">
        <f t="shared" si="89"/>
        <v>0</v>
      </c>
      <c r="L955" s="452">
        <f t="shared" si="89"/>
        <v>179616</v>
      </c>
      <c r="M955" s="452">
        <f t="shared" si="89"/>
        <v>22209</v>
      </c>
      <c r="N955" s="452">
        <f t="shared" si="89"/>
        <v>0</v>
      </c>
      <c r="O955" s="452">
        <f t="shared" si="89"/>
        <v>708503</v>
      </c>
      <c r="P955" s="452">
        <f t="shared" si="89"/>
        <v>0</v>
      </c>
      <c r="Q955" s="452"/>
      <c r="R955" s="452">
        <f t="shared" si="89"/>
        <v>9155588</v>
      </c>
      <c r="S955" s="445">
        <f t="shared" si="86"/>
        <v>7672633</v>
      </c>
      <c r="T955" s="445">
        <f t="shared" si="87"/>
        <v>0</v>
      </c>
      <c r="U955" s="445">
        <f t="shared" si="88"/>
        <v>708503</v>
      </c>
      <c r="W955" s="450"/>
      <c r="X955" s="450"/>
      <c r="Y955" s="441"/>
      <c r="Z955" s="441"/>
      <c r="AA955" s="441"/>
      <c r="AB955" s="441"/>
      <c r="AC955" s="441"/>
      <c r="AD955" s="441"/>
      <c r="AE955" s="441"/>
      <c r="AF955" s="441"/>
      <c r="AG955" s="441"/>
      <c r="AH955" s="441"/>
      <c r="AI955" s="441"/>
      <c r="AJ955" s="441"/>
      <c r="AK955" s="441"/>
      <c r="AL955" s="441"/>
      <c r="AM955" s="441"/>
      <c r="AN955" s="441"/>
      <c r="AO955" s="441"/>
    </row>
    <row r="956" spans="1:41" ht="12.75" hidden="1" thickBot="1">
      <c r="A956" s="2" t="s">
        <v>1279</v>
      </c>
      <c r="B956" s="2" t="s">
        <v>382</v>
      </c>
      <c r="C956" s="2" t="s">
        <v>1244</v>
      </c>
      <c r="D956" s="8" t="s">
        <v>14</v>
      </c>
      <c r="E956" s="3">
        <f t="shared" si="89"/>
        <v>0</v>
      </c>
      <c r="F956" s="452">
        <f t="shared" si="89"/>
        <v>0</v>
      </c>
      <c r="G956" s="452">
        <f t="shared" si="89"/>
        <v>0</v>
      </c>
      <c r="H956" s="452">
        <f t="shared" si="89"/>
        <v>0</v>
      </c>
      <c r="I956" s="452">
        <f t="shared" si="89"/>
        <v>0</v>
      </c>
      <c r="J956" s="452">
        <f t="shared" si="89"/>
        <v>0</v>
      </c>
      <c r="K956" s="452">
        <f t="shared" si="89"/>
        <v>0</v>
      </c>
      <c r="L956" s="452">
        <f t="shared" si="89"/>
        <v>0</v>
      </c>
      <c r="M956" s="452">
        <f t="shared" si="89"/>
        <v>0</v>
      </c>
      <c r="N956" s="452">
        <f t="shared" si="89"/>
        <v>0</v>
      </c>
      <c r="O956" s="452">
        <f t="shared" si="89"/>
        <v>0</v>
      </c>
      <c r="P956" s="452">
        <f t="shared" si="89"/>
        <v>0</v>
      </c>
      <c r="Q956" s="452"/>
      <c r="R956" s="452">
        <f t="shared" si="89"/>
        <v>0</v>
      </c>
      <c r="S956" s="445">
        <f t="shared" si="86"/>
        <v>0</v>
      </c>
      <c r="T956" s="445">
        <f t="shared" si="87"/>
        <v>0</v>
      </c>
      <c r="U956" s="445">
        <f t="shared" si="88"/>
        <v>0</v>
      </c>
      <c r="W956" s="450"/>
      <c r="X956" s="450"/>
      <c r="Y956" s="441"/>
      <c r="Z956" s="441"/>
      <c r="AA956" s="441"/>
      <c r="AB956" s="441"/>
      <c r="AC956" s="441"/>
      <c r="AD956" s="441"/>
      <c r="AE956" s="441"/>
      <c r="AF956" s="441"/>
      <c r="AG956" s="441"/>
      <c r="AH956" s="441"/>
      <c r="AI956" s="441"/>
      <c r="AJ956" s="441"/>
      <c r="AK956" s="441"/>
      <c r="AL956" s="441"/>
      <c r="AM956" s="441"/>
      <c r="AN956" s="441"/>
      <c r="AO956" s="441"/>
    </row>
    <row r="957" spans="1:41" ht="12.75" hidden="1" thickBot="1">
      <c r="A957" s="2" t="s">
        <v>1279</v>
      </c>
      <c r="B957" s="2" t="s">
        <v>384</v>
      </c>
      <c r="C957" s="2" t="s">
        <v>413</v>
      </c>
      <c r="D957" s="8" t="s">
        <v>14</v>
      </c>
      <c r="E957" s="3">
        <f t="shared" si="89"/>
        <v>0</v>
      </c>
      <c r="F957" s="452">
        <f t="shared" si="89"/>
        <v>0</v>
      </c>
      <c r="G957" s="452">
        <f t="shared" si="89"/>
        <v>0</v>
      </c>
      <c r="H957" s="452">
        <f t="shared" si="89"/>
        <v>0</v>
      </c>
      <c r="I957" s="452">
        <f t="shared" si="89"/>
        <v>0</v>
      </c>
      <c r="J957" s="452">
        <f t="shared" si="89"/>
        <v>0</v>
      </c>
      <c r="K957" s="452">
        <f t="shared" si="89"/>
        <v>0</v>
      </c>
      <c r="L957" s="452">
        <f t="shared" si="89"/>
        <v>0</v>
      </c>
      <c r="M957" s="452">
        <f t="shared" si="89"/>
        <v>0</v>
      </c>
      <c r="N957" s="452">
        <f t="shared" si="89"/>
        <v>0</v>
      </c>
      <c r="O957" s="452">
        <f t="shared" si="89"/>
        <v>0</v>
      </c>
      <c r="P957" s="452">
        <f t="shared" si="89"/>
        <v>0</v>
      </c>
      <c r="Q957" s="452"/>
      <c r="R957" s="452">
        <f t="shared" si="89"/>
        <v>0</v>
      </c>
      <c r="S957" s="445">
        <f t="shared" si="86"/>
        <v>0</v>
      </c>
      <c r="T957" s="445">
        <f t="shared" si="87"/>
        <v>0</v>
      </c>
      <c r="U957" s="445">
        <f t="shared" si="88"/>
        <v>0</v>
      </c>
      <c r="W957" s="450"/>
      <c r="X957" s="450"/>
      <c r="Y957" s="441"/>
      <c r="Z957" s="441"/>
      <c r="AA957" s="441"/>
      <c r="AB957" s="441"/>
      <c r="AC957" s="441"/>
      <c r="AD957" s="441"/>
      <c r="AE957" s="441"/>
      <c r="AF957" s="441"/>
      <c r="AG957" s="441"/>
      <c r="AH957" s="441"/>
      <c r="AI957" s="441"/>
      <c r="AJ957" s="441"/>
      <c r="AK957" s="441"/>
      <c r="AL957" s="441"/>
      <c r="AM957" s="441"/>
      <c r="AN957" s="441"/>
      <c r="AO957" s="441"/>
    </row>
    <row r="958" spans="1:41" ht="12.75" hidden="1" thickBot="1">
      <c r="A958" s="2" t="s">
        <v>1279</v>
      </c>
      <c r="B958" s="2" t="s">
        <v>385</v>
      </c>
      <c r="C958" s="2" t="s">
        <v>424</v>
      </c>
      <c r="D958" s="8" t="s">
        <v>425</v>
      </c>
      <c r="E958" s="3">
        <f t="shared" si="89"/>
        <v>5318100</v>
      </c>
      <c r="F958" s="452">
        <f t="shared" si="89"/>
        <v>0</v>
      </c>
      <c r="G958" s="452">
        <f t="shared" si="89"/>
        <v>51958</v>
      </c>
      <c r="H958" s="452">
        <f t="shared" si="89"/>
        <v>144918</v>
      </c>
      <c r="I958" s="452">
        <f t="shared" si="89"/>
        <v>0</v>
      </c>
      <c r="J958" s="452">
        <f t="shared" si="89"/>
        <v>3497</v>
      </c>
      <c r="K958" s="452">
        <f t="shared" si="89"/>
        <v>94314</v>
      </c>
      <c r="L958" s="452">
        <f t="shared" si="89"/>
        <v>0</v>
      </c>
      <c r="M958" s="452">
        <f t="shared" si="89"/>
        <v>1406</v>
      </c>
      <c r="N958" s="452">
        <f t="shared" si="89"/>
        <v>0</v>
      </c>
      <c r="O958" s="452">
        <f t="shared" si="89"/>
        <v>44855</v>
      </c>
      <c r="P958" s="452">
        <f t="shared" si="89"/>
        <v>0</v>
      </c>
      <c r="Q958" s="452"/>
      <c r="R958" s="452">
        <f t="shared" si="89"/>
        <v>340948</v>
      </c>
      <c r="S958" s="445">
        <f t="shared" si="86"/>
        <v>196876</v>
      </c>
      <c r="T958" s="445">
        <f t="shared" si="87"/>
        <v>97811</v>
      </c>
      <c r="U958" s="445">
        <f t="shared" si="88"/>
        <v>44855</v>
      </c>
      <c r="W958" s="450"/>
      <c r="X958" s="450"/>
      <c r="Y958" s="441"/>
      <c r="Z958" s="441"/>
      <c r="AA958" s="441"/>
      <c r="AB958" s="441"/>
      <c r="AC958" s="441"/>
      <c r="AD958" s="441"/>
      <c r="AE958" s="441"/>
      <c r="AF958" s="441"/>
      <c r="AG958" s="441"/>
      <c r="AH958" s="441"/>
      <c r="AI958" s="441"/>
      <c r="AJ958" s="441"/>
      <c r="AK958" s="441"/>
      <c r="AL958" s="441"/>
      <c r="AM958" s="441"/>
      <c r="AN958" s="441"/>
      <c r="AO958" s="441"/>
    </row>
    <row r="959" spans="1:41" ht="12.75" hidden="1" thickBot="1">
      <c r="A959" s="2" t="s">
        <v>1279</v>
      </c>
      <c r="B959" s="2" t="s">
        <v>1223</v>
      </c>
      <c r="C959" s="2" t="s">
        <v>1224</v>
      </c>
      <c r="D959" s="8" t="s">
        <v>63</v>
      </c>
      <c r="E959" s="3">
        <f t="shared" si="89"/>
        <v>0</v>
      </c>
      <c r="F959" s="452">
        <f t="shared" si="89"/>
        <v>0</v>
      </c>
      <c r="G959" s="452">
        <f t="shared" si="89"/>
        <v>0</v>
      </c>
      <c r="H959" s="452">
        <f t="shared" si="89"/>
        <v>0</v>
      </c>
      <c r="I959" s="452">
        <f t="shared" si="89"/>
        <v>0</v>
      </c>
      <c r="J959" s="452">
        <f t="shared" si="89"/>
        <v>0</v>
      </c>
      <c r="K959" s="452">
        <f t="shared" si="89"/>
        <v>0</v>
      </c>
      <c r="L959" s="452">
        <f t="shared" si="89"/>
        <v>0</v>
      </c>
      <c r="M959" s="452">
        <f t="shared" si="89"/>
        <v>0</v>
      </c>
      <c r="N959" s="452">
        <f t="shared" si="89"/>
        <v>0</v>
      </c>
      <c r="O959" s="452">
        <f t="shared" si="89"/>
        <v>0</v>
      </c>
      <c r="P959" s="452">
        <f t="shared" si="89"/>
        <v>-286526</v>
      </c>
      <c r="Q959" s="452"/>
      <c r="R959" s="452">
        <f t="shared" si="89"/>
        <v>-286526</v>
      </c>
      <c r="S959" s="445">
        <f t="shared" si="86"/>
        <v>0</v>
      </c>
      <c r="T959" s="445">
        <f t="shared" si="87"/>
        <v>0</v>
      </c>
      <c r="U959" s="445">
        <f t="shared" si="88"/>
        <v>0</v>
      </c>
      <c r="W959" s="450"/>
      <c r="X959" s="450"/>
      <c r="Y959" s="441"/>
      <c r="Z959" s="441"/>
      <c r="AA959" s="441"/>
      <c r="AB959" s="441"/>
      <c r="AC959" s="441"/>
      <c r="AD959" s="441"/>
      <c r="AE959" s="441"/>
      <c r="AF959" s="441"/>
      <c r="AG959" s="441"/>
      <c r="AH959" s="441"/>
      <c r="AI959" s="441"/>
      <c r="AJ959" s="441"/>
      <c r="AK959" s="441"/>
      <c r="AL959" s="441"/>
      <c r="AM959" s="441"/>
      <c r="AN959" s="441"/>
      <c r="AO959" s="441"/>
    </row>
    <row r="960" spans="1:41" ht="12.75" hidden="1" thickBot="1">
      <c r="A960" s="2" t="s">
        <v>1279</v>
      </c>
      <c r="B960" s="2" t="s">
        <v>386</v>
      </c>
      <c r="C960" s="2" t="s">
        <v>405</v>
      </c>
      <c r="D960" s="8" t="s">
        <v>63</v>
      </c>
      <c r="E960" s="3">
        <f t="shared" si="89"/>
        <v>0</v>
      </c>
      <c r="F960" s="452">
        <f t="shared" si="89"/>
        <v>0</v>
      </c>
      <c r="G960" s="452">
        <f t="shared" si="89"/>
        <v>0</v>
      </c>
      <c r="H960" s="452">
        <f t="shared" si="89"/>
        <v>0</v>
      </c>
      <c r="I960" s="452">
        <f t="shared" si="89"/>
        <v>0</v>
      </c>
      <c r="J960" s="452">
        <f t="shared" si="89"/>
        <v>0</v>
      </c>
      <c r="K960" s="452">
        <f t="shared" si="89"/>
        <v>0</v>
      </c>
      <c r="L960" s="452">
        <f t="shared" si="89"/>
        <v>0</v>
      </c>
      <c r="M960" s="452">
        <f t="shared" si="89"/>
        <v>0</v>
      </c>
      <c r="N960" s="452">
        <f t="shared" si="89"/>
        <v>0</v>
      </c>
      <c r="O960" s="452">
        <f t="shared" si="89"/>
        <v>0</v>
      </c>
      <c r="P960" s="452">
        <f t="shared" si="89"/>
        <v>0</v>
      </c>
      <c r="Q960" s="452"/>
      <c r="R960" s="452">
        <f t="shared" si="89"/>
        <v>0</v>
      </c>
      <c r="S960" s="445">
        <f t="shared" si="86"/>
        <v>0</v>
      </c>
      <c r="T960" s="445">
        <f t="shared" si="87"/>
        <v>0</v>
      </c>
      <c r="U960" s="445">
        <f t="shared" si="88"/>
        <v>0</v>
      </c>
      <c r="W960" s="450"/>
      <c r="X960" s="450"/>
      <c r="Y960" s="441"/>
      <c r="Z960" s="441"/>
      <c r="AA960" s="441"/>
      <c r="AB960" s="441"/>
      <c r="AC960" s="441"/>
      <c r="AD960" s="441"/>
      <c r="AE960" s="441"/>
      <c r="AF960" s="441"/>
      <c r="AG960" s="441"/>
      <c r="AH960" s="441"/>
      <c r="AI960" s="441"/>
      <c r="AJ960" s="441"/>
      <c r="AK960" s="441"/>
      <c r="AL960" s="441"/>
      <c r="AM960" s="441"/>
      <c r="AN960" s="441"/>
      <c r="AO960" s="441"/>
    </row>
    <row r="961" spans="1:41" ht="12.75" hidden="1" thickBot="1">
      <c r="A961" s="2" t="s">
        <v>1279</v>
      </c>
      <c r="B961" s="2" t="s">
        <v>803</v>
      </c>
      <c r="C961" s="2" t="s">
        <v>804</v>
      </c>
      <c r="D961" s="8" t="s">
        <v>1205</v>
      </c>
      <c r="E961" s="3">
        <f t="shared" si="89"/>
        <v>0</v>
      </c>
      <c r="F961" s="452">
        <f t="shared" si="89"/>
        <v>0</v>
      </c>
      <c r="G961" s="452">
        <f t="shared" si="89"/>
        <v>0</v>
      </c>
      <c r="H961" s="452">
        <f t="shared" si="89"/>
        <v>0</v>
      </c>
      <c r="I961" s="452">
        <f t="shared" si="89"/>
        <v>0</v>
      </c>
      <c r="J961" s="452">
        <f t="shared" si="89"/>
        <v>0</v>
      </c>
      <c r="K961" s="452">
        <f t="shared" si="89"/>
        <v>0</v>
      </c>
      <c r="L961" s="452">
        <f t="shared" si="89"/>
        <v>0</v>
      </c>
      <c r="M961" s="452">
        <f t="shared" ref="G961:R976" si="90">ROUND(SUMIFS(M$1410:M$1613,$A$1410:$A$1613,$A961,$B$1410:$B$1613,$B961),0)</f>
        <v>0</v>
      </c>
      <c r="N961" s="452">
        <f t="shared" si="90"/>
        <v>0</v>
      </c>
      <c r="O961" s="452">
        <f t="shared" si="90"/>
        <v>0</v>
      </c>
      <c r="P961" s="452">
        <f t="shared" si="90"/>
        <v>0</v>
      </c>
      <c r="Q961" s="452"/>
      <c r="R961" s="452">
        <f t="shared" si="90"/>
        <v>0</v>
      </c>
      <c r="S961" s="445">
        <f t="shared" si="86"/>
        <v>0</v>
      </c>
      <c r="T961" s="445">
        <f t="shared" si="87"/>
        <v>0</v>
      </c>
      <c r="U961" s="445">
        <f t="shared" si="88"/>
        <v>0</v>
      </c>
      <c r="W961" s="450"/>
      <c r="X961" s="450"/>
      <c r="Y961" s="441"/>
      <c r="Z961" s="441"/>
      <c r="AA961" s="441"/>
      <c r="AB961" s="441"/>
      <c r="AC961" s="441"/>
      <c r="AD961" s="441"/>
      <c r="AE961" s="441"/>
      <c r="AF961" s="441"/>
      <c r="AG961" s="441"/>
      <c r="AH961" s="441"/>
      <c r="AI961" s="441"/>
      <c r="AJ961" s="441"/>
      <c r="AK961" s="441"/>
      <c r="AL961" s="441"/>
      <c r="AM961" s="441"/>
      <c r="AN961" s="441"/>
      <c r="AO961" s="441"/>
    </row>
    <row r="962" spans="1:41" ht="12.75" hidden="1" thickBot="1">
      <c r="A962" s="2" t="s">
        <v>1279</v>
      </c>
      <c r="B962" s="2" t="s">
        <v>387</v>
      </c>
      <c r="C962" s="2" t="s">
        <v>411</v>
      </c>
      <c r="D962" s="8" t="s">
        <v>412</v>
      </c>
      <c r="E962" s="3">
        <f t="shared" ref="E962:R977" si="91">ROUND(SUMIFS(E$1410:E$1613,$A$1410:$A$1613,$A962,$B$1410:$B$1613,$B962),0)</f>
        <v>8540000</v>
      </c>
      <c r="F962" s="452">
        <f t="shared" si="91"/>
        <v>0</v>
      </c>
      <c r="G962" s="452">
        <f t="shared" si="90"/>
        <v>86681</v>
      </c>
      <c r="H962" s="452">
        <f t="shared" si="90"/>
        <v>232715</v>
      </c>
      <c r="I962" s="452">
        <f t="shared" si="90"/>
        <v>0</v>
      </c>
      <c r="J962" s="452">
        <f t="shared" si="90"/>
        <v>5325</v>
      </c>
      <c r="K962" s="452">
        <f t="shared" si="90"/>
        <v>200031</v>
      </c>
      <c r="L962" s="452">
        <f t="shared" si="90"/>
        <v>0</v>
      </c>
      <c r="M962" s="452">
        <f t="shared" si="90"/>
        <v>2258</v>
      </c>
      <c r="N962" s="452">
        <f t="shared" si="90"/>
        <v>0</v>
      </c>
      <c r="O962" s="452">
        <f t="shared" si="90"/>
        <v>72030</v>
      </c>
      <c r="P962" s="452">
        <f t="shared" si="90"/>
        <v>0</v>
      </c>
      <c r="Q962" s="452"/>
      <c r="R962" s="452">
        <f t="shared" si="90"/>
        <v>599041</v>
      </c>
      <c r="S962" s="445">
        <f t="shared" si="86"/>
        <v>319396</v>
      </c>
      <c r="T962" s="445">
        <f t="shared" si="87"/>
        <v>205356</v>
      </c>
      <c r="U962" s="445">
        <f t="shared" si="88"/>
        <v>72030</v>
      </c>
      <c r="W962" s="450"/>
      <c r="X962" s="450"/>
      <c r="Y962" s="441"/>
      <c r="Z962" s="441"/>
      <c r="AA962" s="441"/>
      <c r="AB962" s="441"/>
      <c r="AC962" s="441"/>
      <c r="AD962" s="441"/>
      <c r="AE962" s="441"/>
      <c r="AF962" s="441"/>
      <c r="AG962" s="441"/>
      <c r="AH962" s="441"/>
      <c r="AI962" s="441"/>
      <c r="AJ962" s="441"/>
      <c r="AK962" s="441"/>
      <c r="AL962" s="441"/>
      <c r="AM962" s="441"/>
      <c r="AN962" s="441"/>
      <c r="AO962" s="441"/>
    </row>
    <row r="963" spans="1:41" ht="12.75" hidden="1" thickBot="1">
      <c r="A963" s="2" t="s">
        <v>1279</v>
      </c>
      <c r="B963" s="2" t="s">
        <v>388</v>
      </c>
      <c r="C963" s="2" t="s">
        <v>54</v>
      </c>
      <c r="D963" s="8" t="s">
        <v>15</v>
      </c>
      <c r="E963" s="3">
        <f t="shared" si="91"/>
        <v>64168870</v>
      </c>
      <c r="F963" s="452">
        <f t="shared" si="91"/>
        <v>9000</v>
      </c>
      <c r="G963" s="452">
        <f t="shared" si="90"/>
        <v>567895</v>
      </c>
      <c r="H963" s="452">
        <f t="shared" si="90"/>
        <v>1748602</v>
      </c>
      <c r="I963" s="452">
        <f t="shared" si="90"/>
        <v>0</v>
      </c>
      <c r="J963" s="452">
        <f t="shared" si="90"/>
        <v>45348</v>
      </c>
      <c r="K963" s="452">
        <f t="shared" si="90"/>
        <v>1301912</v>
      </c>
      <c r="L963" s="452">
        <f t="shared" si="90"/>
        <v>0</v>
      </c>
      <c r="M963" s="452">
        <f t="shared" si="90"/>
        <v>16966</v>
      </c>
      <c r="N963" s="452">
        <f t="shared" si="90"/>
        <v>0</v>
      </c>
      <c r="O963" s="452">
        <f t="shared" si="90"/>
        <v>541231</v>
      </c>
      <c r="P963" s="452">
        <f t="shared" si="90"/>
        <v>0</v>
      </c>
      <c r="Q963" s="452"/>
      <c r="R963" s="452">
        <f t="shared" si="90"/>
        <v>4230953</v>
      </c>
      <c r="S963" s="445">
        <f t="shared" si="86"/>
        <v>2316497</v>
      </c>
      <c r="T963" s="445">
        <f t="shared" si="87"/>
        <v>1347260</v>
      </c>
      <c r="U963" s="445">
        <f t="shared" si="88"/>
        <v>541231</v>
      </c>
      <c r="W963" s="450"/>
      <c r="X963" s="450"/>
      <c r="Y963" s="441"/>
      <c r="Z963" s="441"/>
      <c r="AA963" s="441"/>
      <c r="AB963" s="441"/>
      <c r="AC963" s="441"/>
      <c r="AD963" s="441"/>
      <c r="AE963" s="441"/>
      <c r="AF963" s="441"/>
      <c r="AG963" s="441"/>
      <c r="AH963" s="441"/>
      <c r="AI963" s="441"/>
      <c r="AJ963" s="441"/>
      <c r="AK963" s="441"/>
      <c r="AL963" s="441"/>
      <c r="AM963" s="441"/>
      <c r="AN963" s="441"/>
      <c r="AO963" s="441"/>
    </row>
    <row r="964" spans="1:41" ht="12.75" hidden="1" thickBot="1">
      <c r="A964" s="2" t="s">
        <v>1279</v>
      </c>
      <c r="B964" s="2" t="s">
        <v>389</v>
      </c>
      <c r="C964" s="2" t="s">
        <v>419</v>
      </c>
      <c r="D964" s="8" t="s">
        <v>20</v>
      </c>
      <c r="E964" s="3">
        <f t="shared" si="91"/>
        <v>19657594</v>
      </c>
      <c r="F964" s="452">
        <f t="shared" si="91"/>
        <v>19350</v>
      </c>
      <c r="G964" s="452">
        <f t="shared" si="90"/>
        <v>262429</v>
      </c>
      <c r="H964" s="452">
        <f t="shared" si="90"/>
        <v>535669</v>
      </c>
      <c r="I964" s="452">
        <f t="shared" si="90"/>
        <v>0</v>
      </c>
      <c r="J964" s="452">
        <f t="shared" si="90"/>
        <v>34120</v>
      </c>
      <c r="K964" s="452">
        <f t="shared" si="90"/>
        <v>1131635</v>
      </c>
      <c r="L964" s="452">
        <f t="shared" si="90"/>
        <v>42033</v>
      </c>
      <c r="M964" s="452">
        <f t="shared" si="90"/>
        <v>5197</v>
      </c>
      <c r="N964" s="452">
        <f t="shared" si="90"/>
        <v>0</v>
      </c>
      <c r="O964" s="452">
        <f t="shared" si="90"/>
        <v>165802</v>
      </c>
      <c r="P964" s="452">
        <f t="shared" si="90"/>
        <v>0</v>
      </c>
      <c r="Q964" s="452"/>
      <c r="R964" s="452">
        <f t="shared" si="90"/>
        <v>2196235</v>
      </c>
      <c r="S964" s="445">
        <f t="shared" si="86"/>
        <v>798098</v>
      </c>
      <c r="T964" s="445">
        <f t="shared" si="87"/>
        <v>1165755</v>
      </c>
      <c r="U964" s="445">
        <f t="shared" si="88"/>
        <v>165802</v>
      </c>
      <c r="W964" s="450"/>
      <c r="X964" s="450"/>
      <c r="Y964" s="441"/>
      <c r="Z964" s="441"/>
      <c r="AA964" s="441"/>
      <c r="AB964" s="441"/>
      <c r="AC964" s="441"/>
      <c r="AD964" s="441"/>
      <c r="AE964" s="441"/>
      <c r="AF964" s="441"/>
      <c r="AG964" s="441"/>
      <c r="AH964" s="441"/>
      <c r="AI964" s="441"/>
      <c r="AJ964" s="441"/>
      <c r="AK964" s="441"/>
      <c r="AL964" s="441"/>
      <c r="AM964" s="441"/>
      <c r="AN964" s="441"/>
      <c r="AO964" s="441"/>
    </row>
    <row r="965" spans="1:41" ht="12.75" hidden="1" thickBot="1">
      <c r="A965" s="2" t="s">
        <v>1279</v>
      </c>
      <c r="B965" s="2" t="s">
        <v>390</v>
      </c>
      <c r="C965" s="2" t="s">
        <v>418</v>
      </c>
      <c r="D965" s="2" t="s">
        <v>21</v>
      </c>
      <c r="E965" s="3">
        <f t="shared" si="91"/>
        <v>1023218</v>
      </c>
      <c r="F965" s="452">
        <f t="shared" si="91"/>
        <v>3570</v>
      </c>
      <c r="G965" s="452">
        <f t="shared" si="90"/>
        <v>12289</v>
      </c>
      <c r="H965" s="452">
        <f t="shared" si="90"/>
        <v>27883</v>
      </c>
      <c r="I965" s="452">
        <f t="shared" si="90"/>
        <v>0</v>
      </c>
      <c r="J965" s="452">
        <f t="shared" si="90"/>
        <v>2038</v>
      </c>
      <c r="K965" s="452">
        <f t="shared" si="90"/>
        <v>57183</v>
      </c>
      <c r="L965" s="452">
        <f t="shared" si="90"/>
        <v>2188</v>
      </c>
      <c r="M965" s="452">
        <f t="shared" si="90"/>
        <v>271</v>
      </c>
      <c r="N965" s="452">
        <f t="shared" si="90"/>
        <v>0</v>
      </c>
      <c r="O965" s="452">
        <f t="shared" si="90"/>
        <v>8630</v>
      </c>
      <c r="P965" s="452">
        <f t="shared" si="90"/>
        <v>0</v>
      </c>
      <c r="Q965" s="452"/>
      <c r="R965" s="452">
        <f t="shared" si="90"/>
        <v>114051</v>
      </c>
      <c r="S965" s="445">
        <f t="shared" si="86"/>
        <v>40172</v>
      </c>
      <c r="T965" s="445">
        <f t="shared" si="87"/>
        <v>59221</v>
      </c>
      <c r="U965" s="445">
        <f t="shared" si="88"/>
        <v>8630</v>
      </c>
      <c r="W965" s="450"/>
      <c r="X965" s="450"/>
      <c r="Y965" s="441"/>
      <c r="Z965" s="441"/>
      <c r="AA965" s="441"/>
      <c r="AB965" s="441"/>
      <c r="AC965" s="441"/>
      <c r="AD965" s="441"/>
      <c r="AE965" s="441"/>
      <c r="AF965" s="441"/>
      <c r="AG965" s="441"/>
      <c r="AH965" s="441"/>
      <c r="AI965" s="441"/>
      <c r="AJ965" s="441"/>
      <c r="AK965" s="441"/>
      <c r="AL965" s="441"/>
      <c r="AM965" s="441"/>
      <c r="AN965" s="441"/>
      <c r="AO965" s="441"/>
    </row>
    <row r="966" spans="1:41" ht="12.75" hidden="1" thickBot="1">
      <c r="A966" s="2" t="s">
        <v>1279</v>
      </c>
      <c r="B966" s="2" t="s">
        <v>391</v>
      </c>
      <c r="C966" s="2" t="s">
        <v>1034</v>
      </c>
      <c r="D966" s="8" t="s">
        <v>422</v>
      </c>
      <c r="E966" s="3">
        <f t="shared" si="91"/>
        <v>20552866</v>
      </c>
      <c r="F966" s="452">
        <f t="shared" si="91"/>
        <v>19000</v>
      </c>
      <c r="G966" s="452">
        <f t="shared" si="90"/>
        <v>259994</v>
      </c>
      <c r="H966" s="452">
        <f t="shared" si="90"/>
        <v>560066</v>
      </c>
      <c r="I966" s="452">
        <f t="shared" si="90"/>
        <v>0</v>
      </c>
      <c r="J966" s="452">
        <f t="shared" si="90"/>
        <v>24957</v>
      </c>
      <c r="K966" s="452">
        <f t="shared" si="90"/>
        <v>730926</v>
      </c>
      <c r="L966" s="452">
        <f t="shared" si="90"/>
        <v>43947</v>
      </c>
      <c r="M966" s="452">
        <f t="shared" si="90"/>
        <v>5434</v>
      </c>
      <c r="N966" s="452">
        <f t="shared" si="90"/>
        <v>0</v>
      </c>
      <c r="O966" s="452">
        <f t="shared" si="90"/>
        <v>173353</v>
      </c>
      <c r="P966" s="452">
        <f t="shared" si="90"/>
        <v>0</v>
      </c>
      <c r="Q966" s="452"/>
      <c r="R966" s="452">
        <f t="shared" si="90"/>
        <v>1817676</v>
      </c>
      <c r="S966" s="445">
        <f t="shared" si="86"/>
        <v>820060</v>
      </c>
      <c r="T966" s="445">
        <f t="shared" si="87"/>
        <v>755883</v>
      </c>
      <c r="U966" s="445">
        <f t="shared" si="88"/>
        <v>173353</v>
      </c>
      <c r="W966" s="450"/>
      <c r="X966" s="450"/>
      <c r="Y966" s="441"/>
      <c r="Z966" s="441"/>
      <c r="AA966" s="441"/>
      <c r="AB966" s="441"/>
      <c r="AC966" s="441"/>
      <c r="AD966" s="441"/>
      <c r="AE966" s="441"/>
      <c r="AF966" s="441"/>
      <c r="AG966" s="441"/>
      <c r="AH966" s="441"/>
      <c r="AI966" s="441"/>
      <c r="AJ966" s="441"/>
      <c r="AK966" s="441"/>
      <c r="AL966" s="441"/>
      <c r="AM966" s="441"/>
      <c r="AN966" s="441"/>
      <c r="AO966" s="441"/>
    </row>
    <row r="967" spans="1:41" ht="12.75" hidden="1" thickBot="1">
      <c r="A967" s="2" t="s">
        <v>1279</v>
      </c>
      <c r="B967" s="2" t="s">
        <v>392</v>
      </c>
      <c r="C967" s="2" t="s">
        <v>420</v>
      </c>
      <c r="D967" s="8" t="s">
        <v>421</v>
      </c>
      <c r="E967" s="3">
        <f t="shared" si="91"/>
        <v>129026932</v>
      </c>
      <c r="F967" s="452">
        <f t="shared" si="91"/>
        <v>20700</v>
      </c>
      <c r="G967" s="452">
        <f t="shared" si="90"/>
        <v>1048989</v>
      </c>
      <c r="H967" s="452">
        <f t="shared" si="90"/>
        <v>3515984</v>
      </c>
      <c r="I967" s="452">
        <f t="shared" si="90"/>
        <v>0</v>
      </c>
      <c r="J967" s="452">
        <f t="shared" si="90"/>
        <v>142301</v>
      </c>
      <c r="K967" s="452">
        <f t="shared" si="90"/>
        <v>3924779</v>
      </c>
      <c r="L967" s="452">
        <f t="shared" si="90"/>
        <v>275894</v>
      </c>
      <c r="M967" s="452">
        <f t="shared" si="90"/>
        <v>34114</v>
      </c>
      <c r="N967" s="452">
        <f t="shared" si="90"/>
        <v>0</v>
      </c>
      <c r="O967" s="452">
        <f t="shared" si="90"/>
        <v>1088275</v>
      </c>
      <c r="P967" s="452">
        <f t="shared" si="90"/>
        <v>0</v>
      </c>
      <c r="Q967" s="452"/>
      <c r="R967" s="452">
        <f t="shared" si="90"/>
        <v>10051036</v>
      </c>
      <c r="S967" s="445">
        <f t="shared" si="86"/>
        <v>4564973</v>
      </c>
      <c r="T967" s="445">
        <f t="shared" si="87"/>
        <v>4067080</v>
      </c>
      <c r="U967" s="445">
        <f t="shared" si="88"/>
        <v>1088275</v>
      </c>
      <c r="W967" s="450"/>
      <c r="X967" s="450"/>
      <c r="Y967" s="441"/>
      <c r="Z967" s="441"/>
      <c r="AA967" s="441"/>
      <c r="AB967" s="441"/>
      <c r="AC967" s="441"/>
      <c r="AD967" s="441"/>
      <c r="AE967" s="441"/>
      <c r="AF967" s="441"/>
      <c r="AG967" s="441"/>
      <c r="AH967" s="441"/>
      <c r="AI967" s="441"/>
      <c r="AJ967" s="441"/>
      <c r="AK967" s="441"/>
      <c r="AL967" s="441"/>
      <c r="AM967" s="441"/>
      <c r="AN967" s="441"/>
      <c r="AO967" s="441"/>
    </row>
    <row r="968" spans="1:41" ht="12.75" hidden="1" thickBot="1">
      <c r="A968" s="2" t="s">
        <v>1279</v>
      </c>
      <c r="B968" s="2" t="s">
        <v>394</v>
      </c>
      <c r="C968" s="2" t="s">
        <v>423</v>
      </c>
      <c r="D968" s="8" t="s">
        <v>17</v>
      </c>
      <c r="E968" s="3">
        <f t="shared" si="91"/>
        <v>0</v>
      </c>
      <c r="F968" s="452">
        <f t="shared" si="91"/>
        <v>0</v>
      </c>
      <c r="G968" s="452">
        <f t="shared" si="90"/>
        <v>0</v>
      </c>
      <c r="H968" s="452">
        <f t="shared" si="90"/>
        <v>0</v>
      </c>
      <c r="I968" s="452">
        <f t="shared" si="90"/>
        <v>0</v>
      </c>
      <c r="J968" s="452">
        <f t="shared" si="90"/>
        <v>0</v>
      </c>
      <c r="K968" s="452">
        <f t="shared" si="90"/>
        <v>0</v>
      </c>
      <c r="L968" s="452">
        <f t="shared" si="90"/>
        <v>0</v>
      </c>
      <c r="M968" s="452">
        <f t="shared" si="90"/>
        <v>0</v>
      </c>
      <c r="N968" s="452">
        <f t="shared" si="90"/>
        <v>0</v>
      </c>
      <c r="O968" s="452">
        <f t="shared" si="90"/>
        <v>0</v>
      </c>
      <c r="P968" s="452">
        <f t="shared" si="90"/>
        <v>0</v>
      </c>
      <c r="Q968" s="452"/>
      <c r="R968" s="452">
        <f t="shared" si="90"/>
        <v>0</v>
      </c>
      <c r="S968" s="445">
        <f t="shared" si="86"/>
        <v>0</v>
      </c>
      <c r="T968" s="445">
        <f t="shared" si="87"/>
        <v>0</v>
      </c>
      <c r="U968" s="445">
        <f t="shared" si="88"/>
        <v>0</v>
      </c>
      <c r="W968" s="450"/>
      <c r="X968" s="450"/>
      <c r="Y968" s="441"/>
      <c r="Z968" s="441"/>
      <c r="AA968" s="441"/>
      <c r="AB968" s="441"/>
      <c r="AC968" s="441"/>
      <c r="AD968" s="441"/>
      <c r="AE968" s="441"/>
      <c r="AF968" s="441"/>
      <c r="AG968" s="441"/>
      <c r="AH968" s="441"/>
      <c r="AI968" s="441"/>
      <c r="AJ968" s="441"/>
      <c r="AK968" s="441"/>
      <c r="AL968" s="441"/>
      <c r="AM968" s="441"/>
      <c r="AN968" s="441"/>
      <c r="AO968" s="441"/>
    </row>
    <row r="969" spans="1:41" ht="12.75" hidden="1" thickBot="1">
      <c r="A969" s="2" t="s">
        <v>1279</v>
      </c>
      <c r="B969" s="2" t="s">
        <v>395</v>
      </c>
      <c r="C969" s="2" t="s">
        <v>423</v>
      </c>
      <c r="D969" s="8" t="s">
        <v>17</v>
      </c>
      <c r="E969" s="3">
        <f t="shared" si="91"/>
        <v>0</v>
      </c>
      <c r="F969" s="452">
        <f t="shared" si="91"/>
        <v>0</v>
      </c>
      <c r="G969" s="452">
        <f t="shared" si="90"/>
        <v>0</v>
      </c>
      <c r="H969" s="452">
        <f t="shared" si="90"/>
        <v>0</v>
      </c>
      <c r="I969" s="452">
        <f t="shared" si="90"/>
        <v>0</v>
      </c>
      <c r="J969" s="452">
        <f t="shared" si="90"/>
        <v>0</v>
      </c>
      <c r="K969" s="452">
        <f t="shared" si="90"/>
        <v>0</v>
      </c>
      <c r="L969" s="452">
        <f t="shared" si="90"/>
        <v>0</v>
      </c>
      <c r="M969" s="452">
        <f t="shared" si="90"/>
        <v>0</v>
      </c>
      <c r="N969" s="452">
        <f t="shared" si="90"/>
        <v>0</v>
      </c>
      <c r="O969" s="452">
        <f t="shared" si="90"/>
        <v>0</v>
      </c>
      <c r="P969" s="452">
        <f t="shared" si="90"/>
        <v>0</v>
      </c>
      <c r="Q969" s="452"/>
      <c r="R969" s="452">
        <f t="shared" si="90"/>
        <v>0</v>
      </c>
      <c r="S969" s="445">
        <f t="shared" si="86"/>
        <v>0</v>
      </c>
      <c r="T969" s="445">
        <f t="shared" si="87"/>
        <v>0</v>
      </c>
      <c r="U969" s="445">
        <f t="shared" si="88"/>
        <v>0</v>
      </c>
      <c r="W969" s="450"/>
      <c r="X969" s="450"/>
      <c r="Y969" s="441"/>
      <c r="Z969" s="441"/>
      <c r="AA969" s="441"/>
      <c r="AB969" s="441"/>
      <c r="AC969" s="441"/>
      <c r="AD969" s="441"/>
      <c r="AE969" s="441"/>
      <c r="AF969" s="441"/>
      <c r="AG969" s="441"/>
      <c r="AH969" s="441"/>
      <c r="AI969" s="441"/>
      <c r="AJ969" s="441"/>
      <c r="AK969" s="441"/>
      <c r="AL969" s="441"/>
      <c r="AM969" s="441"/>
      <c r="AN969" s="441"/>
      <c r="AO969" s="441"/>
    </row>
    <row r="970" spans="1:41" ht="12.75" hidden="1" thickBot="1">
      <c r="A970" s="2" t="s">
        <v>1279</v>
      </c>
      <c r="B970" s="2" t="s">
        <v>396</v>
      </c>
      <c r="C970" s="2" t="s">
        <v>423</v>
      </c>
      <c r="D970" s="8" t="s">
        <v>17</v>
      </c>
      <c r="E970" s="3">
        <f t="shared" si="91"/>
        <v>0</v>
      </c>
      <c r="F970" s="452">
        <f t="shared" si="91"/>
        <v>0</v>
      </c>
      <c r="G970" s="452">
        <f t="shared" si="90"/>
        <v>0</v>
      </c>
      <c r="H970" s="452">
        <f t="shared" si="90"/>
        <v>0</v>
      </c>
      <c r="I970" s="452">
        <f t="shared" si="90"/>
        <v>0</v>
      </c>
      <c r="J970" s="452">
        <f t="shared" si="90"/>
        <v>0</v>
      </c>
      <c r="K970" s="452">
        <f t="shared" si="90"/>
        <v>0</v>
      </c>
      <c r="L970" s="452">
        <f t="shared" si="90"/>
        <v>0</v>
      </c>
      <c r="M970" s="452">
        <f t="shared" si="90"/>
        <v>0</v>
      </c>
      <c r="N970" s="452">
        <f t="shared" si="90"/>
        <v>0</v>
      </c>
      <c r="O970" s="452">
        <f t="shared" si="90"/>
        <v>0</v>
      </c>
      <c r="P970" s="452">
        <f t="shared" si="90"/>
        <v>0</v>
      </c>
      <c r="Q970" s="452"/>
      <c r="R970" s="452">
        <f t="shared" si="90"/>
        <v>0</v>
      </c>
      <c r="S970" s="445">
        <f t="shared" si="86"/>
        <v>0</v>
      </c>
      <c r="T970" s="445">
        <f t="shared" si="87"/>
        <v>0</v>
      </c>
      <c r="U970" s="445">
        <f t="shared" si="88"/>
        <v>0</v>
      </c>
      <c r="W970" s="450"/>
      <c r="X970" s="450"/>
      <c r="Y970" s="441"/>
      <c r="Z970" s="441"/>
      <c r="AA970" s="441"/>
      <c r="AB970" s="441"/>
      <c r="AC970" s="441"/>
      <c r="AD970" s="441"/>
      <c r="AE970" s="441"/>
      <c r="AF970" s="441"/>
      <c r="AG970" s="441"/>
      <c r="AH970" s="441"/>
      <c r="AI970" s="441"/>
      <c r="AJ970" s="441"/>
      <c r="AK970" s="441"/>
      <c r="AL970" s="441"/>
      <c r="AM970" s="441"/>
      <c r="AN970" s="441"/>
      <c r="AO970" s="441"/>
    </row>
    <row r="971" spans="1:41" ht="12.75" hidden="1" thickBot="1">
      <c r="A971" s="2" t="s">
        <v>1279</v>
      </c>
      <c r="B971" s="2" t="s">
        <v>397</v>
      </c>
      <c r="C971" s="2" t="s">
        <v>55</v>
      </c>
      <c r="D971" s="8" t="s">
        <v>18</v>
      </c>
      <c r="E971" s="3">
        <f t="shared" si="91"/>
        <v>0</v>
      </c>
      <c r="F971" s="452">
        <f t="shared" si="91"/>
        <v>0</v>
      </c>
      <c r="G971" s="452">
        <f t="shared" si="90"/>
        <v>0</v>
      </c>
      <c r="H971" s="452">
        <f t="shared" si="90"/>
        <v>0</v>
      </c>
      <c r="I971" s="452">
        <f t="shared" si="90"/>
        <v>0</v>
      </c>
      <c r="J971" s="452">
        <f t="shared" si="90"/>
        <v>0</v>
      </c>
      <c r="K971" s="452">
        <f t="shared" si="90"/>
        <v>0</v>
      </c>
      <c r="L971" s="452">
        <f t="shared" si="90"/>
        <v>0</v>
      </c>
      <c r="M971" s="452">
        <f t="shared" si="90"/>
        <v>0</v>
      </c>
      <c r="N971" s="452">
        <f t="shared" si="90"/>
        <v>0</v>
      </c>
      <c r="O971" s="452">
        <f t="shared" si="90"/>
        <v>0</v>
      </c>
      <c r="P971" s="452">
        <f t="shared" si="90"/>
        <v>0</v>
      </c>
      <c r="Q971" s="452"/>
      <c r="R971" s="452">
        <f t="shared" si="90"/>
        <v>0</v>
      </c>
      <c r="S971" s="445">
        <f t="shared" ref="S971:S1034" si="92">G971+H971+I971</f>
        <v>0</v>
      </c>
      <c r="T971" s="445">
        <f t="shared" ref="T971:T1034" si="93">J971+K971</f>
        <v>0</v>
      </c>
      <c r="U971" s="445">
        <f t="shared" ref="U971:U1034" si="94">N971+O971</f>
        <v>0</v>
      </c>
      <c r="W971" s="450"/>
      <c r="X971" s="450"/>
      <c r="Y971" s="441"/>
      <c r="Z971" s="441"/>
      <c r="AA971" s="441"/>
      <c r="AB971" s="441"/>
      <c r="AC971" s="441"/>
      <c r="AD971" s="441"/>
      <c r="AE971" s="441"/>
      <c r="AF971" s="441"/>
      <c r="AG971" s="441"/>
      <c r="AH971" s="441"/>
      <c r="AI971" s="441"/>
      <c r="AJ971" s="441"/>
      <c r="AK971" s="441"/>
      <c r="AL971" s="441"/>
      <c r="AM971" s="441"/>
      <c r="AN971" s="441"/>
      <c r="AO971" s="441"/>
    </row>
    <row r="972" spans="1:41" ht="12.75" hidden="1" thickBot="1">
      <c r="A972" s="2" t="s">
        <v>1279</v>
      </c>
      <c r="B972" s="2" t="s">
        <v>398</v>
      </c>
      <c r="C972" s="2" t="s">
        <v>55</v>
      </c>
      <c r="D972" s="8" t="s">
        <v>18</v>
      </c>
      <c r="E972" s="3">
        <f t="shared" si="91"/>
        <v>0</v>
      </c>
      <c r="F972" s="452">
        <f t="shared" si="91"/>
        <v>0</v>
      </c>
      <c r="G972" s="452">
        <f t="shared" si="90"/>
        <v>0</v>
      </c>
      <c r="H972" s="452">
        <f t="shared" si="90"/>
        <v>0</v>
      </c>
      <c r="I972" s="452">
        <f t="shared" si="90"/>
        <v>0</v>
      </c>
      <c r="J972" s="452">
        <f t="shared" si="90"/>
        <v>0</v>
      </c>
      <c r="K972" s="452">
        <f t="shared" si="90"/>
        <v>0</v>
      </c>
      <c r="L972" s="452">
        <f t="shared" si="90"/>
        <v>0</v>
      </c>
      <c r="M972" s="452">
        <f t="shared" si="90"/>
        <v>0</v>
      </c>
      <c r="N972" s="452">
        <f t="shared" si="90"/>
        <v>0</v>
      </c>
      <c r="O972" s="452">
        <f t="shared" si="90"/>
        <v>0</v>
      </c>
      <c r="P972" s="452">
        <f t="shared" si="90"/>
        <v>0</v>
      </c>
      <c r="Q972" s="452"/>
      <c r="R972" s="452">
        <f t="shared" si="90"/>
        <v>0</v>
      </c>
      <c r="S972" s="445">
        <f t="shared" si="92"/>
        <v>0</v>
      </c>
      <c r="T972" s="445">
        <f t="shared" si="93"/>
        <v>0</v>
      </c>
      <c r="U972" s="445">
        <f t="shared" si="94"/>
        <v>0</v>
      </c>
      <c r="W972" s="450"/>
      <c r="X972" s="450"/>
      <c r="Y972" s="441"/>
      <c r="Z972" s="441"/>
      <c r="AA972" s="441"/>
      <c r="AB972" s="441"/>
      <c r="AC972" s="441"/>
      <c r="AD972" s="441"/>
      <c r="AE972" s="441"/>
      <c r="AF972" s="441"/>
      <c r="AG972" s="441"/>
      <c r="AH972" s="441"/>
      <c r="AI972" s="441"/>
      <c r="AJ972" s="441"/>
      <c r="AK972" s="441"/>
      <c r="AL972" s="441"/>
      <c r="AM972" s="441"/>
      <c r="AN972" s="441"/>
      <c r="AO972" s="441"/>
    </row>
    <row r="973" spans="1:41" ht="12.75" hidden="1" thickBot="1">
      <c r="A973" s="2" t="s">
        <v>1279</v>
      </c>
      <c r="B973" s="2" t="s">
        <v>805</v>
      </c>
      <c r="C973" s="2" t="s">
        <v>806</v>
      </c>
      <c r="D973" s="8" t="s">
        <v>1205</v>
      </c>
      <c r="E973" s="3">
        <f t="shared" si="91"/>
        <v>0</v>
      </c>
      <c r="F973" s="452">
        <f t="shared" si="91"/>
        <v>0</v>
      </c>
      <c r="G973" s="452">
        <f t="shared" si="90"/>
        <v>0</v>
      </c>
      <c r="H973" s="452">
        <f t="shared" si="90"/>
        <v>0</v>
      </c>
      <c r="I973" s="452">
        <f t="shared" si="90"/>
        <v>0</v>
      </c>
      <c r="J973" s="452">
        <f t="shared" si="90"/>
        <v>0</v>
      </c>
      <c r="K973" s="452">
        <f t="shared" si="90"/>
        <v>0</v>
      </c>
      <c r="L973" s="452">
        <f t="shared" si="90"/>
        <v>0</v>
      </c>
      <c r="M973" s="452">
        <f t="shared" si="90"/>
        <v>0</v>
      </c>
      <c r="N973" s="452">
        <f t="shared" si="90"/>
        <v>0</v>
      </c>
      <c r="O973" s="452">
        <f t="shared" si="90"/>
        <v>0</v>
      </c>
      <c r="P973" s="452">
        <f t="shared" si="90"/>
        <v>0</v>
      </c>
      <c r="Q973" s="452"/>
      <c r="R973" s="452">
        <f t="shared" si="90"/>
        <v>0</v>
      </c>
      <c r="S973" s="445">
        <f t="shared" si="92"/>
        <v>0</v>
      </c>
      <c r="T973" s="445">
        <f t="shared" si="93"/>
        <v>0</v>
      </c>
      <c r="U973" s="445">
        <f t="shared" si="94"/>
        <v>0</v>
      </c>
      <c r="W973" s="450"/>
      <c r="X973" s="450"/>
      <c r="Y973" s="441"/>
      <c r="Z973" s="441"/>
      <c r="AA973" s="441"/>
      <c r="AB973" s="441"/>
      <c r="AC973" s="441"/>
      <c r="AD973" s="441"/>
      <c r="AE973" s="441"/>
      <c r="AF973" s="441"/>
      <c r="AG973" s="441"/>
      <c r="AH973" s="441"/>
      <c r="AI973" s="441"/>
      <c r="AJ973" s="441"/>
      <c r="AK973" s="441"/>
      <c r="AL973" s="441"/>
      <c r="AM973" s="441"/>
      <c r="AN973" s="441"/>
      <c r="AO973" s="441"/>
    </row>
    <row r="974" spans="1:41" ht="12.75" thickBot="1">
      <c r="A974" s="2" t="s">
        <v>1279</v>
      </c>
      <c r="B974" s="2" t="s">
        <v>399</v>
      </c>
      <c r="C974" s="2" t="s">
        <v>430</v>
      </c>
      <c r="D974" s="8" t="s">
        <v>13</v>
      </c>
      <c r="E974" s="3">
        <f t="shared" si="91"/>
        <v>0</v>
      </c>
      <c r="F974" s="452">
        <f t="shared" si="91"/>
        <v>0</v>
      </c>
      <c r="G974" s="452">
        <f t="shared" si="90"/>
        <v>0</v>
      </c>
      <c r="H974" s="452">
        <f t="shared" si="90"/>
        <v>0</v>
      </c>
      <c r="I974" s="452">
        <f t="shared" si="90"/>
        <v>0</v>
      </c>
      <c r="J974" s="452">
        <f t="shared" si="90"/>
        <v>0</v>
      </c>
      <c r="K974" s="452">
        <f t="shared" si="90"/>
        <v>0</v>
      </c>
      <c r="L974" s="452">
        <f t="shared" si="90"/>
        <v>0</v>
      </c>
      <c r="M974" s="452">
        <f t="shared" si="90"/>
        <v>0</v>
      </c>
      <c r="N974" s="452">
        <f t="shared" si="90"/>
        <v>0</v>
      </c>
      <c r="O974" s="452">
        <f t="shared" si="90"/>
        <v>0</v>
      </c>
      <c r="P974" s="452">
        <f t="shared" si="90"/>
        <v>0</v>
      </c>
      <c r="Q974" s="452"/>
      <c r="R974" s="452">
        <f t="shared" si="90"/>
        <v>0</v>
      </c>
      <c r="S974" s="445">
        <f t="shared" si="92"/>
        <v>0</v>
      </c>
      <c r="T974" s="445">
        <f t="shared" si="93"/>
        <v>0</v>
      </c>
      <c r="U974" s="445">
        <f t="shared" si="94"/>
        <v>0</v>
      </c>
      <c r="W974" s="450"/>
      <c r="X974" s="450"/>
      <c r="Y974" s="441"/>
      <c r="Z974" s="441"/>
      <c r="AA974" s="441"/>
      <c r="AB974" s="441"/>
      <c r="AC974" s="441"/>
      <c r="AD974" s="441"/>
      <c r="AE974" s="441"/>
      <c r="AF974" s="441"/>
      <c r="AG974" s="441"/>
      <c r="AH974" s="441"/>
      <c r="AI974" s="441"/>
      <c r="AJ974" s="441"/>
      <c r="AK974" s="441"/>
      <c r="AL974" s="441"/>
      <c r="AM974" s="441"/>
      <c r="AN974" s="441"/>
      <c r="AO974" s="441"/>
    </row>
    <row r="975" spans="1:41" ht="12.75" thickBot="1">
      <c r="A975" s="2" t="s">
        <v>1279</v>
      </c>
      <c r="B975" s="2" t="s">
        <v>400</v>
      </c>
      <c r="C975" s="2" t="s">
        <v>427</v>
      </c>
      <c r="D975" s="8" t="s">
        <v>13</v>
      </c>
      <c r="E975" s="3">
        <f t="shared" si="91"/>
        <v>387432170</v>
      </c>
      <c r="F975" s="452">
        <f t="shared" si="91"/>
        <v>3878654</v>
      </c>
      <c r="G975" s="452">
        <f t="shared" si="90"/>
        <v>20212336</v>
      </c>
      <c r="H975" s="452">
        <f t="shared" si="90"/>
        <v>10557527</v>
      </c>
      <c r="I975" s="452">
        <f t="shared" si="90"/>
        <v>519159</v>
      </c>
      <c r="J975" s="452">
        <f t="shared" si="90"/>
        <v>0</v>
      </c>
      <c r="K975" s="452">
        <f t="shared" si="90"/>
        <v>0</v>
      </c>
      <c r="L975" s="452">
        <f t="shared" si="90"/>
        <v>828433</v>
      </c>
      <c r="M975" s="452">
        <f t="shared" si="90"/>
        <v>102434</v>
      </c>
      <c r="N975" s="452">
        <f t="shared" si="90"/>
        <v>3267789</v>
      </c>
      <c r="O975" s="452">
        <f t="shared" si="90"/>
        <v>0</v>
      </c>
      <c r="P975" s="452">
        <f t="shared" si="90"/>
        <v>0</v>
      </c>
      <c r="Q975" s="452"/>
      <c r="R975" s="452">
        <f t="shared" si="90"/>
        <v>39366332</v>
      </c>
      <c r="S975" s="445">
        <f t="shared" si="92"/>
        <v>31289022</v>
      </c>
      <c r="T975" s="445">
        <f t="shared" si="93"/>
        <v>0</v>
      </c>
      <c r="U975" s="445">
        <f t="shared" si="94"/>
        <v>3267789</v>
      </c>
      <c r="W975" s="450"/>
      <c r="X975" s="450"/>
      <c r="Y975" s="441"/>
      <c r="Z975" s="441"/>
      <c r="AA975" s="441"/>
      <c r="AB975" s="441"/>
      <c r="AC975" s="441"/>
      <c r="AD975" s="441"/>
      <c r="AE975" s="441"/>
      <c r="AF975" s="441"/>
      <c r="AG975" s="441"/>
      <c r="AH975" s="441"/>
      <c r="AI975" s="441"/>
      <c r="AJ975" s="441"/>
      <c r="AK975" s="441"/>
      <c r="AL975" s="441"/>
      <c r="AM975" s="441"/>
      <c r="AN975" s="441"/>
      <c r="AO975" s="441"/>
    </row>
    <row r="976" spans="1:41" ht="12.75" thickBot="1">
      <c r="A976" s="2" t="s">
        <v>1279</v>
      </c>
      <c r="B976" s="2" t="s">
        <v>401</v>
      </c>
      <c r="C976" s="2" t="s">
        <v>428</v>
      </c>
      <c r="D976" s="8" t="s">
        <v>13</v>
      </c>
      <c r="E976" s="3">
        <f t="shared" si="91"/>
        <v>0</v>
      </c>
      <c r="F976" s="452">
        <f t="shared" si="91"/>
        <v>0</v>
      </c>
      <c r="G976" s="452">
        <f t="shared" si="90"/>
        <v>0</v>
      </c>
      <c r="H976" s="452">
        <f t="shared" si="90"/>
        <v>0</v>
      </c>
      <c r="I976" s="452">
        <f t="shared" si="90"/>
        <v>0</v>
      </c>
      <c r="J976" s="452">
        <f t="shared" si="90"/>
        <v>0</v>
      </c>
      <c r="K976" s="452">
        <f t="shared" si="90"/>
        <v>0</v>
      </c>
      <c r="L976" s="452">
        <f t="shared" si="90"/>
        <v>0</v>
      </c>
      <c r="M976" s="452">
        <f t="shared" si="90"/>
        <v>0</v>
      </c>
      <c r="N976" s="452">
        <f t="shared" si="90"/>
        <v>0</v>
      </c>
      <c r="O976" s="452">
        <f t="shared" si="90"/>
        <v>0</v>
      </c>
      <c r="P976" s="452">
        <f t="shared" si="90"/>
        <v>0</v>
      </c>
      <c r="Q976" s="452"/>
      <c r="R976" s="452">
        <f t="shared" si="90"/>
        <v>0</v>
      </c>
      <c r="S976" s="445">
        <f t="shared" si="92"/>
        <v>0</v>
      </c>
      <c r="T976" s="445">
        <f t="shared" si="93"/>
        <v>0</v>
      </c>
      <c r="U976" s="445">
        <f t="shared" si="94"/>
        <v>0</v>
      </c>
      <c r="W976" s="450"/>
      <c r="X976" s="450"/>
      <c r="Y976" s="441"/>
      <c r="Z976" s="441"/>
      <c r="AA976" s="441"/>
      <c r="AB976" s="441"/>
      <c r="AC976" s="441"/>
      <c r="AD976" s="441"/>
      <c r="AE976" s="441"/>
      <c r="AF976" s="441"/>
      <c r="AG976" s="441"/>
      <c r="AH976" s="441"/>
      <c r="AI976" s="441"/>
      <c r="AJ976" s="441"/>
      <c r="AK976" s="441"/>
      <c r="AL976" s="441"/>
      <c r="AM976" s="441"/>
      <c r="AN976" s="441"/>
      <c r="AO976" s="441"/>
    </row>
    <row r="977" spans="1:41" ht="12.75" thickBot="1">
      <c r="A977" s="2" t="s">
        <v>1279</v>
      </c>
      <c r="B977" s="2" t="s">
        <v>402</v>
      </c>
      <c r="C977" s="2" t="s">
        <v>429</v>
      </c>
      <c r="D977" s="8" t="s">
        <v>13</v>
      </c>
      <c r="E977" s="3">
        <f t="shared" si="91"/>
        <v>0</v>
      </c>
      <c r="F977" s="452">
        <f t="shared" si="91"/>
        <v>0</v>
      </c>
      <c r="G977" s="452">
        <f t="shared" si="91"/>
        <v>0</v>
      </c>
      <c r="H977" s="452">
        <f t="shared" si="91"/>
        <v>0</v>
      </c>
      <c r="I977" s="452">
        <f t="shared" si="91"/>
        <v>0</v>
      </c>
      <c r="J977" s="452">
        <f t="shared" si="91"/>
        <v>0</v>
      </c>
      <c r="K977" s="452">
        <f t="shared" si="91"/>
        <v>0</v>
      </c>
      <c r="L977" s="452">
        <f t="shared" si="91"/>
        <v>0</v>
      </c>
      <c r="M977" s="452">
        <f t="shared" si="91"/>
        <v>0</v>
      </c>
      <c r="N977" s="452">
        <f t="shared" si="91"/>
        <v>0</v>
      </c>
      <c r="O977" s="452">
        <f t="shared" si="91"/>
        <v>0</v>
      </c>
      <c r="P977" s="452">
        <f t="shared" si="91"/>
        <v>0</v>
      </c>
      <c r="Q977" s="452"/>
      <c r="R977" s="452">
        <f t="shared" si="91"/>
        <v>0</v>
      </c>
      <c r="S977" s="445">
        <f t="shared" si="92"/>
        <v>0</v>
      </c>
      <c r="T977" s="445">
        <f t="shared" si="93"/>
        <v>0</v>
      </c>
      <c r="U977" s="445">
        <f t="shared" si="94"/>
        <v>0</v>
      </c>
      <c r="W977" s="450"/>
      <c r="X977" s="450"/>
      <c r="Y977" s="441"/>
      <c r="Z977" s="441"/>
      <c r="AA977" s="441"/>
      <c r="AB977" s="441"/>
      <c r="AC977" s="441"/>
      <c r="AD977" s="441"/>
      <c r="AE977" s="441"/>
      <c r="AF977" s="441"/>
      <c r="AG977" s="441"/>
      <c r="AH977" s="441"/>
      <c r="AI977" s="441"/>
      <c r="AJ977" s="441"/>
      <c r="AK977" s="441"/>
      <c r="AL977" s="441"/>
      <c r="AM977" s="441"/>
      <c r="AN977" s="441"/>
      <c r="AO977" s="441"/>
    </row>
    <row r="978" spans="1:41" ht="12.75" hidden="1" thickBot="1">
      <c r="A978" s="2" t="s">
        <v>1279</v>
      </c>
      <c r="B978" s="2" t="s">
        <v>706</v>
      </c>
      <c r="C978" s="2" t="s">
        <v>1204</v>
      </c>
      <c r="D978" s="8" t="s">
        <v>641</v>
      </c>
      <c r="E978" s="3">
        <f t="shared" ref="E978:R979" si="95">ROUND(SUMIFS(E$1410:E$1613,$A$1410:$A$1613,$A978,$B$1410:$B$1613,$B978),0)</f>
        <v>0</v>
      </c>
      <c r="F978" s="452">
        <f t="shared" si="95"/>
        <v>0</v>
      </c>
      <c r="G978" s="452">
        <f t="shared" si="95"/>
        <v>0</v>
      </c>
      <c r="H978" s="452">
        <f t="shared" si="95"/>
        <v>0</v>
      </c>
      <c r="I978" s="452">
        <f t="shared" si="95"/>
        <v>0</v>
      </c>
      <c r="J978" s="452">
        <f t="shared" si="95"/>
        <v>0</v>
      </c>
      <c r="K978" s="452">
        <f t="shared" si="95"/>
        <v>0</v>
      </c>
      <c r="L978" s="452">
        <f t="shared" si="95"/>
        <v>0</v>
      </c>
      <c r="M978" s="452">
        <f t="shared" si="95"/>
        <v>0</v>
      </c>
      <c r="N978" s="452">
        <f t="shared" si="95"/>
        <v>0</v>
      </c>
      <c r="O978" s="452">
        <f t="shared" si="95"/>
        <v>0</v>
      </c>
      <c r="P978" s="452">
        <f t="shared" si="95"/>
        <v>0</v>
      </c>
      <c r="Q978" s="452"/>
      <c r="R978" s="452">
        <f t="shared" si="95"/>
        <v>0</v>
      </c>
      <c r="S978" s="445">
        <f t="shared" si="92"/>
        <v>0</v>
      </c>
      <c r="T978" s="445">
        <f t="shared" si="93"/>
        <v>0</v>
      </c>
      <c r="U978" s="445">
        <f t="shared" si="94"/>
        <v>0</v>
      </c>
      <c r="W978" s="450"/>
      <c r="X978" s="450"/>
      <c r="Y978" s="441"/>
      <c r="Z978" s="441"/>
      <c r="AA978" s="441"/>
      <c r="AB978" s="441"/>
      <c r="AC978" s="441"/>
      <c r="AD978" s="441"/>
      <c r="AE978" s="441"/>
      <c r="AF978" s="441"/>
      <c r="AG978" s="441"/>
      <c r="AH978" s="441"/>
      <c r="AI978" s="441"/>
      <c r="AJ978" s="441"/>
      <c r="AK978" s="441"/>
      <c r="AL978" s="441"/>
      <c r="AM978" s="441"/>
      <c r="AN978" s="441"/>
      <c r="AO978" s="441"/>
    </row>
    <row r="979" spans="1:41" ht="12.75" hidden="1" thickBot="1">
      <c r="A979" s="2" t="s">
        <v>1279</v>
      </c>
      <c r="B979" s="2" t="s">
        <v>1230</v>
      </c>
      <c r="C979" s="2" t="s">
        <v>1245</v>
      </c>
      <c r="D979" s="8" t="s">
        <v>641</v>
      </c>
      <c r="E979" s="3">
        <f t="shared" si="95"/>
        <v>0</v>
      </c>
      <c r="F979" s="452">
        <f t="shared" si="95"/>
        <v>0</v>
      </c>
      <c r="G979" s="452">
        <f t="shared" si="95"/>
        <v>0</v>
      </c>
      <c r="H979" s="452">
        <f t="shared" si="95"/>
        <v>0</v>
      </c>
      <c r="I979" s="452">
        <f t="shared" si="95"/>
        <v>0</v>
      </c>
      <c r="J979" s="452">
        <f t="shared" si="95"/>
        <v>0</v>
      </c>
      <c r="K979" s="452">
        <f t="shared" si="95"/>
        <v>0</v>
      </c>
      <c r="L979" s="452">
        <f t="shared" si="95"/>
        <v>0</v>
      </c>
      <c r="M979" s="452">
        <f t="shared" si="95"/>
        <v>0</v>
      </c>
      <c r="N979" s="452">
        <f t="shared" si="95"/>
        <v>0</v>
      </c>
      <c r="O979" s="452">
        <f t="shared" si="95"/>
        <v>0</v>
      </c>
      <c r="P979" s="452">
        <f t="shared" si="95"/>
        <v>0</v>
      </c>
      <c r="Q979" s="452"/>
      <c r="R979" s="452">
        <f t="shared" si="95"/>
        <v>0</v>
      </c>
      <c r="S979" s="445">
        <f t="shared" si="92"/>
        <v>0</v>
      </c>
      <c r="T979" s="445">
        <f t="shared" si="93"/>
        <v>0</v>
      </c>
      <c r="U979" s="445">
        <f t="shared" si="94"/>
        <v>0</v>
      </c>
      <c r="W979" s="450"/>
      <c r="X979" s="450"/>
      <c r="Y979" s="441"/>
      <c r="Z979" s="441"/>
      <c r="AA979" s="441"/>
      <c r="AB979" s="441"/>
      <c r="AC979" s="441"/>
      <c r="AD979" s="441"/>
      <c r="AE979" s="441"/>
      <c r="AF979" s="441"/>
      <c r="AG979" s="441"/>
      <c r="AH979" s="441"/>
      <c r="AI979" s="441"/>
      <c r="AJ979" s="441"/>
      <c r="AK979" s="441"/>
      <c r="AL979" s="441"/>
      <c r="AM979" s="441"/>
      <c r="AN979" s="441"/>
      <c r="AO979" s="441"/>
    </row>
    <row r="980" spans="1:41" ht="12.75" hidden="1" thickBot="1">
      <c r="A980" s="2" t="s">
        <v>1279</v>
      </c>
      <c r="B980" s="2" t="s">
        <v>362</v>
      </c>
      <c r="C980" s="2" t="s">
        <v>363</v>
      </c>
      <c r="D980" s="8" t="s">
        <v>1205</v>
      </c>
      <c r="E980" s="457"/>
      <c r="F980" s="4"/>
      <c r="G980" s="4"/>
      <c r="H980" s="4"/>
      <c r="I980" s="4"/>
      <c r="J980" s="4"/>
      <c r="K980" s="4"/>
      <c r="L980" s="4"/>
      <c r="M980" s="4"/>
      <c r="N980" s="4"/>
      <c r="O980" s="4"/>
      <c r="P980" s="4"/>
      <c r="Q980" s="4"/>
      <c r="R980" s="4"/>
      <c r="S980" s="445">
        <f t="shared" si="92"/>
        <v>0</v>
      </c>
      <c r="T980" s="445">
        <f t="shared" si="93"/>
        <v>0</v>
      </c>
      <c r="U980" s="445">
        <f t="shared" si="94"/>
        <v>0</v>
      </c>
      <c r="W980" s="450"/>
      <c r="X980" s="450"/>
      <c r="Y980" s="441"/>
      <c r="Z980" s="441"/>
      <c r="AA980" s="441"/>
      <c r="AB980" s="441"/>
      <c r="AC980" s="441"/>
      <c r="AD980" s="441"/>
      <c r="AE980" s="441"/>
      <c r="AF980" s="441"/>
      <c r="AG980" s="441"/>
      <c r="AH980" s="441"/>
      <c r="AI980" s="441"/>
      <c r="AJ980" s="441"/>
      <c r="AK980" s="441"/>
      <c r="AL980" s="441"/>
      <c r="AM980" s="441"/>
      <c r="AN980" s="441"/>
      <c r="AO980" s="441"/>
    </row>
    <row r="981" spans="1:41" ht="12.75" hidden="1" thickBot="1">
      <c r="A981" s="2" t="s">
        <v>1279</v>
      </c>
      <c r="B981" s="2" t="s">
        <v>342</v>
      </c>
      <c r="C981" s="2" t="s">
        <v>1035</v>
      </c>
      <c r="D981" s="8" t="s">
        <v>459</v>
      </c>
      <c r="E981" s="459"/>
      <c r="F981" s="6"/>
      <c r="G981" s="451"/>
      <c r="H981" s="6"/>
      <c r="I981" s="6"/>
      <c r="J981" s="6"/>
      <c r="K981" s="6"/>
      <c r="L981" s="6"/>
      <c r="M981" s="451"/>
      <c r="N981" s="451"/>
      <c r="O981" s="6"/>
      <c r="P981" s="6"/>
      <c r="Q981" s="451"/>
      <c r="R981" s="451"/>
      <c r="S981" s="445">
        <f t="shared" si="92"/>
        <v>0</v>
      </c>
      <c r="T981" s="445">
        <f t="shared" si="93"/>
        <v>0</v>
      </c>
      <c r="U981" s="445">
        <f t="shared" si="94"/>
        <v>0</v>
      </c>
      <c r="W981" s="450"/>
      <c r="X981" s="450"/>
      <c r="Y981" s="441"/>
      <c r="Z981" s="441"/>
      <c r="AA981" s="441"/>
      <c r="AB981" s="441"/>
      <c r="AC981" s="441"/>
      <c r="AD981" s="441"/>
      <c r="AE981" s="441"/>
      <c r="AF981" s="441"/>
      <c r="AG981" s="441"/>
      <c r="AH981" s="441"/>
      <c r="AI981" s="441"/>
      <c r="AJ981" s="441"/>
      <c r="AK981" s="441"/>
      <c r="AL981" s="441"/>
      <c r="AM981" s="441"/>
      <c r="AN981" s="441"/>
      <c r="AO981" s="441"/>
    </row>
    <row r="982" spans="1:41" ht="12.75" hidden="1" thickBot="1">
      <c r="A982" s="2" t="s">
        <v>1279</v>
      </c>
      <c r="B982" s="2" t="s">
        <v>213</v>
      </c>
      <c r="C982" s="2" t="s">
        <v>1036</v>
      </c>
      <c r="D982" s="8" t="s">
        <v>459</v>
      </c>
      <c r="E982" s="460"/>
      <c r="F982" s="4"/>
      <c r="G982" s="449"/>
      <c r="H982" s="4"/>
      <c r="I982" s="4"/>
      <c r="J982" s="4"/>
      <c r="K982" s="4"/>
      <c r="L982" s="4"/>
      <c r="M982" s="449"/>
      <c r="N982" s="449"/>
      <c r="O982" s="4"/>
      <c r="P982" s="4"/>
      <c r="Q982" s="449"/>
      <c r="R982" s="449"/>
      <c r="S982" s="445">
        <f t="shared" si="92"/>
        <v>0</v>
      </c>
      <c r="T982" s="445">
        <f t="shared" si="93"/>
        <v>0</v>
      </c>
      <c r="U982" s="445">
        <f t="shared" si="94"/>
        <v>0</v>
      </c>
      <c r="W982" s="450"/>
      <c r="X982" s="450"/>
      <c r="Y982" s="441"/>
      <c r="Z982" s="441"/>
      <c r="AA982" s="441"/>
      <c r="AB982" s="441"/>
      <c r="AC982" s="441"/>
      <c r="AD982" s="441"/>
      <c r="AE982" s="441"/>
      <c r="AF982" s="441"/>
      <c r="AG982" s="441"/>
      <c r="AH982" s="441"/>
      <c r="AI982" s="441"/>
      <c r="AJ982" s="441"/>
      <c r="AK982" s="441"/>
      <c r="AL982" s="441"/>
      <c r="AM982" s="441"/>
      <c r="AN982" s="441"/>
      <c r="AO982" s="441"/>
    </row>
    <row r="983" spans="1:41" ht="12.75" hidden="1" thickBot="1">
      <c r="A983" s="2" t="s">
        <v>1279</v>
      </c>
      <c r="B983" s="2" t="s">
        <v>214</v>
      </c>
      <c r="C983" s="2" t="s">
        <v>1037</v>
      </c>
      <c r="D983" s="8" t="s">
        <v>459</v>
      </c>
      <c r="E983" s="459"/>
      <c r="F983" s="6"/>
      <c r="G983" s="451"/>
      <c r="H983" s="6"/>
      <c r="I983" s="6"/>
      <c r="J983" s="6"/>
      <c r="K983" s="6"/>
      <c r="L983" s="6"/>
      <c r="M983" s="451"/>
      <c r="N983" s="451"/>
      <c r="O983" s="6"/>
      <c r="P983" s="6"/>
      <c r="Q983" s="451"/>
      <c r="R983" s="451"/>
      <c r="S983" s="445">
        <f t="shared" si="92"/>
        <v>0</v>
      </c>
      <c r="T983" s="445">
        <f t="shared" si="93"/>
        <v>0</v>
      </c>
      <c r="U983" s="445">
        <f t="shared" si="94"/>
        <v>0</v>
      </c>
      <c r="W983" s="450"/>
      <c r="X983" s="450"/>
      <c r="Y983" s="441"/>
      <c r="Z983" s="441"/>
      <c r="AA983" s="441"/>
      <c r="AB983" s="441"/>
      <c r="AC983" s="441"/>
      <c r="AD983" s="441"/>
      <c r="AE983" s="441"/>
      <c r="AF983" s="441"/>
      <c r="AG983" s="441"/>
      <c r="AH983" s="441"/>
      <c r="AI983" s="441"/>
      <c r="AJ983" s="441"/>
      <c r="AK983" s="441"/>
      <c r="AL983" s="441"/>
      <c r="AM983" s="441"/>
      <c r="AN983" s="441"/>
      <c r="AO983" s="441"/>
    </row>
    <row r="984" spans="1:41" ht="12.75" hidden="1" thickBot="1">
      <c r="A984" s="2" t="s">
        <v>1279</v>
      </c>
      <c r="B984" s="2" t="s">
        <v>1231</v>
      </c>
      <c r="C984" s="2" t="s">
        <v>1232</v>
      </c>
      <c r="D984" s="8" t="s">
        <v>459</v>
      </c>
      <c r="E984" s="460"/>
      <c r="F984" s="4"/>
      <c r="G984" s="4"/>
      <c r="H984" s="4"/>
      <c r="I984" s="4"/>
      <c r="J984" s="4"/>
      <c r="K984" s="4"/>
      <c r="L984" s="4"/>
      <c r="M984" s="4"/>
      <c r="N984" s="4"/>
      <c r="O984" s="4"/>
      <c r="P984" s="4"/>
      <c r="Q984" s="4"/>
      <c r="R984" s="4"/>
      <c r="S984" s="445">
        <f t="shared" si="92"/>
        <v>0</v>
      </c>
      <c r="T984" s="445">
        <f t="shared" si="93"/>
        <v>0</v>
      </c>
      <c r="U984" s="445">
        <f t="shared" si="94"/>
        <v>0</v>
      </c>
      <c r="W984" s="450"/>
      <c r="X984" s="450"/>
      <c r="Y984" s="441"/>
      <c r="Z984" s="441"/>
      <c r="AA984" s="441"/>
      <c r="AB984" s="441"/>
      <c r="AC984" s="441"/>
      <c r="AD984" s="441"/>
      <c r="AE984" s="441"/>
      <c r="AF984" s="441"/>
      <c r="AG984" s="441"/>
      <c r="AH984" s="441"/>
      <c r="AI984" s="441"/>
      <c r="AJ984" s="441"/>
      <c r="AK984" s="441"/>
      <c r="AL984" s="441"/>
      <c r="AM984" s="441"/>
      <c r="AN984" s="441"/>
      <c r="AO984" s="441"/>
    </row>
    <row r="985" spans="1:41" ht="12.75" hidden="1" thickBot="1">
      <c r="A985" s="2" t="s">
        <v>1279</v>
      </c>
      <c r="B985" s="2" t="s">
        <v>215</v>
      </c>
      <c r="C985" s="2" t="s">
        <v>1038</v>
      </c>
      <c r="D985" s="8" t="s">
        <v>459</v>
      </c>
      <c r="E985" s="459"/>
      <c r="F985" s="6"/>
      <c r="G985" s="451"/>
      <c r="H985" s="6"/>
      <c r="I985" s="6"/>
      <c r="J985" s="6"/>
      <c r="K985" s="6"/>
      <c r="L985" s="6"/>
      <c r="M985" s="451"/>
      <c r="N985" s="451"/>
      <c r="O985" s="6"/>
      <c r="P985" s="6"/>
      <c r="Q985" s="451"/>
      <c r="R985" s="451"/>
      <c r="S985" s="445">
        <f t="shared" si="92"/>
        <v>0</v>
      </c>
      <c r="T985" s="445">
        <f t="shared" si="93"/>
        <v>0</v>
      </c>
      <c r="U985" s="445">
        <f t="shared" si="94"/>
        <v>0</v>
      </c>
      <c r="W985" s="450"/>
      <c r="X985" s="450"/>
      <c r="Y985" s="441"/>
      <c r="Z985" s="441"/>
      <c r="AA985" s="441"/>
      <c r="AB985" s="441"/>
      <c r="AC985" s="441"/>
      <c r="AD985" s="441"/>
      <c r="AE985" s="441"/>
      <c r="AF985" s="441"/>
      <c r="AG985" s="441"/>
      <c r="AH985" s="441"/>
      <c r="AI985" s="441"/>
      <c r="AJ985" s="441"/>
      <c r="AK985" s="441"/>
      <c r="AL985" s="441"/>
      <c r="AM985" s="441"/>
      <c r="AN985" s="441"/>
      <c r="AO985" s="441"/>
    </row>
    <row r="986" spans="1:41" ht="12.75" hidden="1" thickBot="1">
      <c r="A986" s="2" t="s">
        <v>1279</v>
      </c>
      <c r="B986" s="2" t="s">
        <v>216</v>
      </c>
      <c r="C986" s="2" t="s">
        <v>1039</v>
      </c>
      <c r="D986" s="8" t="s">
        <v>459</v>
      </c>
      <c r="E986" s="460"/>
      <c r="F986" s="4"/>
      <c r="G986" s="449"/>
      <c r="H986" s="4"/>
      <c r="I986" s="4"/>
      <c r="J986" s="4"/>
      <c r="K986" s="4"/>
      <c r="L986" s="4"/>
      <c r="M986" s="449"/>
      <c r="N986" s="449"/>
      <c r="O986" s="4"/>
      <c r="P986" s="4"/>
      <c r="Q986" s="449"/>
      <c r="R986" s="449"/>
      <c r="S986" s="445">
        <f t="shared" si="92"/>
        <v>0</v>
      </c>
      <c r="T986" s="445">
        <f t="shared" si="93"/>
        <v>0</v>
      </c>
      <c r="U986" s="445">
        <f t="shared" si="94"/>
        <v>0</v>
      </c>
      <c r="W986" s="450"/>
      <c r="X986" s="450"/>
      <c r="Y986" s="441"/>
      <c r="Z986" s="441"/>
      <c r="AA986" s="441"/>
      <c r="AB986" s="441"/>
      <c r="AC986" s="441"/>
      <c r="AD986" s="441"/>
      <c r="AE986" s="441"/>
      <c r="AF986" s="441"/>
      <c r="AG986" s="441"/>
      <c r="AH986" s="441"/>
      <c r="AI986" s="441"/>
      <c r="AJ986" s="441"/>
      <c r="AK986" s="441"/>
      <c r="AL986" s="441"/>
      <c r="AM986" s="441"/>
      <c r="AN986" s="441"/>
      <c r="AO986" s="441"/>
    </row>
    <row r="987" spans="1:41" ht="12.75" hidden="1" thickBot="1">
      <c r="A987" s="2" t="s">
        <v>1279</v>
      </c>
      <c r="B987" s="2" t="s">
        <v>217</v>
      </c>
      <c r="C987" s="2" t="s">
        <v>1040</v>
      </c>
      <c r="D987" s="8" t="s">
        <v>459</v>
      </c>
      <c r="E987" s="459"/>
      <c r="F987" s="6"/>
      <c r="G987" s="451"/>
      <c r="H987" s="6"/>
      <c r="I987" s="6"/>
      <c r="J987" s="6"/>
      <c r="K987" s="6"/>
      <c r="L987" s="6"/>
      <c r="M987" s="451"/>
      <c r="N987" s="451"/>
      <c r="O987" s="6"/>
      <c r="P987" s="6"/>
      <c r="Q987" s="451"/>
      <c r="R987" s="451"/>
      <c r="S987" s="445">
        <f t="shared" si="92"/>
        <v>0</v>
      </c>
      <c r="T987" s="445">
        <f t="shared" si="93"/>
        <v>0</v>
      </c>
      <c r="U987" s="445">
        <f t="shared" si="94"/>
        <v>0</v>
      </c>
      <c r="W987" s="450"/>
      <c r="X987" s="450"/>
      <c r="Y987" s="441"/>
      <c r="Z987" s="441"/>
      <c r="AA987" s="441"/>
      <c r="AB987" s="441"/>
      <c r="AC987" s="441"/>
      <c r="AD987" s="441"/>
      <c r="AE987" s="441"/>
      <c r="AF987" s="441"/>
      <c r="AG987" s="441"/>
      <c r="AH987" s="441"/>
      <c r="AI987" s="441"/>
      <c r="AJ987" s="441"/>
      <c r="AK987" s="441"/>
      <c r="AL987" s="441"/>
      <c r="AM987" s="441"/>
      <c r="AN987" s="441"/>
      <c r="AO987" s="441"/>
    </row>
    <row r="988" spans="1:41" ht="12.75" hidden="1" thickBot="1">
      <c r="A988" s="2" t="s">
        <v>1279</v>
      </c>
      <c r="B988" s="2" t="s">
        <v>344</v>
      </c>
      <c r="C988" s="2" t="s">
        <v>1041</v>
      </c>
      <c r="D988" s="8" t="s">
        <v>459</v>
      </c>
      <c r="E988" s="460"/>
      <c r="F988" s="4"/>
      <c r="G988" s="449"/>
      <c r="H988" s="4"/>
      <c r="I988" s="4"/>
      <c r="J988" s="4"/>
      <c r="K988" s="4"/>
      <c r="L988" s="4"/>
      <c r="M988" s="449"/>
      <c r="N988" s="449"/>
      <c r="O988" s="4"/>
      <c r="P988" s="4"/>
      <c r="Q988" s="449"/>
      <c r="R988" s="449"/>
      <c r="S988" s="445">
        <f t="shared" si="92"/>
        <v>0</v>
      </c>
      <c r="T988" s="445">
        <f t="shared" si="93"/>
        <v>0</v>
      </c>
      <c r="U988" s="445">
        <f t="shared" si="94"/>
        <v>0</v>
      </c>
      <c r="W988" s="450"/>
      <c r="X988" s="450"/>
      <c r="Y988" s="441"/>
      <c r="Z988" s="441"/>
      <c r="AA988" s="441"/>
      <c r="AB988" s="441"/>
      <c r="AC988" s="441"/>
      <c r="AD988" s="441"/>
      <c r="AE988" s="441"/>
      <c r="AF988" s="441"/>
      <c r="AG988" s="441"/>
      <c r="AH988" s="441"/>
      <c r="AI988" s="441"/>
      <c r="AJ988" s="441"/>
      <c r="AK988" s="441"/>
      <c r="AL988" s="441"/>
      <c r="AM988" s="441"/>
      <c r="AN988" s="441"/>
      <c r="AO988" s="441"/>
    </row>
    <row r="989" spans="1:41" ht="12.75" hidden="1" thickBot="1">
      <c r="A989" s="2" t="s">
        <v>1279</v>
      </c>
      <c r="B989" s="2" t="s">
        <v>1233</v>
      </c>
      <c r="C989" s="2" t="s">
        <v>1234</v>
      </c>
      <c r="D989" s="8" t="s">
        <v>459</v>
      </c>
      <c r="E989" s="459"/>
      <c r="F989" s="6"/>
      <c r="G989" s="6"/>
      <c r="H989" s="6"/>
      <c r="I989" s="6"/>
      <c r="J989" s="6"/>
      <c r="K989" s="6"/>
      <c r="L989" s="6"/>
      <c r="M989" s="6"/>
      <c r="N989" s="6"/>
      <c r="O989" s="6"/>
      <c r="P989" s="6"/>
      <c r="Q989" s="6"/>
      <c r="R989" s="6"/>
      <c r="S989" s="445">
        <f t="shared" si="92"/>
        <v>0</v>
      </c>
      <c r="T989" s="445">
        <f t="shared" si="93"/>
        <v>0</v>
      </c>
      <c r="U989" s="445">
        <f t="shared" si="94"/>
        <v>0</v>
      </c>
      <c r="W989" s="450"/>
      <c r="X989" s="450"/>
      <c r="Y989" s="441"/>
      <c r="Z989" s="441"/>
      <c r="AA989" s="441"/>
      <c r="AB989" s="441"/>
      <c r="AC989" s="441"/>
      <c r="AD989" s="441"/>
      <c r="AE989" s="441"/>
      <c r="AF989" s="441"/>
      <c r="AG989" s="441"/>
      <c r="AH989" s="441"/>
      <c r="AI989" s="441"/>
      <c r="AJ989" s="441"/>
      <c r="AK989" s="441"/>
      <c r="AL989" s="441"/>
      <c r="AM989" s="441"/>
      <c r="AN989" s="441"/>
      <c r="AO989" s="441"/>
    </row>
    <row r="990" spans="1:41" ht="12.75" hidden="1" thickBot="1">
      <c r="A990" s="2" t="s">
        <v>1279</v>
      </c>
      <c r="B990" s="2" t="s">
        <v>218</v>
      </c>
      <c r="C990" s="2" t="s">
        <v>1042</v>
      </c>
      <c r="D990" s="8" t="s">
        <v>459</v>
      </c>
      <c r="E990" s="460"/>
      <c r="F990" s="4"/>
      <c r="G990" s="449"/>
      <c r="H990" s="4"/>
      <c r="I990" s="4"/>
      <c r="J990" s="4"/>
      <c r="K990" s="4"/>
      <c r="L990" s="4"/>
      <c r="M990" s="449"/>
      <c r="N990" s="449"/>
      <c r="O990" s="4"/>
      <c r="P990" s="4"/>
      <c r="Q990" s="449"/>
      <c r="R990" s="449"/>
      <c r="S990" s="445">
        <f t="shared" si="92"/>
        <v>0</v>
      </c>
      <c r="T990" s="445">
        <f t="shared" si="93"/>
        <v>0</v>
      </c>
      <c r="U990" s="445">
        <f t="shared" si="94"/>
        <v>0</v>
      </c>
      <c r="W990" s="450"/>
      <c r="X990" s="450"/>
      <c r="Y990" s="441"/>
      <c r="Z990" s="441"/>
      <c r="AA990" s="441"/>
      <c r="AB990" s="441"/>
      <c r="AC990" s="441"/>
      <c r="AD990" s="441"/>
      <c r="AE990" s="441"/>
      <c r="AF990" s="441"/>
      <c r="AG990" s="441"/>
      <c r="AH990" s="441"/>
      <c r="AI990" s="441"/>
      <c r="AJ990" s="441"/>
      <c r="AK990" s="441"/>
      <c r="AL990" s="441"/>
      <c r="AM990" s="441"/>
      <c r="AN990" s="441"/>
      <c r="AO990" s="441"/>
    </row>
    <row r="991" spans="1:41" ht="12.75" hidden="1" thickBot="1">
      <c r="A991" s="2" t="s">
        <v>1279</v>
      </c>
      <c r="B991" s="2" t="s">
        <v>223</v>
      </c>
      <c r="C991" s="2" t="s">
        <v>1043</v>
      </c>
      <c r="D991" s="8" t="s">
        <v>459</v>
      </c>
      <c r="E991" s="459"/>
      <c r="F991" s="6"/>
      <c r="G991" s="451"/>
      <c r="H991" s="6"/>
      <c r="I991" s="6"/>
      <c r="J991" s="6"/>
      <c r="K991" s="6"/>
      <c r="L991" s="6"/>
      <c r="M991" s="451"/>
      <c r="N991" s="451"/>
      <c r="O991" s="6"/>
      <c r="P991" s="6"/>
      <c r="Q991" s="451"/>
      <c r="R991" s="451"/>
      <c r="S991" s="445">
        <f t="shared" si="92"/>
        <v>0</v>
      </c>
      <c r="T991" s="445">
        <f t="shared" si="93"/>
        <v>0</v>
      </c>
      <c r="U991" s="445">
        <f t="shared" si="94"/>
        <v>0</v>
      </c>
      <c r="W991" s="450"/>
      <c r="X991" s="450"/>
      <c r="Y991" s="441"/>
      <c r="Z991" s="441"/>
      <c r="AA991" s="441"/>
      <c r="AB991" s="441"/>
      <c r="AC991" s="441"/>
      <c r="AD991" s="441"/>
      <c r="AE991" s="441"/>
      <c r="AF991" s="441"/>
      <c r="AG991" s="441"/>
      <c r="AH991" s="441"/>
      <c r="AI991" s="441"/>
      <c r="AJ991" s="441"/>
      <c r="AK991" s="441"/>
      <c r="AL991" s="441"/>
      <c r="AM991" s="441"/>
      <c r="AN991" s="441"/>
      <c r="AO991" s="441"/>
    </row>
    <row r="992" spans="1:41" ht="12.75" hidden="1" thickBot="1">
      <c r="A992" s="2" t="s">
        <v>1279</v>
      </c>
      <c r="B992" s="2" t="s">
        <v>231</v>
      </c>
      <c r="C992" s="2" t="s">
        <v>1044</v>
      </c>
      <c r="D992" s="8" t="s">
        <v>459</v>
      </c>
      <c r="E992" s="460"/>
      <c r="F992" s="4"/>
      <c r="G992" s="449"/>
      <c r="H992" s="4"/>
      <c r="I992" s="4"/>
      <c r="J992" s="4"/>
      <c r="K992" s="4"/>
      <c r="L992" s="4"/>
      <c r="M992" s="449"/>
      <c r="N992" s="449"/>
      <c r="O992" s="4"/>
      <c r="P992" s="4"/>
      <c r="Q992" s="449"/>
      <c r="R992" s="449"/>
      <c r="S992" s="445">
        <f t="shared" si="92"/>
        <v>0</v>
      </c>
      <c r="T992" s="445">
        <f t="shared" si="93"/>
        <v>0</v>
      </c>
      <c r="U992" s="445">
        <f t="shared" si="94"/>
        <v>0</v>
      </c>
      <c r="W992" s="450"/>
      <c r="X992" s="450"/>
      <c r="Y992" s="441"/>
      <c r="Z992" s="441"/>
      <c r="AA992" s="441"/>
      <c r="AB992" s="441"/>
      <c r="AC992" s="441"/>
      <c r="AD992" s="441"/>
      <c r="AE992" s="441"/>
      <c r="AF992" s="441"/>
      <c r="AG992" s="441"/>
      <c r="AH992" s="441"/>
      <c r="AI992" s="441"/>
      <c r="AJ992" s="441"/>
      <c r="AK992" s="441"/>
      <c r="AL992" s="441"/>
      <c r="AM992" s="441"/>
      <c r="AN992" s="441"/>
      <c r="AO992" s="441"/>
    </row>
    <row r="993" spans="1:41" ht="12.75" hidden="1" thickBot="1">
      <c r="A993" s="2" t="s">
        <v>1279</v>
      </c>
      <c r="B993" s="2" t="s">
        <v>232</v>
      </c>
      <c r="C993" s="2" t="s">
        <v>1045</v>
      </c>
      <c r="D993" s="8" t="s">
        <v>459</v>
      </c>
      <c r="E993" s="459"/>
      <c r="F993" s="6"/>
      <c r="G993" s="451"/>
      <c r="H993" s="6"/>
      <c r="I993" s="6"/>
      <c r="J993" s="6"/>
      <c r="K993" s="6"/>
      <c r="L993" s="6"/>
      <c r="M993" s="451"/>
      <c r="N993" s="451"/>
      <c r="O993" s="6"/>
      <c r="P993" s="6"/>
      <c r="Q993" s="451"/>
      <c r="R993" s="451"/>
      <c r="S993" s="445">
        <f t="shared" si="92"/>
        <v>0</v>
      </c>
      <c r="T993" s="445">
        <f t="shared" si="93"/>
        <v>0</v>
      </c>
      <c r="U993" s="445">
        <f t="shared" si="94"/>
        <v>0</v>
      </c>
      <c r="W993" s="450"/>
      <c r="X993" s="450"/>
      <c r="Y993" s="441"/>
      <c r="Z993" s="441"/>
      <c r="AA993" s="441"/>
      <c r="AB993" s="441"/>
      <c r="AC993" s="441"/>
      <c r="AD993" s="441"/>
      <c r="AE993" s="441"/>
      <c r="AF993" s="441"/>
      <c r="AG993" s="441"/>
      <c r="AH993" s="441"/>
      <c r="AI993" s="441"/>
      <c r="AJ993" s="441"/>
      <c r="AK993" s="441"/>
      <c r="AL993" s="441"/>
      <c r="AM993" s="441"/>
      <c r="AN993" s="441"/>
      <c r="AO993" s="441"/>
    </row>
    <row r="994" spans="1:41" ht="12.75" hidden="1" thickBot="1">
      <c r="A994" s="2" t="s">
        <v>1279</v>
      </c>
      <c r="B994" s="2" t="s">
        <v>234</v>
      </c>
      <c r="C994" s="2" t="s">
        <v>1046</v>
      </c>
      <c r="D994" s="8" t="s">
        <v>459</v>
      </c>
      <c r="E994" s="460"/>
      <c r="F994" s="4"/>
      <c r="G994" s="449"/>
      <c r="H994" s="4"/>
      <c r="I994" s="4"/>
      <c r="J994" s="4"/>
      <c r="K994" s="4"/>
      <c r="L994" s="4"/>
      <c r="M994" s="449"/>
      <c r="N994" s="449"/>
      <c r="O994" s="4"/>
      <c r="P994" s="4"/>
      <c r="Q994" s="449"/>
      <c r="R994" s="449"/>
      <c r="S994" s="445">
        <f t="shared" si="92"/>
        <v>0</v>
      </c>
      <c r="T994" s="445">
        <f t="shared" si="93"/>
        <v>0</v>
      </c>
      <c r="U994" s="445">
        <f t="shared" si="94"/>
        <v>0</v>
      </c>
      <c r="W994" s="450"/>
      <c r="X994" s="450"/>
      <c r="Y994" s="441"/>
      <c r="Z994" s="441"/>
      <c r="AA994" s="441"/>
      <c r="AB994" s="441"/>
      <c r="AC994" s="441"/>
      <c r="AD994" s="441"/>
      <c r="AE994" s="441"/>
      <c r="AF994" s="441"/>
      <c r="AG994" s="441"/>
      <c r="AH994" s="441"/>
      <c r="AI994" s="441"/>
      <c r="AJ994" s="441"/>
      <c r="AK994" s="441"/>
      <c r="AL994" s="441"/>
      <c r="AM994" s="441"/>
      <c r="AN994" s="441"/>
      <c r="AO994" s="441"/>
    </row>
    <row r="995" spans="1:41" ht="12.75" hidden="1" thickBot="1">
      <c r="A995" s="2" t="s">
        <v>1279</v>
      </c>
      <c r="B995" s="2" t="s">
        <v>353</v>
      </c>
      <c r="C995" s="2" t="s">
        <v>1047</v>
      </c>
      <c r="D995" s="8" t="s">
        <v>459</v>
      </c>
      <c r="E995" s="459"/>
      <c r="F995" s="6"/>
      <c r="G995" s="451"/>
      <c r="H995" s="6"/>
      <c r="I995" s="6"/>
      <c r="J995" s="6"/>
      <c r="K995" s="6"/>
      <c r="L995" s="6"/>
      <c r="M995" s="451"/>
      <c r="N995" s="451"/>
      <c r="O995" s="6"/>
      <c r="P995" s="6"/>
      <c r="Q995" s="451"/>
      <c r="R995" s="451"/>
      <c r="S995" s="445">
        <f t="shared" si="92"/>
        <v>0</v>
      </c>
      <c r="T995" s="445">
        <f t="shared" si="93"/>
        <v>0</v>
      </c>
      <c r="U995" s="445">
        <f t="shared" si="94"/>
        <v>0</v>
      </c>
      <c r="W995" s="450"/>
      <c r="X995" s="450"/>
      <c r="Y995" s="441"/>
      <c r="Z995" s="441"/>
      <c r="AA995" s="441"/>
      <c r="AB995" s="441"/>
      <c r="AC995" s="441"/>
      <c r="AD995" s="441"/>
      <c r="AE995" s="441"/>
      <c r="AF995" s="441"/>
      <c r="AG995" s="441"/>
      <c r="AH995" s="441"/>
      <c r="AI995" s="441"/>
      <c r="AJ995" s="441"/>
      <c r="AK995" s="441"/>
      <c r="AL995" s="441"/>
      <c r="AM995" s="441"/>
      <c r="AN995" s="441"/>
      <c r="AO995" s="441"/>
    </row>
    <row r="996" spans="1:41" ht="12.75" hidden="1" thickBot="1">
      <c r="A996" s="2" t="s">
        <v>1279</v>
      </c>
      <c r="B996" s="2" t="s">
        <v>235</v>
      </c>
      <c r="C996" s="2" t="s">
        <v>1048</v>
      </c>
      <c r="D996" s="8" t="s">
        <v>459</v>
      </c>
      <c r="E996" s="460"/>
      <c r="F996" s="4"/>
      <c r="G996" s="449"/>
      <c r="H996" s="4"/>
      <c r="I996" s="4"/>
      <c r="J996" s="4"/>
      <c r="K996" s="4"/>
      <c r="L996" s="4"/>
      <c r="M996" s="449"/>
      <c r="N996" s="449"/>
      <c r="O996" s="4"/>
      <c r="P996" s="4"/>
      <c r="Q996" s="449"/>
      <c r="R996" s="449"/>
      <c r="S996" s="445">
        <f t="shared" si="92"/>
        <v>0</v>
      </c>
      <c r="T996" s="445">
        <f t="shared" si="93"/>
        <v>0</v>
      </c>
      <c r="U996" s="445">
        <f t="shared" si="94"/>
        <v>0</v>
      </c>
      <c r="W996" s="450"/>
      <c r="X996" s="450"/>
      <c r="Y996" s="441"/>
      <c r="Z996" s="441"/>
      <c r="AA996" s="441"/>
      <c r="AB996" s="441"/>
      <c r="AC996" s="441"/>
      <c r="AD996" s="441"/>
      <c r="AE996" s="441"/>
      <c r="AF996" s="441"/>
      <c r="AG996" s="441"/>
      <c r="AH996" s="441"/>
      <c r="AI996" s="441"/>
      <c r="AJ996" s="441"/>
      <c r="AK996" s="441"/>
      <c r="AL996" s="441"/>
      <c r="AM996" s="441"/>
      <c r="AN996" s="441"/>
      <c r="AO996" s="441"/>
    </row>
    <row r="997" spans="1:41" ht="12.75" hidden="1" thickBot="1">
      <c r="A997" s="2" t="s">
        <v>1279</v>
      </c>
      <c r="B997" s="2" t="s">
        <v>236</v>
      </c>
      <c r="C997" s="2" t="s">
        <v>1049</v>
      </c>
      <c r="D997" s="8" t="s">
        <v>459</v>
      </c>
      <c r="E997" s="459"/>
      <c r="F997" s="6"/>
      <c r="G997" s="451"/>
      <c r="H997" s="6"/>
      <c r="I997" s="6"/>
      <c r="J997" s="6"/>
      <c r="K997" s="6"/>
      <c r="L997" s="6"/>
      <c r="M997" s="451"/>
      <c r="N997" s="451"/>
      <c r="O997" s="6"/>
      <c r="P997" s="6"/>
      <c r="Q997" s="451"/>
      <c r="R997" s="451"/>
      <c r="S997" s="445">
        <f t="shared" si="92"/>
        <v>0</v>
      </c>
      <c r="T997" s="445">
        <f t="shared" si="93"/>
        <v>0</v>
      </c>
      <c r="U997" s="445">
        <f t="shared" si="94"/>
        <v>0</v>
      </c>
      <c r="W997" s="450"/>
      <c r="X997" s="450"/>
      <c r="Y997" s="441"/>
      <c r="Z997" s="441"/>
      <c r="AA997" s="441"/>
      <c r="AB997" s="441"/>
      <c r="AC997" s="441"/>
      <c r="AD997" s="441"/>
      <c r="AE997" s="441"/>
      <c r="AF997" s="441"/>
      <c r="AG997" s="441"/>
      <c r="AH997" s="441"/>
      <c r="AI997" s="441"/>
      <c r="AJ997" s="441"/>
      <c r="AK997" s="441"/>
      <c r="AL997" s="441"/>
      <c r="AM997" s="441"/>
      <c r="AN997" s="441"/>
      <c r="AO997" s="441"/>
    </row>
    <row r="998" spans="1:41" ht="12.75" hidden="1" thickBot="1">
      <c r="A998" s="2" t="s">
        <v>1279</v>
      </c>
      <c r="B998" s="2" t="s">
        <v>354</v>
      </c>
      <c r="C998" s="2" t="s">
        <v>1050</v>
      </c>
      <c r="D998" s="8" t="s">
        <v>459</v>
      </c>
      <c r="E998" s="460"/>
      <c r="F998" s="4"/>
      <c r="G998" s="449"/>
      <c r="H998" s="4"/>
      <c r="I998" s="4"/>
      <c r="J998" s="4"/>
      <c r="K998" s="4"/>
      <c r="L998" s="4"/>
      <c r="M998" s="449"/>
      <c r="N998" s="449"/>
      <c r="O998" s="4"/>
      <c r="P998" s="4"/>
      <c r="Q998" s="449"/>
      <c r="R998" s="449"/>
      <c r="S998" s="445">
        <f t="shared" si="92"/>
        <v>0</v>
      </c>
      <c r="T998" s="445">
        <f t="shared" si="93"/>
        <v>0</v>
      </c>
      <c r="U998" s="445">
        <f t="shared" si="94"/>
        <v>0</v>
      </c>
      <c r="W998" s="450"/>
      <c r="X998" s="450"/>
      <c r="Y998" s="441"/>
      <c r="Z998" s="441"/>
      <c r="AA998" s="441"/>
      <c r="AB998" s="441"/>
      <c r="AC998" s="441"/>
      <c r="AD998" s="441"/>
      <c r="AE998" s="441"/>
      <c r="AF998" s="441"/>
      <c r="AG998" s="441"/>
      <c r="AH998" s="441"/>
      <c r="AI998" s="441"/>
      <c r="AJ998" s="441"/>
      <c r="AK998" s="441"/>
      <c r="AL998" s="441"/>
      <c r="AM998" s="441"/>
      <c r="AN998" s="441"/>
      <c r="AO998" s="441"/>
    </row>
    <row r="999" spans="1:41" ht="12.75" hidden="1" thickBot="1">
      <c r="A999" s="2" t="s">
        <v>1279</v>
      </c>
      <c r="B999" s="2" t="s">
        <v>355</v>
      </c>
      <c r="C999" s="2" t="s">
        <v>1051</v>
      </c>
      <c r="D999" s="8" t="s">
        <v>459</v>
      </c>
      <c r="E999" s="459"/>
      <c r="F999" s="6"/>
      <c r="G999" s="451"/>
      <c r="H999" s="6"/>
      <c r="I999" s="6"/>
      <c r="J999" s="6"/>
      <c r="K999" s="6"/>
      <c r="L999" s="6"/>
      <c r="M999" s="451"/>
      <c r="N999" s="451"/>
      <c r="O999" s="6"/>
      <c r="P999" s="6"/>
      <c r="Q999" s="451"/>
      <c r="R999" s="451"/>
      <c r="S999" s="445">
        <f t="shared" si="92"/>
        <v>0</v>
      </c>
      <c r="T999" s="445">
        <f t="shared" si="93"/>
        <v>0</v>
      </c>
      <c r="U999" s="445">
        <f t="shared" si="94"/>
        <v>0</v>
      </c>
      <c r="W999" s="450"/>
      <c r="X999" s="450"/>
      <c r="Y999" s="441"/>
      <c r="Z999" s="441"/>
      <c r="AA999" s="441"/>
      <c r="AB999" s="441"/>
      <c r="AC999" s="441"/>
      <c r="AD999" s="441"/>
      <c r="AE999" s="441"/>
      <c r="AF999" s="441"/>
      <c r="AG999" s="441"/>
      <c r="AH999" s="441"/>
      <c r="AI999" s="441"/>
      <c r="AJ999" s="441"/>
      <c r="AK999" s="441"/>
      <c r="AL999" s="441"/>
      <c r="AM999" s="441"/>
      <c r="AN999" s="441"/>
      <c r="AO999" s="441"/>
    </row>
    <row r="1000" spans="1:41" ht="12.75" hidden="1" thickBot="1">
      <c r="A1000" s="2" t="s">
        <v>1279</v>
      </c>
      <c r="B1000" s="2" t="s">
        <v>359</v>
      </c>
      <c r="C1000" s="2" t="s">
        <v>1052</v>
      </c>
      <c r="D1000" s="8" t="s">
        <v>459</v>
      </c>
      <c r="E1000" s="460"/>
      <c r="F1000" s="4"/>
      <c r="G1000" s="449"/>
      <c r="H1000" s="4"/>
      <c r="I1000" s="4"/>
      <c r="J1000" s="4"/>
      <c r="K1000" s="4"/>
      <c r="L1000" s="4"/>
      <c r="M1000" s="449"/>
      <c r="N1000" s="449"/>
      <c r="O1000" s="4"/>
      <c r="P1000" s="4"/>
      <c r="Q1000" s="449"/>
      <c r="R1000" s="449"/>
      <c r="S1000" s="445">
        <f t="shared" si="92"/>
        <v>0</v>
      </c>
      <c r="T1000" s="445">
        <f t="shared" si="93"/>
        <v>0</v>
      </c>
      <c r="U1000" s="445">
        <f t="shared" si="94"/>
        <v>0</v>
      </c>
      <c r="W1000" s="450"/>
      <c r="X1000" s="450"/>
      <c r="Y1000" s="441"/>
      <c r="Z1000" s="441"/>
      <c r="AA1000" s="441"/>
      <c r="AB1000" s="441"/>
      <c r="AC1000" s="441"/>
      <c r="AD1000" s="441"/>
      <c r="AE1000" s="441"/>
      <c r="AF1000" s="441"/>
      <c r="AG1000" s="441"/>
      <c r="AH1000" s="441"/>
      <c r="AI1000" s="441"/>
      <c r="AJ1000" s="441"/>
      <c r="AK1000" s="441"/>
      <c r="AL1000" s="441"/>
      <c r="AM1000" s="441"/>
      <c r="AN1000" s="441"/>
      <c r="AO1000" s="441"/>
    </row>
    <row r="1001" spans="1:41" ht="12.75" hidden="1" thickBot="1">
      <c r="A1001" s="2" t="s">
        <v>1279</v>
      </c>
      <c r="B1001" s="2" t="s">
        <v>356</v>
      </c>
      <c r="C1001" s="2" t="s">
        <v>1053</v>
      </c>
      <c r="D1001" s="8" t="s">
        <v>459</v>
      </c>
      <c r="E1001" s="459"/>
      <c r="F1001" s="6"/>
      <c r="G1001" s="451"/>
      <c r="H1001" s="6"/>
      <c r="I1001" s="6"/>
      <c r="J1001" s="6"/>
      <c r="K1001" s="6"/>
      <c r="L1001" s="6"/>
      <c r="M1001" s="451"/>
      <c r="N1001" s="451"/>
      <c r="O1001" s="6"/>
      <c r="P1001" s="6"/>
      <c r="Q1001" s="451"/>
      <c r="R1001" s="451"/>
      <c r="S1001" s="445">
        <f t="shared" si="92"/>
        <v>0</v>
      </c>
      <c r="T1001" s="445">
        <f t="shared" si="93"/>
        <v>0</v>
      </c>
      <c r="U1001" s="445">
        <f t="shared" si="94"/>
        <v>0</v>
      </c>
      <c r="W1001" s="450"/>
      <c r="X1001" s="450"/>
      <c r="Y1001" s="441"/>
      <c r="Z1001" s="441"/>
      <c r="AA1001" s="441"/>
      <c r="AB1001" s="441"/>
      <c r="AC1001" s="441"/>
      <c r="AD1001" s="441"/>
      <c r="AE1001" s="441"/>
      <c r="AF1001" s="441"/>
      <c r="AG1001" s="441"/>
      <c r="AH1001" s="441"/>
      <c r="AI1001" s="441"/>
      <c r="AJ1001" s="441"/>
      <c r="AK1001" s="441"/>
      <c r="AL1001" s="441"/>
      <c r="AM1001" s="441"/>
      <c r="AN1001" s="441"/>
      <c r="AO1001" s="441"/>
    </row>
    <row r="1002" spans="1:41" ht="12.75" hidden="1" thickBot="1">
      <c r="A1002" s="2" t="s">
        <v>1279</v>
      </c>
      <c r="B1002" s="2" t="s">
        <v>357</v>
      </c>
      <c r="C1002" s="2" t="s">
        <v>1054</v>
      </c>
      <c r="D1002" s="8" t="s">
        <v>459</v>
      </c>
      <c r="E1002" s="460"/>
      <c r="F1002" s="4"/>
      <c r="G1002" s="449"/>
      <c r="H1002" s="4"/>
      <c r="I1002" s="4"/>
      <c r="J1002" s="4"/>
      <c r="K1002" s="4"/>
      <c r="L1002" s="4"/>
      <c r="M1002" s="449"/>
      <c r="N1002" s="449"/>
      <c r="O1002" s="4"/>
      <c r="P1002" s="4"/>
      <c r="Q1002" s="449"/>
      <c r="R1002" s="449"/>
      <c r="S1002" s="445">
        <f t="shared" si="92"/>
        <v>0</v>
      </c>
      <c r="T1002" s="445">
        <f t="shared" si="93"/>
        <v>0</v>
      </c>
      <c r="U1002" s="445">
        <f t="shared" si="94"/>
        <v>0</v>
      </c>
      <c r="W1002" s="450"/>
      <c r="X1002" s="450"/>
      <c r="Y1002" s="441"/>
      <c r="Z1002" s="441"/>
      <c r="AA1002" s="441"/>
      <c r="AB1002" s="441"/>
      <c r="AC1002" s="441"/>
      <c r="AD1002" s="441"/>
      <c r="AE1002" s="441"/>
      <c r="AF1002" s="441"/>
      <c r="AG1002" s="441"/>
      <c r="AH1002" s="441"/>
      <c r="AI1002" s="441"/>
      <c r="AJ1002" s="441"/>
      <c r="AK1002" s="441"/>
      <c r="AL1002" s="441"/>
      <c r="AM1002" s="441"/>
      <c r="AN1002" s="441"/>
      <c r="AO1002" s="441"/>
    </row>
    <row r="1003" spans="1:41" ht="12.75" hidden="1" thickBot="1">
      <c r="A1003" s="2" t="s">
        <v>1279</v>
      </c>
      <c r="B1003" s="2" t="s">
        <v>358</v>
      </c>
      <c r="C1003" s="2" t="s">
        <v>1055</v>
      </c>
      <c r="D1003" s="8" t="s">
        <v>459</v>
      </c>
      <c r="E1003" s="459"/>
      <c r="F1003" s="6"/>
      <c r="G1003" s="451"/>
      <c r="H1003" s="6"/>
      <c r="I1003" s="6"/>
      <c r="J1003" s="6"/>
      <c r="K1003" s="6"/>
      <c r="L1003" s="6"/>
      <c r="M1003" s="451"/>
      <c r="N1003" s="451"/>
      <c r="O1003" s="6"/>
      <c r="P1003" s="6"/>
      <c r="Q1003" s="451"/>
      <c r="R1003" s="451"/>
      <c r="S1003" s="445">
        <f t="shared" si="92"/>
        <v>0</v>
      </c>
      <c r="T1003" s="445">
        <f t="shared" si="93"/>
        <v>0</v>
      </c>
      <c r="U1003" s="445">
        <f t="shared" si="94"/>
        <v>0</v>
      </c>
      <c r="W1003" s="450"/>
      <c r="X1003" s="450"/>
      <c r="Y1003" s="441"/>
      <c r="Z1003" s="441"/>
      <c r="AA1003" s="441"/>
      <c r="AB1003" s="441"/>
      <c r="AC1003" s="441"/>
      <c r="AD1003" s="441"/>
      <c r="AE1003" s="441"/>
      <c r="AF1003" s="441"/>
      <c r="AG1003" s="441"/>
      <c r="AH1003" s="441"/>
      <c r="AI1003" s="441"/>
      <c r="AJ1003" s="441"/>
      <c r="AK1003" s="441"/>
      <c r="AL1003" s="441"/>
      <c r="AM1003" s="441"/>
      <c r="AN1003" s="441"/>
      <c r="AO1003" s="441"/>
    </row>
    <row r="1004" spans="1:41" ht="12.75" hidden="1" thickBot="1">
      <c r="A1004" s="2" t="s">
        <v>1279</v>
      </c>
      <c r="B1004" s="2" t="s">
        <v>250</v>
      </c>
      <c r="C1004" s="2" t="s">
        <v>1056</v>
      </c>
      <c r="D1004" s="8" t="s">
        <v>459</v>
      </c>
      <c r="E1004" s="460"/>
      <c r="F1004" s="4"/>
      <c r="G1004" s="449"/>
      <c r="H1004" s="4"/>
      <c r="I1004" s="4"/>
      <c r="J1004" s="4"/>
      <c r="K1004" s="4"/>
      <c r="L1004" s="4"/>
      <c r="M1004" s="449"/>
      <c r="N1004" s="449"/>
      <c r="O1004" s="4"/>
      <c r="P1004" s="4"/>
      <c r="Q1004" s="449"/>
      <c r="R1004" s="449"/>
      <c r="S1004" s="445">
        <f t="shared" si="92"/>
        <v>0</v>
      </c>
      <c r="T1004" s="445">
        <f t="shared" si="93"/>
        <v>0</v>
      </c>
      <c r="U1004" s="445">
        <f t="shared" si="94"/>
        <v>0</v>
      </c>
      <c r="W1004" s="450"/>
      <c r="X1004" s="450"/>
      <c r="Y1004" s="441"/>
      <c r="Z1004" s="441"/>
      <c r="AA1004" s="441"/>
      <c r="AB1004" s="441"/>
      <c r="AC1004" s="441"/>
      <c r="AD1004" s="441"/>
      <c r="AE1004" s="441"/>
      <c r="AF1004" s="441"/>
      <c r="AG1004" s="441"/>
      <c r="AH1004" s="441"/>
      <c r="AI1004" s="441"/>
      <c r="AJ1004" s="441"/>
      <c r="AK1004" s="441"/>
      <c r="AL1004" s="441"/>
      <c r="AM1004" s="441"/>
      <c r="AN1004" s="441"/>
      <c r="AO1004" s="441"/>
    </row>
    <row r="1005" spans="1:41" ht="12.75" hidden="1" thickBot="1">
      <c r="A1005" s="2" t="s">
        <v>1279</v>
      </c>
      <c r="B1005" s="2" t="s">
        <v>251</v>
      </c>
      <c r="C1005" s="2" t="s">
        <v>1057</v>
      </c>
      <c r="D1005" s="8" t="s">
        <v>459</v>
      </c>
      <c r="E1005" s="459"/>
      <c r="F1005" s="6"/>
      <c r="G1005" s="451"/>
      <c r="H1005" s="6"/>
      <c r="I1005" s="6"/>
      <c r="J1005" s="6"/>
      <c r="K1005" s="6"/>
      <c r="L1005" s="6"/>
      <c r="M1005" s="451"/>
      <c r="N1005" s="451"/>
      <c r="O1005" s="6"/>
      <c r="P1005" s="6"/>
      <c r="Q1005" s="451"/>
      <c r="R1005" s="451"/>
      <c r="S1005" s="445">
        <f t="shared" si="92"/>
        <v>0</v>
      </c>
      <c r="T1005" s="445">
        <f t="shared" si="93"/>
        <v>0</v>
      </c>
      <c r="U1005" s="445">
        <f t="shared" si="94"/>
        <v>0</v>
      </c>
      <c r="W1005" s="450"/>
      <c r="X1005" s="450"/>
      <c r="Y1005" s="441"/>
      <c r="Z1005" s="441"/>
      <c r="AA1005" s="441"/>
      <c r="AB1005" s="441"/>
      <c r="AC1005" s="441"/>
      <c r="AD1005" s="441"/>
      <c r="AE1005" s="441"/>
      <c r="AF1005" s="441"/>
      <c r="AG1005" s="441"/>
      <c r="AH1005" s="441"/>
      <c r="AI1005" s="441"/>
      <c r="AJ1005" s="441"/>
      <c r="AK1005" s="441"/>
      <c r="AL1005" s="441"/>
      <c r="AM1005" s="441"/>
      <c r="AN1005" s="441"/>
      <c r="AO1005" s="441"/>
    </row>
    <row r="1006" spans="1:41" ht="12.75" hidden="1" thickBot="1">
      <c r="A1006" s="2" t="s">
        <v>1279</v>
      </c>
      <c r="B1006" s="2" t="s">
        <v>254</v>
      </c>
      <c r="C1006" s="2" t="s">
        <v>1058</v>
      </c>
      <c r="D1006" s="8" t="s">
        <v>459</v>
      </c>
      <c r="E1006" s="460"/>
      <c r="F1006" s="4"/>
      <c r="G1006" s="449"/>
      <c r="H1006" s="4"/>
      <c r="I1006" s="4"/>
      <c r="J1006" s="4"/>
      <c r="K1006" s="4"/>
      <c r="L1006" s="4"/>
      <c r="M1006" s="449"/>
      <c r="N1006" s="449"/>
      <c r="O1006" s="4"/>
      <c r="P1006" s="4"/>
      <c r="Q1006" s="449"/>
      <c r="R1006" s="449"/>
      <c r="S1006" s="445">
        <f t="shared" si="92"/>
        <v>0</v>
      </c>
      <c r="T1006" s="445">
        <f t="shared" si="93"/>
        <v>0</v>
      </c>
      <c r="U1006" s="445">
        <f t="shared" si="94"/>
        <v>0</v>
      </c>
      <c r="W1006" s="450"/>
      <c r="X1006" s="450"/>
      <c r="Y1006" s="441"/>
      <c r="Z1006" s="441"/>
      <c r="AA1006" s="441"/>
      <c r="AB1006" s="441"/>
      <c r="AC1006" s="441"/>
      <c r="AD1006" s="441"/>
      <c r="AE1006" s="441"/>
      <c r="AF1006" s="441"/>
      <c r="AG1006" s="441"/>
      <c r="AH1006" s="441"/>
      <c r="AI1006" s="441"/>
      <c r="AJ1006" s="441"/>
      <c r="AK1006" s="441"/>
      <c r="AL1006" s="441"/>
      <c r="AM1006" s="441"/>
      <c r="AN1006" s="441"/>
      <c r="AO1006" s="441"/>
    </row>
    <row r="1007" spans="1:41" ht="12.75" hidden="1" thickBot="1">
      <c r="A1007" s="2" t="s">
        <v>1279</v>
      </c>
      <c r="B1007" s="2" t="s">
        <v>260</v>
      </c>
      <c r="C1007" s="2" t="s">
        <v>1059</v>
      </c>
      <c r="D1007" s="8" t="s">
        <v>459</v>
      </c>
      <c r="E1007" s="459"/>
      <c r="F1007" s="6"/>
      <c r="G1007" s="451"/>
      <c r="H1007" s="6"/>
      <c r="I1007" s="6"/>
      <c r="J1007" s="6"/>
      <c r="K1007" s="6"/>
      <c r="L1007" s="6"/>
      <c r="M1007" s="451"/>
      <c r="N1007" s="451"/>
      <c r="O1007" s="6"/>
      <c r="P1007" s="6"/>
      <c r="Q1007" s="451"/>
      <c r="R1007" s="451"/>
      <c r="S1007" s="445">
        <f t="shared" si="92"/>
        <v>0</v>
      </c>
      <c r="T1007" s="445">
        <f t="shared" si="93"/>
        <v>0</v>
      </c>
      <c r="U1007" s="445">
        <f t="shared" si="94"/>
        <v>0</v>
      </c>
      <c r="W1007" s="450"/>
      <c r="X1007" s="450"/>
      <c r="Y1007" s="441"/>
      <c r="Z1007" s="441"/>
      <c r="AA1007" s="441"/>
      <c r="AB1007" s="441"/>
      <c r="AC1007" s="441"/>
      <c r="AD1007" s="441"/>
      <c r="AE1007" s="441"/>
      <c r="AF1007" s="441"/>
      <c r="AG1007" s="441"/>
      <c r="AH1007" s="441"/>
      <c r="AI1007" s="441"/>
      <c r="AJ1007" s="441"/>
      <c r="AK1007" s="441"/>
      <c r="AL1007" s="441"/>
      <c r="AM1007" s="441"/>
      <c r="AN1007" s="441"/>
      <c r="AO1007" s="441"/>
    </row>
    <row r="1008" spans="1:41" ht="12.75" hidden="1" thickBot="1">
      <c r="A1008" s="2" t="s">
        <v>1279</v>
      </c>
      <c r="B1008" s="2" t="s">
        <v>262</v>
      </c>
      <c r="C1008" s="2" t="s">
        <v>1060</v>
      </c>
      <c r="D1008" s="8" t="s">
        <v>459</v>
      </c>
      <c r="E1008" s="460"/>
      <c r="F1008" s="4"/>
      <c r="G1008" s="449"/>
      <c r="H1008" s="4"/>
      <c r="I1008" s="4"/>
      <c r="J1008" s="4"/>
      <c r="K1008" s="4"/>
      <c r="L1008" s="4"/>
      <c r="M1008" s="449"/>
      <c r="N1008" s="449"/>
      <c r="O1008" s="4"/>
      <c r="P1008" s="4"/>
      <c r="Q1008" s="449"/>
      <c r="R1008" s="449"/>
      <c r="S1008" s="445">
        <f t="shared" si="92"/>
        <v>0</v>
      </c>
      <c r="T1008" s="445">
        <f t="shared" si="93"/>
        <v>0</v>
      </c>
      <c r="U1008" s="445">
        <f t="shared" si="94"/>
        <v>0</v>
      </c>
      <c r="W1008" s="450"/>
      <c r="X1008" s="450"/>
      <c r="Y1008" s="441"/>
      <c r="Z1008" s="441"/>
      <c r="AA1008" s="441"/>
      <c r="AB1008" s="441"/>
      <c r="AC1008" s="441"/>
      <c r="AD1008" s="441"/>
      <c r="AE1008" s="441"/>
      <c r="AF1008" s="441"/>
      <c r="AG1008" s="441"/>
      <c r="AH1008" s="441"/>
      <c r="AI1008" s="441"/>
      <c r="AJ1008" s="441"/>
      <c r="AK1008" s="441"/>
      <c r="AL1008" s="441"/>
      <c r="AM1008" s="441"/>
      <c r="AN1008" s="441"/>
      <c r="AO1008" s="441"/>
    </row>
    <row r="1009" spans="1:41" ht="12.75" hidden="1" thickBot="1">
      <c r="A1009" s="2" t="s">
        <v>1279</v>
      </c>
      <c r="B1009" s="2" t="s">
        <v>340</v>
      </c>
      <c r="C1009" s="2" t="s">
        <v>1061</v>
      </c>
      <c r="D1009" s="8" t="s">
        <v>567</v>
      </c>
      <c r="E1009" s="459"/>
      <c r="F1009" s="6"/>
      <c r="G1009" s="451"/>
      <c r="H1009" s="6"/>
      <c r="I1009" s="6"/>
      <c r="J1009" s="6"/>
      <c r="K1009" s="6"/>
      <c r="L1009" s="6"/>
      <c r="M1009" s="451"/>
      <c r="N1009" s="451"/>
      <c r="O1009" s="6"/>
      <c r="P1009" s="6"/>
      <c r="Q1009" s="6"/>
      <c r="R1009" s="451"/>
      <c r="S1009" s="445">
        <f t="shared" si="92"/>
        <v>0</v>
      </c>
      <c r="T1009" s="445">
        <f t="shared" si="93"/>
        <v>0</v>
      </c>
      <c r="U1009" s="445">
        <f t="shared" si="94"/>
        <v>0</v>
      </c>
      <c r="W1009" s="450"/>
      <c r="X1009" s="450"/>
      <c r="Y1009" s="441"/>
      <c r="Z1009" s="441"/>
      <c r="AA1009" s="441"/>
      <c r="AB1009" s="441"/>
      <c r="AC1009" s="441"/>
      <c r="AD1009" s="441"/>
      <c r="AE1009" s="441"/>
      <c r="AF1009" s="441"/>
      <c r="AG1009" s="441"/>
      <c r="AH1009" s="441"/>
      <c r="AI1009" s="441"/>
      <c r="AJ1009" s="441"/>
      <c r="AK1009" s="441"/>
      <c r="AL1009" s="441"/>
      <c r="AM1009" s="441"/>
      <c r="AN1009" s="441"/>
      <c r="AO1009" s="441"/>
    </row>
    <row r="1010" spans="1:41" ht="12.75" hidden="1" thickBot="1">
      <c r="A1010" s="2" t="s">
        <v>1279</v>
      </c>
      <c r="B1010" s="2" t="s">
        <v>692</v>
      </c>
      <c r="C1010" s="2" t="s">
        <v>1062</v>
      </c>
      <c r="D1010" s="8" t="s">
        <v>567</v>
      </c>
      <c r="E1010" s="460"/>
      <c r="F1010" s="4"/>
      <c r="G1010" s="449"/>
      <c r="H1010" s="4"/>
      <c r="I1010" s="4"/>
      <c r="J1010" s="4"/>
      <c r="K1010" s="4"/>
      <c r="L1010" s="4"/>
      <c r="M1010" s="449"/>
      <c r="N1010" s="449"/>
      <c r="O1010" s="4"/>
      <c r="P1010" s="4"/>
      <c r="Q1010" s="4"/>
      <c r="R1010" s="449"/>
      <c r="S1010" s="445">
        <f t="shared" si="92"/>
        <v>0</v>
      </c>
      <c r="T1010" s="445">
        <f t="shared" si="93"/>
        <v>0</v>
      </c>
      <c r="U1010" s="445">
        <f t="shared" si="94"/>
        <v>0</v>
      </c>
      <c r="W1010" s="450"/>
      <c r="X1010" s="450"/>
      <c r="Y1010" s="441"/>
      <c r="Z1010" s="441"/>
      <c r="AA1010" s="441"/>
      <c r="AB1010" s="441"/>
      <c r="AC1010" s="441"/>
      <c r="AD1010" s="441"/>
      <c r="AE1010" s="441"/>
      <c r="AF1010" s="441"/>
      <c r="AG1010" s="441"/>
      <c r="AH1010" s="441"/>
      <c r="AI1010" s="441"/>
      <c r="AJ1010" s="441"/>
      <c r="AK1010" s="441"/>
      <c r="AL1010" s="441"/>
      <c r="AM1010" s="441"/>
      <c r="AN1010" s="441"/>
      <c r="AO1010" s="441"/>
    </row>
    <row r="1011" spans="1:41" ht="12.75" hidden="1" thickBot="1">
      <c r="A1011" s="2" t="s">
        <v>1279</v>
      </c>
      <c r="B1011" s="2" t="s">
        <v>292</v>
      </c>
      <c r="C1011" s="2" t="s">
        <v>1063</v>
      </c>
      <c r="D1011" s="8" t="s">
        <v>567</v>
      </c>
      <c r="E1011" s="459"/>
      <c r="F1011" s="6"/>
      <c r="G1011" s="451"/>
      <c r="H1011" s="6"/>
      <c r="I1011" s="6"/>
      <c r="J1011" s="6"/>
      <c r="K1011" s="6"/>
      <c r="L1011" s="6"/>
      <c r="M1011" s="451"/>
      <c r="N1011" s="451"/>
      <c r="O1011" s="6"/>
      <c r="P1011" s="6"/>
      <c r="Q1011" s="451"/>
      <c r="R1011" s="451"/>
      <c r="S1011" s="445">
        <f t="shared" si="92"/>
        <v>0</v>
      </c>
      <c r="T1011" s="445">
        <f t="shared" si="93"/>
        <v>0</v>
      </c>
      <c r="U1011" s="445">
        <f t="shared" si="94"/>
        <v>0</v>
      </c>
      <c r="W1011" s="450"/>
      <c r="X1011" s="450"/>
      <c r="Y1011" s="441"/>
      <c r="Z1011" s="441"/>
      <c r="AA1011" s="441"/>
      <c r="AB1011" s="441"/>
      <c r="AC1011" s="441"/>
      <c r="AD1011" s="441"/>
      <c r="AE1011" s="441"/>
      <c r="AF1011" s="441"/>
      <c r="AG1011" s="441"/>
      <c r="AH1011" s="441"/>
      <c r="AI1011" s="441"/>
      <c r="AJ1011" s="441"/>
      <c r="AK1011" s="441"/>
      <c r="AL1011" s="441"/>
      <c r="AM1011" s="441"/>
      <c r="AN1011" s="441"/>
      <c r="AO1011" s="441"/>
    </row>
    <row r="1012" spans="1:41" ht="12.75" hidden="1" thickBot="1">
      <c r="A1012" s="2" t="s">
        <v>1279</v>
      </c>
      <c r="B1012" s="2" t="s">
        <v>293</v>
      </c>
      <c r="C1012" s="2" t="s">
        <v>1064</v>
      </c>
      <c r="D1012" s="8" t="s">
        <v>567</v>
      </c>
      <c r="E1012" s="460"/>
      <c r="F1012" s="4"/>
      <c r="G1012" s="449"/>
      <c r="H1012" s="4"/>
      <c r="I1012" s="4"/>
      <c r="J1012" s="4"/>
      <c r="K1012" s="4"/>
      <c r="L1012" s="4"/>
      <c r="M1012" s="449"/>
      <c r="N1012" s="449"/>
      <c r="O1012" s="4"/>
      <c r="P1012" s="4"/>
      <c r="Q1012" s="449"/>
      <c r="R1012" s="449"/>
      <c r="S1012" s="445">
        <f t="shared" si="92"/>
        <v>0</v>
      </c>
      <c r="T1012" s="445">
        <f t="shared" si="93"/>
        <v>0</v>
      </c>
      <c r="U1012" s="445">
        <f t="shared" si="94"/>
        <v>0</v>
      </c>
      <c r="W1012" s="450"/>
      <c r="X1012" s="450"/>
      <c r="Y1012" s="441"/>
      <c r="Z1012" s="441"/>
      <c r="AA1012" s="441"/>
      <c r="AB1012" s="441"/>
      <c r="AC1012" s="441"/>
      <c r="AD1012" s="441"/>
      <c r="AE1012" s="441"/>
      <c r="AF1012" s="441"/>
      <c r="AG1012" s="441"/>
      <c r="AH1012" s="441"/>
      <c r="AI1012" s="441"/>
      <c r="AJ1012" s="441"/>
      <c r="AK1012" s="441"/>
      <c r="AL1012" s="441"/>
      <c r="AM1012" s="441"/>
      <c r="AN1012" s="441"/>
      <c r="AO1012" s="441"/>
    </row>
    <row r="1013" spans="1:41" ht="12.75" hidden="1" thickBot="1">
      <c r="A1013" s="2" t="s">
        <v>1279</v>
      </c>
      <c r="B1013" s="2" t="s">
        <v>295</v>
      </c>
      <c r="C1013" s="2" t="s">
        <v>1065</v>
      </c>
      <c r="D1013" s="8" t="s">
        <v>567</v>
      </c>
      <c r="E1013" s="459"/>
      <c r="F1013" s="6"/>
      <c r="G1013" s="451"/>
      <c r="H1013" s="6"/>
      <c r="I1013" s="6"/>
      <c r="J1013" s="6"/>
      <c r="K1013" s="6"/>
      <c r="L1013" s="6"/>
      <c r="M1013" s="451"/>
      <c r="N1013" s="451"/>
      <c r="O1013" s="6"/>
      <c r="P1013" s="6"/>
      <c r="Q1013" s="451"/>
      <c r="R1013" s="451"/>
      <c r="S1013" s="445">
        <f t="shared" si="92"/>
        <v>0</v>
      </c>
      <c r="T1013" s="445">
        <f t="shared" si="93"/>
        <v>0</v>
      </c>
      <c r="U1013" s="445">
        <f t="shared" si="94"/>
        <v>0</v>
      </c>
      <c r="W1013" s="450"/>
      <c r="X1013" s="450"/>
      <c r="Y1013" s="441"/>
      <c r="Z1013" s="441"/>
      <c r="AA1013" s="441"/>
      <c r="AB1013" s="441"/>
      <c r="AC1013" s="441"/>
      <c r="AD1013" s="441"/>
      <c r="AE1013" s="441"/>
      <c r="AF1013" s="441"/>
      <c r="AG1013" s="441"/>
      <c r="AH1013" s="441"/>
      <c r="AI1013" s="441"/>
      <c r="AJ1013" s="441"/>
      <c r="AK1013" s="441"/>
      <c r="AL1013" s="441"/>
      <c r="AM1013" s="441"/>
      <c r="AN1013" s="441"/>
      <c r="AO1013" s="441"/>
    </row>
    <row r="1014" spans="1:41" ht="12.75" hidden="1" thickBot="1">
      <c r="A1014" s="2" t="s">
        <v>1279</v>
      </c>
      <c r="B1014" s="2" t="s">
        <v>296</v>
      </c>
      <c r="C1014" s="2" t="s">
        <v>1066</v>
      </c>
      <c r="D1014" s="8" t="s">
        <v>567</v>
      </c>
      <c r="E1014" s="460"/>
      <c r="F1014" s="4"/>
      <c r="G1014" s="449"/>
      <c r="H1014" s="4"/>
      <c r="I1014" s="4"/>
      <c r="J1014" s="4"/>
      <c r="K1014" s="4"/>
      <c r="L1014" s="4"/>
      <c r="M1014" s="449"/>
      <c r="N1014" s="449"/>
      <c r="O1014" s="4"/>
      <c r="P1014" s="4"/>
      <c r="Q1014" s="449"/>
      <c r="R1014" s="449"/>
      <c r="S1014" s="445">
        <f t="shared" si="92"/>
        <v>0</v>
      </c>
      <c r="T1014" s="445">
        <f t="shared" si="93"/>
        <v>0</v>
      </c>
      <c r="U1014" s="445">
        <f t="shared" si="94"/>
        <v>0</v>
      </c>
      <c r="W1014" s="450"/>
      <c r="X1014" s="450"/>
      <c r="Y1014" s="441"/>
      <c r="Z1014" s="441"/>
      <c r="AA1014" s="441"/>
      <c r="AB1014" s="441"/>
      <c r="AC1014" s="441"/>
      <c r="AD1014" s="441"/>
      <c r="AE1014" s="441"/>
      <c r="AF1014" s="441"/>
      <c r="AG1014" s="441"/>
      <c r="AH1014" s="441"/>
      <c r="AI1014" s="441"/>
      <c r="AJ1014" s="441"/>
      <c r="AK1014" s="441"/>
      <c r="AL1014" s="441"/>
      <c r="AM1014" s="441"/>
      <c r="AN1014" s="441"/>
      <c r="AO1014" s="441"/>
    </row>
    <row r="1015" spans="1:41" ht="12.75" hidden="1" thickBot="1">
      <c r="A1015" s="2" t="s">
        <v>1279</v>
      </c>
      <c r="B1015" s="2" t="s">
        <v>297</v>
      </c>
      <c r="C1015" s="2" t="s">
        <v>1067</v>
      </c>
      <c r="D1015" s="8" t="s">
        <v>459</v>
      </c>
      <c r="E1015" s="459"/>
      <c r="F1015" s="6"/>
      <c r="G1015" s="451"/>
      <c r="H1015" s="6"/>
      <c r="I1015" s="6"/>
      <c r="J1015" s="6"/>
      <c r="K1015" s="6"/>
      <c r="L1015" s="6"/>
      <c r="M1015" s="451"/>
      <c r="N1015" s="451"/>
      <c r="O1015" s="6"/>
      <c r="P1015" s="6"/>
      <c r="Q1015" s="451"/>
      <c r="R1015" s="451"/>
      <c r="S1015" s="445">
        <f t="shared" si="92"/>
        <v>0</v>
      </c>
      <c r="T1015" s="445">
        <f t="shared" si="93"/>
        <v>0</v>
      </c>
      <c r="U1015" s="445">
        <f t="shared" si="94"/>
        <v>0</v>
      </c>
      <c r="W1015" s="450"/>
      <c r="X1015" s="450"/>
      <c r="Y1015" s="441"/>
      <c r="Z1015" s="441"/>
      <c r="AA1015" s="441"/>
      <c r="AB1015" s="441"/>
      <c r="AC1015" s="441"/>
      <c r="AD1015" s="441"/>
      <c r="AE1015" s="441"/>
      <c r="AF1015" s="441"/>
      <c r="AG1015" s="441"/>
      <c r="AH1015" s="441"/>
      <c r="AI1015" s="441"/>
      <c r="AJ1015" s="441"/>
      <c r="AK1015" s="441"/>
      <c r="AL1015" s="441"/>
      <c r="AM1015" s="441"/>
      <c r="AN1015" s="441"/>
      <c r="AO1015" s="441"/>
    </row>
    <row r="1016" spans="1:41" ht="12.75" hidden="1" thickBot="1">
      <c r="A1016" s="2" t="s">
        <v>1279</v>
      </c>
      <c r="B1016" s="2" t="s">
        <v>299</v>
      </c>
      <c r="C1016" s="2" t="s">
        <v>1068</v>
      </c>
      <c r="D1016" s="8" t="s">
        <v>459</v>
      </c>
      <c r="E1016" s="460"/>
      <c r="F1016" s="4"/>
      <c r="G1016" s="449"/>
      <c r="H1016" s="4"/>
      <c r="I1016" s="4"/>
      <c r="J1016" s="4"/>
      <c r="K1016" s="4"/>
      <c r="L1016" s="4"/>
      <c r="M1016" s="449"/>
      <c r="N1016" s="449"/>
      <c r="O1016" s="4"/>
      <c r="P1016" s="4"/>
      <c r="Q1016" s="449"/>
      <c r="R1016" s="449"/>
      <c r="S1016" s="445">
        <f t="shared" si="92"/>
        <v>0</v>
      </c>
      <c r="T1016" s="445">
        <f t="shared" si="93"/>
        <v>0</v>
      </c>
      <c r="U1016" s="445">
        <f t="shared" si="94"/>
        <v>0</v>
      </c>
      <c r="W1016" s="450"/>
      <c r="X1016" s="450"/>
      <c r="Y1016" s="441"/>
      <c r="Z1016" s="441"/>
      <c r="AA1016" s="441"/>
      <c r="AB1016" s="441"/>
      <c r="AC1016" s="441"/>
      <c r="AD1016" s="441"/>
      <c r="AE1016" s="441"/>
      <c r="AF1016" s="441"/>
      <c r="AG1016" s="441"/>
      <c r="AH1016" s="441"/>
      <c r="AI1016" s="441"/>
      <c r="AJ1016" s="441"/>
      <c r="AK1016" s="441"/>
      <c r="AL1016" s="441"/>
      <c r="AM1016" s="441"/>
      <c r="AN1016" s="441"/>
      <c r="AO1016" s="441"/>
    </row>
    <row r="1017" spans="1:41" ht="12.75" hidden="1" thickBot="1">
      <c r="A1017" s="2" t="s">
        <v>1279</v>
      </c>
      <c r="B1017" s="2" t="s">
        <v>300</v>
      </c>
      <c r="C1017" s="2" t="s">
        <v>1069</v>
      </c>
      <c r="D1017" s="8" t="s">
        <v>567</v>
      </c>
      <c r="E1017" s="459"/>
      <c r="F1017" s="6"/>
      <c r="G1017" s="451"/>
      <c r="H1017" s="6"/>
      <c r="I1017" s="6"/>
      <c r="J1017" s="6"/>
      <c r="K1017" s="6"/>
      <c r="L1017" s="6"/>
      <c r="M1017" s="451"/>
      <c r="N1017" s="451"/>
      <c r="O1017" s="6"/>
      <c r="P1017" s="6"/>
      <c r="Q1017" s="451"/>
      <c r="R1017" s="451"/>
      <c r="S1017" s="445">
        <f t="shared" si="92"/>
        <v>0</v>
      </c>
      <c r="T1017" s="445">
        <f t="shared" si="93"/>
        <v>0</v>
      </c>
      <c r="U1017" s="445">
        <f t="shared" si="94"/>
        <v>0</v>
      </c>
      <c r="W1017" s="450"/>
      <c r="X1017" s="450"/>
      <c r="Y1017" s="441"/>
      <c r="Z1017" s="441"/>
      <c r="AA1017" s="441"/>
      <c r="AB1017" s="441"/>
      <c r="AC1017" s="441"/>
      <c r="AD1017" s="441"/>
      <c r="AE1017" s="441"/>
      <c r="AF1017" s="441"/>
      <c r="AG1017" s="441"/>
      <c r="AH1017" s="441"/>
      <c r="AI1017" s="441"/>
      <c r="AJ1017" s="441"/>
      <c r="AK1017" s="441"/>
      <c r="AL1017" s="441"/>
      <c r="AM1017" s="441"/>
      <c r="AN1017" s="441"/>
      <c r="AO1017" s="441"/>
    </row>
    <row r="1018" spans="1:41" ht="12.75" hidden="1" thickBot="1">
      <c r="A1018" s="2" t="s">
        <v>1279</v>
      </c>
      <c r="B1018" s="2" t="s">
        <v>301</v>
      </c>
      <c r="C1018" s="2" t="s">
        <v>1070</v>
      </c>
      <c r="D1018" s="8" t="s">
        <v>567</v>
      </c>
      <c r="E1018" s="460"/>
      <c r="F1018" s="4"/>
      <c r="G1018" s="449"/>
      <c r="H1018" s="4"/>
      <c r="I1018" s="4"/>
      <c r="J1018" s="4"/>
      <c r="K1018" s="4"/>
      <c r="L1018" s="4"/>
      <c r="M1018" s="449"/>
      <c r="N1018" s="449"/>
      <c r="O1018" s="4"/>
      <c r="P1018" s="4"/>
      <c r="Q1018" s="449"/>
      <c r="R1018" s="449"/>
      <c r="S1018" s="445">
        <f t="shared" si="92"/>
        <v>0</v>
      </c>
      <c r="T1018" s="445">
        <f t="shared" si="93"/>
        <v>0</v>
      </c>
      <c r="U1018" s="445">
        <f t="shared" si="94"/>
        <v>0</v>
      </c>
      <c r="W1018" s="450"/>
      <c r="X1018" s="450"/>
      <c r="Y1018" s="441"/>
      <c r="Z1018" s="441"/>
      <c r="AA1018" s="441"/>
      <c r="AB1018" s="441"/>
      <c r="AC1018" s="441"/>
      <c r="AD1018" s="441"/>
      <c r="AE1018" s="441"/>
      <c r="AF1018" s="441"/>
      <c r="AG1018" s="441"/>
      <c r="AH1018" s="441"/>
      <c r="AI1018" s="441"/>
      <c r="AJ1018" s="441"/>
      <c r="AK1018" s="441"/>
      <c r="AL1018" s="441"/>
      <c r="AM1018" s="441"/>
      <c r="AN1018" s="441"/>
      <c r="AO1018" s="441"/>
    </row>
    <row r="1019" spans="1:41" ht="12.75" hidden="1" thickBot="1">
      <c r="A1019" s="2" t="s">
        <v>1279</v>
      </c>
      <c r="B1019" s="2" t="s">
        <v>302</v>
      </c>
      <c r="C1019" s="2" t="s">
        <v>1071</v>
      </c>
      <c r="D1019" s="8" t="s">
        <v>567</v>
      </c>
      <c r="E1019" s="459"/>
      <c r="F1019" s="6"/>
      <c r="G1019" s="451"/>
      <c r="H1019" s="6"/>
      <c r="I1019" s="6"/>
      <c r="J1019" s="6"/>
      <c r="K1019" s="6"/>
      <c r="L1019" s="6"/>
      <c r="M1019" s="451"/>
      <c r="N1019" s="451"/>
      <c r="O1019" s="6"/>
      <c r="P1019" s="6"/>
      <c r="Q1019" s="451"/>
      <c r="R1019" s="451"/>
      <c r="S1019" s="445">
        <f t="shared" si="92"/>
        <v>0</v>
      </c>
      <c r="T1019" s="445">
        <f t="shared" si="93"/>
        <v>0</v>
      </c>
      <c r="U1019" s="445">
        <f t="shared" si="94"/>
        <v>0</v>
      </c>
      <c r="W1019" s="450"/>
      <c r="X1019" s="450"/>
      <c r="Y1019" s="441"/>
      <c r="Z1019" s="441"/>
      <c r="AA1019" s="441"/>
      <c r="AB1019" s="441"/>
      <c r="AC1019" s="441"/>
      <c r="AD1019" s="441"/>
      <c r="AE1019" s="441"/>
      <c r="AF1019" s="441"/>
      <c r="AG1019" s="441"/>
      <c r="AH1019" s="441"/>
      <c r="AI1019" s="441"/>
      <c r="AJ1019" s="441"/>
      <c r="AK1019" s="441"/>
      <c r="AL1019" s="441"/>
      <c r="AM1019" s="441"/>
      <c r="AN1019" s="441"/>
      <c r="AO1019" s="441"/>
    </row>
    <row r="1020" spans="1:41" ht="12.75" hidden="1" thickBot="1">
      <c r="A1020" s="2" t="s">
        <v>1279</v>
      </c>
      <c r="B1020" s="2" t="s">
        <v>303</v>
      </c>
      <c r="C1020" s="2" t="s">
        <v>1072</v>
      </c>
      <c r="D1020" s="8" t="s">
        <v>567</v>
      </c>
      <c r="E1020" s="460"/>
      <c r="F1020" s="4"/>
      <c r="G1020" s="449"/>
      <c r="H1020" s="4"/>
      <c r="I1020" s="4"/>
      <c r="J1020" s="4"/>
      <c r="K1020" s="4"/>
      <c r="L1020" s="4"/>
      <c r="M1020" s="449"/>
      <c r="N1020" s="449"/>
      <c r="O1020" s="4"/>
      <c r="P1020" s="4"/>
      <c r="Q1020" s="449"/>
      <c r="R1020" s="449"/>
      <c r="S1020" s="445">
        <f t="shared" si="92"/>
        <v>0</v>
      </c>
      <c r="T1020" s="445">
        <f t="shared" si="93"/>
        <v>0</v>
      </c>
      <c r="U1020" s="445">
        <f t="shared" si="94"/>
        <v>0</v>
      </c>
      <c r="W1020" s="450"/>
      <c r="X1020" s="450"/>
      <c r="Y1020" s="441"/>
      <c r="Z1020" s="441"/>
      <c r="AA1020" s="441"/>
      <c r="AB1020" s="441"/>
      <c r="AC1020" s="441"/>
      <c r="AD1020" s="441"/>
      <c r="AE1020" s="441"/>
      <c r="AF1020" s="441"/>
      <c r="AG1020" s="441"/>
      <c r="AH1020" s="441"/>
      <c r="AI1020" s="441"/>
      <c r="AJ1020" s="441"/>
      <c r="AK1020" s="441"/>
      <c r="AL1020" s="441"/>
      <c r="AM1020" s="441"/>
      <c r="AN1020" s="441"/>
      <c r="AO1020" s="441"/>
    </row>
    <row r="1021" spans="1:41" ht="12.75" hidden="1" thickBot="1">
      <c r="A1021" s="2" t="s">
        <v>1279</v>
      </c>
      <c r="B1021" s="2" t="s">
        <v>304</v>
      </c>
      <c r="C1021" s="2" t="s">
        <v>1073</v>
      </c>
      <c r="D1021" s="8" t="s">
        <v>567</v>
      </c>
      <c r="E1021" s="459"/>
      <c r="F1021" s="6"/>
      <c r="G1021" s="451"/>
      <c r="H1021" s="6"/>
      <c r="I1021" s="6"/>
      <c r="J1021" s="6"/>
      <c r="K1021" s="6"/>
      <c r="L1021" s="6"/>
      <c r="M1021" s="451"/>
      <c r="N1021" s="451"/>
      <c r="O1021" s="6"/>
      <c r="P1021" s="6"/>
      <c r="Q1021" s="451"/>
      <c r="R1021" s="451"/>
      <c r="S1021" s="445">
        <f t="shared" si="92"/>
        <v>0</v>
      </c>
      <c r="T1021" s="445">
        <f t="shared" si="93"/>
        <v>0</v>
      </c>
      <c r="U1021" s="445">
        <f t="shared" si="94"/>
        <v>0</v>
      </c>
      <c r="W1021" s="450"/>
      <c r="X1021" s="450"/>
      <c r="Y1021" s="441"/>
      <c r="Z1021" s="441"/>
      <c r="AA1021" s="441"/>
      <c r="AB1021" s="441"/>
      <c r="AC1021" s="441"/>
      <c r="AD1021" s="441"/>
      <c r="AE1021" s="441"/>
      <c r="AF1021" s="441"/>
      <c r="AG1021" s="441"/>
      <c r="AH1021" s="441"/>
      <c r="AI1021" s="441"/>
      <c r="AJ1021" s="441"/>
      <c r="AK1021" s="441"/>
      <c r="AL1021" s="441"/>
      <c r="AM1021" s="441"/>
      <c r="AN1021" s="441"/>
      <c r="AO1021" s="441"/>
    </row>
    <row r="1022" spans="1:41" ht="12.75" hidden="1" thickBot="1">
      <c r="A1022" s="2" t="s">
        <v>1279</v>
      </c>
      <c r="B1022" s="2" t="s">
        <v>305</v>
      </c>
      <c r="C1022" s="2" t="s">
        <v>1074</v>
      </c>
      <c r="D1022" s="8" t="s">
        <v>567</v>
      </c>
      <c r="E1022" s="460"/>
      <c r="F1022" s="4"/>
      <c r="G1022" s="449"/>
      <c r="H1022" s="4"/>
      <c r="I1022" s="4"/>
      <c r="J1022" s="4"/>
      <c r="K1022" s="4"/>
      <c r="L1022" s="4"/>
      <c r="M1022" s="449"/>
      <c r="N1022" s="449"/>
      <c r="O1022" s="4"/>
      <c r="P1022" s="4"/>
      <c r="Q1022" s="449"/>
      <c r="R1022" s="449"/>
      <c r="S1022" s="445">
        <f t="shared" si="92"/>
        <v>0</v>
      </c>
      <c r="T1022" s="445">
        <f t="shared" si="93"/>
        <v>0</v>
      </c>
      <c r="U1022" s="445">
        <f t="shared" si="94"/>
        <v>0</v>
      </c>
      <c r="W1022" s="450"/>
      <c r="X1022" s="450"/>
      <c r="Y1022" s="441"/>
      <c r="Z1022" s="441"/>
      <c r="AA1022" s="441"/>
      <c r="AB1022" s="441"/>
      <c r="AC1022" s="441"/>
      <c r="AD1022" s="441"/>
      <c r="AE1022" s="441"/>
      <c r="AF1022" s="441"/>
      <c r="AG1022" s="441"/>
      <c r="AH1022" s="441"/>
      <c r="AI1022" s="441"/>
      <c r="AJ1022" s="441"/>
      <c r="AK1022" s="441"/>
      <c r="AL1022" s="441"/>
      <c r="AM1022" s="441"/>
      <c r="AN1022" s="441"/>
      <c r="AO1022" s="441"/>
    </row>
    <row r="1023" spans="1:41" ht="12.75" hidden="1" thickBot="1">
      <c r="A1023" s="2" t="s">
        <v>1279</v>
      </c>
      <c r="B1023" s="2" t="s">
        <v>306</v>
      </c>
      <c r="C1023" s="2" t="s">
        <v>1075</v>
      </c>
      <c r="D1023" s="453" t="s">
        <v>459</v>
      </c>
      <c r="E1023" s="459"/>
      <c r="F1023" s="6"/>
      <c r="G1023" s="451"/>
      <c r="H1023" s="6"/>
      <c r="I1023" s="6"/>
      <c r="J1023" s="6"/>
      <c r="K1023" s="6"/>
      <c r="L1023" s="6"/>
      <c r="M1023" s="451"/>
      <c r="N1023" s="451"/>
      <c r="O1023" s="6"/>
      <c r="P1023" s="6"/>
      <c r="Q1023" s="451"/>
      <c r="R1023" s="451"/>
      <c r="S1023" s="445">
        <f t="shared" si="92"/>
        <v>0</v>
      </c>
      <c r="T1023" s="445">
        <f t="shared" si="93"/>
        <v>0</v>
      </c>
      <c r="U1023" s="445">
        <f t="shared" si="94"/>
        <v>0</v>
      </c>
      <c r="W1023" s="450"/>
      <c r="X1023" s="450"/>
      <c r="Y1023" s="441"/>
      <c r="Z1023" s="441"/>
      <c r="AA1023" s="441"/>
      <c r="AB1023" s="441"/>
      <c r="AC1023" s="441"/>
      <c r="AD1023" s="441"/>
      <c r="AE1023" s="441"/>
      <c r="AF1023" s="441"/>
      <c r="AG1023" s="441"/>
      <c r="AH1023" s="441"/>
      <c r="AI1023" s="441"/>
      <c r="AJ1023" s="441"/>
      <c r="AK1023" s="441"/>
      <c r="AL1023" s="441"/>
      <c r="AM1023" s="441"/>
      <c r="AN1023" s="441"/>
      <c r="AO1023" s="441"/>
    </row>
    <row r="1024" spans="1:41" ht="12.75" hidden="1" thickBot="1">
      <c r="A1024" s="2" t="s">
        <v>1279</v>
      </c>
      <c r="B1024" s="2" t="s">
        <v>307</v>
      </c>
      <c r="C1024" s="2" t="s">
        <v>1076</v>
      </c>
      <c r="D1024" s="8" t="s">
        <v>567</v>
      </c>
      <c r="E1024" s="460"/>
      <c r="F1024" s="4"/>
      <c r="G1024" s="449"/>
      <c r="H1024" s="4"/>
      <c r="I1024" s="4"/>
      <c r="J1024" s="4"/>
      <c r="K1024" s="4"/>
      <c r="L1024" s="4"/>
      <c r="M1024" s="449"/>
      <c r="N1024" s="449"/>
      <c r="O1024" s="4"/>
      <c r="P1024" s="4"/>
      <c r="Q1024" s="449"/>
      <c r="R1024" s="449"/>
      <c r="S1024" s="445">
        <f t="shared" si="92"/>
        <v>0</v>
      </c>
      <c r="T1024" s="445">
        <f t="shared" si="93"/>
        <v>0</v>
      </c>
      <c r="U1024" s="445">
        <f t="shared" si="94"/>
        <v>0</v>
      </c>
      <c r="W1024" s="450"/>
      <c r="X1024" s="450"/>
      <c r="Y1024" s="441"/>
      <c r="Z1024" s="441"/>
      <c r="AA1024" s="441"/>
      <c r="AB1024" s="441"/>
      <c r="AC1024" s="441"/>
      <c r="AD1024" s="441"/>
      <c r="AE1024" s="441"/>
      <c r="AF1024" s="441"/>
      <c r="AG1024" s="441"/>
      <c r="AH1024" s="441"/>
      <c r="AI1024" s="441"/>
      <c r="AJ1024" s="441"/>
      <c r="AK1024" s="441"/>
      <c r="AL1024" s="441"/>
      <c r="AM1024" s="441"/>
      <c r="AN1024" s="441"/>
      <c r="AO1024" s="441"/>
    </row>
    <row r="1025" spans="1:41" ht="12.75" hidden="1" thickBot="1">
      <c r="A1025" s="2" t="s">
        <v>1279</v>
      </c>
      <c r="B1025" s="2" t="s">
        <v>308</v>
      </c>
      <c r="C1025" s="2" t="s">
        <v>1077</v>
      </c>
      <c r="D1025" s="453" t="s">
        <v>459</v>
      </c>
      <c r="E1025" s="459"/>
      <c r="F1025" s="6"/>
      <c r="G1025" s="451"/>
      <c r="H1025" s="6"/>
      <c r="I1025" s="6"/>
      <c r="J1025" s="6"/>
      <c r="K1025" s="6"/>
      <c r="L1025" s="6"/>
      <c r="M1025" s="451"/>
      <c r="N1025" s="451"/>
      <c r="O1025" s="6"/>
      <c r="P1025" s="6"/>
      <c r="Q1025" s="451"/>
      <c r="R1025" s="451"/>
      <c r="S1025" s="445">
        <f t="shared" si="92"/>
        <v>0</v>
      </c>
      <c r="T1025" s="445">
        <f t="shared" si="93"/>
        <v>0</v>
      </c>
      <c r="U1025" s="445">
        <f t="shared" si="94"/>
        <v>0</v>
      </c>
      <c r="W1025" s="450"/>
      <c r="X1025" s="450"/>
      <c r="Y1025" s="441"/>
      <c r="Z1025" s="441"/>
      <c r="AA1025" s="441"/>
      <c r="AB1025" s="441"/>
      <c r="AC1025" s="441"/>
      <c r="AD1025" s="441"/>
      <c r="AE1025" s="441"/>
      <c r="AF1025" s="441"/>
      <c r="AG1025" s="441"/>
      <c r="AH1025" s="441"/>
      <c r="AI1025" s="441"/>
      <c r="AJ1025" s="441"/>
      <c r="AK1025" s="441"/>
      <c r="AL1025" s="441"/>
      <c r="AM1025" s="441"/>
      <c r="AN1025" s="441"/>
      <c r="AO1025" s="441"/>
    </row>
    <row r="1026" spans="1:41" ht="12.75" hidden="1" thickBot="1">
      <c r="A1026" s="2" t="s">
        <v>1279</v>
      </c>
      <c r="B1026" s="2" t="s">
        <v>309</v>
      </c>
      <c r="C1026" s="2" t="s">
        <v>1078</v>
      </c>
      <c r="D1026" s="8" t="s">
        <v>567</v>
      </c>
      <c r="E1026" s="460"/>
      <c r="F1026" s="4"/>
      <c r="G1026" s="449"/>
      <c r="H1026" s="4"/>
      <c r="I1026" s="4"/>
      <c r="J1026" s="4"/>
      <c r="K1026" s="4"/>
      <c r="L1026" s="4"/>
      <c r="M1026" s="449"/>
      <c r="N1026" s="449"/>
      <c r="O1026" s="4"/>
      <c r="P1026" s="4"/>
      <c r="Q1026" s="449"/>
      <c r="R1026" s="449"/>
      <c r="S1026" s="445">
        <f t="shared" si="92"/>
        <v>0</v>
      </c>
      <c r="T1026" s="445">
        <f t="shared" si="93"/>
        <v>0</v>
      </c>
      <c r="U1026" s="445">
        <f t="shared" si="94"/>
        <v>0</v>
      </c>
      <c r="W1026" s="450"/>
      <c r="X1026" s="450"/>
      <c r="Y1026" s="441"/>
      <c r="Z1026" s="441"/>
      <c r="AA1026" s="441"/>
      <c r="AB1026" s="441"/>
      <c r="AC1026" s="441"/>
      <c r="AD1026" s="441"/>
      <c r="AE1026" s="441"/>
      <c r="AF1026" s="441"/>
      <c r="AG1026" s="441"/>
      <c r="AH1026" s="441"/>
      <c r="AI1026" s="441"/>
      <c r="AJ1026" s="441"/>
      <c r="AK1026" s="441"/>
      <c r="AL1026" s="441"/>
      <c r="AM1026" s="441"/>
      <c r="AN1026" s="441"/>
      <c r="AO1026" s="441"/>
    </row>
    <row r="1027" spans="1:41" ht="12.75" hidden="1" thickBot="1">
      <c r="A1027" s="2" t="s">
        <v>1279</v>
      </c>
      <c r="B1027" s="2" t="s">
        <v>310</v>
      </c>
      <c r="C1027" s="2" t="s">
        <v>1079</v>
      </c>
      <c r="D1027" s="453" t="s">
        <v>459</v>
      </c>
      <c r="E1027" s="459"/>
      <c r="F1027" s="6"/>
      <c r="G1027" s="451"/>
      <c r="H1027" s="6"/>
      <c r="I1027" s="6"/>
      <c r="J1027" s="6"/>
      <c r="K1027" s="6"/>
      <c r="L1027" s="6"/>
      <c r="M1027" s="451"/>
      <c r="N1027" s="451"/>
      <c r="O1027" s="6"/>
      <c r="P1027" s="6"/>
      <c r="Q1027" s="451"/>
      <c r="R1027" s="451"/>
      <c r="S1027" s="445">
        <f t="shared" si="92"/>
        <v>0</v>
      </c>
      <c r="T1027" s="445">
        <f t="shared" si="93"/>
        <v>0</v>
      </c>
      <c r="U1027" s="445">
        <f t="shared" si="94"/>
        <v>0</v>
      </c>
      <c r="W1027" s="450"/>
      <c r="X1027" s="450"/>
      <c r="Y1027" s="441"/>
      <c r="Z1027" s="441"/>
      <c r="AA1027" s="441"/>
      <c r="AB1027" s="441"/>
      <c r="AC1027" s="441"/>
      <c r="AD1027" s="441"/>
      <c r="AE1027" s="441"/>
      <c r="AF1027" s="441"/>
      <c r="AG1027" s="441"/>
      <c r="AH1027" s="441"/>
      <c r="AI1027" s="441"/>
      <c r="AJ1027" s="441"/>
      <c r="AK1027" s="441"/>
      <c r="AL1027" s="441"/>
      <c r="AM1027" s="441"/>
      <c r="AN1027" s="441"/>
      <c r="AO1027" s="441"/>
    </row>
    <row r="1028" spans="1:41" ht="12.75" hidden="1" thickBot="1">
      <c r="A1028" s="2" t="s">
        <v>1279</v>
      </c>
      <c r="B1028" s="2" t="s">
        <v>311</v>
      </c>
      <c r="C1028" s="2" t="s">
        <v>1080</v>
      </c>
      <c r="D1028" s="8" t="s">
        <v>567</v>
      </c>
      <c r="E1028" s="460"/>
      <c r="F1028" s="4"/>
      <c r="G1028" s="449"/>
      <c r="H1028" s="4"/>
      <c r="I1028" s="4"/>
      <c r="J1028" s="4"/>
      <c r="K1028" s="4"/>
      <c r="L1028" s="4"/>
      <c r="M1028" s="449"/>
      <c r="N1028" s="449"/>
      <c r="O1028" s="4"/>
      <c r="P1028" s="4"/>
      <c r="Q1028" s="449"/>
      <c r="R1028" s="449"/>
      <c r="S1028" s="445">
        <f t="shared" si="92"/>
        <v>0</v>
      </c>
      <c r="T1028" s="445">
        <f t="shared" si="93"/>
        <v>0</v>
      </c>
      <c r="U1028" s="445">
        <f t="shared" si="94"/>
        <v>0</v>
      </c>
      <c r="W1028" s="450"/>
      <c r="X1028" s="450"/>
      <c r="Y1028" s="441"/>
      <c r="Z1028" s="441"/>
      <c r="AA1028" s="441"/>
      <c r="AB1028" s="441"/>
      <c r="AC1028" s="441"/>
      <c r="AD1028" s="441"/>
      <c r="AE1028" s="441"/>
      <c r="AF1028" s="441"/>
      <c r="AG1028" s="441"/>
      <c r="AH1028" s="441"/>
      <c r="AI1028" s="441"/>
      <c r="AJ1028" s="441"/>
      <c r="AK1028" s="441"/>
      <c r="AL1028" s="441"/>
      <c r="AM1028" s="441"/>
      <c r="AN1028" s="441"/>
      <c r="AO1028" s="441"/>
    </row>
    <row r="1029" spans="1:41" ht="12.75" hidden="1" thickBot="1">
      <c r="A1029" s="2" t="s">
        <v>1279</v>
      </c>
      <c r="B1029" s="2" t="s">
        <v>339</v>
      </c>
      <c r="C1029" s="2" t="s">
        <v>1081</v>
      </c>
      <c r="D1029" s="453" t="s">
        <v>459</v>
      </c>
      <c r="E1029" s="459"/>
      <c r="F1029" s="6"/>
      <c r="G1029" s="451"/>
      <c r="H1029" s="6"/>
      <c r="I1029" s="6"/>
      <c r="J1029" s="6"/>
      <c r="K1029" s="6"/>
      <c r="L1029" s="6"/>
      <c r="M1029" s="451"/>
      <c r="N1029" s="451"/>
      <c r="O1029" s="6"/>
      <c r="P1029" s="6"/>
      <c r="Q1029" s="451"/>
      <c r="R1029" s="451"/>
      <c r="S1029" s="445">
        <f t="shared" si="92"/>
        <v>0</v>
      </c>
      <c r="T1029" s="445">
        <f t="shared" si="93"/>
        <v>0</v>
      </c>
      <c r="U1029" s="445">
        <f t="shared" si="94"/>
        <v>0</v>
      </c>
      <c r="W1029" s="450"/>
      <c r="X1029" s="450"/>
      <c r="Y1029" s="441"/>
      <c r="Z1029" s="441"/>
      <c r="AA1029" s="441"/>
      <c r="AB1029" s="441"/>
      <c r="AC1029" s="441"/>
      <c r="AD1029" s="441"/>
      <c r="AE1029" s="441"/>
      <c r="AF1029" s="441"/>
      <c r="AG1029" s="441"/>
      <c r="AH1029" s="441"/>
      <c r="AI1029" s="441"/>
      <c r="AJ1029" s="441"/>
      <c r="AK1029" s="441"/>
      <c r="AL1029" s="441"/>
      <c r="AM1029" s="441"/>
      <c r="AN1029" s="441"/>
      <c r="AO1029" s="441"/>
    </row>
    <row r="1030" spans="1:41" ht="12.75" hidden="1" thickBot="1">
      <c r="A1030" s="2" t="s">
        <v>1279</v>
      </c>
      <c r="B1030" s="2" t="s">
        <v>312</v>
      </c>
      <c r="C1030" s="2" t="s">
        <v>1082</v>
      </c>
      <c r="D1030" s="8" t="s">
        <v>567</v>
      </c>
      <c r="E1030" s="460"/>
      <c r="F1030" s="4"/>
      <c r="G1030" s="449"/>
      <c r="H1030" s="4"/>
      <c r="I1030" s="4"/>
      <c r="J1030" s="4"/>
      <c r="K1030" s="4"/>
      <c r="L1030" s="4"/>
      <c r="M1030" s="449"/>
      <c r="N1030" s="449"/>
      <c r="O1030" s="4"/>
      <c r="P1030" s="4"/>
      <c r="Q1030" s="449"/>
      <c r="R1030" s="449"/>
      <c r="S1030" s="445">
        <f t="shared" si="92"/>
        <v>0</v>
      </c>
      <c r="T1030" s="445">
        <f t="shared" si="93"/>
        <v>0</v>
      </c>
      <c r="U1030" s="445">
        <f t="shared" si="94"/>
        <v>0</v>
      </c>
      <c r="W1030" s="450"/>
      <c r="X1030" s="450"/>
      <c r="Y1030" s="441"/>
      <c r="Z1030" s="441"/>
      <c r="AA1030" s="441"/>
      <c r="AB1030" s="441"/>
      <c r="AC1030" s="441"/>
      <c r="AD1030" s="441"/>
      <c r="AE1030" s="441"/>
      <c r="AF1030" s="441"/>
      <c r="AG1030" s="441"/>
      <c r="AH1030" s="441"/>
      <c r="AI1030" s="441"/>
      <c r="AJ1030" s="441"/>
      <c r="AK1030" s="441"/>
      <c r="AL1030" s="441"/>
      <c r="AM1030" s="441"/>
      <c r="AN1030" s="441"/>
      <c r="AO1030" s="441"/>
    </row>
    <row r="1031" spans="1:41" ht="12.75" hidden="1" thickBot="1">
      <c r="A1031" s="2" t="s">
        <v>1279</v>
      </c>
      <c r="B1031" s="2" t="s">
        <v>688</v>
      </c>
      <c r="C1031" s="2" t="s">
        <v>1083</v>
      </c>
      <c r="D1031" s="8" t="s">
        <v>567</v>
      </c>
      <c r="E1031" s="459"/>
      <c r="F1031" s="6"/>
      <c r="G1031" s="451"/>
      <c r="H1031" s="6"/>
      <c r="I1031" s="6"/>
      <c r="J1031" s="6"/>
      <c r="K1031" s="6"/>
      <c r="L1031" s="6"/>
      <c r="M1031" s="451"/>
      <c r="N1031" s="451"/>
      <c r="O1031" s="6"/>
      <c r="P1031" s="6"/>
      <c r="Q1031" s="6"/>
      <c r="R1031" s="451"/>
      <c r="S1031" s="445">
        <f t="shared" si="92"/>
        <v>0</v>
      </c>
      <c r="T1031" s="445">
        <f t="shared" si="93"/>
        <v>0</v>
      </c>
      <c r="U1031" s="445">
        <f t="shared" si="94"/>
        <v>0</v>
      </c>
      <c r="W1031" s="450"/>
      <c r="X1031" s="450"/>
      <c r="Y1031" s="441"/>
      <c r="Z1031" s="441"/>
      <c r="AA1031" s="441"/>
      <c r="AB1031" s="441"/>
      <c r="AC1031" s="441"/>
      <c r="AD1031" s="441"/>
      <c r="AE1031" s="441"/>
      <c r="AF1031" s="441"/>
      <c r="AG1031" s="441"/>
      <c r="AH1031" s="441"/>
      <c r="AI1031" s="441"/>
      <c r="AJ1031" s="441"/>
      <c r="AK1031" s="441"/>
      <c r="AL1031" s="441"/>
      <c r="AM1031" s="441"/>
      <c r="AN1031" s="441"/>
      <c r="AO1031" s="441"/>
    </row>
    <row r="1032" spans="1:41" ht="12.75" hidden="1" thickBot="1">
      <c r="A1032" s="2" t="s">
        <v>1279</v>
      </c>
      <c r="B1032" s="2" t="s">
        <v>341</v>
      </c>
      <c r="C1032" s="2" t="s">
        <v>1084</v>
      </c>
      <c r="D1032" s="8" t="s">
        <v>567</v>
      </c>
      <c r="E1032" s="460"/>
      <c r="F1032" s="4"/>
      <c r="G1032" s="449"/>
      <c r="H1032" s="4"/>
      <c r="I1032" s="4"/>
      <c r="J1032" s="4"/>
      <c r="K1032" s="4"/>
      <c r="L1032" s="4"/>
      <c r="M1032" s="449"/>
      <c r="N1032" s="449"/>
      <c r="O1032" s="4"/>
      <c r="P1032" s="4"/>
      <c r="Q1032" s="4"/>
      <c r="R1032" s="449"/>
      <c r="S1032" s="445">
        <f t="shared" si="92"/>
        <v>0</v>
      </c>
      <c r="T1032" s="445">
        <f t="shared" si="93"/>
        <v>0</v>
      </c>
      <c r="U1032" s="445">
        <f t="shared" si="94"/>
        <v>0</v>
      </c>
      <c r="W1032" s="450"/>
      <c r="X1032" s="450"/>
      <c r="Y1032" s="441"/>
      <c r="Z1032" s="441"/>
      <c r="AA1032" s="441"/>
      <c r="AB1032" s="441"/>
      <c r="AC1032" s="441"/>
      <c r="AD1032" s="441"/>
      <c r="AE1032" s="441"/>
      <c r="AF1032" s="441"/>
      <c r="AG1032" s="441"/>
      <c r="AH1032" s="441"/>
      <c r="AI1032" s="441"/>
      <c r="AJ1032" s="441"/>
      <c r="AK1032" s="441"/>
      <c r="AL1032" s="441"/>
      <c r="AM1032" s="441"/>
      <c r="AN1032" s="441"/>
      <c r="AO1032" s="441"/>
    </row>
    <row r="1033" spans="1:41" ht="12.75" hidden="1" thickBot="1">
      <c r="A1033" s="2" t="s">
        <v>1279</v>
      </c>
      <c r="B1033" s="2" t="s">
        <v>317</v>
      </c>
      <c r="C1033" s="2" t="s">
        <v>1085</v>
      </c>
      <c r="D1033" s="8" t="s">
        <v>567</v>
      </c>
      <c r="E1033" s="459"/>
      <c r="F1033" s="6"/>
      <c r="G1033" s="451"/>
      <c r="H1033" s="6"/>
      <c r="I1033" s="6"/>
      <c r="J1033" s="6"/>
      <c r="K1033" s="6"/>
      <c r="L1033" s="6"/>
      <c r="M1033" s="451"/>
      <c r="N1033" s="451"/>
      <c r="O1033" s="6"/>
      <c r="P1033" s="6"/>
      <c r="Q1033" s="451"/>
      <c r="R1033" s="451"/>
      <c r="S1033" s="445">
        <f t="shared" si="92"/>
        <v>0</v>
      </c>
      <c r="T1033" s="445">
        <f t="shared" si="93"/>
        <v>0</v>
      </c>
      <c r="U1033" s="445">
        <f t="shared" si="94"/>
        <v>0</v>
      </c>
      <c r="W1033" s="450"/>
      <c r="X1033" s="450"/>
      <c r="Y1033" s="441"/>
      <c r="Z1033" s="441"/>
      <c r="AA1033" s="441"/>
      <c r="AB1033" s="441"/>
      <c r="AC1033" s="441"/>
      <c r="AD1033" s="441"/>
      <c r="AE1033" s="441"/>
      <c r="AF1033" s="441"/>
      <c r="AG1033" s="441"/>
      <c r="AH1033" s="441"/>
      <c r="AI1033" s="441"/>
      <c r="AJ1033" s="441"/>
      <c r="AK1033" s="441"/>
      <c r="AL1033" s="441"/>
      <c r="AM1033" s="441"/>
      <c r="AN1033" s="441"/>
      <c r="AO1033" s="441"/>
    </row>
    <row r="1034" spans="1:41" ht="12.75" hidden="1" thickBot="1">
      <c r="A1034" s="2" t="s">
        <v>1279</v>
      </c>
      <c r="B1034" s="2" t="s">
        <v>1235</v>
      </c>
      <c r="C1034" s="2" t="s">
        <v>1236</v>
      </c>
      <c r="D1034" s="8" t="s">
        <v>567</v>
      </c>
      <c r="E1034" s="460"/>
      <c r="F1034" s="4"/>
      <c r="G1034" s="449"/>
      <c r="H1034" s="4"/>
      <c r="I1034" s="4"/>
      <c r="J1034" s="4"/>
      <c r="K1034" s="4"/>
      <c r="L1034" s="4"/>
      <c r="M1034" s="449"/>
      <c r="N1034" s="449"/>
      <c r="O1034" s="4"/>
      <c r="P1034" s="4"/>
      <c r="Q1034" s="449"/>
      <c r="R1034" s="449"/>
      <c r="S1034" s="445">
        <f t="shared" si="92"/>
        <v>0</v>
      </c>
      <c r="T1034" s="445">
        <f t="shared" si="93"/>
        <v>0</v>
      </c>
      <c r="U1034" s="445">
        <f t="shared" si="94"/>
        <v>0</v>
      </c>
      <c r="W1034" s="450"/>
      <c r="X1034" s="450"/>
      <c r="Y1034" s="441"/>
      <c r="Z1034" s="441"/>
      <c r="AA1034" s="441"/>
      <c r="AB1034" s="441"/>
      <c r="AC1034" s="441"/>
      <c r="AD1034" s="441"/>
      <c r="AE1034" s="441"/>
      <c r="AF1034" s="441"/>
      <c r="AG1034" s="441"/>
      <c r="AH1034" s="441"/>
      <c r="AI1034" s="441"/>
      <c r="AJ1034" s="441"/>
      <c r="AK1034" s="441"/>
      <c r="AL1034" s="441"/>
      <c r="AM1034" s="441"/>
      <c r="AN1034" s="441"/>
      <c r="AO1034" s="441"/>
    </row>
    <row r="1035" spans="1:41" ht="12.75" hidden="1" thickBot="1">
      <c r="A1035" s="2" t="s">
        <v>1279</v>
      </c>
      <c r="B1035" s="2" t="s">
        <v>318</v>
      </c>
      <c r="C1035" s="2" t="s">
        <v>1086</v>
      </c>
      <c r="D1035" s="8" t="s">
        <v>567</v>
      </c>
      <c r="E1035" s="459"/>
      <c r="F1035" s="6"/>
      <c r="G1035" s="6"/>
      <c r="H1035" s="6"/>
      <c r="I1035" s="6"/>
      <c r="J1035" s="6"/>
      <c r="K1035" s="6"/>
      <c r="L1035" s="6"/>
      <c r="M1035" s="6"/>
      <c r="N1035" s="6"/>
      <c r="O1035" s="6"/>
      <c r="P1035" s="6"/>
      <c r="Q1035" s="6"/>
      <c r="R1035" s="6"/>
      <c r="S1035" s="445">
        <f t="shared" ref="S1035:S1098" si="96">G1035+H1035+I1035</f>
        <v>0</v>
      </c>
      <c r="T1035" s="445">
        <f t="shared" ref="T1035:T1098" si="97">J1035+K1035</f>
        <v>0</v>
      </c>
      <c r="U1035" s="445">
        <f t="shared" ref="U1035:U1098" si="98">N1035+O1035</f>
        <v>0</v>
      </c>
      <c r="W1035" s="450"/>
      <c r="X1035" s="450"/>
      <c r="Y1035" s="441"/>
      <c r="Z1035" s="441"/>
      <c r="AA1035" s="441"/>
      <c r="AB1035" s="441"/>
      <c r="AC1035" s="441"/>
      <c r="AD1035" s="441"/>
      <c r="AE1035" s="441"/>
      <c r="AF1035" s="441"/>
      <c r="AG1035" s="441"/>
      <c r="AH1035" s="441"/>
      <c r="AI1035" s="441"/>
      <c r="AJ1035" s="441"/>
      <c r="AK1035" s="441"/>
      <c r="AL1035" s="441"/>
      <c r="AM1035" s="441"/>
      <c r="AN1035" s="441"/>
      <c r="AO1035" s="441"/>
    </row>
    <row r="1036" spans="1:41" ht="12.75" hidden="1" thickBot="1">
      <c r="A1036" s="2" t="s">
        <v>1279</v>
      </c>
      <c r="B1036" s="2" t="s">
        <v>1237</v>
      </c>
      <c r="C1036" s="2" t="s">
        <v>1238</v>
      </c>
      <c r="D1036" s="8" t="s">
        <v>567</v>
      </c>
      <c r="E1036" s="460"/>
      <c r="F1036" s="4"/>
      <c r="G1036" s="449"/>
      <c r="H1036" s="4"/>
      <c r="I1036" s="4"/>
      <c r="J1036" s="4"/>
      <c r="K1036" s="4"/>
      <c r="L1036" s="4"/>
      <c r="M1036" s="449"/>
      <c r="N1036" s="449"/>
      <c r="O1036" s="4"/>
      <c r="P1036" s="4"/>
      <c r="Q1036" s="449"/>
      <c r="R1036" s="449"/>
      <c r="S1036" s="445">
        <f t="shared" si="96"/>
        <v>0</v>
      </c>
      <c r="T1036" s="445">
        <f t="shared" si="97"/>
        <v>0</v>
      </c>
      <c r="U1036" s="445">
        <f t="shared" si="98"/>
        <v>0</v>
      </c>
      <c r="W1036" s="450"/>
      <c r="X1036" s="450"/>
      <c r="Y1036" s="441"/>
      <c r="Z1036" s="441"/>
      <c r="AA1036" s="441"/>
      <c r="AB1036" s="441"/>
      <c r="AC1036" s="441"/>
      <c r="AD1036" s="441"/>
      <c r="AE1036" s="441"/>
      <c r="AF1036" s="441"/>
      <c r="AG1036" s="441"/>
      <c r="AH1036" s="441"/>
      <c r="AI1036" s="441"/>
      <c r="AJ1036" s="441"/>
      <c r="AK1036" s="441"/>
      <c r="AL1036" s="441"/>
      <c r="AM1036" s="441"/>
      <c r="AN1036" s="441"/>
      <c r="AO1036" s="441"/>
    </row>
    <row r="1037" spans="1:41" ht="12.75" hidden="1" thickBot="1">
      <c r="A1037" s="2" t="s">
        <v>1279</v>
      </c>
      <c r="B1037" s="2" t="s">
        <v>319</v>
      </c>
      <c r="C1037" s="2" t="s">
        <v>1087</v>
      </c>
      <c r="D1037" s="8" t="s">
        <v>567</v>
      </c>
      <c r="E1037" s="459"/>
      <c r="F1037" s="6"/>
      <c r="G1037" s="6"/>
      <c r="H1037" s="6"/>
      <c r="I1037" s="6"/>
      <c r="J1037" s="6"/>
      <c r="K1037" s="6"/>
      <c r="L1037" s="6"/>
      <c r="M1037" s="6"/>
      <c r="N1037" s="6"/>
      <c r="O1037" s="6"/>
      <c r="P1037" s="6"/>
      <c r="Q1037" s="6"/>
      <c r="R1037" s="6"/>
      <c r="S1037" s="445">
        <f t="shared" si="96"/>
        <v>0</v>
      </c>
      <c r="T1037" s="445">
        <f t="shared" si="97"/>
        <v>0</v>
      </c>
      <c r="U1037" s="445">
        <f t="shared" si="98"/>
        <v>0</v>
      </c>
      <c r="W1037" s="450"/>
      <c r="X1037" s="450"/>
      <c r="Y1037" s="441"/>
      <c r="Z1037" s="441"/>
      <c r="AA1037" s="441"/>
      <c r="AB1037" s="441"/>
      <c r="AC1037" s="441"/>
      <c r="AD1037" s="441"/>
      <c r="AE1037" s="441"/>
      <c r="AF1037" s="441"/>
      <c r="AG1037" s="441"/>
      <c r="AH1037" s="441"/>
      <c r="AI1037" s="441"/>
      <c r="AJ1037" s="441"/>
      <c r="AK1037" s="441"/>
      <c r="AL1037" s="441"/>
      <c r="AM1037" s="441"/>
      <c r="AN1037" s="441"/>
      <c r="AO1037" s="441"/>
    </row>
    <row r="1038" spans="1:41" ht="12.75" hidden="1" thickBot="1">
      <c r="A1038" s="2" t="s">
        <v>1279</v>
      </c>
      <c r="B1038" s="2" t="s">
        <v>1225</v>
      </c>
      <c r="C1038" s="2" t="s">
        <v>1226</v>
      </c>
      <c r="D1038" s="8" t="s">
        <v>567</v>
      </c>
      <c r="E1038" s="460"/>
      <c r="F1038" s="4"/>
      <c r="G1038" s="449"/>
      <c r="H1038" s="4"/>
      <c r="I1038" s="4"/>
      <c r="J1038" s="4"/>
      <c r="K1038" s="4"/>
      <c r="L1038" s="4"/>
      <c r="M1038" s="449"/>
      <c r="N1038" s="449"/>
      <c r="O1038" s="4"/>
      <c r="P1038" s="4"/>
      <c r="Q1038" s="449"/>
      <c r="R1038" s="449"/>
      <c r="S1038" s="445">
        <f t="shared" si="96"/>
        <v>0</v>
      </c>
      <c r="T1038" s="445">
        <f t="shared" si="97"/>
        <v>0</v>
      </c>
      <c r="U1038" s="445">
        <f t="shared" si="98"/>
        <v>0</v>
      </c>
      <c r="W1038" s="450"/>
      <c r="X1038" s="450"/>
      <c r="Y1038" s="441"/>
      <c r="Z1038" s="441"/>
      <c r="AA1038" s="441"/>
      <c r="AB1038" s="441"/>
      <c r="AC1038" s="441"/>
      <c r="AD1038" s="441"/>
      <c r="AE1038" s="441"/>
      <c r="AF1038" s="441"/>
      <c r="AG1038" s="441"/>
      <c r="AH1038" s="441"/>
      <c r="AI1038" s="441"/>
      <c r="AJ1038" s="441"/>
      <c r="AK1038" s="441"/>
      <c r="AL1038" s="441"/>
      <c r="AM1038" s="441"/>
      <c r="AN1038" s="441"/>
      <c r="AO1038" s="441"/>
    </row>
    <row r="1039" spans="1:41" ht="12.75" hidden="1" thickBot="1">
      <c r="A1039" s="2" t="s">
        <v>1279</v>
      </c>
      <c r="B1039" s="2" t="s">
        <v>320</v>
      </c>
      <c r="C1039" s="2" t="s">
        <v>1088</v>
      </c>
      <c r="D1039" s="8" t="s">
        <v>567</v>
      </c>
      <c r="E1039" s="459"/>
      <c r="F1039" s="6"/>
      <c r="G1039" s="451"/>
      <c r="H1039" s="6"/>
      <c r="I1039" s="6"/>
      <c r="J1039" s="6"/>
      <c r="K1039" s="6"/>
      <c r="L1039" s="6"/>
      <c r="M1039" s="451"/>
      <c r="N1039" s="451"/>
      <c r="O1039" s="6"/>
      <c r="P1039" s="6"/>
      <c r="Q1039" s="451"/>
      <c r="R1039" s="451"/>
      <c r="S1039" s="445">
        <f t="shared" si="96"/>
        <v>0</v>
      </c>
      <c r="T1039" s="445">
        <f t="shared" si="97"/>
        <v>0</v>
      </c>
      <c r="U1039" s="445">
        <f t="shared" si="98"/>
        <v>0</v>
      </c>
      <c r="W1039" s="450"/>
      <c r="X1039" s="450"/>
      <c r="Y1039" s="441"/>
      <c r="Z1039" s="441"/>
      <c r="AA1039" s="441"/>
      <c r="AB1039" s="441"/>
      <c r="AC1039" s="441"/>
      <c r="AD1039" s="441"/>
      <c r="AE1039" s="441"/>
      <c r="AF1039" s="441"/>
      <c r="AG1039" s="441"/>
      <c r="AH1039" s="441"/>
      <c r="AI1039" s="441"/>
      <c r="AJ1039" s="441"/>
      <c r="AK1039" s="441"/>
      <c r="AL1039" s="441"/>
      <c r="AM1039" s="441"/>
      <c r="AN1039" s="441"/>
      <c r="AO1039" s="441"/>
    </row>
    <row r="1040" spans="1:41" ht="12.75" hidden="1" thickBot="1">
      <c r="A1040" s="2" t="s">
        <v>1279</v>
      </c>
      <c r="B1040" s="2" t="s">
        <v>321</v>
      </c>
      <c r="C1040" s="2" t="s">
        <v>1089</v>
      </c>
      <c r="D1040" s="8" t="s">
        <v>567</v>
      </c>
      <c r="E1040" s="460"/>
      <c r="F1040" s="4"/>
      <c r="G1040" s="4"/>
      <c r="H1040" s="4"/>
      <c r="I1040" s="4"/>
      <c r="J1040" s="4"/>
      <c r="K1040" s="4"/>
      <c r="L1040" s="4"/>
      <c r="M1040" s="4"/>
      <c r="N1040" s="4"/>
      <c r="O1040" s="4"/>
      <c r="P1040" s="4"/>
      <c r="Q1040" s="4"/>
      <c r="R1040" s="4"/>
      <c r="S1040" s="445">
        <f t="shared" si="96"/>
        <v>0</v>
      </c>
      <c r="T1040" s="445">
        <f t="shared" si="97"/>
        <v>0</v>
      </c>
      <c r="U1040" s="445">
        <f t="shared" si="98"/>
        <v>0</v>
      </c>
      <c r="W1040" s="450"/>
      <c r="X1040" s="450"/>
      <c r="Y1040" s="441"/>
      <c r="Z1040" s="441"/>
      <c r="AA1040" s="441"/>
      <c r="AB1040" s="441"/>
      <c r="AC1040" s="441"/>
      <c r="AD1040" s="441"/>
      <c r="AE1040" s="441"/>
      <c r="AF1040" s="441"/>
      <c r="AG1040" s="441"/>
      <c r="AH1040" s="441"/>
      <c r="AI1040" s="441"/>
      <c r="AJ1040" s="441"/>
      <c r="AK1040" s="441"/>
      <c r="AL1040" s="441"/>
      <c r="AM1040" s="441"/>
      <c r="AN1040" s="441"/>
      <c r="AO1040" s="441"/>
    </row>
    <row r="1041" spans="1:41" ht="12.75" hidden="1" thickBot="1">
      <c r="A1041" s="2" t="s">
        <v>1279</v>
      </c>
      <c r="B1041" s="2" t="s">
        <v>1227</v>
      </c>
      <c r="C1041" s="2" t="s">
        <v>1228</v>
      </c>
      <c r="D1041" s="8" t="s">
        <v>567</v>
      </c>
      <c r="E1041" s="459"/>
      <c r="F1041" s="6"/>
      <c r="G1041" s="451"/>
      <c r="H1041" s="6"/>
      <c r="I1041" s="6"/>
      <c r="J1041" s="6"/>
      <c r="K1041" s="6"/>
      <c r="L1041" s="6"/>
      <c r="M1041" s="451"/>
      <c r="N1041" s="451"/>
      <c r="O1041" s="6"/>
      <c r="P1041" s="6"/>
      <c r="Q1041" s="451"/>
      <c r="R1041" s="451"/>
      <c r="S1041" s="445">
        <f t="shared" si="96"/>
        <v>0</v>
      </c>
      <c r="T1041" s="445">
        <f t="shared" si="97"/>
        <v>0</v>
      </c>
      <c r="U1041" s="445">
        <f t="shared" si="98"/>
        <v>0</v>
      </c>
      <c r="W1041" s="450"/>
      <c r="X1041" s="450"/>
      <c r="Y1041" s="441"/>
      <c r="Z1041" s="441"/>
      <c r="AA1041" s="441"/>
      <c r="AB1041" s="441"/>
      <c r="AC1041" s="441"/>
      <c r="AD1041" s="441"/>
      <c r="AE1041" s="441"/>
      <c r="AF1041" s="441"/>
      <c r="AG1041" s="441"/>
      <c r="AH1041" s="441"/>
      <c r="AI1041" s="441"/>
      <c r="AJ1041" s="441"/>
      <c r="AK1041" s="441"/>
      <c r="AL1041" s="441"/>
      <c r="AM1041" s="441"/>
      <c r="AN1041" s="441"/>
      <c r="AO1041" s="441"/>
    </row>
    <row r="1042" spans="1:41" ht="12.75" hidden="1" thickBot="1">
      <c r="A1042" s="2" t="s">
        <v>1279</v>
      </c>
      <c r="B1042" s="2" t="s">
        <v>322</v>
      </c>
      <c r="C1042" s="2" t="s">
        <v>1090</v>
      </c>
      <c r="D1042" s="8" t="s">
        <v>567</v>
      </c>
      <c r="E1042" s="460"/>
      <c r="F1042" s="4"/>
      <c r="G1042" s="449"/>
      <c r="H1042" s="4"/>
      <c r="I1042" s="4"/>
      <c r="J1042" s="4"/>
      <c r="K1042" s="4"/>
      <c r="L1042" s="4"/>
      <c r="M1042" s="449"/>
      <c r="N1042" s="449"/>
      <c r="O1042" s="4"/>
      <c r="P1042" s="4"/>
      <c r="Q1042" s="449"/>
      <c r="R1042" s="449"/>
      <c r="S1042" s="445">
        <f t="shared" si="96"/>
        <v>0</v>
      </c>
      <c r="T1042" s="445">
        <f t="shared" si="97"/>
        <v>0</v>
      </c>
      <c r="U1042" s="445">
        <f t="shared" si="98"/>
        <v>0</v>
      </c>
      <c r="W1042" s="450"/>
      <c r="X1042" s="450"/>
      <c r="Y1042" s="441"/>
      <c r="Z1042" s="441"/>
      <c r="AA1042" s="441"/>
      <c r="AB1042" s="441"/>
      <c r="AC1042" s="441"/>
      <c r="AD1042" s="441"/>
      <c r="AE1042" s="441"/>
      <c r="AF1042" s="441"/>
      <c r="AG1042" s="441"/>
      <c r="AH1042" s="441"/>
      <c r="AI1042" s="441"/>
      <c r="AJ1042" s="441"/>
      <c r="AK1042" s="441"/>
      <c r="AL1042" s="441"/>
      <c r="AM1042" s="441"/>
      <c r="AN1042" s="441"/>
      <c r="AO1042" s="441"/>
    </row>
    <row r="1043" spans="1:41" ht="12.75" hidden="1" thickBot="1">
      <c r="A1043" s="2" t="s">
        <v>1279</v>
      </c>
      <c r="B1043" s="2" t="s">
        <v>323</v>
      </c>
      <c r="C1043" s="2" t="s">
        <v>1091</v>
      </c>
      <c r="D1043" s="453" t="s">
        <v>459</v>
      </c>
      <c r="E1043" s="459"/>
      <c r="F1043" s="6"/>
      <c r="G1043" s="451"/>
      <c r="H1043" s="6"/>
      <c r="I1043" s="6"/>
      <c r="J1043" s="6"/>
      <c r="K1043" s="6"/>
      <c r="L1043" s="6"/>
      <c r="M1043" s="451"/>
      <c r="N1043" s="451"/>
      <c r="O1043" s="6"/>
      <c r="P1043" s="6"/>
      <c r="Q1043" s="451"/>
      <c r="R1043" s="451"/>
      <c r="S1043" s="445">
        <f t="shared" si="96"/>
        <v>0</v>
      </c>
      <c r="T1043" s="445">
        <f t="shared" si="97"/>
        <v>0</v>
      </c>
      <c r="U1043" s="445">
        <f t="shared" si="98"/>
        <v>0</v>
      </c>
      <c r="W1043" s="450"/>
      <c r="X1043" s="450"/>
      <c r="Y1043" s="441"/>
      <c r="Z1043" s="441"/>
      <c r="AA1043" s="441"/>
      <c r="AB1043" s="441"/>
      <c r="AC1043" s="441"/>
      <c r="AD1043" s="441"/>
      <c r="AE1043" s="441"/>
      <c r="AF1043" s="441"/>
      <c r="AG1043" s="441"/>
      <c r="AH1043" s="441"/>
      <c r="AI1043" s="441"/>
      <c r="AJ1043" s="441"/>
      <c r="AK1043" s="441"/>
      <c r="AL1043" s="441"/>
      <c r="AM1043" s="441"/>
      <c r="AN1043" s="441"/>
      <c r="AO1043" s="441"/>
    </row>
    <row r="1044" spans="1:41" ht="12.75" hidden="1" thickBot="1">
      <c r="A1044" s="2" t="s">
        <v>1279</v>
      </c>
      <c r="B1044" s="2" t="s">
        <v>328</v>
      </c>
      <c r="C1044" s="2" t="s">
        <v>1092</v>
      </c>
      <c r="D1044" s="8" t="s">
        <v>567</v>
      </c>
      <c r="E1044" s="460"/>
      <c r="F1044" s="4"/>
      <c r="G1044" s="449"/>
      <c r="H1044" s="4"/>
      <c r="I1044" s="4"/>
      <c r="J1044" s="4"/>
      <c r="K1044" s="4"/>
      <c r="L1044" s="4"/>
      <c r="M1044" s="449"/>
      <c r="N1044" s="449"/>
      <c r="O1044" s="4"/>
      <c r="P1044" s="4"/>
      <c r="Q1044" s="449"/>
      <c r="R1044" s="449"/>
      <c r="S1044" s="445">
        <f t="shared" si="96"/>
        <v>0</v>
      </c>
      <c r="T1044" s="445">
        <f t="shared" si="97"/>
        <v>0</v>
      </c>
      <c r="U1044" s="445">
        <f t="shared" si="98"/>
        <v>0</v>
      </c>
      <c r="W1044" s="450"/>
      <c r="X1044" s="450"/>
      <c r="Y1044" s="441"/>
      <c r="Z1044" s="441"/>
      <c r="AA1044" s="441"/>
      <c r="AB1044" s="441"/>
      <c r="AC1044" s="441"/>
      <c r="AD1044" s="441"/>
      <c r="AE1044" s="441"/>
      <c r="AF1044" s="441"/>
      <c r="AG1044" s="441"/>
      <c r="AH1044" s="441"/>
      <c r="AI1044" s="441"/>
      <c r="AJ1044" s="441"/>
      <c r="AK1044" s="441"/>
      <c r="AL1044" s="441"/>
      <c r="AM1044" s="441"/>
      <c r="AN1044" s="441"/>
      <c r="AO1044" s="441"/>
    </row>
    <row r="1045" spans="1:41" ht="12.75" hidden="1" thickBot="1">
      <c r="A1045" s="2" t="s">
        <v>1279</v>
      </c>
      <c r="B1045" s="2" t="s">
        <v>329</v>
      </c>
      <c r="C1045" s="2" t="s">
        <v>1093</v>
      </c>
      <c r="D1045" s="453" t="s">
        <v>459</v>
      </c>
      <c r="E1045" s="459"/>
      <c r="F1045" s="6"/>
      <c r="G1045" s="451"/>
      <c r="H1045" s="6"/>
      <c r="I1045" s="6"/>
      <c r="J1045" s="6"/>
      <c r="K1045" s="6"/>
      <c r="L1045" s="6"/>
      <c r="M1045" s="451"/>
      <c r="N1045" s="451"/>
      <c r="O1045" s="6"/>
      <c r="P1045" s="6"/>
      <c r="Q1045" s="451"/>
      <c r="R1045" s="451"/>
      <c r="S1045" s="445">
        <f t="shared" si="96"/>
        <v>0</v>
      </c>
      <c r="T1045" s="445">
        <f t="shared" si="97"/>
        <v>0</v>
      </c>
      <c r="U1045" s="445">
        <f t="shared" si="98"/>
        <v>0</v>
      </c>
      <c r="W1045" s="450"/>
      <c r="X1045" s="450"/>
      <c r="Y1045" s="441"/>
      <c r="Z1045" s="441"/>
      <c r="AA1045" s="441"/>
      <c r="AB1045" s="441"/>
      <c r="AC1045" s="441"/>
      <c r="AD1045" s="441"/>
      <c r="AE1045" s="441"/>
      <c r="AF1045" s="441"/>
      <c r="AG1045" s="441"/>
      <c r="AH1045" s="441"/>
      <c r="AI1045" s="441"/>
      <c r="AJ1045" s="441"/>
      <c r="AK1045" s="441"/>
      <c r="AL1045" s="441"/>
      <c r="AM1045" s="441"/>
      <c r="AN1045" s="441"/>
      <c r="AO1045" s="441"/>
    </row>
    <row r="1046" spans="1:41" ht="12.75" hidden="1" thickBot="1">
      <c r="A1046" s="2" t="s">
        <v>1279</v>
      </c>
      <c r="B1046" s="2" t="s">
        <v>330</v>
      </c>
      <c r="C1046" s="2" t="s">
        <v>1094</v>
      </c>
      <c r="D1046" s="8" t="s">
        <v>567</v>
      </c>
      <c r="E1046" s="460"/>
      <c r="F1046" s="4"/>
      <c r="G1046" s="449"/>
      <c r="H1046" s="4"/>
      <c r="I1046" s="4"/>
      <c r="J1046" s="4"/>
      <c r="K1046" s="4"/>
      <c r="L1046" s="4"/>
      <c r="M1046" s="449"/>
      <c r="N1046" s="449"/>
      <c r="O1046" s="4"/>
      <c r="P1046" s="4"/>
      <c r="Q1046" s="449"/>
      <c r="R1046" s="449"/>
      <c r="S1046" s="445">
        <f t="shared" si="96"/>
        <v>0</v>
      </c>
      <c r="T1046" s="445">
        <f t="shared" si="97"/>
        <v>0</v>
      </c>
      <c r="U1046" s="445">
        <f t="shared" si="98"/>
        <v>0</v>
      </c>
      <c r="W1046" s="450"/>
      <c r="X1046" s="450"/>
      <c r="Y1046" s="441"/>
      <c r="Z1046" s="441"/>
      <c r="AA1046" s="441"/>
      <c r="AB1046" s="441"/>
      <c r="AC1046" s="441"/>
      <c r="AD1046" s="441"/>
      <c r="AE1046" s="441"/>
      <c r="AF1046" s="441"/>
      <c r="AG1046" s="441"/>
      <c r="AH1046" s="441"/>
      <c r="AI1046" s="441"/>
      <c r="AJ1046" s="441"/>
      <c r="AK1046" s="441"/>
      <c r="AL1046" s="441"/>
      <c r="AM1046" s="441"/>
      <c r="AN1046" s="441"/>
      <c r="AO1046" s="441"/>
    </row>
    <row r="1047" spans="1:41" ht="12.75" hidden="1" thickBot="1">
      <c r="A1047" s="2" t="s">
        <v>1279</v>
      </c>
      <c r="B1047" s="2" t="s">
        <v>331</v>
      </c>
      <c r="C1047" s="2" t="s">
        <v>1095</v>
      </c>
      <c r="D1047" s="453" t="s">
        <v>459</v>
      </c>
      <c r="E1047" s="459"/>
      <c r="F1047" s="6"/>
      <c r="G1047" s="451"/>
      <c r="H1047" s="6"/>
      <c r="I1047" s="6"/>
      <c r="J1047" s="6"/>
      <c r="K1047" s="6"/>
      <c r="L1047" s="6"/>
      <c r="M1047" s="451"/>
      <c r="N1047" s="451"/>
      <c r="O1047" s="6"/>
      <c r="P1047" s="6"/>
      <c r="Q1047" s="451"/>
      <c r="R1047" s="451"/>
      <c r="S1047" s="445">
        <f t="shared" si="96"/>
        <v>0</v>
      </c>
      <c r="T1047" s="445">
        <f t="shared" si="97"/>
        <v>0</v>
      </c>
      <c r="U1047" s="445">
        <f t="shared" si="98"/>
        <v>0</v>
      </c>
      <c r="W1047" s="450"/>
      <c r="X1047" s="450"/>
      <c r="Y1047" s="441"/>
      <c r="Z1047" s="441"/>
      <c r="AA1047" s="441"/>
      <c r="AB1047" s="441"/>
      <c r="AC1047" s="441"/>
      <c r="AD1047" s="441"/>
      <c r="AE1047" s="441"/>
      <c r="AF1047" s="441"/>
      <c r="AG1047" s="441"/>
      <c r="AH1047" s="441"/>
      <c r="AI1047" s="441"/>
      <c r="AJ1047" s="441"/>
      <c r="AK1047" s="441"/>
      <c r="AL1047" s="441"/>
      <c r="AM1047" s="441"/>
      <c r="AN1047" s="441"/>
      <c r="AO1047" s="441"/>
    </row>
    <row r="1048" spans="1:41" ht="12.75" hidden="1" thickBot="1">
      <c r="A1048" s="2" t="s">
        <v>1279</v>
      </c>
      <c r="B1048" s="2" t="s">
        <v>332</v>
      </c>
      <c r="C1048" s="2" t="s">
        <v>1096</v>
      </c>
      <c r="D1048" s="453" t="s">
        <v>459</v>
      </c>
      <c r="E1048" s="460"/>
      <c r="F1048" s="4"/>
      <c r="G1048" s="449"/>
      <c r="H1048" s="4"/>
      <c r="I1048" s="4"/>
      <c r="J1048" s="4"/>
      <c r="K1048" s="4"/>
      <c r="L1048" s="4"/>
      <c r="M1048" s="449"/>
      <c r="N1048" s="449"/>
      <c r="O1048" s="4"/>
      <c r="P1048" s="4"/>
      <c r="Q1048" s="449"/>
      <c r="R1048" s="449"/>
      <c r="S1048" s="445">
        <f t="shared" si="96"/>
        <v>0</v>
      </c>
      <c r="T1048" s="445">
        <f t="shared" si="97"/>
        <v>0</v>
      </c>
      <c r="U1048" s="445">
        <f t="shared" si="98"/>
        <v>0</v>
      </c>
      <c r="W1048" s="450"/>
      <c r="X1048" s="450"/>
      <c r="Y1048" s="441"/>
      <c r="Z1048" s="441"/>
      <c r="AA1048" s="441"/>
      <c r="AB1048" s="441"/>
      <c r="AC1048" s="441"/>
      <c r="AD1048" s="441"/>
      <c r="AE1048" s="441"/>
      <c r="AF1048" s="441"/>
      <c r="AG1048" s="441"/>
      <c r="AH1048" s="441"/>
      <c r="AI1048" s="441"/>
      <c r="AJ1048" s="441"/>
      <c r="AK1048" s="441"/>
      <c r="AL1048" s="441"/>
      <c r="AM1048" s="441"/>
      <c r="AN1048" s="441"/>
      <c r="AO1048" s="441"/>
    </row>
    <row r="1049" spans="1:41" ht="12.75" hidden="1" thickBot="1">
      <c r="A1049" s="2" t="s">
        <v>1279</v>
      </c>
      <c r="B1049" s="2" t="s">
        <v>333</v>
      </c>
      <c r="C1049" s="2" t="s">
        <v>1097</v>
      </c>
      <c r="D1049" s="8" t="s">
        <v>567</v>
      </c>
      <c r="E1049" s="459"/>
      <c r="F1049" s="6"/>
      <c r="G1049" s="451"/>
      <c r="H1049" s="6"/>
      <c r="I1049" s="6"/>
      <c r="J1049" s="6"/>
      <c r="K1049" s="6"/>
      <c r="L1049" s="6"/>
      <c r="M1049" s="451"/>
      <c r="N1049" s="451"/>
      <c r="O1049" s="6"/>
      <c r="P1049" s="6"/>
      <c r="Q1049" s="451"/>
      <c r="R1049" s="451"/>
      <c r="S1049" s="445">
        <f t="shared" si="96"/>
        <v>0</v>
      </c>
      <c r="T1049" s="445">
        <f t="shared" si="97"/>
        <v>0</v>
      </c>
      <c r="U1049" s="445">
        <f t="shared" si="98"/>
        <v>0</v>
      </c>
      <c r="W1049" s="450"/>
      <c r="X1049" s="450"/>
      <c r="Y1049" s="441"/>
      <c r="Z1049" s="441"/>
      <c r="AA1049" s="441"/>
      <c r="AB1049" s="441"/>
      <c r="AC1049" s="441"/>
      <c r="AD1049" s="441"/>
      <c r="AE1049" s="441"/>
      <c r="AF1049" s="441"/>
      <c r="AG1049" s="441"/>
      <c r="AH1049" s="441"/>
      <c r="AI1049" s="441"/>
      <c r="AJ1049" s="441"/>
      <c r="AK1049" s="441"/>
      <c r="AL1049" s="441"/>
      <c r="AM1049" s="441"/>
      <c r="AN1049" s="441"/>
      <c r="AO1049" s="441"/>
    </row>
    <row r="1050" spans="1:41" ht="12.75" hidden="1" thickBot="1">
      <c r="A1050" s="2" t="s">
        <v>1279</v>
      </c>
      <c r="B1050" s="2" t="s">
        <v>334</v>
      </c>
      <c r="C1050" s="2" t="s">
        <v>1098</v>
      </c>
      <c r="D1050" s="453" t="s">
        <v>459</v>
      </c>
      <c r="E1050" s="460"/>
      <c r="F1050" s="4"/>
      <c r="G1050" s="449"/>
      <c r="H1050" s="4"/>
      <c r="I1050" s="4"/>
      <c r="J1050" s="4"/>
      <c r="K1050" s="4"/>
      <c r="L1050" s="4"/>
      <c r="M1050" s="449"/>
      <c r="N1050" s="449"/>
      <c r="O1050" s="4"/>
      <c r="P1050" s="4"/>
      <c r="Q1050" s="449"/>
      <c r="R1050" s="449"/>
      <c r="S1050" s="445">
        <f t="shared" si="96"/>
        <v>0</v>
      </c>
      <c r="T1050" s="445">
        <f t="shared" si="97"/>
        <v>0</v>
      </c>
      <c r="U1050" s="445">
        <f t="shared" si="98"/>
        <v>0</v>
      </c>
      <c r="W1050" s="450"/>
      <c r="X1050" s="450"/>
      <c r="Y1050" s="441"/>
      <c r="Z1050" s="441"/>
      <c r="AA1050" s="441"/>
      <c r="AB1050" s="441"/>
      <c r="AC1050" s="441"/>
      <c r="AD1050" s="441"/>
      <c r="AE1050" s="441"/>
      <c r="AF1050" s="441"/>
      <c r="AG1050" s="441"/>
      <c r="AH1050" s="441"/>
      <c r="AI1050" s="441"/>
      <c r="AJ1050" s="441"/>
      <c r="AK1050" s="441"/>
      <c r="AL1050" s="441"/>
      <c r="AM1050" s="441"/>
      <c r="AN1050" s="441"/>
      <c r="AO1050" s="441"/>
    </row>
    <row r="1051" spans="1:41" ht="12.75" hidden="1" thickBot="1">
      <c r="A1051" s="2" t="s">
        <v>1279</v>
      </c>
      <c r="B1051" s="2" t="s">
        <v>620</v>
      </c>
      <c r="C1051" s="2" t="s">
        <v>1099</v>
      </c>
      <c r="D1051" s="8" t="s">
        <v>567</v>
      </c>
      <c r="E1051" s="459"/>
      <c r="F1051" s="6"/>
      <c r="G1051" s="451"/>
      <c r="H1051" s="6"/>
      <c r="I1051" s="6"/>
      <c r="J1051" s="6"/>
      <c r="K1051" s="6"/>
      <c r="L1051" s="6"/>
      <c r="M1051" s="451"/>
      <c r="N1051" s="451"/>
      <c r="O1051" s="6"/>
      <c r="P1051" s="6"/>
      <c r="Q1051" s="451"/>
      <c r="R1051" s="451"/>
      <c r="S1051" s="445">
        <f t="shared" si="96"/>
        <v>0</v>
      </c>
      <c r="T1051" s="445">
        <f t="shared" si="97"/>
        <v>0</v>
      </c>
      <c r="U1051" s="445">
        <f t="shared" si="98"/>
        <v>0</v>
      </c>
      <c r="W1051" s="450"/>
      <c r="X1051" s="450"/>
      <c r="Y1051" s="441"/>
      <c r="Z1051" s="441"/>
      <c r="AA1051" s="441"/>
      <c r="AB1051" s="441"/>
      <c r="AC1051" s="441"/>
      <c r="AD1051" s="441"/>
      <c r="AE1051" s="441"/>
      <c r="AF1051" s="441"/>
      <c r="AG1051" s="441"/>
      <c r="AH1051" s="441"/>
      <c r="AI1051" s="441"/>
      <c r="AJ1051" s="441"/>
      <c r="AK1051" s="441"/>
      <c r="AL1051" s="441"/>
      <c r="AM1051" s="441"/>
      <c r="AN1051" s="441"/>
      <c r="AO1051" s="441"/>
    </row>
    <row r="1052" spans="1:41" ht="12.75" hidden="1" thickBot="1">
      <c r="A1052" s="2" t="s">
        <v>1279</v>
      </c>
      <c r="B1052" s="2" t="s">
        <v>360</v>
      </c>
      <c r="C1052" s="2" t="s">
        <v>1100</v>
      </c>
      <c r="D1052" s="8" t="s">
        <v>567</v>
      </c>
      <c r="E1052" s="460"/>
      <c r="F1052" s="4"/>
      <c r="G1052" s="449"/>
      <c r="H1052" s="4"/>
      <c r="I1052" s="4"/>
      <c r="J1052" s="4"/>
      <c r="K1052" s="4"/>
      <c r="L1052" s="4"/>
      <c r="M1052" s="449"/>
      <c r="N1052" s="449"/>
      <c r="O1052" s="4"/>
      <c r="P1052" s="4"/>
      <c r="Q1052" s="449"/>
      <c r="R1052" s="449"/>
      <c r="S1052" s="445">
        <f t="shared" si="96"/>
        <v>0</v>
      </c>
      <c r="T1052" s="445">
        <f t="shared" si="97"/>
        <v>0</v>
      </c>
      <c r="U1052" s="445">
        <f t="shared" si="98"/>
        <v>0</v>
      </c>
      <c r="W1052" s="450"/>
      <c r="X1052" s="450"/>
      <c r="Y1052" s="441"/>
      <c r="Z1052" s="441"/>
      <c r="AA1052" s="441"/>
      <c r="AB1052" s="441"/>
      <c r="AC1052" s="441"/>
      <c r="AD1052" s="441"/>
      <c r="AE1052" s="441"/>
      <c r="AF1052" s="441"/>
      <c r="AG1052" s="441"/>
      <c r="AH1052" s="441"/>
      <c r="AI1052" s="441"/>
      <c r="AJ1052" s="441"/>
      <c r="AK1052" s="441"/>
      <c r="AL1052" s="441"/>
      <c r="AM1052" s="441"/>
      <c r="AN1052" s="441"/>
      <c r="AO1052" s="441"/>
    </row>
    <row r="1053" spans="1:41" ht="12.75" hidden="1" thickBot="1">
      <c r="A1053" s="2" t="s">
        <v>1279</v>
      </c>
      <c r="B1053" s="2" t="s">
        <v>335</v>
      </c>
      <c r="C1053" s="2" t="s">
        <v>1101</v>
      </c>
      <c r="D1053" s="8" t="s">
        <v>567</v>
      </c>
      <c r="E1053" s="459"/>
      <c r="F1053" s="6"/>
      <c r="G1053" s="451"/>
      <c r="H1053" s="6"/>
      <c r="I1053" s="6"/>
      <c r="J1053" s="6"/>
      <c r="K1053" s="6"/>
      <c r="L1053" s="6"/>
      <c r="M1053" s="451"/>
      <c r="N1053" s="451"/>
      <c r="O1053" s="6"/>
      <c r="P1053" s="6"/>
      <c r="Q1053" s="451"/>
      <c r="R1053" s="451"/>
      <c r="S1053" s="445">
        <f t="shared" si="96"/>
        <v>0</v>
      </c>
      <c r="T1053" s="445">
        <f t="shared" si="97"/>
        <v>0</v>
      </c>
      <c r="U1053" s="445">
        <f t="shared" si="98"/>
        <v>0</v>
      </c>
      <c r="W1053" s="450"/>
      <c r="X1053" s="450"/>
      <c r="Y1053" s="441"/>
      <c r="Z1053" s="441"/>
      <c r="AA1053" s="441"/>
      <c r="AB1053" s="441"/>
      <c r="AC1053" s="441"/>
      <c r="AD1053" s="441"/>
      <c r="AE1053" s="441"/>
      <c r="AF1053" s="441"/>
      <c r="AG1053" s="441"/>
      <c r="AH1053" s="441"/>
      <c r="AI1053" s="441"/>
      <c r="AJ1053" s="441"/>
      <c r="AK1053" s="441"/>
      <c r="AL1053" s="441"/>
      <c r="AM1053" s="441"/>
      <c r="AN1053" s="441"/>
      <c r="AO1053" s="441"/>
    </row>
    <row r="1054" spans="1:41" ht="12.75" hidden="1" thickBot="1">
      <c r="A1054" s="2" t="s">
        <v>1279</v>
      </c>
      <c r="B1054" s="2" t="s">
        <v>336</v>
      </c>
      <c r="C1054" s="2" t="s">
        <v>1102</v>
      </c>
      <c r="D1054" s="8" t="s">
        <v>567</v>
      </c>
      <c r="E1054" s="460"/>
      <c r="F1054" s="4"/>
      <c r="G1054" s="449"/>
      <c r="H1054" s="4"/>
      <c r="I1054" s="4"/>
      <c r="J1054" s="4"/>
      <c r="K1054" s="4"/>
      <c r="L1054" s="4"/>
      <c r="M1054" s="449"/>
      <c r="N1054" s="449"/>
      <c r="O1054" s="4"/>
      <c r="P1054" s="4"/>
      <c r="Q1054" s="449"/>
      <c r="R1054" s="449"/>
      <c r="S1054" s="445">
        <f t="shared" si="96"/>
        <v>0</v>
      </c>
      <c r="T1054" s="445">
        <f t="shared" si="97"/>
        <v>0</v>
      </c>
      <c r="U1054" s="445">
        <f t="shared" si="98"/>
        <v>0</v>
      </c>
      <c r="W1054" s="450"/>
      <c r="X1054" s="450"/>
      <c r="Y1054" s="441"/>
      <c r="Z1054" s="441"/>
      <c r="AA1054" s="441"/>
      <c r="AB1054" s="441"/>
      <c r="AC1054" s="441"/>
      <c r="AD1054" s="441"/>
      <c r="AE1054" s="441"/>
      <c r="AF1054" s="441"/>
      <c r="AG1054" s="441"/>
      <c r="AH1054" s="441"/>
      <c r="AI1054" s="441"/>
      <c r="AJ1054" s="441"/>
      <c r="AK1054" s="441"/>
      <c r="AL1054" s="441"/>
      <c r="AM1054" s="441"/>
      <c r="AN1054" s="441"/>
      <c r="AO1054" s="441"/>
    </row>
    <row r="1055" spans="1:41" ht="12.75" hidden="1" thickBot="1">
      <c r="A1055" s="2" t="s">
        <v>1279</v>
      </c>
      <c r="B1055" s="2" t="s">
        <v>337</v>
      </c>
      <c r="C1055" s="2" t="s">
        <v>1103</v>
      </c>
      <c r="D1055" s="8" t="s">
        <v>567</v>
      </c>
      <c r="E1055" s="459"/>
      <c r="F1055" s="6"/>
      <c r="G1055" s="451"/>
      <c r="H1055" s="6"/>
      <c r="I1055" s="6"/>
      <c r="J1055" s="6"/>
      <c r="K1055" s="6"/>
      <c r="L1055" s="6"/>
      <c r="M1055" s="451"/>
      <c r="N1055" s="451"/>
      <c r="O1055" s="6"/>
      <c r="P1055" s="6"/>
      <c r="Q1055" s="451"/>
      <c r="R1055" s="451"/>
      <c r="S1055" s="445">
        <f t="shared" si="96"/>
        <v>0</v>
      </c>
      <c r="T1055" s="445">
        <f t="shared" si="97"/>
        <v>0</v>
      </c>
      <c r="U1055" s="445">
        <f t="shared" si="98"/>
        <v>0</v>
      </c>
      <c r="W1055" s="450"/>
      <c r="X1055" s="450"/>
      <c r="Y1055" s="441"/>
      <c r="Z1055" s="441"/>
      <c r="AA1055" s="441"/>
      <c r="AB1055" s="441"/>
      <c r="AC1055" s="441"/>
      <c r="AD1055" s="441"/>
      <c r="AE1055" s="441"/>
      <c r="AF1055" s="441"/>
      <c r="AG1055" s="441"/>
      <c r="AH1055" s="441"/>
      <c r="AI1055" s="441"/>
      <c r="AJ1055" s="441"/>
      <c r="AK1055" s="441"/>
      <c r="AL1055" s="441"/>
      <c r="AM1055" s="441"/>
      <c r="AN1055" s="441"/>
      <c r="AO1055" s="441"/>
    </row>
    <row r="1056" spans="1:41" ht="12.75" hidden="1" thickBot="1">
      <c r="A1056" s="2" t="s">
        <v>1279</v>
      </c>
      <c r="B1056" s="454" t="s">
        <v>7</v>
      </c>
      <c r="C1056" s="455"/>
      <c r="D1056" s="7"/>
      <c r="E1056" s="7"/>
      <c r="F1056" s="456"/>
      <c r="G1056" s="456"/>
      <c r="H1056" s="456"/>
      <c r="I1056" s="456"/>
      <c r="J1056" s="456"/>
      <c r="K1056" s="456"/>
      <c r="L1056" s="456"/>
      <c r="M1056" s="456"/>
      <c r="N1056" s="456"/>
      <c r="O1056" s="456"/>
      <c r="P1056" s="456"/>
      <c r="Q1056" s="456"/>
      <c r="R1056" s="456"/>
      <c r="S1056" s="445">
        <f t="shared" si="96"/>
        <v>0</v>
      </c>
      <c r="T1056" s="445">
        <f t="shared" si="97"/>
        <v>0</v>
      </c>
      <c r="U1056" s="445">
        <f t="shared" si="98"/>
        <v>0</v>
      </c>
      <c r="W1056" s="450"/>
      <c r="X1056" s="450"/>
      <c r="Y1056" s="441"/>
      <c r="Z1056" s="441"/>
      <c r="AA1056" s="441"/>
      <c r="AB1056" s="441"/>
      <c r="AC1056" s="441"/>
      <c r="AD1056" s="441"/>
      <c r="AE1056" s="441"/>
      <c r="AF1056" s="441"/>
      <c r="AG1056" s="441"/>
      <c r="AH1056" s="441"/>
      <c r="AI1056" s="441"/>
      <c r="AJ1056" s="441"/>
      <c r="AK1056" s="441"/>
      <c r="AL1056" s="441"/>
      <c r="AM1056" s="441"/>
      <c r="AN1056" s="441"/>
      <c r="AO1056" s="441"/>
    </row>
    <row r="1057" spans="1:41" ht="12.75" hidden="1" thickBot="1">
      <c r="A1057" s="2" t="s">
        <v>1280</v>
      </c>
      <c r="B1057" s="2" t="s">
        <v>797</v>
      </c>
      <c r="C1057" s="2" t="s">
        <v>1031</v>
      </c>
      <c r="D1057" s="8" t="s">
        <v>830</v>
      </c>
      <c r="E1057" s="457"/>
      <c r="F1057" s="4"/>
      <c r="G1057" s="4"/>
      <c r="H1057" s="4"/>
      <c r="I1057" s="4"/>
      <c r="J1057" s="4"/>
      <c r="K1057" s="4"/>
      <c r="L1057" s="4"/>
      <c r="M1057" s="4"/>
      <c r="N1057" s="4"/>
      <c r="O1057" s="4"/>
      <c r="P1057" s="4"/>
      <c r="Q1057" s="4"/>
      <c r="R1057" s="449"/>
      <c r="S1057" s="445">
        <f t="shared" si="96"/>
        <v>0</v>
      </c>
      <c r="T1057" s="445">
        <f t="shared" si="97"/>
        <v>0</v>
      </c>
      <c r="U1057" s="445">
        <f t="shared" si="98"/>
        <v>0</v>
      </c>
      <c r="W1057" s="450"/>
      <c r="X1057" s="450"/>
      <c r="Y1057" s="441"/>
      <c r="Z1057" s="441"/>
      <c r="AA1057" s="441"/>
      <c r="AB1057" s="441"/>
      <c r="AC1057" s="441"/>
      <c r="AD1057" s="441"/>
      <c r="AE1057" s="441"/>
      <c r="AF1057" s="441"/>
      <c r="AG1057" s="441"/>
      <c r="AH1057" s="441"/>
      <c r="AI1057" s="441"/>
      <c r="AJ1057" s="441"/>
      <c r="AK1057" s="441"/>
      <c r="AL1057" s="441"/>
      <c r="AM1057" s="441"/>
      <c r="AN1057" s="441"/>
      <c r="AO1057" s="441"/>
    </row>
    <row r="1058" spans="1:41" ht="12.75" hidden="1" thickBot="1">
      <c r="A1058" s="2" t="s">
        <v>1280</v>
      </c>
      <c r="B1058" s="2" t="s">
        <v>797</v>
      </c>
      <c r="C1058" s="2" t="s">
        <v>798</v>
      </c>
      <c r="D1058" s="8" t="s">
        <v>830</v>
      </c>
      <c r="E1058" s="458"/>
      <c r="F1058" s="6"/>
      <c r="G1058" s="6"/>
      <c r="H1058" s="6"/>
      <c r="I1058" s="6"/>
      <c r="J1058" s="6"/>
      <c r="K1058" s="6"/>
      <c r="L1058" s="6"/>
      <c r="M1058" s="6"/>
      <c r="N1058" s="6"/>
      <c r="O1058" s="6"/>
      <c r="P1058" s="6"/>
      <c r="Q1058" s="6"/>
      <c r="R1058" s="451"/>
      <c r="S1058" s="445">
        <f t="shared" si="96"/>
        <v>0</v>
      </c>
      <c r="T1058" s="445">
        <f t="shared" si="97"/>
        <v>0</v>
      </c>
      <c r="U1058" s="445">
        <f t="shared" si="98"/>
        <v>0</v>
      </c>
      <c r="W1058" s="450"/>
      <c r="X1058" s="450"/>
      <c r="Y1058" s="441"/>
      <c r="Z1058" s="441"/>
      <c r="AA1058" s="441"/>
      <c r="AB1058" s="441"/>
      <c r="AC1058" s="441"/>
      <c r="AD1058" s="441"/>
      <c r="AE1058" s="441"/>
      <c r="AF1058" s="441"/>
      <c r="AG1058" s="441"/>
      <c r="AH1058" s="441"/>
      <c r="AI1058" s="441"/>
      <c r="AJ1058" s="441"/>
      <c r="AK1058" s="441"/>
      <c r="AL1058" s="441"/>
      <c r="AM1058" s="441"/>
      <c r="AN1058" s="441"/>
      <c r="AO1058" s="441"/>
    </row>
    <row r="1059" spans="1:41" ht="12.75" hidden="1" thickBot="1">
      <c r="A1059" s="2" t="s">
        <v>1280</v>
      </c>
      <c r="B1059" s="2" t="s">
        <v>793</v>
      </c>
      <c r="C1059" s="2" t="s">
        <v>1032</v>
      </c>
      <c r="D1059" s="8" t="s">
        <v>793</v>
      </c>
      <c r="E1059" s="3">
        <f t="shared" ref="E1059:R1078" si="99">ROUND(SUMIFS(E$1410:E$1613,$A$1410:$A$1613,$A1059,$B$1410:$B$1613,$B1059),0)</f>
        <v>8830823</v>
      </c>
      <c r="F1059" s="452">
        <f t="shared" si="99"/>
        <v>0</v>
      </c>
      <c r="G1059" s="452">
        <f t="shared" si="99"/>
        <v>1292542</v>
      </c>
      <c r="H1059" s="452">
        <f t="shared" si="99"/>
        <v>240640</v>
      </c>
      <c r="I1059" s="452">
        <f t="shared" si="99"/>
        <v>0</v>
      </c>
      <c r="J1059" s="452">
        <f t="shared" si="99"/>
        <v>0</v>
      </c>
      <c r="K1059" s="452">
        <f t="shared" si="99"/>
        <v>0</v>
      </c>
      <c r="L1059" s="452">
        <f t="shared" si="99"/>
        <v>0</v>
      </c>
      <c r="M1059" s="452">
        <f t="shared" si="99"/>
        <v>-1915</v>
      </c>
      <c r="N1059" s="452">
        <f t="shared" si="99"/>
        <v>84314</v>
      </c>
      <c r="O1059" s="452">
        <f t="shared" si="99"/>
        <v>0</v>
      </c>
      <c r="P1059" s="452">
        <f t="shared" si="99"/>
        <v>0</v>
      </c>
      <c r="Q1059" s="452"/>
      <c r="R1059" s="452">
        <f t="shared" si="99"/>
        <v>1615581</v>
      </c>
      <c r="S1059" s="445">
        <f t="shared" si="96"/>
        <v>1533182</v>
      </c>
      <c r="T1059" s="445">
        <f t="shared" si="97"/>
        <v>0</v>
      </c>
      <c r="U1059" s="445">
        <f t="shared" si="98"/>
        <v>84314</v>
      </c>
      <c r="W1059" s="450"/>
      <c r="X1059" s="450"/>
      <c r="Y1059" s="441"/>
      <c r="Z1059" s="441"/>
      <c r="AA1059" s="441"/>
      <c r="AB1059" s="441"/>
      <c r="AC1059" s="441"/>
      <c r="AD1059" s="441"/>
      <c r="AE1059" s="441"/>
      <c r="AF1059" s="441"/>
      <c r="AG1059" s="441"/>
      <c r="AH1059" s="441"/>
      <c r="AI1059" s="441"/>
      <c r="AJ1059" s="441"/>
      <c r="AK1059" s="441"/>
      <c r="AL1059" s="441"/>
      <c r="AM1059" s="441"/>
      <c r="AN1059" s="441"/>
      <c r="AO1059" s="441"/>
    </row>
    <row r="1060" spans="1:41" ht="12.75" hidden="1" thickBot="1">
      <c r="A1060" s="2" t="s">
        <v>1280</v>
      </c>
      <c r="B1060" s="2" t="s">
        <v>1111</v>
      </c>
      <c r="C1060" s="2" t="s">
        <v>1199</v>
      </c>
      <c r="D1060" s="8" t="s">
        <v>830</v>
      </c>
      <c r="E1060" s="3">
        <f t="shared" si="99"/>
        <v>0</v>
      </c>
      <c r="F1060" s="452">
        <f t="shared" si="99"/>
        <v>0</v>
      </c>
      <c r="G1060" s="452">
        <f t="shared" si="99"/>
        <v>0</v>
      </c>
      <c r="H1060" s="452">
        <f t="shared" si="99"/>
        <v>0</v>
      </c>
      <c r="I1060" s="452">
        <f t="shared" si="99"/>
        <v>0</v>
      </c>
      <c r="J1060" s="452">
        <f t="shared" si="99"/>
        <v>0</v>
      </c>
      <c r="K1060" s="452">
        <f t="shared" si="99"/>
        <v>0</v>
      </c>
      <c r="L1060" s="452">
        <f t="shared" si="99"/>
        <v>0</v>
      </c>
      <c r="M1060" s="452">
        <f t="shared" si="99"/>
        <v>0</v>
      </c>
      <c r="N1060" s="452">
        <f t="shared" si="99"/>
        <v>0</v>
      </c>
      <c r="O1060" s="452">
        <f t="shared" si="99"/>
        <v>0</v>
      </c>
      <c r="P1060" s="452">
        <f t="shared" si="99"/>
        <v>0</v>
      </c>
      <c r="Q1060" s="452"/>
      <c r="R1060" s="452">
        <f t="shared" si="99"/>
        <v>0</v>
      </c>
      <c r="S1060" s="445">
        <f t="shared" si="96"/>
        <v>0</v>
      </c>
      <c r="T1060" s="445">
        <f t="shared" si="97"/>
        <v>0</v>
      </c>
      <c r="U1060" s="445">
        <f t="shared" si="98"/>
        <v>0</v>
      </c>
      <c r="W1060" s="450"/>
      <c r="X1060" s="450"/>
      <c r="Y1060" s="441"/>
      <c r="Z1060" s="441"/>
      <c r="AA1060" s="441"/>
      <c r="AB1060" s="441"/>
      <c r="AC1060" s="441"/>
      <c r="AD1060" s="441"/>
      <c r="AE1060" s="441"/>
      <c r="AF1060" s="441"/>
      <c r="AG1060" s="441"/>
      <c r="AH1060" s="441"/>
      <c r="AI1060" s="441"/>
      <c r="AJ1060" s="441"/>
      <c r="AK1060" s="441"/>
      <c r="AL1060" s="441"/>
      <c r="AM1060" s="441"/>
      <c r="AN1060" s="441"/>
      <c r="AO1060" s="441"/>
    </row>
    <row r="1061" spans="1:41" ht="12.75" hidden="1" thickBot="1">
      <c r="A1061" s="2" t="s">
        <v>1280</v>
      </c>
      <c r="B1061" s="2" t="s">
        <v>801</v>
      </c>
      <c r="C1061" s="2" t="s">
        <v>1243</v>
      </c>
      <c r="D1061" s="8" t="s">
        <v>1205</v>
      </c>
      <c r="E1061" s="3">
        <f t="shared" si="99"/>
        <v>0</v>
      </c>
      <c r="F1061" s="452">
        <f t="shared" si="99"/>
        <v>0</v>
      </c>
      <c r="G1061" s="452">
        <f t="shared" si="99"/>
        <v>0</v>
      </c>
      <c r="H1061" s="452">
        <f t="shared" si="99"/>
        <v>0</v>
      </c>
      <c r="I1061" s="452">
        <f t="shared" si="99"/>
        <v>0</v>
      </c>
      <c r="J1061" s="452">
        <f t="shared" si="99"/>
        <v>0</v>
      </c>
      <c r="K1061" s="452">
        <f t="shared" si="99"/>
        <v>0</v>
      </c>
      <c r="L1061" s="452">
        <f t="shared" si="99"/>
        <v>0</v>
      </c>
      <c r="M1061" s="452">
        <f t="shared" si="99"/>
        <v>0</v>
      </c>
      <c r="N1061" s="452">
        <f t="shared" si="99"/>
        <v>0</v>
      </c>
      <c r="O1061" s="452">
        <f t="shared" si="99"/>
        <v>0</v>
      </c>
      <c r="P1061" s="452">
        <f t="shared" si="99"/>
        <v>0</v>
      </c>
      <c r="Q1061" s="452"/>
      <c r="R1061" s="452">
        <f t="shared" si="99"/>
        <v>0</v>
      </c>
      <c r="S1061" s="445">
        <f t="shared" si="96"/>
        <v>0</v>
      </c>
      <c r="T1061" s="445">
        <f t="shared" si="97"/>
        <v>0</v>
      </c>
      <c r="U1061" s="445">
        <f t="shared" si="98"/>
        <v>0</v>
      </c>
      <c r="W1061" s="450"/>
      <c r="X1061" s="450"/>
      <c r="Y1061" s="441"/>
      <c r="Z1061" s="441"/>
      <c r="AA1061" s="441"/>
      <c r="AB1061" s="441"/>
      <c r="AC1061" s="441"/>
      <c r="AD1061" s="441"/>
      <c r="AE1061" s="441"/>
      <c r="AF1061" s="441"/>
      <c r="AG1061" s="441"/>
      <c r="AH1061" s="441"/>
      <c r="AI1061" s="441"/>
      <c r="AJ1061" s="441"/>
      <c r="AK1061" s="441"/>
      <c r="AL1061" s="441"/>
      <c r="AM1061" s="441"/>
      <c r="AN1061" s="441"/>
      <c r="AO1061" s="441"/>
    </row>
    <row r="1062" spans="1:41" ht="12.75" hidden="1" thickBot="1">
      <c r="A1062" s="2" t="s">
        <v>1280</v>
      </c>
      <c r="B1062" s="2" t="s">
        <v>368</v>
      </c>
      <c r="C1062" s="2" t="s">
        <v>1200</v>
      </c>
      <c r="D1062" s="8" t="s">
        <v>417</v>
      </c>
      <c r="E1062" s="3">
        <f t="shared" si="99"/>
        <v>0</v>
      </c>
      <c r="F1062" s="452">
        <f t="shared" si="99"/>
        <v>0</v>
      </c>
      <c r="G1062" s="452">
        <f t="shared" si="99"/>
        <v>0</v>
      </c>
      <c r="H1062" s="452">
        <f t="shared" si="99"/>
        <v>0</v>
      </c>
      <c r="I1062" s="452">
        <f t="shared" si="99"/>
        <v>0</v>
      </c>
      <c r="J1062" s="452">
        <f t="shared" si="99"/>
        <v>0</v>
      </c>
      <c r="K1062" s="452">
        <f t="shared" si="99"/>
        <v>0</v>
      </c>
      <c r="L1062" s="452">
        <f t="shared" si="99"/>
        <v>0</v>
      </c>
      <c r="M1062" s="452">
        <f t="shared" si="99"/>
        <v>0</v>
      </c>
      <c r="N1062" s="452">
        <f t="shared" si="99"/>
        <v>0</v>
      </c>
      <c r="O1062" s="452">
        <f t="shared" si="99"/>
        <v>0</v>
      </c>
      <c r="P1062" s="452">
        <f t="shared" si="99"/>
        <v>0</v>
      </c>
      <c r="Q1062" s="452"/>
      <c r="R1062" s="452">
        <f t="shared" si="99"/>
        <v>0</v>
      </c>
      <c r="S1062" s="445">
        <f t="shared" si="96"/>
        <v>0</v>
      </c>
      <c r="T1062" s="445">
        <f t="shared" si="97"/>
        <v>0</v>
      </c>
      <c r="U1062" s="445">
        <f t="shared" si="98"/>
        <v>0</v>
      </c>
      <c r="W1062" s="450"/>
      <c r="X1062" s="450"/>
      <c r="Y1062" s="441"/>
      <c r="Z1062" s="441"/>
      <c r="AA1062" s="441"/>
      <c r="AB1062" s="441"/>
      <c r="AC1062" s="441"/>
      <c r="AD1062" s="441"/>
      <c r="AE1062" s="441"/>
      <c r="AF1062" s="441"/>
      <c r="AG1062" s="441"/>
      <c r="AH1062" s="441"/>
      <c r="AI1062" s="441"/>
      <c r="AJ1062" s="441"/>
      <c r="AK1062" s="441"/>
      <c r="AL1062" s="441"/>
      <c r="AM1062" s="441"/>
      <c r="AN1062" s="441"/>
      <c r="AO1062" s="441"/>
    </row>
    <row r="1063" spans="1:41" ht="12.75" hidden="1" thickBot="1">
      <c r="A1063" s="2" t="s">
        <v>1280</v>
      </c>
      <c r="B1063" s="2" t="s">
        <v>370</v>
      </c>
      <c r="C1063" s="2" t="s">
        <v>118</v>
      </c>
      <c r="D1063" s="8" t="s">
        <v>414</v>
      </c>
      <c r="E1063" s="3">
        <f t="shared" si="99"/>
        <v>29801686</v>
      </c>
      <c r="F1063" s="452">
        <f t="shared" si="99"/>
        <v>563760</v>
      </c>
      <c r="G1063" s="452">
        <f t="shared" si="99"/>
        <v>1860221</v>
      </c>
      <c r="H1063" s="452">
        <f t="shared" si="99"/>
        <v>812096</v>
      </c>
      <c r="I1063" s="452">
        <f t="shared" si="99"/>
        <v>49769</v>
      </c>
      <c r="J1063" s="452">
        <f t="shared" si="99"/>
        <v>0</v>
      </c>
      <c r="K1063" s="452">
        <f t="shared" si="99"/>
        <v>0</v>
      </c>
      <c r="L1063" s="452">
        <f t="shared" si="99"/>
        <v>69247</v>
      </c>
      <c r="M1063" s="452">
        <f t="shared" si="99"/>
        <v>-6464</v>
      </c>
      <c r="N1063" s="452">
        <f t="shared" si="99"/>
        <v>0</v>
      </c>
      <c r="O1063" s="452">
        <f t="shared" si="99"/>
        <v>284538</v>
      </c>
      <c r="P1063" s="452">
        <f t="shared" si="99"/>
        <v>0</v>
      </c>
      <c r="Q1063" s="452"/>
      <c r="R1063" s="452">
        <f t="shared" si="99"/>
        <v>3633168</v>
      </c>
      <c r="S1063" s="445">
        <f t="shared" si="96"/>
        <v>2722086</v>
      </c>
      <c r="T1063" s="445">
        <f t="shared" si="97"/>
        <v>0</v>
      </c>
      <c r="U1063" s="445">
        <f t="shared" si="98"/>
        <v>284538</v>
      </c>
      <c r="W1063" s="450"/>
      <c r="X1063" s="450"/>
      <c r="Y1063" s="441"/>
      <c r="Z1063" s="441"/>
      <c r="AA1063" s="441"/>
      <c r="AB1063" s="441"/>
      <c r="AC1063" s="441"/>
      <c r="AD1063" s="441"/>
      <c r="AE1063" s="441"/>
      <c r="AF1063" s="441"/>
      <c r="AG1063" s="441"/>
      <c r="AH1063" s="441"/>
      <c r="AI1063" s="441"/>
      <c r="AJ1063" s="441"/>
      <c r="AK1063" s="441"/>
      <c r="AL1063" s="441"/>
      <c r="AM1063" s="441"/>
      <c r="AN1063" s="441"/>
      <c r="AO1063" s="441"/>
    </row>
    <row r="1064" spans="1:41" ht="12.75" hidden="1" thickBot="1">
      <c r="A1064" s="2" t="s">
        <v>1280</v>
      </c>
      <c r="B1064" s="2" t="s">
        <v>371</v>
      </c>
      <c r="C1064" s="2" t="s">
        <v>1201</v>
      </c>
      <c r="D1064" s="8" t="s">
        <v>414</v>
      </c>
      <c r="E1064" s="3">
        <f t="shared" si="99"/>
        <v>0</v>
      </c>
      <c r="F1064" s="452">
        <f t="shared" si="99"/>
        <v>0</v>
      </c>
      <c r="G1064" s="452">
        <f t="shared" si="99"/>
        <v>0</v>
      </c>
      <c r="H1064" s="452">
        <f t="shared" si="99"/>
        <v>0</v>
      </c>
      <c r="I1064" s="452">
        <f t="shared" si="99"/>
        <v>0</v>
      </c>
      <c r="J1064" s="452">
        <f t="shared" si="99"/>
        <v>0</v>
      </c>
      <c r="K1064" s="452">
        <f t="shared" si="99"/>
        <v>0</v>
      </c>
      <c r="L1064" s="452">
        <f t="shared" si="99"/>
        <v>0</v>
      </c>
      <c r="M1064" s="452">
        <f t="shared" si="99"/>
        <v>0</v>
      </c>
      <c r="N1064" s="452">
        <f t="shared" si="99"/>
        <v>0</v>
      </c>
      <c r="O1064" s="452">
        <f t="shared" si="99"/>
        <v>0</v>
      </c>
      <c r="P1064" s="452">
        <f t="shared" si="99"/>
        <v>0</v>
      </c>
      <c r="Q1064" s="452"/>
      <c r="R1064" s="452">
        <f t="shared" si="99"/>
        <v>0</v>
      </c>
      <c r="S1064" s="445">
        <f t="shared" si="96"/>
        <v>0</v>
      </c>
      <c r="T1064" s="445">
        <f t="shared" si="97"/>
        <v>0</v>
      </c>
      <c r="U1064" s="445">
        <f t="shared" si="98"/>
        <v>0</v>
      </c>
      <c r="W1064" s="450"/>
      <c r="X1064" s="450"/>
      <c r="Y1064" s="441"/>
      <c r="Z1064" s="441"/>
      <c r="AA1064" s="441"/>
      <c r="AB1064" s="441"/>
      <c r="AC1064" s="441"/>
      <c r="AD1064" s="441"/>
      <c r="AE1064" s="441"/>
      <c r="AF1064" s="441"/>
      <c r="AG1064" s="441"/>
      <c r="AH1064" s="441"/>
      <c r="AI1064" s="441"/>
      <c r="AJ1064" s="441"/>
      <c r="AK1064" s="441"/>
      <c r="AL1064" s="441"/>
      <c r="AM1064" s="441"/>
      <c r="AN1064" s="441"/>
      <c r="AO1064" s="441"/>
    </row>
    <row r="1065" spans="1:41" ht="12.75" hidden="1" thickBot="1">
      <c r="A1065" s="2" t="s">
        <v>1280</v>
      </c>
      <c r="B1065" s="2" t="s">
        <v>372</v>
      </c>
      <c r="C1065" s="2" t="s">
        <v>1202</v>
      </c>
      <c r="D1065" s="8" t="s">
        <v>416</v>
      </c>
      <c r="E1065" s="3">
        <f t="shared" si="99"/>
        <v>0</v>
      </c>
      <c r="F1065" s="452">
        <f t="shared" si="99"/>
        <v>0</v>
      </c>
      <c r="G1065" s="452">
        <f t="shared" si="99"/>
        <v>0</v>
      </c>
      <c r="H1065" s="452">
        <f t="shared" si="99"/>
        <v>0</v>
      </c>
      <c r="I1065" s="452">
        <f t="shared" si="99"/>
        <v>0</v>
      </c>
      <c r="J1065" s="452">
        <f t="shared" si="99"/>
        <v>0</v>
      </c>
      <c r="K1065" s="452">
        <f t="shared" si="99"/>
        <v>0</v>
      </c>
      <c r="L1065" s="452">
        <f t="shared" si="99"/>
        <v>0</v>
      </c>
      <c r="M1065" s="452">
        <f t="shared" si="99"/>
        <v>0</v>
      </c>
      <c r="N1065" s="452">
        <f t="shared" si="99"/>
        <v>0</v>
      </c>
      <c r="O1065" s="452">
        <f t="shared" si="99"/>
        <v>0</v>
      </c>
      <c r="P1065" s="452">
        <f t="shared" si="99"/>
        <v>0</v>
      </c>
      <c r="Q1065" s="452"/>
      <c r="R1065" s="452">
        <f t="shared" si="99"/>
        <v>0</v>
      </c>
      <c r="S1065" s="445">
        <f t="shared" si="96"/>
        <v>0</v>
      </c>
      <c r="T1065" s="445">
        <f t="shared" si="97"/>
        <v>0</v>
      </c>
      <c r="U1065" s="445">
        <f t="shared" si="98"/>
        <v>0</v>
      </c>
      <c r="W1065" s="450"/>
      <c r="X1065" s="450"/>
      <c r="Y1065" s="441"/>
      <c r="Z1065" s="441"/>
      <c r="AA1065" s="441"/>
      <c r="AB1065" s="441"/>
      <c r="AC1065" s="441"/>
      <c r="AD1065" s="441"/>
      <c r="AE1065" s="441"/>
      <c r="AF1065" s="441"/>
      <c r="AG1065" s="441"/>
      <c r="AH1065" s="441"/>
      <c r="AI1065" s="441"/>
      <c r="AJ1065" s="441"/>
      <c r="AK1065" s="441"/>
      <c r="AL1065" s="441"/>
      <c r="AM1065" s="441"/>
      <c r="AN1065" s="441"/>
      <c r="AO1065" s="441"/>
    </row>
    <row r="1066" spans="1:41" ht="12.75" hidden="1" thickBot="1">
      <c r="A1066" s="2" t="s">
        <v>1280</v>
      </c>
      <c r="B1066" s="2" t="s">
        <v>374</v>
      </c>
      <c r="C1066" s="2" t="s">
        <v>415</v>
      </c>
      <c r="D1066" s="8" t="s">
        <v>414</v>
      </c>
      <c r="E1066" s="3">
        <f t="shared" si="99"/>
        <v>0</v>
      </c>
      <c r="F1066" s="452">
        <f t="shared" si="99"/>
        <v>0</v>
      </c>
      <c r="G1066" s="452">
        <f t="shared" si="99"/>
        <v>0</v>
      </c>
      <c r="H1066" s="452">
        <f t="shared" si="99"/>
        <v>0</v>
      </c>
      <c r="I1066" s="452">
        <f t="shared" si="99"/>
        <v>0</v>
      </c>
      <c r="J1066" s="452">
        <f t="shared" si="99"/>
        <v>0</v>
      </c>
      <c r="K1066" s="452">
        <f t="shared" si="99"/>
        <v>0</v>
      </c>
      <c r="L1066" s="452">
        <f t="shared" si="99"/>
        <v>0</v>
      </c>
      <c r="M1066" s="452">
        <f t="shared" si="99"/>
        <v>0</v>
      </c>
      <c r="N1066" s="452">
        <f t="shared" si="99"/>
        <v>0</v>
      </c>
      <c r="O1066" s="452">
        <f t="shared" si="99"/>
        <v>0</v>
      </c>
      <c r="P1066" s="452">
        <f t="shared" si="99"/>
        <v>0</v>
      </c>
      <c r="Q1066" s="452"/>
      <c r="R1066" s="452">
        <f t="shared" si="99"/>
        <v>0</v>
      </c>
      <c r="S1066" s="445">
        <f t="shared" si="96"/>
        <v>0</v>
      </c>
      <c r="T1066" s="445">
        <f t="shared" si="97"/>
        <v>0</v>
      </c>
      <c r="U1066" s="445">
        <f t="shared" si="98"/>
        <v>0</v>
      </c>
      <c r="W1066" s="450"/>
      <c r="X1066" s="450"/>
      <c r="Y1066" s="441"/>
      <c r="Z1066" s="441"/>
      <c r="AA1066" s="441"/>
      <c r="AB1066" s="441"/>
      <c r="AC1066" s="441"/>
      <c r="AD1066" s="441"/>
      <c r="AE1066" s="441"/>
      <c r="AF1066" s="441"/>
      <c r="AG1066" s="441"/>
      <c r="AH1066" s="441"/>
      <c r="AI1066" s="441"/>
      <c r="AJ1066" s="441"/>
      <c r="AK1066" s="441"/>
      <c r="AL1066" s="441"/>
      <c r="AM1066" s="441"/>
      <c r="AN1066" s="441"/>
      <c r="AO1066" s="441"/>
    </row>
    <row r="1067" spans="1:41" ht="12.75" hidden="1" thickBot="1">
      <c r="A1067" s="2" t="s">
        <v>1280</v>
      </c>
      <c r="B1067" s="2" t="s">
        <v>375</v>
      </c>
      <c r="C1067" s="2" t="s">
        <v>406</v>
      </c>
      <c r="D1067" s="8" t="s">
        <v>20</v>
      </c>
      <c r="E1067" s="3">
        <f t="shared" si="99"/>
        <v>137270484</v>
      </c>
      <c r="F1067" s="452">
        <f t="shared" si="99"/>
        <v>232110</v>
      </c>
      <c r="G1067" s="452">
        <f t="shared" si="99"/>
        <v>1832561</v>
      </c>
      <c r="H1067" s="452">
        <f t="shared" si="99"/>
        <v>3740621</v>
      </c>
      <c r="I1067" s="452">
        <f t="shared" si="99"/>
        <v>0</v>
      </c>
      <c r="J1067" s="452">
        <f t="shared" si="99"/>
        <v>168109</v>
      </c>
      <c r="K1067" s="452">
        <f t="shared" si="99"/>
        <v>4738583</v>
      </c>
      <c r="L1067" s="452">
        <f t="shared" si="99"/>
        <v>318963</v>
      </c>
      <c r="M1067" s="452">
        <f t="shared" si="99"/>
        <v>-29774</v>
      </c>
      <c r="N1067" s="452">
        <f t="shared" si="99"/>
        <v>0</v>
      </c>
      <c r="O1067" s="452">
        <f t="shared" si="99"/>
        <v>1310621</v>
      </c>
      <c r="P1067" s="452">
        <f t="shared" si="99"/>
        <v>0</v>
      </c>
      <c r="Q1067" s="452"/>
      <c r="R1067" s="452">
        <f t="shared" si="99"/>
        <v>12311794</v>
      </c>
      <c r="S1067" s="445">
        <f t="shared" si="96"/>
        <v>5573182</v>
      </c>
      <c r="T1067" s="445">
        <f t="shared" si="97"/>
        <v>4906692</v>
      </c>
      <c r="U1067" s="445">
        <f t="shared" si="98"/>
        <v>1310621</v>
      </c>
      <c r="W1067" s="450"/>
      <c r="X1067" s="450"/>
      <c r="Y1067" s="441"/>
      <c r="Z1067" s="441"/>
      <c r="AA1067" s="441"/>
      <c r="AB1067" s="441"/>
      <c r="AC1067" s="441"/>
      <c r="AD1067" s="441"/>
      <c r="AE1067" s="441"/>
      <c r="AF1067" s="441"/>
      <c r="AG1067" s="441"/>
      <c r="AH1067" s="441"/>
      <c r="AI1067" s="441"/>
      <c r="AJ1067" s="441"/>
      <c r="AK1067" s="441"/>
      <c r="AL1067" s="441"/>
      <c r="AM1067" s="441"/>
      <c r="AN1067" s="441"/>
      <c r="AO1067" s="441"/>
    </row>
    <row r="1068" spans="1:41" ht="12.75" hidden="1" thickBot="1">
      <c r="A1068" s="2" t="s">
        <v>1280</v>
      </c>
      <c r="B1068" s="2" t="s">
        <v>376</v>
      </c>
      <c r="C1068" s="2" t="s">
        <v>404</v>
      </c>
      <c r="D1068" s="8" t="s">
        <v>21</v>
      </c>
      <c r="E1068" s="3">
        <f t="shared" si="99"/>
        <v>12153894</v>
      </c>
      <c r="F1068" s="452">
        <f t="shared" si="99"/>
        <v>8840</v>
      </c>
      <c r="G1068" s="452">
        <f t="shared" si="99"/>
        <v>145968</v>
      </c>
      <c r="H1068" s="452">
        <f t="shared" si="99"/>
        <v>331194</v>
      </c>
      <c r="I1068" s="452">
        <f t="shared" si="99"/>
        <v>0</v>
      </c>
      <c r="J1068" s="452">
        <f t="shared" si="99"/>
        <v>14546</v>
      </c>
      <c r="K1068" s="452">
        <f t="shared" si="99"/>
        <v>338808</v>
      </c>
      <c r="L1068" s="452">
        <f t="shared" si="99"/>
        <v>28241</v>
      </c>
      <c r="M1068" s="452">
        <f t="shared" si="99"/>
        <v>-2636</v>
      </c>
      <c r="N1068" s="452">
        <f t="shared" si="99"/>
        <v>0</v>
      </c>
      <c r="O1068" s="452">
        <f t="shared" si="99"/>
        <v>116042</v>
      </c>
      <c r="P1068" s="452">
        <f t="shared" si="99"/>
        <v>0</v>
      </c>
      <c r="Q1068" s="452"/>
      <c r="R1068" s="452">
        <f t="shared" si="99"/>
        <v>981003</v>
      </c>
      <c r="S1068" s="445">
        <f t="shared" si="96"/>
        <v>477162</v>
      </c>
      <c r="T1068" s="445">
        <f t="shared" si="97"/>
        <v>353354</v>
      </c>
      <c r="U1068" s="445">
        <f t="shared" si="98"/>
        <v>116042</v>
      </c>
      <c r="W1068" s="450"/>
      <c r="X1068" s="450"/>
      <c r="Y1068" s="441"/>
      <c r="Z1068" s="441"/>
      <c r="AA1068" s="441"/>
      <c r="AB1068" s="441"/>
      <c r="AC1068" s="441"/>
      <c r="AD1068" s="441"/>
      <c r="AE1068" s="441"/>
      <c r="AF1068" s="441"/>
      <c r="AG1068" s="441"/>
      <c r="AH1068" s="441"/>
      <c r="AI1068" s="441"/>
      <c r="AJ1068" s="441"/>
      <c r="AK1068" s="441"/>
      <c r="AL1068" s="441"/>
      <c r="AM1068" s="441"/>
      <c r="AN1068" s="441"/>
      <c r="AO1068" s="441"/>
    </row>
    <row r="1069" spans="1:41" ht="12.75" hidden="1" thickBot="1">
      <c r="A1069" s="2" t="s">
        <v>1280</v>
      </c>
      <c r="B1069" s="2" t="s">
        <v>377</v>
      </c>
      <c r="C1069" s="2" t="s">
        <v>407</v>
      </c>
      <c r="D1069" s="8" t="s">
        <v>20</v>
      </c>
      <c r="E1069" s="3">
        <f t="shared" si="99"/>
        <v>0</v>
      </c>
      <c r="F1069" s="452">
        <f t="shared" si="99"/>
        <v>0</v>
      </c>
      <c r="G1069" s="452">
        <f t="shared" si="99"/>
        <v>0</v>
      </c>
      <c r="H1069" s="452">
        <f t="shared" si="99"/>
        <v>0</v>
      </c>
      <c r="I1069" s="452">
        <f t="shared" si="99"/>
        <v>0</v>
      </c>
      <c r="J1069" s="452">
        <f t="shared" si="99"/>
        <v>0</v>
      </c>
      <c r="K1069" s="452">
        <f t="shared" si="99"/>
        <v>0</v>
      </c>
      <c r="L1069" s="452">
        <f t="shared" si="99"/>
        <v>0</v>
      </c>
      <c r="M1069" s="452">
        <f t="shared" si="99"/>
        <v>0</v>
      </c>
      <c r="N1069" s="452">
        <f t="shared" si="99"/>
        <v>0</v>
      </c>
      <c r="O1069" s="452">
        <f t="shared" si="99"/>
        <v>0</v>
      </c>
      <c r="P1069" s="452">
        <f t="shared" si="99"/>
        <v>0</v>
      </c>
      <c r="Q1069" s="452"/>
      <c r="R1069" s="452">
        <f t="shared" si="99"/>
        <v>0</v>
      </c>
      <c r="S1069" s="445">
        <f t="shared" si="96"/>
        <v>0</v>
      </c>
      <c r="T1069" s="445">
        <f t="shared" si="97"/>
        <v>0</v>
      </c>
      <c r="U1069" s="445">
        <f t="shared" si="98"/>
        <v>0</v>
      </c>
      <c r="W1069" s="450"/>
      <c r="X1069" s="450"/>
      <c r="Y1069" s="441"/>
      <c r="Z1069" s="441"/>
      <c r="AA1069" s="441"/>
      <c r="AB1069" s="441"/>
      <c r="AC1069" s="441"/>
      <c r="AD1069" s="441"/>
      <c r="AE1069" s="441"/>
      <c r="AF1069" s="441"/>
      <c r="AG1069" s="441"/>
      <c r="AH1069" s="441"/>
      <c r="AI1069" s="441"/>
      <c r="AJ1069" s="441"/>
      <c r="AK1069" s="441"/>
      <c r="AL1069" s="441"/>
      <c r="AM1069" s="441"/>
      <c r="AN1069" s="441"/>
      <c r="AO1069" s="441"/>
    </row>
    <row r="1070" spans="1:41" ht="12.75" hidden="1" thickBot="1">
      <c r="A1070" s="2" t="s">
        <v>1280</v>
      </c>
      <c r="B1070" s="2" t="s">
        <v>378</v>
      </c>
      <c r="C1070" s="2" t="s">
        <v>1033</v>
      </c>
      <c r="D1070" s="8" t="s">
        <v>1006</v>
      </c>
      <c r="E1070" s="3">
        <f t="shared" si="99"/>
        <v>63676678</v>
      </c>
      <c r="F1070" s="452">
        <f t="shared" si="99"/>
        <v>43800</v>
      </c>
      <c r="G1070" s="452">
        <f t="shared" si="99"/>
        <v>805510</v>
      </c>
      <c r="H1070" s="452">
        <f t="shared" si="99"/>
        <v>1735189</v>
      </c>
      <c r="I1070" s="452">
        <f t="shared" si="99"/>
        <v>0</v>
      </c>
      <c r="J1070" s="452">
        <f t="shared" si="99"/>
        <v>67244</v>
      </c>
      <c r="K1070" s="452">
        <f t="shared" si="99"/>
        <v>1974298</v>
      </c>
      <c r="L1070" s="452">
        <f t="shared" si="99"/>
        <v>147960</v>
      </c>
      <c r="M1070" s="452">
        <f t="shared" si="99"/>
        <v>-13811</v>
      </c>
      <c r="N1070" s="452">
        <f t="shared" si="99"/>
        <v>0</v>
      </c>
      <c r="O1070" s="452">
        <f t="shared" si="99"/>
        <v>607968</v>
      </c>
      <c r="P1070" s="452">
        <f t="shared" si="99"/>
        <v>0</v>
      </c>
      <c r="Q1070" s="452"/>
      <c r="R1070" s="452">
        <f t="shared" si="99"/>
        <v>5368157</v>
      </c>
      <c r="S1070" s="445">
        <f t="shared" si="96"/>
        <v>2540699</v>
      </c>
      <c r="T1070" s="445">
        <f t="shared" si="97"/>
        <v>2041542</v>
      </c>
      <c r="U1070" s="445">
        <f t="shared" si="98"/>
        <v>607968</v>
      </c>
      <c r="W1070" s="450"/>
      <c r="X1070" s="450"/>
      <c r="Y1070" s="441"/>
      <c r="Z1070" s="441"/>
      <c r="AA1070" s="441"/>
      <c r="AB1070" s="441"/>
      <c r="AC1070" s="441"/>
      <c r="AD1070" s="441"/>
      <c r="AE1070" s="441"/>
      <c r="AF1070" s="441"/>
      <c r="AG1070" s="441"/>
      <c r="AH1070" s="441"/>
      <c r="AI1070" s="441"/>
      <c r="AJ1070" s="441"/>
      <c r="AK1070" s="441"/>
      <c r="AL1070" s="441"/>
      <c r="AM1070" s="441"/>
      <c r="AN1070" s="441"/>
      <c r="AO1070" s="441"/>
    </row>
    <row r="1071" spans="1:41" ht="12.75" hidden="1" thickBot="1">
      <c r="A1071" s="2" t="s">
        <v>1280</v>
      </c>
      <c r="B1071" s="2" t="s">
        <v>379</v>
      </c>
      <c r="C1071" s="2" t="s">
        <v>408</v>
      </c>
      <c r="D1071" s="8" t="s">
        <v>409</v>
      </c>
      <c r="E1071" s="3">
        <f t="shared" si="99"/>
        <v>30304753</v>
      </c>
      <c r="F1071" s="452">
        <f t="shared" si="99"/>
        <v>11700</v>
      </c>
      <c r="G1071" s="452">
        <f t="shared" si="99"/>
        <v>328807</v>
      </c>
      <c r="H1071" s="452">
        <f t="shared" si="99"/>
        <v>825805</v>
      </c>
      <c r="I1071" s="452">
        <f t="shared" si="99"/>
        <v>0</v>
      </c>
      <c r="J1071" s="452">
        <f t="shared" si="99"/>
        <v>30351</v>
      </c>
      <c r="K1071" s="452">
        <f t="shared" si="99"/>
        <v>973909</v>
      </c>
      <c r="L1071" s="452">
        <f t="shared" si="99"/>
        <v>70416</v>
      </c>
      <c r="M1071" s="452">
        <f t="shared" si="99"/>
        <v>-6573</v>
      </c>
      <c r="N1071" s="452">
        <f t="shared" si="99"/>
        <v>0</v>
      </c>
      <c r="O1071" s="452">
        <f t="shared" si="99"/>
        <v>289342</v>
      </c>
      <c r="P1071" s="452">
        <f t="shared" si="99"/>
        <v>0</v>
      </c>
      <c r="Q1071" s="452"/>
      <c r="R1071" s="452">
        <f t="shared" si="99"/>
        <v>2523756</v>
      </c>
      <c r="S1071" s="445">
        <f t="shared" si="96"/>
        <v>1154612</v>
      </c>
      <c r="T1071" s="445">
        <f t="shared" si="97"/>
        <v>1004260</v>
      </c>
      <c r="U1071" s="445">
        <f t="shared" si="98"/>
        <v>289342</v>
      </c>
      <c r="W1071" s="450"/>
      <c r="X1071" s="450"/>
      <c r="Y1071" s="441"/>
      <c r="Z1071" s="441"/>
      <c r="AA1071" s="441"/>
      <c r="AB1071" s="441"/>
      <c r="AC1071" s="441"/>
      <c r="AD1071" s="441"/>
      <c r="AE1071" s="441"/>
      <c r="AF1071" s="441"/>
      <c r="AG1071" s="441"/>
      <c r="AH1071" s="441"/>
      <c r="AI1071" s="441"/>
      <c r="AJ1071" s="441"/>
      <c r="AK1071" s="441"/>
      <c r="AL1071" s="441"/>
      <c r="AM1071" s="441"/>
      <c r="AN1071" s="441"/>
      <c r="AO1071" s="441"/>
    </row>
    <row r="1072" spans="1:41" ht="12.75" hidden="1" thickBot="1">
      <c r="A1072" s="2" t="s">
        <v>1280</v>
      </c>
      <c r="B1072" s="2" t="s">
        <v>381</v>
      </c>
      <c r="C1072" s="2" t="s">
        <v>59</v>
      </c>
      <c r="D1072" s="8" t="s">
        <v>14</v>
      </c>
      <c r="E1072" s="3">
        <f t="shared" si="99"/>
        <v>75985713</v>
      </c>
      <c r="F1072" s="452">
        <f t="shared" si="99"/>
        <v>572846</v>
      </c>
      <c r="G1072" s="452">
        <f t="shared" si="99"/>
        <v>4743028</v>
      </c>
      <c r="H1072" s="452">
        <f t="shared" si="99"/>
        <v>2070611</v>
      </c>
      <c r="I1072" s="452">
        <f t="shared" si="99"/>
        <v>126896</v>
      </c>
      <c r="J1072" s="452">
        <f t="shared" si="99"/>
        <v>0</v>
      </c>
      <c r="K1072" s="452">
        <f t="shared" si="99"/>
        <v>0</v>
      </c>
      <c r="L1072" s="452">
        <f t="shared" si="99"/>
        <v>176561</v>
      </c>
      <c r="M1072" s="452">
        <f t="shared" si="99"/>
        <v>-16481</v>
      </c>
      <c r="N1072" s="452">
        <f t="shared" si="99"/>
        <v>0</v>
      </c>
      <c r="O1072" s="452">
        <f t="shared" si="99"/>
        <v>725491</v>
      </c>
      <c r="P1072" s="452">
        <f t="shared" si="99"/>
        <v>0</v>
      </c>
      <c r="Q1072" s="452"/>
      <c r="R1072" s="452">
        <f t="shared" si="99"/>
        <v>8398951</v>
      </c>
      <c r="S1072" s="445">
        <f t="shared" si="96"/>
        <v>6940535</v>
      </c>
      <c r="T1072" s="445">
        <f t="shared" si="97"/>
        <v>0</v>
      </c>
      <c r="U1072" s="445">
        <f t="shared" si="98"/>
        <v>725491</v>
      </c>
      <c r="W1072" s="450"/>
      <c r="X1072" s="450"/>
      <c r="Y1072" s="441"/>
      <c r="Z1072" s="441"/>
      <c r="AA1072" s="441"/>
      <c r="AB1072" s="441"/>
      <c r="AC1072" s="441"/>
      <c r="AD1072" s="441"/>
      <c r="AE1072" s="441"/>
      <c r="AF1072" s="441"/>
      <c r="AG1072" s="441"/>
      <c r="AH1072" s="441"/>
      <c r="AI1072" s="441"/>
      <c r="AJ1072" s="441"/>
      <c r="AK1072" s="441"/>
      <c r="AL1072" s="441"/>
      <c r="AM1072" s="441"/>
      <c r="AN1072" s="441"/>
      <c r="AO1072" s="441"/>
    </row>
    <row r="1073" spans="1:41" ht="12.75" hidden="1" thickBot="1">
      <c r="A1073" s="2" t="s">
        <v>1280</v>
      </c>
      <c r="B1073" s="2" t="s">
        <v>382</v>
      </c>
      <c r="C1073" s="2" t="s">
        <v>1244</v>
      </c>
      <c r="D1073" s="8" t="s">
        <v>14</v>
      </c>
      <c r="E1073" s="3">
        <f t="shared" si="99"/>
        <v>0</v>
      </c>
      <c r="F1073" s="452">
        <f t="shared" si="99"/>
        <v>0</v>
      </c>
      <c r="G1073" s="452">
        <f t="shared" si="99"/>
        <v>0</v>
      </c>
      <c r="H1073" s="452">
        <f t="shared" si="99"/>
        <v>0</v>
      </c>
      <c r="I1073" s="452">
        <f t="shared" si="99"/>
        <v>0</v>
      </c>
      <c r="J1073" s="452">
        <f t="shared" si="99"/>
        <v>0</v>
      </c>
      <c r="K1073" s="452">
        <f t="shared" si="99"/>
        <v>0</v>
      </c>
      <c r="L1073" s="452">
        <f t="shared" si="99"/>
        <v>0</v>
      </c>
      <c r="M1073" s="452">
        <f t="shared" si="99"/>
        <v>0</v>
      </c>
      <c r="N1073" s="452">
        <f t="shared" si="99"/>
        <v>0</v>
      </c>
      <c r="O1073" s="452">
        <f t="shared" si="99"/>
        <v>0</v>
      </c>
      <c r="P1073" s="452">
        <f t="shared" si="99"/>
        <v>0</v>
      </c>
      <c r="Q1073" s="452"/>
      <c r="R1073" s="452">
        <f t="shared" si="99"/>
        <v>0</v>
      </c>
      <c r="S1073" s="445">
        <f t="shared" si="96"/>
        <v>0</v>
      </c>
      <c r="T1073" s="445">
        <f t="shared" si="97"/>
        <v>0</v>
      </c>
      <c r="U1073" s="445">
        <f t="shared" si="98"/>
        <v>0</v>
      </c>
      <c r="W1073" s="450"/>
      <c r="X1073" s="450"/>
      <c r="Y1073" s="441"/>
      <c r="Z1073" s="441"/>
      <c r="AA1073" s="441"/>
      <c r="AB1073" s="441"/>
      <c r="AC1073" s="441"/>
      <c r="AD1073" s="441"/>
      <c r="AE1073" s="441"/>
      <c r="AF1073" s="441"/>
      <c r="AG1073" s="441"/>
      <c r="AH1073" s="441"/>
      <c r="AI1073" s="441"/>
      <c r="AJ1073" s="441"/>
      <c r="AK1073" s="441"/>
      <c r="AL1073" s="441"/>
      <c r="AM1073" s="441"/>
      <c r="AN1073" s="441"/>
      <c r="AO1073" s="441"/>
    </row>
    <row r="1074" spans="1:41" ht="12.75" hidden="1" thickBot="1">
      <c r="A1074" s="2" t="s">
        <v>1280</v>
      </c>
      <c r="B1074" s="2" t="s">
        <v>384</v>
      </c>
      <c r="C1074" s="2" t="s">
        <v>413</v>
      </c>
      <c r="D1074" s="8" t="s">
        <v>14</v>
      </c>
      <c r="E1074" s="3">
        <f t="shared" si="99"/>
        <v>0</v>
      </c>
      <c r="F1074" s="452">
        <f t="shared" si="99"/>
        <v>0</v>
      </c>
      <c r="G1074" s="452">
        <f t="shared" si="99"/>
        <v>0</v>
      </c>
      <c r="H1074" s="452">
        <f t="shared" si="99"/>
        <v>0</v>
      </c>
      <c r="I1074" s="452">
        <f t="shared" si="99"/>
        <v>0</v>
      </c>
      <c r="J1074" s="452">
        <f t="shared" si="99"/>
        <v>0</v>
      </c>
      <c r="K1074" s="452">
        <f t="shared" si="99"/>
        <v>0</v>
      </c>
      <c r="L1074" s="452">
        <f t="shared" si="99"/>
        <v>0</v>
      </c>
      <c r="M1074" s="452">
        <f t="shared" si="99"/>
        <v>0</v>
      </c>
      <c r="N1074" s="452">
        <f t="shared" si="99"/>
        <v>0</v>
      </c>
      <c r="O1074" s="452">
        <f t="shared" si="99"/>
        <v>0</v>
      </c>
      <c r="P1074" s="452">
        <f t="shared" si="99"/>
        <v>0</v>
      </c>
      <c r="Q1074" s="452"/>
      <c r="R1074" s="452">
        <f t="shared" si="99"/>
        <v>0</v>
      </c>
      <c r="S1074" s="445">
        <f t="shared" si="96"/>
        <v>0</v>
      </c>
      <c r="T1074" s="445">
        <f t="shared" si="97"/>
        <v>0</v>
      </c>
      <c r="U1074" s="445">
        <f t="shared" si="98"/>
        <v>0</v>
      </c>
      <c r="W1074" s="450"/>
      <c r="X1074" s="450"/>
      <c r="Y1074" s="441"/>
      <c r="Z1074" s="441"/>
      <c r="AA1074" s="441"/>
      <c r="AB1074" s="441"/>
      <c r="AC1074" s="441"/>
      <c r="AD1074" s="441"/>
      <c r="AE1074" s="441"/>
      <c r="AF1074" s="441"/>
      <c r="AG1074" s="441"/>
      <c r="AH1074" s="441"/>
      <c r="AI1074" s="441"/>
      <c r="AJ1074" s="441"/>
      <c r="AK1074" s="441"/>
      <c r="AL1074" s="441"/>
      <c r="AM1074" s="441"/>
      <c r="AN1074" s="441"/>
      <c r="AO1074" s="441"/>
    </row>
    <row r="1075" spans="1:41" ht="12.75" hidden="1" thickBot="1">
      <c r="A1075" s="2" t="s">
        <v>1280</v>
      </c>
      <c r="B1075" s="2" t="s">
        <v>385</v>
      </c>
      <c r="C1075" s="2" t="s">
        <v>424</v>
      </c>
      <c r="D1075" s="8" t="s">
        <v>425</v>
      </c>
      <c r="E1075" s="3">
        <f t="shared" si="99"/>
        <v>4450800</v>
      </c>
      <c r="F1075" s="452">
        <f t="shared" si="99"/>
        <v>0</v>
      </c>
      <c r="G1075" s="452">
        <f t="shared" si="99"/>
        <v>43484</v>
      </c>
      <c r="H1075" s="452">
        <f t="shared" si="99"/>
        <v>121284</v>
      </c>
      <c r="I1075" s="452">
        <f t="shared" si="99"/>
        <v>0</v>
      </c>
      <c r="J1075" s="452">
        <f t="shared" si="99"/>
        <v>3497</v>
      </c>
      <c r="K1075" s="452">
        <f t="shared" si="99"/>
        <v>94314</v>
      </c>
      <c r="L1075" s="452">
        <f t="shared" si="99"/>
        <v>0</v>
      </c>
      <c r="M1075" s="452">
        <f t="shared" si="99"/>
        <v>-965</v>
      </c>
      <c r="N1075" s="452">
        <f t="shared" si="99"/>
        <v>0</v>
      </c>
      <c r="O1075" s="452">
        <f t="shared" si="99"/>
        <v>42495</v>
      </c>
      <c r="P1075" s="452">
        <f t="shared" si="99"/>
        <v>0</v>
      </c>
      <c r="Q1075" s="452"/>
      <c r="R1075" s="452">
        <f t="shared" si="99"/>
        <v>304109</v>
      </c>
      <c r="S1075" s="445">
        <f t="shared" si="96"/>
        <v>164768</v>
      </c>
      <c r="T1075" s="445">
        <f t="shared" si="97"/>
        <v>97811</v>
      </c>
      <c r="U1075" s="445">
        <f t="shared" si="98"/>
        <v>42495</v>
      </c>
      <c r="W1075" s="450"/>
      <c r="X1075" s="450"/>
      <c r="Y1075" s="441"/>
      <c r="Z1075" s="441"/>
      <c r="AA1075" s="441"/>
      <c r="AB1075" s="441"/>
      <c r="AC1075" s="441"/>
      <c r="AD1075" s="441"/>
      <c r="AE1075" s="441"/>
      <c r="AF1075" s="441"/>
      <c r="AG1075" s="441"/>
      <c r="AH1075" s="441"/>
      <c r="AI1075" s="441"/>
      <c r="AJ1075" s="441"/>
      <c r="AK1075" s="441"/>
      <c r="AL1075" s="441"/>
      <c r="AM1075" s="441"/>
      <c r="AN1075" s="441"/>
      <c r="AO1075" s="441"/>
    </row>
    <row r="1076" spans="1:41" ht="12.75" hidden="1" thickBot="1">
      <c r="A1076" s="2" t="s">
        <v>1280</v>
      </c>
      <c r="B1076" s="2" t="s">
        <v>1223</v>
      </c>
      <c r="C1076" s="2" t="s">
        <v>1224</v>
      </c>
      <c r="D1076" s="8" t="s">
        <v>63</v>
      </c>
      <c r="E1076" s="3">
        <f t="shared" si="99"/>
        <v>0</v>
      </c>
      <c r="F1076" s="452">
        <f t="shared" si="99"/>
        <v>0</v>
      </c>
      <c r="G1076" s="452">
        <f t="shared" si="99"/>
        <v>0</v>
      </c>
      <c r="H1076" s="452">
        <f t="shared" si="99"/>
        <v>0</v>
      </c>
      <c r="I1076" s="452">
        <f t="shared" si="99"/>
        <v>0</v>
      </c>
      <c r="J1076" s="452">
        <f t="shared" si="99"/>
        <v>0</v>
      </c>
      <c r="K1076" s="452">
        <f t="shared" si="99"/>
        <v>0</v>
      </c>
      <c r="L1076" s="452">
        <f t="shared" si="99"/>
        <v>0</v>
      </c>
      <c r="M1076" s="452">
        <f t="shared" si="99"/>
        <v>0</v>
      </c>
      <c r="N1076" s="452">
        <f t="shared" si="99"/>
        <v>0</v>
      </c>
      <c r="O1076" s="452">
        <f t="shared" si="99"/>
        <v>0</v>
      </c>
      <c r="P1076" s="452">
        <f t="shared" si="99"/>
        <v>-286526</v>
      </c>
      <c r="Q1076" s="452"/>
      <c r="R1076" s="452">
        <f t="shared" si="99"/>
        <v>-286526</v>
      </c>
      <c r="S1076" s="445">
        <f t="shared" si="96"/>
        <v>0</v>
      </c>
      <c r="T1076" s="445">
        <f t="shared" si="97"/>
        <v>0</v>
      </c>
      <c r="U1076" s="445">
        <f t="shared" si="98"/>
        <v>0</v>
      </c>
      <c r="W1076" s="450"/>
      <c r="X1076" s="450"/>
      <c r="Y1076" s="441"/>
      <c r="Z1076" s="441"/>
      <c r="AA1076" s="441"/>
      <c r="AB1076" s="441"/>
      <c r="AC1076" s="441"/>
      <c r="AD1076" s="441"/>
      <c r="AE1076" s="441"/>
      <c r="AF1076" s="441"/>
      <c r="AG1076" s="441"/>
      <c r="AH1076" s="441"/>
      <c r="AI1076" s="441"/>
      <c r="AJ1076" s="441"/>
      <c r="AK1076" s="441"/>
      <c r="AL1076" s="441"/>
      <c r="AM1076" s="441"/>
      <c r="AN1076" s="441"/>
      <c r="AO1076" s="441"/>
    </row>
    <row r="1077" spans="1:41" ht="12.75" hidden="1" thickBot="1">
      <c r="A1077" s="2" t="s">
        <v>1280</v>
      </c>
      <c r="B1077" s="2" t="s">
        <v>386</v>
      </c>
      <c r="C1077" s="2" t="s">
        <v>405</v>
      </c>
      <c r="D1077" s="8" t="s">
        <v>63</v>
      </c>
      <c r="E1077" s="3">
        <f t="shared" si="99"/>
        <v>0</v>
      </c>
      <c r="F1077" s="452">
        <f t="shared" si="99"/>
        <v>0</v>
      </c>
      <c r="G1077" s="452">
        <f t="shared" si="99"/>
        <v>0</v>
      </c>
      <c r="H1077" s="452">
        <f t="shared" si="99"/>
        <v>0</v>
      </c>
      <c r="I1077" s="452">
        <f t="shared" si="99"/>
        <v>0</v>
      </c>
      <c r="J1077" s="452">
        <f t="shared" si="99"/>
        <v>0</v>
      </c>
      <c r="K1077" s="452">
        <f t="shared" si="99"/>
        <v>0</v>
      </c>
      <c r="L1077" s="452">
        <f t="shared" si="99"/>
        <v>0</v>
      </c>
      <c r="M1077" s="452">
        <f t="shared" si="99"/>
        <v>0</v>
      </c>
      <c r="N1077" s="452">
        <f t="shared" si="99"/>
        <v>0</v>
      </c>
      <c r="O1077" s="452">
        <f t="shared" si="99"/>
        <v>0</v>
      </c>
      <c r="P1077" s="452">
        <f t="shared" si="99"/>
        <v>0</v>
      </c>
      <c r="Q1077" s="452"/>
      <c r="R1077" s="452">
        <f t="shared" si="99"/>
        <v>0</v>
      </c>
      <c r="S1077" s="445">
        <f t="shared" si="96"/>
        <v>0</v>
      </c>
      <c r="T1077" s="445">
        <f t="shared" si="97"/>
        <v>0</v>
      </c>
      <c r="U1077" s="445">
        <f t="shared" si="98"/>
        <v>0</v>
      </c>
      <c r="W1077" s="450"/>
      <c r="X1077" s="450"/>
      <c r="Y1077" s="441"/>
      <c r="Z1077" s="441"/>
      <c r="AA1077" s="441"/>
      <c r="AB1077" s="441"/>
      <c r="AC1077" s="441"/>
      <c r="AD1077" s="441"/>
      <c r="AE1077" s="441"/>
      <c r="AF1077" s="441"/>
      <c r="AG1077" s="441"/>
      <c r="AH1077" s="441"/>
      <c r="AI1077" s="441"/>
      <c r="AJ1077" s="441"/>
      <c r="AK1077" s="441"/>
      <c r="AL1077" s="441"/>
      <c r="AM1077" s="441"/>
      <c r="AN1077" s="441"/>
      <c r="AO1077" s="441"/>
    </row>
    <row r="1078" spans="1:41" ht="12.75" hidden="1" thickBot="1">
      <c r="A1078" s="2" t="s">
        <v>1280</v>
      </c>
      <c r="B1078" s="2" t="s">
        <v>803</v>
      </c>
      <c r="C1078" s="2" t="s">
        <v>804</v>
      </c>
      <c r="D1078" s="8" t="s">
        <v>1205</v>
      </c>
      <c r="E1078" s="3">
        <f t="shared" si="99"/>
        <v>0</v>
      </c>
      <c r="F1078" s="452">
        <f t="shared" si="99"/>
        <v>0</v>
      </c>
      <c r="G1078" s="452">
        <f t="shared" si="99"/>
        <v>0</v>
      </c>
      <c r="H1078" s="452">
        <f t="shared" si="99"/>
        <v>0</v>
      </c>
      <c r="I1078" s="452">
        <f t="shared" si="99"/>
        <v>0</v>
      </c>
      <c r="J1078" s="452">
        <f t="shared" si="99"/>
        <v>0</v>
      </c>
      <c r="K1078" s="452">
        <f t="shared" si="99"/>
        <v>0</v>
      </c>
      <c r="L1078" s="452">
        <f t="shared" si="99"/>
        <v>0</v>
      </c>
      <c r="M1078" s="452">
        <f t="shared" ref="G1078:R1096" si="100">ROUND(SUMIFS(M$1410:M$1613,$A$1410:$A$1613,$A1078,$B$1410:$B$1613,$B1078),0)</f>
        <v>0</v>
      </c>
      <c r="N1078" s="452">
        <f t="shared" si="100"/>
        <v>0</v>
      </c>
      <c r="O1078" s="452">
        <f t="shared" si="100"/>
        <v>0</v>
      </c>
      <c r="P1078" s="452">
        <f t="shared" si="100"/>
        <v>0</v>
      </c>
      <c r="Q1078" s="452"/>
      <c r="R1078" s="452">
        <f t="shared" si="100"/>
        <v>0</v>
      </c>
      <c r="S1078" s="445">
        <f t="shared" si="96"/>
        <v>0</v>
      </c>
      <c r="T1078" s="445">
        <f t="shared" si="97"/>
        <v>0</v>
      </c>
      <c r="U1078" s="445">
        <f t="shared" si="98"/>
        <v>0</v>
      </c>
      <c r="W1078" s="450"/>
      <c r="X1078" s="450"/>
      <c r="Y1078" s="441"/>
      <c r="Z1078" s="441"/>
      <c r="AA1078" s="441"/>
      <c r="AB1078" s="441"/>
      <c r="AC1078" s="441"/>
      <c r="AD1078" s="441"/>
      <c r="AE1078" s="441"/>
      <c r="AF1078" s="441"/>
      <c r="AG1078" s="441"/>
      <c r="AH1078" s="441"/>
      <c r="AI1078" s="441"/>
      <c r="AJ1078" s="441"/>
      <c r="AK1078" s="441"/>
      <c r="AL1078" s="441"/>
      <c r="AM1078" s="441"/>
      <c r="AN1078" s="441"/>
      <c r="AO1078" s="441"/>
    </row>
    <row r="1079" spans="1:41" ht="12.75" hidden="1" thickBot="1">
      <c r="A1079" s="2" t="s">
        <v>1280</v>
      </c>
      <c r="B1079" s="2" t="s">
        <v>387</v>
      </c>
      <c r="C1079" s="2" t="s">
        <v>411</v>
      </c>
      <c r="D1079" s="8" t="s">
        <v>412</v>
      </c>
      <c r="E1079" s="3">
        <f t="shared" ref="E1079:F1096" si="101">ROUND(SUMIFS(E$1410:E$1613,$A$1410:$A$1613,$A1079,$B$1410:$B$1613,$B1079),0)</f>
        <v>7093200</v>
      </c>
      <c r="F1079" s="452">
        <f t="shared" si="101"/>
        <v>0</v>
      </c>
      <c r="G1079" s="452">
        <f t="shared" si="100"/>
        <v>71996</v>
      </c>
      <c r="H1079" s="452">
        <f t="shared" si="100"/>
        <v>193290</v>
      </c>
      <c r="I1079" s="452">
        <f t="shared" si="100"/>
        <v>0</v>
      </c>
      <c r="J1079" s="452">
        <f t="shared" si="100"/>
        <v>3249</v>
      </c>
      <c r="K1079" s="452">
        <f t="shared" si="100"/>
        <v>102734</v>
      </c>
      <c r="L1079" s="452">
        <f t="shared" si="100"/>
        <v>0</v>
      </c>
      <c r="M1079" s="452">
        <f t="shared" si="100"/>
        <v>-1539</v>
      </c>
      <c r="N1079" s="452">
        <f t="shared" si="100"/>
        <v>0</v>
      </c>
      <c r="O1079" s="452">
        <f t="shared" si="100"/>
        <v>67724</v>
      </c>
      <c r="P1079" s="452">
        <f t="shared" si="100"/>
        <v>0</v>
      </c>
      <c r="Q1079" s="452"/>
      <c r="R1079" s="452">
        <f t="shared" si="100"/>
        <v>437454</v>
      </c>
      <c r="S1079" s="445">
        <f t="shared" si="96"/>
        <v>265286</v>
      </c>
      <c r="T1079" s="445">
        <f t="shared" si="97"/>
        <v>105983</v>
      </c>
      <c r="U1079" s="445">
        <f t="shared" si="98"/>
        <v>67724</v>
      </c>
      <c r="W1079" s="450"/>
      <c r="X1079" s="450"/>
      <c r="Y1079" s="441"/>
      <c r="Z1079" s="441"/>
      <c r="AA1079" s="441"/>
      <c r="AB1079" s="441"/>
      <c r="AC1079" s="441"/>
      <c r="AD1079" s="441"/>
      <c r="AE1079" s="441"/>
      <c r="AF1079" s="441"/>
      <c r="AG1079" s="441"/>
      <c r="AH1079" s="441"/>
      <c r="AI1079" s="441"/>
      <c r="AJ1079" s="441"/>
      <c r="AK1079" s="441"/>
      <c r="AL1079" s="441"/>
      <c r="AM1079" s="441"/>
      <c r="AN1079" s="441"/>
      <c r="AO1079" s="441"/>
    </row>
    <row r="1080" spans="1:41" s="461" customFormat="1" ht="12.75" hidden="1" thickBot="1">
      <c r="A1080" s="2" t="s">
        <v>1280</v>
      </c>
      <c r="B1080" s="2" t="s">
        <v>388</v>
      </c>
      <c r="C1080" s="2" t="s">
        <v>54</v>
      </c>
      <c r="D1080" s="8" t="s">
        <v>15</v>
      </c>
      <c r="E1080" s="3">
        <f t="shared" si="101"/>
        <v>68882846</v>
      </c>
      <c r="F1080" s="452">
        <f t="shared" si="101"/>
        <v>9000</v>
      </c>
      <c r="G1080" s="452">
        <f t="shared" si="100"/>
        <v>609613</v>
      </c>
      <c r="H1080" s="452">
        <f t="shared" si="100"/>
        <v>1877058</v>
      </c>
      <c r="I1080" s="452">
        <f t="shared" si="100"/>
        <v>0</v>
      </c>
      <c r="J1080" s="452">
        <f t="shared" si="100"/>
        <v>45590</v>
      </c>
      <c r="K1080" s="452">
        <f t="shared" si="100"/>
        <v>1302038</v>
      </c>
      <c r="L1080" s="452">
        <f t="shared" si="100"/>
        <v>0</v>
      </c>
      <c r="M1080" s="452">
        <f t="shared" si="100"/>
        <v>-14941</v>
      </c>
      <c r="N1080" s="452">
        <f t="shared" si="100"/>
        <v>0</v>
      </c>
      <c r="O1080" s="452">
        <f t="shared" si="100"/>
        <v>657675</v>
      </c>
      <c r="P1080" s="452">
        <f t="shared" si="100"/>
        <v>0</v>
      </c>
      <c r="Q1080" s="452"/>
      <c r="R1080" s="452">
        <f t="shared" si="100"/>
        <v>4486033</v>
      </c>
      <c r="S1080" s="445">
        <f t="shared" si="96"/>
        <v>2486671</v>
      </c>
      <c r="T1080" s="445">
        <f t="shared" si="97"/>
        <v>1347628</v>
      </c>
      <c r="U1080" s="445">
        <f t="shared" si="98"/>
        <v>657675</v>
      </c>
      <c r="W1080" s="450"/>
      <c r="X1080" s="450"/>
      <c r="Y1080" s="441"/>
      <c r="Z1080" s="441"/>
      <c r="AA1080" s="441"/>
      <c r="AB1080" s="441"/>
      <c r="AC1080" s="441"/>
      <c r="AD1080" s="441"/>
      <c r="AE1080" s="441"/>
      <c r="AF1080" s="441"/>
      <c r="AG1080" s="441"/>
      <c r="AH1080" s="441"/>
      <c r="AI1080" s="441"/>
      <c r="AJ1080" s="441"/>
      <c r="AK1080" s="441"/>
      <c r="AL1080" s="441"/>
      <c r="AM1080" s="441"/>
      <c r="AN1080" s="441"/>
      <c r="AO1080" s="441"/>
    </row>
    <row r="1081" spans="1:41" ht="12.75" hidden="1" thickBot="1">
      <c r="A1081" s="2" t="s">
        <v>1280</v>
      </c>
      <c r="B1081" s="2" t="s">
        <v>389</v>
      </c>
      <c r="C1081" s="2" t="s">
        <v>419</v>
      </c>
      <c r="D1081" s="8" t="s">
        <v>20</v>
      </c>
      <c r="E1081" s="3">
        <f t="shared" si="101"/>
        <v>19399423</v>
      </c>
      <c r="F1081" s="452">
        <f t="shared" si="101"/>
        <v>19350</v>
      </c>
      <c r="G1081" s="452">
        <f t="shared" si="100"/>
        <v>258982</v>
      </c>
      <c r="H1081" s="452">
        <f t="shared" si="100"/>
        <v>528634</v>
      </c>
      <c r="I1081" s="452">
        <f t="shared" si="100"/>
        <v>0</v>
      </c>
      <c r="J1081" s="452">
        <f t="shared" si="100"/>
        <v>30112</v>
      </c>
      <c r="K1081" s="452">
        <f t="shared" si="100"/>
        <v>848780</v>
      </c>
      <c r="L1081" s="452">
        <f t="shared" si="100"/>
        <v>45077</v>
      </c>
      <c r="M1081" s="452">
        <f t="shared" si="100"/>
        <v>-4208</v>
      </c>
      <c r="N1081" s="452">
        <f t="shared" si="100"/>
        <v>0</v>
      </c>
      <c r="O1081" s="452">
        <f t="shared" si="100"/>
        <v>185220</v>
      </c>
      <c r="P1081" s="452">
        <f t="shared" si="100"/>
        <v>0</v>
      </c>
      <c r="Q1081" s="452"/>
      <c r="R1081" s="452">
        <f t="shared" si="100"/>
        <v>1911948</v>
      </c>
      <c r="S1081" s="445">
        <f t="shared" si="96"/>
        <v>787616</v>
      </c>
      <c r="T1081" s="445">
        <f t="shared" si="97"/>
        <v>878892</v>
      </c>
      <c r="U1081" s="445">
        <f t="shared" si="98"/>
        <v>185220</v>
      </c>
      <c r="W1081" s="450"/>
      <c r="X1081" s="450"/>
      <c r="Y1081" s="441"/>
      <c r="Z1081" s="441"/>
      <c r="AA1081" s="441"/>
      <c r="AB1081" s="441"/>
      <c r="AC1081" s="441"/>
      <c r="AD1081" s="441"/>
      <c r="AE1081" s="441"/>
      <c r="AF1081" s="441"/>
      <c r="AG1081" s="441"/>
      <c r="AH1081" s="441"/>
      <c r="AI1081" s="441"/>
      <c r="AJ1081" s="441"/>
      <c r="AK1081" s="441"/>
      <c r="AL1081" s="441"/>
      <c r="AM1081" s="441"/>
      <c r="AN1081" s="441"/>
      <c r="AO1081" s="441"/>
    </row>
    <row r="1082" spans="1:41" ht="12.75" hidden="1" thickBot="1">
      <c r="A1082" s="2" t="s">
        <v>1280</v>
      </c>
      <c r="B1082" s="2" t="s">
        <v>390</v>
      </c>
      <c r="C1082" s="2" t="s">
        <v>418</v>
      </c>
      <c r="D1082" s="2" t="s">
        <v>21</v>
      </c>
      <c r="E1082" s="3">
        <f t="shared" si="101"/>
        <v>1042841</v>
      </c>
      <c r="F1082" s="452">
        <f t="shared" si="101"/>
        <v>3570</v>
      </c>
      <c r="G1082" s="452">
        <f t="shared" si="100"/>
        <v>12525</v>
      </c>
      <c r="H1082" s="452">
        <f t="shared" si="100"/>
        <v>28417</v>
      </c>
      <c r="I1082" s="452">
        <f t="shared" si="100"/>
        <v>0</v>
      </c>
      <c r="J1082" s="452">
        <f t="shared" si="100"/>
        <v>1867</v>
      </c>
      <c r="K1082" s="452">
        <f t="shared" si="100"/>
        <v>43475</v>
      </c>
      <c r="L1082" s="452">
        <f t="shared" si="100"/>
        <v>2423</v>
      </c>
      <c r="M1082" s="452">
        <f t="shared" si="100"/>
        <v>-226</v>
      </c>
      <c r="N1082" s="452">
        <f t="shared" si="100"/>
        <v>0</v>
      </c>
      <c r="O1082" s="452">
        <f t="shared" si="100"/>
        <v>9957</v>
      </c>
      <c r="P1082" s="452">
        <f t="shared" si="100"/>
        <v>0</v>
      </c>
      <c r="Q1082" s="452"/>
      <c r="R1082" s="452">
        <f t="shared" si="100"/>
        <v>102008</v>
      </c>
      <c r="S1082" s="445">
        <f t="shared" si="96"/>
        <v>40942</v>
      </c>
      <c r="T1082" s="445">
        <f t="shared" si="97"/>
        <v>45342</v>
      </c>
      <c r="U1082" s="445">
        <f t="shared" si="98"/>
        <v>9957</v>
      </c>
      <c r="W1082" s="450"/>
      <c r="X1082" s="450"/>
      <c r="Y1082" s="441"/>
      <c r="Z1082" s="441"/>
      <c r="AA1082" s="441"/>
      <c r="AB1082" s="441"/>
      <c r="AC1082" s="441"/>
      <c r="AD1082" s="441"/>
      <c r="AE1082" s="441"/>
      <c r="AF1082" s="441"/>
      <c r="AG1082" s="441"/>
      <c r="AH1082" s="441"/>
      <c r="AI1082" s="441"/>
      <c r="AJ1082" s="441"/>
      <c r="AK1082" s="441"/>
      <c r="AL1082" s="441"/>
      <c r="AM1082" s="441"/>
      <c r="AN1082" s="441"/>
      <c r="AO1082" s="441"/>
    </row>
    <row r="1083" spans="1:41" ht="12.75" hidden="1" thickBot="1">
      <c r="A1083" s="2" t="s">
        <v>1280</v>
      </c>
      <c r="B1083" s="2" t="s">
        <v>391</v>
      </c>
      <c r="C1083" s="2" t="s">
        <v>1034</v>
      </c>
      <c r="D1083" s="8" t="s">
        <v>422</v>
      </c>
      <c r="E1083" s="3">
        <f t="shared" si="101"/>
        <v>20321484</v>
      </c>
      <c r="F1083" s="452">
        <f t="shared" si="101"/>
        <v>19200</v>
      </c>
      <c r="G1083" s="452">
        <f t="shared" si="100"/>
        <v>257067</v>
      </c>
      <c r="H1083" s="452">
        <f t="shared" si="100"/>
        <v>553760</v>
      </c>
      <c r="I1083" s="452">
        <f t="shared" si="100"/>
        <v>0</v>
      </c>
      <c r="J1083" s="452">
        <f t="shared" si="100"/>
        <v>23491</v>
      </c>
      <c r="K1083" s="452">
        <f t="shared" si="100"/>
        <v>687091</v>
      </c>
      <c r="L1083" s="452">
        <f t="shared" si="100"/>
        <v>47219</v>
      </c>
      <c r="M1083" s="452">
        <f t="shared" si="100"/>
        <v>-4408</v>
      </c>
      <c r="N1083" s="452">
        <f t="shared" si="100"/>
        <v>0</v>
      </c>
      <c r="O1083" s="452">
        <f t="shared" si="100"/>
        <v>194024</v>
      </c>
      <c r="P1083" s="452">
        <f t="shared" si="100"/>
        <v>0</v>
      </c>
      <c r="Q1083" s="452"/>
      <c r="R1083" s="452">
        <f t="shared" si="100"/>
        <v>1777444</v>
      </c>
      <c r="S1083" s="445">
        <f t="shared" si="96"/>
        <v>810827</v>
      </c>
      <c r="T1083" s="445">
        <f t="shared" si="97"/>
        <v>710582</v>
      </c>
      <c r="U1083" s="445">
        <f t="shared" si="98"/>
        <v>194024</v>
      </c>
      <c r="W1083" s="450"/>
      <c r="X1083" s="450"/>
      <c r="Y1083" s="441"/>
      <c r="Z1083" s="441"/>
      <c r="AA1083" s="441"/>
      <c r="AB1083" s="441"/>
      <c r="AC1083" s="441"/>
      <c r="AD1083" s="441"/>
      <c r="AE1083" s="441"/>
      <c r="AF1083" s="441"/>
      <c r="AG1083" s="441"/>
      <c r="AH1083" s="441"/>
      <c r="AI1083" s="441"/>
      <c r="AJ1083" s="441"/>
      <c r="AK1083" s="441"/>
      <c r="AL1083" s="441"/>
      <c r="AM1083" s="441"/>
      <c r="AN1083" s="441"/>
      <c r="AO1083" s="441"/>
    </row>
    <row r="1084" spans="1:41" ht="12.75" hidden="1" thickBot="1">
      <c r="A1084" s="2" t="s">
        <v>1280</v>
      </c>
      <c r="B1084" s="2" t="s">
        <v>392</v>
      </c>
      <c r="C1084" s="2" t="s">
        <v>420</v>
      </c>
      <c r="D1084" s="8" t="s">
        <v>421</v>
      </c>
      <c r="E1084" s="3">
        <f t="shared" si="101"/>
        <v>131501376</v>
      </c>
      <c r="F1084" s="452">
        <f t="shared" si="101"/>
        <v>20700</v>
      </c>
      <c r="G1084" s="452">
        <f t="shared" si="100"/>
        <v>1069106</v>
      </c>
      <c r="H1084" s="452">
        <f t="shared" si="100"/>
        <v>3583413</v>
      </c>
      <c r="I1084" s="452">
        <f t="shared" si="100"/>
        <v>0</v>
      </c>
      <c r="J1084" s="452">
        <f t="shared" si="100"/>
        <v>130349</v>
      </c>
      <c r="K1084" s="452">
        <f t="shared" si="100"/>
        <v>3595145</v>
      </c>
      <c r="L1084" s="452">
        <f t="shared" si="100"/>
        <v>305558</v>
      </c>
      <c r="M1084" s="452">
        <f t="shared" si="100"/>
        <v>-28522</v>
      </c>
      <c r="N1084" s="452">
        <f t="shared" si="100"/>
        <v>0</v>
      </c>
      <c r="O1084" s="452">
        <f t="shared" si="100"/>
        <v>1255539</v>
      </c>
      <c r="P1084" s="452">
        <f t="shared" si="100"/>
        <v>0</v>
      </c>
      <c r="Q1084" s="452"/>
      <c r="R1084" s="452">
        <f t="shared" si="100"/>
        <v>9931287</v>
      </c>
      <c r="S1084" s="445">
        <f t="shared" si="96"/>
        <v>4652519</v>
      </c>
      <c r="T1084" s="445">
        <f t="shared" si="97"/>
        <v>3725494</v>
      </c>
      <c r="U1084" s="445">
        <f t="shared" si="98"/>
        <v>1255539</v>
      </c>
      <c r="W1084" s="450"/>
      <c r="X1084" s="450"/>
      <c r="Y1084" s="441"/>
      <c r="Z1084" s="441"/>
      <c r="AA1084" s="441"/>
      <c r="AB1084" s="441"/>
      <c r="AC1084" s="441"/>
      <c r="AD1084" s="441"/>
      <c r="AE1084" s="441"/>
      <c r="AF1084" s="441"/>
      <c r="AG1084" s="441"/>
      <c r="AH1084" s="441"/>
      <c r="AI1084" s="441"/>
      <c r="AJ1084" s="441"/>
      <c r="AK1084" s="441"/>
      <c r="AL1084" s="441"/>
      <c r="AM1084" s="441"/>
      <c r="AN1084" s="441"/>
      <c r="AO1084" s="441"/>
    </row>
    <row r="1085" spans="1:41" ht="12.75" hidden="1" thickBot="1">
      <c r="A1085" s="2" t="s">
        <v>1280</v>
      </c>
      <c r="B1085" s="2" t="s">
        <v>394</v>
      </c>
      <c r="C1085" s="2" t="s">
        <v>423</v>
      </c>
      <c r="D1085" s="8" t="s">
        <v>17</v>
      </c>
      <c r="E1085" s="3">
        <f t="shared" si="101"/>
        <v>0</v>
      </c>
      <c r="F1085" s="452">
        <f t="shared" si="101"/>
        <v>0</v>
      </c>
      <c r="G1085" s="452">
        <f t="shared" si="100"/>
        <v>0</v>
      </c>
      <c r="H1085" s="452">
        <f t="shared" si="100"/>
        <v>0</v>
      </c>
      <c r="I1085" s="452">
        <f t="shared" si="100"/>
        <v>0</v>
      </c>
      <c r="J1085" s="452">
        <f t="shared" si="100"/>
        <v>0</v>
      </c>
      <c r="K1085" s="452">
        <f t="shared" si="100"/>
        <v>0</v>
      </c>
      <c r="L1085" s="452">
        <f t="shared" si="100"/>
        <v>0</v>
      </c>
      <c r="M1085" s="452">
        <f t="shared" si="100"/>
        <v>0</v>
      </c>
      <c r="N1085" s="452">
        <f t="shared" si="100"/>
        <v>0</v>
      </c>
      <c r="O1085" s="452">
        <f t="shared" si="100"/>
        <v>0</v>
      </c>
      <c r="P1085" s="452">
        <f t="shared" si="100"/>
        <v>0</v>
      </c>
      <c r="Q1085" s="452"/>
      <c r="R1085" s="452">
        <f t="shared" si="100"/>
        <v>0</v>
      </c>
      <c r="S1085" s="445">
        <f t="shared" si="96"/>
        <v>0</v>
      </c>
      <c r="T1085" s="445">
        <f t="shared" si="97"/>
        <v>0</v>
      </c>
      <c r="U1085" s="445">
        <f t="shared" si="98"/>
        <v>0</v>
      </c>
      <c r="W1085" s="450"/>
      <c r="X1085" s="450"/>
      <c r="Y1085" s="441"/>
      <c r="Z1085" s="441"/>
      <c r="AA1085" s="441"/>
      <c r="AB1085" s="441"/>
      <c r="AC1085" s="441"/>
      <c r="AD1085" s="441"/>
      <c r="AE1085" s="441"/>
      <c r="AF1085" s="441"/>
      <c r="AG1085" s="441"/>
      <c r="AH1085" s="441"/>
      <c r="AI1085" s="441"/>
      <c r="AJ1085" s="441"/>
      <c r="AK1085" s="441"/>
      <c r="AL1085" s="441"/>
      <c r="AM1085" s="441"/>
      <c r="AN1085" s="441"/>
      <c r="AO1085" s="441"/>
    </row>
    <row r="1086" spans="1:41" ht="12.75" hidden="1" thickBot="1">
      <c r="A1086" s="2" t="s">
        <v>1280</v>
      </c>
      <c r="B1086" s="2" t="s">
        <v>395</v>
      </c>
      <c r="C1086" s="2" t="s">
        <v>423</v>
      </c>
      <c r="D1086" s="8" t="s">
        <v>17</v>
      </c>
      <c r="E1086" s="3">
        <f t="shared" si="101"/>
        <v>0</v>
      </c>
      <c r="F1086" s="452">
        <f t="shared" si="101"/>
        <v>0</v>
      </c>
      <c r="G1086" s="452">
        <f t="shared" si="100"/>
        <v>0</v>
      </c>
      <c r="H1086" s="452">
        <f t="shared" si="100"/>
        <v>0</v>
      </c>
      <c r="I1086" s="452">
        <f t="shared" si="100"/>
        <v>0</v>
      </c>
      <c r="J1086" s="452">
        <f t="shared" si="100"/>
        <v>0</v>
      </c>
      <c r="K1086" s="452">
        <f t="shared" si="100"/>
        <v>0</v>
      </c>
      <c r="L1086" s="452">
        <f t="shared" si="100"/>
        <v>0</v>
      </c>
      <c r="M1086" s="452">
        <f t="shared" si="100"/>
        <v>0</v>
      </c>
      <c r="N1086" s="452">
        <f t="shared" si="100"/>
        <v>0</v>
      </c>
      <c r="O1086" s="452">
        <f t="shared" si="100"/>
        <v>0</v>
      </c>
      <c r="P1086" s="452">
        <f t="shared" si="100"/>
        <v>0</v>
      </c>
      <c r="Q1086" s="452"/>
      <c r="R1086" s="452">
        <f t="shared" si="100"/>
        <v>0</v>
      </c>
      <c r="S1086" s="445">
        <f t="shared" si="96"/>
        <v>0</v>
      </c>
      <c r="T1086" s="445">
        <f t="shared" si="97"/>
        <v>0</v>
      </c>
      <c r="U1086" s="445">
        <f t="shared" si="98"/>
        <v>0</v>
      </c>
      <c r="W1086" s="450"/>
      <c r="X1086" s="450"/>
      <c r="Y1086" s="441"/>
      <c r="Z1086" s="441"/>
      <c r="AA1086" s="441"/>
      <c r="AB1086" s="441"/>
      <c r="AC1086" s="441"/>
      <c r="AD1086" s="441"/>
      <c r="AE1086" s="441"/>
      <c r="AF1086" s="441"/>
      <c r="AG1086" s="441"/>
      <c r="AH1086" s="441"/>
      <c r="AI1086" s="441"/>
      <c r="AJ1086" s="441"/>
      <c r="AK1086" s="441"/>
      <c r="AL1086" s="441"/>
      <c r="AM1086" s="441"/>
      <c r="AN1086" s="441"/>
      <c r="AO1086" s="441"/>
    </row>
    <row r="1087" spans="1:41" ht="12.75" hidden="1" thickBot="1">
      <c r="A1087" s="2" t="s">
        <v>1280</v>
      </c>
      <c r="B1087" s="2" t="s">
        <v>396</v>
      </c>
      <c r="C1087" s="2" t="s">
        <v>423</v>
      </c>
      <c r="D1087" s="8" t="s">
        <v>17</v>
      </c>
      <c r="E1087" s="3">
        <f t="shared" si="101"/>
        <v>0</v>
      </c>
      <c r="F1087" s="452">
        <f t="shared" si="101"/>
        <v>0</v>
      </c>
      <c r="G1087" s="452">
        <f t="shared" si="100"/>
        <v>0</v>
      </c>
      <c r="H1087" s="452">
        <f t="shared" si="100"/>
        <v>0</v>
      </c>
      <c r="I1087" s="452">
        <f t="shared" si="100"/>
        <v>0</v>
      </c>
      <c r="J1087" s="452">
        <f t="shared" si="100"/>
        <v>0</v>
      </c>
      <c r="K1087" s="452">
        <f t="shared" si="100"/>
        <v>0</v>
      </c>
      <c r="L1087" s="452">
        <f t="shared" si="100"/>
        <v>0</v>
      </c>
      <c r="M1087" s="452">
        <f t="shared" si="100"/>
        <v>0</v>
      </c>
      <c r="N1087" s="452">
        <f t="shared" si="100"/>
        <v>0</v>
      </c>
      <c r="O1087" s="452">
        <f t="shared" si="100"/>
        <v>0</v>
      </c>
      <c r="P1087" s="452">
        <f t="shared" si="100"/>
        <v>0</v>
      </c>
      <c r="Q1087" s="452"/>
      <c r="R1087" s="452">
        <f t="shared" si="100"/>
        <v>0</v>
      </c>
      <c r="S1087" s="445">
        <f t="shared" si="96"/>
        <v>0</v>
      </c>
      <c r="T1087" s="445">
        <f t="shared" si="97"/>
        <v>0</v>
      </c>
      <c r="U1087" s="445">
        <f t="shared" si="98"/>
        <v>0</v>
      </c>
      <c r="W1087" s="450"/>
      <c r="X1087" s="450"/>
      <c r="Y1087" s="441"/>
      <c r="Z1087" s="441"/>
      <c r="AA1087" s="441"/>
      <c r="AB1087" s="441"/>
      <c r="AC1087" s="441"/>
      <c r="AD1087" s="441"/>
      <c r="AE1087" s="441"/>
      <c r="AF1087" s="441"/>
      <c r="AG1087" s="441"/>
      <c r="AH1087" s="441"/>
      <c r="AI1087" s="441"/>
      <c r="AJ1087" s="441"/>
      <c r="AK1087" s="441"/>
      <c r="AL1087" s="441"/>
      <c r="AM1087" s="441"/>
      <c r="AN1087" s="441"/>
      <c r="AO1087" s="441"/>
    </row>
    <row r="1088" spans="1:41" ht="12.75" hidden="1" thickBot="1">
      <c r="A1088" s="2" t="s">
        <v>1280</v>
      </c>
      <c r="B1088" s="2" t="s">
        <v>397</v>
      </c>
      <c r="C1088" s="2" t="s">
        <v>55</v>
      </c>
      <c r="D1088" s="8" t="s">
        <v>18</v>
      </c>
      <c r="E1088" s="3">
        <f t="shared" si="101"/>
        <v>0</v>
      </c>
      <c r="F1088" s="452">
        <f t="shared" si="101"/>
        <v>0</v>
      </c>
      <c r="G1088" s="452">
        <f t="shared" si="100"/>
        <v>0</v>
      </c>
      <c r="H1088" s="452">
        <f t="shared" si="100"/>
        <v>0</v>
      </c>
      <c r="I1088" s="452">
        <f t="shared" si="100"/>
        <v>0</v>
      </c>
      <c r="J1088" s="452">
        <f t="shared" si="100"/>
        <v>0</v>
      </c>
      <c r="K1088" s="452">
        <f t="shared" si="100"/>
        <v>0</v>
      </c>
      <c r="L1088" s="452">
        <f t="shared" si="100"/>
        <v>0</v>
      </c>
      <c r="M1088" s="452">
        <f t="shared" si="100"/>
        <v>0</v>
      </c>
      <c r="N1088" s="452">
        <f t="shared" si="100"/>
        <v>0</v>
      </c>
      <c r="O1088" s="452">
        <f t="shared" si="100"/>
        <v>0</v>
      </c>
      <c r="P1088" s="452">
        <f t="shared" si="100"/>
        <v>0</v>
      </c>
      <c r="Q1088" s="452"/>
      <c r="R1088" s="452">
        <f t="shared" si="100"/>
        <v>0</v>
      </c>
      <c r="S1088" s="445">
        <f t="shared" si="96"/>
        <v>0</v>
      </c>
      <c r="T1088" s="445">
        <f t="shared" si="97"/>
        <v>0</v>
      </c>
      <c r="U1088" s="445">
        <f t="shared" si="98"/>
        <v>0</v>
      </c>
      <c r="W1088" s="450"/>
      <c r="X1088" s="450"/>
      <c r="Y1088" s="441"/>
      <c r="Z1088" s="441"/>
      <c r="AA1088" s="441"/>
      <c r="AB1088" s="441"/>
      <c r="AC1088" s="441"/>
      <c r="AD1088" s="441"/>
      <c r="AE1088" s="441"/>
      <c r="AF1088" s="441"/>
      <c r="AG1088" s="441"/>
      <c r="AH1088" s="441"/>
      <c r="AI1088" s="441"/>
      <c r="AJ1088" s="441"/>
      <c r="AK1088" s="441"/>
      <c r="AL1088" s="441"/>
      <c r="AM1088" s="441"/>
      <c r="AN1088" s="441"/>
      <c r="AO1088" s="441"/>
    </row>
    <row r="1089" spans="1:41" ht="12.75" hidden="1" thickBot="1">
      <c r="A1089" s="2" t="s">
        <v>1280</v>
      </c>
      <c r="B1089" s="2" t="s">
        <v>398</v>
      </c>
      <c r="C1089" s="2" t="s">
        <v>55</v>
      </c>
      <c r="D1089" s="8" t="s">
        <v>18</v>
      </c>
      <c r="E1089" s="3">
        <f t="shared" si="101"/>
        <v>0</v>
      </c>
      <c r="F1089" s="452">
        <f t="shared" si="101"/>
        <v>0</v>
      </c>
      <c r="G1089" s="452">
        <f t="shared" si="100"/>
        <v>0</v>
      </c>
      <c r="H1089" s="452">
        <f t="shared" si="100"/>
        <v>0</v>
      </c>
      <c r="I1089" s="452">
        <f t="shared" si="100"/>
        <v>0</v>
      </c>
      <c r="J1089" s="452">
        <f t="shared" si="100"/>
        <v>0</v>
      </c>
      <c r="K1089" s="452">
        <f t="shared" si="100"/>
        <v>0</v>
      </c>
      <c r="L1089" s="452">
        <f t="shared" si="100"/>
        <v>0</v>
      </c>
      <c r="M1089" s="452">
        <f t="shared" si="100"/>
        <v>0</v>
      </c>
      <c r="N1089" s="452">
        <f t="shared" si="100"/>
        <v>0</v>
      </c>
      <c r="O1089" s="452">
        <f t="shared" si="100"/>
        <v>0</v>
      </c>
      <c r="P1089" s="452">
        <f t="shared" si="100"/>
        <v>0</v>
      </c>
      <c r="Q1089" s="452"/>
      <c r="R1089" s="452">
        <f t="shared" si="100"/>
        <v>0</v>
      </c>
      <c r="S1089" s="445">
        <f t="shared" si="96"/>
        <v>0</v>
      </c>
      <c r="T1089" s="445">
        <f t="shared" si="97"/>
        <v>0</v>
      </c>
      <c r="U1089" s="445">
        <f t="shared" si="98"/>
        <v>0</v>
      </c>
      <c r="W1089" s="450"/>
      <c r="X1089" s="450"/>
      <c r="Y1089" s="441"/>
      <c r="Z1089" s="441"/>
      <c r="AA1089" s="441"/>
      <c r="AB1089" s="441"/>
      <c r="AC1089" s="441"/>
      <c r="AD1089" s="441"/>
      <c r="AE1089" s="441"/>
      <c r="AF1089" s="441"/>
      <c r="AG1089" s="441"/>
      <c r="AH1089" s="441"/>
      <c r="AI1089" s="441"/>
      <c r="AJ1089" s="441"/>
      <c r="AK1089" s="441"/>
      <c r="AL1089" s="441"/>
      <c r="AM1089" s="441"/>
      <c r="AN1089" s="441"/>
      <c r="AO1089" s="441"/>
    </row>
    <row r="1090" spans="1:41" ht="12.75" hidden="1" thickBot="1">
      <c r="A1090" s="2" t="s">
        <v>1280</v>
      </c>
      <c r="B1090" s="2" t="s">
        <v>805</v>
      </c>
      <c r="C1090" s="2" t="s">
        <v>806</v>
      </c>
      <c r="D1090" s="8" t="s">
        <v>1205</v>
      </c>
      <c r="E1090" s="3">
        <f t="shared" si="101"/>
        <v>0</v>
      </c>
      <c r="F1090" s="452">
        <f t="shared" si="101"/>
        <v>0</v>
      </c>
      <c r="G1090" s="452">
        <f t="shared" si="100"/>
        <v>0</v>
      </c>
      <c r="H1090" s="452">
        <f t="shared" si="100"/>
        <v>0</v>
      </c>
      <c r="I1090" s="452">
        <f t="shared" si="100"/>
        <v>0</v>
      </c>
      <c r="J1090" s="452">
        <f t="shared" si="100"/>
        <v>0</v>
      </c>
      <c r="K1090" s="452">
        <f t="shared" si="100"/>
        <v>0</v>
      </c>
      <c r="L1090" s="452">
        <f t="shared" si="100"/>
        <v>0</v>
      </c>
      <c r="M1090" s="452">
        <f t="shared" si="100"/>
        <v>0</v>
      </c>
      <c r="N1090" s="452">
        <f t="shared" si="100"/>
        <v>0</v>
      </c>
      <c r="O1090" s="452">
        <f t="shared" si="100"/>
        <v>0</v>
      </c>
      <c r="P1090" s="452">
        <f t="shared" si="100"/>
        <v>0</v>
      </c>
      <c r="Q1090" s="452"/>
      <c r="R1090" s="452">
        <f t="shared" si="100"/>
        <v>0</v>
      </c>
      <c r="S1090" s="445">
        <f t="shared" si="96"/>
        <v>0</v>
      </c>
      <c r="T1090" s="445">
        <f t="shared" si="97"/>
        <v>0</v>
      </c>
      <c r="U1090" s="445">
        <f t="shared" si="98"/>
        <v>0</v>
      </c>
      <c r="W1090" s="450"/>
      <c r="X1090" s="450"/>
      <c r="Y1090" s="441"/>
      <c r="Z1090" s="441"/>
      <c r="AA1090" s="441"/>
      <c r="AB1090" s="441"/>
      <c r="AC1090" s="441"/>
      <c r="AD1090" s="441"/>
      <c r="AE1090" s="441"/>
      <c r="AF1090" s="441"/>
      <c r="AG1090" s="441"/>
      <c r="AH1090" s="441"/>
      <c r="AI1090" s="441"/>
      <c r="AJ1090" s="441"/>
      <c r="AK1090" s="441"/>
      <c r="AL1090" s="441"/>
      <c r="AM1090" s="441"/>
      <c r="AN1090" s="441"/>
      <c r="AO1090" s="441"/>
    </row>
    <row r="1091" spans="1:41" ht="12.75" thickBot="1">
      <c r="A1091" s="2" t="s">
        <v>1280</v>
      </c>
      <c r="B1091" s="2" t="s">
        <v>399</v>
      </c>
      <c r="C1091" s="2" t="s">
        <v>430</v>
      </c>
      <c r="D1091" s="8" t="s">
        <v>13</v>
      </c>
      <c r="E1091" s="3">
        <f t="shared" si="101"/>
        <v>0</v>
      </c>
      <c r="F1091" s="452">
        <f t="shared" si="101"/>
        <v>0</v>
      </c>
      <c r="G1091" s="452">
        <f t="shared" si="100"/>
        <v>0</v>
      </c>
      <c r="H1091" s="452">
        <f t="shared" si="100"/>
        <v>0</v>
      </c>
      <c r="I1091" s="452">
        <f t="shared" si="100"/>
        <v>0</v>
      </c>
      <c r="J1091" s="452">
        <f t="shared" si="100"/>
        <v>0</v>
      </c>
      <c r="K1091" s="452">
        <f t="shared" si="100"/>
        <v>0</v>
      </c>
      <c r="L1091" s="452">
        <f t="shared" si="100"/>
        <v>0</v>
      </c>
      <c r="M1091" s="452">
        <f t="shared" si="100"/>
        <v>0</v>
      </c>
      <c r="N1091" s="452">
        <f t="shared" si="100"/>
        <v>0</v>
      </c>
      <c r="O1091" s="452">
        <f t="shared" si="100"/>
        <v>0</v>
      </c>
      <c r="P1091" s="452">
        <f t="shared" si="100"/>
        <v>0</v>
      </c>
      <c r="Q1091" s="452"/>
      <c r="R1091" s="452">
        <f t="shared" si="100"/>
        <v>0</v>
      </c>
      <c r="S1091" s="445">
        <f t="shared" si="96"/>
        <v>0</v>
      </c>
      <c r="T1091" s="445">
        <f t="shared" si="97"/>
        <v>0</v>
      </c>
      <c r="U1091" s="445">
        <f t="shared" si="98"/>
        <v>0</v>
      </c>
      <c r="W1091" s="450"/>
      <c r="X1091" s="450"/>
      <c r="Y1091" s="441"/>
      <c r="Z1091" s="441"/>
      <c r="AA1091" s="441"/>
      <c r="AB1091" s="441"/>
      <c r="AC1091" s="441"/>
      <c r="AD1091" s="441"/>
      <c r="AE1091" s="441"/>
      <c r="AF1091" s="441"/>
      <c r="AG1091" s="441"/>
      <c r="AH1091" s="441"/>
      <c r="AI1091" s="441"/>
      <c r="AJ1091" s="441"/>
      <c r="AK1091" s="441"/>
      <c r="AL1091" s="441"/>
      <c r="AM1091" s="441"/>
      <c r="AN1091" s="441"/>
      <c r="AO1091" s="441"/>
    </row>
    <row r="1092" spans="1:41" ht="12.75" thickBot="1">
      <c r="A1092" s="2" t="s">
        <v>1280</v>
      </c>
      <c r="B1092" s="2" t="s">
        <v>400</v>
      </c>
      <c r="C1092" s="2" t="s">
        <v>427</v>
      </c>
      <c r="D1092" s="8" t="s">
        <v>13</v>
      </c>
      <c r="E1092" s="3">
        <f t="shared" si="101"/>
        <v>275120005</v>
      </c>
      <c r="F1092" s="452">
        <f t="shared" si="101"/>
        <v>3880868</v>
      </c>
      <c r="G1092" s="452">
        <f t="shared" si="100"/>
        <v>14353011</v>
      </c>
      <c r="H1092" s="452">
        <f t="shared" si="100"/>
        <v>7497020</v>
      </c>
      <c r="I1092" s="452">
        <f t="shared" si="100"/>
        <v>368661</v>
      </c>
      <c r="J1092" s="452">
        <f t="shared" si="100"/>
        <v>0</v>
      </c>
      <c r="K1092" s="452">
        <f t="shared" si="100"/>
        <v>0</v>
      </c>
      <c r="L1092" s="452">
        <f t="shared" si="100"/>
        <v>639271</v>
      </c>
      <c r="M1092" s="452">
        <f t="shared" si="100"/>
        <v>-59673</v>
      </c>
      <c r="N1092" s="452">
        <f t="shared" si="100"/>
        <v>2626771</v>
      </c>
      <c r="O1092" s="452">
        <f t="shared" si="100"/>
        <v>0</v>
      </c>
      <c r="P1092" s="452">
        <f t="shared" si="100"/>
        <v>0</v>
      </c>
      <c r="Q1092" s="452"/>
      <c r="R1092" s="452">
        <f t="shared" si="100"/>
        <v>29305929</v>
      </c>
      <c r="S1092" s="445">
        <f t="shared" si="96"/>
        <v>22218692</v>
      </c>
      <c r="T1092" s="445">
        <f t="shared" si="97"/>
        <v>0</v>
      </c>
      <c r="U1092" s="445">
        <f t="shared" si="98"/>
        <v>2626771</v>
      </c>
      <c r="W1092" s="450"/>
      <c r="X1092" s="450"/>
      <c r="Y1092" s="441"/>
      <c r="Z1092" s="441"/>
      <c r="AA1092" s="441"/>
      <c r="AB1092" s="441"/>
      <c r="AC1092" s="441"/>
      <c r="AD1092" s="441"/>
      <c r="AE1092" s="441"/>
      <c r="AF1092" s="441"/>
      <c r="AG1092" s="441"/>
      <c r="AH1092" s="441"/>
      <c r="AI1092" s="441"/>
      <c r="AJ1092" s="441"/>
      <c r="AK1092" s="441"/>
      <c r="AL1092" s="441"/>
      <c r="AM1092" s="441"/>
      <c r="AN1092" s="441"/>
      <c r="AO1092" s="441"/>
    </row>
    <row r="1093" spans="1:41" ht="12.75" thickBot="1">
      <c r="A1093" s="2" t="s">
        <v>1280</v>
      </c>
      <c r="B1093" s="2" t="s">
        <v>401</v>
      </c>
      <c r="C1093" s="2" t="s">
        <v>428</v>
      </c>
      <c r="D1093" s="8" t="s">
        <v>13</v>
      </c>
      <c r="E1093" s="3">
        <f t="shared" si="101"/>
        <v>0</v>
      </c>
      <c r="F1093" s="452">
        <f t="shared" si="101"/>
        <v>0</v>
      </c>
      <c r="G1093" s="452">
        <f t="shared" si="100"/>
        <v>0</v>
      </c>
      <c r="H1093" s="452">
        <f t="shared" si="100"/>
        <v>0</v>
      </c>
      <c r="I1093" s="452">
        <f t="shared" si="100"/>
        <v>0</v>
      </c>
      <c r="J1093" s="452">
        <f t="shared" si="100"/>
        <v>0</v>
      </c>
      <c r="K1093" s="452">
        <f t="shared" si="100"/>
        <v>0</v>
      </c>
      <c r="L1093" s="452">
        <f t="shared" si="100"/>
        <v>0</v>
      </c>
      <c r="M1093" s="452">
        <f t="shared" si="100"/>
        <v>0</v>
      </c>
      <c r="N1093" s="452">
        <f t="shared" si="100"/>
        <v>0</v>
      </c>
      <c r="O1093" s="452">
        <f t="shared" si="100"/>
        <v>0</v>
      </c>
      <c r="P1093" s="452">
        <f t="shared" si="100"/>
        <v>0</v>
      </c>
      <c r="Q1093" s="452"/>
      <c r="R1093" s="452">
        <f t="shared" si="100"/>
        <v>0</v>
      </c>
      <c r="S1093" s="445">
        <f t="shared" si="96"/>
        <v>0</v>
      </c>
      <c r="T1093" s="445">
        <f t="shared" si="97"/>
        <v>0</v>
      </c>
      <c r="U1093" s="445">
        <f t="shared" si="98"/>
        <v>0</v>
      </c>
      <c r="W1093" s="450"/>
      <c r="X1093" s="450"/>
      <c r="Y1093" s="441"/>
      <c r="Z1093" s="441"/>
      <c r="AA1093" s="441"/>
      <c r="AB1093" s="441"/>
      <c r="AC1093" s="441"/>
      <c r="AD1093" s="441"/>
      <c r="AE1093" s="441"/>
      <c r="AF1093" s="441"/>
      <c r="AG1093" s="441"/>
      <c r="AH1093" s="441"/>
      <c r="AI1093" s="441"/>
      <c r="AJ1093" s="441"/>
      <c r="AK1093" s="441"/>
      <c r="AL1093" s="441"/>
      <c r="AM1093" s="441"/>
      <c r="AN1093" s="441"/>
      <c r="AO1093" s="441"/>
    </row>
    <row r="1094" spans="1:41" ht="12.75" thickBot="1">
      <c r="A1094" s="2" t="s">
        <v>1280</v>
      </c>
      <c r="B1094" s="2" t="s">
        <v>402</v>
      </c>
      <c r="C1094" s="2" t="s">
        <v>429</v>
      </c>
      <c r="D1094" s="8" t="s">
        <v>13</v>
      </c>
      <c r="E1094" s="3">
        <f t="shared" si="101"/>
        <v>0</v>
      </c>
      <c r="F1094" s="452">
        <f t="shared" si="101"/>
        <v>0</v>
      </c>
      <c r="G1094" s="452">
        <f t="shared" si="100"/>
        <v>0</v>
      </c>
      <c r="H1094" s="452">
        <f t="shared" si="100"/>
        <v>0</v>
      </c>
      <c r="I1094" s="452">
        <f t="shared" si="100"/>
        <v>0</v>
      </c>
      <c r="J1094" s="452">
        <f t="shared" si="100"/>
        <v>0</v>
      </c>
      <c r="K1094" s="452">
        <f t="shared" si="100"/>
        <v>0</v>
      </c>
      <c r="L1094" s="452">
        <f t="shared" si="100"/>
        <v>0</v>
      </c>
      <c r="M1094" s="452">
        <f t="shared" si="100"/>
        <v>0</v>
      </c>
      <c r="N1094" s="452">
        <f t="shared" si="100"/>
        <v>0</v>
      </c>
      <c r="O1094" s="452">
        <f t="shared" si="100"/>
        <v>0</v>
      </c>
      <c r="P1094" s="452">
        <f t="shared" si="100"/>
        <v>0</v>
      </c>
      <c r="Q1094" s="452"/>
      <c r="R1094" s="452">
        <f t="shared" si="100"/>
        <v>0</v>
      </c>
      <c r="S1094" s="445">
        <f t="shared" si="96"/>
        <v>0</v>
      </c>
      <c r="T1094" s="445">
        <f t="shared" si="97"/>
        <v>0</v>
      </c>
      <c r="U1094" s="445">
        <f t="shared" si="98"/>
        <v>0</v>
      </c>
      <c r="W1094" s="450"/>
      <c r="X1094" s="450"/>
      <c r="Y1094" s="441"/>
      <c r="Z1094" s="441"/>
      <c r="AA1094" s="441"/>
      <c r="AB1094" s="441"/>
      <c r="AC1094" s="441"/>
      <c r="AD1094" s="441"/>
      <c r="AE1094" s="441"/>
      <c r="AF1094" s="441"/>
      <c r="AG1094" s="441"/>
      <c r="AH1094" s="441"/>
      <c r="AI1094" s="441"/>
      <c r="AJ1094" s="441"/>
      <c r="AK1094" s="441"/>
      <c r="AL1094" s="441"/>
      <c r="AM1094" s="441"/>
      <c r="AN1094" s="441"/>
      <c r="AO1094" s="441"/>
    </row>
    <row r="1095" spans="1:41" ht="12.75" hidden="1" thickBot="1">
      <c r="A1095" s="2" t="s">
        <v>1280</v>
      </c>
      <c r="B1095" s="2" t="s">
        <v>706</v>
      </c>
      <c r="C1095" s="2" t="s">
        <v>1204</v>
      </c>
      <c r="D1095" s="8" t="s">
        <v>641</v>
      </c>
      <c r="E1095" s="3">
        <f t="shared" si="101"/>
        <v>0</v>
      </c>
      <c r="F1095" s="452">
        <f t="shared" si="101"/>
        <v>0</v>
      </c>
      <c r="G1095" s="452">
        <f t="shared" si="100"/>
        <v>0</v>
      </c>
      <c r="H1095" s="452">
        <f t="shared" si="100"/>
        <v>0</v>
      </c>
      <c r="I1095" s="452">
        <f t="shared" si="100"/>
        <v>0</v>
      </c>
      <c r="J1095" s="452">
        <f t="shared" si="100"/>
        <v>0</v>
      </c>
      <c r="K1095" s="452">
        <f t="shared" si="100"/>
        <v>0</v>
      </c>
      <c r="L1095" s="452">
        <f t="shared" si="100"/>
        <v>0</v>
      </c>
      <c r="M1095" s="452">
        <f t="shared" si="100"/>
        <v>0</v>
      </c>
      <c r="N1095" s="452">
        <f t="shared" si="100"/>
        <v>0</v>
      </c>
      <c r="O1095" s="452">
        <f t="shared" si="100"/>
        <v>0</v>
      </c>
      <c r="P1095" s="452">
        <f t="shared" si="100"/>
        <v>0</v>
      </c>
      <c r="Q1095" s="452"/>
      <c r="R1095" s="452">
        <f t="shared" si="100"/>
        <v>0</v>
      </c>
      <c r="S1095" s="445">
        <f t="shared" si="96"/>
        <v>0</v>
      </c>
      <c r="T1095" s="445">
        <f t="shared" si="97"/>
        <v>0</v>
      </c>
      <c r="U1095" s="445">
        <f t="shared" si="98"/>
        <v>0</v>
      </c>
      <c r="W1095" s="450"/>
      <c r="X1095" s="450"/>
      <c r="Y1095" s="441"/>
      <c r="Z1095" s="441"/>
      <c r="AA1095" s="441"/>
      <c r="AB1095" s="441"/>
      <c r="AC1095" s="441"/>
      <c r="AD1095" s="441"/>
      <c r="AE1095" s="441"/>
      <c r="AF1095" s="441"/>
      <c r="AG1095" s="441"/>
      <c r="AH1095" s="441"/>
      <c r="AI1095" s="441"/>
      <c r="AJ1095" s="441"/>
      <c r="AK1095" s="441"/>
      <c r="AL1095" s="441"/>
      <c r="AM1095" s="441"/>
      <c r="AN1095" s="441"/>
      <c r="AO1095" s="441"/>
    </row>
    <row r="1096" spans="1:41" ht="12.75" hidden="1" thickBot="1">
      <c r="A1096" s="2" t="s">
        <v>1280</v>
      </c>
      <c r="B1096" s="2" t="s">
        <v>1230</v>
      </c>
      <c r="C1096" s="2" t="s">
        <v>1245</v>
      </c>
      <c r="D1096" s="8" t="s">
        <v>641</v>
      </c>
      <c r="E1096" s="3">
        <f t="shared" si="101"/>
        <v>0</v>
      </c>
      <c r="F1096" s="452">
        <f t="shared" si="101"/>
        <v>0</v>
      </c>
      <c r="G1096" s="452">
        <f t="shared" si="100"/>
        <v>0</v>
      </c>
      <c r="H1096" s="452">
        <f t="shared" si="100"/>
        <v>0</v>
      </c>
      <c r="I1096" s="452">
        <f t="shared" si="100"/>
        <v>0</v>
      </c>
      <c r="J1096" s="452">
        <f t="shared" si="100"/>
        <v>0</v>
      </c>
      <c r="K1096" s="452">
        <f t="shared" si="100"/>
        <v>0</v>
      </c>
      <c r="L1096" s="452">
        <f t="shared" si="100"/>
        <v>0</v>
      </c>
      <c r="M1096" s="452">
        <f t="shared" si="100"/>
        <v>0</v>
      </c>
      <c r="N1096" s="452">
        <f t="shared" si="100"/>
        <v>0</v>
      </c>
      <c r="O1096" s="452">
        <f t="shared" si="100"/>
        <v>0</v>
      </c>
      <c r="P1096" s="452">
        <f t="shared" si="100"/>
        <v>0</v>
      </c>
      <c r="Q1096" s="452"/>
      <c r="R1096" s="452">
        <f t="shared" si="100"/>
        <v>0</v>
      </c>
      <c r="S1096" s="445">
        <f t="shared" si="96"/>
        <v>0</v>
      </c>
      <c r="T1096" s="445">
        <f t="shared" si="97"/>
        <v>0</v>
      </c>
      <c r="U1096" s="445">
        <f t="shared" si="98"/>
        <v>0</v>
      </c>
      <c r="W1096" s="450"/>
      <c r="X1096" s="450"/>
      <c r="Y1096" s="441"/>
      <c r="Z1096" s="441"/>
      <c r="AA1096" s="441"/>
      <c r="AB1096" s="441"/>
      <c r="AC1096" s="441"/>
      <c r="AD1096" s="441"/>
      <c r="AE1096" s="441"/>
      <c r="AF1096" s="441"/>
      <c r="AG1096" s="441"/>
      <c r="AH1096" s="441"/>
      <c r="AI1096" s="441"/>
      <c r="AJ1096" s="441"/>
      <c r="AK1096" s="441"/>
      <c r="AL1096" s="441"/>
      <c r="AM1096" s="441"/>
      <c r="AN1096" s="441"/>
      <c r="AO1096" s="441"/>
    </row>
    <row r="1097" spans="1:41" ht="12.75" hidden="1" thickBot="1">
      <c r="A1097" s="2" t="s">
        <v>1280</v>
      </c>
      <c r="B1097" s="2" t="s">
        <v>362</v>
      </c>
      <c r="C1097" s="2" t="s">
        <v>363</v>
      </c>
      <c r="D1097" s="8" t="s">
        <v>1205</v>
      </c>
      <c r="E1097" s="457"/>
      <c r="F1097" s="4"/>
      <c r="G1097" s="4"/>
      <c r="H1097" s="4"/>
      <c r="I1097" s="4"/>
      <c r="J1097" s="4"/>
      <c r="K1097" s="4"/>
      <c r="L1097" s="4"/>
      <c r="M1097" s="4"/>
      <c r="N1097" s="4"/>
      <c r="O1097" s="4"/>
      <c r="P1097" s="4"/>
      <c r="Q1097" s="4"/>
      <c r="R1097" s="4"/>
      <c r="S1097" s="445">
        <f t="shared" si="96"/>
        <v>0</v>
      </c>
      <c r="T1097" s="445">
        <f t="shared" si="97"/>
        <v>0</v>
      </c>
      <c r="U1097" s="445">
        <f t="shared" si="98"/>
        <v>0</v>
      </c>
      <c r="W1097" s="450"/>
      <c r="X1097" s="450"/>
      <c r="Y1097" s="441"/>
      <c r="Z1097" s="441"/>
      <c r="AA1097" s="441"/>
      <c r="AB1097" s="441"/>
      <c r="AC1097" s="441"/>
      <c r="AD1097" s="441"/>
      <c r="AE1097" s="441"/>
      <c r="AF1097" s="441"/>
      <c r="AG1097" s="441"/>
      <c r="AH1097" s="441"/>
      <c r="AI1097" s="441"/>
      <c r="AJ1097" s="441"/>
      <c r="AK1097" s="441"/>
      <c r="AL1097" s="441"/>
      <c r="AM1097" s="441"/>
      <c r="AN1097" s="441"/>
      <c r="AO1097" s="441"/>
    </row>
    <row r="1098" spans="1:41" ht="12.75" hidden="1" thickBot="1">
      <c r="A1098" s="2" t="s">
        <v>1280</v>
      </c>
      <c r="B1098" s="2" t="s">
        <v>342</v>
      </c>
      <c r="C1098" s="2" t="s">
        <v>1035</v>
      </c>
      <c r="D1098" s="8" t="s">
        <v>459</v>
      </c>
      <c r="E1098" s="459"/>
      <c r="F1098" s="6"/>
      <c r="G1098" s="451"/>
      <c r="H1098" s="6"/>
      <c r="I1098" s="6"/>
      <c r="J1098" s="6"/>
      <c r="K1098" s="6"/>
      <c r="L1098" s="6"/>
      <c r="M1098" s="451"/>
      <c r="N1098" s="451"/>
      <c r="O1098" s="6"/>
      <c r="P1098" s="6"/>
      <c r="Q1098" s="451"/>
      <c r="R1098" s="451"/>
      <c r="S1098" s="445">
        <f t="shared" si="96"/>
        <v>0</v>
      </c>
      <c r="T1098" s="445">
        <f t="shared" si="97"/>
        <v>0</v>
      </c>
      <c r="U1098" s="445">
        <f t="shared" si="98"/>
        <v>0</v>
      </c>
      <c r="W1098" s="450"/>
      <c r="X1098" s="450"/>
      <c r="Y1098" s="441"/>
      <c r="Z1098" s="441"/>
      <c r="AA1098" s="441"/>
      <c r="AB1098" s="441"/>
      <c r="AC1098" s="441"/>
      <c r="AD1098" s="441"/>
      <c r="AE1098" s="441"/>
      <c r="AF1098" s="441"/>
      <c r="AG1098" s="441"/>
      <c r="AH1098" s="441"/>
      <c r="AI1098" s="441"/>
      <c r="AJ1098" s="441"/>
      <c r="AK1098" s="441"/>
      <c r="AL1098" s="441"/>
      <c r="AM1098" s="441"/>
      <c r="AN1098" s="441"/>
      <c r="AO1098" s="441"/>
    </row>
    <row r="1099" spans="1:41" ht="12.75" hidden="1" thickBot="1">
      <c r="A1099" s="2" t="s">
        <v>1280</v>
      </c>
      <c r="B1099" s="2" t="s">
        <v>213</v>
      </c>
      <c r="C1099" s="2" t="s">
        <v>1036</v>
      </c>
      <c r="D1099" s="8" t="s">
        <v>459</v>
      </c>
      <c r="E1099" s="460"/>
      <c r="F1099" s="4"/>
      <c r="G1099" s="449"/>
      <c r="H1099" s="4"/>
      <c r="I1099" s="4"/>
      <c r="J1099" s="4"/>
      <c r="K1099" s="4"/>
      <c r="L1099" s="4"/>
      <c r="M1099" s="449"/>
      <c r="N1099" s="449"/>
      <c r="O1099" s="4"/>
      <c r="P1099" s="4"/>
      <c r="Q1099" s="449"/>
      <c r="R1099" s="449"/>
      <c r="S1099" s="445">
        <f t="shared" ref="S1099:S1162" si="102">G1099+H1099+I1099</f>
        <v>0</v>
      </c>
      <c r="T1099" s="445">
        <f t="shared" ref="T1099:T1162" si="103">J1099+K1099</f>
        <v>0</v>
      </c>
      <c r="U1099" s="445">
        <f t="shared" ref="U1099:U1162" si="104">N1099+O1099</f>
        <v>0</v>
      </c>
      <c r="W1099" s="450"/>
      <c r="X1099" s="450"/>
      <c r="Y1099" s="441"/>
      <c r="Z1099" s="441"/>
      <c r="AA1099" s="441"/>
      <c r="AB1099" s="441"/>
      <c r="AC1099" s="441"/>
      <c r="AD1099" s="441"/>
      <c r="AE1099" s="441"/>
      <c r="AF1099" s="441"/>
      <c r="AG1099" s="441"/>
      <c r="AH1099" s="441"/>
      <c r="AI1099" s="441"/>
      <c r="AJ1099" s="441"/>
      <c r="AK1099" s="441"/>
      <c r="AL1099" s="441"/>
      <c r="AM1099" s="441"/>
      <c r="AN1099" s="441"/>
      <c r="AO1099" s="441"/>
    </row>
    <row r="1100" spans="1:41" ht="12.75" hidden="1" thickBot="1">
      <c r="A1100" s="2" t="s">
        <v>1280</v>
      </c>
      <c r="B1100" s="2" t="s">
        <v>214</v>
      </c>
      <c r="C1100" s="2" t="s">
        <v>1037</v>
      </c>
      <c r="D1100" s="8" t="s">
        <v>459</v>
      </c>
      <c r="E1100" s="459"/>
      <c r="F1100" s="6"/>
      <c r="G1100" s="451"/>
      <c r="H1100" s="6"/>
      <c r="I1100" s="6"/>
      <c r="J1100" s="6"/>
      <c r="K1100" s="6"/>
      <c r="L1100" s="6"/>
      <c r="M1100" s="451"/>
      <c r="N1100" s="451"/>
      <c r="O1100" s="6"/>
      <c r="P1100" s="6"/>
      <c r="Q1100" s="451"/>
      <c r="R1100" s="451"/>
      <c r="S1100" s="445">
        <f t="shared" si="102"/>
        <v>0</v>
      </c>
      <c r="T1100" s="445">
        <f t="shared" si="103"/>
        <v>0</v>
      </c>
      <c r="U1100" s="445">
        <f t="shared" si="104"/>
        <v>0</v>
      </c>
      <c r="W1100" s="450"/>
      <c r="X1100" s="450"/>
      <c r="Y1100" s="441"/>
      <c r="Z1100" s="441"/>
      <c r="AA1100" s="441"/>
      <c r="AB1100" s="441"/>
      <c r="AC1100" s="441"/>
      <c r="AD1100" s="441"/>
      <c r="AE1100" s="441"/>
      <c r="AF1100" s="441"/>
      <c r="AG1100" s="441"/>
      <c r="AH1100" s="441"/>
      <c r="AI1100" s="441"/>
      <c r="AJ1100" s="441"/>
      <c r="AK1100" s="441"/>
      <c r="AL1100" s="441"/>
      <c r="AM1100" s="441"/>
      <c r="AN1100" s="441"/>
      <c r="AO1100" s="441"/>
    </row>
    <row r="1101" spans="1:41" ht="12.75" hidden="1" thickBot="1">
      <c r="A1101" s="2" t="s">
        <v>1280</v>
      </c>
      <c r="B1101" s="2" t="s">
        <v>1231</v>
      </c>
      <c r="C1101" s="2" t="s">
        <v>1232</v>
      </c>
      <c r="D1101" s="8" t="s">
        <v>459</v>
      </c>
      <c r="E1101" s="460"/>
      <c r="F1101" s="4"/>
      <c r="G1101" s="4"/>
      <c r="H1101" s="4"/>
      <c r="I1101" s="4"/>
      <c r="J1101" s="4"/>
      <c r="K1101" s="4"/>
      <c r="L1101" s="4"/>
      <c r="M1101" s="4"/>
      <c r="N1101" s="4"/>
      <c r="O1101" s="4"/>
      <c r="P1101" s="4"/>
      <c r="Q1101" s="4"/>
      <c r="R1101" s="4"/>
      <c r="S1101" s="445">
        <f t="shared" si="102"/>
        <v>0</v>
      </c>
      <c r="T1101" s="445">
        <f t="shared" si="103"/>
        <v>0</v>
      </c>
      <c r="U1101" s="445">
        <f t="shared" si="104"/>
        <v>0</v>
      </c>
      <c r="W1101" s="450"/>
      <c r="X1101" s="450"/>
      <c r="Y1101" s="441"/>
      <c r="Z1101" s="441"/>
      <c r="AA1101" s="441"/>
      <c r="AB1101" s="441"/>
      <c r="AC1101" s="441"/>
      <c r="AD1101" s="441"/>
      <c r="AE1101" s="441"/>
      <c r="AF1101" s="441"/>
      <c r="AG1101" s="441"/>
      <c r="AH1101" s="441"/>
      <c r="AI1101" s="441"/>
      <c r="AJ1101" s="441"/>
      <c r="AK1101" s="441"/>
      <c r="AL1101" s="441"/>
      <c r="AM1101" s="441"/>
      <c r="AN1101" s="441"/>
      <c r="AO1101" s="441"/>
    </row>
    <row r="1102" spans="1:41" ht="12.75" hidden="1" thickBot="1">
      <c r="A1102" s="2" t="s">
        <v>1280</v>
      </c>
      <c r="B1102" s="2" t="s">
        <v>215</v>
      </c>
      <c r="C1102" s="2" t="s">
        <v>1038</v>
      </c>
      <c r="D1102" s="8" t="s">
        <v>459</v>
      </c>
      <c r="E1102" s="459"/>
      <c r="F1102" s="6"/>
      <c r="G1102" s="451"/>
      <c r="H1102" s="6"/>
      <c r="I1102" s="6"/>
      <c r="J1102" s="6"/>
      <c r="K1102" s="6"/>
      <c r="L1102" s="6"/>
      <c r="M1102" s="451"/>
      <c r="N1102" s="451"/>
      <c r="O1102" s="6"/>
      <c r="P1102" s="6"/>
      <c r="Q1102" s="451"/>
      <c r="R1102" s="451"/>
      <c r="S1102" s="445">
        <f t="shared" si="102"/>
        <v>0</v>
      </c>
      <c r="T1102" s="445">
        <f t="shared" si="103"/>
        <v>0</v>
      </c>
      <c r="U1102" s="445">
        <f t="shared" si="104"/>
        <v>0</v>
      </c>
      <c r="W1102" s="450"/>
      <c r="X1102" s="450"/>
      <c r="Y1102" s="441"/>
      <c r="Z1102" s="441"/>
      <c r="AA1102" s="441"/>
      <c r="AB1102" s="441"/>
      <c r="AC1102" s="441"/>
      <c r="AD1102" s="441"/>
      <c r="AE1102" s="441"/>
      <c r="AF1102" s="441"/>
      <c r="AG1102" s="441"/>
      <c r="AH1102" s="441"/>
      <c r="AI1102" s="441"/>
      <c r="AJ1102" s="441"/>
      <c r="AK1102" s="441"/>
      <c r="AL1102" s="441"/>
      <c r="AM1102" s="441"/>
      <c r="AN1102" s="441"/>
      <c r="AO1102" s="441"/>
    </row>
    <row r="1103" spans="1:41" ht="12.75" hidden="1" thickBot="1">
      <c r="A1103" s="2" t="s">
        <v>1280</v>
      </c>
      <c r="B1103" s="2" t="s">
        <v>216</v>
      </c>
      <c r="C1103" s="2" t="s">
        <v>1039</v>
      </c>
      <c r="D1103" s="8" t="s">
        <v>459</v>
      </c>
      <c r="E1103" s="460"/>
      <c r="F1103" s="4"/>
      <c r="G1103" s="449"/>
      <c r="H1103" s="4"/>
      <c r="I1103" s="4"/>
      <c r="J1103" s="4"/>
      <c r="K1103" s="4"/>
      <c r="L1103" s="4"/>
      <c r="M1103" s="449"/>
      <c r="N1103" s="449"/>
      <c r="O1103" s="4"/>
      <c r="P1103" s="4"/>
      <c r="Q1103" s="449"/>
      <c r="R1103" s="449"/>
      <c r="S1103" s="445">
        <f t="shared" si="102"/>
        <v>0</v>
      </c>
      <c r="T1103" s="445">
        <f t="shared" si="103"/>
        <v>0</v>
      </c>
      <c r="U1103" s="445">
        <f t="shared" si="104"/>
        <v>0</v>
      </c>
      <c r="W1103" s="450"/>
      <c r="X1103" s="450"/>
      <c r="Y1103" s="441"/>
      <c r="Z1103" s="441"/>
      <c r="AA1103" s="441"/>
      <c r="AB1103" s="441"/>
      <c r="AC1103" s="441"/>
      <c r="AD1103" s="441"/>
      <c r="AE1103" s="441"/>
      <c r="AF1103" s="441"/>
      <c r="AG1103" s="441"/>
      <c r="AH1103" s="441"/>
      <c r="AI1103" s="441"/>
      <c r="AJ1103" s="441"/>
      <c r="AK1103" s="441"/>
      <c r="AL1103" s="441"/>
      <c r="AM1103" s="441"/>
      <c r="AN1103" s="441"/>
      <c r="AO1103" s="441"/>
    </row>
    <row r="1104" spans="1:41" ht="12.75" hidden="1" thickBot="1">
      <c r="A1104" s="2" t="s">
        <v>1280</v>
      </c>
      <c r="B1104" s="2" t="s">
        <v>217</v>
      </c>
      <c r="C1104" s="2" t="s">
        <v>1040</v>
      </c>
      <c r="D1104" s="8" t="s">
        <v>459</v>
      </c>
      <c r="E1104" s="459"/>
      <c r="F1104" s="6"/>
      <c r="G1104" s="451"/>
      <c r="H1104" s="6"/>
      <c r="I1104" s="6"/>
      <c r="J1104" s="6"/>
      <c r="K1104" s="6"/>
      <c r="L1104" s="6"/>
      <c r="M1104" s="451"/>
      <c r="N1104" s="451"/>
      <c r="O1104" s="6"/>
      <c r="P1104" s="6"/>
      <c r="Q1104" s="451"/>
      <c r="R1104" s="451"/>
      <c r="S1104" s="445">
        <f t="shared" si="102"/>
        <v>0</v>
      </c>
      <c r="T1104" s="445">
        <f t="shared" si="103"/>
        <v>0</v>
      </c>
      <c r="U1104" s="445">
        <f t="shared" si="104"/>
        <v>0</v>
      </c>
      <c r="W1104" s="450"/>
      <c r="X1104" s="450"/>
      <c r="Y1104" s="441"/>
      <c r="Z1104" s="441"/>
      <c r="AA1104" s="441"/>
      <c r="AB1104" s="441"/>
      <c r="AC1104" s="441"/>
      <c r="AD1104" s="441"/>
      <c r="AE1104" s="441"/>
      <c r="AF1104" s="441"/>
      <c r="AG1104" s="441"/>
      <c r="AH1104" s="441"/>
      <c r="AI1104" s="441"/>
      <c r="AJ1104" s="441"/>
      <c r="AK1104" s="441"/>
      <c r="AL1104" s="441"/>
      <c r="AM1104" s="441"/>
      <c r="AN1104" s="441"/>
      <c r="AO1104" s="441"/>
    </row>
    <row r="1105" spans="1:41" ht="12.75" hidden="1" thickBot="1">
      <c r="A1105" s="2" t="s">
        <v>1280</v>
      </c>
      <c r="B1105" s="2" t="s">
        <v>344</v>
      </c>
      <c r="C1105" s="2" t="s">
        <v>1041</v>
      </c>
      <c r="D1105" s="8" t="s">
        <v>459</v>
      </c>
      <c r="E1105" s="460"/>
      <c r="F1105" s="4"/>
      <c r="G1105" s="449"/>
      <c r="H1105" s="4"/>
      <c r="I1105" s="4"/>
      <c r="J1105" s="4"/>
      <c r="K1105" s="4"/>
      <c r="L1105" s="4"/>
      <c r="M1105" s="449"/>
      <c r="N1105" s="449"/>
      <c r="O1105" s="4"/>
      <c r="P1105" s="4"/>
      <c r="Q1105" s="449"/>
      <c r="R1105" s="449"/>
      <c r="S1105" s="445">
        <f t="shared" si="102"/>
        <v>0</v>
      </c>
      <c r="T1105" s="445">
        <f t="shared" si="103"/>
        <v>0</v>
      </c>
      <c r="U1105" s="445">
        <f t="shared" si="104"/>
        <v>0</v>
      </c>
      <c r="W1105" s="450"/>
      <c r="X1105" s="450"/>
      <c r="Y1105" s="441"/>
      <c r="Z1105" s="441"/>
      <c r="AA1105" s="441"/>
      <c r="AB1105" s="441"/>
      <c r="AC1105" s="441"/>
      <c r="AD1105" s="441"/>
      <c r="AE1105" s="441"/>
      <c r="AF1105" s="441"/>
      <c r="AG1105" s="441"/>
      <c r="AH1105" s="441"/>
      <c r="AI1105" s="441"/>
      <c r="AJ1105" s="441"/>
      <c r="AK1105" s="441"/>
      <c r="AL1105" s="441"/>
      <c r="AM1105" s="441"/>
      <c r="AN1105" s="441"/>
      <c r="AO1105" s="441"/>
    </row>
    <row r="1106" spans="1:41" ht="12.75" hidden="1" thickBot="1">
      <c r="A1106" s="2" t="s">
        <v>1280</v>
      </c>
      <c r="B1106" s="2" t="s">
        <v>1233</v>
      </c>
      <c r="C1106" s="2" t="s">
        <v>1234</v>
      </c>
      <c r="D1106" s="8" t="s">
        <v>459</v>
      </c>
      <c r="E1106" s="459"/>
      <c r="F1106" s="6"/>
      <c r="G1106" s="6"/>
      <c r="H1106" s="6"/>
      <c r="I1106" s="6"/>
      <c r="J1106" s="6"/>
      <c r="K1106" s="6"/>
      <c r="L1106" s="6"/>
      <c r="M1106" s="6"/>
      <c r="N1106" s="6"/>
      <c r="O1106" s="6"/>
      <c r="P1106" s="6"/>
      <c r="Q1106" s="6"/>
      <c r="R1106" s="6"/>
      <c r="S1106" s="445">
        <f t="shared" si="102"/>
        <v>0</v>
      </c>
      <c r="T1106" s="445">
        <f t="shared" si="103"/>
        <v>0</v>
      </c>
      <c r="U1106" s="445">
        <f t="shared" si="104"/>
        <v>0</v>
      </c>
      <c r="W1106" s="450"/>
      <c r="X1106" s="450"/>
      <c r="Y1106" s="441"/>
      <c r="Z1106" s="441"/>
      <c r="AA1106" s="441"/>
      <c r="AB1106" s="441"/>
      <c r="AC1106" s="441"/>
      <c r="AD1106" s="441"/>
      <c r="AE1106" s="441"/>
      <c r="AF1106" s="441"/>
      <c r="AG1106" s="441"/>
      <c r="AH1106" s="441"/>
      <c r="AI1106" s="441"/>
      <c r="AJ1106" s="441"/>
      <c r="AK1106" s="441"/>
      <c r="AL1106" s="441"/>
      <c r="AM1106" s="441"/>
      <c r="AN1106" s="441"/>
      <c r="AO1106" s="441"/>
    </row>
    <row r="1107" spans="1:41" ht="12.75" hidden="1" thickBot="1">
      <c r="A1107" s="2" t="s">
        <v>1280</v>
      </c>
      <c r="B1107" s="2" t="s">
        <v>218</v>
      </c>
      <c r="C1107" s="2" t="s">
        <v>1042</v>
      </c>
      <c r="D1107" s="8" t="s">
        <v>459</v>
      </c>
      <c r="E1107" s="460"/>
      <c r="F1107" s="4"/>
      <c r="G1107" s="449"/>
      <c r="H1107" s="4"/>
      <c r="I1107" s="4"/>
      <c r="J1107" s="4"/>
      <c r="K1107" s="4"/>
      <c r="L1107" s="4"/>
      <c r="M1107" s="449"/>
      <c r="N1107" s="449"/>
      <c r="O1107" s="4"/>
      <c r="P1107" s="4"/>
      <c r="Q1107" s="449"/>
      <c r="R1107" s="449"/>
      <c r="S1107" s="445">
        <f t="shared" si="102"/>
        <v>0</v>
      </c>
      <c r="T1107" s="445">
        <f t="shared" si="103"/>
        <v>0</v>
      </c>
      <c r="U1107" s="445">
        <f t="shared" si="104"/>
        <v>0</v>
      </c>
      <c r="W1107" s="450"/>
      <c r="X1107" s="450"/>
      <c r="Y1107" s="441"/>
      <c r="Z1107" s="441"/>
      <c r="AA1107" s="441"/>
      <c r="AB1107" s="441"/>
      <c r="AC1107" s="441"/>
      <c r="AD1107" s="441"/>
      <c r="AE1107" s="441"/>
      <c r="AF1107" s="441"/>
      <c r="AG1107" s="441"/>
      <c r="AH1107" s="441"/>
      <c r="AI1107" s="441"/>
      <c r="AJ1107" s="441"/>
      <c r="AK1107" s="441"/>
      <c r="AL1107" s="441"/>
      <c r="AM1107" s="441"/>
      <c r="AN1107" s="441"/>
      <c r="AO1107" s="441"/>
    </row>
    <row r="1108" spans="1:41" ht="12.75" hidden="1" thickBot="1">
      <c r="A1108" s="2" t="s">
        <v>1280</v>
      </c>
      <c r="B1108" s="2" t="s">
        <v>223</v>
      </c>
      <c r="C1108" s="2" t="s">
        <v>1043</v>
      </c>
      <c r="D1108" s="8" t="s">
        <v>459</v>
      </c>
      <c r="E1108" s="459"/>
      <c r="F1108" s="6"/>
      <c r="G1108" s="451"/>
      <c r="H1108" s="6"/>
      <c r="I1108" s="6"/>
      <c r="J1108" s="6"/>
      <c r="K1108" s="6"/>
      <c r="L1108" s="6"/>
      <c r="M1108" s="451"/>
      <c r="N1108" s="451"/>
      <c r="O1108" s="6"/>
      <c r="P1108" s="6"/>
      <c r="Q1108" s="451"/>
      <c r="R1108" s="451"/>
      <c r="S1108" s="445">
        <f t="shared" si="102"/>
        <v>0</v>
      </c>
      <c r="T1108" s="445">
        <f t="shared" si="103"/>
        <v>0</v>
      </c>
      <c r="U1108" s="445">
        <f t="shared" si="104"/>
        <v>0</v>
      </c>
      <c r="W1108" s="450"/>
      <c r="X1108" s="450"/>
      <c r="Y1108" s="441"/>
      <c r="Z1108" s="441"/>
      <c r="AA1108" s="441"/>
      <c r="AB1108" s="441"/>
      <c r="AC1108" s="441"/>
      <c r="AD1108" s="441"/>
      <c r="AE1108" s="441"/>
      <c r="AF1108" s="441"/>
      <c r="AG1108" s="441"/>
      <c r="AH1108" s="441"/>
      <c r="AI1108" s="441"/>
      <c r="AJ1108" s="441"/>
      <c r="AK1108" s="441"/>
      <c r="AL1108" s="441"/>
      <c r="AM1108" s="441"/>
      <c r="AN1108" s="441"/>
      <c r="AO1108" s="441"/>
    </row>
    <row r="1109" spans="1:41" ht="12.75" hidden="1" thickBot="1">
      <c r="A1109" s="2" t="s">
        <v>1280</v>
      </c>
      <c r="B1109" s="2" t="s">
        <v>231</v>
      </c>
      <c r="C1109" s="2" t="s">
        <v>1044</v>
      </c>
      <c r="D1109" s="8" t="s">
        <v>459</v>
      </c>
      <c r="E1109" s="460"/>
      <c r="F1109" s="4"/>
      <c r="G1109" s="449"/>
      <c r="H1109" s="4"/>
      <c r="I1109" s="4"/>
      <c r="J1109" s="4"/>
      <c r="K1109" s="4"/>
      <c r="L1109" s="4"/>
      <c r="M1109" s="449"/>
      <c r="N1109" s="449"/>
      <c r="O1109" s="4"/>
      <c r="P1109" s="4"/>
      <c r="Q1109" s="449"/>
      <c r="R1109" s="449"/>
      <c r="S1109" s="445">
        <f t="shared" si="102"/>
        <v>0</v>
      </c>
      <c r="T1109" s="445">
        <f t="shared" si="103"/>
        <v>0</v>
      </c>
      <c r="U1109" s="445">
        <f t="shared" si="104"/>
        <v>0</v>
      </c>
      <c r="W1109" s="450"/>
      <c r="X1109" s="450"/>
      <c r="Y1109" s="441"/>
      <c r="Z1109" s="441"/>
      <c r="AA1109" s="441"/>
      <c r="AB1109" s="441"/>
      <c r="AC1109" s="441"/>
      <c r="AD1109" s="441"/>
      <c r="AE1109" s="441"/>
      <c r="AF1109" s="441"/>
      <c r="AG1109" s="441"/>
      <c r="AH1109" s="441"/>
      <c r="AI1109" s="441"/>
      <c r="AJ1109" s="441"/>
      <c r="AK1109" s="441"/>
      <c r="AL1109" s="441"/>
      <c r="AM1109" s="441"/>
      <c r="AN1109" s="441"/>
      <c r="AO1109" s="441"/>
    </row>
    <row r="1110" spans="1:41" ht="12.75" hidden="1" thickBot="1">
      <c r="A1110" s="2" t="s">
        <v>1280</v>
      </c>
      <c r="B1110" s="2" t="s">
        <v>232</v>
      </c>
      <c r="C1110" s="2" t="s">
        <v>1045</v>
      </c>
      <c r="D1110" s="8" t="s">
        <v>459</v>
      </c>
      <c r="E1110" s="459"/>
      <c r="F1110" s="6"/>
      <c r="G1110" s="451"/>
      <c r="H1110" s="6"/>
      <c r="I1110" s="6"/>
      <c r="J1110" s="6"/>
      <c r="K1110" s="6"/>
      <c r="L1110" s="6"/>
      <c r="M1110" s="451"/>
      <c r="N1110" s="451"/>
      <c r="O1110" s="6"/>
      <c r="P1110" s="6"/>
      <c r="Q1110" s="451"/>
      <c r="R1110" s="451"/>
      <c r="S1110" s="445">
        <f t="shared" si="102"/>
        <v>0</v>
      </c>
      <c r="T1110" s="445">
        <f t="shared" si="103"/>
        <v>0</v>
      </c>
      <c r="U1110" s="445">
        <f t="shared" si="104"/>
        <v>0</v>
      </c>
      <c r="W1110" s="450"/>
      <c r="X1110" s="450"/>
      <c r="Y1110" s="441"/>
      <c r="Z1110" s="441"/>
      <c r="AA1110" s="441"/>
      <c r="AB1110" s="441"/>
      <c r="AC1110" s="441"/>
      <c r="AD1110" s="441"/>
      <c r="AE1110" s="441"/>
      <c r="AF1110" s="441"/>
      <c r="AG1110" s="441"/>
      <c r="AH1110" s="441"/>
      <c r="AI1110" s="441"/>
      <c r="AJ1110" s="441"/>
      <c r="AK1110" s="441"/>
      <c r="AL1110" s="441"/>
      <c r="AM1110" s="441"/>
      <c r="AN1110" s="441"/>
      <c r="AO1110" s="441"/>
    </row>
    <row r="1111" spans="1:41" ht="12.75" hidden="1" thickBot="1">
      <c r="A1111" s="2" t="s">
        <v>1280</v>
      </c>
      <c r="B1111" s="2" t="s">
        <v>234</v>
      </c>
      <c r="C1111" s="2" t="s">
        <v>1046</v>
      </c>
      <c r="D1111" s="8" t="s">
        <v>459</v>
      </c>
      <c r="E1111" s="460"/>
      <c r="F1111" s="4"/>
      <c r="G1111" s="449"/>
      <c r="H1111" s="4"/>
      <c r="I1111" s="4"/>
      <c r="J1111" s="4"/>
      <c r="K1111" s="4"/>
      <c r="L1111" s="4"/>
      <c r="M1111" s="449"/>
      <c r="N1111" s="449"/>
      <c r="O1111" s="4"/>
      <c r="P1111" s="4"/>
      <c r="Q1111" s="449"/>
      <c r="R1111" s="449"/>
      <c r="S1111" s="445">
        <f t="shared" si="102"/>
        <v>0</v>
      </c>
      <c r="T1111" s="445">
        <f t="shared" si="103"/>
        <v>0</v>
      </c>
      <c r="U1111" s="445">
        <f t="shared" si="104"/>
        <v>0</v>
      </c>
      <c r="W1111" s="450"/>
      <c r="X1111" s="450"/>
      <c r="Y1111" s="441"/>
      <c r="Z1111" s="441"/>
      <c r="AA1111" s="441"/>
      <c r="AB1111" s="441"/>
      <c r="AC1111" s="441"/>
      <c r="AD1111" s="441"/>
      <c r="AE1111" s="441"/>
      <c r="AF1111" s="441"/>
      <c r="AG1111" s="441"/>
      <c r="AH1111" s="441"/>
      <c r="AI1111" s="441"/>
      <c r="AJ1111" s="441"/>
      <c r="AK1111" s="441"/>
      <c r="AL1111" s="441"/>
      <c r="AM1111" s="441"/>
      <c r="AN1111" s="441"/>
      <c r="AO1111" s="441"/>
    </row>
    <row r="1112" spans="1:41" ht="12.75" hidden="1" thickBot="1">
      <c r="A1112" s="2" t="s">
        <v>1280</v>
      </c>
      <c r="B1112" s="2" t="s">
        <v>353</v>
      </c>
      <c r="C1112" s="2" t="s">
        <v>1047</v>
      </c>
      <c r="D1112" s="8" t="s">
        <v>459</v>
      </c>
      <c r="E1112" s="459"/>
      <c r="F1112" s="6"/>
      <c r="G1112" s="451"/>
      <c r="H1112" s="6"/>
      <c r="I1112" s="6"/>
      <c r="J1112" s="6"/>
      <c r="K1112" s="6"/>
      <c r="L1112" s="6"/>
      <c r="M1112" s="451"/>
      <c r="N1112" s="451"/>
      <c r="O1112" s="6"/>
      <c r="P1112" s="6"/>
      <c r="Q1112" s="451"/>
      <c r="R1112" s="451"/>
      <c r="S1112" s="445">
        <f t="shared" si="102"/>
        <v>0</v>
      </c>
      <c r="T1112" s="445">
        <f t="shared" si="103"/>
        <v>0</v>
      </c>
      <c r="U1112" s="445">
        <f t="shared" si="104"/>
        <v>0</v>
      </c>
      <c r="W1112" s="450"/>
      <c r="X1112" s="450"/>
      <c r="Y1112" s="441"/>
      <c r="Z1112" s="441"/>
      <c r="AA1112" s="441"/>
      <c r="AB1112" s="441"/>
      <c r="AC1112" s="441"/>
      <c r="AD1112" s="441"/>
      <c r="AE1112" s="441"/>
      <c r="AF1112" s="441"/>
      <c r="AG1112" s="441"/>
      <c r="AH1112" s="441"/>
      <c r="AI1112" s="441"/>
      <c r="AJ1112" s="441"/>
      <c r="AK1112" s="441"/>
      <c r="AL1112" s="441"/>
      <c r="AM1112" s="441"/>
      <c r="AN1112" s="441"/>
      <c r="AO1112" s="441"/>
    </row>
    <row r="1113" spans="1:41" ht="12.75" hidden="1" thickBot="1">
      <c r="A1113" s="2" t="s">
        <v>1280</v>
      </c>
      <c r="B1113" s="2" t="s">
        <v>235</v>
      </c>
      <c r="C1113" s="2" t="s">
        <v>1048</v>
      </c>
      <c r="D1113" s="8" t="s">
        <v>459</v>
      </c>
      <c r="E1113" s="460"/>
      <c r="F1113" s="4"/>
      <c r="G1113" s="449"/>
      <c r="H1113" s="4"/>
      <c r="I1113" s="4"/>
      <c r="J1113" s="4"/>
      <c r="K1113" s="4"/>
      <c r="L1113" s="4"/>
      <c r="M1113" s="449"/>
      <c r="N1113" s="449"/>
      <c r="O1113" s="4"/>
      <c r="P1113" s="4"/>
      <c r="Q1113" s="449"/>
      <c r="R1113" s="449"/>
      <c r="S1113" s="445">
        <f t="shared" si="102"/>
        <v>0</v>
      </c>
      <c r="T1113" s="445">
        <f t="shared" si="103"/>
        <v>0</v>
      </c>
      <c r="U1113" s="445">
        <f t="shared" si="104"/>
        <v>0</v>
      </c>
      <c r="W1113" s="450"/>
      <c r="X1113" s="450"/>
      <c r="Y1113" s="441"/>
      <c r="Z1113" s="441"/>
      <c r="AA1113" s="441"/>
      <c r="AB1113" s="441"/>
      <c r="AC1113" s="441"/>
      <c r="AD1113" s="441"/>
      <c r="AE1113" s="441"/>
      <c r="AF1113" s="441"/>
      <c r="AG1113" s="441"/>
      <c r="AH1113" s="441"/>
      <c r="AI1113" s="441"/>
      <c r="AJ1113" s="441"/>
      <c r="AK1113" s="441"/>
      <c r="AL1113" s="441"/>
      <c r="AM1113" s="441"/>
      <c r="AN1113" s="441"/>
      <c r="AO1113" s="441"/>
    </row>
    <row r="1114" spans="1:41" ht="12.75" hidden="1" thickBot="1">
      <c r="A1114" s="2" t="s">
        <v>1280</v>
      </c>
      <c r="B1114" s="2" t="s">
        <v>236</v>
      </c>
      <c r="C1114" s="2" t="s">
        <v>1049</v>
      </c>
      <c r="D1114" s="8" t="s">
        <v>459</v>
      </c>
      <c r="E1114" s="459"/>
      <c r="F1114" s="6"/>
      <c r="G1114" s="451"/>
      <c r="H1114" s="6"/>
      <c r="I1114" s="6"/>
      <c r="J1114" s="6"/>
      <c r="K1114" s="6"/>
      <c r="L1114" s="6"/>
      <c r="M1114" s="451"/>
      <c r="N1114" s="451"/>
      <c r="O1114" s="6"/>
      <c r="P1114" s="6"/>
      <c r="Q1114" s="451"/>
      <c r="R1114" s="451"/>
      <c r="S1114" s="445">
        <f t="shared" si="102"/>
        <v>0</v>
      </c>
      <c r="T1114" s="445">
        <f t="shared" si="103"/>
        <v>0</v>
      </c>
      <c r="U1114" s="445">
        <f t="shared" si="104"/>
        <v>0</v>
      </c>
      <c r="W1114" s="450"/>
      <c r="X1114" s="450"/>
      <c r="Y1114" s="441"/>
      <c r="Z1114" s="441"/>
      <c r="AA1114" s="441"/>
      <c r="AB1114" s="441"/>
      <c r="AC1114" s="441"/>
      <c r="AD1114" s="441"/>
      <c r="AE1114" s="441"/>
      <c r="AF1114" s="441"/>
      <c r="AG1114" s="441"/>
      <c r="AH1114" s="441"/>
      <c r="AI1114" s="441"/>
      <c r="AJ1114" s="441"/>
      <c r="AK1114" s="441"/>
      <c r="AL1114" s="441"/>
      <c r="AM1114" s="441"/>
      <c r="AN1114" s="441"/>
      <c r="AO1114" s="441"/>
    </row>
    <row r="1115" spans="1:41" ht="12.75" hidden="1" thickBot="1">
      <c r="A1115" s="2" t="s">
        <v>1280</v>
      </c>
      <c r="B1115" s="2" t="s">
        <v>354</v>
      </c>
      <c r="C1115" s="2" t="s">
        <v>1050</v>
      </c>
      <c r="D1115" s="8" t="s">
        <v>459</v>
      </c>
      <c r="E1115" s="460"/>
      <c r="F1115" s="4"/>
      <c r="G1115" s="449"/>
      <c r="H1115" s="4"/>
      <c r="I1115" s="4"/>
      <c r="J1115" s="4"/>
      <c r="K1115" s="4"/>
      <c r="L1115" s="4"/>
      <c r="M1115" s="449"/>
      <c r="N1115" s="449"/>
      <c r="O1115" s="4"/>
      <c r="P1115" s="4"/>
      <c r="Q1115" s="449"/>
      <c r="R1115" s="449"/>
      <c r="S1115" s="445">
        <f t="shared" si="102"/>
        <v>0</v>
      </c>
      <c r="T1115" s="445">
        <f t="shared" si="103"/>
        <v>0</v>
      </c>
      <c r="U1115" s="445">
        <f t="shared" si="104"/>
        <v>0</v>
      </c>
      <c r="W1115" s="450"/>
      <c r="X1115" s="450"/>
      <c r="Y1115" s="441"/>
      <c r="Z1115" s="441"/>
      <c r="AA1115" s="441"/>
      <c r="AB1115" s="441"/>
      <c r="AC1115" s="441"/>
      <c r="AD1115" s="441"/>
      <c r="AE1115" s="441"/>
      <c r="AF1115" s="441"/>
      <c r="AG1115" s="441"/>
      <c r="AH1115" s="441"/>
      <c r="AI1115" s="441"/>
      <c r="AJ1115" s="441"/>
      <c r="AK1115" s="441"/>
      <c r="AL1115" s="441"/>
      <c r="AM1115" s="441"/>
      <c r="AN1115" s="441"/>
      <c r="AO1115" s="441"/>
    </row>
    <row r="1116" spans="1:41" ht="12.75" hidden="1" thickBot="1">
      <c r="A1116" s="2" t="s">
        <v>1280</v>
      </c>
      <c r="B1116" s="2" t="s">
        <v>355</v>
      </c>
      <c r="C1116" s="2" t="s">
        <v>1051</v>
      </c>
      <c r="D1116" s="8" t="s">
        <v>459</v>
      </c>
      <c r="E1116" s="459"/>
      <c r="F1116" s="6"/>
      <c r="G1116" s="451"/>
      <c r="H1116" s="6"/>
      <c r="I1116" s="6"/>
      <c r="J1116" s="6"/>
      <c r="K1116" s="6"/>
      <c r="L1116" s="6"/>
      <c r="M1116" s="451"/>
      <c r="N1116" s="451"/>
      <c r="O1116" s="6"/>
      <c r="P1116" s="6"/>
      <c r="Q1116" s="451"/>
      <c r="R1116" s="451"/>
      <c r="S1116" s="445">
        <f t="shared" si="102"/>
        <v>0</v>
      </c>
      <c r="T1116" s="445">
        <f t="shared" si="103"/>
        <v>0</v>
      </c>
      <c r="U1116" s="445">
        <f t="shared" si="104"/>
        <v>0</v>
      </c>
      <c r="W1116" s="450"/>
      <c r="X1116" s="450"/>
      <c r="Y1116" s="441"/>
      <c r="Z1116" s="441"/>
      <c r="AA1116" s="441"/>
      <c r="AB1116" s="441"/>
      <c r="AC1116" s="441"/>
      <c r="AD1116" s="441"/>
      <c r="AE1116" s="441"/>
      <c r="AF1116" s="441"/>
      <c r="AG1116" s="441"/>
      <c r="AH1116" s="441"/>
      <c r="AI1116" s="441"/>
      <c r="AJ1116" s="441"/>
      <c r="AK1116" s="441"/>
      <c r="AL1116" s="441"/>
      <c r="AM1116" s="441"/>
      <c r="AN1116" s="441"/>
      <c r="AO1116" s="441"/>
    </row>
    <row r="1117" spans="1:41" ht="12.75" hidden="1" thickBot="1">
      <c r="A1117" s="2" t="s">
        <v>1280</v>
      </c>
      <c r="B1117" s="2" t="s">
        <v>359</v>
      </c>
      <c r="C1117" s="2" t="s">
        <v>1052</v>
      </c>
      <c r="D1117" s="8" t="s">
        <v>459</v>
      </c>
      <c r="E1117" s="460"/>
      <c r="F1117" s="4"/>
      <c r="G1117" s="449"/>
      <c r="H1117" s="4"/>
      <c r="I1117" s="4"/>
      <c r="J1117" s="4"/>
      <c r="K1117" s="4"/>
      <c r="L1117" s="4"/>
      <c r="M1117" s="449"/>
      <c r="N1117" s="449"/>
      <c r="O1117" s="4"/>
      <c r="P1117" s="4"/>
      <c r="Q1117" s="449"/>
      <c r="R1117" s="449"/>
      <c r="S1117" s="445">
        <f t="shared" si="102"/>
        <v>0</v>
      </c>
      <c r="T1117" s="445">
        <f t="shared" si="103"/>
        <v>0</v>
      </c>
      <c r="U1117" s="445">
        <f t="shared" si="104"/>
        <v>0</v>
      </c>
      <c r="W1117" s="450"/>
      <c r="X1117" s="450"/>
      <c r="Y1117" s="441"/>
      <c r="Z1117" s="441"/>
      <c r="AA1117" s="441"/>
      <c r="AB1117" s="441"/>
      <c r="AC1117" s="441"/>
      <c r="AD1117" s="441"/>
      <c r="AE1117" s="441"/>
      <c r="AF1117" s="441"/>
      <c r="AG1117" s="441"/>
      <c r="AH1117" s="441"/>
      <c r="AI1117" s="441"/>
      <c r="AJ1117" s="441"/>
      <c r="AK1117" s="441"/>
      <c r="AL1117" s="441"/>
      <c r="AM1117" s="441"/>
      <c r="AN1117" s="441"/>
      <c r="AO1117" s="441"/>
    </row>
    <row r="1118" spans="1:41" ht="12.75" hidden="1" thickBot="1">
      <c r="A1118" s="2" t="s">
        <v>1280</v>
      </c>
      <c r="B1118" s="2" t="s">
        <v>356</v>
      </c>
      <c r="C1118" s="2" t="s">
        <v>1053</v>
      </c>
      <c r="D1118" s="8" t="s">
        <v>459</v>
      </c>
      <c r="E1118" s="459"/>
      <c r="F1118" s="6"/>
      <c r="G1118" s="451"/>
      <c r="H1118" s="6"/>
      <c r="I1118" s="6"/>
      <c r="J1118" s="6"/>
      <c r="K1118" s="6"/>
      <c r="L1118" s="6"/>
      <c r="M1118" s="451"/>
      <c r="N1118" s="451"/>
      <c r="O1118" s="6"/>
      <c r="P1118" s="6"/>
      <c r="Q1118" s="451"/>
      <c r="R1118" s="451"/>
      <c r="S1118" s="445">
        <f t="shared" si="102"/>
        <v>0</v>
      </c>
      <c r="T1118" s="445">
        <f t="shared" si="103"/>
        <v>0</v>
      </c>
      <c r="U1118" s="445">
        <f t="shared" si="104"/>
        <v>0</v>
      </c>
      <c r="W1118" s="450"/>
      <c r="X1118" s="450"/>
      <c r="Y1118" s="441"/>
      <c r="Z1118" s="441"/>
      <c r="AA1118" s="441"/>
      <c r="AB1118" s="441"/>
      <c r="AC1118" s="441"/>
      <c r="AD1118" s="441"/>
      <c r="AE1118" s="441"/>
      <c r="AF1118" s="441"/>
      <c r="AG1118" s="441"/>
      <c r="AH1118" s="441"/>
      <c r="AI1118" s="441"/>
      <c r="AJ1118" s="441"/>
      <c r="AK1118" s="441"/>
      <c r="AL1118" s="441"/>
      <c r="AM1118" s="441"/>
      <c r="AN1118" s="441"/>
      <c r="AO1118" s="441"/>
    </row>
    <row r="1119" spans="1:41" ht="12.75" hidden="1" thickBot="1">
      <c r="A1119" s="2" t="s">
        <v>1280</v>
      </c>
      <c r="B1119" s="2" t="s">
        <v>357</v>
      </c>
      <c r="C1119" s="2" t="s">
        <v>1054</v>
      </c>
      <c r="D1119" s="8" t="s">
        <v>459</v>
      </c>
      <c r="E1119" s="460"/>
      <c r="F1119" s="4"/>
      <c r="G1119" s="449"/>
      <c r="H1119" s="4"/>
      <c r="I1119" s="4"/>
      <c r="J1119" s="4"/>
      <c r="K1119" s="4"/>
      <c r="L1119" s="4"/>
      <c r="M1119" s="449"/>
      <c r="N1119" s="449"/>
      <c r="O1119" s="4"/>
      <c r="P1119" s="4"/>
      <c r="Q1119" s="449"/>
      <c r="R1119" s="449"/>
      <c r="S1119" s="445">
        <f t="shared" si="102"/>
        <v>0</v>
      </c>
      <c r="T1119" s="445">
        <f t="shared" si="103"/>
        <v>0</v>
      </c>
      <c r="U1119" s="445">
        <f t="shared" si="104"/>
        <v>0</v>
      </c>
      <c r="W1119" s="450"/>
      <c r="X1119" s="450"/>
      <c r="Y1119" s="441"/>
      <c r="Z1119" s="441"/>
      <c r="AA1119" s="441"/>
      <c r="AB1119" s="441"/>
      <c r="AC1119" s="441"/>
      <c r="AD1119" s="441"/>
      <c r="AE1119" s="441"/>
      <c r="AF1119" s="441"/>
      <c r="AG1119" s="441"/>
      <c r="AH1119" s="441"/>
      <c r="AI1119" s="441"/>
      <c r="AJ1119" s="441"/>
      <c r="AK1119" s="441"/>
      <c r="AL1119" s="441"/>
      <c r="AM1119" s="441"/>
      <c r="AN1119" s="441"/>
      <c r="AO1119" s="441"/>
    </row>
    <row r="1120" spans="1:41" ht="12.75" hidden="1" thickBot="1">
      <c r="A1120" s="2" t="s">
        <v>1280</v>
      </c>
      <c r="B1120" s="2" t="s">
        <v>358</v>
      </c>
      <c r="C1120" s="2" t="s">
        <v>1055</v>
      </c>
      <c r="D1120" s="8" t="s">
        <v>459</v>
      </c>
      <c r="E1120" s="459"/>
      <c r="F1120" s="6"/>
      <c r="G1120" s="451"/>
      <c r="H1120" s="6"/>
      <c r="I1120" s="6"/>
      <c r="J1120" s="6"/>
      <c r="K1120" s="6"/>
      <c r="L1120" s="6"/>
      <c r="M1120" s="451"/>
      <c r="N1120" s="451"/>
      <c r="O1120" s="6"/>
      <c r="P1120" s="6"/>
      <c r="Q1120" s="451"/>
      <c r="R1120" s="451"/>
      <c r="S1120" s="445">
        <f t="shared" si="102"/>
        <v>0</v>
      </c>
      <c r="T1120" s="445">
        <f t="shared" si="103"/>
        <v>0</v>
      </c>
      <c r="U1120" s="445">
        <f t="shared" si="104"/>
        <v>0</v>
      </c>
      <c r="W1120" s="450"/>
      <c r="X1120" s="450"/>
      <c r="Y1120" s="441"/>
      <c r="Z1120" s="441"/>
      <c r="AA1120" s="441"/>
      <c r="AB1120" s="441"/>
      <c r="AC1120" s="441"/>
      <c r="AD1120" s="441"/>
      <c r="AE1120" s="441"/>
      <c r="AF1120" s="441"/>
      <c r="AG1120" s="441"/>
      <c r="AH1120" s="441"/>
      <c r="AI1120" s="441"/>
      <c r="AJ1120" s="441"/>
      <c r="AK1120" s="441"/>
      <c r="AL1120" s="441"/>
      <c r="AM1120" s="441"/>
      <c r="AN1120" s="441"/>
      <c r="AO1120" s="441"/>
    </row>
    <row r="1121" spans="1:41" ht="12.75" hidden="1" thickBot="1">
      <c r="A1121" s="2" t="s">
        <v>1280</v>
      </c>
      <c r="B1121" s="2" t="s">
        <v>250</v>
      </c>
      <c r="C1121" s="2" t="s">
        <v>1056</v>
      </c>
      <c r="D1121" s="8" t="s">
        <v>459</v>
      </c>
      <c r="E1121" s="460"/>
      <c r="F1121" s="4"/>
      <c r="G1121" s="449"/>
      <c r="H1121" s="4"/>
      <c r="I1121" s="4"/>
      <c r="J1121" s="4"/>
      <c r="K1121" s="4"/>
      <c r="L1121" s="4"/>
      <c r="M1121" s="449"/>
      <c r="N1121" s="449"/>
      <c r="O1121" s="4"/>
      <c r="P1121" s="4"/>
      <c r="Q1121" s="449"/>
      <c r="R1121" s="449"/>
      <c r="S1121" s="445">
        <f t="shared" si="102"/>
        <v>0</v>
      </c>
      <c r="T1121" s="445">
        <f t="shared" si="103"/>
        <v>0</v>
      </c>
      <c r="U1121" s="445">
        <f t="shared" si="104"/>
        <v>0</v>
      </c>
      <c r="W1121" s="450"/>
      <c r="X1121" s="450"/>
      <c r="Y1121" s="441"/>
      <c r="Z1121" s="441"/>
      <c r="AA1121" s="441"/>
      <c r="AB1121" s="441"/>
      <c r="AC1121" s="441"/>
      <c r="AD1121" s="441"/>
      <c r="AE1121" s="441"/>
      <c r="AF1121" s="441"/>
      <c r="AG1121" s="441"/>
      <c r="AH1121" s="441"/>
      <c r="AI1121" s="441"/>
      <c r="AJ1121" s="441"/>
      <c r="AK1121" s="441"/>
      <c r="AL1121" s="441"/>
      <c r="AM1121" s="441"/>
      <c r="AN1121" s="441"/>
      <c r="AO1121" s="441"/>
    </row>
    <row r="1122" spans="1:41" ht="12.75" hidden="1" thickBot="1">
      <c r="A1122" s="2" t="s">
        <v>1280</v>
      </c>
      <c r="B1122" s="2" t="s">
        <v>251</v>
      </c>
      <c r="C1122" s="2" t="s">
        <v>1057</v>
      </c>
      <c r="D1122" s="8" t="s">
        <v>459</v>
      </c>
      <c r="E1122" s="459"/>
      <c r="F1122" s="6"/>
      <c r="G1122" s="451"/>
      <c r="H1122" s="6"/>
      <c r="I1122" s="6"/>
      <c r="J1122" s="6"/>
      <c r="K1122" s="6"/>
      <c r="L1122" s="6"/>
      <c r="M1122" s="451"/>
      <c r="N1122" s="451"/>
      <c r="O1122" s="6"/>
      <c r="P1122" s="6"/>
      <c r="Q1122" s="451"/>
      <c r="R1122" s="451"/>
      <c r="S1122" s="445">
        <f t="shared" si="102"/>
        <v>0</v>
      </c>
      <c r="T1122" s="445">
        <f t="shared" si="103"/>
        <v>0</v>
      </c>
      <c r="U1122" s="445">
        <f t="shared" si="104"/>
        <v>0</v>
      </c>
      <c r="W1122" s="450"/>
      <c r="X1122" s="450"/>
      <c r="Y1122" s="441"/>
      <c r="Z1122" s="441"/>
      <c r="AA1122" s="441"/>
      <c r="AB1122" s="441"/>
      <c r="AC1122" s="441"/>
      <c r="AD1122" s="441"/>
      <c r="AE1122" s="441"/>
      <c r="AF1122" s="441"/>
      <c r="AG1122" s="441"/>
      <c r="AH1122" s="441"/>
      <c r="AI1122" s="441"/>
      <c r="AJ1122" s="441"/>
      <c r="AK1122" s="441"/>
      <c r="AL1122" s="441"/>
      <c r="AM1122" s="441"/>
      <c r="AN1122" s="441"/>
      <c r="AO1122" s="441"/>
    </row>
    <row r="1123" spans="1:41" ht="12.75" hidden="1" thickBot="1">
      <c r="A1123" s="2" t="s">
        <v>1280</v>
      </c>
      <c r="B1123" s="2" t="s">
        <v>254</v>
      </c>
      <c r="C1123" s="2" t="s">
        <v>1058</v>
      </c>
      <c r="D1123" s="8" t="s">
        <v>459</v>
      </c>
      <c r="E1123" s="460"/>
      <c r="F1123" s="4"/>
      <c r="G1123" s="449"/>
      <c r="H1123" s="4"/>
      <c r="I1123" s="4"/>
      <c r="J1123" s="4"/>
      <c r="K1123" s="4"/>
      <c r="L1123" s="4"/>
      <c r="M1123" s="449"/>
      <c r="N1123" s="449"/>
      <c r="O1123" s="4"/>
      <c r="P1123" s="4"/>
      <c r="Q1123" s="449"/>
      <c r="R1123" s="449"/>
      <c r="S1123" s="445">
        <f t="shared" si="102"/>
        <v>0</v>
      </c>
      <c r="T1123" s="445">
        <f t="shared" si="103"/>
        <v>0</v>
      </c>
      <c r="U1123" s="445">
        <f t="shared" si="104"/>
        <v>0</v>
      </c>
      <c r="W1123" s="450"/>
      <c r="X1123" s="450"/>
      <c r="Y1123" s="441"/>
      <c r="Z1123" s="441"/>
      <c r="AA1123" s="441"/>
      <c r="AB1123" s="441"/>
      <c r="AC1123" s="441"/>
      <c r="AD1123" s="441"/>
      <c r="AE1123" s="441"/>
      <c r="AF1123" s="441"/>
      <c r="AG1123" s="441"/>
      <c r="AH1123" s="441"/>
      <c r="AI1123" s="441"/>
      <c r="AJ1123" s="441"/>
      <c r="AK1123" s="441"/>
      <c r="AL1123" s="441"/>
      <c r="AM1123" s="441"/>
      <c r="AN1123" s="441"/>
      <c r="AO1123" s="441"/>
    </row>
    <row r="1124" spans="1:41" ht="12.75" hidden="1" thickBot="1">
      <c r="A1124" s="2" t="s">
        <v>1280</v>
      </c>
      <c r="B1124" s="2" t="s">
        <v>260</v>
      </c>
      <c r="C1124" s="2" t="s">
        <v>1059</v>
      </c>
      <c r="D1124" s="8" t="s">
        <v>459</v>
      </c>
      <c r="E1124" s="459"/>
      <c r="F1124" s="6"/>
      <c r="G1124" s="451"/>
      <c r="H1124" s="6"/>
      <c r="I1124" s="6"/>
      <c r="J1124" s="6"/>
      <c r="K1124" s="6"/>
      <c r="L1124" s="6"/>
      <c r="M1124" s="451"/>
      <c r="N1124" s="451"/>
      <c r="O1124" s="6"/>
      <c r="P1124" s="6"/>
      <c r="Q1124" s="451"/>
      <c r="R1124" s="451"/>
      <c r="S1124" s="445">
        <f t="shared" si="102"/>
        <v>0</v>
      </c>
      <c r="T1124" s="445">
        <f t="shared" si="103"/>
        <v>0</v>
      </c>
      <c r="U1124" s="445">
        <f t="shared" si="104"/>
        <v>0</v>
      </c>
      <c r="W1124" s="450"/>
      <c r="X1124" s="450"/>
      <c r="Y1124" s="441"/>
      <c r="Z1124" s="441"/>
      <c r="AA1124" s="441"/>
      <c r="AB1124" s="441"/>
      <c r="AC1124" s="441"/>
      <c r="AD1124" s="441"/>
      <c r="AE1124" s="441"/>
      <c r="AF1124" s="441"/>
      <c r="AG1124" s="441"/>
      <c r="AH1124" s="441"/>
      <c r="AI1124" s="441"/>
      <c r="AJ1124" s="441"/>
      <c r="AK1124" s="441"/>
      <c r="AL1124" s="441"/>
      <c r="AM1124" s="441"/>
      <c r="AN1124" s="441"/>
      <c r="AO1124" s="441"/>
    </row>
    <row r="1125" spans="1:41" ht="12.75" hidden="1" thickBot="1">
      <c r="A1125" s="2" t="s">
        <v>1280</v>
      </c>
      <c r="B1125" s="2" t="s">
        <v>262</v>
      </c>
      <c r="C1125" s="2" t="s">
        <v>1060</v>
      </c>
      <c r="D1125" s="8" t="s">
        <v>459</v>
      </c>
      <c r="E1125" s="460"/>
      <c r="F1125" s="4"/>
      <c r="G1125" s="449"/>
      <c r="H1125" s="4"/>
      <c r="I1125" s="4"/>
      <c r="J1125" s="4"/>
      <c r="K1125" s="4"/>
      <c r="L1125" s="4"/>
      <c r="M1125" s="449"/>
      <c r="N1125" s="449"/>
      <c r="O1125" s="4"/>
      <c r="P1125" s="4"/>
      <c r="Q1125" s="449"/>
      <c r="R1125" s="449"/>
      <c r="S1125" s="445">
        <f t="shared" si="102"/>
        <v>0</v>
      </c>
      <c r="T1125" s="445">
        <f t="shared" si="103"/>
        <v>0</v>
      </c>
      <c r="U1125" s="445">
        <f t="shared" si="104"/>
        <v>0</v>
      </c>
      <c r="W1125" s="450"/>
      <c r="X1125" s="450"/>
      <c r="Y1125" s="441"/>
      <c r="Z1125" s="441"/>
      <c r="AA1125" s="441"/>
      <c r="AB1125" s="441"/>
      <c r="AC1125" s="441"/>
      <c r="AD1125" s="441"/>
      <c r="AE1125" s="441"/>
      <c r="AF1125" s="441"/>
      <c r="AG1125" s="441"/>
      <c r="AH1125" s="441"/>
      <c r="AI1125" s="441"/>
      <c r="AJ1125" s="441"/>
      <c r="AK1125" s="441"/>
      <c r="AL1125" s="441"/>
      <c r="AM1125" s="441"/>
      <c r="AN1125" s="441"/>
      <c r="AO1125" s="441"/>
    </row>
    <row r="1126" spans="1:41" ht="12.75" hidden="1" thickBot="1">
      <c r="A1126" s="2" t="s">
        <v>1280</v>
      </c>
      <c r="B1126" s="2" t="s">
        <v>340</v>
      </c>
      <c r="C1126" s="2" t="s">
        <v>1061</v>
      </c>
      <c r="D1126" s="8" t="s">
        <v>567</v>
      </c>
      <c r="E1126" s="459"/>
      <c r="F1126" s="6"/>
      <c r="G1126" s="451"/>
      <c r="H1126" s="6"/>
      <c r="I1126" s="6"/>
      <c r="J1126" s="6"/>
      <c r="K1126" s="6"/>
      <c r="L1126" s="6"/>
      <c r="M1126" s="451"/>
      <c r="N1126" s="451"/>
      <c r="O1126" s="6"/>
      <c r="P1126" s="6"/>
      <c r="Q1126" s="6"/>
      <c r="R1126" s="451"/>
      <c r="S1126" s="445">
        <f t="shared" si="102"/>
        <v>0</v>
      </c>
      <c r="T1126" s="445">
        <f t="shared" si="103"/>
        <v>0</v>
      </c>
      <c r="U1126" s="445">
        <f t="shared" si="104"/>
        <v>0</v>
      </c>
      <c r="W1126" s="450"/>
      <c r="X1126" s="450"/>
      <c r="Y1126" s="441"/>
      <c r="Z1126" s="441"/>
      <c r="AA1126" s="441"/>
      <c r="AB1126" s="441"/>
      <c r="AC1126" s="441"/>
      <c r="AD1126" s="441"/>
      <c r="AE1126" s="441"/>
      <c r="AF1126" s="441"/>
      <c r="AG1126" s="441"/>
      <c r="AH1126" s="441"/>
      <c r="AI1126" s="441"/>
      <c r="AJ1126" s="441"/>
      <c r="AK1126" s="441"/>
      <c r="AL1126" s="441"/>
      <c r="AM1126" s="441"/>
      <c r="AN1126" s="441"/>
      <c r="AO1126" s="441"/>
    </row>
    <row r="1127" spans="1:41" ht="12.75" hidden="1" thickBot="1">
      <c r="A1127" s="2" t="s">
        <v>1280</v>
      </c>
      <c r="B1127" s="2" t="s">
        <v>692</v>
      </c>
      <c r="C1127" s="2" t="s">
        <v>1062</v>
      </c>
      <c r="D1127" s="8" t="s">
        <v>567</v>
      </c>
      <c r="E1127" s="460"/>
      <c r="F1127" s="4"/>
      <c r="G1127" s="449"/>
      <c r="H1127" s="4"/>
      <c r="I1127" s="4"/>
      <c r="J1127" s="4"/>
      <c r="K1127" s="4"/>
      <c r="L1127" s="4"/>
      <c r="M1127" s="449"/>
      <c r="N1127" s="449"/>
      <c r="O1127" s="4"/>
      <c r="P1127" s="4"/>
      <c r="Q1127" s="4"/>
      <c r="R1127" s="449"/>
      <c r="S1127" s="445">
        <f t="shared" si="102"/>
        <v>0</v>
      </c>
      <c r="T1127" s="445">
        <f t="shared" si="103"/>
        <v>0</v>
      </c>
      <c r="U1127" s="445">
        <f t="shared" si="104"/>
        <v>0</v>
      </c>
      <c r="W1127" s="450"/>
      <c r="X1127" s="450"/>
      <c r="Y1127" s="441"/>
      <c r="Z1127" s="441"/>
      <c r="AA1127" s="441"/>
      <c r="AB1127" s="441"/>
      <c r="AC1127" s="441"/>
      <c r="AD1127" s="441"/>
      <c r="AE1127" s="441"/>
      <c r="AF1127" s="441"/>
      <c r="AG1127" s="441"/>
      <c r="AH1127" s="441"/>
      <c r="AI1127" s="441"/>
      <c r="AJ1127" s="441"/>
      <c r="AK1127" s="441"/>
      <c r="AL1127" s="441"/>
      <c r="AM1127" s="441"/>
      <c r="AN1127" s="441"/>
      <c r="AO1127" s="441"/>
    </row>
    <row r="1128" spans="1:41" ht="12.75" hidden="1" thickBot="1">
      <c r="A1128" s="2" t="s">
        <v>1280</v>
      </c>
      <c r="B1128" s="2" t="s">
        <v>292</v>
      </c>
      <c r="C1128" s="2" t="s">
        <v>1063</v>
      </c>
      <c r="D1128" s="8" t="s">
        <v>567</v>
      </c>
      <c r="E1128" s="459"/>
      <c r="F1128" s="6"/>
      <c r="G1128" s="451"/>
      <c r="H1128" s="6"/>
      <c r="I1128" s="6"/>
      <c r="J1128" s="6"/>
      <c r="K1128" s="6"/>
      <c r="L1128" s="6"/>
      <c r="M1128" s="451"/>
      <c r="N1128" s="451"/>
      <c r="O1128" s="6"/>
      <c r="P1128" s="6"/>
      <c r="Q1128" s="451"/>
      <c r="R1128" s="451"/>
      <c r="S1128" s="445">
        <f t="shared" si="102"/>
        <v>0</v>
      </c>
      <c r="T1128" s="445">
        <f t="shared" si="103"/>
        <v>0</v>
      </c>
      <c r="U1128" s="445">
        <f t="shared" si="104"/>
        <v>0</v>
      </c>
      <c r="W1128" s="450"/>
      <c r="X1128" s="450"/>
      <c r="Y1128" s="441"/>
      <c r="Z1128" s="441"/>
      <c r="AA1128" s="441"/>
      <c r="AB1128" s="441"/>
      <c r="AC1128" s="441"/>
      <c r="AD1128" s="441"/>
      <c r="AE1128" s="441"/>
      <c r="AF1128" s="441"/>
      <c r="AG1128" s="441"/>
      <c r="AH1128" s="441"/>
      <c r="AI1128" s="441"/>
      <c r="AJ1128" s="441"/>
      <c r="AK1128" s="441"/>
      <c r="AL1128" s="441"/>
      <c r="AM1128" s="441"/>
      <c r="AN1128" s="441"/>
      <c r="AO1128" s="441"/>
    </row>
    <row r="1129" spans="1:41" ht="12.75" hidden="1" thickBot="1">
      <c r="A1129" s="2" t="s">
        <v>1280</v>
      </c>
      <c r="B1129" s="2" t="s">
        <v>293</v>
      </c>
      <c r="C1129" s="2" t="s">
        <v>1064</v>
      </c>
      <c r="D1129" s="8" t="s">
        <v>567</v>
      </c>
      <c r="E1129" s="460"/>
      <c r="F1129" s="4"/>
      <c r="G1129" s="449"/>
      <c r="H1129" s="4"/>
      <c r="I1129" s="4"/>
      <c r="J1129" s="4"/>
      <c r="K1129" s="4"/>
      <c r="L1129" s="4"/>
      <c r="M1129" s="449"/>
      <c r="N1129" s="449"/>
      <c r="O1129" s="4"/>
      <c r="P1129" s="4"/>
      <c r="Q1129" s="449"/>
      <c r="R1129" s="449"/>
      <c r="S1129" s="445">
        <f t="shared" si="102"/>
        <v>0</v>
      </c>
      <c r="T1129" s="445">
        <f t="shared" si="103"/>
        <v>0</v>
      </c>
      <c r="U1129" s="445">
        <f t="shared" si="104"/>
        <v>0</v>
      </c>
      <c r="W1129" s="450"/>
      <c r="X1129" s="450"/>
      <c r="Y1129" s="441"/>
      <c r="Z1129" s="441"/>
      <c r="AA1129" s="441"/>
      <c r="AB1129" s="441"/>
      <c r="AC1129" s="441"/>
      <c r="AD1129" s="441"/>
      <c r="AE1129" s="441"/>
      <c r="AF1129" s="441"/>
      <c r="AG1129" s="441"/>
      <c r="AH1129" s="441"/>
      <c r="AI1129" s="441"/>
      <c r="AJ1129" s="441"/>
      <c r="AK1129" s="441"/>
      <c r="AL1129" s="441"/>
      <c r="AM1129" s="441"/>
      <c r="AN1129" s="441"/>
      <c r="AO1129" s="441"/>
    </row>
    <row r="1130" spans="1:41" ht="12.75" hidden="1" thickBot="1">
      <c r="A1130" s="2" t="s">
        <v>1280</v>
      </c>
      <c r="B1130" s="2" t="s">
        <v>295</v>
      </c>
      <c r="C1130" s="2" t="s">
        <v>1065</v>
      </c>
      <c r="D1130" s="8" t="s">
        <v>567</v>
      </c>
      <c r="E1130" s="459"/>
      <c r="F1130" s="6"/>
      <c r="G1130" s="451"/>
      <c r="H1130" s="6"/>
      <c r="I1130" s="6"/>
      <c r="J1130" s="6"/>
      <c r="K1130" s="6"/>
      <c r="L1130" s="6"/>
      <c r="M1130" s="451"/>
      <c r="N1130" s="451"/>
      <c r="O1130" s="6"/>
      <c r="P1130" s="6"/>
      <c r="Q1130" s="451"/>
      <c r="R1130" s="451"/>
      <c r="S1130" s="445">
        <f t="shared" si="102"/>
        <v>0</v>
      </c>
      <c r="T1130" s="445">
        <f t="shared" si="103"/>
        <v>0</v>
      </c>
      <c r="U1130" s="445">
        <f t="shared" si="104"/>
        <v>0</v>
      </c>
      <c r="W1130" s="450"/>
      <c r="X1130" s="450"/>
      <c r="Y1130" s="441"/>
      <c r="Z1130" s="441"/>
      <c r="AA1130" s="441"/>
      <c r="AB1130" s="441"/>
      <c r="AC1130" s="441"/>
      <c r="AD1130" s="441"/>
      <c r="AE1130" s="441"/>
      <c r="AF1130" s="441"/>
      <c r="AG1130" s="441"/>
      <c r="AH1130" s="441"/>
      <c r="AI1130" s="441"/>
      <c r="AJ1130" s="441"/>
      <c r="AK1130" s="441"/>
      <c r="AL1130" s="441"/>
      <c r="AM1130" s="441"/>
      <c r="AN1130" s="441"/>
      <c r="AO1130" s="441"/>
    </row>
    <row r="1131" spans="1:41" ht="12.75" hidden="1" thickBot="1">
      <c r="A1131" s="2" t="s">
        <v>1280</v>
      </c>
      <c r="B1131" s="2" t="s">
        <v>296</v>
      </c>
      <c r="C1131" s="2" t="s">
        <v>1066</v>
      </c>
      <c r="D1131" s="8" t="s">
        <v>567</v>
      </c>
      <c r="E1131" s="460"/>
      <c r="F1131" s="4"/>
      <c r="G1131" s="449"/>
      <c r="H1131" s="4"/>
      <c r="I1131" s="4"/>
      <c r="J1131" s="4"/>
      <c r="K1131" s="4"/>
      <c r="L1131" s="4"/>
      <c r="M1131" s="449"/>
      <c r="N1131" s="449"/>
      <c r="O1131" s="4"/>
      <c r="P1131" s="4"/>
      <c r="Q1131" s="449"/>
      <c r="R1131" s="449"/>
      <c r="S1131" s="445">
        <f t="shared" si="102"/>
        <v>0</v>
      </c>
      <c r="T1131" s="445">
        <f t="shared" si="103"/>
        <v>0</v>
      </c>
      <c r="U1131" s="445">
        <f t="shared" si="104"/>
        <v>0</v>
      </c>
      <c r="W1131" s="450"/>
      <c r="X1131" s="450"/>
      <c r="Y1131" s="441"/>
      <c r="Z1131" s="441"/>
      <c r="AA1131" s="441"/>
      <c r="AB1131" s="441"/>
      <c r="AC1131" s="441"/>
      <c r="AD1131" s="441"/>
      <c r="AE1131" s="441"/>
      <c r="AF1131" s="441"/>
      <c r="AG1131" s="441"/>
      <c r="AH1131" s="441"/>
      <c r="AI1131" s="441"/>
      <c r="AJ1131" s="441"/>
      <c r="AK1131" s="441"/>
      <c r="AL1131" s="441"/>
      <c r="AM1131" s="441"/>
      <c r="AN1131" s="441"/>
      <c r="AO1131" s="441"/>
    </row>
    <row r="1132" spans="1:41" ht="12.75" hidden="1" thickBot="1">
      <c r="A1132" s="2" t="s">
        <v>1280</v>
      </c>
      <c r="B1132" s="2" t="s">
        <v>297</v>
      </c>
      <c r="C1132" s="2" t="s">
        <v>1067</v>
      </c>
      <c r="D1132" s="8" t="s">
        <v>459</v>
      </c>
      <c r="E1132" s="459"/>
      <c r="F1132" s="6"/>
      <c r="G1132" s="451"/>
      <c r="H1132" s="6"/>
      <c r="I1132" s="6"/>
      <c r="J1132" s="6"/>
      <c r="K1132" s="6"/>
      <c r="L1132" s="6"/>
      <c r="M1132" s="451"/>
      <c r="N1132" s="451"/>
      <c r="O1132" s="6"/>
      <c r="P1132" s="6"/>
      <c r="Q1132" s="451"/>
      <c r="R1132" s="451"/>
      <c r="S1132" s="445">
        <f t="shared" si="102"/>
        <v>0</v>
      </c>
      <c r="T1132" s="445">
        <f t="shared" si="103"/>
        <v>0</v>
      </c>
      <c r="U1132" s="445">
        <f t="shared" si="104"/>
        <v>0</v>
      </c>
      <c r="W1132" s="450"/>
      <c r="X1132" s="450"/>
      <c r="Y1132" s="441"/>
      <c r="Z1132" s="441"/>
      <c r="AA1132" s="441"/>
      <c r="AB1132" s="441"/>
      <c r="AC1132" s="441"/>
      <c r="AD1132" s="441"/>
      <c r="AE1132" s="441"/>
      <c r="AF1132" s="441"/>
      <c r="AG1132" s="441"/>
      <c r="AH1132" s="441"/>
      <c r="AI1132" s="441"/>
      <c r="AJ1132" s="441"/>
      <c r="AK1132" s="441"/>
      <c r="AL1132" s="441"/>
      <c r="AM1132" s="441"/>
      <c r="AN1132" s="441"/>
      <c r="AO1132" s="441"/>
    </row>
    <row r="1133" spans="1:41" ht="12.75" hidden="1" thickBot="1">
      <c r="A1133" s="2" t="s">
        <v>1280</v>
      </c>
      <c r="B1133" s="2" t="s">
        <v>299</v>
      </c>
      <c r="C1133" s="2" t="s">
        <v>1068</v>
      </c>
      <c r="D1133" s="8" t="s">
        <v>459</v>
      </c>
      <c r="E1133" s="460"/>
      <c r="F1133" s="4"/>
      <c r="G1133" s="449"/>
      <c r="H1133" s="4"/>
      <c r="I1133" s="4"/>
      <c r="J1133" s="4"/>
      <c r="K1133" s="4"/>
      <c r="L1133" s="4"/>
      <c r="M1133" s="449"/>
      <c r="N1133" s="449"/>
      <c r="O1133" s="4"/>
      <c r="P1133" s="4"/>
      <c r="Q1133" s="449"/>
      <c r="R1133" s="449"/>
      <c r="S1133" s="445">
        <f t="shared" si="102"/>
        <v>0</v>
      </c>
      <c r="T1133" s="445">
        <f t="shared" si="103"/>
        <v>0</v>
      </c>
      <c r="U1133" s="445">
        <f t="shared" si="104"/>
        <v>0</v>
      </c>
      <c r="W1133" s="450"/>
      <c r="X1133" s="450"/>
      <c r="Y1133" s="441"/>
      <c r="Z1133" s="441"/>
      <c r="AA1133" s="441"/>
      <c r="AB1133" s="441"/>
      <c r="AC1133" s="441"/>
      <c r="AD1133" s="441"/>
      <c r="AE1133" s="441"/>
      <c r="AF1133" s="441"/>
      <c r="AG1133" s="441"/>
      <c r="AH1133" s="441"/>
      <c r="AI1133" s="441"/>
      <c r="AJ1133" s="441"/>
      <c r="AK1133" s="441"/>
      <c r="AL1133" s="441"/>
      <c r="AM1133" s="441"/>
      <c r="AN1133" s="441"/>
      <c r="AO1133" s="441"/>
    </row>
    <row r="1134" spans="1:41" ht="12.75" hidden="1" thickBot="1">
      <c r="A1134" s="2" t="s">
        <v>1280</v>
      </c>
      <c r="B1134" s="2" t="s">
        <v>300</v>
      </c>
      <c r="C1134" s="2" t="s">
        <v>1069</v>
      </c>
      <c r="D1134" s="8" t="s">
        <v>567</v>
      </c>
      <c r="E1134" s="459"/>
      <c r="F1134" s="6"/>
      <c r="G1134" s="451"/>
      <c r="H1134" s="6"/>
      <c r="I1134" s="6"/>
      <c r="J1134" s="6"/>
      <c r="K1134" s="6"/>
      <c r="L1134" s="6"/>
      <c r="M1134" s="451"/>
      <c r="N1134" s="451"/>
      <c r="O1134" s="6"/>
      <c r="P1134" s="6"/>
      <c r="Q1134" s="451"/>
      <c r="R1134" s="451"/>
      <c r="S1134" s="445">
        <f t="shared" si="102"/>
        <v>0</v>
      </c>
      <c r="T1134" s="445">
        <f t="shared" si="103"/>
        <v>0</v>
      </c>
      <c r="U1134" s="445">
        <f t="shared" si="104"/>
        <v>0</v>
      </c>
      <c r="W1134" s="450"/>
      <c r="X1134" s="450"/>
      <c r="Y1134" s="441"/>
      <c r="Z1134" s="441"/>
      <c r="AA1134" s="441"/>
      <c r="AB1134" s="441"/>
      <c r="AC1134" s="441"/>
      <c r="AD1134" s="441"/>
      <c r="AE1134" s="441"/>
      <c r="AF1134" s="441"/>
      <c r="AG1134" s="441"/>
      <c r="AH1134" s="441"/>
      <c r="AI1134" s="441"/>
      <c r="AJ1134" s="441"/>
      <c r="AK1134" s="441"/>
      <c r="AL1134" s="441"/>
      <c r="AM1134" s="441"/>
      <c r="AN1134" s="441"/>
      <c r="AO1134" s="441"/>
    </row>
    <row r="1135" spans="1:41" ht="12.75" hidden="1" thickBot="1">
      <c r="A1135" s="2" t="s">
        <v>1280</v>
      </c>
      <c r="B1135" s="2" t="s">
        <v>301</v>
      </c>
      <c r="C1135" s="2" t="s">
        <v>1070</v>
      </c>
      <c r="D1135" s="8" t="s">
        <v>567</v>
      </c>
      <c r="E1135" s="460"/>
      <c r="F1135" s="4"/>
      <c r="G1135" s="449"/>
      <c r="H1135" s="4"/>
      <c r="I1135" s="4"/>
      <c r="J1135" s="4"/>
      <c r="K1135" s="4"/>
      <c r="L1135" s="4"/>
      <c r="M1135" s="449"/>
      <c r="N1135" s="449"/>
      <c r="O1135" s="4"/>
      <c r="P1135" s="4"/>
      <c r="Q1135" s="449"/>
      <c r="R1135" s="449"/>
      <c r="S1135" s="445">
        <f t="shared" si="102"/>
        <v>0</v>
      </c>
      <c r="T1135" s="445">
        <f t="shared" si="103"/>
        <v>0</v>
      </c>
      <c r="U1135" s="445">
        <f t="shared" si="104"/>
        <v>0</v>
      </c>
      <c r="W1135" s="450"/>
      <c r="X1135" s="450"/>
      <c r="Y1135" s="441"/>
      <c r="Z1135" s="441"/>
      <c r="AA1135" s="441"/>
      <c r="AB1135" s="441"/>
      <c r="AC1135" s="441"/>
      <c r="AD1135" s="441"/>
      <c r="AE1135" s="441"/>
      <c r="AF1135" s="441"/>
      <c r="AG1135" s="441"/>
      <c r="AH1135" s="441"/>
      <c r="AI1135" s="441"/>
      <c r="AJ1135" s="441"/>
      <c r="AK1135" s="441"/>
      <c r="AL1135" s="441"/>
      <c r="AM1135" s="441"/>
      <c r="AN1135" s="441"/>
      <c r="AO1135" s="441"/>
    </row>
    <row r="1136" spans="1:41" ht="12.75" hidden="1" thickBot="1">
      <c r="A1136" s="2" t="s">
        <v>1280</v>
      </c>
      <c r="B1136" s="2" t="s">
        <v>302</v>
      </c>
      <c r="C1136" s="2" t="s">
        <v>1071</v>
      </c>
      <c r="D1136" s="8" t="s">
        <v>567</v>
      </c>
      <c r="E1136" s="459"/>
      <c r="F1136" s="6"/>
      <c r="G1136" s="451"/>
      <c r="H1136" s="6"/>
      <c r="I1136" s="6"/>
      <c r="J1136" s="6"/>
      <c r="K1136" s="6"/>
      <c r="L1136" s="6"/>
      <c r="M1136" s="451"/>
      <c r="N1136" s="451"/>
      <c r="O1136" s="6"/>
      <c r="P1136" s="6"/>
      <c r="Q1136" s="451"/>
      <c r="R1136" s="451"/>
      <c r="S1136" s="445">
        <f t="shared" si="102"/>
        <v>0</v>
      </c>
      <c r="T1136" s="445">
        <f t="shared" si="103"/>
        <v>0</v>
      </c>
      <c r="U1136" s="445">
        <f t="shared" si="104"/>
        <v>0</v>
      </c>
      <c r="W1136" s="450"/>
      <c r="X1136" s="450"/>
      <c r="Y1136" s="441"/>
      <c r="Z1136" s="441"/>
      <c r="AA1136" s="441"/>
      <c r="AB1136" s="441"/>
      <c r="AC1136" s="441"/>
      <c r="AD1136" s="441"/>
      <c r="AE1136" s="441"/>
      <c r="AF1136" s="441"/>
      <c r="AG1136" s="441"/>
      <c r="AH1136" s="441"/>
      <c r="AI1136" s="441"/>
      <c r="AJ1136" s="441"/>
      <c r="AK1136" s="441"/>
      <c r="AL1136" s="441"/>
      <c r="AM1136" s="441"/>
      <c r="AN1136" s="441"/>
      <c r="AO1136" s="441"/>
    </row>
    <row r="1137" spans="1:41" ht="12.75" hidden="1" thickBot="1">
      <c r="A1137" s="2" t="s">
        <v>1280</v>
      </c>
      <c r="B1137" s="2" t="s">
        <v>303</v>
      </c>
      <c r="C1137" s="2" t="s">
        <v>1072</v>
      </c>
      <c r="D1137" s="8" t="s">
        <v>567</v>
      </c>
      <c r="E1137" s="460"/>
      <c r="F1137" s="4"/>
      <c r="G1137" s="449"/>
      <c r="H1137" s="4"/>
      <c r="I1137" s="4"/>
      <c r="J1137" s="4"/>
      <c r="K1137" s="4"/>
      <c r="L1137" s="4"/>
      <c r="M1137" s="449"/>
      <c r="N1137" s="449"/>
      <c r="O1137" s="4"/>
      <c r="P1137" s="4"/>
      <c r="Q1137" s="449"/>
      <c r="R1137" s="449"/>
      <c r="S1137" s="445">
        <f t="shared" si="102"/>
        <v>0</v>
      </c>
      <c r="T1137" s="445">
        <f t="shared" si="103"/>
        <v>0</v>
      </c>
      <c r="U1137" s="445">
        <f t="shared" si="104"/>
        <v>0</v>
      </c>
      <c r="W1137" s="450"/>
      <c r="X1137" s="450"/>
      <c r="Y1137" s="441"/>
      <c r="Z1137" s="441"/>
      <c r="AA1137" s="441"/>
      <c r="AB1137" s="441"/>
      <c r="AC1137" s="441"/>
      <c r="AD1137" s="441"/>
      <c r="AE1137" s="441"/>
      <c r="AF1137" s="441"/>
      <c r="AG1137" s="441"/>
      <c r="AH1137" s="441"/>
      <c r="AI1137" s="441"/>
      <c r="AJ1137" s="441"/>
      <c r="AK1137" s="441"/>
      <c r="AL1137" s="441"/>
      <c r="AM1137" s="441"/>
      <c r="AN1137" s="441"/>
      <c r="AO1137" s="441"/>
    </row>
    <row r="1138" spans="1:41" ht="12.75" hidden="1" thickBot="1">
      <c r="A1138" s="2" t="s">
        <v>1280</v>
      </c>
      <c r="B1138" s="2" t="s">
        <v>304</v>
      </c>
      <c r="C1138" s="2" t="s">
        <v>1073</v>
      </c>
      <c r="D1138" s="8" t="s">
        <v>567</v>
      </c>
      <c r="E1138" s="459"/>
      <c r="F1138" s="6"/>
      <c r="G1138" s="451"/>
      <c r="H1138" s="6"/>
      <c r="I1138" s="6"/>
      <c r="J1138" s="6"/>
      <c r="K1138" s="6"/>
      <c r="L1138" s="6"/>
      <c r="M1138" s="451"/>
      <c r="N1138" s="451"/>
      <c r="O1138" s="6"/>
      <c r="P1138" s="6"/>
      <c r="Q1138" s="451"/>
      <c r="R1138" s="451"/>
      <c r="S1138" s="445">
        <f t="shared" si="102"/>
        <v>0</v>
      </c>
      <c r="T1138" s="445">
        <f t="shared" si="103"/>
        <v>0</v>
      </c>
      <c r="U1138" s="445">
        <f t="shared" si="104"/>
        <v>0</v>
      </c>
      <c r="W1138" s="450"/>
      <c r="X1138" s="450"/>
      <c r="Y1138" s="441"/>
      <c r="Z1138" s="441"/>
      <c r="AA1138" s="441"/>
      <c r="AB1138" s="441"/>
      <c r="AC1138" s="441"/>
      <c r="AD1138" s="441"/>
      <c r="AE1138" s="441"/>
      <c r="AF1138" s="441"/>
      <c r="AG1138" s="441"/>
      <c r="AH1138" s="441"/>
      <c r="AI1138" s="441"/>
      <c r="AJ1138" s="441"/>
      <c r="AK1138" s="441"/>
      <c r="AL1138" s="441"/>
      <c r="AM1138" s="441"/>
      <c r="AN1138" s="441"/>
      <c r="AO1138" s="441"/>
    </row>
    <row r="1139" spans="1:41" ht="12.75" hidden="1" thickBot="1">
      <c r="A1139" s="2" t="s">
        <v>1280</v>
      </c>
      <c r="B1139" s="2" t="s">
        <v>305</v>
      </c>
      <c r="C1139" s="2" t="s">
        <v>1074</v>
      </c>
      <c r="D1139" s="8" t="s">
        <v>567</v>
      </c>
      <c r="E1139" s="460"/>
      <c r="F1139" s="4"/>
      <c r="G1139" s="449"/>
      <c r="H1139" s="4"/>
      <c r="I1139" s="4"/>
      <c r="J1139" s="4"/>
      <c r="K1139" s="4"/>
      <c r="L1139" s="4"/>
      <c r="M1139" s="449"/>
      <c r="N1139" s="449"/>
      <c r="O1139" s="4"/>
      <c r="P1139" s="4"/>
      <c r="Q1139" s="449"/>
      <c r="R1139" s="449"/>
      <c r="S1139" s="445">
        <f t="shared" si="102"/>
        <v>0</v>
      </c>
      <c r="T1139" s="445">
        <f t="shared" si="103"/>
        <v>0</v>
      </c>
      <c r="U1139" s="445">
        <f t="shared" si="104"/>
        <v>0</v>
      </c>
      <c r="W1139" s="450"/>
      <c r="X1139" s="450"/>
      <c r="Y1139" s="441"/>
      <c r="Z1139" s="441"/>
      <c r="AA1139" s="441"/>
      <c r="AB1139" s="441"/>
      <c r="AC1139" s="441"/>
      <c r="AD1139" s="441"/>
      <c r="AE1139" s="441"/>
      <c r="AF1139" s="441"/>
      <c r="AG1139" s="441"/>
      <c r="AH1139" s="441"/>
      <c r="AI1139" s="441"/>
      <c r="AJ1139" s="441"/>
      <c r="AK1139" s="441"/>
      <c r="AL1139" s="441"/>
      <c r="AM1139" s="441"/>
      <c r="AN1139" s="441"/>
      <c r="AO1139" s="441"/>
    </row>
    <row r="1140" spans="1:41" ht="12.75" hidden="1" thickBot="1">
      <c r="A1140" s="2" t="s">
        <v>1280</v>
      </c>
      <c r="B1140" s="2" t="s">
        <v>306</v>
      </c>
      <c r="C1140" s="2" t="s">
        <v>1075</v>
      </c>
      <c r="D1140" s="453" t="s">
        <v>459</v>
      </c>
      <c r="E1140" s="459"/>
      <c r="F1140" s="6"/>
      <c r="G1140" s="451"/>
      <c r="H1140" s="6"/>
      <c r="I1140" s="6"/>
      <c r="J1140" s="6"/>
      <c r="K1140" s="6"/>
      <c r="L1140" s="6"/>
      <c r="M1140" s="451"/>
      <c r="N1140" s="451"/>
      <c r="O1140" s="6"/>
      <c r="P1140" s="6"/>
      <c r="Q1140" s="451"/>
      <c r="R1140" s="451"/>
      <c r="S1140" s="445">
        <f t="shared" si="102"/>
        <v>0</v>
      </c>
      <c r="T1140" s="445">
        <f t="shared" si="103"/>
        <v>0</v>
      </c>
      <c r="U1140" s="445">
        <f t="shared" si="104"/>
        <v>0</v>
      </c>
      <c r="W1140" s="450"/>
      <c r="X1140" s="450"/>
      <c r="Y1140" s="441"/>
      <c r="Z1140" s="441"/>
      <c r="AA1140" s="441"/>
      <c r="AB1140" s="441"/>
      <c r="AC1140" s="441"/>
      <c r="AD1140" s="441"/>
      <c r="AE1140" s="441"/>
      <c r="AF1140" s="441"/>
      <c r="AG1140" s="441"/>
      <c r="AH1140" s="441"/>
      <c r="AI1140" s="441"/>
      <c r="AJ1140" s="441"/>
      <c r="AK1140" s="441"/>
      <c r="AL1140" s="441"/>
      <c r="AM1140" s="441"/>
      <c r="AN1140" s="441"/>
      <c r="AO1140" s="441"/>
    </row>
    <row r="1141" spans="1:41" ht="12.75" hidden="1" thickBot="1">
      <c r="A1141" s="2" t="s">
        <v>1280</v>
      </c>
      <c r="B1141" s="2" t="s">
        <v>307</v>
      </c>
      <c r="C1141" s="2" t="s">
        <v>1076</v>
      </c>
      <c r="D1141" s="8" t="s">
        <v>567</v>
      </c>
      <c r="E1141" s="460"/>
      <c r="F1141" s="4"/>
      <c r="G1141" s="449"/>
      <c r="H1141" s="4"/>
      <c r="I1141" s="4"/>
      <c r="J1141" s="4"/>
      <c r="K1141" s="4"/>
      <c r="L1141" s="4"/>
      <c r="M1141" s="449"/>
      <c r="N1141" s="449"/>
      <c r="O1141" s="4"/>
      <c r="P1141" s="4"/>
      <c r="Q1141" s="449"/>
      <c r="R1141" s="449"/>
      <c r="S1141" s="445">
        <f t="shared" si="102"/>
        <v>0</v>
      </c>
      <c r="T1141" s="445">
        <f t="shared" si="103"/>
        <v>0</v>
      </c>
      <c r="U1141" s="445">
        <f t="shared" si="104"/>
        <v>0</v>
      </c>
      <c r="W1141" s="450"/>
      <c r="X1141" s="450"/>
      <c r="Y1141" s="441"/>
      <c r="Z1141" s="441"/>
      <c r="AA1141" s="441"/>
      <c r="AB1141" s="441"/>
      <c r="AC1141" s="441"/>
      <c r="AD1141" s="441"/>
      <c r="AE1141" s="441"/>
      <c r="AF1141" s="441"/>
      <c r="AG1141" s="441"/>
      <c r="AH1141" s="441"/>
      <c r="AI1141" s="441"/>
      <c r="AJ1141" s="441"/>
      <c r="AK1141" s="441"/>
      <c r="AL1141" s="441"/>
      <c r="AM1141" s="441"/>
      <c r="AN1141" s="441"/>
      <c r="AO1141" s="441"/>
    </row>
    <row r="1142" spans="1:41" ht="12.75" hidden="1" thickBot="1">
      <c r="A1142" s="2" t="s">
        <v>1280</v>
      </c>
      <c r="B1142" s="2" t="s">
        <v>308</v>
      </c>
      <c r="C1142" s="2" t="s">
        <v>1077</v>
      </c>
      <c r="D1142" s="453" t="s">
        <v>459</v>
      </c>
      <c r="E1142" s="459"/>
      <c r="F1142" s="6"/>
      <c r="G1142" s="451"/>
      <c r="H1142" s="6"/>
      <c r="I1142" s="6"/>
      <c r="J1142" s="6"/>
      <c r="K1142" s="6"/>
      <c r="L1142" s="6"/>
      <c r="M1142" s="451"/>
      <c r="N1142" s="451"/>
      <c r="O1142" s="6"/>
      <c r="P1142" s="6"/>
      <c r="Q1142" s="451"/>
      <c r="R1142" s="451"/>
      <c r="S1142" s="445">
        <f t="shared" si="102"/>
        <v>0</v>
      </c>
      <c r="T1142" s="445">
        <f t="shared" si="103"/>
        <v>0</v>
      </c>
      <c r="U1142" s="445">
        <f t="shared" si="104"/>
        <v>0</v>
      </c>
      <c r="W1142" s="450"/>
      <c r="X1142" s="450"/>
      <c r="Y1142" s="441"/>
      <c r="Z1142" s="441"/>
      <c r="AA1142" s="441"/>
      <c r="AB1142" s="441"/>
      <c r="AC1142" s="441"/>
      <c r="AD1142" s="441"/>
      <c r="AE1142" s="441"/>
      <c r="AF1142" s="441"/>
      <c r="AG1142" s="441"/>
      <c r="AH1142" s="441"/>
      <c r="AI1142" s="441"/>
      <c r="AJ1142" s="441"/>
      <c r="AK1142" s="441"/>
      <c r="AL1142" s="441"/>
      <c r="AM1142" s="441"/>
      <c r="AN1142" s="441"/>
      <c r="AO1142" s="441"/>
    </row>
    <row r="1143" spans="1:41" ht="12.75" hidden="1" thickBot="1">
      <c r="A1143" s="2" t="s">
        <v>1280</v>
      </c>
      <c r="B1143" s="2" t="s">
        <v>309</v>
      </c>
      <c r="C1143" s="2" t="s">
        <v>1078</v>
      </c>
      <c r="D1143" s="8" t="s">
        <v>567</v>
      </c>
      <c r="E1143" s="460"/>
      <c r="F1143" s="4"/>
      <c r="G1143" s="449"/>
      <c r="H1143" s="4"/>
      <c r="I1143" s="4"/>
      <c r="J1143" s="4"/>
      <c r="K1143" s="4"/>
      <c r="L1143" s="4"/>
      <c r="M1143" s="449"/>
      <c r="N1143" s="449"/>
      <c r="O1143" s="4"/>
      <c r="P1143" s="4"/>
      <c r="Q1143" s="449"/>
      <c r="R1143" s="449"/>
      <c r="S1143" s="445">
        <f t="shared" si="102"/>
        <v>0</v>
      </c>
      <c r="T1143" s="445">
        <f t="shared" si="103"/>
        <v>0</v>
      </c>
      <c r="U1143" s="445">
        <f t="shared" si="104"/>
        <v>0</v>
      </c>
      <c r="W1143" s="450"/>
      <c r="X1143" s="450"/>
      <c r="Y1143" s="441"/>
      <c r="Z1143" s="441"/>
      <c r="AA1143" s="441"/>
      <c r="AB1143" s="441"/>
      <c r="AC1143" s="441"/>
      <c r="AD1143" s="441"/>
      <c r="AE1143" s="441"/>
      <c r="AF1143" s="441"/>
      <c r="AG1143" s="441"/>
      <c r="AH1143" s="441"/>
      <c r="AI1143" s="441"/>
      <c r="AJ1143" s="441"/>
      <c r="AK1143" s="441"/>
      <c r="AL1143" s="441"/>
      <c r="AM1143" s="441"/>
      <c r="AN1143" s="441"/>
      <c r="AO1143" s="441"/>
    </row>
    <row r="1144" spans="1:41" ht="12.75" hidden="1" thickBot="1">
      <c r="A1144" s="2" t="s">
        <v>1280</v>
      </c>
      <c r="B1144" s="2" t="s">
        <v>310</v>
      </c>
      <c r="C1144" s="2" t="s">
        <v>1079</v>
      </c>
      <c r="D1144" s="453" t="s">
        <v>459</v>
      </c>
      <c r="E1144" s="459"/>
      <c r="F1144" s="6"/>
      <c r="G1144" s="451"/>
      <c r="H1144" s="6"/>
      <c r="I1144" s="6"/>
      <c r="J1144" s="6"/>
      <c r="K1144" s="6"/>
      <c r="L1144" s="6"/>
      <c r="M1144" s="451"/>
      <c r="N1144" s="451"/>
      <c r="O1144" s="6"/>
      <c r="P1144" s="6"/>
      <c r="Q1144" s="451"/>
      <c r="R1144" s="451"/>
      <c r="S1144" s="445">
        <f t="shared" si="102"/>
        <v>0</v>
      </c>
      <c r="T1144" s="445">
        <f t="shared" si="103"/>
        <v>0</v>
      </c>
      <c r="U1144" s="445">
        <f t="shared" si="104"/>
        <v>0</v>
      </c>
      <c r="W1144" s="450"/>
      <c r="X1144" s="450"/>
      <c r="Y1144" s="441"/>
      <c r="Z1144" s="441"/>
      <c r="AA1144" s="441"/>
      <c r="AB1144" s="441"/>
      <c r="AC1144" s="441"/>
      <c r="AD1144" s="441"/>
      <c r="AE1144" s="441"/>
      <c r="AF1144" s="441"/>
      <c r="AG1144" s="441"/>
      <c r="AH1144" s="441"/>
      <c r="AI1144" s="441"/>
      <c r="AJ1144" s="441"/>
      <c r="AK1144" s="441"/>
      <c r="AL1144" s="441"/>
      <c r="AM1144" s="441"/>
      <c r="AN1144" s="441"/>
      <c r="AO1144" s="441"/>
    </row>
    <row r="1145" spans="1:41" ht="12.75" hidden="1" thickBot="1">
      <c r="A1145" s="2" t="s">
        <v>1280</v>
      </c>
      <c r="B1145" s="2" t="s">
        <v>311</v>
      </c>
      <c r="C1145" s="2" t="s">
        <v>1080</v>
      </c>
      <c r="D1145" s="8" t="s">
        <v>567</v>
      </c>
      <c r="E1145" s="460"/>
      <c r="F1145" s="4"/>
      <c r="G1145" s="449"/>
      <c r="H1145" s="4"/>
      <c r="I1145" s="4"/>
      <c r="J1145" s="4"/>
      <c r="K1145" s="4"/>
      <c r="L1145" s="4"/>
      <c r="M1145" s="449"/>
      <c r="N1145" s="449"/>
      <c r="O1145" s="4"/>
      <c r="P1145" s="4"/>
      <c r="Q1145" s="449"/>
      <c r="R1145" s="449"/>
      <c r="S1145" s="445">
        <f t="shared" si="102"/>
        <v>0</v>
      </c>
      <c r="T1145" s="445">
        <f t="shared" si="103"/>
        <v>0</v>
      </c>
      <c r="U1145" s="445">
        <f t="shared" si="104"/>
        <v>0</v>
      </c>
      <c r="W1145" s="450"/>
      <c r="X1145" s="450"/>
      <c r="Y1145" s="441"/>
      <c r="Z1145" s="441"/>
      <c r="AA1145" s="441"/>
      <c r="AB1145" s="441"/>
      <c r="AC1145" s="441"/>
      <c r="AD1145" s="441"/>
      <c r="AE1145" s="441"/>
      <c r="AF1145" s="441"/>
      <c r="AG1145" s="441"/>
      <c r="AH1145" s="441"/>
      <c r="AI1145" s="441"/>
      <c r="AJ1145" s="441"/>
      <c r="AK1145" s="441"/>
      <c r="AL1145" s="441"/>
      <c r="AM1145" s="441"/>
      <c r="AN1145" s="441"/>
      <c r="AO1145" s="441"/>
    </row>
    <row r="1146" spans="1:41" ht="12.75" hidden="1" thickBot="1">
      <c r="A1146" s="2" t="s">
        <v>1280</v>
      </c>
      <c r="B1146" s="2" t="s">
        <v>339</v>
      </c>
      <c r="C1146" s="2" t="s">
        <v>1081</v>
      </c>
      <c r="D1146" s="453" t="s">
        <v>459</v>
      </c>
      <c r="E1146" s="459"/>
      <c r="F1146" s="6"/>
      <c r="G1146" s="451"/>
      <c r="H1146" s="6"/>
      <c r="I1146" s="6"/>
      <c r="J1146" s="6"/>
      <c r="K1146" s="6"/>
      <c r="L1146" s="6"/>
      <c r="M1146" s="451"/>
      <c r="N1146" s="451"/>
      <c r="O1146" s="6"/>
      <c r="P1146" s="6"/>
      <c r="Q1146" s="451"/>
      <c r="R1146" s="451"/>
      <c r="S1146" s="445">
        <f t="shared" si="102"/>
        <v>0</v>
      </c>
      <c r="T1146" s="445">
        <f t="shared" si="103"/>
        <v>0</v>
      </c>
      <c r="U1146" s="445">
        <f t="shared" si="104"/>
        <v>0</v>
      </c>
      <c r="W1146" s="450"/>
      <c r="X1146" s="450"/>
      <c r="Y1146" s="441"/>
      <c r="Z1146" s="441"/>
      <c r="AA1146" s="441"/>
      <c r="AB1146" s="441"/>
      <c r="AC1146" s="441"/>
      <c r="AD1146" s="441"/>
      <c r="AE1146" s="441"/>
      <c r="AF1146" s="441"/>
      <c r="AG1146" s="441"/>
      <c r="AH1146" s="441"/>
      <c r="AI1146" s="441"/>
      <c r="AJ1146" s="441"/>
      <c r="AK1146" s="441"/>
      <c r="AL1146" s="441"/>
      <c r="AM1146" s="441"/>
      <c r="AN1146" s="441"/>
      <c r="AO1146" s="441"/>
    </row>
    <row r="1147" spans="1:41" ht="12.75" hidden="1" thickBot="1">
      <c r="A1147" s="2" t="s">
        <v>1280</v>
      </c>
      <c r="B1147" s="2" t="s">
        <v>312</v>
      </c>
      <c r="C1147" s="2" t="s">
        <v>1082</v>
      </c>
      <c r="D1147" s="8" t="s">
        <v>567</v>
      </c>
      <c r="E1147" s="460"/>
      <c r="F1147" s="4"/>
      <c r="G1147" s="449"/>
      <c r="H1147" s="4"/>
      <c r="I1147" s="4"/>
      <c r="J1147" s="4"/>
      <c r="K1147" s="4"/>
      <c r="L1147" s="4"/>
      <c r="M1147" s="449"/>
      <c r="N1147" s="449"/>
      <c r="O1147" s="4"/>
      <c r="P1147" s="4"/>
      <c r="Q1147" s="449"/>
      <c r="R1147" s="449"/>
      <c r="S1147" s="445">
        <f t="shared" si="102"/>
        <v>0</v>
      </c>
      <c r="T1147" s="445">
        <f t="shared" si="103"/>
        <v>0</v>
      </c>
      <c r="U1147" s="445">
        <f t="shared" si="104"/>
        <v>0</v>
      </c>
      <c r="W1147" s="450"/>
      <c r="X1147" s="450"/>
      <c r="Y1147" s="441"/>
      <c r="Z1147" s="441"/>
      <c r="AA1147" s="441"/>
      <c r="AB1147" s="441"/>
      <c r="AC1147" s="441"/>
      <c r="AD1147" s="441"/>
      <c r="AE1147" s="441"/>
      <c r="AF1147" s="441"/>
      <c r="AG1147" s="441"/>
      <c r="AH1147" s="441"/>
      <c r="AI1147" s="441"/>
      <c r="AJ1147" s="441"/>
      <c r="AK1147" s="441"/>
      <c r="AL1147" s="441"/>
      <c r="AM1147" s="441"/>
      <c r="AN1147" s="441"/>
      <c r="AO1147" s="441"/>
    </row>
    <row r="1148" spans="1:41" ht="12.75" hidden="1" thickBot="1">
      <c r="A1148" s="2" t="s">
        <v>1280</v>
      </c>
      <c r="B1148" s="2" t="s">
        <v>688</v>
      </c>
      <c r="C1148" s="2" t="s">
        <v>1083</v>
      </c>
      <c r="D1148" s="8" t="s">
        <v>567</v>
      </c>
      <c r="E1148" s="459"/>
      <c r="F1148" s="6"/>
      <c r="G1148" s="451"/>
      <c r="H1148" s="6"/>
      <c r="I1148" s="6"/>
      <c r="J1148" s="6"/>
      <c r="K1148" s="6"/>
      <c r="L1148" s="6"/>
      <c r="M1148" s="451"/>
      <c r="N1148" s="451"/>
      <c r="O1148" s="6"/>
      <c r="P1148" s="6"/>
      <c r="Q1148" s="6"/>
      <c r="R1148" s="451"/>
      <c r="S1148" s="445">
        <f t="shared" si="102"/>
        <v>0</v>
      </c>
      <c r="T1148" s="445">
        <f t="shared" si="103"/>
        <v>0</v>
      </c>
      <c r="U1148" s="445">
        <f t="shared" si="104"/>
        <v>0</v>
      </c>
      <c r="W1148" s="450"/>
      <c r="X1148" s="450"/>
      <c r="Y1148" s="441"/>
      <c r="Z1148" s="441"/>
      <c r="AA1148" s="441"/>
      <c r="AB1148" s="441"/>
      <c r="AC1148" s="441"/>
      <c r="AD1148" s="441"/>
      <c r="AE1148" s="441"/>
      <c r="AF1148" s="441"/>
      <c r="AG1148" s="441"/>
      <c r="AH1148" s="441"/>
      <c r="AI1148" s="441"/>
      <c r="AJ1148" s="441"/>
      <c r="AK1148" s="441"/>
      <c r="AL1148" s="441"/>
      <c r="AM1148" s="441"/>
      <c r="AN1148" s="441"/>
      <c r="AO1148" s="441"/>
    </row>
    <row r="1149" spans="1:41" ht="12.75" hidden="1" thickBot="1">
      <c r="A1149" s="2" t="s">
        <v>1280</v>
      </c>
      <c r="B1149" s="2" t="s">
        <v>341</v>
      </c>
      <c r="C1149" s="2" t="s">
        <v>1084</v>
      </c>
      <c r="D1149" s="8" t="s">
        <v>567</v>
      </c>
      <c r="E1149" s="460"/>
      <c r="F1149" s="4"/>
      <c r="G1149" s="449"/>
      <c r="H1149" s="4"/>
      <c r="I1149" s="4"/>
      <c r="J1149" s="4"/>
      <c r="K1149" s="4"/>
      <c r="L1149" s="4"/>
      <c r="M1149" s="449"/>
      <c r="N1149" s="449"/>
      <c r="O1149" s="4"/>
      <c r="P1149" s="4"/>
      <c r="Q1149" s="4"/>
      <c r="R1149" s="449"/>
      <c r="S1149" s="445">
        <f t="shared" si="102"/>
        <v>0</v>
      </c>
      <c r="T1149" s="445">
        <f t="shared" si="103"/>
        <v>0</v>
      </c>
      <c r="U1149" s="445">
        <f t="shared" si="104"/>
        <v>0</v>
      </c>
      <c r="W1149" s="450"/>
      <c r="X1149" s="450"/>
      <c r="Y1149" s="441"/>
      <c r="Z1149" s="441"/>
      <c r="AA1149" s="441"/>
      <c r="AB1149" s="441"/>
      <c r="AC1149" s="441"/>
      <c r="AD1149" s="441"/>
      <c r="AE1149" s="441"/>
      <c r="AF1149" s="441"/>
      <c r="AG1149" s="441"/>
      <c r="AH1149" s="441"/>
      <c r="AI1149" s="441"/>
      <c r="AJ1149" s="441"/>
      <c r="AK1149" s="441"/>
      <c r="AL1149" s="441"/>
      <c r="AM1149" s="441"/>
      <c r="AN1149" s="441"/>
      <c r="AO1149" s="441"/>
    </row>
    <row r="1150" spans="1:41" ht="12.75" hidden="1" thickBot="1">
      <c r="A1150" s="2" t="s">
        <v>1280</v>
      </c>
      <c r="B1150" s="2" t="s">
        <v>317</v>
      </c>
      <c r="C1150" s="2" t="s">
        <v>1085</v>
      </c>
      <c r="D1150" s="8" t="s">
        <v>567</v>
      </c>
      <c r="E1150" s="459"/>
      <c r="F1150" s="6"/>
      <c r="G1150" s="451"/>
      <c r="H1150" s="6"/>
      <c r="I1150" s="6"/>
      <c r="J1150" s="6"/>
      <c r="K1150" s="6"/>
      <c r="L1150" s="6"/>
      <c r="M1150" s="451"/>
      <c r="N1150" s="451"/>
      <c r="O1150" s="6"/>
      <c r="P1150" s="6"/>
      <c r="Q1150" s="451"/>
      <c r="R1150" s="451"/>
      <c r="S1150" s="445">
        <f t="shared" si="102"/>
        <v>0</v>
      </c>
      <c r="T1150" s="445">
        <f t="shared" si="103"/>
        <v>0</v>
      </c>
      <c r="U1150" s="445">
        <f t="shared" si="104"/>
        <v>0</v>
      </c>
      <c r="W1150" s="450"/>
      <c r="X1150" s="450"/>
      <c r="Y1150" s="441"/>
      <c r="Z1150" s="441"/>
      <c r="AA1150" s="441"/>
      <c r="AB1150" s="441"/>
      <c r="AC1150" s="441"/>
      <c r="AD1150" s="441"/>
      <c r="AE1150" s="441"/>
      <c r="AF1150" s="441"/>
      <c r="AG1150" s="441"/>
      <c r="AH1150" s="441"/>
      <c r="AI1150" s="441"/>
      <c r="AJ1150" s="441"/>
      <c r="AK1150" s="441"/>
      <c r="AL1150" s="441"/>
      <c r="AM1150" s="441"/>
      <c r="AN1150" s="441"/>
      <c r="AO1150" s="441"/>
    </row>
    <row r="1151" spans="1:41" ht="12.75" hidden="1" thickBot="1">
      <c r="A1151" s="2" t="s">
        <v>1280</v>
      </c>
      <c r="B1151" s="2" t="s">
        <v>1235</v>
      </c>
      <c r="C1151" s="2" t="s">
        <v>1236</v>
      </c>
      <c r="D1151" s="8" t="s">
        <v>567</v>
      </c>
      <c r="E1151" s="460"/>
      <c r="F1151" s="4"/>
      <c r="G1151" s="449"/>
      <c r="H1151" s="4"/>
      <c r="I1151" s="4"/>
      <c r="J1151" s="4"/>
      <c r="K1151" s="4"/>
      <c r="L1151" s="4"/>
      <c r="M1151" s="449"/>
      <c r="N1151" s="449"/>
      <c r="O1151" s="4"/>
      <c r="P1151" s="4"/>
      <c r="Q1151" s="449"/>
      <c r="R1151" s="449"/>
      <c r="S1151" s="445">
        <f t="shared" si="102"/>
        <v>0</v>
      </c>
      <c r="T1151" s="445">
        <f t="shared" si="103"/>
        <v>0</v>
      </c>
      <c r="U1151" s="445">
        <f t="shared" si="104"/>
        <v>0</v>
      </c>
      <c r="W1151" s="450"/>
      <c r="X1151" s="450"/>
      <c r="Y1151" s="441"/>
      <c r="Z1151" s="441"/>
      <c r="AA1151" s="441"/>
      <c r="AB1151" s="441"/>
      <c r="AC1151" s="441"/>
      <c r="AD1151" s="441"/>
      <c r="AE1151" s="441"/>
      <c r="AF1151" s="441"/>
      <c r="AG1151" s="441"/>
      <c r="AH1151" s="441"/>
      <c r="AI1151" s="441"/>
      <c r="AJ1151" s="441"/>
      <c r="AK1151" s="441"/>
      <c r="AL1151" s="441"/>
      <c r="AM1151" s="441"/>
      <c r="AN1151" s="441"/>
      <c r="AO1151" s="441"/>
    </row>
    <row r="1152" spans="1:41" ht="12.75" hidden="1" thickBot="1">
      <c r="A1152" s="2" t="s">
        <v>1280</v>
      </c>
      <c r="B1152" s="2" t="s">
        <v>318</v>
      </c>
      <c r="C1152" s="2" t="s">
        <v>1086</v>
      </c>
      <c r="D1152" s="8" t="s">
        <v>567</v>
      </c>
      <c r="E1152" s="459"/>
      <c r="F1152" s="6"/>
      <c r="G1152" s="6"/>
      <c r="H1152" s="6"/>
      <c r="I1152" s="6"/>
      <c r="J1152" s="6"/>
      <c r="K1152" s="6"/>
      <c r="L1152" s="6"/>
      <c r="M1152" s="6"/>
      <c r="N1152" s="6"/>
      <c r="O1152" s="6"/>
      <c r="P1152" s="6"/>
      <c r="Q1152" s="6"/>
      <c r="R1152" s="6"/>
      <c r="S1152" s="445">
        <f t="shared" si="102"/>
        <v>0</v>
      </c>
      <c r="T1152" s="445">
        <f t="shared" si="103"/>
        <v>0</v>
      </c>
      <c r="U1152" s="445">
        <f t="shared" si="104"/>
        <v>0</v>
      </c>
      <c r="W1152" s="450"/>
      <c r="X1152" s="450"/>
      <c r="Y1152" s="441"/>
      <c r="Z1152" s="441"/>
      <c r="AA1152" s="441"/>
      <c r="AB1152" s="441"/>
      <c r="AC1152" s="441"/>
      <c r="AD1152" s="441"/>
      <c r="AE1152" s="441"/>
      <c r="AF1152" s="441"/>
      <c r="AG1152" s="441"/>
      <c r="AH1152" s="441"/>
      <c r="AI1152" s="441"/>
      <c r="AJ1152" s="441"/>
      <c r="AK1152" s="441"/>
      <c r="AL1152" s="441"/>
      <c r="AM1152" s="441"/>
      <c r="AN1152" s="441"/>
      <c r="AO1152" s="441"/>
    </row>
    <row r="1153" spans="1:41" ht="12.75" hidden="1" thickBot="1">
      <c r="A1153" s="2" t="s">
        <v>1280</v>
      </c>
      <c r="B1153" s="2" t="s">
        <v>1237</v>
      </c>
      <c r="C1153" s="2" t="s">
        <v>1238</v>
      </c>
      <c r="D1153" s="8" t="s">
        <v>567</v>
      </c>
      <c r="E1153" s="460"/>
      <c r="F1153" s="4"/>
      <c r="G1153" s="449"/>
      <c r="H1153" s="4"/>
      <c r="I1153" s="4"/>
      <c r="J1153" s="4"/>
      <c r="K1153" s="4"/>
      <c r="L1153" s="4"/>
      <c r="M1153" s="449"/>
      <c r="N1153" s="449"/>
      <c r="O1153" s="4"/>
      <c r="P1153" s="4"/>
      <c r="Q1153" s="449"/>
      <c r="R1153" s="449"/>
      <c r="S1153" s="445">
        <f t="shared" si="102"/>
        <v>0</v>
      </c>
      <c r="T1153" s="445">
        <f t="shared" si="103"/>
        <v>0</v>
      </c>
      <c r="U1153" s="445">
        <f t="shared" si="104"/>
        <v>0</v>
      </c>
      <c r="W1153" s="450"/>
      <c r="X1153" s="450"/>
      <c r="Y1153" s="441"/>
      <c r="Z1153" s="441"/>
      <c r="AA1153" s="441"/>
      <c r="AB1153" s="441"/>
      <c r="AC1153" s="441"/>
      <c r="AD1153" s="441"/>
      <c r="AE1153" s="441"/>
      <c r="AF1153" s="441"/>
      <c r="AG1153" s="441"/>
      <c r="AH1153" s="441"/>
      <c r="AI1153" s="441"/>
      <c r="AJ1153" s="441"/>
      <c r="AK1153" s="441"/>
      <c r="AL1153" s="441"/>
      <c r="AM1153" s="441"/>
      <c r="AN1153" s="441"/>
      <c r="AO1153" s="441"/>
    </row>
    <row r="1154" spans="1:41" ht="12.75" hidden="1" thickBot="1">
      <c r="A1154" s="2" t="s">
        <v>1280</v>
      </c>
      <c r="B1154" s="2" t="s">
        <v>319</v>
      </c>
      <c r="C1154" s="2" t="s">
        <v>1087</v>
      </c>
      <c r="D1154" s="8" t="s">
        <v>567</v>
      </c>
      <c r="E1154" s="459"/>
      <c r="F1154" s="6"/>
      <c r="G1154" s="6"/>
      <c r="H1154" s="6"/>
      <c r="I1154" s="6"/>
      <c r="J1154" s="6"/>
      <c r="K1154" s="6"/>
      <c r="L1154" s="6"/>
      <c r="M1154" s="6"/>
      <c r="N1154" s="6"/>
      <c r="O1154" s="6"/>
      <c r="P1154" s="6"/>
      <c r="Q1154" s="6"/>
      <c r="R1154" s="6"/>
      <c r="S1154" s="445">
        <f t="shared" si="102"/>
        <v>0</v>
      </c>
      <c r="T1154" s="445">
        <f t="shared" si="103"/>
        <v>0</v>
      </c>
      <c r="U1154" s="445">
        <f t="shared" si="104"/>
        <v>0</v>
      </c>
      <c r="W1154" s="450"/>
      <c r="X1154" s="450"/>
      <c r="Y1154" s="441"/>
      <c r="Z1154" s="441"/>
      <c r="AA1154" s="441"/>
      <c r="AB1154" s="441"/>
      <c r="AC1154" s="441"/>
      <c r="AD1154" s="441"/>
      <c r="AE1154" s="441"/>
      <c r="AF1154" s="441"/>
      <c r="AG1154" s="441"/>
      <c r="AH1154" s="441"/>
      <c r="AI1154" s="441"/>
      <c r="AJ1154" s="441"/>
      <c r="AK1154" s="441"/>
      <c r="AL1154" s="441"/>
      <c r="AM1154" s="441"/>
      <c r="AN1154" s="441"/>
      <c r="AO1154" s="441"/>
    </row>
    <row r="1155" spans="1:41" ht="12.75" hidden="1" thickBot="1">
      <c r="A1155" s="2" t="s">
        <v>1280</v>
      </c>
      <c r="B1155" s="2" t="s">
        <v>1225</v>
      </c>
      <c r="C1155" s="2" t="s">
        <v>1226</v>
      </c>
      <c r="D1155" s="8" t="s">
        <v>567</v>
      </c>
      <c r="E1155" s="460"/>
      <c r="F1155" s="4"/>
      <c r="G1155" s="449"/>
      <c r="H1155" s="4"/>
      <c r="I1155" s="4"/>
      <c r="J1155" s="4"/>
      <c r="K1155" s="4"/>
      <c r="L1155" s="4"/>
      <c r="M1155" s="449"/>
      <c r="N1155" s="449"/>
      <c r="O1155" s="4"/>
      <c r="P1155" s="4"/>
      <c r="Q1155" s="449"/>
      <c r="R1155" s="449"/>
      <c r="S1155" s="445">
        <f t="shared" si="102"/>
        <v>0</v>
      </c>
      <c r="T1155" s="445">
        <f t="shared" si="103"/>
        <v>0</v>
      </c>
      <c r="U1155" s="445">
        <f t="shared" si="104"/>
        <v>0</v>
      </c>
      <c r="W1155" s="450"/>
      <c r="X1155" s="450"/>
      <c r="Y1155" s="441"/>
      <c r="Z1155" s="441"/>
      <c r="AA1155" s="441"/>
      <c r="AB1155" s="441"/>
      <c r="AC1155" s="441"/>
      <c r="AD1155" s="441"/>
      <c r="AE1155" s="441"/>
      <c r="AF1155" s="441"/>
      <c r="AG1155" s="441"/>
      <c r="AH1155" s="441"/>
      <c r="AI1155" s="441"/>
      <c r="AJ1155" s="441"/>
      <c r="AK1155" s="441"/>
      <c r="AL1155" s="441"/>
      <c r="AM1155" s="441"/>
      <c r="AN1155" s="441"/>
      <c r="AO1155" s="441"/>
    </row>
    <row r="1156" spans="1:41" ht="12.75" hidden="1" thickBot="1">
      <c r="A1156" s="2" t="s">
        <v>1280</v>
      </c>
      <c r="B1156" s="2" t="s">
        <v>320</v>
      </c>
      <c r="C1156" s="2" t="s">
        <v>1088</v>
      </c>
      <c r="D1156" s="8" t="s">
        <v>567</v>
      </c>
      <c r="E1156" s="459"/>
      <c r="F1156" s="6"/>
      <c r="G1156" s="451"/>
      <c r="H1156" s="6"/>
      <c r="I1156" s="6"/>
      <c r="J1156" s="6"/>
      <c r="K1156" s="6"/>
      <c r="L1156" s="6"/>
      <c r="M1156" s="451"/>
      <c r="N1156" s="451"/>
      <c r="O1156" s="6"/>
      <c r="P1156" s="6"/>
      <c r="Q1156" s="451"/>
      <c r="R1156" s="451"/>
      <c r="S1156" s="445">
        <f t="shared" si="102"/>
        <v>0</v>
      </c>
      <c r="T1156" s="445">
        <f t="shared" si="103"/>
        <v>0</v>
      </c>
      <c r="U1156" s="445">
        <f t="shared" si="104"/>
        <v>0</v>
      </c>
      <c r="W1156" s="450"/>
      <c r="X1156" s="450"/>
      <c r="Y1156" s="441"/>
      <c r="Z1156" s="441"/>
      <c r="AA1156" s="441"/>
      <c r="AB1156" s="441"/>
      <c r="AC1156" s="441"/>
      <c r="AD1156" s="441"/>
      <c r="AE1156" s="441"/>
      <c r="AF1156" s="441"/>
      <c r="AG1156" s="441"/>
      <c r="AH1156" s="441"/>
      <c r="AI1156" s="441"/>
      <c r="AJ1156" s="441"/>
      <c r="AK1156" s="441"/>
      <c r="AL1156" s="441"/>
      <c r="AM1156" s="441"/>
      <c r="AN1156" s="441"/>
      <c r="AO1156" s="441"/>
    </row>
    <row r="1157" spans="1:41" ht="12.75" hidden="1" thickBot="1">
      <c r="A1157" s="2" t="s">
        <v>1280</v>
      </c>
      <c r="B1157" s="2" t="s">
        <v>321</v>
      </c>
      <c r="C1157" s="2" t="s">
        <v>1089</v>
      </c>
      <c r="D1157" s="8" t="s">
        <v>567</v>
      </c>
      <c r="E1157" s="460"/>
      <c r="F1157" s="4"/>
      <c r="G1157" s="4"/>
      <c r="H1157" s="4"/>
      <c r="I1157" s="4"/>
      <c r="J1157" s="4"/>
      <c r="K1157" s="4"/>
      <c r="L1157" s="4"/>
      <c r="M1157" s="4"/>
      <c r="N1157" s="4"/>
      <c r="O1157" s="4"/>
      <c r="P1157" s="4"/>
      <c r="Q1157" s="4"/>
      <c r="R1157" s="4"/>
      <c r="S1157" s="445">
        <f t="shared" si="102"/>
        <v>0</v>
      </c>
      <c r="T1157" s="445">
        <f t="shared" si="103"/>
        <v>0</v>
      </c>
      <c r="U1157" s="445">
        <f t="shared" si="104"/>
        <v>0</v>
      </c>
      <c r="W1157" s="450"/>
      <c r="X1157" s="450"/>
      <c r="Y1157" s="441"/>
      <c r="Z1157" s="441"/>
      <c r="AA1157" s="441"/>
      <c r="AB1157" s="441"/>
      <c r="AC1157" s="441"/>
      <c r="AD1157" s="441"/>
      <c r="AE1157" s="441"/>
      <c r="AF1157" s="441"/>
      <c r="AG1157" s="441"/>
      <c r="AH1157" s="441"/>
      <c r="AI1157" s="441"/>
      <c r="AJ1157" s="441"/>
      <c r="AK1157" s="441"/>
      <c r="AL1157" s="441"/>
      <c r="AM1157" s="441"/>
      <c r="AN1157" s="441"/>
      <c r="AO1157" s="441"/>
    </row>
    <row r="1158" spans="1:41" ht="12.75" hidden="1" thickBot="1">
      <c r="A1158" s="2" t="s">
        <v>1280</v>
      </c>
      <c r="B1158" s="2" t="s">
        <v>1227</v>
      </c>
      <c r="C1158" s="2" t="s">
        <v>1228</v>
      </c>
      <c r="D1158" s="8" t="s">
        <v>567</v>
      </c>
      <c r="E1158" s="459"/>
      <c r="F1158" s="6"/>
      <c r="G1158" s="451"/>
      <c r="H1158" s="6"/>
      <c r="I1158" s="6"/>
      <c r="J1158" s="6"/>
      <c r="K1158" s="6"/>
      <c r="L1158" s="6"/>
      <c r="M1158" s="451"/>
      <c r="N1158" s="451"/>
      <c r="O1158" s="6"/>
      <c r="P1158" s="6"/>
      <c r="Q1158" s="451"/>
      <c r="R1158" s="451"/>
      <c r="S1158" s="445">
        <f t="shared" si="102"/>
        <v>0</v>
      </c>
      <c r="T1158" s="445">
        <f t="shared" si="103"/>
        <v>0</v>
      </c>
      <c r="U1158" s="445">
        <f t="shared" si="104"/>
        <v>0</v>
      </c>
      <c r="W1158" s="450"/>
      <c r="X1158" s="450"/>
      <c r="Y1158" s="441"/>
      <c r="Z1158" s="441"/>
      <c r="AA1158" s="441"/>
      <c r="AB1158" s="441"/>
      <c r="AC1158" s="441"/>
      <c r="AD1158" s="441"/>
      <c r="AE1158" s="441"/>
      <c r="AF1158" s="441"/>
      <c r="AG1158" s="441"/>
      <c r="AH1158" s="441"/>
      <c r="AI1158" s="441"/>
      <c r="AJ1158" s="441"/>
      <c r="AK1158" s="441"/>
      <c r="AL1158" s="441"/>
      <c r="AM1158" s="441"/>
      <c r="AN1158" s="441"/>
      <c r="AO1158" s="441"/>
    </row>
    <row r="1159" spans="1:41" ht="12.75" hidden="1" thickBot="1">
      <c r="A1159" s="2" t="s">
        <v>1280</v>
      </c>
      <c r="B1159" s="2" t="s">
        <v>322</v>
      </c>
      <c r="C1159" s="2" t="s">
        <v>1090</v>
      </c>
      <c r="D1159" s="8" t="s">
        <v>567</v>
      </c>
      <c r="E1159" s="460"/>
      <c r="F1159" s="4"/>
      <c r="G1159" s="449"/>
      <c r="H1159" s="4"/>
      <c r="I1159" s="4"/>
      <c r="J1159" s="4"/>
      <c r="K1159" s="4"/>
      <c r="L1159" s="4"/>
      <c r="M1159" s="449"/>
      <c r="N1159" s="449"/>
      <c r="O1159" s="4"/>
      <c r="P1159" s="4"/>
      <c r="Q1159" s="449"/>
      <c r="R1159" s="449"/>
      <c r="S1159" s="445">
        <f t="shared" si="102"/>
        <v>0</v>
      </c>
      <c r="T1159" s="445">
        <f t="shared" si="103"/>
        <v>0</v>
      </c>
      <c r="U1159" s="445">
        <f t="shared" si="104"/>
        <v>0</v>
      </c>
      <c r="W1159" s="450"/>
      <c r="X1159" s="450"/>
      <c r="Y1159" s="441"/>
      <c r="Z1159" s="441"/>
      <c r="AA1159" s="441"/>
      <c r="AB1159" s="441"/>
      <c r="AC1159" s="441"/>
      <c r="AD1159" s="441"/>
      <c r="AE1159" s="441"/>
      <c r="AF1159" s="441"/>
      <c r="AG1159" s="441"/>
      <c r="AH1159" s="441"/>
      <c r="AI1159" s="441"/>
      <c r="AJ1159" s="441"/>
      <c r="AK1159" s="441"/>
      <c r="AL1159" s="441"/>
      <c r="AM1159" s="441"/>
      <c r="AN1159" s="441"/>
      <c r="AO1159" s="441"/>
    </row>
    <row r="1160" spans="1:41" ht="12.75" hidden="1" thickBot="1">
      <c r="A1160" s="2" t="s">
        <v>1280</v>
      </c>
      <c r="B1160" s="2" t="s">
        <v>323</v>
      </c>
      <c r="C1160" s="2" t="s">
        <v>1091</v>
      </c>
      <c r="D1160" s="453" t="s">
        <v>459</v>
      </c>
      <c r="E1160" s="459"/>
      <c r="F1160" s="6"/>
      <c r="G1160" s="451"/>
      <c r="H1160" s="6"/>
      <c r="I1160" s="6"/>
      <c r="J1160" s="6"/>
      <c r="K1160" s="6"/>
      <c r="L1160" s="6"/>
      <c r="M1160" s="451"/>
      <c r="N1160" s="451"/>
      <c r="O1160" s="6"/>
      <c r="P1160" s="6"/>
      <c r="Q1160" s="451"/>
      <c r="R1160" s="451"/>
      <c r="S1160" s="445">
        <f t="shared" si="102"/>
        <v>0</v>
      </c>
      <c r="T1160" s="445">
        <f t="shared" si="103"/>
        <v>0</v>
      </c>
      <c r="U1160" s="445">
        <f t="shared" si="104"/>
        <v>0</v>
      </c>
      <c r="W1160" s="450"/>
      <c r="X1160" s="450"/>
      <c r="Y1160" s="441"/>
      <c r="Z1160" s="441"/>
      <c r="AA1160" s="441"/>
      <c r="AB1160" s="441"/>
      <c r="AC1160" s="441"/>
      <c r="AD1160" s="441"/>
      <c r="AE1160" s="441"/>
      <c r="AF1160" s="441"/>
      <c r="AG1160" s="441"/>
      <c r="AH1160" s="441"/>
      <c r="AI1160" s="441"/>
      <c r="AJ1160" s="441"/>
      <c r="AK1160" s="441"/>
      <c r="AL1160" s="441"/>
      <c r="AM1160" s="441"/>
      <c r="AN1160" s="441"/>
      <c r="AO1160" s="441"/>
    </row>
    <row r="1161" spans="1:41" ht="12.75" hidden="1" thickBot="1">
      <c r="A1161" s="2" t="s">
        <v>1280</v>
      </c>
      <c r="B1161" s="2" t="s">
        <v>328</v>
      </c>
      <c r="C1161" s="2" t="s">
        <v>1092</v>
      </c>
      <c r="D1161" s="8" t="s">
        <v>567</v>
      </c>
      <c r="E1161" s="460"/>
      <c r="F1161" s="4"/>
      <c r="G1161" s="449"/>
      <c r="H1161" s="4"/>
      <c r="I1161" s="4"/>
      <c r="J1161" s="4"/>
      <c r="K1161" s="4"/>
      <c r="L1161" s="4"/>
      <c r="M1161" s="449"/>
      <c r="N1161" s="449"/>
      <c r="O1161" s="4"/>
      <c r="P1161" s="4"/>
      <c r="Q1161" s="449"/>
      <c r="R1161" s="449"/>
      <c r="S1161" s="445">
        <f t="shared" si="102"/>
        <v>0</v>
      </c>
      <c r="T1161" s="445">
        <f t="shared" si="103"/>
        <v>0</v>
      </c>
      <c r="U1161" s="445">
        <f t="shared" si="104"/>
        <v>0</v>
      </c>
      <c r="W1161" s="450"/>
      <c r="X1161" s="450"/>
      <c r="Y1161" s="441"/>
      <c r="Z1161" s="441"/>
      <c r="AA1161" s="441"/>
      <c r="AB1161" s="441"/>
      <c r="AC1161" s="441"/>
      <c r="AD1161" s="441"/>
      <c r="AE1161" s="441"/>
      <c r="AF1161" s="441"/>
      <c r="AG1161" s="441"/>
      <c r="AH1161" s="441"/>
      <c r="AI1161" s="441"/>
      <c r="AJ1161" s="441"/>
      <c r="AK1161" s="441"/>
      <c r="AL1161" s="441"/>
      <c r="AM1161" s="441"/>
      <c r="AN1161" s="441"/>
      <c r="AO1161" s="441"/>
    </row>
    <row r="1162" spans="1:41" ht="12.75" hidden="1" thickBot="1">
      <c r="A1162" s="2" t="s">
        <v>1280</v>
      </c>
      <c r="B1162" s="2" t="s">
        <v>329</v>
      </c>
      <c r="C1162" s="2" t="s">
        <v>1093</v>
      </c>
      <c r="D1162" s="453" t="s">
        <v>459</v>
      </c>
      <c r="E1162" s="459"/>
      <c r="F1162" s="6"/>
      <c r="G1162" s="451"/>
      <c r="H1162" s="6"/>
      <c r="I1162" s="6"/>
      <c r="J1162" s="6"/>
      <c r="K1162" s="6"/>
      <c r="L1162" s="6"/>
      <c r="M1162" s="451"/>
      <c r="N1162" s="451"/>
      <c r="O1162" s="6"/>
      <c r="P1162" s="6"/>
      <c r="Q1162" s="451"/>
      <c r="R1162" s="451"/>
      <c r="S1162" s="445">
        <f t="shared" si="102"/>
        <v>0</v>
      </c>
      <c r="T1162" s="445">
        <f t="shared" si="103"/>
        <v>0</v>
      </c>
      <c r="U1162" s="445">
        <f t="shared" si="104"/>
        <v>0</v>
      </c>
      <c r="W1162" s="450"/>
      <c r="X1162" s="450"/>
      <c r="Y1162" s="441"/>
      <c r="Z1162" s="441"/>
      <c r="AA1162" s="441"/>
      <c r="AB1162" s="441"/>
      <c r="AC1162" s="441"/>
      <c r="AD1162" s="441"/>
      <c r="AE1162" s="441"/>
      <c r="AF1162" s="441"/>
      <c r="AG1162" s="441"/>
      <c r="AH1162" s="441"/>
      <c r="AI1162" s="441"/>
      <c r="AJ1162" s="441"/>
      <c r="AK1162" s="441"/>
      <c r="AL1162" s="441"/>
      <c r="AM1162" s="441"/>
      <c r="AN1162" s="441"/>
      <c r="AO1162" s="441"/>
    </row>
    <row r="1163" spans="1:41" ht="12.75" hidden="1" thickBot="1">
      <c r="A1163" s="2" t="s">
        <v>1280</v>
      </c>
      <c r="B1163" s="2" t="s">
        <v>330</v>
      </c>
      <c r="C1163" s="2" t="s">
        <v>1094</v>
      </c>
      <c r="D1163" s="8" t="s">
        <v>567</v>
      </c>
      <c r="E1163" s="460"/>
      <c r="F1163" s="4"/>
      <c r="G1163" s="449"/>
      <c r="H1163" s="4"/>
      <c r="I1163" s="4"/>
      <c r="J1163" s="4"/>
      <c r="K1163" s="4"/>
      <c r="L1163" s="4"/>
      <c r="M1163" s="449"/>
      <c r="N1163" s="449"/>
      <c r="O1163" s="4"/>
      <c r="P1163" s="4"/>
      <c r="Q1163" s="449"/>
      <c r="R1163" s="449"/>
      <c r="S1163" s="445">
        <f t="shared" ref="S1163:S1226" si="105">G1163+H1163+I1163</f>
        <v>0</v>
      </c>
      <c r="T1163" s="445">
        <f t="shared" ref="T1163:T1226" si="106">J1163+K1163</f>
        <v>0</v>
      </c>
      <c r="U1163" s="445">
        <f t="shared" ref="U1163:U1226" si="107">N1163+O1163</f>
        <v>0</v>
      </c>
      <c r="W1163" s="450"/>
      <c r="X1163" s="450"/>
      <c r="Y1163" s="441"/>
      <c r="Z1163" s="441"/>
      <c r="AA1163" s="441"/>
      <c r="AB1163" s="441"/>
      <c r="AC1163" s="441"/>
      <c r="AD1163" s="441"/>
      <c r="AE1163" s="441"/>
      <c r="AF1163" s="441"/>
      <c r="AG1163" s="441"/>
      <c r="AH1163" s="441"/>
      <c r="AI1163" s="441"/>
      <c r="AJ1163" s="441"/>
      <c r="AK1163" s="441"/>
      <c r="AL1163" s="441"/>
      <c r="AM1163" s="441"/>
      <c r="AN1163" s="441"/>
      <c r="AO1163" s="441"/>
    </row>
    <row r="1164" spans="1:41" ht="12.75" hidden="1" thickBot="1">
      <c r="A1164" s="2" t="s">
        <v>1280</v>
      </c>
      <c r="B1164" s="2" t="s">
        <v>331</v>
      </c>
      <c r="C1164" s="2" t="s">
        <v>1095</v>
      </c>
      <c r="D1164" s="453" t="s">
        <v>459</v>
      </c>
      <c r="E1164" s="459"/>
      <c r="F1164" s="6"/>
      <c r="G1164" s="451"/>
      <c r="H1164" s="6"/>
      <c r="I1164" s="6"/>
      <c r="J1164" s="6"/>
      <c r="K1164" s="6"/>
      <c r="L1164" s="6"/>
      <c r="M1164" s="451"/>
      <c r="N1164" s="451"/>
      <c r="O1164" s="6"/>
      <c r="P1164" s="6"/>
      <c r="Q1164" s="451"/>
      <c r="R1164" s="451"/>
      <c r="S1164" s="445">
        <f t="shared" si="105"/>
        <v>0</v>
      </c>
      <c r="T1164" s="445">
        <f t="shared" si="106"/>
        <v>0</v>
      </c>
      <c r="U1164" s="445">
        <f t="shared" si="107"/>
        <v>0</v>
      </c>
      <c r="W1164" s="450"/>
      <c r="X1164" s="450"/>
      <c r="Y1164" s="441"/>
      <c r="Z1164" s="441"/>
      <c r="AA1164" s="441"/>
      <c r="AB1164" s="441"/>
      <c r="AC1164" s="441"/>
      <c r="AD1164" s="441"/>
      <c r="AE1164" s="441"/>
      <c r="AF1164" s="441"/>
      <c r="AG1164" s="441"/>
      <c r="AH1164" s="441"/>
      <c r="AI1164" s="441"/>
      <c r="AJ1164" s="441"/>
      <c r="AK1164" s="441"/>
      <c r="AL1164" s="441"/>
      <c r="AM1164" s="441"/>
      <c r="AN1164" s="441"/>
      <c r="AO1164" s="441"/>
    </row>
    <row r="1165" spans="1:41" ht="12.75" hidden="1" thickBot="1">
      <c r="A1165" s="2" t="s">
        <v>1280</v>
      </c>
      <c r="B1165" s="2" t="s">
        <v>332</v>
      </c>
      <c r="C1165" s="2" t="s">
        <v>1096</v>
      </c>
      <c r="D1165" s="453" t="s">
        <v>459</v>
      </c>
      <c r="E1165" s="460"/>
      <c r="F1165" s="4"/>
      <c r="G1165" s="449"/>
      <c r="H1165" s="4"/>
      <c r="I1165" s="4"/>
      <c r="J1165" s="4"/>
      <c r="K1165" s="4"/>
      <c r="L1165" s="4"/>
      <c r="M1165" s="449"/>
      <c r="N1165" s="449"/>
      <c r="O1165" s="4"/>
      <c r="P1165" s="4"/>
      <c r="Q1165" s="449"/>
      <c r="R1165" s="449"/>
      <c r="S1165" s="445">
        <f t="shared" si="105"/>
        <v>0</v>
      </c>
      <c r="T1165" s="445">
        <f t="shared" si="106"/>
        <v>0</v>
      </c>
      <c r="U1165" s="445">
        <f t="shared" si="107"/>
        <v>0</v>
      </c>
      <c r="W1165" s="450"/>
      <c r="X1165" s="450"/>
      <c r="Y1165" s="441"/>
      <c r="Z1165" s="441"/>
      <c r="AA1165" s="441"/>
      <c r="AB1165" s="441"/>
      <c r="AC1165" s="441"/>
      <c r="AD1165" s="441"/>
      <c r="AE1165" s="441"/>
      <c r="AF1165" s="441"/>
      <c r="AG1165" s="441"/>
      <c r="AH1165" s="441"/>
      <c r="AI1165" s="441"/>
      <c r="AJ1165" s="441"/>
      <c r="AK1165" s="441"/>
      <c r="AL1165" s="441"/>
      <c r="AM1165" s="441"/>
      <c r="AN1165" s="441"/>
      <c r="AO1165" s="441"/>
    </row>
    <row r="1166" spans="1:41" ht="12.75" hidden="1" thickBot="1">
      <c r="A1166" s="2" t="s">
        <v>1280</v>
      </c>
      <c r="B1166" s="2" t="s">
        <v>333</v>
      </c>
      <c r="C1166" s="2" t="s">
        <v>1097</v>
      </c>
      <c r="D1166" s="8" t="s">
        <v>567</v>
      </c>
      <c r="E1166" s="459"/>
      <c r="F1166" s="6"/>
      <c r="G1166" s="451"/>
      <c r="H1166" s="6"/>
      <c r="I1166" s="6"/>
      <c r="J1166" s="6"/>
      <c r="K1166" s="6"/>
      <c r="L1166" s="6"/>
      <c r="M1166" s="451"/>
      <c r="N1166" s="451"/>
      <c r="O1166" s="6"/>
      <c r="P1166" s="6"/>
      <c r="Q1166" s="451"/>
      <c r="R1166" s="451"/>
      <c r="S1166" s="445">
        <f t="shared" si="105"/>
        <v>0</v>
      </c>
      <c r="T1166" s="445">
        <f t="shared" si="106"/>
        <v>0</v>
      </c>
      <c r="U1166" s="445">
        <f t="shared" si="107"/>
        <v>0</v>
      </c>
      <c r="W1166" s="450"/>
      <c r="X1166" s="450"/>
      <c r="Y1166" s="441"/>
      <c r="Z1166" s="441"/>
      <c r="AA1166" s="441"/>
      <c r="AB1166" s="441"/>
      <c r="AC1166" s="441"/>
      <c r="AD1166" s="441"/>
      <c r="AE1166" s="441"/>
      <c r="AF1166" s="441"/>
      <c r="AG1166" s="441"/>
      <c r="AH1166" s="441"/>
      <c r="AI1166" s="441"/>
      <c r="AJ1166" s="441"/>
      <c r="AK1166" s="441"/>
      <c r="AL1166" s="441"/>
      <c r="AM1166" s="441"/>
      <c r="AN1166" s="441"/>
      <c r="AO1166" s="441"/>
    </row>
    <row r="1167" spans="1:41" ht="12.75" hidden="1" thickBot="1">
      <c r="A1167" s="2" t="s">
        <v>1280</v>
      </c>
      <c r="B1167" s="2" t="s">
        <v>334</v>
      </c>
      <c r="C1167" s="2" t="s">
        <v>1098</v>
      </c>
      <c r="D1167" s="453" t="s">
        <v>459</v>
      </c>
      <c r="E1167" s="460"/>
      <c r="F1167" s="4"/>
      <c r="G1167" s="449"/>
      <c r="H1167" s="4"/>
      <c r="I1167" s="4"/>
      <c r="J1167" s="4"/>
      <c r="K1167" s="4"/>
      <c r="L1167" s="4"/>
      <c r="M1167" s="449"/>
      <c r="N1167" s="449"/>
      <c r="O1167" s="4"/>
      <c r="P1167" s="4"/>
      <c r="Q1167" s="449"/>
      <c r="R1167" s="449"/>
      <c r="S1167" s="445">
        <f t="shared" si="105"/>
        <v>0</v>
      </c>
      <c r="T1167" s="445">
        <f t="shared" si="106"/>
        <v>0</v>
      </c>
      <c r="U1167" s="445">
        <f t="shared" si="107"/>
        <v>0</v>
      </c>
      <c r="W1167" s="450"/>
      <c r="X1167" s="450"/>
      <c r="Y1167" s="441"/>
      <c r="Z1167" s="441"/>
      <c r="AA1167" s="441"/>
      <c r="AB1167" s="441"/>
      <c r="AC1167" s="441"/>
      <c r="AD1167" s="441"/>
      <c r="AE1167" s="441"/>
      <c r="AF1167" s="441"/>
      <c r="AG1167" s="441"/>
      <c r="AH1167" s="441"/>
      <c r="AI1167" s="441"/>
      <c r="AJ1167" s="441"/>
      <c r="AK1167" s="441"/>
      <c r="AL1167" s="441"/>
      <c r="AM1167" s="441"/>
      <c r="AN1167" s="441"/>
      <c r="AO1167" s="441"/>
    </row>
    <row r="1168" spans="1:41" ht="12.75" hidden="1" thickBot="1">
      <c r="A1168" s="2" t="s">
        <v>1280</v>
      </c>
      <c r="B1168" s="2" t="s">
        <v>620</v>
      </c>
      <c r="C1168" s="2" t="s">
        <v>1099</v>
      </c>
      <c r="D1168" s="8" t="s">
        <v>567</v>
      </c>
      <c r="E1168" s="459"/>
      <c r="F1168" s="6"/>
      <c r="G1168" s="451"/>
      <c r="H1168" s="6"/>
      <c r="I1168" s="6"/>
      <c r="J1168" s="6"/>
      <c r="K1168" s="6"/>
      <c r="L1168" s="6"/>
      <c r="M1168" s="451"/>
      <c r="N1168" s="451"/>
      <c r="O1168" s="6"/>
      <c r="P1168" s="6"/>
      <c r="Q1168" s="451"/>
      <c r="R1168" s="451"/>
      <c r="S1168" s="445">
        <f t="shared" si="105"/>
        <v>0</v>
      </c>
      <c r="T1168" s="445">
        <f t="shared" si="106"/>
        <v>0</v>
      </c>
      <c r="U1168" s="445">
        <f t="shared" si="107"/>
        <v>0</v>
      </c>
      <c r="W1168" s="450"/>
      <c r="X1168" s="450"/>
      <c r="Y1168" s="441"/>
      <c r="Z1168" s="441"/>
      <c r="AA1168" s="441"/>
      <c r="AB1168" s="441"/>
      <c r="AC1168" s="441"/>
      <c r="AD1168" s="441"/>
      <c r="AE1168" s="441"/>
      <c r="AF1168" s="441"/>
      <c r="AG1168" s="441"/>
      <c r="AH1168" s="441"/>
      <c r="AI1168" s="441"/>
      <c r="AJ1168" s="441"/>
      <c r="AK1168" s="441"/>
      <c r="AL1168" s="441"/>
      <c r="AM1168" s="441"/>
      <c r="AN1168" s="441"/>
      <c r="AO1168" s="441"/>
    </row>
    <row r="1169" spans="1:41" ht="12.75" hidden="1" thickBot="1">
      <c r="A1169" s="2" t="s">
        <v>1280</v>
      </c>
      <c r="B1169" s="2" t="s">
        <v>360</v>
      </c>
      <c r="C1169" s="2" t="s">
        <v>1100</v>
      </c>
      <c r="D1169" s="8" t="s">
        <v>567</v>
      </c>
      <c r="E1169" s="460"/>
      <c r="F1169" s="4"/>
      <c r="G1169" s="449"/>
      <c r="H1169" s="4"/>
      <c r="I1169" s="4"/>
      <c r="J1169" s="4"/>
      <c r="K1169" s="4"/>
      <c r="L1169" s="4"/>
      <c r="M1169" s="449"/>
      <c r="N1169" s="449"/>
      <c r="O1169" s="4"/>
      <c r="P1169" s="4"/>
      <c r="Q1169" s="449"/>
      <c r="R1169" s="449"/>
      <c r="S1169" s="445">
        <f t="shared" si="105"/>
        <v>0</v>
      </c>
      <c r="T1169" s="445">
        <f t="shared" si="106"/>
        <v>0</v>
      </c>
      <c r="U1169" s="445">
        <f t="shared" si="107"/>
        <v>0</v>
      </c>
      <c r="W1169" s="450"/>
      <c r="X1169" s="450"/>
      <c r="Y1169" s="441"/>
      <c r="Z1169" s="441"/>
      <c r="AA1169" s="441"/>
      <c r="AB1169" s="441"/>
      <c r="AC1169" s="441"/>
      <c r="AD1169" s="441"/>
      <c r="AE1169" s="441"/>
      <c r="AF1169" s="441"/>
      <c r="AG1169" s="441"/>
      <c r="AH1169" s="441"/>
      <c r="AI1169" s="441"/>
      <c r="AJ1169" s="441"/>
      <c r="AK1169" s="441"/>
      <c r="AL1169" s="441"/>
      <c r="AM1169" s="441"/>
      <c r="AN1169" s="441"/>
      <c r="AO1169" s="441"/>
    </row>
    <row r="1170" spans="1:41" ht="12.75" hidden="1" thickBot="1">
      <c r="A1170" s="2" t="s">
        <v>1280</v>
      </c>
      <c r="B1170" s="2" t="s">
        <v>335</v>
      </c>
      <c r="C1170" s="2" t="s">
        <v>1101</v>
      </c>
      <c r="D1170" s="8" t="s">
        <v>567</v>
      </c>
      <c r="E1170" s="459"/>
      <c r="F1170" s="6"/>
      <c r="G1170" s="451"/>
      <c r="H1170" s="6"/>
      <c r="I1170" s="6"/>
      <c r="J1170" s="6"/>
      <c r="K1170" s="6"/>
      <c r="L1170" s="6"/>
      <c r="M1170" s="451"/>
      <c r="N1170" s="451"/>
      <c r="O1170" s="6"/>
      <c r="P1170" s="6"/>
      <c r="Q1170" s="451"/>
      <c r="R1170" s="451"/>
      <c r="S1170" s="445">
        <f t="shared" si="105"/>
        <v>0</v>
      </c>
      <c r="T1170" s="445">
        <f t="shared" si="106"/>
        <v>0</v>
      </c>
      <c r="U1170" s="445">
        <f t="shared" si="107"/>
        <v>0</v>
      </c>
      <c r="W1170" s="450"/>
      <c r="X1170" s="450"/>
      <c r="Y1170" s="441"/>
      <c r="Z1170" s="441"/>
      <c r="AA1170" s="441"/>
      <c r="AB1170" s="441"/>
      <c r="AC1170" s="441"/>
      <c r="AD1170" s="441"/>
      <c r="AE1170" s="441"/>
      <c r="AF1170" s="441"/>
      <c r="AG1170" s="441"/>
      <c r="AH1170" s="441"/>
      <c r="AI1170" s="441"/>
      <c r="AJ1170" s="441"/>
      <c r="AK1170" s="441"/>
      <c r="AL1170" s="441"/>
      <c r="AM1170" s="441"/>
      <c r="AN1170" s="441"/>
      <c r="AO1170" s="441"/>
    </row>
    <row r="1171" spans="1:41" ht="12.75" hidden="1" thickBot="1">
      <c r="A1171" s="2" t="s">
        <v>1280</v>
      </c>
      <c r="B1171" s="2" t="s">
        <v>336</v>
      </c>
      <c r="C1171" s="2" t="s">
        <v>1102</v>
      </c>
      <c r="D1171" s="8" t="s">
        <v>567</v>
      </c>
      <c r="E1171" s="460"/>
      <c r="F1171" s="4"/>
      <c r="G1171" s="449"/>
      <c r="H1171" s="4"/>
      <c r="I1171" s="4"/>
      <c r="J1171" s="4"/>
      <c r="K1171" s="4"/>
      <c r="L1171" s="4"/>
      <c r="M1171" s="449"/>
      <c r="N1171" s="449"/>
      <c r="O1171" s="4"/>
      <c r="P1171" s="4"/>
      <c r="Q1171" s="449"/>
      <c r="R1171" s="449"/>
      <c r="S1171" s="445">
        <f t="shared" si="105"/>
        <v>0</v>
      </c>
      <c r="T1171" s="445">
        <f t="shared" si="106"/>
        <v>0</v>
      </c>
      <c r="U1171" s="445">
        <f t="shared" si="107"/>
        <v>0</v>
      </c>
      <c r="W1171" s="450"/>
      <c r="X1171" s="450"/>
      <c r="Y1171" s="441"/>
      <c r="Z1171" s="441"/>
      <c r="AA1171" s="441"/>
      <c r="AB1171" s="441"/>
      <c r="AC1171" s="441"/>
      <c r="AD1171" s="441"/>
      <c r="AE1171" s="441"/>
      <c r="AF1171" s="441"/>
      <c r="AG1171" s="441"/>
      <c r="AH1171" s="441"/>
      <c r="AI1171" s="441"/>
      <c r="AJ1171" s="441"/>
      <c r="AK1171" s="441"/>
      <c r="AL1171" s="441"/>
      <c r="AM1171" s="441"/>
      <c r="AN1171" s="441"/>
      <c r="AO1171" s="441"/>
    </row>
    <row r="1172" spans="1:41" ht="12.75" hidden="1" thickBot="1">
      <c r="A1172" s="2" t="s">
        <v>1280</v>
      </c>
      <c r="B1172" s="2" t="s">
        <v>337</v>
      </c>
      <c r="C1172" s="2" t="s">
        <v>1103</v>
      </c>
      <c r="D1172" s="8" t="s">
        <v>567</v>
      </c>
      <c r="E1172" s="459"/>
      <c r="F1172" s="6"/>
      <c r="G1172" s="451"/>
      <c r="H1172" s="6"/>
      <c r="I1172" s="6"/>
      <c r="J1172" s="6"/>
      <c r="K1172" s="6"/>
      <c r="L1172" s="6"/>
      <c r="M1172" s="451"/>
      <c r="N1172" s="451"/>
      <c r="O1172" s="6"/>
      <c r="P1172" s="6"/>
      <c r="Q1172" s="451"/>
      <c r="R1172" s="451"/>
      <c r="S1172" s="445">
        <f t="shared" si="105"/>
        <v>0</v>
      </c>
      <c r="T1172" s="445">
        <f t="shared" si="106"/>
        <v>0</v>
      </c>
      <c r="U1172" s="445">
        <f t="shared" si="107"/>
        <v>0</v>
      </c>
      <c r="W1172" s="450"/>
      <c r="X1172" s="450"/>
      <c r="Y1172" s="441"/>
      <c r="Z1172" s="441"/>
      <c r="AA1172" s="441"/>
      <c r="AB1172" s="441"/>
      <c r="AC1172" s="441"/>
      <c r="AD1172" s="441"/>
      <c r="AE1172" s="441"/>
      <c r="AF1172" s="441"/>
      <c r="AG1172" s="441"/>
      <c r="AH1172" s="441"/>
      <c r="AI1172" s="441"/>
      <c r="AJ1172" s="441"/>
      <c r="AK1172" s="441"/>
      <c r="AL1172" s="441"/>
      <c r="AM1172" s="441"/>
      <c r="AN1172" s="441"/>
      <c r="AO1172" s="441"/>
    </row>
    <row r="1173" spans="1:41" ht="12.75" hidden="1" thickBot="1">
      <c r="A1173" s="2" t="s">
        <v>1280</v>
      </c>
      <c r="B1173" s="454" t="s">
        <v>7</v>
      </c>
      <c r="C1173" s="455"/>
      <c r="D1173" s="7"/>
      <c r="E1173" s="7"/>
      <c r="F1173" s="456"/>
      <c r="G1173" s="456"/>
      <c r="H1173" s="456"/>
      <c r="I1173" s="456"/>
      <c r="J1173" s="456"/>
      <c r="K1173" s="456"/>
      <c r="L1173" s="456"/>
      <c r="M1173" s="456"/>
      <c r="N1173" s="456"/>
      <c r="O1173" s="456"/>
      <c r="P1173" s="456"/>
      <c r="Q1173" s="456"/>
      <c r="R1173" s="456"/>
      <c r="S1173" s="445">
        <f t="shared" si="105"/>
        <v>0</v>
      </c>
      <c r="T1173" s="445">
        <f t="shared" si="106"/>
        <v>0</v>
      </c>
      <c r="U1173" s="445">
        <f t="shared" si="107"/>
        <v>0</v>
      </c>
      <c r="W1173" s="450"/>
      <c r="X1173" s="450"/>
      <c r="Y1173" s="441"/>
      <c r="Z1173" s="441"/>
      <c r="AA1173" s="441"/>
      <c r="AB1173" s="441"/>
      <c r="AC1173" s="441"/>
      <c r="AD1173" s="441"/>
      <c r="AE1173" s="441"/>
      <c r="AF1173" s="441"/>
      <c r="AG1173" s="441"/>
      <c r="AH1173" s="441"/>
      <c r="AI1173" s="441"/>
      <c r="AJ1173" s="441"/>
      <c r="AK1173" s="441"/>
      <c r="AL1173" s="441"/>
      <c r="AM1173" s="441"/>
      <c r="AN1173" s="441"/>
      <c r="AO1173" s="441"/>
    </row>
    <row r="1174" spans="1:41" ht="12.75" hidden="1" thickBot="1">
      <c r="A1174" s="1" t="s">
        <v>1281</v>
      </c>
      <c r="B1174" s="2" t="s">
        <v>797</v>
      </c>
      <c r="C1174" s="2" t="s">
        <v>1031</v>
      </c>
      <c r="D1174" s="8" t="s">
        <v>830</v>
      </c>
      <c r="E1174" s="457"/>
      <c r="F1174" s="4"/>
      <c r="G1174" s="4"/>
      <c r="H1174" s="4"/>
      <c r="I1174" s="4"/>
      <c r="J1174" s="4"/>
      <c r="K1174" s="4"/>
      <c r="L1174" s="4"/>
      <c r="M1174" s="4"/>
      <c r="N1174" s="4"/>
      <c r="O1174" s="4"/>
      <c r="P1174" s="4"/>
      <c r="Q1174" s="4"/>
      <c r="R1174" s="449"/>
      <c r="S1174" s="445">
        <f t="shared" si="105"/>
        <v>0</v>
      </c>
      <c r="T1174" s="445">
        <f t="shared" si="106"/>
        <v>0</v>
      </c>
      <c r="U1174" s="445">
        <f t="shared" si="107"/>
        <v>0</v>
      </c>
      <c r="W1174" s="450"/>
      <c r="X1174" s="450"/>
      <c r="Y1174" s="441"/>
      <c r="Z1174" s="441"/>
      <c r="AA1174" s="441"/>
      <c r="AB1174" s="441"/>
      <c r="AC1174" s="441"/>
      <c r="AD1174" s="441"/>
      <c r="AE1174" s="441"/>
      <c r="AF1174" s="441"/>
      <c r="AG1174" s="441"/>
      <c r="AH1174" s="441"/>
      <c r="AI1174" s="441"/>
      <c r="AJ1174" s="441"/>
      <c r="AK1174" s="441"/>
      <c r="AL1174" s="441"/>
      <c r="AM1174" s="441"/>
      <c r="AN1174" s="441"/>
      <c r="AO1174" s="441"/>
    </row>
    <row r="1175" spans="1:41" ht="12.75" hidden="1" thickBot="1">
      <c r="A1175" s="1" t="s">
        <v>1281</v>
      </c>
      <c r="B1175" s="2" t="s">
        <v>797</v>
      </c>
      <c r="C1175" s="2" t="s">
        <v>798</v>
      </c>
      <c r="D1175" s="8" t="s">
        <v>830</v>
      </c>
      <c r="E1175" s="458"/>
      <c r="F1175" s="6"/>
      <c r="G1175" s="6"/>
      <c r="H1175" s="6"/>
      <c r="I1175" s="6"/>
      <c r="J1175" s="6"/>
      <c r="K1175" s="6"/>
      <c r="L1175" s="6"/>
      <c r="M1175" s="6"/>
      <c r="N1175" s="6"/>
      <c r="O1175" s="6"/>
      <c r="P1175" s="6"/>
      <c r="Q1175" s="6"/>
      <c r="R1175" s="451"/>
      <c r="S1175" s="445">
        <f t="shared" si="105"/>
        <v>0</v>
      </c>
      <c r="T1175" s="445">
        <f t="shared" si="106"/>
        <v>0</v>
      </c>
      <c r="U1175" s="445">
        <f t="shared" si="107"/>
        <v>0</v>
      </c>
      <c r="W1175" s="450"/>
      <c r="X1175" s="450"/>
      <c r="Y1175" s="441"/>
      <c r="Z1175" s="441"/>
      <c r="AA1175" s="441"/>
      <c r="AB1175" s="441"/>
      <c r="AC1175" s="441"/>
      <c r="AD1175" s="441"/>
      <c r="AE1175" s="441"/>
      <c r="AF1175" s="441"/>
      <c r="AG1175" s="441"/>
      <c r="AH1175" s="441"/>
      <c r="AI1175" s="441"/>
      <c r="AJ1175" s="441"/>
      <c r="AK1175" s="441"/>
      <c r="AL1175" s="441"/>
      <c r="AM1175" s="441"/>
      <c r="AN1175" s="441"/>
      <c r="AO1175" s="441"/>
    </row>
    <row r="1176" spans="1:41" ht="12.75" hidden="1" thickBot="1">
      <c r="A1176" s="1" t="s">
        <v>1281</v>
      </c>
      <c r="B1176" s="2" t="s">
        <v>793</v>
      </c>
      <c r="C1176" s="2" t="s">
        <v>1032</v>
      </c>
      <c r="D1176" s="8" t="s">
        <v>793</v>
      </c>
      <c r="E1176" s="3">
        <f t="shared" ref="E1176:R1195" si="108">ROUND(SUMIFS(E$1410:E$1613,$A$1410:$A$1613,$A1176,$B$1410:$B$1613,$B1176),0)</f>
        <v>10115161</v>
      </c>
      <c r="F1176" s="452">
        <f t="shared" si="108"/>
        <v>0</v>
      </c>
      <c r="G1176" s="452">
        <f t="shared" si="108"/>
        <v>1244225</v>
      </c>
      <c r="H1176" s="452">
        <f t="shared" si="108"/>
        <v>275638</v>
      </c>
      <c r="I1176" s="452">
        <f t="shared" si="108"/>
        <v>0</v>
      </c>
      <c r="J1176" s="452">
        <f t="shared" si="108"/>
        <v>0</v>
      </c>
      <c r="K1176" s="452">
        <f t="shared" si="108"/>
        <v>0</v>
      </c>
      <c r="L1176" s="452">
        <f t="shared" si="108"/>
        <v>0</v>
      </c>
      <c r="M1176" s="452">
        <f t="shared" si="108"/>
        <v>-2250</v>
      </c>
      <c r="N1176" s="452">
        <f t="shared" si="108"/>
        <v>104288</v>
      </c>
      <c r="O1176" s="452">
        <f t="shared" si="108"/>
        <v>0</v>
      </c>
      <c r="P1176" s="452">
        <f t="shared" si="108"/>
        <v>0</v>
      </c>
      <c r="Q1176" s="452"/>
      <c r="R1176" s="452">
        <f t="shared" si="108"/>
        <v>1621901</v>
      </c>
      <c r="S1176" s="445">
        <f t="shared" si="105"/>
        <v>1519863</v>
      </c>
      <c r="T1176" s="445">
        <f t="shared" si="106"/>
        <v>0</v>
      </c>
      <c r="U1176" s="445">
        <f t="shared" si="107"/>
        <v>104288</v>
      </c>
      <c r="W1176" s="450"/>
      <c r="X1176" s="450"/>
      <c r="Y1176" s="441"/>
      <c r="Z1176" s="441"/>
      <c r="AA1176" s="441"/>
      <c r="AB1176" s="441"/>
      <c r="AC1176" s="441"/>
      <c r="AD1176" s="441"/>
      <c r="AE1176" s="441"/>
      <c r="AF1176" s="441"/>
      <c r="AG1176" s="441"/>
      <c r="AH1176" s="441"/>
      <c r="AI1176" s="441"/>
      <c r="AJ1176" s="441"/>
      <c r="AK1176" s="441"/>
      <c r="AL1176" s="441"/>
      <c r="AM1176" s="441"/>
      <c r="AN1176" s="441"/>
      <c r="AO1176" s="441"/>
    </row>
    <row r="1177" spans="1:41" ht="12.75" hidden="1" thickBot="1">
      <c r="A1177" s="1" t="s">
        <v>1281</v>
      </c>
      <c r="B1177" s="2" t="s">
        <v>1111</v>
      </c>
      <c r="C1177" s="2" t="s">
        <v>1199</v>
      </c>
      <c r="D1177" s="8" t="s">
        <v>830</v>
      </c>
      <c r="E1177" s="3">
        <f t="shared" si="108"/>
        <v>0</v>
      </c>
      <c r="F1177" s="452">
        <f t="shared" si="108"/>
        <v>0</v>
      </c>
      <c r="G1177" s="452">
        <f t="shared" si="108"/>
        <v>0</v>
      </c>
      <c r="H1177" s="452">
        <f t="shared" si="108"/>
        <v>0</v>
      </c>
      <c r="I1177" s="452">
        <f t="shared" si="108"/>
        <v>0</v>
      </c>
      <c r="J1177" s="452">
        <f t="shared" si="108"/>
        <v>0</v>
      </c>
      <c r="K1177" s="452">
        <f t="shared" si="108"/>
        <v>0</v>
      </c>
      <c r="L1177" s="452">
        <f t="shared" si="108"/>
        <v>0</v>
      </c>
      <c r="M1177" s="452">
        <f t="shared" si="108"/>
        <v>0</v>
      </c>
      <c r="N1177" s="452">
        <f t="shared" si="108"/>
        <v>0</v>
      </c>
      <c r="O1177" s="452">
        <f t="shared" si="108"/>
        <v>0</v>
      </c>
      <c r="P1177" s="452">
        <f t="shared" si="108"/>
        <v>0</v>
      </c>
      <c r="Q1177" s="452"/>
      <c r="R1177" s="452">
        <f t="shared" si="108"/>
        <v>0</v>
      </c>
      <c r="S1177" s="445">
        <f t="shared" si="105"/>
        <v>0</v>
      </c>
      <c r="T1177" s="445">
        <f t="shared" si="106"/>
        <v>0</v>
      </c>
      <c r="U1177" s="445">
        <f t="shared" si="107"/>
        <v>0</v>
      </c>
      <c r="W1177" s="450"/>
      <c r="X1177" s="450"/>
      <c r="Y1177" s="441"/>
      <c r="Z1177" s="441"/>
      <c r="AA1177" s="441"/>
      <c r="AB1177" s="441"/>
      <c r="AC1177" s="441"/>
      <c r="AD1177" s="441"/>
      <c r="AE1177" s="441"/>
      <c r="AF1177" s="441"/>
      <c r="AG1177" s="441"/>
      <c r="AH1177" s="441"/>
      <c r="AI1177" s="441"/>
      <c r="AJ1177" s="441"/>
      <c r="AK1177" s="441"/>
      <c r="AL1177" s="441"/>
      <c r="AM1177" s="441"/>
      <c r="AN1177" s="441"/>
      <c r="AO1177" s="441"/>
    </row>
    <row r="1178" spans="1:41" ht="12.75" hidden="1" thickBot="1">
      <c r="A1178" s="1" t="s">
        <v>1281</v>
      </c>
      <c r="B1178" s="2" t="s">
        <v>801</v>
      </c>
      <c r="C1178" s="2" t="s">
        <v>1243</v>
      </c>
      <c r="D1178" s="8" t="s">
        <v>1205</v>
      </c>
      <c r="E1178" s="3">
        <f t="shared" si="108"/>
        <v>0</v>
      </c>
      <c r="F1178" s="452">
        <f t="shared" si="108"/>
        <v>0</v>
      </c>
      <c r="G1178" s="452">
        <f t="shared" si="108"/>
        <v>0</v>
      </c>
      <c r="H1178" s="452">
        <f t="shared" si="108"/>
        <v>0</v>
      </c>
      <c r="I1178" s="452">
        <f t="shared" si="108"/>
        <v>0</v>
      </c>
      <c r="J1178" s="452">
        <f t="shared" si="108"/>
        <v>0</v>
      </c>
      <c r="K1178" s="452">
        <f t="shared" si="108"/>
        <v>0</v>
      </c>
      <c r="L1178" s="452">
        <f t="shared" si="108"/>
        <v>0</v>
      </c>
      <c r="M1178" s="452">
        <f t="shared" si="108"/>
        <v>0</v>
      </c>
      <c r="N1178" s="452">
        <f t="shared" si="108"/>
        <v>0</v>
      </c>
      <c r="O1178" s="452">
        <f t="shared" si="108"/>
        <v>0</v>
      </c>
      <c r="P1178" s="452">
        <f t="shared" si="108"/>
        <v>0</v>
      </c>
      <c r="Q1178" s="452"/>
      <c r="R1178" s="452">
        <f t="shared" si="108"/>
        <v>0</v>
      </c>
      <c r="S1178" s="445">
        <f t="shared" si="105"/>
        <v>0</v>
      </c>
      <c r="T1178" s="445">
        <f t="shared" si="106"/>
        <v>0</v>
      </c>
      <c r="U1178" s="445">
        <f t="shared" si="107"/>
        <v>0</v>
      </c>
      <c r="W1178" s="450"/>
      <c r="X1178" s="450"/>
      <c r="Y1178" s="441"/>
      <c r="Z1178" s="441"/>
      <c r="AA1178" s="441"/>
      <c r="AB1178" s="441"/>
      <c r="AC1178" s="441"/>
      <c r="AD1178" s="441"/>
      <c r="AE1178" s="441"/>
      <c r="AF1178" s="441"/>
      <c r="AG1178" s="441"/>
      <c r="AH1178" s="441"/>
      <c r="AI1178" s="441"/>
      <c r="AJ1178" s="441"/>
      <c r="AK1178" s="441"/>
      <c r="AL1178" s="441"/>
      <c r="AM1178" s="441"/>
      <c r="AN1178" s="441"/>
      <c r="AO1178" s="441"/>
    </row>
    <row r="1179" spans="1:41" ht="12.75" hidden="1" thickBot="1">
      <c r="A1179" s="1" t="s">
        <v>1281</v>
      </c>
      <c r="B1179" s="2" t="s">
        <v>368</v>
      </c>
      <c r="C1179" s="2" t="s">
        <v>1200</v>
      </c>
      <c r="D1179" s="8" t="s">
        <v>417</v>
      </c>
      <c r="E1179" s="3">
        <f t="shared" si="108"/>
        <v>0</v>
      </c>
      <c r="F1179" s="452">
        <f t="shared" si="108"/>
        <v>0</v>
      </c>
      <c r="G1179" s="452">
        <f t="shared" si="108"/>
        <v>0</v>
      </c>
      <c r="H1179" s="452">
        <f t="shared" si="108"/>
        <v>0</v>
      </c>
      <c r="I1179" s="452">
        <f t="shared" si="108"/>
        <v>0</v>
      </c>
      <c r="J1179" s="452">
        <f t="shared" si="108"/>
        <v>0</v>
      </c>
      <c r="K1179" s="452">
        <f t="shared" si="108"/>
        <v>0</v>
      </c>
      <c r="L1179" s="452">
        <f t="shared" si="108"/>
        <v>0</v>
      </c>
      <c r="M1179" s="452">
        <f t="shared" si="108"/>
        <v>0</v>
      </c>
      <c r="N1179" s="452">
        <f t="shared" si="108"/>
        <v>0</v>
      </c>
      <c r="O1179" s="452">
        <f t="shared" si="108"/>
        <v>0</v>
      </c>
      <c r="P1179" s="452">
        <f t="shared" si="108"/>
        <v>0</v>
      </c>
      <c r="Q1179" s="452"/>
      <c r="R1179" s="452">
        <f t="shared" si="108"/>
        <v>0</v>
      </c>
      <c r="S1179" s="445">
        <f t="shared" si="105"/>
        <v>0</v>
      </c>
      <c r="T1179" s="445">
        <f t="shared" si="106"/>
        <v>0</v>
      </c>
      <c r="U1179" s="445">
        <f t="shared" si="107"/>
        <v>0</v>
      </c>
      <c r="W1179" s="450"/>
      <c r="X1179" s="450"/>
      <c r="Y1179" s="441"/>
      <c r="Z1179" s="441"/>
      <c r="AA1179" s="441"/>
      <c r="AB1179" s="441"/>
      <c r="AC1179" s="441"/>
      <c r="AD1179" s="441"/>
      <c r="AE1179" s="441"/>
      <c r="AF1179" s="441"/>
      <c r="AG1179" s="441"/>
      <c r="AH1179" s="441"/>
      <c r="AI1179" s="441"/>
      <c r="AJ1179" s="441"/>
      <c r="AK1179" s="441"/>
      <c r="AL1179" s="441"/>
      <c r="AM1179" s="441"/>
      <c r="AN1179" s="441"/>
      <c r="AO1179" s="441"/>
    </row>
    <row r="1180" spans="1:41" ht="12.75" hidden="1" thickBot="1">
      <c r="A1180" s="1" t="s">
        <v>1281</v>
      </c>
      <c r="B1180" s="2" t="s">
        <v>370</v>
      </c>
      <c r="C1180" s="2" t="s">
        <v>118</v>
      </c>
      <c r="D1180" s="8" t="s">
        <v>414</v>
      </c>
      <c r="E1180" s="3">
        <f t="shared" si="108"/>
        <v>29115339</v>
      </c>
      <c r="F1180" s="452">
        <f t="shared" si="108"/>
        <v>563975</v>
      </c>
      <c r="G1180" s="452">
        <f t="shared" si="108"/>
        <v>1817379</v>
      </c>
      <c r="H1180" s="452">
        <f t="shared" si="108"/>
        <v>793393</v>
      </c>
      <c r="I1180" s="452">
        <f t="shared" si="108"/>
        <v>48623</v>
      </c>
      <c r="J1180" s="452">
        <f t="shared" si="108"/>
        <v>0</v>
      </c>
      <c r="K1180" s="452">
        <f t="shared" si="108"/>
        <v>0</v>
      </c>
      <c r="L1180" s="452">
        <f t="shared" si="108"/>
        <v>69916</v>
      </c>
      <c r="M1180" s="452">
        <f t="shared" si="108"/>
        <v>-6477</v>
      </c>
      <c r="N1180" s="452">
        <f t="shared" si="108"/>
        <v>0</v>
      </c>
      <c r="O1180" s="452">
        <f t="shared" si="108"/>
        <v>300180</v>
      </c>
      <c r="P1180" s="452">
        <f t="shared" si="108"/>
        <v>0</v>
      </c>
      <c r="Q1180" s="452"/>
      <c r="R1180" s="452">
        <f t="shared" si="108"/>
        <v>3586988</v>
      </c>
      <c r="S1180" s="445">
        <f t="shared" si="105"/>
        <v>2659395</v>
      </c>
      <c r="T1180" s="445">
        <f t="shared" si="106"/>
        <v>0</v>
      </c>
      <c r="U1180" s="445">
        <f t="shared" si="107"/>
        <v>300180</v>
      </c>
      <c r="W1180" s="450"/>
      <c r="X1180" s="450"/>
      <c r="Y1180" s="441"/>
      <c r="Z1180" s="441"/>
      <c r="AA1180" s="441"/>
      <c r="AB1180" s="441"/>
      <c r="AC1180" s="441"/>
      <c r="AD1180" s="441"/>
      <c r="AE1180" s="441"/>
      <c r="AF1180" s="441"/>
      <c r="AG1180" s="441"/>
      <c r="AH1180" s="441"/>
      <c r="AI1180" s="441"/>
      <c r="AJ1180" s="441"/>
      <c r="AK1180" s="441"/>
      <c r="AL1180" s="441"/>
      <c r="AM1180" s="441"/>
      <c r="AN1180" s="441"/>
      <c r="AO1180" s="441"/>
    </row>
    <row r="1181" spans="1:41" ht="12.75" hidden="1" thickBot="1">
      <c r="A1181" s="1" t="s">
        <v>1281</v>
      </c>
      <c r="B1181" s="2" t="s">
        <v>371</v>
      </c>
      <c r="C1181" s="2" t="s">
        <v>1201</v>
      </c>
      <c r="D1181" s="8" t="s">
        <v>414</v>
      </c>
      <c r="E1181" s="3">
        <f t="shared" si="108"/>
        <v>0</v>
      </c>
      <c r="F1181" s="452">
        <f t="shared" si="108"/>
        <v>0</v>
      </c>
      <c r="G1181" s="452">
        <f t="shared" si="108"/>
        <v>0</v>
      </c>
      <c r="H1181" s="452">
        <f t="shared" si="108"/>
        <v>0</v>
      </c>
      <c r="I1181" s="452">
        <f t="shared" si="108"/>
        <v>0</v>
      </c>
      <c r="J1181" s="452">
        <f t="shared" si="108"/>
        <v>0</v>
      </c>
      <c r="K1181" s="452">
        <f t="shared" si="108"/>
        <v>0</v>
      </c>
      <c r="L1181" s="452">
        <f t="shared" si="108"/>
        <v>0</v>
      </c>
      <c r="M1181" s="452">
        <f t="shared" si="108"/>
        <v>0</v>
      </c>
      <c r="N1181" s="452">
        <f t="shared" si="108"/>
        <v>0</v>
      </c>
      <c r="O1181" s="452">
        <f t="shared" si="108"/>
        <v>0</v>
      </c>
      <c r="P1181" s="452">
        <f t="shared" si="108"/>
        <v>0</v>
      </c>
      <c r="Q1181" s="452"/>
      <c r="R1181" s="452">
        <f t="shared" si="108"/>
        <v>0</v>
      </c>
      <c r="S1181" s="445">
        <f t="shared" si="105"/>
        <v>0</v>
      </c>
      <c r="T1181" s="445">
        <f t="shared" si="106"/>
        <v>0</v>
      </c>
      <c r="U1181" s="445">
        <f t="shared" si="107"/>
        <v>0</v>
      </c>
      <c r="W1181" s="450"/>
      <c r="X1181" s="450"/>
      <c r="Y1181" s="441"/>
      <c r="Z1181" s="441"/>
      <c r="AA1181" s="441"/>
      <c r="AB1181" s="441"/>
      <c r="AC1181" s="441"/>
      <c r="AD1181" s="441"/>
      <c r="AE1181" s="441"/>
      <c r="AF1181" s="441"/>
      <c r="AG1181" s="441"/>
      <c r="AH1181" s="441"/>
      <c r="AI1181" s="441"/>
      <c r="AJ1181" s="441"/>
      <c r="AK1181" s="441"/>
      <c r="AL1181" s="441"/>
      <c r="AM1181" s="441"/>
      <c r="AN1181" s="441"/>
      <c r="AO1181" s="441"/>
    </row>
    <row r="1182" spans="1:41" ht="12.75" hidden="1" thickBot="1">
      <c r="A1182" s="1" t="s">
        <v>1281</v>
      </c>
      <c r="B1182" s="2" t="s">
        <v>372</v>
      </c>
      <c r="C1182" s="2" t="s">
        <v>1202</v>
      </c>
      <c r="D1182" s="8" t="s">
        <v>416</v>
      </c>
      <c r="E1182" s="3">
        <f t="shared" si="108"/>
        <v>0</v>
      </c>
      <c r="F1182" s="452">
        <f t="shared" si="108"/>
        <v>0</v>
      </c>
      <c r="G1182" s="452">
        <f t="shared" si="108"/>
        <v>0</v>
      </c>
      <c r="H1182" s="452">
        <f t="shared" si="108"/>
        <v>0</v>
      </c>
      <c r="I1182" s="452">
        <f t="shared" si="108"/>
        <v>0</v>
      </c>
      <c r="J1182" s="452">
        <f t="shared" si="108"/>
        <v>0</v>
      </c>
      <c r="K1182" s="452">
        <f t="shared" si="108"/>
        <v>0</v>
      </c>
      <c r="L1182" s="452">
        <f t="shared" si="108"/>
        <v>0</v>
      </c>
      <c r="M1182" s="452">
        <f t="shared" si="108"/>
        <v>0</v>
      </c>
      <c r="N1182" s="452">
        <f t="shared" si="108"/>
        <v>0</v>
      </c>
      <c r="O1182" s="452">
        <f t="shared" si="108"/>
        <v>0</v>
      </c>
      <c r="P1182" s="452">
        <f t="shared" si="108"/>
        <v>0</v>
      </c>
      <c r="Q1182" s="452"/>
      <c r="R1182" s="452">
        <f t="shared" si="108"/>
        <v>0</v>
      </c>
      <c r="S1182" s="445">
        <f t="shared" si="105"/>
        <v>0</v>
      </c>
      <c r="T1182" s="445">
        <f t="shared" si="106"/>
        <v>0</v>
      </c>
      <c r="U1182" s="445">
        <f t="shared" si="107"/>
        <v>0</v>
      </c>
      <c r="W1182" s="450"/>
      <c r="X1182" s="450"/>
      <c r="Y1182" s="441"/>
      <c r="Z1182" s="441"/>
      <c r="AA1182" s="441"/>
      <c r="AB1182" s="441"/>
      <c r="AC1182" s="441"/>
      <c r="AD1182" s="441"/>
      <c r="AE1182" s="441"/>
      <c r="AF1182" s="441"/>
      <c r="AG1182" s="441"/>
      <c r="AH1182" s="441"/>
      <c r="AI1182" s="441"/>
      <c r="AJ1182" s="441"/>
      <c r="AK1182" s="441"/>
      <c r="AL1182" s="441"/>
      <c r="AM1182" s="441"/>
      <c r="AN1182" s="441"/>
      <c r="AO1182" s="441"/>
    </row>
    <row r="1183" spans="1:41" ht="12.75" hidden="1" thickBot="1">
      <c r="A1183" s="1" t="s">
        <v>1281</v>
      </c>
      <c r="B1183" s="2" t="s">
        <v>374</v>
      </c>
      <c r="C1183" s="2" t="s">
        <v>415</v>
      </c>
      <c r="D1183" s="8" t="s">
        <v>414</v>
      </c>
      <c r="E1183" s="3">
        <f t="shared" si="108"/>
        <v>0</v>
      </c>
      <c r="F1183" s="452">
        <f t="shared" si="108"/>
        <v>0</v>
      </c>
      <c r="G1183" s="452">
        <f t="shared" si="108"/>
        <v>0</v>
      </c>
      <c r="H1183" s="452">
        <f t="shared" si="108"/>
        <v>0</v>
      </c>
      <c r="I1183" s="452">
        <f t="shared" si="108"/>
        <v>0</v>
      </c>
      <c r="J1183" s="452">
        <f t="shared" si="108"/>
        <v>0</v>
      </c>
      <c r="K1183" s="452">
        <f t="shared" si="108"/>
        <v>0</v>
      </c>
      <c r="L1183" s="452">
        <f t="shared" si="108"/>
        <v>0</v>
      </c>
      <c r="M1183" s="452">
        <f t="shared" si="108"/>
        <v>0</v>
      </c>
      <c r="N1183" s="452">
        <f t="shared" si="108"/>
        <v>0</v>
      </c>
      <c r="O1183" s="452">
        <f t="shared" si="108"/>
        <v>0</v>
      </c>
      <c r="P1183" s="452">
        <f t="shared" si="108"/>
        <v>0</v>
      </c>
      <c r="Q1183" s="452"/>
      <c r="R1183" s="452">
        <f t="shared" si="108"/>
        <v>0</v>
      </c>
      <c r="S1183" s="445">
        <f t="shared" si="105"/>
        <v>0</v>
      </c>
      <c r="T1183" s="445">
        <f t="shared" si="106"/>
        <v>0</v>
      </c>
      <c r="U1183" s="445">
        <f t="shared" si="107"/>
        <v>0</v>
      </c>
      <c r="W1183" s="450"/>
      <c r="X1183" s="450"/>
      <c r="Y1183" s="441"/>
      <c r="Z1183" s="441"/>
      <c r="AA1183" s="441"/>
      <c r="AB1183" s="441"/>
      <c r="AC1183" s="441"/>
      <c r="AD1183" s="441"/>
      <c r="AE1183" s="441"/>
      <c r="AF1183" s="441"/>
      <c r="AG1183" s="441"/>
      <c r="AH1183" s="441"/>
      <c r="AI1183" s="441"/>
      <c r="AJ1183" s="441"/>
      <c r="AK1183" s="441"/>
      <c r="AL1183" s="441"/>
      <c r="AM1183" s="441"/>
      <c r="AN1183" s="441"/>
      <c r="AO1183" s="441"/>
    </row>
    <row r="1184" spans="1:41" ht="12.75" hidden="1" thickBot="1">
      <c r="A1184" s="1" t="s">
        <v>1281</v>
      </c>
      <c r="B1184" s="2" t="s">
        <v>375</v>
      </c>
      <c r="C1184" s="2" t="s">
        <v>406</v>
      </c>
      <c r="D1184" s="8" t="s">
        <v>20</v>
      </c>
      <c r="E1184" s="3">
        <f t="shared" si="108"/>
        <v>129888119</v>
      </c>
      <c r="F1184" s="452">
        <f t="shared" si="108"/>
        <v>232110</v>
      </c>
      <c r="G1184" s="452">
        <f t="shared" si="108"/>
        <v>1734006</v>
      </c>
      <c r="H1184" s="452">
        <f t="shared" si="108"/>
        <v>3539451</v>
      </c>
      <c r="I1184" s="452">
        <f t="shared" si="108"/>
        <v>0</v>
      </c>
      <c r="J1184" s="452">
        <f t="shared" si="108"/>
        <v>152407</v>
      </c>
      <c r="K1184" s="452">
        <f t="shared" si="108"/>
        <v>4295963</v>
      </c>
      <c r="L1184" s="452">
        <f t="shared" si="108"/>
        <v>311904</v>
      </c>
      <c r="M1184" s="452">
        <f t="shared" si="108"/>
        <v>-28896</v>
      </c>
      <c r="N1184" s="452">
        <f t="shared" si="108"/>
        <v>0</v>
      </c>
      <c r="O1184" s="452">
        <f t="shared" si="108"/>
        <v>1339151</v>
      </c>
      <c r="P1184" s="452">
        <f t="shared" si="108"/>
        <v>0</v>
      </c>
      <c r="Q1184" s="452"/>
      <c r="R1184" s="452">
        <f t="shared" si="108"/>
        <v>11576097</v>
      </c>
      <c r="S1184" s="445">
        <f t="shared" si="105"/>
        <v>5273457</v>
      </c>
      <c r="T1184" s="445">
        <f t="shared" si="106"/>
        <v>4448370</v>
      </c>
      <c r="U1184" s="445">
        <f t="shared" si="107"/>
        <v>1339151</v>
      </c>
      <c r="W1184" s="450"/>
      <c r="X1184" s="450"/>
      <c r="Y1184" s="441"/>
      <c r="Z1184" s="441"/>
      <c r="AA1184" s="441"/>
      <c r="AB1184" s="441"/>
      <c r="AC1184" s="441"/>
      <c r="AD1184" s="441"/>
      <c r="AE1184" s="441"/>
      <c r="AF1184" s="441"/>
      <c r="AG1184" s="441"/>
      <c r="AH1184" s="441"/>
      <c r="AI1184" s="441"/>
      <c r="AJ1184" s="441"/>
      <c r="AK1184" s="441"/>
      <c r="AL1184" s="441"/>
      <c r="AM1184" s="441"/>
      <c r="AN1184" s="441"/>
      <c r="AO1184" s="441"/>
    </row>
    <row r="1185" spans="1:41" ht="12.75" hidden="1" thickBot="1">
      <c r="A1185" s="1" t="s">
        <v>1281</v>
      </c>
      <c r="B1185" s="2" t="s">
        <v>376</v>
      </c>
      <c r="C1185" s="2" t="s">
        <v>404</v>
      </c>
      <c r="D1185" s="8" t="s">
        <v>21</v>
      </c>
      <c r="E1185" s="3">
        <f t="shared" si="108"/>
        <v>11303433</v>
      </c>
      <c r="F1185" s="452">
        <f t="shared" si="108"/>
        <v>8840</v>
      </c>
      <c r="G1185" s="452">
        <f t="shared" si="108"/>
        <v>135754</v>
      </c>
      <c r="H1185" s="452">
        <f t="shared" si="108"/>
        <v>308019</v>
      </c>
      <c r="I1185" s="452">
        <f t="shared" si="108"/>
        <v>0</v>
      </c>
      <c r="J1185" s="452">
        <f t="shared" si="108"/>
        <v>12944</v>
      </c>
      <c r="K1185" s="452">
        <f t="shared" si="108"/>
        <v>301494</v>
      </c>
      <c r="L1185" s="452">
        <f t="shared" si="108"/>
        <v>27143</v>
      </c>
      <c r="M1185" s="452">
        <f t="shared" si="108"/>
        <v>-2515</v>
      </c>
      <c r="N1185" s="452">
        <f t="shared" si="108"/>
        <v>0</v>
      </c>
      <c r="O1185" s="452">
        <f t="shared" si="108"/>
        <v>116539</v>
      </c>
      <c r="P1185" s="452">
        <f t="shared" si="108"/>
        <v>0</v>
      </c>
      <c r="Q1185" s="452"/>
      <c r="R1185" s="452">
        <f t="shared" si="108"/>
        <v>908218</v>
      </c>
      <c r="S1185" s="445">
        <f t="shared" si="105"/>
        <v>443773</v>
      </c>
      <c r="T1185" s="445">
        <f t="shared" si="106"/>
        <v>314438</v>
      </c>
      <c r="U1185" s="445">
        <f t="shared" si="107"/>
        <v>116539</v>
      </c>
      <c r="W1185" s="450"/>
      <c r="X1185" s="450"/>
      <c r="Y1185" s="441"/>
      <c r="Z1185" s="441"/>
      <c r="AA1185" s="441"/>
      <c r="AB1185" s="441"/>
      <c r="AC1185" s="441"/>
      <c r="AD1185" s="441"/>
      <c r="AE1185" s="441"/>
      <c r="AF1185" s="441"/>
      <c r="AG1185" s="441"/>
      <c r="AH1185" s="441"/>
      <c r="AI1185" s="441"/>
      <c r="AJ1185" s="441"/>
      <c r="AK1185" s="441"/>
      <c r="AL1185" s="441"/>
      <c r="AM1185" s="441"/>
      <c r="AN1185" s="441"/>
      <c r="AO1185" s="441"/>
    </row>
    <row r="1186" spans="1:41" ht="12.75" hidden="1" thickBot="1">
      <c r="A1186" s="1" t="s">
        <v>1281</v>
      </c>
      <c r="B1186" s="2" t="s">
        <v>377</v>
      </c>
      <c r="C1186" s="2" t="s">
        <v>407</v>
      </c>
      <c r="D1186" s="8" t="s">
        <v>20</v>
      </c>
      <c r="E1186" s="3">
        <f t="shared" si="108"/>
        <v>0</v>
      </c>
      <c r="F1186" s="452">
        <f t="shared" si="108"/>
        <v>0</v>
      </c>
      <c r="G1186" s="452">
        <f t="shared" si="108"/>
        <v>0</v>
      </c>
      <c r="H1186" s="452">
        <f t="shared" si="108"/>
        <v>0</v>
      </c>
      <c r="I1186" s="452">
        <f t="shared" si="108"/>
        <v>0</v>
      </c>
      <c r="J1186" s="452">
        <f t="shared" si="108"/>
        <v>0</v>
      </c>
      <c r="K1186" s="452">
        <f t="shared" si="108"/>
        <v>0</v>
      </c>
      <c r="L1186" s="452">
        <f t="shared" si="108"/>
        <v>0</v>
      </c>
      <c r="M1186" s="452">
        <f t="shared" si="108"/>
        <v>0</v>
      </c>
      <c r="N1186" s="452">
        <f t="shared" si="108"/>
        <v>0</v>
      </c>
      <c r="O1186" s="452">
        <f t="shared" si="108"/>
        <v>0</v>
      </c>
      <c r="P1186" s="452">
        <f t="shared" si="108"/>
        <v>0</v>
      </c>
      <c r="Q1186" s="452"/>
      <c r="R1186" s="452">
        <f t="shared" si="108"/>
        <v>0</v>
      </c>
      <c r="S1186" s="445">
        <f t="shared" si="105"/>
        <v>0</v>
      </c>
      <c r="T1186" s="445">
        <f t="shared" si="106"/>
        <v>0</v>
      </c>
      <c r="U1186" s="445">
        <f t="shared" si="107"/>
        <v>0</v>
      </c>
      <c r="W1186" s="450"/>
      <c r="X1186" s="450"/>
      <c r="Y1186" s="441"/>
      <c r="Z1186" s="441"/>
      <c r="AA1186" s="441"/>
      <c r="AB1186" s="441"/>
      <c r="AC1186" s="441"/>
      <c r="AD1186" s="441"/>
      <c r="AE1186" s="441"/>
      <c r="AF1186" s="441"/>
      <c r="AG1186" s="441"/>
      <c r="AH1186" s="441"/>
      <c r="AI1186" s="441"/>
      <c r="AJ1186" s="441"/>
      <c r="AK1186" s="441"/>
      <c r="AL1186" s="441"/>
      <c r="AM1186" s="441"/>
      <c r="AN1186" s="441"/>
      <c r="AO1186" s="441"/>
    </row>
    <row r="1187" spans="1:41" ht="12.75" hidden="1" thickBot="1">
      <c r="A1187" s="1" t="s">
        <v>1281</v>
      </c>
      <c r="B1187" s="2" t="s">
        <v>378</v>
      </c>
      <c r="C1187" s="2" t="s">
        <v>1033</v>
      </c>
      <c r="D1187" s="8" t="s">
        <v>1006</v>
      </c>
      <c r="E1187" s="3">
        <f t="shared" si="108"/>
        <v>60713563</v>
      </c>
      <c r="F1187" s="452">
        <f t="shared" si="108"/>
        <v>44000</v>
      </c>
      <c r="G1187" s="452">
        <f t="shared" si="108"/>
        <v>768027</v>
      </c>
      <c r="H1187" s="452">
        <f t="shared" si="108"/>
        <v>1654445</v>
      </c>
      <c r="I1187" s="452">
        <f t="shared" si="108"/>
        <v>0</v>
      </c>
      <c r="J1187" s="452">
        <f t="shared" si="108"/>
        <v>62951</v>
      </c>
      <c r="K1187" s="452">
        <f t="shared" si="108"/>
        <v>1842028</v>
      </c>
      <c r="L1187" s="452">
        <f t="shared" si="108"/>
        <v>145793</v>
      </c>
      <c r="M1187" s="452">
        <f t="shared" si="108"/>
        <v>-13507</v>
      </c>
      <c r="N1187" s="452">
        <f t="shared" si="108"/>
        <v>0</v>
      </c>
      <c r="O1187" s="452">
        <f t="shared" si="108"/>
        <v>625959</v>
      </c>
      <c r="P1187" s="452">
        <f t="shared" si="108"/>
        <v>0</v>
      </c>
      <c r="Q1187" s="452"/>
      <c r="R1187" s="452">
        <f t="shared" si="108"/>
        <v>5129696</v>
      </c>
      <c r="S1187" s="445">
        <f t="shared" si="105"/>
        <v>2422472</v>
      </c>
      <c r="T1187" s="445">
        <f t="shared" si="106"/>
        <v>1904979</v>
      </c>
      <c r="U1187" s="445">
        <f t="shared" si="107"/>
        <v>625959</v>
      </c>
      <c r="W1187" s="450"/>
      <c r="X1187" s="450"/>
      <c r="Y1187" s="441"/>
      <c r="Z1187" s="441"/>
      <c r="AA1187" s="441"/>
      <c r="AB1187" s="441"/>
      <c r="AC1187" s="441"/>
      <c r="AD1187" s="441"/>
      <c r="AE1187" s="441"/>
      <c r="AF1187" s="441"/>
      <c r="AG1187" s="441"/>
      <c r="AH1187" s="441"/>
      <c r="AI1187" s="441"/>
      <c r="AJ1187" s="441"/>
      <c r="AK1187" s="441"/>
      <c r="AL1187" s="441"/>
      <c r="AM1187" s="441"/>
      <c r="AN1187" s="441"/>
      <c r="AO1187" s="441"/>
    </row>
    <row r="1188" spans="1:41" ht="12.75" hidden="1" thickBot="1">
      <c r="A1188" s="1" t="s">
        <v>1281</v>
      </c>
      <c r="B1188" s="2" t="s">
        <v>379</v>
      </c>
      <c r="C1188" s="2" t="s">
        <v>408</v>
      </c>
      <c r="D1188" s="8" t="s">
        <v>409</v>
      </c>
      <c r="E1188" s="3">
        <f t="shared" si="108"/>
        <v>28320345</v>
      </c>
      <c r="F1188" s="452">
        <f t="shared" si="108"/>
        <v>11700</v>
      </c>
      <c r="G1188" s="452">
        <f t="shared" si="108"/>
        <v>307276</v>
      </c>
      <c r="H1188" s="452">
        <f t="shared" si="108"/>
        <v>771729</v>
      </c>
      <c r="I1188" s="452">
        <f t="shared" si="108"/>
        <v>0</v>
      </c>
      <c r="J1188" s="452">
        <f t="shared" si="108"/>
        <v>27795</v>
      </c>
      <c r="K1188" s="452">
        <f t="shared" si="108"/>
        <v>889263</v>
      </c>
      <c r="L1188" s="452">
        <f t="shared" si="108"/>
        <v>68006</v>
      </c>
      <c r="M1188" s="452">
        <f t="shared" si="108"/>
        <v>-6300</v>
      </c>
      <c r="N1188" s="452">
        <f t="shared" si="108"/>
        <v>0</v>
      </c>
      <c r="O1188" s="452">
        <f t="shared" si="108"/>
        <v>291984</v>
      </c>
      <c r="P1188" s="452">
        <f t="shared" si="108"/>
        <v>0</v>
      </c>
      <c r="Q1188" s="452"/>
      <c r="R1188" s="452">
        <f t="shared" si="108"/>
        <v>2361452</v>
      </c>
      <c r="S1188" s="445">
        <f t="shared" si="105"/>
        <v>1079005</v>
      </c>
      <c r="T1188" s="445">
        <f t="shared" si="106"/>
        <v>917058</v>
      </c>
      <c r="U1188" s="445">
        <f t="shared" si="107"/>
        <v>291984</v>
      </c>
      <c r="W1188" s="450"/>
      <c r="X1188" s="450"/>
      <c r="Y1188" s="441"/>
      <c r="Z1188" s="441"/>
      <c r="AA1188" s="441"/>
      <c r="AB1188" s="441"/>
      <c r="AC1188" s="441"/>
      <c r="AD1188" s="441"/>
      <c r="AE1188" s="441"/>
      <c r="AF1188" s="441"/>
      <c r="AG1188" s="441"/>
      <c r="AH1188" s="441"/>
      <c r="AI1188" s="441"/>
      <c r="AJ1188" s="441"/>
      <c r="AK1188" s="441"/>
      <c r="AL1188" s="441"/>
      <c r="AM1188" s="441"/>
      <c r="AN1188" s="441"/>
      <c r="AO1188" s="441"/>
    </row>
    <row r="1189" spans="1:41" ht="12.75" hidden="1" thickBot="1">
      <c r="A1189" s="1" t="s">
        <v>1281</v>
      </c>
      <c r="B1189" s="2" t="s">
        <v>381</v>
      </c>
      <c r="C1189" s="2" t="s">
        <v>59</v>
      </c>
      <c r="D1189" s="8" t="s">
        <v>14</v>
      </c>
      <c r="E1189" s="3">
        <f t="shared" si="108"/>
        <v>74220820</v>
      </c>
      <c r="F1189" s="452">
        <f t="shared" si="108"/>
        <v>573064</v>
      </c>
      <c r="G1189" s="452">
        <f t="shared" si="108"/>
        <v>4632864</v>
      </c>
      <c r="H1189" s="452">
        <f t="shared" si="108"/>
        <v>2022517</v>
      </c>
      <c r="I1189" s="452">
        <f t="shared" si="108"/>
        <v>123949</v>
      </c>
      <c r="J1189" s="452">
        <f t="shared" si="108"/>
        <v>0</v>
      </c>
      <c r="K1189" s="452">
        <f t="shared" si="108"/>
        <v>0</v>
      </c>
      <c r="L1189" s="452">
        <f t="shared" si="108"/>
        <v>178229</v>
      </c>
      <c r="M1189" s="452">
        <f t="shared" si="108"/>
        <v>-16512</v>
      </c>
      <c r="N1189" s="452">
        <f t="shared" si="108"/>
        <v>0</v>
      </c>
      <c r="O1189" s="452">
        <f t="shared" si="108"/>
        <v>765219</v>
      </c>
      <c r="P1189" s="452">
        <f t="shared" si="108"/>
        <v>0</v>
      </c>
      <c r="Q1189" s="452"/>
      <c r="R1189" s="452">
        <f t="shared" si="108"/>
        <v>8279330</v>
      </c>
      <c r="S1189" s="445">
        <f t="shared" si="105"/>
        <v>6779330</v>
      </c>
      <c r="T1189" s="445">
        <f t="shared" si="106"/>
        <v>0</v>
      </c>
      <c r="U1189" s="445">
        <f t="shared" si="107"/>
        <v>765219</v>
      </c>
      <c r="W1189" s="450"/>
      <c r="X1189" s="450"/>
      <c r="Y1189" s="441"/>
      <c r="Z1189" s="441"/>
      <c r="AA1189" s="441"/>
      <c r="AB1189" s="441"/>
      <c r="AC1189" s="441"/>
      <c r="AD1189" s="441"/>
      <c r="AE1189" s="441"/>
      <c r="AF1189" s="441"/>
      <c r="AG1189" s="441"/>
      <c r="AH1189" s="441"/>
      <c r="AI1189" s="441"/>
      <c r="AJ1189" s="441"/>
      <c r="AK1189" s="441"/>
      <c r="AL1189" s="441"/>
      <c r="AM1189" s="441"/>
      <c r="AN1189" s="441"/>
      <c r="AO1189" s="441"/>
    </row>
    <row r="1190" spans="1:41" ht="12.75" hidden="1" thickBot="1">
      <c r="A1190" s="1" t="s">
        <v>1281</v>
      </c>
      <c r="B1190" s="2" t="s">
        <v>382</v>
      </c>
      <c r="C1190" s="2" t="s">
        <v>1244</v>
      </c>
      <c r="D1190" s="8" t="s">
        <v>14</v>
      </c>
      <c r="E1190" s="3">
        <f t="shared" si="108"/>
        <v>0</v>
      </c>
      <c r="F1190" s="452">
        <f t="shared" si="108"/>
        <v>0</v>
      </c>
      <c r="G1190" s="452">
        <f t="shared" si="108"/>
        <v>0</v>
      </c>
      <c r="H1190" s="452">
        <f t="shared" si="108"/>
        <v>0</v>
      </c>
      <c r="I1190" s="452">
        <f t="shared" si="108"/>
        <v>0</v>
      </c>
      <c r="J1190" s="452">
        <f t="shared" si="108"/>
        <v>0</v>
      </c>
      <c r="K1190" s="452">
        <f t="shared" si="108"/>
        <v>0</v>
      </c>
      <c r="L1190" s="452">
        <f t="shared" si="108"/>
        <v>0</v>
      </c>
      <c r="M1190" s="452">
        <f t="shared" si="108"/>
        <v>0</v>
      </c>
      <c r="N1190" s="452">
        <f t="shared" si="108"/>
        <v>0</v>
      </c>
      <c r="O1190" s="452">
        <f t="shared" si="108"/>
        <v>0</v>
      </c>
      <c r="P1190" s="452">
        <f t="shared" si="108"/>
        <v>0</v>
      </c>
      <c r="Q1190" s="452"/>
      <c r="R1190" s="452">
        <f t="shared" si="108"/>
        <v>0</v>
      </c>
      <c r="S1190" s="445">
        <f t="shared" si="105"/>
        <v>0</v>
      </c>
      <c r="T1190" s="445">
        <f t="shared" si="106"/>
        <v>0</v>
      </c>
      <c r="U1190" s="445">
        <f t="shared" si="107"/>
        <v>0</v>
      </c>
      <c r="W1190" s="450"/>
      <c r="X1190" s="450"/>
      <c r="Y1190" s="441"/>
      <c r="Z1190" s="441"/>
      <c r="AA1190" s="441"/>
      <c r="AB1190" s="441"/>
      <c r="AC1190" s="441"/>
      <c r="AD1190" s="441"/>
      <c r="AE1190" s="441"/>
      <c r="AF1190" s="441"/>
      <c r="AG1190" s="441"/>
      <c r="AH1190" s="441"/>
      <c r="AI1190" s="441"/>
      <c r="AJ1190" s="441"/>
      <c r="AK1190" s="441"/>
      <c r="AL1190" s="441"/>
      <c r="AM1190" s="441"/>
      <c r="AN1190" s="441"/>
      <c r="AO1190" s="441"/>
    </row>
    <row r="1191" spans="1:41" ht="12.75" hidden="1" thickBot="1">
      <c r="A1191" s="1" t="s">
        <v>1281</v>
      </c>
      <c r="B1191" s="2" t="s">
        <v>384</v>
      </c>
      <c r="C1191" s="2" t="s">
        <v>413</v>
      </c>
      <c r="D1191" s="8" t="s">
        <v>14</v>
      </c>
      <c r="E1191" s="3">
        <f t="shared" si="108"/>
        <v>0</v>
      </c>
      <c r="F1191" s="452">
        <f t="shared" si="108"/>
        <v>0</v>
      </c>
      <c r="G1191" s="452">
        <f t="shared" si="108"/>
        <v>0</v>
      </c>
      <c r="H1191" s="452">
        <f t="shared" si="108"/>
        <v>0</v>
      </c>
      <c r="I1191" s="452">
        <f t="shared" si="108"/>
        <v>0</v>
      </c>
      <c r="J1191" s="452">
        <f t="shared" si="108"/>
        <v>0</v>
      </c>
      <c r="K1191" s="452">
        <f t="shared" si="108"/>
        <v>0</v>
      </c>
      <c r="L1191" s="452">
        <f t="shared" si="108"/>
        <v>0</v>
      </c>
      <c r="M1191" s="452">
        <f t="shared" si="108"/>
        <v>0</v>
      </c>
      <c r="N1191" s="452">
        <f t="shared" si="108"/>
        <v>0</v>
      </c>
      <c r="O1191" s="452">
        <f t="shared" si="108"/>
        <v>0</v>
      </c>
      <c r="P1191" s="452">
        <f t="shared" si="108"/>
        <v>0</v>
      </c>
      <c r="Q1191" s="452"/>
      <c r="R1191" s="452">
        <f t="shared" si="108"/>
        <v>0</v>
      </c>
      <c r="S1191" s="445">
        <f t="shared" si="105"/>
        <v>0</v>
      </c>
      <c r="T1191" s="445">
        <f t="shared" si="106"/>
        <v>0</v>
      </c>
      <c r="U1191" s="445">
        <f t="shared" si="107"/>
        <v>0</v>
      </c>
      <c r="W1191" s="450"/>
      <c r="X1191" s="450"/>
      <c r="Y1191" s="441"/>
      <c r="Z1191" s="441"/>
      <c r="AA1191" s="441"/>
      <c r="AB1191" s="441"/>
      <c r="AC1191" s="441"/>
      <c r="AD1191" s="441"/>
      <c r="AE1191" s="441"/>
      <c r="AF1191" s="441"/>
      <c r="AG1191" s="441"/>
      <c r="AH1191" s="441"/>
      <c r="AI1191" s="441"/>
      <c r="AJ1191" s="441"/>
      <c r="AK1191" s="441"/>
      <c r="AL1191" s="441"/>
      <c r="AM1191" s="441"/>
      <c r="AN1191" s="441"/>
      <c r="AO1191" s="441"/>
    </row>
    <row r="1192" spans="1:41" ht="12.75" hidden="1" thickBot="1">
      <c r="A1192" s="1" t="s">
        <v>1281</v>
      </c>
      <c r="B1192" s="2" t="s">
        <v>385</v>
      </c>
      <c r="C1192" s="2" t="s">
        <v>424</v>
      </c>
      <c r="D1192" s="8" t="s">
        <v>425</v>
      </c>
      <c r="E1192" s="3">
        <f t="shared" si="108"/>
        <v>4366800</v>
      </c>
      <c r="F1192" s="452">
        <f t="shared" si="108"/>
        <v>0</v>
      </c>
      <c r="G1192" s="452">
        <f t="shared" si="108"/>
        <v>42664</v>
      </c>
      <c r="H1192" s="452">
        <f t="shared" si="108"/>
        <v>118995</v>
      </c>
      <c r="I1192" s="452">
        <f t="shared" si="108"/>
        <v>0</v>
      </c>
      <c r="J1192" s="452">
        <f t="shared" si="108"/>
        <v>3497</v>
      </c>
      <c r="K1192" s="452">
        <f t="shared" si="108"/>
        <v>94314</v>
      </c>
      <c r="L1192" s="452">
        <f t="shared" si="108"/>
        <v>0</v>
      </c>
      <c r="M1192" s="452">
        <f t="shared" si="108"/>
        <v>-971</v>
      </c>
      <c r="N1192" s="452">
        <f t="shared" si="108"/>
        <v>0</v>
      </c>
      <c r="O1192" s="452">
        <f t="shared" si="108"/>
        <v>45022</v>
      </c>
      <c r="P1192" s="452">
        <f t="shared" si="108"/>
        <v>0</v>
      </c>
      <c r="Q1192" s="452"/>
      <c r="R1192" s="452">
        <f t="shared" si="108"/>
        <v>303520</v>
      </c>
      <c r="S1192" s="445">
        <f t="shared" si="105"/>
        <v>161659</v>
      </c>
      <c r="T1192" s="445">
        <f t="shared" si="106"/>
        <v>97811</v>
      </c>
      <c r="U1192" s="445">
        <f t="shared" si="107"/>
        <v>45022</v>
      </c>
      <c r="W1192" s="450"/>
      <c r="X1192" s="450"/>
      <c r="Y1192" s="441"/>
      <c r="Z1192" s="441"/>
      <c r="AA1192" s="441"/>
      <c r="AB1192" s="441"/>
      <c r="AC1192" s="441"/>
      <c r="AD1192" s="441"/>
      <c r="AE1192" s="441"/>
      <c r="AF1192" s="441"/>
      <c r="AG1192" s="441"/>
      <c r="AH1192" s="441"/>
      <c r="AI1192" s="441"/>
      <c r="AJ1192" s="441"/>
      <c r="AK1192" s="441"/>
      <c r="AL1192" s="441"/>
      <c r="AM1192" s="441"/>
      <c r="AN1192" s="441"/>
      <c r="AO1192" s="441"/>
    </row>
    <row r="1193" spans="1:41" ht="12.75" hidden="1" thickBot="1">
      <c r="A1193" s="1" t="s">
        <v>1281</v>
      </c>
      <c r="B1193" s="2" t="s">
        <v>1223</v>
      </c>
      <c r="C1193" s="2" t="s">
        <v>1224</v>
      </c>
      <c r="D1193" s="8" t="s">
        <v>63</v>
      </c>
      <c r="E1193" s="3">
        <f t="shared" si="108"/>
        <v>0</v>
      </c>
      <c r="F1193" s="452">
        <f t="shared" si="108"/>
        <v>0</v>
      </c>
      <c r="G1193" s="452">
        <f t="shared" si="108"/>
        <v>0</v>
      </c>
      <c r="H1193" s="452">
        <f t="shared" si="108"/>
        <v>0</v>
      </c>
      <c r="I1193" s="452">
        <f t="shared" si="108"/>
        <v>0</v>
      </c>
      <c r="J1193" s="452">
        <f t="shared" si="108"/>
        <v>0</v>
      </c>
      <c r="K1193" s="452">
        <f t="shared" si="108"/>
        <v>0</v>
      </c>
      <c r="L1193" s="452">
        <f t="shared" si="108"/>
        <v>0</v>
      </c>
      <c r="M1193" s="452">
        <f t="shared" si="108"/>
        <v>0</v>
      </c>
      <c r="N1193" s="452">
        <f t="shared" si="108"/>
        <v>0</v>
      </c>
      <c r="O1193" s="452">
        <f t="shared" si="108"/>
        <v>0</v>
      </c>
      <c r="P1193" s="452">
        <f t="shared" si="108"/>
        <v>-286526</v>
      </c>
      <c r="Q1193" s="452"/>
      <c r="R1193" s="452">
        <f t="shared" si="108"/>
        <v>-286526</v>
      </c>
      <c r="S1193" s="445">
        <f t="shared" si="105"/>
        <v>0</v>
      </c>
      <c r="T1193" s="445">
        <f t="shared" si="106"/>
        <v>0</v>
      </c>
      <c r="U1193" s="445">
        <f t="shared" si="107"/>
        <v>0</v>
      </c>
      <c r="W1193" s="450"/>
      <c r="X1193" s="450"/>
      <c r="Y1193" s="441"/>
      <c r="Z1193" s="441"/>
      <c r="AA1193" s="441"/>
      <c r="AB1193" s="441"/>
      <c r="AC1193" s="441"/>
      <c r="AD1193" s="441"/>
      <c r="AE1193" s="441"/>
      <c r="AF1193" s="441"/>
      <c r="AG1193" s="441"/>
      <c r="AH1193" s="441"/>
      <c r="AI1193" s="441"/>
      <c r="AJ1193" s="441"/>
      <c r="AK1193" s="441"/>
      <c r="AL1193" s="441"/>
      <c r="AM1193" s="441"/>
      <c r="AN1193" s="441"/>
      <c r="AO1193" s="441"/>
    </row>
    <row r="1194" spans="1:41" ht="12.75" hidden="1" thickBot="1">
      <c r="A1194" s="1" t="s">
        <v>1281</v>
      </c>
      <c r="B1194" s="2" t="s">
        <v>386</v>
      </c>
      <c r="C1194" s="2" t="s">
        <v>405</v>
      </c>
      <c r="D1194" s="8" t="s">
        <v>63</v>
      </c>
      <c r="E1194" s="3">
        <f t="shared" si="108"/>
        <v>0</v>
      </c>
      <c r="F1194" s="452">
        <f t="shared" si="108"/>
        <v>0</v>
      </c>
      <c r="G1194" s="452">
        <f t="shared" si="108"/>
        <v>0</v>
      </c>
      <c r="H1194" s="452">
        <f t="shared" si="108"/>
        <v>0</v>
      </c>
      <c r="I1194" s="452">
        <f t="shared" si="108"/>
        <v>0</v>
      </c>
      <c r="J1194" s="452">
        <f t="shared" si="108"/>
        <v>0</v>
      </c>
      <c r="K1194" s="452">
        <f t="shared" si="108"/>
        <v>0</v>
      </c>
      <c r="L1194" s="452">
        <f t="shared" si="108"/>
        <v>0</v>
      </c>
      <c r="M1194" s="452">
        <f t="shared" si="108"/>
        <v>0</v>
      </c>
      <c r="N1194" s="452">
        <f t="shared" si="108"/>
        <v>0</v>
      </c>
      <c r="O1194" s="452">
        <f t="shared" si="108"/>
        <v>0</v>
      </c>
      <c r="P1194" s="452">
        <f t="shared" si="108"/>
        <v>0</v>
      </c>
      <c r="Q1194" s="452"/>
      <c r="R1194" s="452">
        <f t="shared" si="108"/>
        <v>0</v>
      </c>
      <c r="S1194" s="445">
        <f t="shared" si="105"/>
        <v>0</v>
      </c>
      <c r="T1194" s="445">
        <f t="shared" si="106"/>
        <v>0</v>
      </c>
      <c r="U1194" s="445">
        <f t="shared" si="107"/>
        <v>0</v>
      </c>
      <c r="W1194" s="450"/>
      <c r="X1194" s="450"/>
      <c r="Y1194" s="441"/>
      <c r="Z1194" s="441"/>
      <c r="AA1194" s="441"/>
      <c r="AB1194" s="441"/>
      <c r="AC1194" s="441"/>
      <c r="AD1194" s="441"/>
      <c r="AE1194" s="441"/>
      <c r="AF1194" s="441"/>
      <c r="AG1194" s="441"/>
      <c r="AH1194" s="441"/>
      <c r="AI1194" s="441"/>
      <c r="AJ1194" s="441"/>
      <c r="AK1194" s="441"/>
      <c r="AL1194" s="441"/>
      <c r="AM1194" s="441"/>
      <c r="AN1194" s="441"/>
      <c r="AO1194" s="441"/>
    </row>
    <row r="1195" spans="1:41" ht="12.75" hidden="1" thickBot="1">
      <c r="A1195" s="1" t="s">
        <v>1281</v>
      </c>
      <c r="B1195" s="2" t="s">
        <v>803</v>
      </c>
      <c r="C1195" s="2" t="s">
        <v>804</v>
      </c>
      <c r="D1195" s="8" t="s">
        <v>1205</v>
      </c>
      <c r="E1195" s="3">
        <f t="shared" si="108"/>
        <v>0</v>
      </c>
      <c r="F1195" s="452">
        <f t="shared" si="108"/>
        <v>0</v>
      </c>
      <c r="G1195" s="452">
        <f t="shared" si="108"/>
        <v>0</v>
      </c>
      <c r="H1195" s="452">
        <f t="shared" si="108"/>
        <v>0</v>
      </c>
      <c r="I1195" s="452">
        <f t="shared" si="108"/>
        <v>0</v>
      </c>
      <c r="J1195" s="452">
        <f t="shared" si="108"/>
        <v>0</v>
      </c>
      <c r="K1195" s="452">
        <f t="shared" si="108"/>
        <v>0</v>
      </c>
      <c r="L1195" s="452">
        <f t="shared" si="108"/>
        <v>0</v>
      </c>
      <c r="M1195" s="452">
        <f t="shared" ref="G1195:R1213" si="109">ROUND(SUMIFS(M$1410:M$1613,$A$1410:$A$1613,$A1195,$B$1410:$B$1613,$B1195),0)</f>
        <v>0</v>
      </c>
      <c r="N1195" s="452">
        <f t="shared" si="109"/>
        <v>0</v>
      </c>
      <c r="O1195" s="452">
        <f t="shared" si="109"/>
        <v>0</v>
      </c>
      <c r="P1195" s="452">
        <f t="shared" si="109"/>
        <v>0</v>
      </c>
      <c r="Q1195" s="452"/>
      <c r="R1195" s="452">
        <f t="shared" si="109"/>
        <v>0</v>
      </c>
      <c r="S1195" s="445">
        <f t="shared" si="105"/>
        <v>0</v>
      </c>
      <c r="T1195" s="445">
        <f t="shared" si="106"/>
        <v>0</v>
      </c>
      <c r="U1195" s="445">
        <f t="shared" si="107"/>
        <v>0</v>
      </c>
      <c r="W1195" s="450"/>
      <c r="X1195" s="450"/>
      <c r="Y1195" s="441"/>
      <c r="Z1195" s="441"/>
      <c r="AA1195" s="441"/>
      <c r="AB1195" s="441"/>
      <c r="AC1195" s="441"/>
      <c r="AD1195" s="441"/>
      <c r="AE1195" s="441"/>
      <c r="AF1195" s="441"/>
      <c r="AG1195" s="441"/>
      <c r="AH1195" s="441"/>
      <c r="AI1195" s="441"/>
      <c r="AJ1195" s="441"/>
      <c r="AK1195" s="441"/>
      <c r="AL1195" s="441"/>
      <c r="AM1195" s="441"/>
      <c r="AN1195" s="441"/>
      <c r="AO1195" s="441"/>
    </row>
    <row r="1196" spans="1:41" ht="12.75" hidden="1" thickBot="1">
      <c r="A1196" s="1" t="s">
        <v>1281</v>
      </c>
      <c r="B1196" s="2" t="s">
        <v>387</v>
      </c>
      <c r="C1196" s="2" t="s">
        <v>411</v>
      </c>
      <c r="D1196" s="8" t="s">
        <v>412</v>
      </c>
      <c r="E1196" s="3">
        <f t="shared" ref="E1196:F1213" si="110">ROUND(SUMIFS(E$1410:E$1613,$A$1410:$A$1613,$A1196,$B$1410:$B$1613,$B1196),0)</f>
        <v>7436000</v>
      </c>
      <c r="F1196" s="452">
        <f t="shared" si="110"/>
        <v>0</v>
      </c>
      <c r="G1196" s="452">
        <f t="shared" si="109"/>
        <v>75475</v>
      </c>
      <c r="H1196" s="452">
        <f t="shared" si="109"/>
        <v>202631</v>
      </c>
      <c r="I1196" s="452">
        <f t="shared" si="109"/>
        <v>0</v>
      </c>
      <c r="J1196" s="452">
        <f t="shared" si="109"/>
        <v>3713</v>
      </c>
      <c r="K1196" s="452">
        <f t="shared" si="109"/>
        <v>117382</v>
      </c>
      <c r="L1196" s="452">
        <f t="shared" si="109"/>
        <v>0</v>
      </c>
      <c r="M1196" s="452">
        <f t="shared" si="109"/>
        <v>-1654</v>
      </c>
      <c r="N1196" s="452">
        <f t="shared" si="109"/>
        <v>0</v>
      </c>
      <c r="O1196" s="452">
        <f t="shared" si="109"/>
        <v>76665</v>
      </c>
      <c r="P1196" s="452">
        <f t="shared" si="109"/>
        <v>0</v>
      </c>
      <c r="Q1196" s="452"/>
      <c r="R1196" s="452">
        <f t="shared" si="109"/>
        <v>474212</v>
      </c>
      <c r="S1196" s="445">
        <f t="shared" si="105"/>
        <v>278106</v>
      </c>
      <c r="T1196" s="445">
        <f t="shared" si="106"/>
        <v>121095</v>
      </c>
      <c r="U1196" s="445">
        <f t="shared" si="107"/>
        <v>76665</v>
      </c>
      <c r="W1196" s="450"/>
      <c r="X1196" s="450"/>
      <c r="Y1196" s="441"/>
      <c r="Z1196" s="441"/>
      <c r="AA1196" s="441"/>
      <c r="AB1196" s="441"/>
      <c r="AC1196" s="441"/>
      <c r="AD1196" s="441"/>
      <c r="AE1196" s="441"/>
      <c r="AF1196" s="441"/>
      <c r="AG1196" s="441"/>
      <c r="AH1196" s="441"/>
      <c r="AI1196" s="441"/>
      <c r="AJ1196" s="441"/>
      <c r="AK1196" s="441"/>
      <c r="AL1196" s="441"/>
      <c r="AM1196" s="441"/>
      <c r="AN1196" s="441"/>
      <c r="AO1196" s="441"/>
    </row>
    <row r="1197" spans="1:41" ht="12.75" hidden="1" thickBot="1">
      <c r="A1197" s="1" t="s">
        <v>1281</v>
      </c>
      <c r="B1197" s="2" t="s">
        <v>388</v>
      </c>
      <c r="C1197" s="2" t="s">
        <v>54</v>
      </c>
      <c r="D1197" s="8" t="s">
        <v>15</v>
      </c>
      <c r="E1197" s="3">
        <f t="shared" si="110"/>
        <v>71794294</v>
      </c>
      <c r="F1197" s="452">
        <f t="shared" si="110"/>
        <v>9000</v>
      </c>
      <c r="G1197" s="452">
        <f t="shared" si="109"/>
        <v>635380</v>
      </c>
      <c r="H1197" s="452">
        <f t="shared" si="109"/>
        <v>1956395</v>
      </c>
      <c r="I1197" s="452">
        <f t="shared" si="109"/>
        <v>0</v>
      </c>
      <c r="J1197" s="452">
        <f t="shared" si="109"/>
        <v>42575</v>
      </c>
      <c r="K1197" s="452">
        <f t="shared" si="109"/>
        <v>1226231</v>
      </c>
      <c r="L1197" s="452">
        <f t="shared" si="109"/>
        <v>0</v>
      </c>
      <c r="M1197" s="452">
        <f t="shared" si="109"/>
        <v>-15972</v>
      </c>
      <c r="N1197" s="452">
        <f t="shared" si="109"/>
        <v>0</v>
      </c>
      <c r="O1197" s="452">
        <f t="shared" si="109"/>
        <v>740202</v>
      </c>
      <c r="P1197" s="452">
        <f t="shared" si="109"/>
        <v>0</v>
      </c>
      <c r="Q1197" s="452"/>
      <c r="R1197" s="452">
        <f t="shared" si="109"/>
        <v>4593809</v>
      </c>
      <c r="S1197" s="445">
        <f t="shared" si="105"/>
        <v>2591775</v>
      </c>
      <c r="T1197" s="445">
        <f t="shared" si="106"/>
        <v>1268806</v>
      </c>
      <c r="U1197" s="445">
        <f t="shared" si="107"/>
        <v>740202</v>
      </c>
      <c r="W1197" s="450"/>
      <c r="X1197" s="450"/>
      <c r="Y1197" s="441"/>
      <c r="Z1197" s="441"/>
      <c r="AA1197" s="441"/>
      <c r="AB1197" s="441"/>
      <c r="AC1197" s="441"/>
      <c r="AD1197" s="441"/>
      <c r="AE1197" s="441"/>
      <c r="AF1197" s="441"/>
      <c r="AG1197" s="441"/>
      <c r="AH1197" s="441"/>
      <c r="AI1197" s="441"/>
      <c r="AJ1197" s="441"/>
      <c r="AK1197" s="441"/>
      <c r="AL1197" s="441"/>
      <c r="AM1197" s="441"/>
      <c r="AN1197" s="441"/>
      <c r="AO1197" s="441"/>
    </row>
    <row r="1198" spans="1:41" ht="12.75" hidden="1" thickBot="1">
      <c r="A1198" s="1" t="s">
        <v>1281</v>
      </c>
      <c r="B1198" s="2" t="s">
        <v>389</v>
      </c>
      <c r="C1198" s="2" t="s">
        <v>419</v>
      </c>
      <c r="D1198" s="8" t="s">
        <v>20</v>
      </c>
      <c r="E1198" s="3">
        <f t="shared" si="110"/>
        <v>19146672</v>
      </c>
      <c r="F1198" s="452">
        <f t="shared" si="110"/>
        <v>19260</v>
      </c>
      <c r="G1198" s="452">
        <f t="shared" si="109"/>
        <v>255608</v>
      </c>
      <c r="H1198" s="452">
        <f t="shared" si="109"/>
        <v>521747</v>
      </c>
      <c r="I1198" s="452">
        <f t="shared" si="109"/>
        <v>0</v>
      </c>
      <c r="J1198" s="452">
        <f t="shared" si="109"/>
        <v>28414</v>
      </c>
      <c r="K1198" s="452">
        <f t="shared" si="109"/>
        <v>800917</v>
      </c>
      <c r="L1198" s="452">
        <f t="shared" si="109"/>
        <v>45977</v>
      </c>
      <c r="M1198" s="452">
        <f t="shared" si="109"/>
        <v>-4259</v>
      </c>
      <c r="N1198" s="452">
        <f t="shared" si="109"/>
        <v>0</v>
      </c>
      <c r="O1198" s="452">
        <f t="shared" si="109"/>
        <v>197403</v>
      </c>
      <c r="P1198" s="452">
        <f t="shared" si="109"/>
        <v>0</v>
      </c>
      <c r="Q1198" s="452"/>
      <c r="R1198" s="452">
        <f t="shared" si="109"/>
        <v>1865067</v>
      </c>
      <c r="S1198" s="445">
        <f t="shared" si="105"/>
        <v>777355</v>
      </c>
      <c r="T1198" s="445">
        <f t="shared" si="106"/>
        <v>829331</v>
      </c>
      <c r="U1198" s="445">
        <f t="shared" si="107"/>
        <v>197403</v>
      </c>
      <c r="W1198" s="450"/>
      <c r="X1198" s="450"/>
      <c r="Y1198" s="441"/>
      <c r="Z1198" s="441"/>
      <c r="AA1198" s="441"/>
      <c r="AB1198" s="441"/>
      <c r="AC1198" s="441"/>
      <c r="AD1198" s="441"/>
      <c r="AE1198" s="441"/>
      <c r="AF1198" s="441"/>
      <c r="AG1198" s="441"/>
      <c r="AH1198" s="441"/>
      <c r="AI1198" s="441"/>
      <c r="AJ1198" s="441"/>
      <c r="AK1198" s="441"/>
      <c r="AL1198" s="441"/>
      <c r="AM1198" s="441"/>
      <c r="AN1198" s="441"/>
      <c r="AO1198" s="441"/>
    </row>
    <row r="1199" spans="1:41" ht="12.75" hidden="1" thickBot="1">
      <c r="A1199" s="1" t="s">
        <v>1281</v>
      </c>
      <c r="B1199" s="2" t="s">
        <v>390</v>
      </c>
      <c r="C1199" s="2" t="s">
        <v>418</v>
      </c>
      <c r="D1199" s="2" t="s">
        <v>21</v>
      </c>
      <c r="E1199" s="3">
        <f t="shared" si="110"/>
        <v>1056885</v>
      </c>
      <c r="F1199" s="452">
        <f t="shared" si="110"/>
        <v>3570</v>
      </c>
      <c r="G1199" s="452">
        <f t="shared" si="109"/>
        <v>12693</v>
      </c>
      <c r="H1199" s="452">
        <f t="shared" si="109"/>
        <v>28800</v>
      </c>
      <c r="I1199" s="452">
        <f t="shared" si="109"/>
        <v>0</v>
      </c>
      <c r="J1199" s="452">
        <f t="shared" si="109"/>
        <v>1812</v>
      </c>
      <c r="K1199" s="452">
        <f t="shared" si="109"/>
        <v>42212</v>
      </c>
      <c r="L1199" s="452">
        <f t="shared" si="109"/>
        <v>2538</v>
      </c>
      <c r="M1199" s="452">
        <f t="shared" si="109"/>
        <v>-235</v>
      </c>
      <c r="N1199" s="452">
        <f t="shared" si="109"/>
        <v>0</v>
      </c>
      <c r="O1199" s="452">
        <f t="shared" si="109"/>
        <v>10897</v>
      </c>
      <c r="P1199" s="452">
        <f t="shared" si="109"/>
        <v>0</v>
      </c>
      <c r="Q1199" s="452"/>
      <c r="R1199" s="452">
        <f t="shared" si="109"/>
        <v>102287</v>
      </c>
      <c r="S1199" s="445">
        <f t="shared" si="105"/>
        <v>41493</v>
      </c>
      <c r="T1199" s="445">
        <f t="shared" si="106"/>
        <v>44024</v>
      </c>
      <c r="U1199" s="445">
        <f t="shared" si="107"/>
        <v>10897</v>
      </c>
      <c r="W1199" s="450"/>
      <c r="X1199" s="450"/>
      <c r="Y1199" s="441"/>
      <c r="Z1199" s="441"/>
      <c r="AA1199" s="441"/>
      <c r="AB1199" s="441"/>
      <c r="AC1199" s="441"/>
      <c r="AD1199" s="441"/>
      <c r="AE1199" s="441"/>
      <c r="AF1199" s="441"/>
      <c r="AG1199" s="441"/>
      <c r="AH1199" s="441"/>
      <c r="AI1199" s="441"/>
      <c r="AJ1199" s="441"/>
      <c r="AK1199" s="441"/>
      <c r="AL1199" s="441"/>
      <c r="AM1199" s="441"/>
      <c r="AN1199" s="441"/>
      <c r="AO1199" s="441"/>
    </row>
    <row r="1200" spans="1:41" ht="12.75" hidden="1" thickBot="1">
      <c r="A1200" s="1" t="s">
        <v>1281</v>
      </c>
      <c r="B1200" s="2" t="s">
        <v>391</v>
      </c>
      <c r="C1200" s="2" t="s">
        <v>1034</v>
      </c>
      <c r="D1200" s="8" t="s">
        <v>422</v>
      </c>
      <c r="E1200" s="3">
        <f t="shared" si="110"/>
        <v>20853450</v>
      </c>
      <c r="F1200" s="452">
        <f t="shared" si="110"/>
        <v>19400</v>
      </c>
      <c r="G1200" s="452">
        <f t="shared" si="109"/>
        <v>263796</v>
      </c>
      <c r="H1200" s="452">
        <f t="shared" si="109"/>
        <v>568257</v>
      </c>
      <c r="I1200" s="452">
        <f t="shared" si="109"/>
        <v>0</v>
      </c>
      <c r="J1200" s="452">
        <f t="shared" si="109"/>
        <v>24360</v>
      </c>
      <c r="K1200" s="452">
        <f t="shared" si="109"/>
        <v>713609</v>
      </c>
      <c r="L1200" s="452">
        <f t="shared" si="109"/>
        <v>50076</v>
      </c>
      <c r="M1200" s="452">
        <f t="shared" si="109"/>
        <v>-4639</v>
      </c>
      <c r="N1200" s="452">
        <f t="shared" si="109"/>
        <v>0</v>
      </c>
      <c r="O1200" s="452">
        <f t="shared" si="109"/>
        <v>215000</v>
      </c>
      <c r="P1200" s="452">
        <f t="shared" si="109"/>
        <v>0</v>
      </c>
      <c r="Q1200" s="452"/>
      <c r="R1200" s="452">
        <f t="shared" si="109"/>
        <v>1849859</v>
      </c>
      <c r="S1200" s="445">
        <f t="shared" si="105"/>
        <v>832053</v>
      </c>
      <c r="T1200" s="445">
        <f t="shared" si="106"/>
        <v>737969</v>
      </c>
      <c r="U1200" s="445">
        <f t="shared" si="107"/>
        <v>215000</v>
      </c>
      <c r="W1200" s="450"/>
      <c r="X1200" s="450"/>
      <c r="Y1200" s="441"/>
      <c r="Z1200" s="441"/>
      <c r="AA1200" s="441"/>
      <c r="AB1200" s="441"/>
      <c r="AC1200" s="441"/>
      <c r="AD1200" s="441"/>
      <c r="AE1200" s="441"/>
      <c r="AF1200" s="441"/>
      <c r="AG1200" s="441"/>
      <c r="AH1200" s="441"/>
      <c r="AI1200" s="441"/>
      <c r="AJ1200" s="441"/>
      <c r="AK1200" s="441"/>
      <c r="AL1200" s="441"/>
      <c r="AM1200" s="441"/>
      <c r="AN1200" s="441"/>
      <c r="AO1200" s="441"/>
    </row>
    <row r="1201" spans="1:41" ht="12.75" hidden="1" thickBot="1">
      <c r="A1201" s="1" t="s">
        <v>1281</v>
      </c>
      <c r="B1201" s="2" t="s">
        <v>392</v>
      </c>
      <c r="C1201" s="2" t="s">
        <v>420</v>
      </c>
      <c r="D1201" s="8" t="s">
        <v>421</v>
      </c>
      <c r="E1201" s="3">
        <f t="shared" si="110"/>
        <v>133272351</v>
      </c>
      <c r="F1201" s="452">
        <f t="shared" si="110"/>
        <v>21000</v>
      </c>
      <c r="G1201" s="452">
        <f t="shared" si="109"/>
        <v>1083504</v>
      </c>
      <c r="H1201" s="452">
        <f t="shared" si="109"/>
        <v>3631672</v>
      </c>
      <c r="I1201" s="452">
        <f t="shared" si="109"/>
        <v>0</v>
      </c>
      <c r="J1201" s="452">
        <f t="shared" si="109"/>
        <v>126560</v>
      </c>
      <c r="K1201" s="452">
        <f t="shared" si="109"/>
        <v>3490647</v>
      </c>
      <c r="L1201" s="452">
        <f t="shared" si="109"/>
        <v>320031</v>
      </c>
      <c r="M1201" s="452">
        <f t="shared" si="109"/>
        <v>-29648</v>
      </c>
      <c r="N1201" s="452">
        <f t="shared" si="109"/>
        <v>0</v>
      </c>
      <c r="O1201" s="452">
        <f t="shared" si="109"/>
        <v>1374042</v>
      </c>
      <c r="P1201" s="452">
        <f t="shared" si="109"/>
        <v>0</v>
      </c>
      <c r="Q1201" s="452"/>
      <c r="R1201" s="452">
        <f t="shared" si="109"/>
        <v>10017808</v>
      </c>
      <c r="S1201" s="445">
        <f t="shared" si="105"/>
        <v>4715176</v>
      </c>
      <c r="T1201" s="445">
        <f t="shared" si="106"/>
        <v>3617207</v>
      </c>
      <c r="U1201" s="445">
        <f t="shared" si="107"/>
        <v>1374042</v>
      </c>
      <c r="W1201" s="450"/>
      <c r="X1201" s="450"/>
      <c r="Y1201" s="441"/>
      <c r="Z1201" s="441"/>
      <c r="AA1201" s="441"/>
      <c r="AB1201" s="441"/>
      <c r="AC1201" s="441"/>
      <c r="AD1201" s="441"/>
      <c r="AE1201" s="441"/>
      <c r="AF1201" s="441"/>
      <c r="AG1201" s="441"/>
      <c r="AH1201" s="441"/>
      <c r="AI1201" s="441"/>
      <c r="AJ1201" s="441"/>
      <c r="AK1201" s="441"/>
      <c r="AL1201" s="441"/>
      <c r="AM1201" s="441"/>
      <c r="AN1201" s="441"/>
      <c r="AO1201" s="441"/>
    </row>
    <row r="1202" spans="1:41" ht="12.75" hidden="1" thickBot="1">
      <c r="A1202" s="1" t="s">
        <v>1281</v>
      </c>
      <c r="B1202" s="2" t="s">
        <v>394</v>
      </c>
      <c r="C1202" s="2" t="s">
        <v>423</v>
      </c>
      <c r="D1202" s="8" t="s">
        <v>17</v>
      </c>
      <c r="E1202" s="3">
        <f t="shared" si="110"/>
        <v>0</v>
      </c>
      <c r="F1202" s="452">
        <f t="shared" si="110"/>
        <v>0</v>
      </c>
      <c r="G1202" s="452">
        <f t="shared" si="109"/>
        <v>0</v>
      </c>
      <c r="H1202" s="452">
        <f t="shared" si="109"/>
        <v>0</v>
      </c>
      <c r="I1202" s="452">
        <f t="shared" si="109"/>
        <v>0</v>
      </c>
      <c r="J1202" s="452">
        <f t="shared" si="109"/>
        <v>0</v>
      </c>
      <c r="K1202" s="452">
        <f t="shared" si="109"/>
        <v>0</v>
      </c>
      <c r="L1202" s="452">
        <f t="shared" si="109"/>
        <v>0</v>
      </c>
      <c r="M1202" s="452">
        <f t="shared" si="109"/>
        <v>0</v>
      </c>
      <c r="N1202" s="452">
        <f t="shared" si="109"/>
        <v>0</v>
      </c>
      <c r="O1202" s="452">
        <f t="shared" si="109"/>
        <v>0</v>
      </c>
      <c r="P1202" s="452">
        <f t="shared" si="109"/>
        <v>0</v>
      </c>
      <c r="Q1202" s="452"/>
      <c r="R1202" s="452">
        <f t="shared" si="109"/>
        <v>0</v>
      </c>
      <c r="S1202" s="445">
        <f t="shared" si="105"/>
        <v>0</v>
      </c>
      <c r="T1202" s="445">
        <f t="shared" si="106"/>
        <v>0</v>
      </c>
      <c r="U1202" s="445">
        <f t="shared" si="107"/>
        <v>0</v>
      </c>
      <c r="W1202" s="450"/>
      <c r="X1202" s="450"/>
      <c r="Y1202" s="441"/>
      <c r="Z1202" s="441"/>
      <c r="AA1202" s="441"/>
      <c r="AB1202" s="441"/>
      <c r="AC1202" s="441"/>
      <c r="AD1202" s="441"/>
      <c r="AE1202" s="441"/>
      <c r="AF1202" s="441"/>
      <c r="AG1202" s="441"/>
      <c r="AH1202" s="441"/>
      <c r="AI1202" s="441"/>
      <c r="AJ1202" s="441"/>
      <c r="AK1202" s="441"/>
      <c r="AL1202" s="441"/>
      <c r="AM1202" s="441"/>
      <c r="AN1202" s="441"/>
      <c r="AO1202" s="441"/>
    </row>
    <row r="1203" spans="1:41" ht="12.75" hidden="1" thickBot="1">
      <c r="A1203" s="1" t="s">
        <v>1281</v>
      </c>
      <c r="B1203" s="2" t="s">
        <v>395</v>
      </c>
      <c r="C1203" s="2" t="s">
        <v>423</v>
      </c>
      <c r="D1203" s="8" t="s">
        <v>17</v>
      </c>
      <c r="E1203" s="3">
        <f t="shared" si="110"/>
        <v>0</v>
      </c>
      <c r="F1203" s="452">
        <f t="shared" si="110"/>
        <v>0</v>
      </c>
      <c r="G1203" s="452">
        <f t="shared" si="109"/>
        <v>0</v>
      </c>
      <c r="H1203" s="452">
        <f t="shared" si="109"/>
        <v>0</v>
      </c>
      <c r="I1203" s="452">
        <f t="shared" si="109"/>
        <v>0</v>
      </c>
      <c r="J1203" s="452">
        <f t="shared" si="109"/>
        <v>0</v>
      </c>
      <c r="K1203" s="452">
        <f t="shared" si="109"/>
        <v>0</v>
      </c>
      <c r="L1203" s="452">
        <f t="shared" si="109"/>
        <v>0</v>
      </c>
      <c r="M1203" s="452">
        <f t="shared" si="109"/>
        <v>0</v>
      </c>
      <c r="N1203" s="452">
        <f t="shared" si="109"/>
        <v>0</v>
      </c>
      <c r="O1203" s="452">
        <f t="shared" si="109"/>
        <v>0</v>
      </c>
      <c r="P1203" s="452">
        <f t="shared" si="109"/>
        <v>0</v>
      </c>
      <c r="Q1203" s="452"/>
      <c r="R1203" s="452">
        <f t="shared" si="109"/>
        <v>0</v>
      </c>
      <c r="S1203" s="445">
        <f t="shared" si="105"/>
        <v>0</v>
      </c>
      <c r="T1203" s="445">
        <f t="shared" si="106"/>
        <v>0</v>
      </c>
      <c r="U1203" s="445">
        <f t="shared" si="107"/>
        <v>0</v>
      </c>
      <c r="W1203" s="450"/>
      <c r="X1203" s="450"/>
      <c r="Y1203" s="441"/>
      <c r="Z1203" s="441"/>
      <c r="AA1203" s="441"/>
      <c r="AB1203" s="441"/>
      <c r="AC1203" s="441"/>
      <c r="AD1203" s="441"/>
      <c r="AE1203" s="441"/>
      <c r="AF1203" s="441"/>
      <c r="AG1203" s="441"/>
      <c r="AH1203" s="441"/>
      <c r="AI1203" s="441"/>
      <c r="AJ1203" s="441"/>
      <c r="AK1203" s="441"/>
      <c r="AL1203" s="441"/>
      <c r="AM1203" s="441"/>
      <c r="AN1203" s="441"/>
      <c r="AO1203" s="441"/>
    </row>
    <row r="1204" spans="1:41" ht="12.75" hidden="1" thickBot="1">
      <c r="A1204" s="1" t="s">
        <v>1281</v>
      </c>
      <c r="B1204" s="2" t="s">
        <v>396</v>
      </c>
      <c r="C1204" s="2" t="s">
        <v>423</v>
      </c>
      <c r="D1204" s="8" t="s">
        <v>17</v>
      </c>
      <c r="E1204" s="3">
        <f t="shared" si="110"/>
        <v>0</v>
      </c>
      <c r="F1204" s="452">
        <f t="shared" si="110"/>
        <v>0</v>
      </c>
      <c r="G1204" s="452">
        <f t="shared" si="109"/>
        <v>0</v>
      </c>
      <c r="H1204" s="452">
        <f t="shared" si="109"/>
        <v>0</v>
      </c>
      <c r="I1204" s="452">
        <f t="shared" si="109"/>
        <v>0</v>
      </c>
      <c r="J1204" s="452">
        <f t="shared" si="109"/>
        <v>0</v>
      </c>
      <c r="K1204" s="452">
        <f t="shared" si="109"/>
        <v>0</v>
      </c>
      <c r="L1204" s="452">
        <f t="shared" si="109"/>
        <v>0</v>
      </c>
      <c r="M1204" s="452">
        <f t="shared" si="109"/>
        <v>0</v>
      </c>
      <c r="N1204" s="452">
        <f t="shared" si="109"/>
        <v>0</v>
      </c>
      <c r="O1204" s="452">
        <f t="shared" si="109"/>
        <v>0</v>
      </c>
      <c r="P1204" s="452">
        <f t="shared" si="109"/>
        <v>0</v>
      </c>
      <c r="Q1204" s="452"/>
      <c r="R1204" s="452">
        <f t="shared" si="109"/>
        <v>0</v>
      </c>
      <c r="S1204" s="445">
        <f t="shared" si="105"/>
        <v>0</v>
      </c>
      <c r="T1204" s="445">
        <f t="shared" si="106"/>
        <v>0</v>
      </c>
      <c r="U1204" s="445">
        <f t="shared" si="107"/>
        <v>0</v>
      </c>
      <c r="W1204" s="450"/>
      <c r="X1204" s="450"/>
      <c r="Y1204" s="441"/>
      <c r="Z1204" s="441"/>
      <c r="AA1204" s="441"/>
      <c r="AB1204" s="441"/>
      <c r="AC1204" s="441"/>
      <c r="AD1204" s="441"/>
      <c r="AE1204" s="441"/>
      <c r="AF1204" s="441"/>
      <c r="AG1204" s="441"/>
      <c r="AH1204" s="441"/>
      <c r="AI1204" s="441"/>
      <c r="AJ1204" s="441"/>
      <c r="AK1204" s="441"/>
      <c r="AL1204" s="441"/>
      <c r="AM1204" s="441"/>
      <c r="AN1204" s="441"/>
      <c r="AO1204" s="441"/>
    </row>
    <row r="1205" spans="1:41" ht="12.75" hidden="1" thickBot="1">
      <c r="A1205" s="1" t="s">
        <v>1281</v>
      </c>
      <c r="B1205" s="2" t="s">
        <v>397</v>
      </c>
      <c r="C1205" s="2" t="s">
        <v>55</v>
      </c>
      <c r="D1205" s="8" t="s">
        <v>18</v>
      </c>
      <c r="E1205" s="3">
        <f t="shared" si="110"/>
        <v>0</v>
      </c>
      <c r="F1205" s="452">
        <f t="shared" si="110"/>
        <v>0</v>
      </c>
      <c r="G1205" s="452">
        <f t="shared" si="109"/>
        <v>0</v>
      </c>
      <c r="H1205" s="452">
        <f t="shared" si="109"/>
        <v>0</v>
      </c>
      <c r="I1205" s="452">
        <f t="shared" si="109"/>
        <v>0</v>
      </c>
      <c r="J1205" s="452">
        <f t="shared" si="109"/>
        <v>0</v>
      </c>
      <c r="K1205" s="452">
        <f t="shared" si="109"/>
        <v>0</v>
      </c>
      <c r="L1205" s="452">
        <f t="shared" si="109"/>
        <v>0</v>
      </c>
      <c r="M1205" s="452">
        <f t="shared" si="109"/>
        <v>0</v>
      </c>
      <c r="N1205" s="452">
        <f t="shared" si="109"/>
        <v>0</v>
      </c>
      <c r="O1205" s="452">
        <f t="shared" si="109"/>
        <v>0</v>
      </c>
      <c r="P1205" s="452">
        <f t="shared" si="109"/>
        <v>0</v>
      </c>
      <c r="Q1205" s="452"/>
      <c r="R1205" s="452">
        <f t="shared" si="109"/>
        <v>0</v>
      </c>
      <c r="S1205" s="445">
        <f t="shared" si="105"/>
        <v>0</v>
      </c>
      <c r="T1205" s="445">
        <f t="shared" si="106"/>
        <v>0</v>
      </c>
      <c r="U1205" s="445">
        <f t="shared" si="107"/>
        <v>0</v>
      </c>
      <c r="W1205" s="450"/>
      <c r="X1205" s="450"/>
      <c r="Y1205" s="441"/>
      <c r="Z1205" s="441"/>
      <c r="AA1205" s="441"/>
      <c r="AB1205" s="441"/>
      <c r="AC1205" s="441"/>
      <c r="AD1205" s="441"/>
      <c r="AE1205" s="441"/>
      <c r="AF1205" s="441"/>
      <c r="AG1205" s="441"/>
      <c r="AH1205" s="441"/>
      <c r="AI1205" s="441"/>
      <c r="AJ1205" s="441"/>
      <c r="AK1205" s="441"/>
      <c r="AL1205" s="441"/>
      <c r="AM1205" s="441"/>
      <c r="AN1205" s="441"/>
      <c r="AO1205" s="441"/>
    </row>
    <row r="1206" spans="1:41" ht="12.75" hidden="1" thickBot="1">
      <c r="A1206" s="1" t="s">
        <v>1281</v>
      </c>
      <c r="B1206" s="2" t="s">
        <v>398</v>
      </c>
      <c r="C1206" s="2" t="s">
        <v>55</v>
      </c>
      <c r="D1206" s="8" t="s">
        <v>18</v>
      </c>
      <c r="E1206" s="3">
        <f t="shared" si="110"/>
        <v>0</v>
      </c>
      <c r="F1206" s="452">
        <f t="shared" si="110"/>
        <v>0</v>
      </c>
      <c r="G1206" s="452">
        <f t="shared" si="109"/>
        <v>0</v>
      </c>
      <c r="H1206" s="452">
        <f t="shared" si="109"/>
        <v>0</v>
      </c>
      <c r="I1206" s="452">
        <f t="shared" si="109"/>
        <v>0</v>
      </c>
      <c r="J1206" s="452">
        <f t="shared" si="109"/>
        <v>0</v>
      </c>
      <c r="K1206" s="452">
        <f t="shared" si="109"/>
        <v>0</v>
      </c>
      <c r="L1206" s="452">
        <f t="shared" si="109"/>
        <v>0</v>
      </c>
      <c r="M1206" s="452">
        <f t="shared" si="109"/>
        <v>0</v>
      </c>
      <c r="N1206" s="452">
        <f t="shared" si="109"/>
        <v>0</v>
      </c>
      <c r="O1206" s="452">
        <f t="shared" si="109"/>
        <v>0</v>
      </c>
      <c r="P1206" s="452">
        <f t="shared" si="109"/>
        <v>0</v>
      </c>
      <c r="Q1206" s="452"/>
      <c r="R1206" s="452">
        <f t="shared" si="109"/>
        <v>0</v>
      </c>
      <c r="S1206" s="445">
        <f t="shared" si="105"/>
        <v>0</v>
      </c>
      <c r="T1206" s="445">
        <f t="shared" si="106"/>
        <v>0</v>
      </c>
      <c r="U1206" s="445">
        <f t="shared" si="107"/>
        <v>0</v>
      </c>
      <c r="W1206" s="450"/>
      <c r="X1206" s="450"/>
      <c r="Y1206" s="441"/>
      <c r="Z1206" s="441"/>
      <c r="AA1206" s="441"/>
      <c r="AB1206" s="441"/>
      <c r="AC1206" s="441"/>
      <c r="AD1206" s="441"/>
      <c r="AE1206" s="441"/>
      <c r="AF1206" s="441"/>
      <c r="AG1206" s="441"/>
      <c r="AH1206" s="441"/>
      <c r="AI1206" s="441"/>
      <c r="AJ1206" s="441"/>
      <c r="AK1206" s="441"/>
      <c r="AL1206" s="441"/>
      <c r="AM1206" s="441"/>
      <c r="AN1206" s="441"/>
      <c r="AO1206" s="441"/>
    </row>
    <row r="1207" spans="1:41" ht="12.75" hidden="1" thickBot="1">
      <c r="A1207" s="1" t="s">
        <v>1281</v>
      </c>
      <c r="B1207" s="2" t="s">
        <v>805</v>
      </c>
      <c r="C1207" s="2" t="s">
        <v>806</v>
      </c>
      <c r="D1207" s="8" t="s">
        <v>1205</v>
      </c>
      <c r="E1207" s="3">
        <f t="shared" si="110"/>
        <v>0</v>
      </c>
      <c r="F1207" s="452">
        <f t="shared" si="110"/>
        <v>0</v>
      </c>
      <c r="G1207" s="452">
        <f t="shared" si="109"/>
        <v>0</v>
      </c>
      <c r="H1207" s="452">
        <f t="shared" si="109"/>
        <v>0</v>
      </c>
      <c r="I1207" s="452">
        <f t="shared" si="109"/>
        <v>0</v>
      </c>
      <c r="J1207" s="452">
        <f t="shared" si="109"/>
        <v>0</v>
      </c>
      <c r="K1207" s="452">
        <f t="shared" si="109"/>
        <v>0</v>
      </c>
      <c r="L1207" s="452">
        <f t="shared" si="109"/>
        <v>0</v>
      </c>
      <c r="M1207" s="452">
        <f t="shared" si="109"/>
        <v>0</v>
      </c>
      <c r="N1207" s="452">
        <f t="shared" si="109"/>
        <v>0</v>
      </c>
      <c r="O1207" s="452">
        <f t="shared" si="109"/>
        <v>0</v>
      </c>
      <c r="P1207" s="452">
        <f t="shared" si="109"/>
        <v>0</v>
      </c>
      <c r="Q1207" s="452"/>
      <c r="R1207" s="452">
        <f t="shared" si="109"/>
        <v>0</v>
      </c>
      <c r="S1207" s="445">
        <f t="shared" si="105"/>
        <v>0</v>
      </c>
      <c r="T1207" s="445">
        <f t="shared" si="106"/>
        <v>0</v>
      </c>
      <c r="U1207" s="445">
        <f t="shared" si="107"/>
        <v>0</v>
      </c>
      <c r="W1207" s="450"/>
      <c r="X1207" s="450"/>
      <c r="Y1207" s="441"/>
      <c r="Z1207" s="441"/>
      <c r="AA1207" s="441"/>
      <c r="AB1207" s="441"/>
      <c r="AC1207" s="441"/>
      <c r="AD1207" s="441"/>
      <c r="AE1207" s="441"/>
      <c r="AF1207" s="441"/>
      <c r="AG1207" s="441"/>
      <c r="AH1207" s="441"/>
      <c r="AI1207" s="441"/>
      <c r="AJ1207" s="441"/>
      <c r="AK1207" s="441"/>
      <c r="AL1207" s="441"/>
      <c r="AM1207" s="441"/>
      <c r="AN1207" s="441"/>
      <c r="AO1207" s="441"/>
    </row>
    <row r="1208" spans="1:41" ht="12.75" thickBot="1">
      <c r="A1208" s="1" t="s">
        <v>1281</v>
      </c>
      <c r="B1208" s="2" t="s">
        <v>399</v>
      </c>
      <c r="C1208" s="2" t="s">
        <v>430</v>
      </c>
      <c r="D1208" s="8" t="s">
        <v>13</v>
      </c>
      <c r="E1208" s="3">
        <f t="shared" si="110"/>
        <v>0</v>
      </c>
      <c r="F1208" s="452">
        <f t="shared" si="110"/>
        <v>0</v>
      </c>
      <c r="G1208" s="452">
        <f t="shared" si="109"/>
        <v>0</v>
      </c>
      <c r="H1208" s="452">
        <f t="shared" si="109"/>
        <v>0</v>
      </c>
      <c r="I1208" s="452">
        <f t="shared" si="109"/>
        <v>0</v>
      </c>
      <c r="J1208" s="452">
        <f t="shared" si="109"/>
        <v>0</v>
      </c>
      <c r="K1208" s="452">
        <f t="shared" si="109"/>
        <v>0</v>
      </c>
      <c r="L1208" s="452">
        <f t="shared" si="109"/>
        <v>0</v>
      </c>
      <c r="M1208" s="452">
        <f t="shared" si="109"/>
        <v>0</v>
      </c>
      <c r="N1208" s="452">
        <f t="shared" si="109"/>
        <v>0</v>
      </c>
      <c r="O1208" s="452">
        <f t="shared" si="109"/>
        <v>0</v>
      </c>
      <c r="P1208" s="452">
        <f t="shared" si="109"/>
        <v>0</v>
      </c>
      <c r="Q1208" s="452"/>
      <c r="R1208" s="452">
        <f t="shared" si="109"/>
        <v>0</v>
      </c>
      <c r="S1208" s="445">
        <f t="shared" si="105"/>
        <v>0</v>
      </c>
      <c r="T1208" s="445">
        <f t="shared" si="106"/>
        <v>0</v>
      </c>
      <c r="U1208" s="445">
        <f t="shared" si="107"/>
        <v>0</v>
      </c>
      <c r="W1208" s="450"/>
      <c r="X1208" s="450"/>
      <c r="Y1208" s="441"/>
      <c r="Z1208" s="441"/>
      <c r="AA1208" s="441"/>
      <c r="AB1208" s="441"/>
      <c r="AC1208" s="441"/>
      <c r="AD1208" s="441"/>
      <c r="AE1208" s="441"/>
      <c r="AF1208" s="441"/>
      <c r="AG1208" s="441"/>
      <c r="AH1208" s="441"/>
      <c r="AI1208" s="441"/>
      <c r="AJ1208" s="441"/>
      <c r="AK1208" s="441"/>
      <c r="AL1208" s="441"/>
      <c r="AM1208" s="441"/>
      <c r="AN1208" s="441"/>
      <c r="AO1208" s="441"/>
    </row>
    <row r="1209" spans="1:41" ht="12.75" thickBot="1">
      <c r="A1209" s="1" t="s">
        <v>1281</v>
      </c>
      <c r="B1209" s="2" t="s">
        <v>400</v>
      </c>
      <c r="C1209" s="2" t="s">
        <v>427</v>
      </c>
      <c r="D1209" s="8" t="s">
        <v>13</v>
      </c>
      <c r="E1209" s="3">
        <f t="shared" si="110"/>
        <v>257476677</v>
      </c>
      <c r="F1209" s="452">
        <f t="shared" si="110"/>
        <v>3883083</v>
      </c>
      <c r="G1209" s="452">
        <f t="shared" si="109"/>
        <v>13432558</v>
      </c>
      <c r="H1209" s="452">
        <f t="shared" si="109"/>
        <v>7016239</v>
      </c>
      <c r="I1209" s="452">
        <f t="shared" si="109"/>
        <v>345019</v>
      </c>
      <c r="J1209" s="452">
        <f t="shared" si="109"/>
        <v>0</v>
      </c>
      <c r="K1209" s="452">
        <f t="shared" si="109"/>
        <v>0</v>
      </c>
      <c r="L1209" s="452">
        <f t="shared" si="109"/>
        <v>618286</v>
      </c>
      <c r="M1209" s="452">
        <f t="shared" si="109"/>
        <v>-57280</v>
      </c>
      <c r="N1209" s="452">
        <f t="shared" si="109"/>
        <v>2654593</v>
      </c>
      <c r="O1209" s="452">
        <f t="shared" si="109"/>
        <v>0</v>
      </c>
      <c r="P1209" s="452">
        <f t="shared" si="109"/>
        <v>0</v>
      </c>
      <c r="Q1209" s="452"/>
      <c r="R1209" s="452">
        <f t="shared" si="109"/>
        <v>27892499</v>
      </c>
      <c r="S1209" s="445">
        <f t="shared" si="105"/>
        <v>20793816</v>
      </c>
      <c r="T1209" s="445">
        <f t="shared" si="106"/>
        <v>0</v>
      </c>
      <c r="U1209" s="445">
        <f t="shared" si="107"/>
        <v>2654593</v>
      </c>
      <c r="W1209" s="450"/>
      <c r="X1209" s="450"/>
      <c r="Y1209" s="441"/>
      <c r="Z1209" s="441"/>
      <c r="AA1209" s="441"/>
      <c r="AB1209" s="441"/>
      <c r="AC1209" s="441"/>
      <c r="AD1209" s="441"/>
      <c r="AE1209" s="441"/>
      <c r="AF1209" s="441"/>
      <c r="AG1209" s="441"/>
      <c r="AH1209" s="441"/>
      <c r="AI1209" s="441"/>
      <c r="AJ1209" s="441"/>
      <c r="AK1209" s="441"/>
      <c r="AL1209" s="441"/>
      <c r="AM1209" s="441"/>
      <c r="AN1209" s="441"/>
      <c r="AO1209" s="441"/>
    </row>
    <row r="1210" spans="1:41" s="461" customFormat="1" ht="12.75" thickBot="1">
      <c r="A1210" s="1" t="s">
        <v>1281</v>
      </c>
      <c r="B1210" s="2" t="s">
        <v>401</v>
      </c>
      <c r="C1210" s="2" t="s">
        <v>428</v>
      </c>
      <c r="D1210" s="8" t="s">
        <v>13</v>
      </c>
      <c r="E1210" s="3">
        <f t="shared" si="110"/>
        <v>0</v>
      </c>
      <c r="F1210" s="452">
        <f t="shared" si="110"/>
        <v>0</v>
      </c>
      <c r="G1210" s="452">
        <f t="shared" si="109"/>
        <v>0</v>
      </c>
      <c r="H1210" s="452">
        <f t="shared" si="109"/>
        <v>0</v>
      </c>
      <c r="I1210" s="452">
        <f t="shared" si="109"/>
        <v>0</v>
      </c>
      <c r="J1210" s="452">
        <f t="shared" si="109"/>
        <v>0</v>
      </c>
      <c r="K1210" s="452">
        <f t="shared" si="109"/>
        <v>0</v>
      </c>
      <c r="L1210" s="452">
        <f t="shared" si="109"/>
        <v>0</v>
      </c>
      <c r="M1210" s="452">
        <f t="shared" si="109"/>
        <v>0</v>
      </c>
      <c r="N1210" s="452">
        <f t="shared" si="109"/>
        <v>0</v>
      </c>
      <c r="O1210" s="452">
        <f t="shared" si="109"/>
        <v>0</v>
      </c>
      <c r="P1210" s="452">
        <f t="shared" si="109"/>
        <v>0</v>
      </c>
      <c r="Q1210" s="452"/>
      <c r="R1210" s="452">
        <f t="shared" si="109"/>
        <v>0</v>
      </c>
      <c r="S1210" s="445">
        <f t="shared" si="105"/>
        <v>0</v>
      </c>
      <c r="T1210" s="445">
        <f t="shared" si="106"/>
        <v>0</v>
      </c>
      <c r="U1210" s="445">
        <f t="shared" si="107"/>
        <v>0</v>
      </c>
      <c r="W1210" s="450"/>
      <c r="X1210" s="450"/>
      <c r="Y1210" s="441"/>
      <c r="Z1210" s="441"/>
      <c r="AA1210" s="441"/>
      <c r="AB1210" s="441"/>
      <c r="AC1210" s="441"/>
      <c r="AD1210" s="441"/>
      <c r="AE1210" s="441"/>
      <c r="AF1210" s="441"/>
      <c r="AG1210" s="441"/>
      <c r="AH1210" s="441"/>
      <c r="AI1210" s="441"/>
      <c r="AJ1210" s="441"/>
      <c r="AK1210" s="441"/>
      <c r="AL1210" s="441"/>
      <c r="AM1210" s="441"/>
      <c r="AN1210" s="441"/>
      <c r="AO1210" s="441"/>
    </row>
    <row r="1211" spans="1:41" ht="12.75" thickBot="1">
      <c r="A1211" s="1" t="s">
        <v>1281</v>
      </c>
      <c r="B1211" s="2" t="s">
        <v>402</v>
      </c>
      <c r="C1211" s="2" t="s">
        <v>429</v>
      </c>
      <c r="D1211" s="8" t="s">
        <v>13</v>
      </c>
      <c r="E1211" s="3">
        <f t="shared" si="110"/>
        <v>0</v>
      </c>
      <c r="F1211" s="452">
        <f t="shared" si="110"/>
        <v>0</v>
      </c>
      <c r="G1211" s="452">
        <f t="shared" si="109"/>
        <v>0</v>
      </c>
      <c r="H1211" s="452">
        <f t="shared" si="109"/>
        <v>0</v>
      </c>
      <c r="I1211" s="452">
        <f t="shared" si="109"/>
        <v>0</v>
      </c>
      <c r="J1211" s="452">
        <f t="shared" si="109"/>
        <v>0</v>
      </c>
      <c r="K1211" s="452">
        <f t="shared" si="109"/>
        <v>0</v>
      </c>
      <c r="L1211" s="452">
        <f t="shared" si="109"/>
        <v>0</v>
      </c>
      <c r="M1211" s="452">
        <f t="shared" si="109"/>
        <v>0</v>
      </c>
      <c r="N1211" s="452">
        <f t="shared" si="109"/>
        <v>0</v>
      </c>
      <c r="O1211" s="452">
        <f t="shared" si="109"/>
        <v>0</v>
      </c>
      <c r="P1211" s="452">
        <f t="shared" si="109"/>
        <v>0</v>
      </c>
      <c r="Q1211" s="452"/>
      <c r="R1211" s="452">
        <f t="shared" si="109"/>
        <v>0</v>
      </c>
      <c r="S1211" s="445">
        <f t="shared" si="105"/>
        <v>0</v>
      </c>
      <c r="T1211" s="445">
        <f t="shared" si="106"/>
        <v>0</v>
      </c>
      <c r="U1211" s="445">
        <f t="shared" si="107"/>
        <v>0</v>
      </c>
      <c r="W1211" s="450"/>
      <c r="X1211" s="450"/>
      <c r="Y1211" s="441"/>
      <c r="Z1211" s="441"/>
      <c r="AA1211" s="441"/>
      <c r="AB1211" s="441"/>
      <c r="AC1211" s="441"/>
      <c r="AD1211" s="441"/>
      <c r="AE1211" s="441"/>
      <c r="AF1211" s="441"/>
      <c r="AG1211" s="441"/>
      <c r="AH1211" s="441"/>
      <c r="AI1211" s="441"/>
      <c r="AJ1211" s="441"/>
      <c r="AK1211" s="441"/>
      <c r="AL1211" s="441"/>
      <c r="AM1211" s="441"/>
      <c r="AN1211" s="441"/>
      <c r="AO1211" s="441"/>
    </row>
    <row r="1212" spans="1:41" ht="12.75" hidden="1" thickBot="1">
      <c r="A1212" s="1" t="s">
        <v>1281</v>
      </c>
      <c r="B1212" s="2" t="s">
        <v>706</v>
      </c>
      <c r="C1212" s="2" t="s">
        <v>1204</v>
      </c>
      <c r="D1212" s="8" t="s">
        <v>641</v>
      </c>
      <c r="E1212" s="3">
        <f t="shared" si="110"/>
        <v>0</v>
      </c>
      <c r="F1212" s="452">
        <f t="shared" si="110"/>
        <v>0</v>
      </c>
      <c r="G1212" s="452">
        <f t="shared" si="109"/>
        <v>0</v>
      </c>
      <c r="H1212" s="452">
        <f t="shared" si="109"/>
        <v>0</v>
      </c>
      <c r="I1212" s="452">
        <f t="shared" si="109"/>
        <v>0</v>
      </c>
      <c r="J1212" s="452">
        <f t="shared" si="109"/>
        <v>0</v>
      </c>
      <c r="K1212" s="452">
        <f t="shared" si="109"/>
        <v>0</v>
      </c>
      <c r="L1212" s="452">
        <f t="shared" si="109"/>
        <v>0</v>
      </c>
      <c r="M1212" s="452">
        <f t="shared" si="109"/>
        <v>0</v>
      </c>
      <c r="N1212" s="452">
        <f t="shared" si="109"/>
        <v>0</v>
      </c>
      <c r="O1212" s="452">
        <f t="shared" si="109"/>
        <v>0</v>
      </c>
      <c r="P1212" s="452">
        <f t="shared" si="109"/>
        <v>0</v>
      </c>
      <c r="Q1212" s="452"/>
      <c r="R1212" s="452">
        <f t="shared" si="109"/>
        <v>0</v>
      </c>
      <c r="S1212" s="445">
        <f t="shared" si="105"/>
        <v>0</v>
      </c>
      <c r="T1212" s="445">
        <f t="shared" si="106"/>
        <v>0</v>
      </c>
      <c r="U1212" s="445">
        <f t="shared" si="107"/>
        <v>0</v>
      </c>
      <c r="W1212" s="450"/>
      <c r="X1212" s="450"/>
      <c r="Y1212" s="441"/>
      <c r="Z1212" s="441"/>
      <c r="AA1212" s="441"/>
      <c r="AB1212" s="441"/>
      <c r="AC1212" s="441"/>
      <c r="AD1212" s="441"/>
      <c r="AE1212" s="441"/>
      <c r="AF1212" s="441"/>
      <c r="AG1212" s="441"/>
      <c r="AH1212" s="441"/>
      <c r="AI1212" s="441"/>
      <c r="AJ1212" s="441"/>
      <c r="AK1212" s="441"/>
      <c r="AL1212" s="441"/>
      <c r="AM1212" s="441"/>
      <c r="AN1212" s="441"/>
      <c r="AO1212" s="441"/>
    </row>
    <row r="1213" spans="1:41" ht="12.75" hidden="1" thickBot="1">
      <c r="A1213" s="1" t="s">
        <v>1281</v>
      </c>
      <c r="B1213" s="2" t="s">
        <v>1230</v>
      </c>
      <c r="C1213" s="2" t="s">
        <v>1245</v>
      </c>
      <c r="D1213" s="8" t="s">
        <v>641</v>
      </c>
      <c r="E1213" s="3">
        <f t="shared" si="110"/>
        <v>0</v>
      </c>
      <c r="F1213" s="452">
        <f t="shared" si="110"/>
        <v>0</v>
      </c>
      <c r="G1213" s="452">
        <f t="shared" si="109"/>
        <v>0</v>
      </c>
      <c r="H1213" s="452">
        <f t="shared" si="109"/>
        <v>0</v>
      </c>
      <c r="I1213" s="452">
        <f t="shared" si="109"/>
        <v>0</v>
      </c>
      <c r="J1213" s="452">
        <f t="shared" si="109"/>
        <v>0</v>
      </c>
      <c r="K1213" s="452">
        <f t="shared" si="109"/>
        <v>0</v>
      </c>
      <c r="L1213" s="452">
        <f t="shared" si="109"/>
        <v>0</v>
      </c>
      <c r="M1213" s="452">
        <f t="shared" si="109"/>
        <v>0</v>
      </c>
      <c r="N1213" s="452">
        <f t="shared" si="109"/>
        <v>0</v>
      </c>
      <c r="O1213" s="452">
        <f t="shared" si="109"/>
        <v>0</v>
      </c>
      <c r="P1213" s="452">
        <f t="shared" si="109"/>
        <v>0</v>
      </c>
      <c r="Q1213" s="452"/>
      <c r="R1213" s="452">
        <f t="shared" si="109"/>
        <v>0</v>
      </c>
      <c r="S1213" s="445">
        <f t="shared" si="105"/>
        <v>0</v>
      </c>
      <c r="T1213" s="445">
        <f t="shared" si="106"/>
        <v>0</v>
      </c>
      <c r="U1213" s="445">
        <f t="shared" si="107"/>
        <v>0</v>
      </c>
      <c r="W1213" s="450"/>
      <c r="X1213" s="450"/>
      <c r="Y1213" s="441"/>
      <c r="Z1213" s="441"/>
      <c r="AA1213" s="441"/>
      <c r="AB1213" s="441"/>
      <c r="AC1213" s="441"/>
      <c r="AD1213" s="441"/>
      <c r="AE1213" s="441"/>
      <c r="AF1213" s="441"/>
      <c r="AG1213" s="441"/>
      <c r="AH1213" s="441"/>
      <c r="AI1213" s="441"/>
      <c r="AJ1213" s="441"/>
      <c r="AK1213" s="441"/>
      <c r="AL1213" s="441"/>
      <c r="AM1213" s="441"/>
      <c r="AN1213" s="441"/>
      <c r="AO1213" s="441"/>
    </row>
    <row r="1214" spans="1:41" ht="12.75" hidden="1" thickBot="1">
      <c r="A1214" s="1" t="s">
        <v>1281</v>
      </c>
      <c r="B1214" s="2" t="s">
        <v>362</v>
      </c>
      <c r="C1214" s="2" t="s">
        <v>363</v>
      </c>
      <c r="D1214" s="8" t="s">
        <v>1205</v>
      </c>
      <c r="E1214" s="457"/>
      <c r="F1214" s="4"/>
      <c r="G1214" s="4"/>
      <c r="H1214" s="4"/>
      <c r="I1214" s="4"/>
      <c r="J1214" s="4"/>
      <c r="K1214" s="4"/>
      <c r="L1214" s="4"/>
      <c r="M1214" s="4"/>
      <c r="N1214" s="4"/>
      <c r="O1214" s="4"/>
      <c r="P1214" s="4"/>
      <c r="Q1214" s="4"/>
      <c r="R1214" s="4"/>
      <c r="S1214" s="445">
        <f t="shared" si="105"/>
        <v>0</v>
      </c>
      <c r="T1214" s="445">
        <f t="shared" si="106"/>
        <v>0</v>
      </c>
      <c r="U1214" s="445">
        <f t="shared" si="107"/>
        <v>0</v>
      </c>
      <c r="W1214" s="450"/>
      <c r="X1214" s="450"/>
      <c r="Y1214" s="441"/>
      <c r="Z1214" s="441"/>
      <c r="AA1214" s="441"/>
      <c r="AB1214" s="441"/>
      <c r="AC1214" s="441"/>
      <c r="AD1214" s="441"/>
      <c r="AE1214" s="441"/>
      <c r="AF1214" s="441"/>
      <c r="AG1214" s="441"/>
      <c r="AH1214" s="441"/>
      <c r="AI1214" s="441"/>
      <c r="AJ1214" s="441"/>
      <c r="AK1214" s="441"/>
      <c r="AL1214" s="441"/>
      <c r="AM1214" s="441"/>
      <c r="AN1214" s="441"/>
      <c r="AO1214" s="441"/>
    </row>
    <row r="1215" spans="1:41" ht="12.75" hidden="1" thickBot="1">
      <c r="A1215" s="1" t="s">
        <v>1281</v>
      </c>
      <c r="B1215" s="2" t="s">
        <v>342</v>
      </c>
      <c r="C1215" s="2" t="s">
        <v>1035</v>
      </c>
      <c r="D1215" s="8" t="s">
        <v>459</v>
      </c>
      <c r="E1215" s="459"/>
      <c r="F1215" s="6"/>
      <c r="G1215" s="451"/>
      <c r="H1215" s="6"/>
      <c r="I1215" s="6"/>
      <c r="J1215" s="6"/>
      <c r="K1215" s="6"/>
      <c r="L1215" s="6"/>
      <c r="M1215" s="451"/>
      <c r="N1215" s="451"/>
      <c r="O1215" s="6"/>
      <c r="P1215" s="6"/>
      <c r="Q1215" s="451"/>
      <c r="R1215" s="451"/>
      <c r="S1215" s="445">
        <f t="shared" si="105"/>
        <v>0</v>
      </c>
      <c r="T1215" s="445">
        <f t="shared" si="106"/>
        <v>0</v>
      </c>
      <c r="U1215" s="445">
        <f t="shared" si="107"/>
        <v>0</v>
      </c>
      <c r="W1215" s="450"/>
      <c r="X1215" s="450"/>
      <c r="Y1215" s="441"/>
      <c r="Z1215" s="441"/>
      <c r="AA1215" s="441"/>
      <c r="AB1215" s="441"/>
      <c r="AC1215" s="441"/>
      <c r="AD1215" s="441"/>
      <c r="AE1215" s="441"/>
      <c r="AF1215" s="441"/>
      <c r="AG1215" s="441"/>
      <c r="AH1215" s="441"/>
      <c r="AI1215" s="441"/>
      <c r="AJ1215" s="441"/>
      <c r="AK1215" s="441"/>
      <c r="AL1215" s="441"/>
      <c r="AM1215" s="441"/>
      <c r="AN1215" s="441"/>
      <c r="AO1215" s="441"/>
    </row>
    <row r="1216" spans="1:41" ht="12.75" hidden="1" thickBot="1">
      <c r="A1216" s="1" t="s">
        <v>1281</v>
      </c>
      <c r="B1216" s="2" t="s">
        <v>213</v>
      </c>
      <c r="C1216" s="2" t="s">
        <v>1036</v>
      </c>
      <c r="D1216" s="8" t="s">
        <v>459</v>
      </c>
      <c r="E1216" s="460"/>
      <c r="F1216" s="4"/>
      <c r="G1216" s="449"/>
      <c r="H1216" s="4"/>
      <c r="I1216" s="4"/>
      <c r="J1216" s="4"/>
      <c r="K1216" s="4"/>
      <c r="L1216" s="4"/>
      <c r="M1216" s="449"/>
      <c r="N1216" s="449"/>
      <c r="O1216" s="4"/>
      <c r="P1216" s="4"/>
      <c r="Q1216" s="449"/>
      <c r="R1216" s="449"/>
      <c r="S1216" s="445">
        <f t="shared" si="105"/>
        <v>0</v>
      </c>
      <c r="T1216" s="445">
        <f t="shared" si="106"/>
        <v>0</v>
      </c>
      <c r="U1216" s="445">
        <f t="shared" si="107"/>
        <v>0</v>
      </c>
      <c r="W1216" s="450"/>
      <c r="X1216" s="450"/>
      <c r="Y1216" s="441"/>
      <c r="Z1216" s="441"/>
      <c r="AA1216" s="441"/>
      <c r="AB1216" s="441"/>
      <c r="AC1216" s="441"/>
      <c r="AD1216" s="441"/>
      <c r="AE1216" s="441"/>
      <c r="AF1216" s="441"/>
      <c r="AG1216" s="441"/>
      <c r="AH1216" s="441"/>
      <c r="AI1216" s="441"/>
      <c r="AJ1216" s="441"/>
      <c r="AK1216" s="441"/>
      <c r="AL1216" s="441"/>
      <c r="AM1216" s="441"/>
      <c r="AN1216" s="441"/>
      <c r="AO1216" s="441"/>
    </row>
    <row r="1217" spans="1:41" ht="12.75" hidden="1" thickBot="1">
      <c r="A1217" s="1" t="s">
        <v>1281</v>
      </c>
      <c r="B1217" s="2" t="s">
        <v>214</v>
      </c>
      <c r="C1217" s="2" t="s">
        <v>1037</v>
      </c>
      <c r="D1217" s="8" t="s">
        <v>459</v>
      </c>
      <c r="E1217" s="459"/>
      <c r="F1217" s="6"/>
      <c r="G1217" s="451"/>
      <c r="H1217" s="6"/>
      <c r="I1217" s="6"/>
      <c r="J1217" s="6"/>
      <c r="K1217" s="6"/>
      <c r="L1217" s="6"/>
      <c r="M1217" s="451"/>
      <c r="N1217" s="451"/>
      <c r="O1217" s="6"/>
      <c r="P1217" s="6"/>
      <c r="Q1217" s="451"/>
      <c r="R1217" s="451"/>
      <c r="S1217" s="445">
        <f t="shared" si="105"/>
        <v>0</v>
      </c>
      <c r="T1217" s="445">
        <f t="shared" si="106"/>
        <v>0</v>
      </c>
      <c r="U1217" s="445">
        <f t="shared" si="107"/>
        <v>0</v>
      </c>
      <c r="W1217" s="450"/>
      <c r="X1217" s="450"/>
      <c r="Y1217" s="441"/>
      <c r="Z1217" s="441"/>
      <c r="AA1217" s="441"/>
      <c r="AB1217" s="441"/>
      <c r="AC1217" s="441"/>
      <c r="AD1217" s="441"/>
      <c r="AE1217" s="441"/>
      <c r="AF1217" s="441"/>
      <c r="AG1217" s="441"/>
      <c r="AH1217" s="441"/>
      <c r="AI1217" s="441"/>
      <c r="AJ1217" s="441"/>
      <c r="AK1217" s="441"/>
      <c r="AL1217" s="441"/>
      <c r="AM1217" s="441"/>
      <c r="AN1217" s="441"/>
      <c r="AO1217" s="441"/>
    </row>
    <row r="1218" spans="1:41" ht="12.75" hidden="1" thickBot="1">
      <c r="A1218" s="1" t="s">
        <v>1281</v>
      </c>
      <c r="B1218" s="2" t="s">
        <v>1231</v>
      </c>
      <c r="C1218" s="2" t="s">
        <v>1232</v>
      </c>
      <c r="D1218" s="8" t="s">
        <v>459</v>
      </c>
      <c r="E1218" s="460"/>
      <c r="F1218" s="4"/>
      <c r="G1218" s="4"/>
      <c r="H1218" s="4"/>
      <c r="I1218" s="4"/>
      <c r="J1218" s="4"/>
      <c r="K1218" s="4"/>
      <c r="L1218" s="4"/>
      <c r="M1218" s="4"/>
      <c r="N1218" s="4"/>
      <c r="O1218" s="4"/>
      <c r="P1218" s="4"/>
      <c r="Q1218" s="4"/>
      <c r="R1218" s="4"/>
      <c r="S1218" s="445">
        <f t="shared" si="105"/>
        <v>0</v>
      </c>
      <c r="T1218" s="445">
        <f t="shared" si="106"/>
        <v>0</v>
      </c>
      <c r="U1218" s="445">
        <f t="shared" si="107"/>
        <v>0</v>
      </c>
      <c r="W1218" s="450"/>
      <c r="X1218" s="450"/>
      <c r="Y1218" s="441"/>
      <c r="Z1218" s="441"/>
      <c r="AA1218" s="441"/>
      <c r="AB1218" s="441"/>
      <c r="AC1218" s="441"/>
      <c r="AD1218" s="441"/>
      <c r="AE1218" s="441"/>
      <c r="AF1218" s="441"/>
      <c r="AG1218" s="441"/>
      <c r="AH1218" s="441"/>
      <c r="AI1218" s="441"/>
      <c r="AJ1218" s="441"/>
      <c r="AK1218" s="441"/>
      <c r="AL1218" s="441"/>
      <c r="AM1218" s="441"/>
      <c r="AN1218" s="441"/>
      <c r="AO1218" s="441"/>
    </row>
    <row r="1219" spans="1:41" ht="12.75" hidden="1" thickBot="1">
      <c r="A1219" s="1" t="s">
        <v>1281</v>
      </c>
      <c r="B1219" s="2" t="s">
        <v>215</v>
      </c>
      <c r="C1219" s="2" t="s">
        <v>1038</v>
      </c>
      <c r="D1219" s="8" t="s">
        <v>459</v>
      </c>
      <c r="E1219" s="459"/>
      <c r="F1219" s="6"/>
      <c r="G1219" s="451"/>
      <c r="H1219" s="6"/>
      <c r="I1219" s="6"/>
      <c r="J1219" s="6"/>
      <c r="K1219" s="6"/>
      <c r="L1219" s="6"/>
      <c r="M1219" s="451"/>
      <c r="N1219" s="451"/>
      <c r="O1219" s="6"/>
      <c r="P1219" s="6"/>
      <c r="Q1219" s="451"/>
      <c r="R1219" s="451"/>
      <c r="S1219" s="445">
        <f t="shared" si="105"/>
        <v>0</v>
      </c>
      <c r="T1219" s="445">
        <f t="shared" si="106"/>
        <v>0</v>
      </c>
      <c r="U1219" s="445">
        <f t="shared" si="107"/>
        <v>0</v>
      </c>
      <c r="W1219" s="450"/>
      <c r="X1219" s="450"/>
      <c r="Y1219" s="441"/>
      <c r="Z1219" s="441"/>
      <c r="AA1219" s="441"/>
      <c r="AB1219" s="441"/>
      <c r="AC1219" s="441"/>
      <c r="AD1219" s="441"/>
      <c r="AE1219" s="441"/>
      <c r="AF1219" s="441"/>
      <c r="AG1219" s="441"/>
      <c r="AH1219" s="441"/>
      <c r="AI1219" s="441"/>
      <c r="AJ1219" s="441"/>
      <c r="AK1219" s="441"/>
      <c r="AL1219" s="441"/>
      <c r="AM1219" s="441"/>
      <c r="AN1219" s="441"/>
      <c r="AO1219" s="441"/>
    </row>
    <row r="1220" spans="1:41" ht="12.75" hidden="1" thickBot="1">
      <c r="A1220" s="1" t="s">
        <v>1281</v>
      </c>
      <c r="B1220" s="2" t="s">
        <v>216</v>
      </c>
      <c r="C1220" s="2" t="s">
        <v>1039</v>
      </c>
      <c r="D1220" s="8" t="s">
        <v>459</v>
      </c>
      <c r="E1220" s="460"/>
      <c r="F1220" s="4"/>
      <c r="G1220" s="449"/>
      <c r="H1220" s="4"/>
      <c r="I1220" s="4"/>
      <c r="J1220" s="4"/>
      <c r="K1220" s="4"/>
      <c r="L1220" s="4"/>
      <c r="M1220" s="449"/>
      <c r="N1220" s="449"/>
      <c r="O1220" s="4"/>
      <c r="P1220" s="4"/>
      <c r="Q1220" s="449"/>
      <c r="R1220" s="449"/>
      <c r="S1220" s="445">
        <f t="shared" si="105"/>
        <v>0</v>
      </c>
      <c r="T1220" s="445">
        <f t="shared" si="106"/>
        <v>0</v>
      </c>
      <c r="U1220" s="445">
        <f t="shared" si="107"/>
        <v>0</v>
      </c>
      <c r="W1220" s="450"/>
      <c r="X1220" s="450"/>
      <c r="Y1220" s="441"/>
      <c r="Z1220" s="441"/>
      <c r="AA1220" s="441"/>
      <c r="AB1220" s="441"/>
      <c r="AC1220" s="441"/>
      <c r="AD1220" s="441"/>
      <c r="AE1220" s="441"/>
      <c r="AF1220" s="441"/>
      <c r="AG1220" s="441"/>
      <c r="AH1220" s="441"/>
      <c r="AI1220" s="441"/>
      <c r="AJ1220" s="441"/>
      <c r="AK1220" s="441"/>
      <c r="AL1220" s="441"/>
      <c r="AM1220" s="441"/>
      <c r="AN1220" s="441"/>
      <c r="AO1220" s="441"/>
    </row>
    <row r="1221" spans="1:41" ht="12.75" hidden="1" thickBot="1">
      <c r="A1221" s="1" t="s">
        <v>1281</v>
      </c>
      <c r="B1221" s="2" t="s">
        <v>217</v>
      </c>
      <c r="C1221" s="2" t="s">
        <v>1040</v>
      </c>
      <c r="D1221" s="8" t="s">
        <v>459</v>
      </c>
      <c r="E1221" s="459"/>
      <c r="F1221" s="6"/>
      <c r="G1221" s="451"/>
      <c r="H1221" s="6"/>
      <c r="I1221" s="6"/>
      <c r="J1221" s="6"/>
      <c r="K1221" s="6"/>
      <c r="L1221" s="6"/>
      <c r="M1221" s="451"/>
      <c r="N1221" s="451"/>
      <c r="O1221" s="6"/>
      <c r="P1221" s="6"/>
      <c r="Q1221" s="451"/>
      <c r="R1221" s="451"/>
      <c r="S1221" s="445">
        <f t="shared" si="105"/>
        <v>0</v>
      </c>
      <c r="T1221" s="445">
        <f t="shared" si="106"/>
        <v>0</v>
      </c>
      <c r="U1221" s="445">
        <f t="shared" si="107"/>
        <v>0</v>
      </c>
      <c r="W1221" s="450"/>
      <c r="X1221" s="450"/>
      <c r="Y1221" s="441"/>
      <c r="Z1221" s="441"/>
      <c r="AA1221" s="441"/>
      <c r="AB1221" s="441"/>
      <c r="AC1221" s="441"/>
      <c r="AD1221" s="441"/>
      <c r="AE1221" s="441"/>
      <c r="AF1221" s="441"/>
      <c r="AG1221" s="441"/>
      <c r="AH1221" s="441"/>
      <c r="AI1221" s="441"/>
      <c r="AJ1221" s="441"/>
      <c r="AK1221" s="441"/>
      <c r="AL1221" s="441"/>
      <c r="AM1221" s="441"/>
      <c r="AN1221" s="441"/>
      <c r="AO1221" s="441"/>
    </row>
    <row r="1222" spans="1:41" ht="12.75" hidden="1" thickBot="1">
      <c r="A1222" s="1" t="s">
        <v>1281</v>
      </c>
      <c r="B1222" s="2" t="s">
        <v>344</v>
      </c>
      <c r="C1222" s="2" t="s">
        <v>1041</v>
      </c>
      <c r="D1222" s="8" t="s">
        <v>459</v>
      </c>
      <c r="E1222" s="460"/>
      <c r="F1222" s="4"/>
      <c r="G1222" s="449"/>
      <c r="H1222" s="4"/>
      <c r="I1222" s="4"/>
      <c r="J1222" s="4"/>
      <c r="K1222" s="4"/>
      <c r="L1222" s="4"/>
      <c r="M1222" s="449"/>
      <c r="N1222" s="449"/>
      <c r="O1222" s="4"/>
      <c r="P1222" s="4"/>
      <c r="Q1222" s="449"/>
      <c r="R1222" s="449"/>
      <c r="S1222" s="445">
        <f t="shared" si="105"/>
        <v>0</v>
      </c>
      <c r="T1222" s="445">
        <f t="shared" si="106"/>
        <v>0</v>
      </c>
      <c r="U1222" s="445">
        <f t="shared" si="107"/>
        <v>0</v>
      </c>
      <c r="W1222" s="450"/>
      <c r="X1222" s="450"/>
      <c r="Y1222" s="441"/>
      <c r="Z1222" s="441"/>
      <c r="AA1222" s="441"/>
      <c r="AB1222" s="441"/>
      <c r="AC1222" s="441"/>
      <c r="AD1222" s="441"/>
      <c r="AE1222" s="441"/>
      <c r="AF1222" s="441"/>
      <c r="AG1222" s="441"/>
      <c r="AH1222" s="441"/>
      <c r="AI1222" s="441"/>
      <c r="AJ1222" s="441"/>
      <c r="AK1222" s="441"/>
      <c r="AL1222" s="441"/>
      <c r="AM1222" s="441"/>
      <c r="AN1222" s="441"/>
      <c r="AO1222" s="441"/>
    </row>
    <row r="1223" spans="1:41" ht="12.75" hidden="1" thickBot="1">
      <c r="A1223" s="1" t="s">
        <v>1281</v>
      </c>
      <c r="B1223" s="2" t="s">
        <v>1233</v>
      </c>
      <c r="C1223" s="2" t="s">
        <v>1234</v>
      </c>
      <c r="D1223" s="8" t="s">
        <v>459</v>
      </c>
      <c r="E1223" s="459"/>
      <c r="F1223" s="6"/>
      <c r="G1223" s="6"/>
      <c r="H1223" s="6"/>
      <c r="I1223" s="6"/>
      <c r="J1223" s="6"/>
      <c r="K1223" s="6"/>
      <c r="L1223" s="6"/>
      <c r="M1223" s="6"/>
      <c r="N1223" s="6"/>
      <c r="O1223" s="6"/>
      <c r="P1223" s="6"/>
      <c r="Q1223" s="6"/>
      <c r="R1223" s="6"/>
      <c r="S1223" s="445">
        <f t="shared" si="105"/>
        <v>0</v>
      </c>
      <c r="T1223" s="445">
        <f t="shared" si="106"/>
        <v>0</v>
      </c>
      <c r="U1223" s="445">
        <f t="shared" si="107"/>
        <v>0</v>
      </c>
      <c r="W1223" s="450"/>
      <c r="X1223" s="450"/>
      <c r="Y1223" s="441"/>
      <c r="Z1223" s="441"/>
      <c r="AA1223" s="441"/>
      <c r="AB1223" s="441"/>
      <c r="AC1223" s="441"/>
      <c r="AD1223" s="441"/>
      <c r="AE1223" s="441"/>
      <c r="AF1223" s="441"/>
      <c r="AG1223" s="441"/>
      <c r="AH1223" s="441"/>
      <c r="AI1223" s="441"/>
      <c r="AJ1223" s="441"/>
      <c r="AK1223" s="441"/>
      <c r="AL1223" s="441"/>
      <c r="AM1223" s="441"/>
      <c r="AN1223" s="441"/>
      <c r="AO1223" s="441"/>
    </row>
    <row r="1224" spans="1:41" ht="12.75" hidden="1" thickBot="1">
      <c r="A1224" s="1" t="s">
        <v>1281</v>
      </c>
      <c r="B1224" s="2" t="s">
        <v>218</v>
      </c>
      <c r="C1224" s="2" t="s">
        <v>1042</v>
      </c>
      <c r="D1224" s="8" t="s">
        <v>459</v>
      </c>
      <c r="E1224" s="460"/>
      <c r="F1224" s="4"/>
      <c r="G1224" s="449"/>
      <c r="H1224" s="4"/>
      <c r="I1224" s="4"/>
      <c r="J1224" s="4"/>
      <c r="K1224" s="4"/>
      <c r="L1224" s="4"/>
      <c r="M1224" s="449"/>
      <c r="N1224" s="449"/>
      <c r="O1224" s="4"/>
      <c r="P1224" s="4"/>
      <c r="Q1224" s="449"/>
      <c r="R1224" s="449"/>
      <c r="S1224" s="445">
        <f t="shared" si="105"/>
        <v>0</v>
      </c>
      <c r="T1224" s="445">
        <f t="shared" si="106"/>
        <v>0</v>
      </c>
      <c r="U1224" s="445">
        <f t="shared" si="107"/>
        <v>0</v>
      </c>
      <c r="W1224" s="450"/>
      <c r="X1224" s="450"/>
      <c r="Y1224" s="441"/>
      <c r="Z1224" s="441"/>
      <c r="AA1224" s="441"/>
      <c r="AB1224" s="441"/>
      <c r="AC1224" s="441"/>
      <c r="AD1224" s="441"/>
      <c r="AE1224" s="441"/>
      <c r="AF1224" s="441"/>
      <c r="AG1224" s="441"/>
      <c r="AH1224" s="441"/>
      <c r="AI1224" s="441"/>
      <c r="AJ1224" s="441"/>
      <c r="AK1224" s="441"/>
      <c r="AL1224" s="441"/>
      <c r="AM1224" s="441"/>
      <c r="AN1224" s="441"/>
      <c r="AO1224" s="441"/>
    </row>
    <row r="1225" spans="1:41" ht="12.75" hidden="1" thickBot="1">
      <c r="A1225" s="1" t="s">
        <v>1281</v>
      </c>
      <c r="B1225" s="2" t="s">
        <v>223</v>
      </c>
      <c r="C1225" s="2" t="s">
        <v>1043</v>
      </c>
      <c r="D1225" s="8" t="s">
        <v>459</v>
      </c>
      <c r="E1225" s="459"/>
      <c r="F1225" s="6"/>
      <c r="G1225" s="451"/>
      <c r="H1225" s="6"/>
      <c r="I1225" s="6"/>
      <c r="J1225" s="6"/>
      <c r="K1225" s="6"/>
      <c r="L1225" s="6"/>
      <c r="M1225" s="451"/>
      <c r="N1225" s="451"/>
      <c r="O1225" s="6"/>
      <c r="P1225" s="6"/>
      <c r="Q1225" s="451"/>
      <c r="R1225" s="451"/>
      <c r="S1225" s="445">
        <f t="shared" si="105"/>
        <v>0</v>
      </c>
      <c r="T1225" s="445">
        <f t="shared" si="106"/>
        <v>0</v>
      </c>
      <c r="U1225" s="445">
        <f t="shared" si="107"/>
        <v>0</v>
      </c>
      <c r="W1225" s="450"/>
      <c r="X1225" s="450"/>
      <c r="Y1225" s="441"/>
      <c r="Z1225" s="441"/>
      <c r="AA1225" s="441"/>
      <c r="AB1225" s="441"/>
      <c r="AC1225" s="441"/>
      <c r="AD1225" s="441"/>
      <c r="AE1225" s="441"/>
      <c r="AF1225" s="441"/>
      <c r="AG1225" s="441"/>
      <c r="AH1225" s="441"/>
      <c r="AI1225" s="441"/>
      <c r="AJ1225" s="441"/>
      <c r="AK1225" s="441"/>
      <c r="AL1225" s="441"/>
      <c r="AM1225" s="441"/>
      <c r="AN1225" s="441"/>
      <c r="AO1225" s="441"/>
    </row>
    <row r="1226" spans="1:41" ht="12.75" hidden="1" thickBot="1">
      <c r="A1226" s="1" t="s">
        <v>1281</v>
      </c>
      <c r="B1226" s="2" t="s">
        <v>231</v>
      </c>
      <c r="C1226" s="2" t="s">
        <v>1044</v>
      </c>
      <c r="D1226" s="8" t="s">
        <v>459</v>
      </c>
      <c r="E1226" s="460"/>
      <c r="F1226" s="4"/>
      <c r="G1226" s="449"/>
      <c r="H1226" s="4"/>
      <c r="I1226" s="4"/>
      <c r="J1226" s="4"/>
      <c r="K1226" s="4"/>
      <c r="L1226" s="4"/>
      <c r="M1226" s="449"/>
      <c r="N1226" s="449"/>
      <c r="O1226" s="4"/>
      <c r="P1226" s="4"/>
      <c r="Q1226" s="449"/>
      <c r="R1226" s="449"/>
      <c r="S1226" s="445">
        <f t="shared" si="105"/>
        <v>0</v>
      </c>
      <c r="T1226" s="445">
        <f t="shared" si="106"/>
        <v>0</v>
      </c>
      <c r="U1226" s="445">
        <f t="shared" si="107"/>
        <v>0</v>
      </c>
      <c r="W1226" s="450"/>
      <c r="X1226" s="450"/>
      <c r="Y1226" s="441"/>
      <c r="Z1226" s="441"/>
      <c r="AA1226" s="441"/>
      <c r="AB1226" s="441"/>
      <c r="AC1226" s="441"/>
      <c r="AD1226" s="441"/>
      <c r="AE1226" s="441"/>
      <c r="AF1226" s="441"/>
      <c r="AG1226" s="441"/>
      <c r="AH1226" s="441"/>
      <c r="AI1226" s="441"/>
      <c r="AJ1226" s="441"/>
      <c r="AK1226" s="441"/>
      <c r="AL1226" s="441"/>
      <c r="AM1226" s="441"/>
      <c r="AN1226" s="441"/>
      <c r="AO1226" s="441"/>
    </row>
    <row r="1227" spans="1:41" ht="12.75" hidden="1" thickBot="1">
      <c r="A1227" s="1" t="s">
        <v>1281</v>
      </c>
      <c r="B1227" s="2" t="s">
        <v>232</v>
      </c>
      <c r="C1227" s="2" t="s">
        <v>1045</v>
      </c>
      <c r="D1227" s="8" t="s">
        <v>459</v>
      </c>
      <c r="E1227" s="459"/>
      <c r="F1227" s="6"/>
      <c r="G1227" s="451"/>
      <c r="H1227" s="6"/>
      <c r="I1227" s="6"/>
      <c r="J1227" s="6"/>
      <c r="K1227" s="6"/>
      <c r="L1227" s="6"/>
      <c r="M1227" s="451"/>
      <c r="N1227" s="451"/>
      <c r="O1227" s="6"/>
      <c r="P1227" s="6"/>
      <c r="Q1227" s="451"/>
      <c r="R1227" s="451"/>
      <c r="S1227" s="445">
        <f t="shared" ref="S1227:S1290" si="111">G1227+H1227+I1227</f>
        <v>0</v>
      </c>
      <c r="T1227" s="445">
        <f t="shared" ref="T1227:T1290" si="112">J1227+K1227</f>
        <v>0</v>
      </c>
      <c r="U1227" s="445">
        <f t="shared" ref="U1227:U1290" si="113">N1227+O1227</f>
        <v>0</v>
      </c>
      <c r="W1227" s="450"/>
      <c r="X1227" s="450"/>
      <c r="Y1227" s="441"/>
      <c r="Z1227" s="441"/>
      <c r="AA1227" s="441"/>
      <c r="AB1227" s="441"/>
      <c r="AC1227" s="441"/>
      <c r="AD1227" s="441"/>
      <c r="AE1227" s="441"/>
      <c r="AF1227" s="441"/>
      <c r="AG1227" s="441"/>
      <c r="AH1227" s="441"/>
      <c r="AI1227" s="441"/>
      <c r="AJ1227" s="441"/>
      <c r="AK1227" s="441"/>
      <c r="AL1227" s="441"/>
      <c r="AM1227" s="441"/>
      <c r="AN1227" s="441"/>
      <c r="AO1227" s="441"/>
    </row>
    <row r="1228" spans="1:41" ht="12.75" hidden="1" thickBot="1">
      <c r="A1228" s="1" t="s">
        <v>1281</v>
      </c>
      <c r="B1228" s="2" t="s">
        <v>234</v>
      </c>
      <c r="C1228" s="2" t="s">
        <v>1046</v>
      </c>
      <c r="D1228" s="8" t="s">
        <v>459</v>
      </c>
      <c r="E1228" s="460"/>
      <c r="F1228" s="4"/>
      <c r="G1228" s="449"/>
      <c r="H1228" s="4"/>
      <c r="I1228" s="4"/>
      <c r="J1228" s="4"/>
      <c r="K1228" s="4"/>
      <c r="L1228" s="4"/>
      <c r="M1228" s="449"/>
      <c r="N1228" s="449"/>
      <c r="O1228" s="4"/>
      <c r="P1228" s="4"/>
      <c r="Q1228" s="449"/>
      <c r="R1228" s="449"/>
      <c r="S1228" s="445">
        <f t="shared" si="111"/>
        <v>0</v>
      </c>
      <c r="T1228" s="445">
        <f t="shared" si="112"/>
        <v>0</v>
      </c>
      <c r="U1228" s="445">
        <f t="shared" si="113"/>
        <v>0</v>
      </c>
      <c r="W1228" s="450"/>
      <c r="X1228" s="450"/>
      <c r="Y1228" s="441"/>
      <c r="Z1228" s="441"/>
      <c r="AA1228" s="441"/>
      <c r="AB1228" s="441"/>
      <c r="AC1228" s="441"/>
      <c r="AD1228" s="441"/>
      <c r="AE1228" s="441"/>
      <c r="AF1228" s="441"/>
      <c r="AG1228" s="441"/>
      <c r="AH1228" s="441"/>
      <c r="AI1228" s="441"/>
      <c r="AJ1228" s="441"/>
      <c r="AK1228" s="441"/>
      <c r="AL1228" s="441"/>
      <c r="AM1228" s="441"/>
      <c r="AN1228" s="441"/>
      <c r="AO1228" s="441"/>
    </row>
    <row r="1229" spans="1:41" ht="12.75" hidden="1" thickBot="1">
      <c r="A1229" s="1" t="s">
        <v>1281</v>
      </c>
      <c r="B1229" s="2" t="s">
        <v>353</v>
      </c>
      <c r="C1229" s="2" t="s">
        <v>1047</v>
      </c>
      <c r="D1229" s="8" t="s">
        <v>459</v>
      </c>
      <c r="E1229" s="459"/>
      <c r="F1229" s="6"/>
      <c r="G1229" s="451"/>
      <c r="H1229" s="6"/>
      <c r="I1229" s="6"/>
      <c r="J1229" s="6"/>
      <c r="K1229" s="6"/>
      <c r="L1229" s="6"/>
      <c r="M1229" s="451"/>
      <c r="N1229" s="451"/>
      <c r="O1229" s="6"/>
      <c r="P1229" s="6"/>
      <c r="Q1229" s="451"/>
      <c r="R1229" s="451"/>
      <c r="S1229" s="445">
        <f t="shared" si="111"/>
        <v>0</v>
      </c>
      <c r="T1229" s="445">
        <f t="shared" si="112"/>
        <v>0</v>
      </c>
      <c r="U1229" s="445">
        <f t="shared" si="113"/>
        <v>0</v>
      </c>
      <c r="W1229" s="450"/>
      <c r="X1229" s="450"/>
      <c r="Y1229" s="441"/>
      <c r="Z1229" s="441"/>
      <c r="AA1229" s="441"/>
      <c r="AB1229" s="441"/>
      <c r="AC1229" s="441"/>
      <c r="AD1229" s="441"/>
      <c r="AE1229" s="441"/>
      <c r="AF1229" s="441"/>
      <c r="AG1229" s="441"/>
      <c r="AH1229" s="441"/>
      <c r="AI1229" s="441"/>
      <c r="AJ1229" s="441"/>
      <c r="AK1229" s="441"/>
      <c r="AL1229" s="441"/>
      <c r="AM1229" s="441"/>
      <c r="AN1229" s="441"/>
      <c r="AO1229" s="441"/>
    </row>
    <row r="1230" spans="1:41" ht="12.75" hidden="1" thickBot="1">
      <c r="A1230" s="1" t="s">
        <v>1281</v>
      </c>
      <c r="B1230" s="2" t="s">
        <v>235</v>
      </c>
      <c r="C1230" s="2" t="s">
        <v>1048</v>
      </c>
      <c r="D1230" s="8" t="s">
        <v>459</v>
      </c>
      <c r="E1230" s="460"/>
      <c r="F1230" s="4"/>
      <c r="G1230" s="449"/>
      <c r="H1230" s="4"/>
      <c r="I1230" s="4"/>
      <c r="J1230" s="4"/>
      <c r="K1230" s="4"/>
      <c r="L1230" s="4"/>
      <c r="M1230" s="449"/>
      <c r="N1230" s="449"/>
      <c r="O1230" s="4"/>
      <c r="P1230" s="4"/>
      <c r="Q1230" s="449"/>
      <c r="R1230" s="449"/>
      <c r="S1230" s="445">
        <f t="shared" si="111"/>
        <v>0</v>
      </c>
      <c r="T1230" s="445">
        <f t="shared" si="112"/>
        <v>0</v>
      </c>
      <c r="U1230" s="445">
        <f t="shared" si="113"/>
        <v>0</v>
      </c>
      <c r="W1230" s="450"/>
      <c r="X1230" s="450"/>
      <c r="Y1230" s="441"/>
      <c r="Z1230" s="441"/>
      <c r="AA1230" s="441"/>
      <c r="AB1230" s="441"/>
      <c r="AC1230" s="441"/>
      <c r="AD1230" s="441"/>
      <c r="AE1230" s="441"/>
      <c r="AF1230" s="441"/>
      <c r="AG1230" s="441"/>
      <c r="AH1230" s="441"/>
      <c r="AI1230" s="441"/>
      <c r="AJ1230" s="441"/>
      <c r="AK1230" s="441"/>
      <c r="AL1230" s="441"/>
      <c r="AM1230" s="441"/>
      <c r="AN1230" s="441"/>
      <c r="AO1230" s="441"/>
    </row>
    <row r="1231" spans="1:41" ht="12.75" hidden="1" thickBot="1">
      <c r="A1231" s="1" t="s">
        <v>1281</v>
      </c>
      <c r="B1231" s="2" t="s">
        <v>236</v>
      </c>
      <c r="C1231" s="2" t="s">
        <v>1049</v>
      </c>
      <c r="D1231" s="8" t="s">
        <v>459</v>
      </c>
      <c r="E1231" s="459"/>
      <c r="F1231" s="6"/>
      <c r="G1231" s="451"/>
      <c r="H1231" s="6"/>
      <c r="I1231" s="6"/>
      <c r="J1231" s="6"/>
      <c r="K1231" s="6"/>
      <c r="L1231" s="6"/>
      <c r="M1231" s="451"/>
      <c r="N1231" s="451"/>
      <c r="O1231" s="6"/>
      <c r="P1231" s="6"/>
      <c r="Q1231" s="451"/>
      <c r="R1231" s="451"/>
      <c r="S1231" s="445">
        <f t="shared" si="111"/>
        <v>0</v>
      </c>
      <c r="T1231" s="445">
        <f t="shared" si="112"/>
        <v>0</v>
      </c>
      <c r="U1231" s="445">
        <f t="shared" si="113"/>
        <v>0</v>
      </c>
      <c r="W1231" s="450"/>
      <c r="X1231" s="450"/>
      <c r="Y1231" s="441"/>
      <c r="Z1231" s="441"/>
      <c r="AA1231" s="441"/>
      <c r="AB1231" s="441"/>
      <c r="AC1231" s="441"/>
      <c r="AD1231" s="441"/>
      <c r="AE1231" s="441"/>
      <c r="AF1231" s="441"/>
      <c r="AG1231" s="441"/>
      <c r="AH1231" s="441"/>
      <c r="AI1231" s="441"/>
      <c r="AJ1231" s="441"/>
      <c r="AK1231" s="441"/>
      <c r="AL1231" s="441"/>
      <c r="AM1231" s="441"/>
      <c r="AN1231" s="441"/>
      <c r="AO1231" s="441"/>
    </row>
    <row r="1232" spans="1:41" ht="12.75" hidden="1" thickBot="1">
      <c r="A1232" s="1" t="s">
        <v>1281</v>
      </c>
      <c r="B1232" s="2" t="s">
        <v>354</v>
      </c>
      <c r="C1232" s="2" t="s">
        <v>1050</v>
      </c>
      <c r="D1232" s="8" t="s">
        <v>459</v>
      </c>
      <c r="E1232" s="460"/>
      <c r="F1232" s="4"/>
      <c r="G1232" s="449"/>
      <c r="H1232" s="4"/>
      <c r="I1232" s="4"/>
      <c r="J1232" s="4"/>
      <c r="K1232" s="4"/>
      <c r="L1232" s="4"/>
      <c r="M1232" s="449"/>
      <c r="N1232" s="449"/>
      <c r="O1232" s="4"/>
      <c r="P1232" s="4"/>
      <c r="Q1232" s="449"/>
      <c r="R1232" s="449"/>
      <c r="S1232" s="445">
        <f t="shared" si="111"/>
        <v>0</v>
      </c>
      <c r="T1232" s="445">
        <f t="shared" si="112"/>
        <v>0</v>
      </c>
      <c r="U1232" s="445">
        <f t="shared" si="113"/>
        <v>0</v>
      </c>
      <c r="W1232" s="450"/>
      <c r="X1232" s="450"/>
      <c r="Y1232" s="441"/>
      <c r="Z1232" s="441"/>
      <c r="AA1232" s="441"/>
      <c r="AB1232" s="441"/>
      <c r="AC1232" s="441"/>
      <c r="AD1232" s="441"/>
      <c r="AE1232" s="441"/>
      <c r="AF1232" s="441"/>
      <c r="AG1232" s="441"/>
      <c r="AH1232" s="441"/>
      <c r="AI1232" s="441"/>
      <c r="AJ1232" s="441"/>
      <c r="AK1232" s="441"/>
      <c r="AL1232" s="441"/>
      <c r="AM1232" s="441"/>
      <c r="AN1232" s="441"/>
      <c r="AO1232" s="441"/>
    </row>
    <row r="1233" spans="1:41" ht="12.75" hidden="1" thickBot="1">
      <c r="A1233" s="1" t="s">
        <v>1281</v>
      </c>
      <c r="B1233" s="2" t="s">
        <v>355</v>
      </c>
      <c r="C1233" s="2" t="s">
        <v>1051</v>
      </c>
      <c r="D1233" s="8" t="s">
        <v>459</v>
      </c>
      <c r="E1233" s="459"/>
      <c r="F1233" s="6"/>
      <c r="G1233" s="451"/>
      <c r="H1233" s="6"/>
      <c r="I1233" s="6"/>
      <c r="J1233" s="6"/>
      <c r="K1233" s="6"/>
      <c r="L1233" s="6"/>
      <c r="M1233" s="451"/>
      <c r="N1233" s="451"/>
      <c r="O1233" s="6"/>
      <c r="P1233" s="6"/>
      <c r="Q1233" s="451"/>
      <c r="R1233" s="451"/>
      <c r="S1233" s="445">
        <f t="shared" si="111"/>
        <v>0</v>
      </c>
      <c r="T1233" s="445">
        <f t="shared" si="112"/>
        <v>0</v>
      </c>
      <c r="U1233" s="445">
        <f t="shared" si="113"/>
        <v>0</v>
      </c>
      <c r="W1233" s="450"/>
      <c r="X1233" s="450"/>
      <c r="Y1233" s="441"/>
      <c r="Z1233" s="441"/>
      <c r="AA1233" s="441"/>
      <c r="AB1233" s="441"/>
      <c r="AC1233" s="441"/>
      <c r="AD1233" s="441"/>
      <c r="AE1233" s="441"/>
      <c r="AF1233" s="441"/>
      <c r="AG1233" s="441"/>
      <c r="AH1233" s="441"/>
      <c r="AI1233" s="441"/>
      <c r="AJ1233" s="441"/>
      <c r="AK1233" s="441"/>
      <c r="AL1233" s="441"/>
      <c r="AM1233" s="441"/>
      <c r="AN1233" s="441"/>
      <c r="AO1233" s="441"/>
    </row>
    <row r="1234" spans="1:41" ht="12.75" hidden="1" thickBot="1">
      <c r="A1234" s="1" t="s">
        <v>1281</v>
      </c>
      <c r="B1234" s="2" t="s">
        <v>359</v>
      </c>
      <c r="C1234" s="2" t="s">
        <v>1052</v>
      </c>
      <c r="D1234" s="8" t="s">
        <v>459</v>
      </c>
      <c r="E1234" s="460"/>
      <c r="F1234" s="4"/>
      <c r="G1234" s="449"/>
      <c r="H1234" s="4"/>
      <c r="I1234" s="4"/>
      <c r="J1234" s="4"/>
      <c r="K1234" s="4"/>
      <c r="L1234" s="4"/>
      <c r="M1234" s="449"/>
      <c r="N1234" s="449"/>
      <c r="O1234" s="4"/>
      <c r="P1234" s="4"/>
      <c r="Q1234" s="449"/>
      <c r="R1234" s="449"/>
      <c r="S1234" s="445">
        <f t="shared" si="111"/>
        <v>0</v>
      </c>
      <c r="T1234" s="445">
        <f t="shared" si="112"/>
        <v>0</v>
      </c>
      <c r="U1234" s="445">
        <f t="shared" si="113"/>
        <v>0</v>
      </c>
      <c r="W1234" s="450"/>
      <c r="X1234" s="450"/>
      <c r="Y1234" s="441"/>
      <c r="Z1234" s="441"/>
      <c r="AA1234" s="441"/>
      <c r="AB1234" s="441"/>
      <c r="AC1234" s="441"/>
      <c r="AD1234" s="441"/>
      <c r="AE1234" s="441"/>
      <c r="AF1234" s="441"/>
      <c r="AG1234" s="441"/>
      <c r="AH1234" s="441"/>
      <c r="AI1234" s="441"/>
      <c r="AJ1234" s="441"/>
      <c r="AK1234" s="441"/>
      <c r="AL1234" s="441"/>
      <c r="AM1234" s="441"/>
      <c r="AN1234" s="441"/>
      <c r="AO1234" s="441"/>
    </row>
    <row r="1235" spans="1:41" ht="12.75" hidden="1" thickBot="1">
      <c r="A1235" s="1" t="s">
        <v>1281</v>
      </c>
      <c r="B1235" s="2" t="s">
        <v>356</v>
      </c>
      <c r="C1235" s="2" t="s">
        <v>1053</v>
      </c>
      <c r="D1235" s="8" t="s">
        <v>459</v>
      </c>
      <c r="E1235" s="459"/>
      <c r="F1235" s="6"/>
      <c r="G1235" s="451"/>
      <c r="H1235" s="6"/>
      <c r="I1235" s="6"/>
      <c r="J1235" s="6"/>
      <c r="K1235" s="6"/>
      <c r="L1235" s="6"/>
      <c r="M1235" s="451"/>
      <c r="N1235" s="451"/>
      <c r="O1235" s="6"/>
      <c r="P1235" s="6"/>
      <c r="Q1235" s="451"/>
      <c r="R1235" s="451"/>
      <c r="S1235" s="445">
        <f t="shared" si="111"/>
        <v>0</v>
      </c>
      <c r="T1235" s="445">
        <f t="shared" si="112"/>
        <v>0</v>
      </c>
      <c r="U1235" s="445">
        <f t="shared" si="113"/>
        <v>0</v>
      </c>
      <c r="W1235" s="450"/>
      <c r="X1235" s="450"/>
      <c r="Y1235" s="441"/>
      <c r="Z1235" s="441"/>
      <c r="AA1235" s="441"/>
      <c r="AB1235" s="441"/>
      <c r="AC1235" s="441"/>
      <c r="AD1235" s="441"/>
      <c r="AE1235" s="441"/>
      <c r="AF1235" s="441"/>
      <c r="AG1235" s="441"/>
      <c r="AH1235" s="441"/>
      <c r="AI1235" s="441"/>
      <c r="AJ1235" s="441"/>
      <c r="AK1235" s="441"/>
      <c r="AL1235" s="441"/>
      <c r="AM1235" s="441"/>
      <c r="AN1235" s="441"/>
      <c r="AO1235" s="441"/>
    </row>
    <row r="1236" spans="1:41" ht="12.75" hidden="1" thickBot="1">
      <c r="A1236" s="1" t="s">
        <v>1281</v>
      </c>
      <c r="B1236" s="2" t="s">
        <v>357</v>
      </c>
      <c r="C1236" s="2" t="s">
        <v>1054</v>
      </c>
      <c r="D1236" s="8" t="s">
        <v>459</v>
      </c>
      <c r="E1236" s="460"/>
      <c r="F1236" s="4"/>
      <c r="G1236" s="449"/>
      <c r="H1236" s="4"/>
      <c r="I1236" s="4"/>
      <c r="J1236" s="4"/>
      <c r="K1236" s="4"/>
      <c r="L1236" s="4"/>
      <c r="M1236" s="449"/>
      <c r="N1236" s="449"/>
      <c r="O1236" s="4"/>
      <c r="P1236" s="4"/>
      <c r="Q1236" s="449"/>
      <c r="R1236" s="449"/>
      <c r="S1236" s="445">
        <f t="shared" si="111"/>
        <v>0</v>
      </c>
      <c r="T1236" s="445">
        <f t="shared" si="112"/>
        <v>0</v>
      </c>
      <c r="U1236" s="445">
        <f t="shared" si="113"/>
        <v>0</v>
      </c>
      <c r="W1236" s="450"/>
      <c r="X1236" s="450"/>
      <c r="Y1236" s="441"/>
      <c r="Z1236" s="441"/>
      <c r="AA1236" s="441"/>
      <c r="AB1236" s="441"/>
      <c r="AC1236" s="441"/>
      <c r="AD1236" s="441"/>
      <c r="AE1236" s="441"/>
      <c r="AF1236" s="441"/>
      <c r="AG1236" s="441"/>
      <c r="AH1236" s="441"/>
      <c r="AI1236" s="441"/>
      <c r="AJ1236" s="441"/>
      <c r="AK1236" s="441"/>
      <c r="AL1236" s="441"/>
      <c r="AM1236" s="441"/>
      <c r="AN1236" s="441"/>
      <c r="AO1236" s="441"/>
    </row>
    <row r="1237" spans="1:41" ht="12.75" hidden="1" thickBot="1">
      <c r="A1237" s="1" t="s">
        <v>1281</v>
      </c>
      <c r="B1237" s="2" t="s">
        <v>358</v>
      </c>
      <c r="C1237" s="2" t="s">
        <v>1055</v>
      </c>
      <c r="D1237" s="8" t="s">
        <v>459</v>
      </c>
      <c r="E1237" s="459"/>
      <c r="F1237" s="6"/>
      <c r="G1237" s="451"/>
      <c r="H1237" s="6"/>
      <c r="I1237" s="6"/>
      <c r="J1237" s="6"/>
      <c r="K1237" s="6"/>
      <c r="L1237" s="6"/>
      <c r="M1237" s="451"/>
      <c r="N1237" s="451"/>
      <c r="O1237" s="6"/>
      <c r="P1237" s="6"/>
      <c r="Q1237" s="451"/>
      <c r="R1237" s="451"/>
      <c r="S1237" s="445">
        <f t="shared" si="111"/>
        <v>0</v>
      </c>
      <c r="T1237" s="445">
        <f t="shared" si="112"/>
        <v>0</v>
      </c>
      <c r="U1237" s="445">
        <f t="shared" si="113"/>
        <v>0</v>
      </c>
      <c r="W1237" s="450"/>
      <c r="X1237" s="450"/>
      <c r="Y1237" s="441"/>
      <c r="Z1237" s="441"/>
      <c r="AA1237" s="441"/>
      <c r="AB1237" s="441"/>
      <c r="AC1237" s="441"/>
      <c r="AD1237" s="441"/>
      <c r="AE1237" s="441"/>
      <c r="AF1237" s="441"/>
      <c r="AG1237" s="441"/>
      <c r="AH1237" s="441"/>
      <c r="AI1237" s="441"/>
      <c r="AJ1237" s="441"/>
      <c r="AK1237" s="441"/>
      <c r="AL1237" s="441"/>
      <c r="AM1237" s="441"/>
      <c r="AN1237" s="441"/>
      <c r="AO1237" s="441"/>
    </row>
    <row r="1238" spans="1:41" ht="12.75" hidden="1" thickBot="1">
      <c r="A1238" s="1" t="s">
        <v>1281</v>
      </c>
      <c r="B1238" s="2" t="s">
        <v>250</v>
      </c>
      <c r="C1238" s="2" t="s">
        <v>1056</v>
      </c>
      <c r="D1238" s="8" t="s">
        <v>459</v>
      </c>
      <c r="E1238" s="460"/>
      <c r="F1238" s="4"/>
      <c r="G1238" s="449"/>
      <c r="H1238" s="4"/>
      <c r="I1238" s="4"/>
      <c r="J1238" s="4"/>
      <c r="K1238" s="4"/>
      <c r="L1238" s="4"/>
      <c r="M1238" s="449"/>
      <c r="N1238" s="449"/>
      <c r="O1238" s="4"/>
      <c r="P1238" s="4"/>
      <c r="Q1238" s="449"/>
      <c r="R1238" s="449"/>
      <c r="S1238" s="445">
        <f t="shared" si="111"/>
        <v>0</v>
      </c>
      <c r="T1238" s="445">
        <f t="shared" si="112"/>
        <v>0</v>
      </c>
      <c r="U1238" s="445">
        <f t="shared" si="113"/>
        <v>0</v>
      </c>
      <c r="W1238" s="450"/>
      <c r="X1238" s="450"/>
      <c r="Y1238" s="441"/>
      <c r="Z1238" s="441"/>
      <c r="AA1238" s="441"/>
      <c r="AB1238" s="441"/>
      <c r="AC1238" s="441"/>
      <c r="AD1238" s="441"/>
      <c r="AE1238" s="441"/>
      <c r="AF1238" s="441"/>
      <c r="AG1238" s="441"/>
      <c r="AH1238" s="441"/>
      <c r="AI1238" s="441"/>
      <c r="AJ1238" s="441"/>
      <c r="AK1238" s="441"/>
      <c r="AL1238" s="441"/>
      <c r="AM1238" s="441"/>
      <c r="AN1238" s="441"/>
      <c r="AO1238" s="441"/>
    </row>
    <row r="1239" spans="1:41" ht="12.75" hidden="1" thickBot="1">
      <c r="A1239" s="1" t="s">
        <v>1281</v>
      </c>
      <c r="B1239" s="2" t="s">
        <v>251</v>
      </c>
      <c r="C1239" s="2" t="s">
        <v>1057</v>
      </c>
      <c r="D1239" s="8" t="s">
        <v>459</v>
      </c>
      <c r="E1239" s="459"/>
      <c r="F1239" s="6"/>
      <c r="G1239" s="451"/>
      <c r="H1239" s="6"/>
      <c r="I1239" s="6"/>
      <c r="J1239" s="6"/>
      <c r="K1239" s="6"/>
      <c r="L1239" s="6"/>
      <c r="M1239" s="451"/>
      <c r="N1239" s="451"/>
      <c r="O1239" s="6"/>
      <c r="P1239" s="6"/>
      <c r="Q1239" s="451"/>
      <c r="R1239" s="451"/>
      <c r="S1239" s="445">
        <f t="shared" si="111"/>
        <v>0</v>
      </c>
      <c r="T1239" s="445">
        <f t="shared" si="112"/>
        <v>0</v>
      </c>
      <c r="U1239" s="445">
        <f t="shared" si="113"/>
        <v>0</v>
      </c>
      <c r="W1239" s="450"/>
      <c r="X1239" s="450"/>
      <c r="Y1239" s="441"/>
      <c r="Z1239" s="441"/>
      <c r="AA1239" s="441"/>
      <c r="AB1239" s="441"/>
      <c r="AC1239" s="441"/>
      <c r="AD1239" s="441"/>
      <c r="AE1239" s="441"/>
      <c r="AF1239" s="441"/>
      <c r="AG1239" s="441"/>
      <c r="AH1239" s="441"/>
      <c r="AI1239" s="441"/>
      <c r="AJ1239" s="441"/>
      <c r="AK1239" s="441"/>
      <c r="AL1239" s="441"/>
      <c r="AM1239" s="441"/>
      <c r="AN1239" s="441"/>
      <c r="AO1239" s="441"/>
    </row>
    <row r="1240" spans="1:41" ht="12.75" hidden="1" thickBot="1">
      <c r="A1240" s="1" t="s">
        <v>1281</v>
      </c>
      <c r="B1240" s="2" t="s">
        <v>254</v>
      </c>
      <c r="C1240" s="2" t="s">
        <v>1058</v>
      </c>
      <c r="D1240" s="8" t="s">
        <v>459</v>
      </c>
      <c r="E1240" s="460"/>
      <c r="F1240" s="4"/>
      <c r="G1240" s="449"/>
      <c r="H1240" s="4"/>
      <c r="I1240" s="4"/>
      <c r="J1240" s="4"/>
      <c r="K1240" s="4"/>
      <c r="L1240" s="4"/>
      <c r="M1240" s="449"/>
      <c r="N1240" s="449"/>
      <c r="O1240" s="4"/>
      <c r="P1240" s="4"/>
      <c r="Q1240" s="449"/>
      <c r="R1240" s="449"/>
      <c r="S1240" s="445">
        <f t="shared" si="111"/>
        <v>0</v>
      </c>
      <c r="T1240" s="445">
        <f t="shared" si="112"/>
        <v>0</v>
      </c>
      <c r="U1240" s="445">
        <f t="shared" si="113"/>
        <v>0</v>
      </c>
      <c r="W1240" s="450"/>
      <c r="X1240" s="450"/>
      <c r="Y1240" s="441"/>
      <c r="Z1240" s="441"/>
      <c r="AA1240" s="441"/>
      <c r="AB1240" s="441"/>
      <c r="AC1240" s="441"/>
      <c r="AD1240" s="441"/>
      <c r="AE1240" s="441"/>
      <c r="AF1240" s="441"/>
      <c r="AG1240" s="441"/>
      <c r="AH1240" s="441"/>
      <c r="AI1240" s="441"/>
      <c r="AJ1240" s="441"/>
      <c r="AK1240" s="441"/>
      <c r="AL1240" s="441"/>
      <c r="AM1240" s="441"/>
      <c r="AN1240" s="441"/>
      <c r="AO1240" s="441"/>
    </row>
    <row r="1241" spans="1:41" ht="12.75" hidden="1" thickBot="1">
      <c r="A1241" s="1" t="s">
        <v>1281</v>
      </c>
      <c r="B1241" s="2" t="s">
        <v>260</v>
      </c>
      <c r="C1241" s="2" t="s">
        <v>1059</v>
      </c>
      <c r="D1241" s="8" t="s">
        <v>459</v>
      </c>
      <c r="E1241" s="459"/>
      <c r="F1241" s="6"/>
      <c r="G1241" s="451"/>
      <c r="H1241" s="6"/>
      <c r="I1241" s="6"/>
      <c r="J1241" s="6"/>
      <c r="K1241" s="6"/>
      <c r="L1241" s="6"/>
      <c r="M1241" s="451"/>
      <c r="N1241" s="451"/>
      <c r="O1241" s="6"/>
      <c r="P1241" s="6"/>
      <c r="Q1241" s="451"/>
      <c r="R1241" s="451"/>
      <c r="S1241" s="445">
        <f t="shared" si="111"/>
        <v>0</v>
      </c>
      <c r="T1241" s="445">
        <f t="shared" si="112"/>
        <v>0</v>
      </c>
      <c r="U1241" s="445">
        <f t="shared" si="113"/>
        <v>0</v>
      </c>
      <c r="W1241" s="450"/>
      <c r="X1241" s="450"/>
      <c r="Y1241" s="441"/>
      <c r="Z1241" s="441"/>
      <c r="AA1241" s="441"/>
      <c r="AB1241" s="441"/>
      <c r="AC1241" s="441"/>
      <c r="AD1241" s="441"/>
      <c r="AE1241" s="441"/>
      <c r="AF1241" s="441"/>
      <c r="AG1241" s="441"/>
      <c r="AH1241" s="441"/>
      <c r="AI1241" s="441"/>
      <c r="AJ1241" s="441"/>
      <c r="AK1241" s="441"/>
      <c r="AL1241" s="441"/>
      <c r="AM1241" s="441"/>
      <c r="AN1241" s="441"/>
      <c r="AO1241" s="441"/>
    </row>
    <row r="1242" spans="1:41" ht="12.75" hidden="1" thickBot="1">
      <c r="A1242" s="1" t="s">
        <v>1281</v>
      </c>
      <c r="B1242" s="2" t="s">
        <v>262</v>
      </c>
      <c r="C1242" s="2" t="s">
        <v>1060</v>
      </c>
      <c r="D1242" s="8" t="s">
        <v>459</v>
      </c>
      <c r="E1242" s="460"/>
      <c r="F1242" s="4"/>
      <c r="G1242" s="449"/>
      <c r="H1242" s="4"/>
      <c r="I1242" s="4"/>
      <c r="J1242" s="4"/>
      <c r="K1242" s="4"/>
      <c r="L1242" s="4"/>
      <c r="M1242" s="449"/>
      <c r="N1242" s="449"/>
      <c r="O1242" s="4"/>
      <c r="P1242" s="4"/>
      <c r="Q1242" s="449"/>
      <c r="R1242" s="449"/>
      <c r="S1242" s="445">
        <f t="shared" si="111"/>
        <v>0</v>
      </c>
      <c r="T1242" s="445">
        <f t="shared" si="112"/>
        <v>0</v>
      </c>
      <c r="U1242" s="445">
        <f t="shared" si="113"/>
        <v>0</v>
      </c>
      <c r="W1242" s="450"/>
      <c r="X1242" s="450"/>
      <c r="Y1242" s="441"/>
      <c r="Z1242" s="441"/>
      <c r="AA1242" s="441"/>
      <c r="AB1242" s="441"/>
      <c r="AC1242" s="441"/>
      <c r="AD1242" s="441"/>
      <c r="AE1242" s="441"/>
      <c r="AF1242" s="441"/>
      <c r="AG1242" s="441"/>
      <c r="AH1242" s="441"/>
      <c r="AI1242" s="441"/>
      <c r="AJ1242" s="441"/>
      <c r="AK1242" s="441"/>
      <c r="AL1242" s="441"/>
      <c r="AM1242" s="441"/>
      <c r="AN1242" s="441"/>
      <c r="AO1242" s="441"/>
    </row>
    <row r="1243" spans="1:41" ht="12.75" hidden="1" thickBot="1">
      <c r="A1243" s="1" t="s">
        <v>1281</v>
      </c>
      <c r="B1243" s="2" t="s">
        <v>340</v>
      </c>
      <c r="C1243" s="2" t="s">
        <v>1061</v>
      </c>
      <c r="D1243" s="8" t="s">
        <v>567</v>
      </c>
      <c r="E1243" s="459"/>
      <c r="F1243" s="6"/>
      <c r="G1243" s="451"/>
      <c r="H1243" s="6"/>
      <c r="I1243" s="6"/>
      <c r="J1243" s="6"/>
      <c r="K1243" s="6"/>
      <c r="L1243" s="6"/>
      <c r="M1243" s="451"/>
      <c r="N1243" s="451"/>
      <c r="O1243" s="6"/>
      <c r="P1243" s="6"/>
      <c r="Q1243" s="6"/>
      <c r="R1243" s="451"/>
      <c r="S1243" s="445">
        <f t="shared" si="111"/>
        <v>0</v>
      </c>
      <c r="T1243" s="445">
        <f t="shared" si="112"/>
        <v>0</v>
      </c>
      <c r="U1243" s="445">
        <f t="shared" si="113"/>
        <v>0</v>
      </c>
      <c r="W1243" s="450"/>
      <c r="X1243" s="450"/>
      <c r="Y1243" s="441"/>
      <c r="Z1243" s="441"/>
      <c r="AA1243" s="441"/>
      <c r="AB1243" s="441"/>
      <c r="AC1243" s="441"/>
      <c r="AD1243" s="441"/>
      <c r="AE1243" s="441"/>
      <c r="AF1243" s="441"/>
      <c r="AG1243" s="441"/>
      <c r="AH1243" s="441"/>
      <c r="AI1243" s="441"/>
      <c r="AJ1243" s="441"/>
      <c r="AK1243" s="441"/>
      <c r="AL1243" s="441"/>
      <c r="AM1243" s="441"/>
      <c r="AN1243" s="441"/>
      <c r="AO1243" s="441"/>
    </row>
    <row r="1244" spans="1:41" ht="12.75" hidden="1" thickBot="1">
      <c r="A1244" s="1" t="s">
        <v>1281</v>
      </c>
      <c r="B1244" s="2" t="s">
        <v>692</v>
      </c>
      <c r="C1244" s="2" t="s">
        <v>1062</v>
      </c>
      <c r="D1244" s="8" t="s">
        <v>567</v>
      </c>
      <c r="E1244" s="460"/>
      <c r="F1244" s="4"/>
      <c r="G1244" s="449"/>
      <c r="H1244" s="4"/>
      <c r="I1244" s="4"/>
      <c r="J1244" s="4"/>
      <c r="K1244" s="4"/>
      <c r="L1244" s="4"/>
      <c r="M1244" s="449"/>
      <c r="N1244" s="449"/>
      <c r="O1244" s="4"/>
      <c r="P1244" s="4"/>
      <c r="Q1244" s="4"/>
      <c r="R1244" s="449"/>
      <c r="S1244" s="445">
        <f t="shared" si="111"/>
        <v>0</v>
      </c>
      <c r="T1244" s="445">
        <f t="shared" si="112"/>
        <v>0</v>
      </c>
      <c r="U1244" s="445">
        <f t="shared" si="113"/>
        <v>0</v>
      </c>
      <c r="W1244" s="450"/>
      <c r="X1244" s="450"/>
      <c r="Y1244" s="441"/>
      <c r="Z1244" s="441"/>
      <c r="AA1244" s="441"/>
      <c r="AB1244" s="441"/>
      <c r="AC1244" s="441"/>
      <c r="AD1244" s="441"/>
      <c r="AE1244" s="441"/>
      <c r="AF1244" s="441"/>
      <c r="AG1244" s="441"/>
      <c r="AH1244" s="441"/>
      <c r="AI1244" s="441"/>
      <c r="AJ1244" s="441"/>
      <c r="AK1244" s="441"/>
      <c r="AL1244" s="441"/>
      <c r="AM1244" s="441"/>
      <c r="AN1244" s="441"/>
      <c r="AO1244" s="441"/>
    </row>
    <row r="1245" spans="1:41" ht="12.75" hidden="1" thickBot="1">
      <c r="A1245" s="1" t="s">
        <v>1281</v>
      </c>
      <c r="B1245" s="2" t="s">
        <v>292</v>
      </c>
      <c r="C1245" s="2" t="s">
        <v>1063</v>
      </c>
      <c r="D1245" s="8" t="s">
        <v>567</v>
      </c>
      <c r="E1245" s="459"/>
      <c r="F1245" s="6"/>
      <c r="G1245" s="451"/>
      <c r="H1245" s="6"/>
      <c r="I1245" s="6"/>
      <c r="J1245" s="6"/>
      <c r="K1245" s="6"/>
      <c r="L1245" s="6"/>
      <c r="M1245" s="451"/>
      <c r="N1245" s="451"/>
      <c r="O1245" s="6"/>
      <c r="P1245" s="6"/>
      <c r="Q1245" s="451"/>
      <c r="R1245" s="451"/>
      <c r="S1245" s="445">
        <f t="shared" si="111"/>
        <v>0</v>
      </c>
      <c r="T1245" s="445">
        <f t="shared" si="112"/>
        <v>0</v>
      </c>
      <c r="U1245" s="445">
        <f t="shared" si="113"/>
        <v>0</v>
      </c>
      <c r="W1245" s="450"/>
      <c r="X1245" s="450"/>
      <c r="Y1245" s="441"/>
      <c r="Z1245" s="441"/>
      <c r="AA1245" s="441"/>
      <c r="AB1245" s="441"/>
      <c r="AC1245" s="441"/>
      <c r="AD1245" s="441"/>
      <c r="AE1245" s="441"/>
      <c r="AF1245" s="441"/>
      <c r="AG1245" s="441"/>
      <c r="AH1245" s="441"/>
      <c r="AI1245" s="441"/>
      <c r="AJ1245" s="441"/>
      <c r="AK1245" s="441"/>
      <c r="AL1245" s="441"/>
      <c r="AM1245" s="441"/>
      <c r="AN1245" s="441"/>
      <c r="AO1245" s="441"/>
    </row>
    <row r="1246" spans="1:41" ht="12.75" hidden="1" thickBot="1">
      <c r="A1246" s="1" t="s">
        <v>1281</v>
      </c>
      <c r="B1246" s="2" t="s">
        <v>293</v>
      </c>
      <c r="C1246" s="2" t="s">
        <v>1064</v>
      </c>
      <c r="D1246" s="8" t="s">
        <v>567</v>
      </c>
      <c r="E1246" s="460"/>
      <c r="F1246" s="4"/>
      <c r="G1246" s="449"/>
      <c r="H1246" s="4"/>
      <c r="I1246" s="4"/>
      <c r="J1246" s="4"/>
      <c r="K1246" s="4"/>
      <c r="L1246" s="4"/>
      <c r="M1246" s="449"/>
      <c r="N1246" s="449"/>
      <c r="O1246" s="4"/>
      <c r="P1246" s="4"/>
      <c r="Q1246" s="449"/>
      <c r="R1246" s="449"/>
      <c r="S1246" s="445">
        <f t="shared" si="111"/>
        <v>0</v>
      </c>
      <c r="T1246" s="445">
        <f t="shared" si="112"/>
        <v>0</v>
      </c>
      <c r="U1246" s="445">
        <f t="shared" si="113"/>
        <v>0</v>
      </c>
      <c r="W1246" s="450"/>
      <c r="X1246" s="450"/>
      <c r="Y1246" s="441"/>
      <c r="Z1246" s="441"/>
      <c r="AA1246" s="441"/>
      <c r="AB1246" s="441"/>
      <c r="AC1246" s="441"/>
      <c r="AD1246" s="441"/>
      <c r="AE1246" s="441"/>
      <c r="AF1246" s="441"/>
      <c r="AG1246" s="441"/>
      <c r="AH1246" s="441"/>
      <c r="AI1246" s="441"/>
      <c r="AJ1246" s="441"/>
      <c r="AK1246" s="441"/>
      <c r="AL1246" s="441"/>
      <c r="AM1246" s="441"/>
      <c r="AN1246" s="441"/>
      <c r="AO1246" s="441"/>
    </row>
    <row r="1247" spans="1:41" ht="12.75" hidden="1" thickBot="1">
      <c r="A1247" s="1" t="s">
        <v>1281</v>
      </c>
      <c r="B1247" s="2" t="s">
        <v>295</v>
      </c>
      <c r="C1247" s="2" t="s">
        <v>1065</v>
      </c>
      <c r="D1247" s="8" t="s">
        <v>567</v>
      </c>
      <c r="E1247" s="459"/>
      <c r="F1247" s="6"/>
      <c r="G1247" s="451"/>
      <c r="H1247" s="6"/>
      <c r="I1247" s="6"/>
      <c r="J1247" s="6"/>
      <c r="K1247" s="6"/>
      <c r="L1247" s="6"/>
      <c r="M1247" s="451"/>
      <c r="N1247" s="451"/>
      <c r="O1247" s="6"/>
      <c r="P1247" s="6"/>
      <c r="Q1247" s="451"/>
      <c r="R1247" s="451"/>
      <c r="S1247" s="445">
        <f t="shared" si="111"/>
        <v>0</v>
      </c>
      <c r="T1247" s="445">
        <f t="shared" si="112"/>
        <v>0</v>
      </c>
      <c r="U1247" s="445">
        <f t="shared" si="113"/>
        <v>0</v>
      </c>
      <c r="W1247" s="450"/>
      <c r="X1247" s="450"/>
      <c r="Y1247" s="441"/>
      <c r="Z1247" s="441"/>
      <c r="AA1247" s="441"/>
      <c r="AB1247" s="441"/>
      <c r="AC1247" s="441"/>
      <c r="AD1247" s="441"/>
      <c r="AE1247" s="441"/>
      <c r="AF1247" s="441"/>
      <c r="AG1247" s="441"/>
      <c r="AH1247" s="441"/>
      <c r="AI1247" s="441"/>
      <c r="AJ1247" s="441"/>
      <c r="AK1247" s="441"/>
      <c r="AL1247" s="441"/>
      <c r="AM1247" s="441"/>
      <c r="AN1247" s="441"/>
      <c r="AO1247" s="441"/>
    </row>
    <row r="1248" spans="1:41" ht="12.75" hidden="1" thickBot="1">
      <c r="A1248" s="1" t="s">
        <v>1281</v>
      </c>
      <c r="B1248" s="2" t="s">
        <v>296</v>
      </c>
      <c r="C1248" s="2" t="s">
        <v>1066</v>
      </c>
      <c r="D1248" s="8" t="s">
        <v>567</v>
      </c>
      <c r="E1248" s="460"/>
      <c r="F1248" s="4"/>
      <c r="G1248" s="449"/>
      <c r="H1248" s="4"/>
      <c r="I1248" s="4"/>
      <c r="J1248" s="4"/>
      <c r="K1248" s="4"/>
      <c r="L1248" s="4"/>
      <c r="M1248" s="449"/>
      <c r="N1248" s="449"/>
      <c r="O1248" s="4"/>
      <c r="P1248" s="4"/>
      <c r="Q1248" s="449"/>
      <c r="R1248" s="449"/>
      <c r="S1248" s="445">
        <f t="shared" si="111"/>
        <v>0</v>
      </c>
      <c r="T1248" s="445">
        <f t="shared" si="112"/>
        <v>0</v>
      </c>
      <c r="U1248" s="445">
        <f t="shared" si="113"/>
        <v>0</v>
      </c>
      <c r="W1248" s="450"/>
      <c r="X1248" s="450"/>
      <c r="Y1248" s="441"/>
      <c r="Z1248" s="441"/>
      <c r="AA1248" s="441"/>
      <c r="AB1248" s="441"/>
      <c r="AC1248" s="441"/>
      <c r="AD1248" s="441"/>
      <c r="AE1248" s="441"/>
      <c r="AF1248" s="441"/>
      <c r="AG1248" s="441"/>
      <c r="AH1248" s="441"/>
      <c r="AI1248" s="441"/>
      <c r="AJ1248" s="441"/>
      <c r="AK1248" s="441"/>
      <c r="AL1248" s="441"/>
      <c r="AM1248" s="441"/>
      <c r="AN1248" s="441"/>
      <c r="AO1248" s="441"/>
    </row>
    <row r="1249" spans="1:41" ht="12.75" hidden="1" thickBot="1">
      <c r="A1249" s="1" t="s">
        <v>1281</v>
      </c>
      <c r="B1249" s="2" t="s">
        <v>297</v>
      </c>
      <c r="C1249" s="2" t="s">
        <v>1067</v>
      </c>
      <c r="D1249" s="8" t="s">
        <v>459</v>
      </c>
      <c r="E1249" s="459"/>
      <c r="F1249" s="6"/>
      <c r="G1249" s="451"/>
      <c r="H1249" s="6"/>
      <c r="I1249" s="6"/>
      <c r="J1249" s="6"/>
      <c r="K1249" s="6"/>
      <c r="L1249" s="6"/>
      <c r="M1249" s="451"/>
      <c r="N1249" s="451"/>
      <c r="O1249" s="6"/>
      <c r="P1249" s="6"/>
      <c r="Q1249" s="451"/>
      <c r="R1249" s="451"/>
      <c r="S1249" s="445">
        <f t="shared" si="111"/>
        <v>0</v>
      </c>
      <c r="T1249" s="445">
        <f t="shared" si="112"/>
        <v>0</v>
      </c>
      <c r="U1249" s="445">
        <f t="shared" si="113"/>
        <v>0</v>
      </c>
      <c r="W1249" s="450"/>
      <c r="X1249" s="450"/>
      <c r="Y1249" s="441"/>
      <c r="Z1249" s="441"/>
      <c r="AA1249" s="441"/>
      <c r="AB1249" s="441"/>
      <c r="AC1249" s="441"/>
      <c r="AD1249" s="441"/>
      <c r="AE1249" s="441"/>
      <c r="AF1249" s="441"/>
      <c r="AG1249" s="441"/>
      <c r="AH1249" s="441"/>
      <c r="AI1249" s="441"/>
      <c r="AJ1249" s="441"/>
      <c r="AK1249" s="441"/>
      <c r="AL1249" s="441"/>
      <c r="AM1249" s="441"/>
      <c r="AN1249" s="441"/>
      <c r="AO1249" s="441"/>
    </row>
    <row r="1250" spans="1:41" ht="12.75" hidden="1" thickBot="1">
      <c r="A1250" s="1" t="s">
        <v>1281</v>
      </c>
      <c r="B1250" s="2" t="s">
        <v>299</v>
      </c>
      <c r="C1250" s="2" t="s">
        <v>1068</v>
      </c>
      <c r="D1250" s="8" t="s">
        <v>459</v>
      </c>
      <c r="E1250" s="460"/>
      <c r="F1250" s="4"/>
      <c r="G1250" s="449"/>
      <c r="H1250" s="4"/>
      <c r="I1250" s="4"/>
      <c r="J1250" s="4"/>
      <c r="K1250" s="4"/>
      <c r="L1250" s="4"/>
      <c r="M1250" s="449"/>
      <c r="N1250" s="449"/>
      <c r="O1250" s="4"/>
      <c r="P1250" s="4"/>
      <c r="Q1250" s="449"/>
      <c r="R1250" s="449"/>
      <c r="S1250" s="445">
        <f t="shared" si="111"/>
        <v>0</v>
      </c>
      <c r="T1250" s="445">
        <f t="shared" si="112"/>
        <v>0</v>
      </c>
      <c r="U1250" s="445">
        <f t="shared" si="113"/>
        <v>0</v>
      </c>
      <c r="W1250" s="450"/>
      <c r="X1250" s="450"/>
      <c r="Y1250" s="441"/>
      <c r="Z1250" s="441"/>
      <c r="AA1250" s="441"/>
      <c r="AB1250" s="441"/>
      <c r="AC1250" s="441"/>
      <c r="AD1250" s="441"/>
      <c r="AE1250" s="441"/>
      <c r="AF1250" s="441"/>
      <c r="AG1250" s="441"/>
      <c r="AH1250" s="441"/>
      <c r="AI1250" s="441"/>
      <c r="AJ1250" s="441"/>
      <c r="AK1250" s="441"/>
      <c r="AL1250" s="441"/>
      <c r="AM1250" s="441"/>
      <c r="AN1250" s="441"/>
      <c r="AO1250" s="441"/>
    </row>
    <row r="1251" spans="1:41" ht="12.75" hidden="1" thickBot="1">
      <c r="A1251" s="1" t="s">
        <v>1281</v>
      </c>
      <c r="B1251" s="2" t="s">
        <v>300</v>
      </c>
      <c r="C1251" s="2" t="s">
        <v>1069</v>
      </c>
      <c r="D1251" s="8" t="s">
        <v>567</v>
      </c>
      <c r="E1251" s="459"/>
      <c r="F1251" s="6"/>
      <c r="G1251" s="451"/>
      <c r="H1251" s="6"/>
      <c r="I1251" s="6"/>
      <c r="J1251" s="6"/>
      <c r="K1251" s="6"/>
      <c r="L1251" s="6"/>
      <c r="M1251" s="451"/>
      <c r="N1251" s="451"/>
      <c r="O1251" s="6"/>
      <c r="P1251" s="6"/>
      <c r="Q1251" s="451"/>
      <c r="R1251" s="451"/>
      <c r="S1251" s="445">
        <f t="shared" si="111"/>
        <v>0</v>
      </c>
      <c r="T1251" s="445">
        <f t="shared" si="112"/>
        <v>0</v>
      </c>
      <c r="U1251" s="445">
        <f t="shared" si="113"/>
        <v>0</v>
      </c>
      <c r="W1251" s="450"/>
      <c r="X1251" s="450"/>
      <c r="Y1251" s="441"/>
      <c r="Z1251" s="441"/>
      <c r="AA1251" s="441"/>
      <c r="AB1251" s="441"/>
      <c r="AC1251" s="441"/>
      <c r="AD1251" s="441"/>
      <c r="AE1251" s="441"/>
      <c r="AF1251" s="441"/>
      <c r="AG1251" s="441"/>
      <c r="AH1251" s="441"/>
      <c r="AI1251" s="441"/>
      <c r="AJ1251" s="441"/>
      <c r="AK1251" s="441"/>
      <c r="AL1251" s="441"/>
      <c r="AM1251" s="441"/>
      <c r="AN1251" s="441"/>
      <c r="AO1251" s="441"/>
    </row>
    <row r="1252" spans="1:41" ht="12.75" hidden="1" thickBot="1">
      <c r="A1252" s="1" t="s">
        <v>1281</v>
      </c>
      <c r="B1252" s="2" t="s">
        <v>301</v>
      </c>
      <c r="C1252" s="2" t="s">
        <v>1070</v>
      </c>
      <c r="D1252" s="8" t="s">
        <v>567</v>
      </c>
      <c r="E1252" s="460"/>
      <c r="F1252" s="4"/>
      <c r="G1252" s="449"/>
      <c r="H1252" s="4"/>
      <c r="I1252" s="4"/>
      <c r="J1252" s="4"/>
      <c r="K1252" s="4"/>
      <c r="L1252" s="4"/>
      <c r="M1252" s="449"/>
      <c r="N1252" s="449"/>
      <c r="O1252" s="4"/>
      <c r="P1252" s="4"/>
      <c r="Q1252" s="449"/>
      <c r="R1252" s="449"/>
      <c r="S1252" s="445">
        <f t="shared" si="111"/>
        <v>0</v>
      </c>
      <c r="T1252" s="445">
        <f t="shared" si="112"/>
        <v>0</v>
      </c>
      <c r="U1252" s="445">
        <f t="shared" si="113"/>
        <v>0</v>
      </c>
      <c r="W1252" s="450"/>
      <c r="X1252" s="450"/>
      <c r="Y1252" s="441"/>
      <c r="Z1252" s="441"/>
      <c r="AA1252" s="441"/>
      <c r="AB1252" s="441"/>
      <c r="AC1252" s="441"/>
      <c r="AD1252" s="441"/>
      <c r="AE1252" s="441"/>
      <c r="AF1252" s="441"/>
      <c r="AG1252" s="441"/>
      <c r="AH1252" s="441"/>
      <c r="AI1252" s="441"/>
      <c r="AJ1252" s="441"/>
      <c r="AK1252" s="441"/>
      <c r="AL1252" s="441"/>
      <c r="AM1252" s="441"/>
      <c r="AN1252" s="441"/>
      <c r="AO1252" s="441"/>
    </row>
    <row r="1253" spans="1:41" ht="12.75" hidden="1" thickBot="1">
      <c r="A1253" s="1" t="s">
        <v>1281</v>
      </c>
      <c r="B1253" s="2" t="s">
        <v>302</v>
      </c>
      <c r="C1253" s="2" t="s">
        <v>1071</v>
      </c>
      <c r="D1253" s="8" t="s">
        <v>567</v>
      </c>
      <c r="E1253" s="459"/>
      <c r="F1253" s="6"/>
      <c r="G1253" s="451"/>
      <c r="H1253" s="6"/>
      <c r="I1253" s="6"/>
      <c r="J1253" s="6"/>
      <c r="K1253" s="6"/>
      <c r="L1253" s="6"/>
      <c r="M1253" s="451"/>
      <c r="N1253" s="451"/>
      <c r="O1253" s="6"/>
      <c r="P1253" s="6"/>
      <c r="Q1253" s="451"/>
      <c r="R1253" s="451"/>
      <c r="S1253" s="445">
        <f t="shared" si="111"/>
        <v>0</v>
      </c>
      <c r="T1253" s="445">
        <f t="shared" si="112"/>
        <v>0</v>
      </c>
      <c r="U1253" s="445">
        <f t="shared" si="113"/>
        <v>0</v>
      </c>
      <c r="W1253" s="450"/>
      <c r="X1253" s="450"/>
      <c r="Y1253" s="441"/>
      <c r="Z1253" s="441"/>
      <c r="AA1253" s="441"/>
      <c r="AB1253" s="441"/>
      <c r="AC1253" s="441"/>
      <c r="AD1253" s="441"/>
      <c r="AE1253" s="441"/>
      <c r="AF1253" s="441"/>
      <c r="AG1253" s="441"/>
      <c r="AH1253" s="441"/>
      <c r="AI1253" s="441"/>
      <c r="AJ1253" s="441"/>
      <c r="AK1253" s="441"/>
      <c r="AL1253" s="441"/>
      <c r="AM1253" s="441"/>
      <c r="AN1253" s="441"/>
      <c r="AO1253" s="441"/>
    </row>
    <row r="1254" spans="1:41" ht="12.75" hidden="1" thickBot="1">
      <c r="A1254" s="1" t="s">
        <v>1281</v>
      </c>
      <c r="B1254" s="2" t="s">
        <v>303</v>
      </c>
      <c r="C1254" s="2" t="s">
        <v>1072</v>
      </c>
      <c r="D1254" s="8" t="s">
        <v>567</v>
      </c>
      <c r="E1254" s="460"/>
      <c r="F1254" s="4"/>
      <c r="G1254" s="449"/>
      <c r="H1254" s="4"/>
      <c r="I1254" s="4"/>
      <c r="J1254" s="4"/>
      <c r="K1254" s="4"/>
      <c r="L1254" s="4"/>
      <c r="M1254" s="449"/>
      <c r="N1254" s="449"/>
      <c r="O1254" s="4"/>
      <c r="P1254" s="4"/>
      <c r="Q1254" s="449"/>
      <c r="R1254" s="449"/>
      <c r="S1254" s="445">
        <f t="shared" si="111"/>
        <v>0</v>
      </c>
      <c r="T1254" s="445">
        <f t="shared" si="112"/>
        <v>0</v>
      </c>
      <c r="U1254" s="445">
        <f t="shared" si="113"/>
        <v>0</v>
      </c>
      <c r="W1254" s="450"/>
      <c r="X1254" s="450"/>
      <c r="Y1254" s="441"/>
      <c r="Z1254" s="441"/>
      <c r="AA1254" s="441"/>
      <c r="AB1254" s="441"/>
      <c r="AC1254" s="441"/>
      <c r="AD1254" s="441"/>
      <c r="AE1254" s="441"/>
      <c r="AF1254" s="441"/>
      <c r="AG1254" s="441"/>
      <c r="AH1254" s="441"/>
      <c r="AI1254" s="441"/>
      <c r="AJ1254" s="441"/>
      <c r="AK1254" s="441"/>
      <c r="AL1254" s="441"/>
      <c r="AM1254" s="441"/>
      <c r="AN1254" s="441"/>
      <c r="AO1254" s="441"/>
    </row>
    <row r="1255" spans="1:41" ht="12.75" hidden="1" thickBot="1">
      <c r="A1255" s="1" t="s">
        <v>1281</v>
      </c>
      <c r="B1255" s="2" t="s">
        <v>304</v>
      </c>
      <c r="C1255" s="2" t="s">
        <v>1073</v>
      </c>
      <c r="D1255" s="8" t="s">
        <v>567</v>
      </c>
      <c r="E1255" s="459"/>
      <c r="F1255" s="6"/>
      <c r="G1255" s="451"/>
      <c r="H1255" s="6"/>
      <c r="I1255" s="6"/>
      <c r="J1255" s="6"/>
      <c r="K1255" s="6"/>
      <c r="L1255" s="6"/>
      <c r="M1255" s="451"/>
      <c r="N1255" s="451"/>
      <c r="O1255" s="6"/>
      <c r="P1255" s="6"/>
      <c r="Q1255" s="451"/>
      <c r="R1255" s="451"/>
      <c r="S1255" s="445">
        <f t="shared" si="111"/>
        <v>0</v>
      </c>
      <c r="T1255" s="445">
        <f t="shared" si="112"/>
        <v>0</v>
      </c>
      <c r="U1255" s="445">
        <f t="shared" si="113"/>
        <v>0</v>
      </c>
      <c r="W1255" s="450"/>
      <c r="X1255" s="450"/>
      <c r="Y1255" s="441"/>
      <c r="Z1255" s="441"/>
      <c r="AA1255" s="441"/>
      <c r="AB1255" s="441"/>
      <c r="AC1255" s="441"/>
      <c r="AD1255" s="441"/>
      <c r="AE1255" s="441"/>
      <c r="AF1255" s="441"/>
      <c r="AG1255" s="441"/>
      <c r="AH1255" s="441"/>
      <c r="AI1255" s="441"/>
      <c r="AJ1255" s="441"/>
      <c r="AK1255" s="441"/>
      <c r="AL1255" s="441"/>
      <c r="AM1255" s="441"/>
      <c r="AN1255" s="441"/>
      <c r="AO1255" s="441"/>
    </row>
    <row r="1256" spans="1:41" ht="12.75" hidden="1" thickBot="1">
      <c r="A1256" s="1" t="s">
        <v>1281</v>
      </c>
      <c r="B1256" s="2" t="s">
        <v>305</v>
      </c>
      <c r="C1256" s="2" t="s">
        <v>1074</v>
      </c>
      <c r="D1256" s="8" t="s">
        <v>567</v>
      </c>
      <c r="E1256" s="460"/>
      <c r="F1256" s="4"/>
      <c r="G1256" s="449"/>
      <c r="H1256" s="4"/>
      <c r="I1256" s="4"/>
      <c r="J1256" s="4"/>
      <c r="K1256" s="4"/>
      <c r="L1256" s="4"/>
      <c r="M1256" s="449"/>
      <c r="N1256" s="449"/>
      <c r="O1256" s="4"/>
      <c r="P1256" s="4"/>
      <c r="Q1256" s="449"/>
      <c r="R1256" s="449"/>
      <c r="S1256" s="445">
        <f t="shared" si="111"/>
        <v>0</v>
      </c>
      <c r="T1256" s="445">
        <f t="shared" si="112"/>
        <v>0</v>
      </c>
      <c r="U1256" s="445">
        <f t="shared" si="113"/>
        <v>0</v>
      </c>
      <c r="W1256" s="450"/>
      <c r="X1256" s="450"/>
      <c r="Y1256" s="441"/>
      <c r="Z1256" s="441"/>
      <c r="AA1256" s="441"/>
      <c r="AB1256" s="441"/>
      <c r="AC1256" s="441"/>
      <c r="AD1256" s="441"/>
      <c r="AE1256" s="441"/>
      <c r="AF1256" s="441"/>
      <c r="AG1256" s="441"/>
      <c r="AH1256" s="441"/>
      <c r="AI1256" s="441"/>
      <c r="AJ1256" s="441"/>
      <c r="AK1256" s="441"/>
      <c r="AL1256" s="441"/>
      <c r="AM1256" s="441"/>
      <c r="AN1256" s="441"/>
      <c r="AO1256" s="441"/>
    </row>
    <row r="1257" spans="1:41" ht="12.75" hidden="1" thickBot="1">
      <c r="A1257" s="1" t="s">
        <v>1281</v>
      </c>
      <c r="B1257" s="2" t="s">
        <v>306</v>
      </c>
      <c r="C1257" s="2" t="s">
        <v>1075</v>
      </c>
      <c r="D1257" s="453" t="s">
        <v>459</v>
      </c>
      <c r="E1257" s="459"/>
      <c r="F1257" s="6"/>
      <c r="G1257" s="451"/>
      <c r="H1257" s="6"/>
      <c r="I1257" s="6"/>
      <c r="J1257" s="6"/>
      <c r="K1257" s="6"/>
      <c r="L1257" s="6"/>
      <c r="M1257" s="451"/>
      <c r="N1257" s="451"/>
      <c r="O1257" s="6"/>
      <c r="P1257" s="6"/>
      <c r="Q1257" s="451"/>
      <c r="R1257" s="451"/>
      <c r="S1257" s="445">
        <f t="shared" si="111"/>
        <v>0</v>
      </c>
      <c r="T1257" s="445">
        <f t="shared" si="112"/>
        <v>0</v>
      </c>
      <c r="U1257" s="445">
        <f t="shared" si="113"/>
        <v>0</v>
      </c>
      <c r="W1257" s="450"/>
      <c r="X1257" s="450"/>
      <c r="Y1257" s="441"/>
      <c r="Z1257" s="441"/>
      <c r="AA1257" s="441"/>
      <c r="AB1257" s="441"/>
      <c r="AC1257" s="441"/>
      <c r="AD1257" s="441"/>
      <c r="AE1257" s="441"/>
      <c r="AF1257" s="441"/>
      <c r="AG1257" s="441"/>
      <c r="AH1257" s="441"/>
      <c r="AI1257" s="441"/>
      <c r="AJ1257" s="441"/>
      <c r="AK1257" s="441"/>
      <c r="AL1257" s="441"/>
      <c r="AM1257" s="441"/>
      <c r="AN1257" s="441"/>
      <c r="AO1257" s="441"/>
    </row>
    <row r="1258" spans="1:41" ht="12.75" hidden="1" thickBot="1">
      <c r="A1258" s="1" t="s">
        <v>1281</v>
      </c>
      <c r="B1258" s="2" t="s">
        <v>307</v>
      </c>
      <c r="C1258" s="2" t="s">
        <v>1076</v>
      </c>
      <c r="D1258" s="8" t="s">
        <v>567</v>
      </c>
      <c r="E1258" s="460"/>
      <c r="F1258" s="4"/>
      <c r="G1258" s="449"/>
      <c r="H1258" s="4"/>
      <c r="I1258" s="4"/>
      <c r="J1258" s="4"/>
      <c r="K1258" s="4"/>
      <c r="L1258" s="4"/>
      <c r="M1258" s="449"/>
      <c r="N1258" s="449"/>
      <c r="O1258" s="4"/>
      <c r="P1258" s="4"/>
      <c r="Q1258" s="449"/>
      <c r="R1258" s="449"/>
      <c r="S1258" s="445">
        <f t="shared" si="111"/>
        <v>0</v>
      </c>
      <c r="T1258" s="445">
        <f t="shared" si="112"/>
        <v>0</v>
      </c>
      <c r="U1258" s="445">
        <f t="shared" si="113"/>
        <v>0</v>
      </c>
      <c r="W1258" s="450"/>
      <c r="X1258" s="450"/>
      <c r="Y1258" s="441"/>
      <c r="Z1258" s="441"/>
      <c r="AA1258" s="441"/>
      <c r="AB1258" s="441"/>
      <c r="AC1258" s="441"/>
      <c r="AD1258" s="441"/>
      <c r="AE1258" s="441"/>
      <c r="AF1258" s="441"/>
      <c r="AG1258" s="441"/>
      <c r="AH1258" s="441"/>
      <c r="AI1258" s="441"/>
      <c r="AJ1258" s="441"/>
      <c r="AK1258" s="441"/>
      <c r="AL1258" s="441"/>
      <c r="AM1258" s="441"/>
      <c r="AN1258" s="441"/>
      <c r="AO1258" s="441"/>
    </row>
    <row r="1259" spans="1:41" ht="12.75" hidden="1" thickBot="1">
      <c r="A1259" s="1" t="s">
        <v>1281</v>
      </c>
      <c r="B1259" s="2" t="s">
        <v>308</v>
      </c>
      <c r="C1259" s="2" t="s">
        <v>1077</v>
      </c>
      <c r="D1259" s="453" t="s">
        <v>459</v>
      </c>
      <c r="E1259" s="459"/>
      <c r="F1259" s="6"/>
      <c r="G1259" s="451"/>
      <c r="H1259" s="6"/>
      <c r="I1259" s="6"/>
      <c r="J1259" s="6"/>
      <c r="K1259" s="6"/>
      <c r="L1259" s="6"/>
      <c r="M1259" s="451"/>
      <c r="N1259" s="451"/>
      <c r="O1259" s="6"/>
      <c r="P1259" s="6"/>
      <c r="Q1259" s="451"/>
      <c r="R1259" s="451"/>
      <c r="S1259" s="445">
        <f t="shared" si="111"/>
        <v>0</v>
      </c>
      <c r="T1259" s="445">
        <f t="shared" si="112"/>
        <v>0</v>
      </c>
      <c r="U1259" s="445">
        <f t="shared" si="113"/>
        <v>0</v>
      </c>
      <c r="W1259" s="450"/>
      <c r="X1259" s="450"/>
      <c r="Y1259" s="441"/>
      <c r="Z1259" s="441"/>
      <c r="AA1259" s="441"/>
      <c r="AB1259" s="441"/>
      <c r="AC1259" s="441"/>
      <c r="AD1259" s="441"/>
      <c r="AE1259" s="441"/>
      <c r="AF1259" s="441"/>
      <c r="AG1259" s="441"/>
      <c r="AH1259" s="441"/>
      <c r="AI1259" s="441"/>
      <c r="AJ1259" s="441"/>
      <c r="AK1259" s="441"/>
      <c r="AL1259" s="441"/>
      <c r="AM1259" s="441"/>
      <c r="AN1259" s="441"/>
      <c r="AO1259" s="441"/>
    </row>
    <row r="1260" spans="1:41" ht="12.75" hidden="1" thickBot="1">
      <c r="A1260" s="1" t="s">
        <v>1281</v>
      </c>
      <c r="B1260" s="2" t="s">
        <v>309</v>
      </c>
      <c r="C1260" s="2" t="s">
        <v>1078</v>
      </c>
      <c r="D1260" s="8" t="s">
        <v>567</v>
      </c>
      <c r="E1260" s="460"/>
      <c r="F1260" s="4"/>
      <c r="G1260" s="449"/>
      <c r="H1260" s="4"/>
      <c r="I1260" s="4"/>
      <c r="J1260" s="4"/>
      <c r="K1260" s="4"/>
      <c r="L1260" s="4"/>
      <c r="M1260" s="449"/>
      <c r="N1260" s="449"/>
      <c r="O1260" s="4"/>
      <c r="P1260" s="4"/>
      <c r="Q1260" s="449"/>
      <c r="R1260" s="449"/>
      <c r="S1260" s="445">
        <f t="shared" si="111"/>
        <v>0</v>
      </c>
      <c r="T1260" s="445">
        <f t="shared" si="112"/>
        <v>0</v>
      </c>
      <c r="U1260" s="445">
        <f t="shared" si="113"/>
        <v>0</v>
      </c>
      <c r="W1260" s="450"/>
      <c r="X1260" s="450"/>
      <c r="Y1260" s="441"/>
      <c r="Z1260" s="441"/>
      <c r="AA1260" s="441"/>
      <c r="AB1260" s="441"/>
      <c r="AC1260" s="441"/>
      <c r="AD1260" s="441"/>
      <c r="AE1260" s="441"/>
      <c r="AF1260" s="441"/>
      <c r="AG1260" s="441"/>
      <c r="AH1260" s="441"/>
      <c r="AI1260" s="441"/>
      <c r="AJ1260" s="441"/>
      <c r="AK1260" s="441"/>
      <c r="AL1260" s="441"/>
      <c r="AM1260" s="441"/>
      <c r="AN1260" s="441"/>
      <c r="AO1260" s="441"/>
    </row>
    <row r="1261" spans="1:41" ht="12.75" hidden="1" thickBot="1">
      <c r="A1261" s="1" t="s">
        <v>1281</v>
      </c>
      <c r="B1261" s="2" t="s">
        <v>310</v>
      </c>
      <c r="C1261" s="2" t="s">
        <v>1079</v>
      </c>
      <c r="D1261" s="453" t="s">
        <v>459</v>
      </c>
      <c r="E1261" s="459"/>
      <c r="F1261" s="6"/>
      <c r="G1261" s="451"/>
      <c r="H1261" s="6"/>
      <c r="I1261" s="6"/>
      <c r="J1261" s="6"/>
      <c r="K1261" s="6"/>
      <c r="L1261" s="6"/>
      <c r="M1261" s="451"/>
      <c r="N1261" s="451"/>
      <c r="O1261" s="6"/>
      <c r="P1261" s="6"/>
      <c r="Q1261" s="451"/>
      <c r="R1261" s="451"/>
      <c r="S1261" s="445">
        <f t="shared" si="111"/>
        <v>0</v>
      </c>
      <c r="T1261" s="445">
        <f t="shared" si="112"/>
        <v>0</v>
      </c>
      <c r="U1261" s="445">
        <f t="shared" si="113"/>
        <v>0</v>
      </c>
      <c r="W1261" s="450"/>
      <c r="X1261" s="450"/>
      <c r="Y1261" s="441"/>
      <c r="Z1261" s="441"/>
      <c r="AA1261" s="441"/>
      <c r="AB1261" s="441"/>
      <c r="AC1261" s="441"/>
      <c r="AD1261" s="441"/>
      <c r="AE1261" s="441"/>
      <c r="AF1261" s="441"/>
      <c r="AG1261" s="441"/>
      <c r="AH1261" s="441"/>
      <c r="AI1261" s="441"/>
      <c r="AJ1261" s="441"/>
      <c r="AK1261" s="441"/>
      <c r="AL1261" s="441"/>
      <c r="AM1261" s="441"/>
      <c r="AN1261" s="441"/>
      <c r="AO1261" s="441"/>
    </row>
    <row r="1262" spans="1:41" ht="12.75" hidden="1" thickBot="1">
      <c r="A1262" s="1" t="s">
        <v>1281</v>
      </c>
      <c r="B1262" s="2" t="s">
        <v>311</v>
      </c>
      <c r="C1262" s="2" t="s">
        <v>1080</v>
      </c>
      <c r="D1262" s="8" t="s">
        <v>567</v>
      </c>
      <c r="E1262" s="460"/>
      <c r="F1262" s="4"/>
      <c r="G1262" s="449"/>
      <c r="H1262" s="4"/>
      <c r="I1262" s="4"/>
      <c r="J1262" s="4"/>
      <c r="K1262" s="4"/>
      <c r="L1262" s="4"/>
      <c r="M1262" s="449"/>
      <c r="N1262" s="449"/>
      <c r="O1262" s="4"/>
      <c r="P1262" s="4"/>
      <c r="Q1262" s="449"/>
      <c r="R1262" s="449"/>
      <c r="S1262" s="445">
        <f t="shared" si="111"/>
        <v>0</v>
      </c>
      <c r="T1262" s="445">
        <f t="shared" si="112"/>
        <v>0</v>
      </c>
      <c r="U1262" s="445">
        <f t="shared" si="113"/>
        <v>0</v>
      </c>
      <c r="W1262" s="450"/>
      <c r="X1262" s="450"/>
      <c r="Y1262" s="441"/>
      <c r="Z1262" s="441"/>
      <c r="AA1262" s="441"/>
      <c r="AB1262" s="441"/>
      <c r="AC1262" s="441"/>
      <c r="AD1262" s="441"/>
      <c r="AE1262" s="441"/>
      <c r="AF1262" s="441"/>
      <c r="AG1262" s="441"/>
      <c r="AH1262" s="441"/>
      <c r="AI1262" s="441"/>
      <c r="AJ1262" s="441"/>
      <c r="AK1262" s="441"/>
      <c r="AL1262" s="441"/>
      <c r="AM1262" s="441"/>
      <c r="AN1262" s="441"/>
      <c r="AO1262" s="441"/>
    </row>
    <row r="1263" spans="1:41" ht="12.75" hidden="1" thickBot="1">
      <c r="A1263" s="1" t="s">
        <v>1281</v>
      </c>
      <c r="B1263" s="2" t="s">
        <v>339</v>
      </c>
      <c r="C1263" s="2" t="s">
        <v>1081</v>
      </c>
      <c r="D1263" s="453" t="s">
        <v>459</v>
      </c>
      <c r="E1263" s="459"/>
      <c r="F1263" s="6"/>
      <c r="G1263" s="451"/>
      <c r="H1263" s="6"/>
      <c r="I1263" s="6"/>
      <c r="J1263" s="6"/>
      <c r="K1263" s="6"/>
      <c r="L1263" s="6"/>
      <c r="M1263" s="451"/>
      <c r="N1263" s="451"/>
      <c r="O1263" s="6"/>
      <c r="P1263" s="6"/>
      <c r="Q1263" s="451"/>
      <c r="R1263" s="451"/>
      <c r="S1263" s="445">
        <f t="shared" si="111"/>
        <v>0</v>
      </c>
      <c r="T1263" s="445">
        <f t="shared" si="112"/>
        <v>0</v>
      </c>
      <c r="U1263" s="445">
        <f t="shared" si="113"/>
        <v>0</v>
      </c>
      <c r="W1263" s="450"/>
      <c r="X1263" s="450"/>
      <c r="Y1263" s="441"/>
      <c r="Z1263" s="441"/>
      <c r="AA1263" s="441"/>
      <c r="AB1263" s="441"/>
      <c r="AC1263" s="441"/>
      <c r="AD1263" s="441"/>
      <c r="AE1263" s="441"/>
      <c r="AF1263" s="441"/>
      <c r="AG1263" s="441"/>
      <c r="AH1263" s="441"/>
      <c r="AI1263" s="441"/>
      <c r="AJ1263" s="441"/>
      <c r="AK1263" s="441"/>
      <c r="AL1263" s="441"/>
      <c r="AM1263" s="441"/>
      <c r="AN1263" s="441"/>
      <c r="AO1263" s="441"/>
    </row>
    <row r="1264" spans="1:41" ht="12.75" hidden="1" thickBot="1">
      <c r="A1264" s="1" t="s">
        <v>1281</v>
      </c>
      <c r="B1264" s="2" t="s">
        <v>312</v>
      </c>
      <c r="C1264" s="2" t="s">
        <v>1082</v>
      </c>
      <c r="D1264" s="8" t="s">
        <v>567</v>
      </c>
      <c r="E1264" s="460"/>
      <c r="F1264" s="4"/>
      <c r="G1264" s="449"/>
      <c r="H1264" s="4"/>
      <c r="I1264" s="4"/>
      <c r="J1264" s="4"/>
      <c r="K1264" s="4"/>
      <c r="L1264" s="4"/>
      <c r="M1264" s="449"/>
      <c r="N1264" s="449"/>
      <c r="O1264" s="4"/>
      <c r="P1264" s="4"/>
      <c r="Q1264" s="449"/>
      <c r="R1264" s="449"/>
      <c r="S1264" s="445">
        <f t="shared" si="111"/>
        <v>0</v>
      </c>
      <c r="T1264" s="445">
        <f t="shared" si="112"/>
        <v>0</v>
      </c>
      <c r="U1264" s="445">
        <f t="shared" si="113"/>
        <v>0</v>
      </c>
      <c r="W1264" s="450"/>
      <c r="X1264" s="450"/>
      <c r="Y1264" s="441"/>
      <c r="Z1264" s="441"/>
      <c r="AA1264" s="441"/>
      <c r="AB1264" s="441"/>
      <c r="AC1264" s="441"/>
      <c r="AD1264" s="441"/>
      <c r="AE1264" s="441"/>
      <c r="AF1264" s="441"/>
      <c r="AG1264" s="441"/>
      <c r="AH1264" s="441"/>
      <c r="AI1264" s="441"/>
      <c r="AJ1264" s="441"/>
      <c r="AK1264" s="441"/>
      <c r="AL1264" s="441"/>
      <c r="AM1264" s="441"/>
      <c r="AN1264" s="441"/>
      <c r="AO1264" s="441"/>
    </row>
    <row r="1265" spans="1:41" ht="12.75" hidden="1" thickBot="1">
      <c r="A1265" s="1" t="s">
        <v>1281</v>
      </c>
      <c r="B1265" s="2" t="s">
        <v>688</v>
      </c>
      <c r="C1265" s="2" t="s">
        <v>1083</v>
      </c>
      <c r="D1265" s="8" t="s">
        <v>567</v>
      </c>
      <c r="E1265" s="459"/>
      <c r="F1265" s="6"/>
      <c r="G1265" s="451"/>
      <c r="H1265" s="6"/>
      <c r="I1265" s="6"/>
      <c r="J1265" s="6"/>
      <c r="K1265" s="6"/>
      <c r="L1265" s="6"/>
      <c r="M1265" s="451"/>
      <c r="N1265" s="451"/>
      <c r="O1265" s="6"/>
      <c r="P1265" s="6"/>
      <c r="Q1265" s="6"/>
      <c r="R1265" s="451"/>
      <c r="S1265" s="445">
        <f t="shared" si="111"/>
        <v>0</v>
      </c>
      <c r="T1265" s="445">
        <f t="shared" si="112"/>
        <v>0</v>
      </c>
      <c r="U1265" s="445">
        <f t="shared" si="113"/>
        <v>0</v>
      </c>
      <c r="W1265" s="450"/>
      <c r="X1265" s="450"/>
      <c r="Y1265" s="441"/>
      <c r="Z1265" s="441"/>
      <c r="AA1265" s="441"/>
      <c r="AB1265" s="441"/>
      <c r="AC1265" s="441"/>
      <c r="AD1265" s="441"/>
      <c r="AE1265" s="441"/>
      <c r="AF1265" s="441"/>
      <c r="AG1265" s="441"/>
      <c r="AH1265" s="441"/>
      <c r="AI1265" s="441"/>
      <c r="AJ1265" s="441"/>
      <c r="AK1265" s="441"/>
      <c r="AL1265" s="441"/>
      <c r="AM1265" s="441"/>
      <c r="AN1265" s="441"/>
      <c r="AO1265" s="441"/>
    </row>
    <row r="1266" spans="1:41" ht="12.75" hidden="1" thickBot="1">
      <c r="A1266" s="1" t="s">
        <v>1281</v>
      </c>
      <c r="B1266" s="2" t="s">
        <v>341</v>
      </c>
      <c r="C1266" s="2" t="s">
        <v>1084</v>
      </c>
      <c r="D1266" s="8" t="s">
        <v>567</v>
      </c>
      <c r="E1266" s="460"/>
      <c r="F1266" s="4"/>
      <c r="G1266" s="449"/>
      <c r="H1266" s="4"/>
      <c r="I1266" s="4"/>
      <c r="J1266" s="4"/>
      <c r="K1266" s="4"/>
      <c r="L1266" s="4"/>
      <c r="M1266" s="449"/>
      <c r="N1266" s="449"/>
      <c r="O1266" s="4"/>
      <c r="P1266" s="4"/>
      <c r="Q1266" s="4"/>
      <c r="R1266" s="449"/>
      <c r="S1266" s="445">
        <f t="shared" si="111"/>
        <v>0</v>
      </c>
      <c r="T1266" s="445">
        <f t="shared" si="112"/>
        <v>0</v>
      </c>
      <c r="U1266" s="445">
        <f t="shared" si="113"/>
        <v>0</v>
      </c>
      <c r="W1266" s="450"/>
      <c r="X1266" s="450"/>
      <c r="Y1266" s="441"/>
      <c r="Z1266" s="441"/>
      <c r="AA1266" s="441"/>
      <c r="AB1266" s="441"/>
      <c r="AC1266" s="441"/>
      <c r="AD1266" s="441"/>
      <c r="AE1266" s="441"/>
      <c r="AF1266" s="441"/>
      <c r="AG1266" s="441"/>
      <c r="AH1266" s="441"/>
      <c r="AI1266" s="441"/>
      <c r="AJ1266" s="441"/>
      <c r="AK1266" s="441"/>
      <c r="AL1266" s="441"/>
      <c r="AM1266" s="441"/>
      <c r="AN1266" s="441"/>
      <c r="AO1266" s="441"/>
    </row>
    <row r="1267" spans="1:41" ht="12.75" hidden="1" thickBot="1">
      <c r="A1267" s="1" t="s">
        <v>1281</v>
      </c>
      <c r="B1267" s="2" t="s">
        <v>317</v>
      </c>
      <c r="C1267" s="2" t="s">
        <v>1085</v>
      </c>
      <c r="D1267" s="8" t="s">
        <v>567</v>
      </c>
      <c r="E1267" s="459"/>
      <c r="F1267" s="6"/>
      <c r="G1267" s="451"/>
      <c r="H1267" s="6"/>
      <c r="I1267" s="6"/>
      <c r="J1267" s="6"/>
      <c r="K1267" s="6"/>
      <c r="L1267" s="6"/>
      <c r="M1267" s="451"/>
      <c r="N1267" s="451"/>
      <c r="O1267" s="6"/>
      <c r="P1267" s="6"/>
      <c r="Q1267" s="451"/>
      <c r="R1267" s="451"/>
      <c r="S1267" s="445">
        <f t="shared" si="111"/>
        <v>0</v>
      </c>
      <c r="T1267" s="445">
        <f t="shared" si="112"/>
        <v>0</v>
      </c>
      <c r="U1267" s="445">
        <f t="shared" si="113"/>
        <v>0</v>
      </c>
      <c r="W1267" s="450"/>
      <c r="X1267" s="450"/>
      <c r="Y1267" s="441"/>
      <c r="Z1267" s="441"/>
      <c r="AA1267" s="441"/>
      <c r="AB1267" s="441"/>
      <c r="AC1267" s="441"/>
      <c r="AD1267" s="441"/>
      <c r="AE1267" s="441"/>
      <c r="AF1267" s="441"/>
      <c r="AG1267" s="441"/>
      <c r="AH1267" s="441"/>
      <c r="AI1267" s="441"/>
      <c r="AJ1267" s="441"/>
      <c r="AK1267" s="441"/>
      <c r="AL1267" s="441"/>
      <c r="AM1267" s="441"/>
      <c r="AN1267" s="441"/>
      <c r="AO1267" s="441"/>
    </row>
    <row r="1268" spans="1:41" ht="12.75" hidden="1" thickBot="1">
      <c r="A1268" s="1" t="s">
        <v>1281</v>
      </c>
      <c r="B1268" s="2" t="s">
        <v>1235</v>
      </c>
      <c r="C1268" s="2" t="s">
        <v>1236</v>
      </c>
      <c r="D1268" s="8" t="s">
        <v>567</v>
      </c>
      <c r="E1268" s="460"/>
      <c r="F1268" s="4"/>
      <c r="G1268" s="449"/>
      <c r="H1268" s="4"/>
      <c r="I1268" s="4"/>
      <c r="J1268" s="4"/>
      <c r="K1268" s="4"/>
      <c r="L1268" s="4"/>
      <c r="M1268" s="449"/>
      <c r="N1268" s="449"/>
      <c r="O1268" s="4"/>
      <c r="P1268" s="4"/>
      <c r="Q1268" s="449"/>
      <c r="R1268" s="449"/>
      <c r="S1268" s="445">
        <f t="shared" si="111"/>
        <v>0</v>
      </c>
      <c r="T1268" s="445">
        <f t="shared" si="112"/>
        <v>0</v>
      </c>
      <c r="U1268" s="445">
        <f t="shared" si="113"/>
        <v>0</v>
      </c>
      <c r="W1268" s="450"/>
      <c r="X1268" s="450"/>
      <c r="Y1268" s="441"/>
      <c r="Z1268" s="441"/>
      <c r="AA1268" s="441"/>
      <c r="AB1268" s="441"/>
      <c r="AC1268" s="441"/>
      <c r="AD1268" s="441"/>
      <c r="AE1268" s="441"/>
      <c r="AF1268" s="441"/>
      <c r="AG1268" s="441"/>
      <c r="AH1268" s="441"/>
      <c r="AI1268" s="441"/>
      <c r="AJ1268" s="441"/>
      <c r="AK1268" s="441"/>
      <c r="AL1268" s="441"/>
      <c r="AM1268" s="441"/>
      <c r="AN1268" s="441"/>
      <c r="AO1268" s="441"/>
    </row>
    <row r="1269" spans="1:41" ht="12.75" hidden="1" thickBot="1">
      <c r="A1269" s="1" t="s">
        <v>1281</v>
      </c>
      <c r="B1269" s="2" t="s">
        <v>318</v>
      </c>
      <c r="C1269" s="2" t="s">
        <v>1086</v>
      </c>
      <c r="D1269" s="8" t="s">
        <v>567</v>
      </c>
      <c r="E1269" s="459"/>
      <c r="F1269" s="6"/>
      <c r="G1269" s="6"/>
      <c r="H1269" s="6"/>
      <c r="I1269" s="6"/>
      <c r="J1269" s="6"/>
      <c r="K1269" s="6"/>
      <c r="L1269" s="6"/>
      <c r="M1269" s="6"/>
      <c r="N1269" s="6"/>
      <c r="O1269" s="6"/>
      <c r="P1269" s="6"/>
      <c r="Q1269" s="6"/>
      <c r="R1269" s="6"/>
      <c r="S1269" s="445">
        <f t="shared" si="111"/>
        <v>0</v>
      </c>
      <c r="T1269" s="445">
        <f t="shared" si="112"/>
        <v>0</v>
      </c>
      <c r="U1269" s="445">
        <f t="shared" si="113"/>
        <v>0</v>
      </c>
      <c r="W1269" s="450"/>
      <c r="X1269" s="450"/>
      <c r="Y1269" s="441"/>
      <c r="Z1269" s="441"/>
      <c r="AA1269" s="441"/>
      <c r="AB1269" s="441"/>
      <c r="AC1269" s="441"/>
      <c r="AD1269" s="441"/>
      <c r="AE1269" s="441"/>
      <c r="AF1269" s="441"/>
      <c r="AG1269" s="441"/>
      <c r="AH1269" s="441"/>
      <c r="AI1269" s="441"/>
      <c r="AJ1269" s="441"/>
      <c r="AK1269" s="441"/>
      <c r="AL1269" s="441"/>
      <c r="AM1269" s="441"/>
      <c r="AN1269" s="441"/>
      <c r="AO1269" s="441"/>
    </row>
    <row r="1270" spans="1:41" ht="12.75" hidden="1" thickBot="1">
      <c r="A1270" s="1" t="s">
        <v>1281</v>
      </c>
      <c r="B1270" s="2" t="s">
        <v>1237</v>
      </c>
      <c r="C1270" s="2" t="s">
        <v>1238</v>
      </c>
      <c r="D1270" s="8" t="s">
        <v>567</v>
      </c>
      <c r="E1270" s="460"/>
      <c r="F1270" s="4"/>
      <c r="G1270" s="449"/>
      <c r="H1270" s="4"/>
      <c r="I1270" s="4"/>
      <c r="J1270" s="4"/>
      <c r="K1270" s="4"/>
      <c r="L1270" s="4"/>
      <c r="M1270" s="449"/>
      <c r="N1270" s="449"/>
      <c r="O1270" s="4"/>
      <c r="P1270" s="4"/>
      <c r="Q1270" s="449"/>
      <c r="R1270" s="449"/>
      <c r="S1270" s="445">
        <f t="shared" si="111"/>
        <v>0</v>
      </c>
      <c r="T1270" s="445">
        <f t="shared" si="112"/>
        <v>0</v>
      </c>
      <c r="U1270" s="445">
        <f t="shared" si="113"/>
        <v>0</v>
      </c>
      <c r="W1270" s="450"/>
      <c r="X1270" s="450"/>
      <c r="Y1270" s="441"/>
      <c r="Z1270" s="441"/>
      <c r="AA1270" s="441"/>
      <c r="AB1270" s="441"/>
      <c r="AC1270" s="441"/>
      <c r="AD1270" s="441"/>
      <c r="AE1270" s="441"/>
      <c r="AF1270" s="441"/>
      <c r="AG1270" s="441"/>
      <c r="AH1270" s="441"/>
      <c r="AI1270" s="441"/>
      <c r="AJ1270" s="441"/>
      <c r="AK1270" s="441"/>
      <c r="AL1270" s="441"/>
      <c r="AM1270" s="441"/>
      <c r="AN1270" s="441"/>
      <c r="AO1270" s="441"/>
    </row>
    <row r="1271" spans="1:41" ht="12.75" hidden="1" thickBot="1">
      <c r="A1271" s="1" t="s">
        <v>1281</v>
      </c>
      <c r="B1271" s="2" t="s">
        <v>319</v>
      </c>
      <c r="C1271" s="2" t="s">
        <v>1087</v>
      </c>
      <c r="D1271" s="8" t="s">
        <v>567</v>
      </c>
      <c r="E1271" s="459"/>
      <c r="F1271" s="6"/>
      <c r="G1271" s="6"/>
      <c r="H1271" s="6"/>
      <c r="I1271" s="6"/>
      <c r="J1271" s="6"/>
      <c r="K1271" s="6"/>
      <c r="L1271" s="6"/>
      <c r="M1271" s="6"/>
      <c r="N1271" s="6"/>
      <c r="O1271" s="6"/>
      <c r="P1271" s="6"/>
      <c r="Q1271" s="6"/>
      <c r="R1271" s="6"/>
      <c r="S1271" s="445">
        <f t="shared" si="111"/>
        <v>0</v>
      </c>
      <c r="T1271" s="445">
        <f t="shared" si="112"/>
        <v>0</v>
      </c>
      <c r="U1271" s="445">
        <f t="shared" si="113"/>
        <v>0</v>
      </c>
      <c r="W1271" s="450"/>
      <c r="X1271" s="450"/>
      <c r="Y1271" s="441"/>
      <c r="Z1271" s="441"/>
      <c r="AA1271" s="441"/>
      <c r="AB1271" s="441"/>
      <c r="AC1271" s="441"/>
      <c r="AD1271" s="441"/>
      <c r="AE1271" s="441"/>
      <c r="AF1271" s="441"/>
      <c r="AG1271" s="441"/>
      <c r="AH1271" s="441"/>
      <c r="AI1271" s="441"/>
      <c r="AJ1271" s="441"/>
      <c r="AK1271" s="441"/>
      <c r="AL1271" s="441"/>
      <c r="AM1271" s="441"/>
      <c r="AN1271" s="441"/>
      <c r="AO1271" s="441"/>
    </row>
    <row r="1272" spans="1:41" ht="12.75" hidden="1" thickBot="1">
      <c r="A1272" s="1" t="s">
        <v>1281</v>
      </c>
      <c r="B1272" s="2" t="s">
        <v>1225</v>
      </c>
      <c r="C1272" s="2" t="s">
        <v>1226</v>
      </c>
      <c r="D1272" s="8" t="s">
        <v>567</v>
      </c>
      <c r="E1272" s="460"/>
      <c r="F1272" s="4"/>
      <c r="G1272" s="449"/>
      <c r="H1272" s="4"/>
      <c r="I1272" s="4"/>
      <c r="J1272" s="4"/>
      <c r="K1272" s="4"/>
      <c r="L1272" s="4"/>
      <c r="M1272" s="449"/>
      <c r="N1272" s="449"/>
      <c r="O1272" s="4"/>
      <c r="P1272" s="4"/>
      <c r="Q1272" s="449"/>
      <c r="R1272" s="449"/>
      <c r="S1272" s="445">
        <f t="shared" si="111"/>
        <v>0</v>
      </c>
      <c r="T1272" s="445">
        <f t="shared" si="112"/>
        <v>0</v>
      </c>
      <c r="U1272" s="445">
        <f t="shared" si="113"/>
        <v>0</v>
      </c>
      <c r="W1272" s="450"/>
      <c r="X1272" s="450"/>
      <c r="Y1272" s="441"/>
      <c r="Z1272" s="441"/>
      <c r="AA1272" s="441"/>
      <c r="AB1272" s="441"/>
      <c r="AC1272" s="441"/>
      <c r="AD1272" s="441"/>
      <c r="AE1272" s="441"/>
      <c r="AF1272" s="441"/>
      <c r="AG1272" s="441"/>
      <c r="AH1272" s="441"/>
      <c r="AI1272" s="441"/>
      <c r="AJ1272" s="441"/>
      <c r="AK1272" s="441"/>
      <c r="AL1272" s="441"/>
      <c r="AM1272" s="441"/>
      <c r="AN1272" s="441"/>
      <c r="AO1272" s="441"/>
    </row>
    <row r="1273" spans="1:41" ht="12.75" hidden="1" thickBot="1">
      <c r="A1273" s="1" t="s">
        <v>1281</v>
      </c>
      <c r="B1273" s="2" t="s">
        <v>320</v>
      </c>
      <c r="C1273" s="2" t="s">
        <v>1088</v>
      </c>
      <c r="D1273" s="8" t="s">
        <v>567</v>
      </c>
      <c r="E1273" s="459"/>
      <c r="F1273" s="6"/>
      <c r="G1273" s="451"/>
      <c r="H1273" s="6"/>
      <c r="I1273" s="6"/>
      <c r="J1273" s="6"/>
      <c r="K1273" s="6"/>
      <c r="L1273" s="6"/>
      <c r="M1273" s="451"/>
      <c r="N1273" s="451"/>
      <c r="O1273" s="6"/>
      <c r="P1273" s="6"/>
      <c r="Q1273" s="451"/>
      <c r="R1273" s="451"/>
      <c r="S1273" s="445">
        <f t="shared" si="111"/>
        <v>0</v>
      </c>
      <c r="T1273" s="445">
        <f t="shared" si="112"/>
        <v>0</v>
      </c>
      <c r="U1273" s="445">
        <f t="shared" si="113"/>
        <v>0</v>
      </c>
      <c r="W1273" s="450"/>
      <c r="X1273" s="450"/>
      <c r="Y1273" s="441"/>
      <c r="Z1273" s="441"/>
      <c r="AA1273" s="441"/>
      <c r="AB1273" s="441"/>
      <c r="AC1273" s="441"/>
      <c r="AD1273" s="441"/>
      <c r="AE1273" s="441"/>
      <c r="AF1273" s="441"/>
      <c r="AG1273" s="441"/>
      <c r="AH1273" s="441"/>
      <c r="AI1273" s="441"/>
      <c r="AJ1273" s="441"/>
      <c r="AK1273" s="441"/>
      <c r="AL1273" s="441"/>
      <c r="AM1273" s="441"/>
      <c r="AN1273" s="441"/>
      <c r="AO1273" s="441"/>
    </row>
    <row r="1274" spans="1:41" ht="12.75" hidden="1" thickBot="1">
      <c r="A1274" s="1" t="s">
        <v>1281</v>
      </c>
      <c r="B1274" s="2" t="s">
        <v>321</v>
      </c>
      <c r="C1274" s="2" t="s">
        <v>1089</v>
      </c>
      <c r="D1274" s="8" t="s">
        <v>567</v>
      </c>
      <c r="E1274" s="460"/>
      <c r="F1274" s="4"/>
      <c r="G1274" s="4"/>
      <c r="H1274" s="4"/>
      <c r="I1274" s="4"/>
      <c r="J1274" s="4"/>
      <c r="K1274" s="4"/>
      <c r="L1274" s="4"/>
      <c r="M1274" s="4"/>
      <c r="N1274" s="4"/>
      <c r="O1274" s="4"/>
      <c r="P1274" s="4"/>
      <c r="Q1274" s="4"/>
      <c r="R1274" s="4"/>
      <c r="S1274" s="445">
        <f t="shared" si="111"/>
        <v>0</v>
      </c>
      <c r="T1274" s="445">
        <f t="shared" si="112"/>
        <v>0</v>
      </c>
      <c r="U1274" s="445">
        <f t="shared" si="113"/>
        <v>0</v>
      </c>
      <c r="W1274" s="450"/>
      <c r="X1274" s="450"/>
      <c r="Y1274" s="441"/>
      <c r="Z1274" s="441"/>
      <c r="AA1274" s="441"/>
      <c r="AB1274" s="441"/>
      <c r="AC1274" s="441"/>
      <c r="AD1274" s="441"/>
      <c r="AE1274" s="441"/>
      <c r="AF1274" s="441"/>
      <c r="AG1274" s="441"/>
      <c r="AH1274" s="441"/>
      <c r="AI1274" s="441"/>
      <c r="AJ1274" s="441"/>
      <c r="AK1274" s="441"/>
      <c r="AL1274" s="441"/>
      <c r="AM1274" s="441"/>
      <c r="AN1274" s="441"/>
      <c r="AO1274" s="441"/>
    </row>
    <row r="1275" spans="1:41" ht="12.75" hidden="1" thickBot="1">
      <c r="A1275" s="1" t="s">
        <v>1281</v>
      </c>
      <c r="B1275" s="2" t="s">
        <v>1227</v>
      </c>
      <c r="C1275" s="2" t="s">
        <v>1228</v>
      </c>
      <c r="D1275" s="8" t="s">
        <v>567</v>
      </c>
      <c r="E1275" s="459"/>
      <c r="F1275" s="6"/>
      <c r="G1275" s="451"/>
      <c r="H1275" s="6"/>
      <c r="I1275" s="6"/>
      <c r="J1275" s="6"/>
      <c r="K1275" s="6"/>
      <c r="L1275" s="6"/>
      <c r="M1275" s="451"/>
      <c r="N1275" s="451"/>
      <c r="O1275" s="6"/>
      <c r="P1275" s="6"/>
      <c r="Q1275" s="451"/>
      <c r="R1275" s="451"/>
      <c r="S1275" s="445">
        <f t="shared" si="111"/>
        <v>0</v>
      </c>
      <c r="T1275" s="445">
        <f t="shared" si="112"/>
        <v>0</v>
      </c>
      <c r="U1275" s="445">
        <f t="shared" si="113"/>
        <v>0</v>
      </c>
      <c r="W1275" s="450"/>
      <c r="X1275" s="450"/>
      <c r="Y1275" s="441"/>
      <c r="Z1275" s="441"/>
      <c r="AA1275" s="441"/>
      <c r="AB1275" s="441"/>
      <c r="AC1275" s="441"/>
      <c r="AD1275" s="441"/>
      <c r="AE1275" s="441"/>
      <c r="AF1275" s="441"/>
      <c r="AG1275" s="441"/>
      <c r="AH1275" s="441"/>
      <c r="AI1275" s="441"/>
      <c r="AJ1275" s="441"/>
      <c r="AK1275" s="441"/>
      <c r="AL1275" s="441"/>
      <c r="AM1275" s="441"/>
      <c r="AN1275" s="441"/>
      <c r="AO1275" s="441"/>
    </row>
    <row r="1276" spans="1:41" ht="12.75" hidden="1" thickBot="1">
      <c r="A1276" s="1" t="s">
        <v>1281</v>
      </c>
      <c r="B1276" s="2" t="s">
        <v>322</v>
      </c>
      <c r="C1276" s="2" t="s">
        <v>1090</v>
      </c>
      <c r="D1276" s="8" t="s">
        <v>567</v>
      </c>
      <c r="E1276" s="460"/>
      <c r="F1276" s="4"/>
      <c r="G1276" s="449"/>
      <c r="H1276" s="4"/>
      <c r="I1276" s="4"/>
      <c r="J1276" s="4"/>
      <c r="K1276" s="4"/>
      <c r="L1276" s="4"/>
      <c r="M1276" s="449"/>
      <c r="N1276" s="449"/>
      <c r="O1276" s="4"/>
      <c r="P1276" s="4"/>
      <c r="Q1276" s="449"/>
      <c r="R1276" s="449"/>
      <c r="S1276" s="445">
        <f t="shared" si="111"/>
        <v>0</v>
      </c>
      <c r="T1276" s="445">
        <f t="shared" si="112"/>
        <v>0</v>
      </c>
      <c r="U1276" s="445">
        <f t="shared" si="113"/>
        <v>0</v>
      </c>
      <c r="W1276" s="450"/>
      <c r="X1276" s="450"/>
      <c r="Y1276" s="441"/>
      <c r="Z1276" s="441"/>
      <c r="AA1276" s="441"/>
      <c r="AB1276" s="441"/>
      <c r="AC1276" s="441"/>
      <c r="AD1276" s="441"/>
      <c r="AE1276" s="441"/>
      <c r="AF1276" s="441"/>
      <c r="AG1276" s="441"/>
      <c r="AH1276" s="441"/>
      <c r="AI1276" s="441"/>
      <c r="AJ1276" s="441"/>
      <c r="AK1276" s="441"/>
      <c r="AL1276" s="441"/>
      <c r="AM1276" s="441"/>
      <c r="AN1276" s="441"/>
      <c r="AO1276" s="441"/>
    </row>
    <row r="1277" spans="1:41" ht="12.75" hidden="1" thickBot="1">
      <c r="A1277" s="1" t="s">
        <v>1281</v>
      </c>
      <c r="B1277" s="2" t="s">
        <v>323</v>
      </c>
      <c r="C1277" s="2" t="s">
        <v>1091</v>
      </c>
      <c r="D1277" s="453" t="s">
        <v>459</v>
      </c>
      <c r="E1277" s="459"/>
      <c r="F1277" s="6"/>
      <c r="G1277" s="451"/>
      <c r="H1277" s="6"/>
      <c r="I1277" s="6"/>
      <c r="J1277" s="6"/>
      <c r="K1277" s="6"/>
      <c r="L1277" s="6"/>
      <c r="M1277" s="451"/>
      <c r="N1277" s="451"/>
      <c r="O1277" s="6"/>
      <c r="P1277" s="6"/>
      <c r="Q1277" s="451"/>
      <c r="R1277" s="451"/>
      <c r="S1277" s="445">
        <f t="shared" si="111"/>
        <v>0</v>
      </c>
      <c r="T1277" s="445">
        <f t="shared" si="112"/>
        <v>0</v>
      </c>
      <c r="U1277" s="445">
        <f t="shared" si="113"/>
        <v>0</v>
      </c>
      <c r="W1277" s="450"/>
      <c r="X1277" s="450"/>
      <c r="Y1277" s="441"/>
      <c r="Z1277" s="441"/>
      <c r="AA1277" s="441"/>
      <c r="AB1277" s="441"/>
      <c r="AC1277" s="441"/>
      <c r="AD1277" s="441"/>
      <c r="AE1277" s="441"/>
      <c r="AF1277" s="441"/>
      <c r="AG1277" s="441"/>
      <c r="AH1277" s="441"/>
      <c r="AI1277" s="441"/>
      <c r="AJ1277" s="441"/>
      <c r="AK1277" s="441"/>
      <c r="AL1277" s="441"/>
      <c r="AM1277" s="441"/>
      <c r="AN1277" s="441"/>
      <c r="AO1277" s="441"/>
    </row>
    <row r="1278" spans="1:41" ht="12.75" hidden="1" thickBot="1">
      <c r="A1278" s="1" t="s">
        <v>1281</v>
      </c>
      <c r="B1278" s="2" t="s">
        <v>328</v>
      </c>
      <c r="C1278" s="2" t="s">
        <v>1092</v>
      </c>
      <c r="D1278" s="8" t="s">
        <v>567</v>
      </c>
      <c r="E1278" s="460"/>
      <c r="F1278" s="4"/>
      <c r="G1278" s="449"/>
      <c r="H1278" s="4"/>
      <c r="I1278" s="4"/>
      <c r="J1278" s="4"/>
      <c r="K1278" s="4"/>
      <c r="L1278" s="4"/>
      <c r="M1278" s="449"/>
      <c r="N1278" s="449"/>
      <c r="O1278" s="4"/>
      <c r="P1278" s="4"/>
      <c r="Q1278" s="449"/>
      <c r="R1278" s="449"/>
      <c r="S1278" s="445">
        <f t="shared" si="111"/>
        <v>0</v>
      </c>
      <c r="T1278" s="445">
        <f t="shared" si="112"/>
        <v>0</v>
      </c>
      <c r="U1278" s="445">
        <f t="shared" si="113"/>
        <v>0</v>
      </c>
      <c r="W1278" s="450"/>
      <c r="X1278" s="450"/>
      <c r="Y1278" s="441"/>
      <c r="Z1278" s="441"/>
      <c r="AA1278" s="441"/>
      <c r="AB1278" s="441"/>
      <c r="AC1278" s="441"/>
      <c r="AD1278" s="441"/>
      <c r="AE1278" s="441"/>
      <c r="AF1278" s="441"/>
      <c r="AG1278" s="441"/>
      <c r="AH1278" s="441"/>
      <c r="AI1278" s="441"/>
      <c r="AJ1278" s="441"/>
      <c r="AK1278" s="441"/>
      <c r="AL1278" s="441"/>
      <c r="AM1278" s="441"/>
      <c r="AN1278" s="441"/>
      <c r="AO1278" s="441"/>
    </row>
    <row r="1279" spans="1:41" ht="12.75" hidden="1" thickBot="1">
      <c r="A1279" s="1" t="s">
        <v>1281</v>
      </c>
      <c r="B1279" s="2" t="s">
        <v>329</v>
      </c>
      <c r="C1279" s="2" t="s">
        <v>1093</v>
      </c>
      <c r="D1279" s="453" t="s">
        <v>459</v>
      </c>
      <c r="E1279" s="459"/>
      <c r="F1279" s="6"/>
      <c r="G1279" s="451"/>
      <c r="H1279" s="6"/>
      <c r="I1279" s="6"/>
      <c r="J1279" s="6"/>
      <c r="K1279" s="6"/>
      <c r="L1279" s="6"/>
      <c r="M1279" s="451"/>
      <c r="N1279" s="451"/>
      <c r="O1279" s="6"/>
      <c r="P1279" s="6"/>
      <c r="Q1279" s="451"/>
      <c r="R1279" s="451"/>
      <c r="S1279" s="445">
        <f t="shared" si="111"/>
        <v>0</v>
      </c>
      <c r="T1279" s="445">
        <f t="shared" si="112"/>
        <v>0</v>
      </c>
      <c r="U1279" s="445">
        <f t="shared" si="113"/>
        <v>0</v>
      </c>
      <c r="W1279" s="450"/>
      <c r="X1279" s="450"/>
      <c r="Y1279" s="441"/>
      <c r="Z1279" s="441"/>
      <c r="AA1279" s="441"/>
      <c r="AB1279" s="441"/>
      <c r="AC1279" s="441"/>
      <c r="AD1279" s="441"/>
      <c r="AE1279" s="441"/>
      <c r="AF1279" s="441"/>
      <c r="AG1279" s="441"/>
      <c r="AH1279" s="441"/>
      <c r="AI1279" s="441"/>
      <c r="AJ1279" s="441"/>
      <c r="AK1279" s="441"/>
      <c r="AL1279" s="441"/>
      <c r="AM1279" s="441"/>
      <c r="AN1279" s="441"/>
      <c r="AO1279" s="441"/>
    </row>
    <row r="1280" spans="1:41" ht="12.75" hidden="1" thickBot="1">
      <c r="A1280" s="1" t="s">
        <v>1281</v>
      </c>
      <c r="B1280" s="2" t="s">
        <v>330</v>
      </c>
      <c r="C1280" s="2" t="s">
        <v>1094</v>
      </c>
      <c r="D1280" s="8" t="s">
        <v>567</v>
      </c>
      <c r="E1280" s="460"/>
      <c r="F1280" s="4"/>
      <c r="G1280" s="449"/>
      <c r="H1280" s="4"/>
      <c r="I1280" s="4"/>
      <c r="J1280" s="4"/>
      <c r="K1280" s="4"/>
      <c r="L1280" s="4"/>
      <c r="M1280" s="449"/>
      <c r="N1280" s="449"/>
      <c r="O1280" s="4"/>
      <c r="P1280" s="4"/>
      <c r="Q1280" s="449"/>
      <c r="R1280" s="449"/>
      <c r="S1280" s="445">
        <f t="shared" si="111"/>
        <v>0</v>
      </c>
      <c r="T1280" s="445">
        <f t="shared" si="112"/>
        <v>0</v>
      </c>
      <c r="U1280" s="445">
        <f t="shared" si="113"/>
        <v>0</v>
      </c>
      <c r="W1280" s="450"/>
      <c r="X1280" s="450"/>
      <c r="Y1280" s="441"/>
      <c r="Z1280" s="441"/>
      <c r="AA1280" s="441"/>
      <c r="AB1280" s="441"/>
      <c r="AC1280" s="441"/>
      <c r="AD1280" s="441"/>
      <c r="AE1280" s="441"/>
      <c r="AF1280" s="441"/>
      <c r="AG1280" s="441"/>
      <c r="AH1280" s="441"/>
      <c r="AI1280" s="441"/>
      <c r="AJ1280" s="441"/>
      <c r="AK1280" s="441"/>
      <c r="AL1280" s="441"/>
      <c r="AM1280" s="441"/>
      <c r="AN1280" s="441"/>
      <c r="AO1280" s="441"/>
    </row>
    <row r="1281" spans="1:41" ht="12.75" hidden="1" thickBot="1">
      <c r="A1281" s="1" t="s">
        <v>1281</v>
      </c>
      <c r="B1281" s="2" t="s">
        <v>331</v>
      </c>
      <c r="C1281" s="2" t="s">
        <v>1095</v>
      </c>
      <c r="D1281" s="453" t="s">
        <v>459</v>
      </c>
      <c r="E1281" s="459"/>
      <c r="F1281" s="6"/>
      <c r="G1281" s="451"/>
      <c r="H1281" s="6"/>
      <c r="I1281" s="6"/>
      <c r="J1281" s="6"/>
      <c r="K1281" s="6"/>
      <c r="L1281" s="6"/>
      <c r="M1281" s="451"/>
      <c r="N1281" s="451"/>
      <c r="O1281" s="6"/>
      <c r="P1281" s="6"/>
      <c r="Q1281" s="451"/>
      <c r="R1281" s="451"/>
      <c r="S1281" s="445">
        <f t="shared" si="111"/>
        <v>0</v>
      </c>
      <c r="T1281" s="445">
        <f t="shared" si="112"/>
        <v>0</v>
      </c>
      <c r="U1281" s="445">
        <f t="shared" si="113"/>
        <v>0</v>
      </c>
      <c r="W1281" s="450"/>
      <c r="X1281" s="450"/>
      <c r="Y1281" s="441"/>
      <c r="Z1281" s="441"/>
      <c r="AA1281" s="441"/>
      <c r="AB1281" s="441"/>
      <c r="AC1281" s="441"/>
      <c r="AD1281" s="441"/>
      <c r="AE1281" s="441"/>
      <c r="AF1281" s="441"/>
      <c r="AG1281" s="441"/>
      <c r="AH1281" s="441"/>
      <c r="AI1281" s="441"/>
      <c r="AJ1281" s="441"/>
      <c r="AK1281" s="441"/>
      <c r="AL1281" s="441"/>
      <c r="AM1281" s="441"/>
      <c r="AN1281" s="441"/>
      <c r="AO1281" s="441"/>
    </row>
    <row r="1282" spans="1:41" ht="12.75" hidden="1" thickBot="1">
      <c r="A1282" s="1" t="s">
        <v>1281</v>
      </c>
      <c r="B1282" s="2" t="s">
        <v>332</v>
      </c>
      <c r="C1282" s="2" t="s">
        <v>1096</v>
      </c>
      <c r="D1282" s="453" t="s">
        <v>459</v>
      </c>
      <c r="E1282" s="460"/>
      <c r="F1282" s="4"/>
      <c r="G1282" s="449"/>
      <c r="H1282" s="4"/>
      <c r="I1282" s="4"/>
      <c r="J1282" s="4"/>
      <c r="K1282" s="4"/>
      <c r="L1282" s="4"/>
      <c r="M1282" s="449"/>
      <c r="N1282" s="449"/>
      <c r="O1282" s="4"/>
      <c r="P1282" s="4"/>
      <c r="Q1282" s="449"/>
      <c r="R1282" s="449"/>
      <c r="S1282" s="445">
        <f t="shared" si="111"/>
        <v>0</v>
      </c>
      <c r="T1282" s="445">
        <f t="shared" si="112"/>
        <v>0</v>
      </c>
      <c r="U1282" s="445">
        <f t="shared" si="113"/>
        <v>0</v>
      </c>
      <c r="W1282" s="450"/>
      <c r="X1282" s="450"/>
      <c r="Y1282" s="441"/>
      <c r="Z1282" s="441"/>
      <c r="AA1282" s="441"/>
      <c r="AB1282" s="441"/>
      <c r="AC1282" s="441"/>
      <c r="AD1282" s="441"/>
      <c r="AE1282" s="441"/>
      <c r="AF1282" s="441"/>
      <c r="AG1282" s="441"/>
      <c r="AH1282" s="441"/>
      <c r="AI1282" s="441"/>
      <c r="AJ1282" s="441"/>
      <c r="AK1282" s="441"/>
      <c r="AL1282" s="441"/>
      <c r="AM1282" s="441"/>
      <c r="AN1282" s="441"/>
      <c r="AO1282" s="441"/>
    </row>
    <row r="1283" spans="1:41" ht="12.75" hidden="1" thickBot="1">
      <c r="A1283" s="1" t="s">
        <v>1281</v>
      </c>
      <c r="B1283" s="2" t="s">
        <v>333</v>
      </c>
      <c r="C1283" s="2" t="s">
        <v>1097</v>
      </c>
      <c r="D1283" s="8" t="s">
        <v>567</v>
      </c>
      <c r="E1283" s="459"/>
      <c r="F1283" s="6"/>
      <c r="G1283" s="451"/>
      <c r="H1283" s="6"/>
      <c r="I1283" s="6"/>
      <c r="J1283" s="6"/>
      <c r="K1283" s="6"/>
      <c r="L1283" s="6"/>
      <c r="M1283" s="451"/>
      <c r="N1283" s="451"/>
      <c r="O1283" s="6"/>
      <c r="P1283" s="6"/>
      <c r="Q1283" s="451"/>
      <c r="R1283" s="451"/>
      <c r="S1283" s="445">
        <f t="shared" si="111"/>
        <v>0</v>
      </c>
      <c r="T1283" s="445">
        <f t="shared" si="112"/>
        <v>0</v>
      </c>
      <c r="U1283" s="445">
        <f t="shared" si="113"/>
        <v>0</v>
      </c>
      <c r="W1283" s="450"/>
      <c r="X1283" s="450"/>
      <c r="Y1283" s="441"/>
      <c r="Z1283" s="441"/>
      <c r="AA1283" s="441"/>
      <c r="AB1283" s="441"/>
      <c r="AC1283" s="441"/>
      <c r="AD1283" s="441"/>
      <c r="AE1283" s="441"/>
      <c r="AF1283" s="441"/>
      <c r="AG1283" s="441"/>
      <c r="AH1283" s="441"/>
      <c r="AI1283" s="441"/>
      <c r="AJ1283" s="441"/>
      <c r="AK1283" s="441"/>
      <c r="AL1283" s="441"/>
      <c r="AM1283" s="441"/>
      <c r="AN1283" s="441"/>
      <c r="AO1283" s="441"/>
    </row>
    <row r="1284" spans="1:41" ht="12.75" hidden="1" thickBot="1">
      <c r="A1284" s="1" t="s">
        <v>1281</v>
      </c>
      <c r="B1284" s="2" t="s">
        <v>334</v>
      </c>
      <c r="C1284" s="2" t="s">
        <v>1098</v>
      </c>
      <c r="D1284" s="453" t="s">
        <v>459</v>
      </c>
      <c r="E1284" s="460"/>
      <c r="F1284" s="4"/>
      <c r="G1284" s="449"/>
      <c r="H1284" s="4"/>
      <c r="I1284" s="4"/>
      <c r="J1284" s="4"/>
      <c r="K1284" s="4"/>
      <c r="L1284" s="4"/>
      <c r="M1284" s="449"/>
      <c r="N1284" s="449"/>
      <c r="O1284" s="4"/>
      <c r="P1284" s="4"/>
      <c r="Q1284" s="449"/>
      <c r="R1284" s="449"/>
      <c r="S1284" s="445">
        <f t="shared" si="111"/>
        <v>0</v>
      </c>
      <c r="T1284" s="445">
        <f t="shared" si="112"/>
        <v>0</v>
      </c>
      <c r="U1284" s="445">
        <f t="shared" si="113"/>
        <v>0</v>
      </c>
      <c r="W1284" s="450"/>
      <c r="X1284" s="450"/>
      <c r="Y1284" s="441"/>
      <c r="Z1284" s="441"/>
      <c r="AA1284" s="441"/>
      <c r="AB1284" s="441"/>
      <c r="AC1284" s="441"/>
      <c r="AD1284" s="441"/>
      <c r="AE1284" s="441"/>
      <c r="AF1284" s="441"/>
      <c r="AG1284" s="441"/>
      <c r="AH1284" s="441"/>
      <c r="AI1284" s="441"/>
      <c r="AJ1284" s="441"/>
      <c r="AK1284" s="441"/>
      <c r="AL1284" s="441"/>
      <c r="AM1284" s="441"/>
      <c r="AN1284" s="441"/>
      <c r="AO1284" s="441"/>
    </row>
    <row r="1285" spans="1:41" ht="12.75" hidden="1" thickBot="1">
      <c r="A1285" s="1" t="s">
        <v>1281</v>
      </c>
      <c r="B1285" s="2" t="s">
        <v>620</v>
      </c>
      <c r="C1285" s="2" t="s">
        <v>1099</v>
      </c>
      <c r="D1285" s="8" t="s">
        <v>567</v>
      </c>
      <c r="E1285" s="459"/>
      <c r="F1285" s="6"/>
      <c r="G1285" s="451"/>
      <c r="H1285" s="6"/>
      <c r="I1285" s="6"/>
      <c r="J1285" s="6"/>
      <c r="K1285" s="6"/>
      <c r="L1285" s="6"/>
      <c r="M1285" s="451"/>
      <c r="N1285" s="451"/>
      <c r="O1285" s="6"/>
      <c r="P1285" s="6"/>
      <c r="Q1285" s="451"/>
      <c r="R1285" s="451"/>
      <c r="S1285" s="445">
        <f t="shared" si="111"/>
        <v>0</v>
      </c>
      <c r="T1285" s="445">
        <f t="shared" si="112"/>
        <v>0</v>
      </c>
      <c r="U1285" s="445">
        <f t="shared" si="113"/>
        <v>0</v>
      </c>
      <c r="W1285" s="450"/>
      <c r="X1285" s="450"/>
      <c r="Y1285" s="441"/>
      <c r="Z1285" s="441"/>
      <c r="AA1285" s="441"/>
      <c r="AB1285" s="441"/>
      <c r="AC1285" s="441"/>
      <c r="AD1285" s="441"/>
      <c r="AE1285" s="441"/>
      <c r="AF1285" s="441"/>
      <c r="AG1285" s="441"/>
      <c r="AH1285" s="441"/>
      <c r="AI1285" s="441"/>
      <c r="AJ1285" s="441"/>
      <c r="AK1285" s="441"/>
      <c r="AL1285" s="441"/>
      <c r="AM1285" s="441"/>
      <c r="AN1285" s="441"/>
      <c r="AO1285" s="441"/>
    </row>
    <row r="1286" spans="1:41" ht="12.75" hidden="1" thickBot="1">
      <c r="A1286" s="1" t="s">
        <v>1281</v>
      </c>
      <c r="B1286" s="2" t="s">
        <v>360</v>
      </c>
      <c r="C1286" s="2" t="s">
        <v>1100</v>
      </c>
      <c r="D1286" s="8" t="s">
        <v>567</v>
      </c>
      <c r="E1286" s="460"/>
      <c r="F1286" s="4"/>
      <c r="G1286" s="449"/>
      <c r="H1286" s="4"/>
      <c r="I1286" s="4"/>
      <c r="J1286" s="4"/>
      <c r="K1286" s="4"/>
      <c r="L1286" s="4"/>
      <c r="M1286" s="449"/>
      <c r="N1286" s="449"/>
      <c r="O1286" s="4"/>
      <c r="P1286" s="4"/>
      <c r="Q1286" s="449"/>
      <c r="R1286" s="449"/>
      <c r="S1286" s="445">
        <f t="shared" si="111"/>
        <v>0</v>
      </c>
      <c r="T1286" s="445">
        <f t="shared" si="112"/>
        <v>0</v>
      </c>
      <c r="U1286" s="445">
        <f t="shared" si="113"/>
        <v>0</v>
      </c>
      <c r="W1286" s="450"/>
      <c r="X1286" s="450"/>
      <c r="Y1286" s="441"/>
      <c r="Z1286" s="441"/>
      <c r="AA1286" s="441"/>
      <c r="AB1286" s="441"/>
      <c r="AC1286" s="441"/>
      <c r="AD1286" s="441"/>
      <c r="AE1286" s="441"/>
      <c r="AF1286" s="441"/>
      <c r="AG1286" s="441"/>
      <c r="AH1286" s="441"/>
      <c r="AI1286" s="441"/>
      <c r="AJ1286" s="441"/>
      <c r="AK1286" s="441"/>
      <c r="AL1286" s="441"/>
      <c r="AM1286" s="441"/>
      <c r="AN1286" s="441"/>
      <c r="AO1286" s="441"/>
    </row>
    <row r="1287" spans="1:41" ht="12.75" hidden="1" thickBot="1">
      <c r="A1287" s="1" t="s">
        <v>1281</v>
      </c>
      <c r="B1287" s="2" t="s">
        <v>335</v>
      </c>
      <c r="C1287" s="2" t="s">
        <v>1101</v>
      </c>
      <c r="D1287" s="8" t="s">
        <v>567</v>
      </c>
      <c r="E1287" s="459"/>
      <c r="F1287" s="6"/>
      <c r="G1287" s="451"/>
      <c r="H1287" s="6"/>
      <c r="I1287" s="6"/>
      <c r="J1287" s="6"/>
      <c r="K1287" s="6"/>
      <c r="L1287" s="6"/>
      <c r="M1287" s="451"/>
      <c r="N1287" s="451"/>
      <c r="O1287" s="6"/>
      <c r="P1287" s="6"/>
      <c r="Q1287" s="451"/>
      <c r="R1287" s="451"/>
      <c r="S1287" s="445">
        <f t="shared" si="111"/>
        <v>0</v>
      </c>
      <c r="T1287" s="445">
        <f t="shared" si="112"/>
        <v>0</v>
      </c>
      <c r="U1287" s="445">
        <f t="shared" si="113"/>
        <v>0</v>
      </c>
      <c r="W1287" s="450"/>
      <c r="X1287" s="450"/>
      <c r="Y1287" s="441"/>
      <c r="Z1287" s="441"/>
      <c r="AA1287" s="441"/>
      <c r="AB1287" s="441"/>
      <c r="AC1287" s="441"/>
      <c r="AD1287" s="441"/>
      <c r="AE1287" s="441"/>
      <c r="AF1287" s="441"/>
      <c r="AG1287" s="441"/>
      <c r="AH1287" s="441"/>
      <c r="AI1287" s="441"/>
      <c r="AJ1287" s="441"/>
      <c r="AK1287" s="441"/>
      <c r="AL1287" s="441"/>
      <c r="AM1287" s="441"/>
      <c r="AN1287" s="441"/>
      <c r="AO1287" s="441"/>
    </row>
    <row r="1288" spans="1:41" ht="12.75" hidden="1" thickBot="1">
      <c r="A1288" s="1" t="s">
        <v>1281</v>
      </c>
      <c r="B1288" s="2" t="s">
        <v>336</v>
      </c>
      <c r="C1288" s="2" t="s">
        <v>1102</v>
      </c>
      <c r="D1288" s="8" t="s">
        <v>567</v>
      </c>
      <c r="E1288" s="460"/>
      <c r="F1288" s="4"/>
      <c r="G1288" s="449"/>
      <c r="H1288" s="4"/>
      <c r="I1288" s="4"/>
      <c r="J1288" s="4"/>
      <c r="K1288" s="4"/>
      <c r="L1288" s="4"/>
      <c r="M1288" s="449"/>
      <c r="N1288" s="449"/>
      <c r="O1288" s="4"/>
      <c r="P1288" s="4"/>
      <c r="Q1288" s="449"/>
      <c r="R1288" s="449"/>
      <c r="S1288" s="445">
        <f t="shared" si="111"/>
        <v>0</v>
      </c>
      <c r="T1288" s="445">
        <f t="shared" si="112"/>
        <v>0</v>
      </c>
      <c r="U1288" s="445">
        <f t="shared" si="113"/>
        <v>0</v>
      </c>
      <c r="W1288" s="450"/>
      <c r="X1288" s="450"/>
      <c r="Y1288" s="441"/>
      <c r="Z1288" s="441"/>
      <c r="AA1288" s="441"/>
      <c r="AB1288" s="441"/>
      <c r="AC1288" s="441"/>
      <c r="AD1288" s="441"/>
      <c r="AE1288" s="441"/>
      <c r="AF1288" s="441"/>
      <c r="AG1288" s="441"/>
      <c r="AH1288" s="441"/>
      <c r="AI1288" s="441"/>
      <c r="AJ1288" s="441"/>
      <c r="AK1288" s="441"/>
      <c r="AL1288" s="441"/>
      <c r="AM1288" s="441"/>
      <c r="AN1288" s="441"/>
      <c r="AO1288" s="441"/>
    </row>
    <row r="1289" spans="1:41" ht="12.75" hidden="1" thickBot="1">
      <c r="A1289" s="1" t="s">
        <v>1281</v>
      </c>
      <c r="B1289" s="2" t="s">
        <v>337</v>
      </c>
      <c r="C1289" s="2" t="s">
        <v>1103</v>
      </c>
      <c r="D1289" s="8" t="s">
        <v>567</v>
      </c>
      <c r="E1289" s="459"/>
      <c r="F1289" s="6"/>
      <c r="G1289" s="451"/>
      <c r="H1289" s="6"/>
      <c r="I1289" s="6"/>
      <c r="J1289" s="6"/>
      <c r="K1289" s="6"/>
      <c r="L1289" s="6"/>
      <c r="M1289" s="451"/>
      <c r="N1289" s="451"/>
      <c r="O1289" s="6"/>
      <c r="P1289" s="6"/>
      <c r="Q1289" s="451"/>
      <c r="R1289" s="451"/>
      <c r="S1289" s="445">
        <f t="shared" si="111"/>
        <v>0</v>
      </c>
      <c r="T1289" s="445">
        <f t="shared" si="112"/>
        <v>0</v>
      </c>
      <c r="U1289" s="445">
        <f t="shared" si="113"/>
        <v>0</v>
      </c>
      <c r="W1289" s="450"/>
      <c r="X1289" s="450"/>
      <c r="Y1289" s="441"/>
      <c r="Z1289" s="441"/>
      <c r="AA1289" s="441"/>
      <c r="AB1289" s="441"/>
      <c r="AC1289" s="441"/>
      <c r="AD1289" s="441"/>
      <c r="AE1289" s="441"/>
      <c r="AF1289" s="441"/>
      <c r="AG1289" s="441"/>
      <c r="AH1289" s="441"/>
      <c r="AI1289" s="441"/>
      <c r="AJ1289" s="441"/>
      <c r="AK1289" s="441"/>
      <c r="AL1289" s="441"/>
      <c r="AM1289" s="441"/>
      <c r="AN1289" s="441"/>
      <c r="AO1289" s="441"/>
    </row>
    <row r="1290" spans="1:41" ht="12.75" hidden="1" thickBot="1">
      <c r="A1290" s="1" t="s">
        <v>1281</v>
      </c>
      <c r="B1290" s="454" t="s">
        <v>7</v>
      </c>
      <c r="C1290" s="455"/>
      <c r="D1290" s="7"/>
      <c r="E1290" s="7"/>
      <c r="F1290" s="456"/>
      <c r="G1290" s="456"/>
      <c r="H1290" s="456"/>
      <c r="I1290" s="456"/>
      <c r="J1290" s="456"/>
      <c r="K1290" s="456"/>
      <c r="L1290" s="456"/>
      <c r="M1290" s="456"/>
      <c r="N1290" s="456"/>
      <c r="O1290" s="456"/>
      <c r="P1290" s="456"/>
      <c r="Q1290" s="456"/>
      <c r="R1290" s="456"/>
      <c r="S1290" s="445">
        <f t="shared" si="111"/>
        <v>0</v>
      </c>
      <c r="T1290" s="445">
        <f t="shared" si="112"/>
        <v>0</v>
      </c>
      <c r="U1290" s="445">
        <f t="shared" si="113"/>
        <v>0</v>
      </c>
      <c r="W1290" s="450"/>
      <c r="X1290" s="450"/>
      <c r="Y1290" s="441"/>
      <c r="Z1290" s="441"/>
      <c r="AA1290" s="441"/>
      <c r="AB1290" s="441"/>
      <c r="AC1290" s="441"/>
      <c r="AD1290" s="441"/>
      <c r="AE1290" s="441"/>
      <c r="AF1290" s="441"/>
      <c r="AG1290" s="441"/>
      <c r="AH1290" s="441"/>
      <c r="AI1290" s="441"/>
      <c r="AJ1290" s="441"/>
      <c r="AK1290" s="441"/>
      <c r="AL1290" s="441"/>
      <c r="AM1290" s="441"/>
      <c r="AN1290" s="441"/>
      <c r="AO1290" s="441"/>
    </row>
    <row r="1291" spans="1:41" ht="12.75" hidden="1" thickBot="1">
      <c r="A1291" s="1" t="s">
        <v>1282</v>
      </c>
      <c r="B1291" s="2" t="s">
        <v>797</v>
      </c>
      <c r="C1291" s="2" t="s">
        <v>1031</v>
      </c>
      <c r="D1291" s="8" t="s">
        <v>830</v>
      </c>
      <c r="E1291" s="457"/>
      <c r="F1291" s="4"/>
      <c r="G1291" s="4"/>
      <c r="H1291" s="4"/>
      <c r="I1291" s="4"/>
      <c r="J1291" s="4"/>
      <c r="K1291" s="4"/>
      <c r="L1291" s="4"/>
      <c r="M1291" s="4"/>
      <c r="N1291" s="4"/>
      <c r="O1291" s="4"/>
      <c r="P1291" s="4"/>
      <c r="Q1291" s="4"/>
      <c r="R1291" s="449"/>
      <c r="S1291" s="445">
        <f t="shared" ref="S1291:S1354" si="114">G1291+H1291+I1291</f>
        <v>0</v>
      </c>
      <c r="T1291" s="445">
        <f t="shared" ref="T1291:T1354" si="115">J1291+K1291</f>
        <v>0</v>
      </c>
      <c r="U1291" s="445">
        <f t="shared" ref="U1291:U1354" si="116">N1291+O1291</f>
        <v>0</v>
      </c>
      <c r="W1291" s="450"/>
      <c r="X1291" s="450"/>
      <c r="Y1291" s="441"/>
      <c r="Z1291" s="441"/>
      <c r="AA1291" s="441"/>
      <c r="AB1291" s="441"/>
      <c r="AC1291" s="441"/>
      <c r="AD1291" s="441"/>
      <c r="AE1291" s="441"/>
      <c r="AF1291" s="441"/>
      <c r="AG1291" s="441"/>
      <c r="AH1291" s="441"/>
      <c r="AI1291" s="441"/>
      <c r="AJ1291" s="441"/>
      <c r="AK1291" s="441"/>
      <c r="AL1291" s="441"/>
      <c r="AM1291" s="441"/>
      <c r="AN1291" s="441"/>
      <c r="AO1291" s="441"/>
    </row>
    <row r="1292" spans="1:41" ht="12.75" hidden="1" thickBot="1">
      <c r="A1292" s="1" t="s">
        <v>1282</v>
      </c>
      <c r="B1292" s="2" t="s">
        <v>797</v>
      </c>
      <c r="C1292" s="2" t="s">
        <v>798</v>
      </c>
      <c r="D1292" s="8" t="s">
        <v>830</v>
      </c>
      <c r="E1292" s="458"/>
      <c r="F1292" s="6"/>
      <c r="G1292" s="6"/>
      <c r="H1292" s="6"/>
      <c r="I1292" s="6"/>
      <c r="J1292" s="6"/>
      <c r="K1292" s="6"/>
      <c r="L1292" s="6"/>
      <c r="M1292" s="6"/>
      <c r="N1292" s="6"/>
      <c r="O1292" s="6"/>
      <c r="P1292" s="6"/>
      <c r="Q1292" s="6"/>
      <c r="R1292" s="451"/>
      <c r="S1292" s="445">
        <f t="shared" si="114"/>
        <v>0</v>
      </c>
      <c r="T1292" s="445">
        <f t="shared" si="115"/>
        <v>0</v>
      </c>
      <c r="U1292" s="445">
        <f t="shared" si="116"/>
        <v>0</v>
      </c>
      <c r="W1292" s="450"/>
      <c r="X1292" s="450"/>
      <c r="Y1292" s="441"/>
      <c r="Z1292" s="441"/>
      <c r="AA1292" s="441"/>
      <c r="AB1292" s="441"/>
      <c r="AC1292" s="441"/>
      <c r="AD1292" s="441"/>
      <c r="AE1292" s="441"/>
      <c r="AF1292" s="441"/>
      <c r="AG1292" s="441"/>
      <c r="AH1292" s="441"/>
      <c r="AI1292" s="441"/>
      <c r="AJ1292" s="441"/>
      <c r="AK1292" s="441"/>
      <c r="AL1292" s="441"/>
      <c r="AM1292" s="441"/>
      <c r="AN1292" s="441"/>
      <c r="AO1292" s="441"/>
    </row>
    <row r="1293" spans="1:41" ht="12.75" hidden="1" thickBot="1">
      <c r="A1293" s="1" t="s">
        <v>1282</v>
      </c>
      <c r="B1293" s="2" t="s">
        <v>793</v>
      </c>
      <c r="C1293" s="2" t="s">
        <v>1032</v>
      </c>
      <c r="D1293" s="8" t="s">
        <v>793</v>
      </c>
      <c r="E1293" s="3">
        <f t="shared" ref="E1293:R1312" si="117">ROUND(SUMIFS(E$1410:E$1613,$A$1410:$A$1613,$A1293,$B$1410:$B$1613,$B1293),0)</f>
        <v>14608576</v>
      </c>
      <c r="F1293" s="452">
        <f t="shared" si="117"/>
        <v>0</v>
      </c>
      <c r="G1293" s="452">
        <f t="shared" si="117"/>
        <v>1136169</v>
      </c>
      <c r="H1293" s="452">
        <f t="shared" si="117"/>
        <v>398084</v>
      </c>
      <c r="I1293" s="452">
        <f t="shared" si="117"/>
        <v>0</v>
      </c>
      <c r="J1293" s="452">
        <f t="shared" si="117"/>
        <v>0</v>
      </c>
      <c r="K1293" s="452">
        <f t="shared" si="117"/>
        <v>0</v>
      </c>
      <c r="L1293" s="452">
        <f t="shared" si="117"/>
        <v>0</v>
      </c>
      <c r="M1293" s="452">
        <f t="shared" si="117"/>
        <v>-11458</v>
      </c>
      <c r="N1293" s="452">
        <f t="shared" si="117"/>
        <v>135363</v>
      </c>
      <c r="O1293" s="452">
        <f t="shared" si="117"/>
        <v>0</v>
      </c>
      <c r="P1293" s="452">
        <f t="shared" si="117"/>
        <v>0</v>
      </c>
      <c r="Q1293" s="452"/>
      <c r="R1293" s="452">
        <f t="shared" si="117"/>
        <v>1658158</v>
      </c>
      <c r="S1293" s="445">
        <f t="shared" si="114"/>
        <v>1534253</v>
      </c>
      <c r="T1293" s="445">
        <f t="shared" si="115"/>
        <v>0</v>
      </c>
      <c r="U1293" s="445">
        <f t="shared" si="116"/>
        <v>135363</v>
      </c>
      <c r="W1293" s="450"/>
      <c r="X1293" s="450"/>
      <c r="Y1293" s="441"/>
      <c r="Z1293" s="441"/>
      <c r="AA1293" s="441"/>
      <c r="AB1293" s="441"/>
      <c r="AC1293" s="441"/>
      <c r="AD1293" s="441"/>
      <c r="AE1293" s="441"/>
      <c r="AF1293" s="441"/>
      <c r="AG1293" s="441"/>
      <c r="AH1293" s="441"/>
      <c r="AI1293" s="441"/>
      <c r="AJ1293" s="441"/>
      <c r="AK1293" s="441"/>
      <c r="AL1293" s="441"/>
      <c r="AM1293" s="441"/>
      <c r="AN1293" s="441"/>
      <c r="AO1293" s="441"/>
    </row>
    <row r="1294" spans="1:41" ht="12.75" hidden="1" thickBot="1">
      <c r="A1294" s="1" t="s">
        <v>1282</v>
      </c>
      <c r="B1294" s="2" t="s">
        <v>1111</v>
      </c>
      <c r="C1294" s="2" t="s">
        <v>1199</v>
      </c>
      <c r="D1294" s="8" t="s">
        <v>830</v>
      </c>
      <c r="E1294" s="3">
        <f t="shared" si="117"/>
        <v>0</v>
      </c>
      <c r="F1294" s="452">
        <f t="shared" si="117"/>
        <v>0</v>
      </c>
      <c r="G1294" s="452">
        <f t="shared" si="117"/>
        <v>0</v>
      </c>
      <c r="H1294" s="452">
        <f t="shared" si="117"/>
        <v>0</v>
      </c>
      <c r="I1294" s="452">
        <f t="shared" si="117"/>
        <v>0</v>
      </c>
      <c r="J1294" s="452">
        <f t="shared" si="117"/>
        <v>0</v>
      </c>
      <c r="K1294" s="452">
        <f t="shared" si="117"/>
        <v>0</v>
      </c>
      <c r="L1294" s="452">
        <f t="shared" si="117"/>
        <v>0</v>
      </c>
      <c r="M1294" s="452">
        <f t="shared" si="117"/>
        <v>0</v>
      </c>
      <c r="N1294" s="452">
        <f t="shared" si="117"/>
        <v>0</v>
      </c>
      <c r="O1294" s="452">
        <f t="shared" si="117"/>
        <v>0</v>
      </c>
      <c r="P1294" s="452">
        <f t="shared" si="117"/>
        <v>0</v>
      </c>
      <c r="Q1294" s="452"/>
      <c r="R1294" s="452">
        <f t="shared" si="117"/>
        <v>0</v>
      </c>
      <c r="S1294" s="445">
        <f t="shared" si="114"/>
        <v>0</v>
      </c>
      <c r="T1294" s="445">
        <f t="shared" si="115"/>
        <v>0</v>
      </c>
      <c r="U1294" s="445">
        <f t="shared" si="116"/>
        <v>0</v>
      </c>
      <c r="W1294" s="450"/>
      <c r="X1294" s="450"/>
      <c r="Y1294" s="441"/>
      <c r="Z1294" s="441"/>
      <c r="AA1294" s="441"/>
      <c r="AB1294" s="441"/>
      <c r="AC1294" s="441"/>
      <c r="AD1294" s="441"/>
      <c r="AE1294" s="441"/>
      <c r="AF1294" s="441"/>
      <c r="AG1294" s="441"/>
      <c r="AH1294" s="441"/>
      <c r="AI1294" s="441"/>
      <c r="AJ1294" s="441"/>
      <c r="AK1294" s="441"/>
      <c r="AL1294" s="441"/>
      <c r="AM1294" s="441"/>
      <c r="AN1294" s="441"/>
      <c r="AO1294" s="441"/>
    </row>
    <row r="1295" spans="1:41" ht="12.75" hidden="1" thickBot="1">
      <c r="A1295" s="1" t="s">
        <v>1282</v>
      </c>
      <c r="B1295" s="2" t="s">
        <v>801</v>
      </c>
      <c r="C1295" s="2" t="s">
        <v>1243</v>
      </c>
      <c r="D1295" s="8" t="s">
        <v>1205</v>
      </c>
      <c r="E1295" s="3">
        <f t="shared" si="117"/>
        <v>0</v>
      </c>
      <c r="F1295" s="452">
        <f t="shared" si="117"/>
        <v>0</v>
      </c>
      <c r="G1295" s="452">
        <f t="shared" si="117"/>
        <v>0</v>
      </c>
      <c r="H1295" s="452">
        <f t="shared" si="117"/>
        <v>0</v>
      </c>
      <c r="I1295" s="452">
        <f t="shared" si="117"/>
        <v>0</v>
      </c>
      <c r="J1295" s="452">
        <f t="shared" si="117"/>
        <v>0</v>
      </c>
      <c r="K1295" s="452">
        <f t="shared" si="117"/>
        <v>0</v>
      </c>
      <c r="L1295" s="452">
        <f t="shared" si="117"/>
        <v>0</v>
      </c>
      <c r="M1295" s="452">
        <f t="shared" si="117"/>
        <v>0</v>
      </c>
      <c r="N1295" s="452">
        <f t="shared" si="117"/>
        <v>0</v>
      </c>
      <c r="O1295" s="452">
        <f t="shared" si="117"/>
        <v>0</v>
      </c>
      <c r="P1295" s="452">
        <f t="shared" si="117"/>
        <v>0</v>
      </c>
      <c r="Q1295" s="452"/>
      <c r="R1295" s="452">
        <f t="shared" si="117"/>
        <v>0</v>
      </c>
      <c r="S1295" s="445">
        <f t="shared" si="114"/>
        <v>0</v>
      </c>
      <c r="T1295" s="445">
        <f t="shared" si="115"/>
        <v>0</v>
      </c>
      <c r="U1295" s="445">
        <f t="shared" si="116"/>
        <v>0</v>
      </c>
      <c r="W1295" s="450"/>
      <c r="X1295" s="450"/>
      <c r="Y1295" s="441"/>
      <c r="Z1295" s="441"/>
      <c r="AA1295" s="441"/>
      <c r="AB1295" s="441"/>
      <c r="AC1295" s="441"/>
      <c r="AD1295" s="441"/>
      <c r="AE1295" s="441"/>
      <c r="AF1295" s="441"/>
      <c r="AG1295" s="441"/>
      <c r="AH1295" s="441"/>
      <c r="AI1295" s="441"/>
      <c r="AJ1295" s="441"/>
      <c r="AK1295" s="441"/>
      <c r="AL1295" s="441"/>
      <c r="AM1295" s="441"/>
      <c r="AN1295" s="441"/>
      <c r="AO1295" s="441"/>
    </row>
    <row r="1296" spans="1:41" ht="12.75" hidden="1" thickBot="1">
      <c r="A1296" s="1" t="s">
        <v>1282</v>
      </c>
      <c r="B1296" s="2" t="s">
        <v>368</v>
      </c>
      <c r="C1296" s="2" t="s">
        <v>1200</v>
      </c>
      <c r="D1296" s="8" t="s">
        <v>417</v>
      </c>
      <c r="E1296" s="3">
        <f t="shared" si="117"/>
        <v>0</v>
      </c>
      <c r="F1296" s="452">
        <f t="shared" si="117"/>
        <v>0</v>
      </c>
      <c r="G1296" s="452">
        <f t="shared" si="117"/>
        <v>0</v>
      </c>
      <c r="H1296" s="452">
        <f t="shared" si="117"/>
        <v>0</v>
      </c>
      <c r="I1296" s="452">
        <f t="shared" si="117"/>
        <v>0</v>
      </c>
      <c r="J1296" s="452">
        <f t="shared" si="117"/>
        <v>0</v>
      </c>
      <c r="K1296" s="452">
        <f t="shared" si="117"/>
        <v>0</v>
      </c>
      <c r="L1296" s="452">
        <f t="shared" si="117"/>
        <v>0</v>
      </c>
      <c r="M1296" s="452">
        <f t="shared" si="117"/>
        <v>0</v>
      </c>
      <c r="N1296" s="452">
        <f t="shared" si="117"/>
        <v>0</v>
      </c>
      <c r="O1296" s="452">
        <f t="shared" si="117"/>
        <v>0</v>
      </c>
      <c r="P1296" s="452">
        <f t="shared" si="117"/>
        <v>0</v>
      </c>
      <c r="Q1296" s="452"/>
      <c r="R1296" s="452">
        <f t="shared" si="117"/>
        <v>0</v>
      </c>
      <c r="S1296" s="445">
        <f t="shared" si="114"/>
        <v>0</v>
      </c>
      <c r="T1296" s="445">
        <f t="shared" si="115"/>
        <v>0</v>
      </c>
      <c r="U1296" s="445">
        <f t="shared" si="116"/>
        <v>0</v>
      </c>
      <c r="W1296" s="450"/>
      <c r="X1296" s="450"/>
      <c r="Y1296" s="441"/>
      <c r="Z1296" s="441"/>
      <c r="AA1296" s="441"/>
      <c r="AB1296" s="441"/>
      <c r="AC1296" s="441"/>
      <c r="AD1296" s="441"/>
      <c r="AE1296" s="441"/>
      <c r="AF1296" s="441"/>
      <c r="AG1296" s="441"/>
      <c r="AH1296" s="441"/>
      <c r="AI1296" s="441"/>
      <c r="AJ1296" s="441"/>
      <c r="AK1296" s="441"/>
      <c r="AL1296" s="441"/>
      <c r="AM1296" s="441"/>
      <c r="AN1296" s="441"/>
      <c r="AO1296" s="441"/>
    </row>
    <row r="1297" spans="1:41" ht="12.75" hidden="1" thickBot="1">
      <c r="A1297" s="1" t="s">
        <v>1282</v>
      </c>
      <c r="B1297" s="2" t="s">
        <v>370</v>
      </c>
      <c r="C1297" s="2" t="s">
        <v>118</v>
      </c>
      <c r="D1297" s="8" t="s">
        <v>414</v>
      </c>
      <c r="E1297" s="3">
        <f t="shared" si="117"/>
        <v>30941036</v>
      </c>
      <c r="F1297" s="452">
        <f t="shared" si="117"/>
        <v>564190</v>
      </c>
      <c r="G1297" s="452">
        <f t="shared" si="117"/>
        <v>1931339</v>
      </c>
      <c r="H1297" s="452">
        <f t="shared" si="117"/>
        <v>843143</v>
      </c>
      <c r="I1297" s="452">
        <f t="shared" si="117"/>
        <v>51672</v>
      </c>
      <c r="J1297" s="452">
        <f t="shared" si="117"/>
        <v>0</v>
      </c>
      <c r="K1297" s="452">
        <f t="shared" si="117"/>
        <v>0</v>
      </c>
      <c r="L1297" s="452">
        <f t="shared" si="117"/>
        <v>69310</v>
      </c>
      <c r="M1297" s="452">
        <f t="shared" si="117"/>
        <v>-24269</v>
      </c>
      <c r="N1297" s="452">
        <f t="shared" si="117"/>
        <v>0</v>
      </c>
      <c r="O1297" s="452">
        <f t="shared" si="117"/>
        <v>286700</v>
      </c>
      <c r="P1297" s="452">
        <f t="shared" si="117"/>
        <v>0</v>
      </c>
      <c r="Q1297" s="452"/>
      <c r="R1297" s="452">
        <f t="shared" si="117"/>
        <v>3722085</v>
      </c>
      <c r="S1297" s="445">
        <f t="shared" si="114"/>
        <v>2826154</v>
      </c>
      <c r="T1297" s="445">
        <f t="shared" si="115"/>
        <v>0</v>
      </c>
      <c r="U1297" s="445">
        <f t="shared" si="116"/>
        <v>286700</v>
      </c>
      <c r="W1297" s="450"/>
      <c r="X1297" s="450"/>
      <c r="Y1297" s="441"/>
      <c r="Z1297" s="441"/>
      <c r="AA1297" s="441"/>
      <c r="AB1297" s="441"/>
      <c r="AC1297" s="441"/>
      <c r="AD1297" s="441"/>
      <c r="AE1297" s="441"/>
      <c r="AF1297" s="441"/>
      <c r="AG1297" s="441"/>
      <c r="AH1297" s="441"/>
      <c r="AI1297" s="441"/>
      <c r="AJ1297" s="441"/>
      <c r="AK1297" s="441"/>
      <c r="AL1297" s="441"/>
      <c r="AM1297" s="441"/>
      <c r="AN1297" s="441"/>
      <c r="AO1297" s="441"/>
    </row>
    <row r="1298" spans="1:41" ht="12.75" hidden="1" thickBot="1">
      <c r="A1298" s="1" t="s">
        <v>1282</v>
      </c>
      <c r="B1298" s="2" t="s">
        <v>371</v>
      </c>
      <c r="C1298" s="2" t="s">
        <v>1201</v>
      </c>
      <c r="D1298" s="8" t="s">
        <v>414</v>
      </c>
      <c r="E1298" s="3">
        <f t="shared" si="117"/>
        <v>0</v>
      </c>
      <c r="F1298" s="452">
        <f t="shared" si="117"/>
        <v>0</v>
      </c>
      <c r="G1298" s="452">
        <f t="shared" si="117"/>
        <v>0</v>
      </c>
      <c r="H1298" s="452">
        <f t="shared" si="117"/>
        <v>0</v>
      </c>
      <c r="I1298" s="452">
        <f t="shared" si="117"/>
        <v>0</v>
      </c>
      <c r="J1298" s="452">
        <f t="shared" si="117"/>
        <v>0</v>
      </c>
      <c r="K1298" s="452">
        <f t="shared" si="117"/>
        <v>0</v>
      </c>
      <c r="L1298" s="452">
        <f t="shared" si="117"/>
        <v>0</v>
      </c>
      <c r="M1298" s="452">
        <f t="shared" si="117"/>
        <v>0</v>
      </c>
      <c r="N1298" s="452">
        <f t="shared" si="117"/>
        <v>0</v>
      </c>
      <c r="O1298" s="452">
        <f t="shared" si="117"/>
        <v>0</v>
      </c>
      <c r="P1298" s="452">
        <f t="shared" si="117"/>
        <v>0</v>
      </c>
      <c r="Q1298" s="452"/>
      <c r="R1298" s="452">
        <f t="shared" si="117"/>
        <v>0</v>
      </c>
      <c r="S1298" s="445">
        <f t="shared" si="114"/>
        <v>0</v>
      </c>
      <c r="T1298" s="445">
        <f t="shared" si="115"/>
        <v>0</v>
      </c>
      <c r="U1298" s="445">
        <f t="shared" si="116"/>
        <v>0</v>
      </c>
      <c r="W1298" s="450"/>
      <c r="X1298" s="450"/>
      <c r="Y1298" s="441"/>
      <c r="Z1298" s="441"/>
      <c r="AA1298" s="441"/>
      <c r="AB1298" s="441"/>
      <c r="AC1298" s="441"/>
      <c r="AD1298" s="441"/>
      <c r="AE1298" s="441"/>
      <c r="AF1298" s="441"/>
      <c r="AG1298" s="441"/>
      <c r="AH1298" s="441"/>
      <c r="AI1298" s="441"/>
      <c r="AJ1298" s="441"/>
      <c r="AK1298" s="441"/>
      <c r="AL1298" s="441"/>
      <c r="AM1298" s="441"/>
      <c r="AN1298" s="441"/>
      <c r="AO1298" s="441"/>
    </row>
    <row r="1299" spans="1:41" ht="12.75" hidden="1" thickBot="1">
      <c r="A1299" s="1" t="s">
        <v>1282</v>
      </c>
      <c r="B1299" s="2" t="s">
        <v>372</v>
      </c>
      <c r="C1299" s="2" t="s">
        <v>1202</v>
      </c>
      <c r="D1299" s="8" t="s">
        <v>416</v>
      </c>
      <c r="E1299" s="3">
        <f t="shared" si="117"/>
        <v>0</v>
      </c>
      <c r="F1299" s="452">
        <f t="shared" si="117"/>
        <v>0</v>
      </c>
      <c r="G1299" s="452">
        <f t="shared" si="117"/>
        <v>0</v>
      </c>
      <c r="H1299" s="452">
        <f t="shared" si="117"/>
        <v>0</v>
      </c>
      <c r="I1299" s="452">
        <f t="shared" si="117"/>
        <v>0</v>
      </c>
      <c r="J1299" s="452">
        <f t="shared" si="117"/>
        <v>0</v>
      </c>
      <c r="K1299" s="452">
        <f t="shared" si="117"/>
        <v>0</v>
      </c>
      <c r="L1299" s="452">
        <f t="shared" si="117"/>
        <v>0</v>
      </c>
      <c r="M1299" s="452">
        <f t="shared" si="117"/>
        <v>0</v>
      </c>
      <c r="N1299" s="452">
        <f t="shared" si="117"/>
        <v>0</v>
      </c>
      <c r="O1299" s="452">
        <f t="shared" si="117"/>
        <v>0</v>
      </c>
      <c r="P1299" s="452">
        <f t="shared" si="117"/>
        <v>0</v>
      </c>
      <c r="Q1299" s="452"/>
      <c r="R1299" s="452">
        <f t="shared" si="117"/>
        <v>0</v>
      </c>
      <c r="S1299" s="445">
        <f t="shared" si="114"/>
        <v>0</v>
      </c>
      <c r="T1299" s="445">
        <f t="shared" si="115"/>
        <v>0</v>
      </c>
      <c r="U1299" s="445">
        <f t="shared" si="116"/>
        <v>0</v>
      </c>
      <c r="W1299" s="450"/>
      <c r="X1299" s="450"/>
      <c r="Y1299" s="441"/>
      <c r="Z1299" s="441"/>
      <c r="AA1299" s="441"/>
      <c r="AB1299" s="441"/>
      <c r="AC1299" s="441"/>
      <c r="AD1299" s="441"/>
      <c r="AE1299" s="441"/>
      <c r="AF1299" s="441"/>
      <c r="AG1299" s="441"/>
      <c r="AH1299" s="441"/>
      <c r="AI1299" s="441"/>
      <c r="AJ1299" s="441"/>
      <c r="AK1299" s="441"/>
      <c r="AL1299" s="441"/>
      <c r="AM1299" s="441"/>
      <c r="AN1299" s="441"/>
      <c r="AO1299" s="441"/>
    </row>
    <row r="1300" spans="1:41" ht="12.75" hidden="1" thickBot="1">
      <c r="A1300" s="1" t="s">
        <v>1282</v>
      </c>
      <c r="B1300" s="2" t="s">
        <v>374</v>
      </c>
      <c r="C1300" s="2" t="s">
        <v>415</v>
      </c>
      <c r="D1300" s="8" t="s">
        <v>414</v>
      </c>
      <c r="E1300" s="3">
        <f t="shared" si="117"/>
        <v>0</v>
      </c>
      <c r="F1300" s="452">
        <f t="shared" si="117"/>
        <v>0</v>
      </c>
      <c r="G1300" s="452">
        <f t="shared" si="117"/>
        <v>0</v>
      </c>
      <c r="H1300" s="452">
        <f t="shared" si="117"/>
        <v>0</v>
      </c>
      <c r="I1300" s="452">
        <f t="shared" si="117"/>
        <v>0</v>
      </c>
      <c r="J1300" s="452">
        <f t="shared" si="117"/>
        <v>0</v>
      </c>
      <c r="K1300" s="452">
        <f t="shared" si="117"/>
        <v>0</v>
      </c>
      <c r="L1300" s="452">
        <f t="shared" si="117"/>
        <v>0</v>
      </c>
      <c r="M1300" s="452">
        <f t="shared" si="117"/>
        <v>0</v>
      </c>
      <c r="N1300" s="452">
        <f t="shared" si="117"/>
        <v>0</v>
      </c>
      <c r="O1300" s="452">
        <f t="shared" si="117"/>
        <v>0</v>
      </c>
      <c r="P1300" s="452">
        <f t="shared" si="117"/>
        <v>0</v>
      </c>
      <c r="Q1300" s="452"/>
      <c r="R1300" s="452">
        <f t="shared" si="117"/>
        <v>0</v>
      </c>
      <c r="S1300" s="445">
        <f t="shared" si="114"/>
        <v>0</v>
      </c>
      <c r="T1300" s="445">
        <f t="shared" si="115"/>
        <v>0</v>
      </c>
      <c r="U1300" s="445">
        <f t="shared" si="116"/>
        <v>0</v>
      </c>
      <c r="W1300" s="450"/>
      <c r="X1300" s="450"/>
      <c r="Y1300" s="441"/>
      <c r="Z1300" s="441"/>
      <c r="AA1300" s="441"/>
      <c r="AB1300" s="441"/>
      <c r="AC1300" s="441"/>
      <c r="AD1300" s="441"/>
      <c r="AE1300" s="441"/>
      <c r="AF1300" s="441"/>
      <c r="AG1300" s="441"/>
      <c r="AH1300" s="441"/>
      <c r="AI1300" s="441"/>
      <c r="AJ1300" s="441"/>
      <c r="AK1300" s="441"/>
      <c r="AL1300" s="441"/>
      <c r="AM1300" s="441"/>
      <c r="AN1300" s="441"/>
      <c r="AO1300" s="441"/>
    </row>
    <row r="1301" spans="1:41" ht="12.75" hidden="1" thickBot="1">
      <c r="A1301" s="1" t="s">
        <v>1282</v>
      </c>
      <c r="B1301" s="2" t="s">
        <v>375</v>
      </c>
      <c r="C1301" s="2" t="s">
        <v>406</v>
      </c>
      <c r="D1301" s="8" t="s">
        <v>20</v>
      </c>
      <c r="E1301" s="3">
        <f t="shared" si="117"/>
        <v>135751631</v>
      </c>
      <c r="F1301" s="452">
        <f t="shared" si="117"/>
        <v>232110</v>
      </c>
      <c r="G1301" s="452">
        <f t="shared" si="117"/>
        <v>1812284</v>
      </c>
      <c r="H1301" s="452">
        <f t="shared" si="117"/>
        <v>3699232</v>
      </c>
      <c r="I1301" s="452">
        <f t="shared" si="117"/>
        <v>0</v>
      </c>
      <c r="J1301" s="452">
        <f t="shared" si="117"/>
        <v>160251</v>
      </c>
      <c r="K1301" s="452">
        <f t="shared" si="117"/>
        <v>4517075</v>
      </c>
      <c r="L1301" s="452">
        <f t="shared" si="117"/>
        <v>304092</v>
      </c>
      <c r="M1301" s="452">
        <f t="shared" si="117"/>
        <v>-106478</v>
      </c>
      <c r="N1301" s="452">
        <f t="shared" si="117"/>
        <v>0</v>
      </c>
      <c r="O1301" s="452">
        <f t="shared" si="117"/>
        <v>1257877</v>
      </c>
      <c r="P1301" s="452">
        <f t="shared" si="117"/>
        <v>0</v>
      </c>
      <c r="Q1301" s="452"/>
      <c r="R1301" s="452">
        <f t="shared" si="117"/>
        <v>11876444</v>
      </c>
      <c r="S1301" s="445">
        <f t="shared" si="114"/>
        <v>5511516</v>
      </c>
      <c r="T1301" s="445">
        <f t="shared" si="115"/>
        <v>4677326</v>
      </c>
      <c r="U1301" s="445">
        <f t="shared" si="116"/>
        <v>1257877</v>
      </c>
      <c r="W1301" s="450"/>
      <c r="X1301" s="450"/>
      <c r="Y1301" s="441"/>
      <c r="Z1301" s="441"/>
      <c r="AA1301" s="441"/>
      <c r="AB1301" s="441"/>
      <c r="AC1301" s="441"/>
      <c r="AD1301" s="441"/>
      <c r="AE1301" s="441"/>
      <c r="AF1301" s="441"/>
      <c r="AG1301" s="441"/>
      <c r="AH1301" s="441"/>
      <c r="AI1301" s="441"/>
      <c r="AJ1301" s="441"/>
      <c r="AK1301" s="441"/>
      <c r="AL1301" s="441"/>
      <c r="AM1301" s="441"/>
      <c r="AN1301" s="441"/>
      <c r="AO1301" s="441"/>
    </row>
    <row r="1302" spans="1:41" ht="12.75" hidden="1" thickBot="1">
      <c r="A1302" s="1" t="s">
        <v>1282</v>
      </c>
      <c r="B1302" s="2" t="s">
        <v>376</v>
      </c>
      <c r="C1302" s="2" t="s">
        <v>404</v>
      </c>
      <c r="D1302" s="8" t="s">
        <v>21</v>
      </c>
      <c r="E1302" s="3">
        <f t="shared" si="117"/>
        <v>11973010</v>
      </c>
      <c r="F1302" s="452">
        <f t="shared" si="117"/>
        <v>8840</v>
      </c>
      <c r="G1302" s="452">
        <f t="shared" si="117"/>
        <v>143796</v>
      </c>
      <c r="H1302" s="452">
        <f t="shared" si="117"/>
        <v>326265</v>
      </c>
      <c r="I1302" s="452">
        <f t="shared" si="117"/>
        <v>0</v>
      </c>
      <c r="J1302" s="452">
        <f t="shared" si="117"/>
        <v>13792</v>
      </c>
      <c r="K1302" s="452">
        <f t="shared" si="117"/>
        <v>321243</v>
      </c>
      <c r="L1302" s="452">
        <f t="shared" si="117"/>
        <v>26820</v>
      </c>
      <c r="M1302" s="452">
        <f t="shared" si="117"/>
        <v>-9391</v>
      </c>
      <c r="N1302" s="452">
        <f t="shared" si="117"/>
        <v>0</v>
      </c>
      <c r="O1302" s="452">
        <f t="shared" si="117"/>
        <v>110942</v>
      </c>
      <c r="P1302" s="452">
        <f t="shared" si="117"/>
        <v>0</v>
      </c>
      <c r="Q1302" s="452"/>
      <c r="R1302" s="452">
        <f t="shared" si="117"/>
        <v>942307</v>
      </c>
      <c r="S1302" s="445">
        <f t="shared" si="114"/>
        <v>470061</v>
      </c>
      <c r="T1302" s="445">
        <f t="shared" si="115"/>
        <v>335035</v>
      </c>
      <c r="U1302" s="445">
        <f t="shared" si="116"/>
        <v>110942</v>
      </c>
      <c r="W1302" s="450"/>
      <c r="X1302" s="450"/>
      <c r="Y1302" s="441"/>
      <c r="Z1302" s="441"/>
      <c r="AA1302" s="441"/>
      <c r="AB1302" s="441"/>
      <c r="AC1302" s="441"/>
      <c r="AD1302" s="441"/>
      <c r="AE1302" s="441"/>
      <c r="AF1302" s="441"/>
      <c r="AG1302" s="441"/>
      <c r="AH1302" s="441"/>
      <c r="AI1302" s="441"/>
      <c r="AJ1302" s="441"/>
      <c r="AK1302" s="441"/>
      <c r="AL1302" s="441"/>
      <c r="AM1302" s="441"/>
      <c r="AN1302" s="441"/>
      <c r="AO1302" s="441"/>
    </row>
    <row r="1303" spans="1:41" ht="12.75" hidden="1" thickBot="1">
      <c r="A1303" s="1" t="s">
        <v>1282</v>
      </c>
      <c r="B1303" s="2" t="s">
        <v>377</v>
      </c>
      <c r="C1303" s="2" t="s">
        <v>407</v>
      </c>
      <c r="D1303" s="8" t="s">
        <v>20</v>
      </c>
      <c r="E1303" s="3">
        <f t="shared" si="117"/>
        <v>0</v>
      </c>
      <c r="F1303" s="452">
        <f t="shared" si="117"/>
        <v>0</v>
      </c>
      <c r="G1303" s="452">
        <f t="shared" si="117"/>
        <v>0</v>
      </c>
      <c r="H1303" s="452">
        <f t="shared" si="117"/>
        <v>0</v>
      </c>
      <c r="I1303" s="452">
        <f t="shared" si="117"/>
        <v>0</v>
      </c>
      <c r="J1303" s="452">
        <f t="shared" si="117"/>
        <v>0</v>
      </c>
      <c r="K1303" s="452">
        <f t="shared" si="117"/>
        <v>0</v>
      </c>
      <c r="L1303" s="452">
        <f t="shared" si="117"/>
        <v>0</v>
      </c>
      <c r="M1303" s="452">
        <f t="shared" si="117"/>
        <v>0</v>
      </c>
      <c r="N1303" s="452">
        <f t="shared" si="117"/>
        <v>0</v>
      </c>
      <c r="O1303" s="452">
        <f t="shared" si="117"/>
        <v>0</v>
      </c>
      <c r="P1303" s="452">
        <f t="shared" si="117"/>
        <v>0</v>
      </c>
      <c r="Q1303" s="452"/>
      <c r="R1303" s="452">
        <f t="shared" si="117"/>
        <v>0</v>
      </c>
      <c r="S1303" s="445">
        <f t="shared" si="114"/>
        <v>0</v>
      </c>
      <c r="T1303" s="445">
        <f t="shared" si="115"/>
        <v>0</v>
      </c>
      <c r="U1303" s="445">
        <f t="shared" si="116"/>
        <v>0</v>
      </c>
      <c r="W1303" s="450"/>
      <c r="X1303" s="450"/>
      <c r="Y1303" s="441"/>
      <c r="Z1303" s="441"/>
      <c r="AA1303" s="441"/>
      <c r="AB1303" s="441"/>
      <c r="AC1303" s="441"/>
      <c r="AD1303" s="441"/>
      <c r="AE1303" s="441"/>
      <c r="AF1303" s="441"/>
      <c r="AG1303" s="441"/>
      <c r="AH1303" s="441"/>
      <c r="AI1303" s="441"/>
      <c r="AJ1303" s="441"/>
      <c r="AK1303" s="441"/>
      <c r="AL1303" s="441"/>
      <c r="AM1303" s="441"/>
      <c r="AN1303" s="441"/>
      <c r="AO1303" s="441"/>
    </row>
    <row r="1304" spans="1:41" ht="12.75" hidden="1" thickBot="1">
      <c r="A1304" s="1" t="s">
        <v>1282</v>
      </c>
      <c r="B1304" s="2" t="s">
        <v>378</v>
      </c>
      <c r="C1304" s="2" t="s">
        <v>1033</v>
      </c>
      <c r="D1304" s="8" t="s">
        <v>1006</v>
      </c>
      <c r="E1304" s="3">
        <f t="shared" si="117"/>
        <v>63933591</v>
      </c>
      <c r="F1304" s="452">
        <f t="shared" si="117"/>
        <v>44200</v>
      </c>
      <c r="G1304" s="452">
        <f t="shared" si="117"/>
        <v>808760</v>
      </c>
      <c r="H1304" s="452">
        <f t="shared" si="117"/>
        <v>1742190</v>
      </c>
      <c r="I1304" s="452">
        <f t="shared" si="117"/>
        <v>0</v>
      </c>
      <c r="J1304" s="452">
        <f t="shared" si="117"/>
        <v>63561</v>
      </c>
      <c r="K1304" s="452">
        <f t="shared" si="117"/>
        <v>1860281</v>
      </c>
      <c r="L1304" s="452">
        <f t="shared" si="117"/>
        <v>143215</v>
      </c>
      <c r="M1304" s="452">
        <f t="shared" si="117"/>
        <v>-50147</v>
      </c>
      <c r="N1304" s="452">
        <f t="shared" si="117"/>
        <v>0</v>
      </c>
      <c r="O1304" s="452">
        <f t="shared" si="117"/>
        <v>592410</v>
      </c>
      <c r="P1304" s="452">
        <f t="shared" si="117"/>
        <v>0</v>
      </c>
      <c r="Q1304" s="452"/>
      <c r="R1304" s="452">
        <f t="shared" si="117"/>
        <v>5204470</v>
      </c>
      <c r="S1304" s="445">
        <f t="shared" si="114"/>
        <v>2550950</v>
      </c>
      <c r="T1304" s="445">
        <f t="shared" si="115"/>
        <v>1923842</v>
      </c>
      <c r="U1304" s="445">
        <f t="shared" si="116"/>
        <v>592410</v>
      </c>
      <c r="W1304" s="450"/>
      <c r="X1304" s="450"/>
      <c r="Y1304" s="441"/>
      <c r="Z1304" s="441"/>
      <c r="AA1304" s="441"/>
      <c r="AB1304" s="441"/>
      <c r="AC1304" s="441"/>
      <c r="AD1304" s="441"/>
      <c r="AE1304" s="441"/>
      <c r="AF1304" s="441"/>
      <c r="AG1304" s="441"/>
      <c r="AH1304" s="441"/>
      <c r="AI1304" s="441"/>
      <c r="AJ1304" s="441"/>
      <c r="AK1304" s="441"/>
      <c r="AL1304" s="441"/>
      <c r="AM1304" s="441"/>
      <c r="AN1304" s="441"/>
      <c r="AO1304" s="441"/>
    </row>
    <row r="1305" spans="1:41" ht="12.75" hidden="1" thickBot="1">
      <c r="A1305" s="1" t="s">
        <v>1282</v>
      </c>
      <c r="B1305" s="2" t="s">
        <v>379</v>
      </c>
      <c r="C1305" s="2" t="s">
        <v>408</v>
      </c>
      <c r="D1305" s="8" t="s">
        <v>409</v>
      </c>
      <c r="E1305" s="3">
        <f t="shared" si="117"/>
        <v>29882690</v>
      </c>
      <c r="F1305" s="452">
        <f t="shared" si="117"/>
        <v>11700</v>
      </c>
      <c r="G1305" s="452">
        <f t="shared" si="117"/>
        <v>324227</v>
      </c>
      <c r="H1305" s="452">
        <f t="shared" si="117"/>
        <v>814303</v>
      </c>
      <c r="I1305" s="452">
        <f t="shared" si="117"/>
        <v>0</v>
      </c>
      <c r="J1305" s="452">
        <f t="shared" si="117"/>
        <v>28205</v>
      </c>
      <c r="K1305" s="452">
        <f t="shared" si="117"/>
        <v>899941</v>
      </c>
      <c r="L1305" s="452">
        <f t="shared" si="117"/>
        <v>66939</v>
      </c>
      <c r="M1305" s="452">
        <f t="shared" si="117"/>
        <v>-23439</v>
      </c>
      <c r="N1305" s="452">
        <f t="shared" si="117"/>
        <v>0</v>
      </c>
      <c r="O1305" s="452">
        <f t="shared" si="117"/>
        <v>276894</v>
      </c>
      <c r="P1305" s="452">
        <f t="shared" si="117"/>
        <v>0</v>
      </c>
      <c r="Q1305" s="452"/>
      <c r="R1305" s="452">
        <f t="shared" si="117"/>
        <v>2398771</v>
      </c>
      <c r="S1305" s="445">
        <f t="shared" si="114"/>
        <v>1138530</v>
      </c>
      <c r="T1305" s="445">
        <f t="shared" si="115"/>
        <v>928146</v>
      </c>
      <c r="U1305" s="445">
        <f t="shared" si="116"/>
        <v>276894</v>
      </c>
      <c r="W1305" s="450"/>
      <c r="X1305" s="450"/>
      <c r="Y1305" s="441"/>
      <c r="Z1305" s="441"/>
      <c r="AA1305" s="441"/>
      <c r="AB1305" s="441"/>
      <c r="AC1305" s="441"/>
      <c r="AD1305" s="441"/>
      <c r="AE1305" s="441"/>
      <c r="AF1305" s="441"/>
      <c r="AG1305" s="441"/>
      <c r="AH1305" s="441"/>
      <c r="AI1305" s="441"/>
      <c r="AJ1305" s="441"/>
      <c r="AK1305" s="441"/>
      <c r="AL1305" s="441"/>
      <c r="AM1305" s="441"/>
      <c r="AN1305" s="441"/>
      <c r="AO1305" s="441"/>
    </row>
    <row r="1306" spans="1:41" ht="12.75" hidden="1" thickBot="1">
      <c r="A1306" s="1" t="s">
        <v>1282</v>
      </c>
      <c r="B1306" s="2" t="s">
        <v>381</v>
      </c>
      <c r="C1306" s="2" t="s">
        <v>59</v>
      </c>
      <c r="D1306" s="8" t="s">
        <v>14</v>
      </c>
      <c r="E1306" s="3">
        <f t="shared" si="117"/>
        <v>78915468</v>
      </c>
      <c r="F1306" s="452">
        <f t="shared" si="117"/>
        <v>573283</v>
      </c>
      <c r="G1306" s="452">
        <f t="shared" si="117"/>
        <v>4925904</v>
      </c>
      <c r="H1306" s="452">
        <f t="shared" si="117"/>
        <v>2150447</v>
      </c>
      <c r="I1306" s="452">
        <f t="shared" si="117"/>
        <v>131789</v>
      </c>
      <c r="J1306" s="452">
        <f t="shared" si="117"/>
        <v>0</v>
      </c>
      <c r="K1306" s="452">
        <f t="shared" si="117"/>
        <v>0</v>
      </c>
      <c r="L1306" s="452">
        <f t="shared" si="117"/>
        <v>176775</v>
      </c>
      <c r="M1306" s="452">
        <f t="shared" si="117"/>
        <v>-61898</v>
      </c>
      <c r="N1306" s="452">
        <f t="shared" si="117"/>
        <v>0</v>
      </c>
      <c r="O1306" s="452">
        <f t="shared" si="117"/>
        <v>731232</v>
      </c>
      <c r="P1306" s="452">
        <f t="shared" si="117"/>
        <v>0</v>
      </c>
      <c r="Q1306" s="452"/>
      <c r="R1306" s="452">
        <f t="shared" si="117"/>
        <v>8627531</v>
      </c>
      <c r="S1306" s="445">
        <f t="shared" si="114"/>
        <v>7208140</v>
      </c>
      <c r="T1306" s="445">
        <f t="shared" si="115"/>
        <v>0</v>
      </c>
      <c r="U1306" s="445">
        <f t="shared" si="116"/>
        <v>731232</v>
      </c>
      <c r="W1306" s="450"/>
      <c r="X1306" s="450"/>
      <c r="Y1306" s="441"/>
      <c r="Z1306" s="441"/>
      <c r="AA1306" s="441"/>
      <c r="AB1306" s="441"/>
      <c r="AC1306" s="441"/>
      <c r="AD1306" s="441"/>
      <c r="AE1306" s="441"/>
      <c r="AF1306" s="441"/>
      <c r="AG1306" s="441"/>
      <c r="AH1306" s="441"/>
      <c r="AI1306" s="441"/>
      <c r="AJ1306" s="441"/>
      <c r="AK1306" s="441"/>
      <c r="AL1306" s="441"/>
      <c r="AM1306" s="441"/>
      <c r="AN1306" s="441"/>
      <c r="AO1306" s="441"/>
    </row>
    <row r="1307" spans="1:41" ht="12.75" hidden="1" thickBot="1">
      <c r="A1307" s="1" t="s">
        <v>1282</v>
      </c>
      <c r="B1307" s="2" t="s">
        <v>382</v>
      </c>
      <c r="C1307" s="2" t="s">
        <v>1244</v>
      </c>
      <c r="D1307" s="8" t="s">
        <v>14</v>
      </c>
      <c r="E1307" s="3">
        <f t="shared" si="117"/>
        <v>0</v>
      </c>
      <c r="F1307" s="452">
        <f t="shared" si="117"/>
        <v>0</v>
      </c>
      <c r="G1307" s="452">
        <f t="shared" si="117"/>
        <v>0</v>
      </c>
      <c r="H1307" s="452">
        <f t="shared" si="117"/>
        <v>0</v>
      </c>
      <c r="I1307" s="452">
        <f t="shared" si="117"/>
        <v>0</v>
      </c>
      <c r="J1307" s="452">
        <f t="shared" si="117"/>
        <v>0</v>
      </c>
      <c r="K1307" s="452">
        <f t="shared" si="117"/>
        <v>0</v>
      </c>
      <c r="L1307" s="452">
        <f t="shared" si="117"/>
        <v>0</v>
      </c>
      <c r="M1307" s="452">
        <f t="shared" si="117"/>
        <v>0</v>
      </c>
      <c r="N1307" s="452">
        <f t="shared" si="117"/>
        <v>0</v>
      </c>
      <c r="O1307" s="452">
        <f t="shared" si="117"/>
        <v>0</v>
      </c>
      <c r="P1307" s="452">
        <f t="shared" si="117"/>
        <v>0</v>
      </c>
      <c r="Q1307" s="452"/>
      <c r="R1307" s="452">
        <f t="shared" si="117"/>
        <v>0</v>
      </c>
      <c r="S1307" s="445">
        <f t="shared" si="114"/>
        <v>0</v>
      </c>
      <c r="T1307" s="445">
        <f t="shared" si="115"/>
        <v>0</v>
      </c>
      <c r="U1307" s="445">
        <f t="shared" si="116"/>
        <v>0</v>
      </c>
      <c r="W1307" s="450"/>
      <c r="X1307" s="450"/>
      <c r="Y1307" s="441"/>
      <c r="Z1307" s="441"/>
      <c r="AA1307" s="441"/>
      <c r="AB1307" s="441"/>
      <c r="AC1307" s="441"/>
      <c r="AD1307" s="441"/>
      <c r="AE1307" s="441"/>
      <c r="AF1307" s="441"/>
      <c r="AG1307" s="441"/>
      <c r="AH1307" s="441"/>
      <c r="AI1307" s="441"/>
      <c r="AJ1307" s="441"/>
      <c r="AK1307" s="441"/>
      <c r="AL1307" s="441"/>
      <c r="AM1307" s="441"/>
      <c r="AN1307" s="441"/>
      <c r="AO1307" s="441"/>
    </row>
    <row r="1308" spans="1:41" ht="12.75" hidden="1" thickBot="1">
      <c r="A1308" s="1" t="s">
        <v>1282</v>
      </c>
      <c r="B1308" s="2" t="s">
        <v>384</v>
      </c>
      <c r="C1308" s="2" t="s">
        <v>413</v>
      </c>
      <c r="D1308" s="8" t="s">
        <v>14</v>
      </c>
      <c r="E1308" s="3">
        <f t="shared" si="117"/>
        <v>0</v>
      </c>
      <c r="F1308" s="452">
        <f t="shared" si="117"/>
        <v>0</v>
      </c>
      <c r="G1308" s="452">
        <f t="shared" si="117"/>
        <v>0</v>
      </c>
      <c r="H1308" s="452">
        <f t="shared" si="117"/>
        <v>0</v>
      </c>
      <c r="I1308" s="452">
        <f t="shared" si="117"/>
        <v>0</v>
      </c>
      <c r="J1308" s="452">
        <f t="shared" si="117"/>
        <v>0</v>
      </c>
      <c r="K1308" s="452">
        <f t="shared" si="117"/>
        <v>0</v>
      </c>
      <c r="L1308" s="452">
        <f t="shared" si="117"/>
        <v>0</v>
      </c>
      <c r="M1308" s="452">
        <f t="shared" si="117"/>
        <v>0</v>
      </c>
      <c r="N1308" s="452">
        <f t="shared" si="117"/>
        <v>0</v>
      </c>
      <c r="O1308" s="452">
        <f t="shared" si="117"/>
        <v>0</v>
      </c>
      <c r="P1308" s="452">
        <f t="shared" si="117"/>
        <v>0</v>
      </c>
      <c r="Q1308" s="452"/>
      <c r="R1308" s="452">
        <f t="shared" si="117"/>
        <v>0</v>
      </c>
      <c r="S1308" s="445">
        <f t="shared" si="114"/>
        <v>0</v>
      </c>
      <c r="T1308" s="445">
        <f t="shared" si="115"/>
        <v>0</v>
      </c>
      <c r="U1308" s="445">
        <f t="shared" si="116"/>
        <v>0</v>
      </c>
      <c r="W1308" s="450"/>
      <c r="X1308" s="450"/>
      <c r="Y1308" s="441"/>
      <c r="Z1308" s="441"/>
      <c r="AA1308" s="441"/>
      <c r="AB1308" s="441"/>
      <c r="AC1308" s="441"/>
      <c r="AD1308" s="441"/>
      <c r="AE1308" s="441"/>
      <c r="AF1308" s="441"/>
      <c r="AG1308" s="441"/>
      <c r="AH1308" s="441"/>
      <c r="AI1308" s="441"/>
      <c r="AJ1308" s="441"/>
      <c r="AK1308" s="441"/>
      <c r="AL1308" s="441"/>
      <c r="AM1308" s="441"/>
      <c r="AN1308" s="441"/>
      <c r="AO1308" s="441"/>
    </row>
    <row r="1309" spans="1:41" ht="12.75" hidden="1" thickBot="1">
      <c r="A1309" s="1" t="s">
        <v>1282</v>
      </c>
      <c r="B1309" s="2" t="s">
        <v>385</v>
      </c>
      <c r="C1309" s="2" t="s">
        <v>424</v>
      </c>
      <c r="D1309" s="8" t="s">
        <v>425</v>
      </c>
      <c r="E1309" s="3">
        <f t="shared" si="117"/>
        <v>4790100</v>
      </c>
      <c r="F1309" s="452">
        <f t="shared" si="117"/>
        <v>0</v>
      </c>
      <c r="G1309" s="452">
        <f t="shared" si="117"/>
        <v>46799</v>
      </c>
      <c r="H1309" s="452">
        <f t="shared" si="117"/>
        <v>130530</v>
      </c>
      <c r="I1309" s="452">
        <f t="shared" si="117"/>
        <v>0</v>
      </c>
      <c r="J1309" s="452">
        <f t="shared" si="117"/>
        <v>3505</v>
      </c>
      <c r="K1309" s="452">
        <f t="shared" si="117"/>
        <v>94530</v>
      </c>
      <c r="L1309" s="452">
        <f t="shared" si="117"/>
        <v>0</v>
      </c>
      <c r="M1309" s="452">
        <f t="shared" si="117"/>
        <v>-3757</v>
      </c>
      <c r="N1309" s="452">
        <f t="shared" si="117"/>
        <v>0</v>
      </c>
      <c r="O1309" s="452">
        <f t="shared" si="117"/>
        <v>44385</v>
      </c>
      <c r="P1309" s="452">
        <f t="shared" si="117"/>
        <v>0</v>
      </c>
      <c r="Q1309" s="452"/>
      <c r="R1309" s="452">
        <f t="shared" si="117"/>
        <v>315992</v>
      </c>
      <c r="S1309" s="445">
        <f t="shared" si="114"/>
        <v>177329</v>
      </c>
      <c r="T1309" s="445">
        <f t="shared" si="115"/>
        <v>98035</v>
      </c>
      <c r="U1309" s="445">
        <f t="shared" si="116"/>
        <v>44385</v>
      </c>
      <c r="W1309" s="450"/>
      <c r="X1309" s="450"/>
      <c r="Y1309" s="441"/>
      <c r="Z1309" s="441"/>
      <c r="AA1309" s="441"/>
      <c r="AB1309" s="441"/>
      <c r="AC1309" s="441"/>
      <c r="AD1309" s="441"/>
      <c r="AE1309" s="441"/>
      <c r="AF1309" s="441"/>
      <c r="AG1309" s="441"/>
      <c r="AH1309" s="441"/>
      <c r="AI1309" s="441"/>
      <c r="AJ1309" s="441"/>
      <c r="AK1309" s="441"/>
      <c r="AL1309" s="441"/>
      <c r="AM1309" s="441"/>
      <c r="AN1309" s="441"/>
      <c r="AO1309" s="441"/>
    </row>
    <row r="1310" spans="1:41" ht="12.75" hidden="1" thickBot="1">
      <c r="A1310" s="1" t="s">
        <v>1282</v>
      </c>
      <c r="B1310" s="2" t="s">
        <v>1223</v>
      </c>
      <c r="C1310" s="2" t="s">
        <v>1224</v>
      </c>
      <c r="D1310" s="8" t="s">
        <v>63</v>
      </c>
      <c r="E1310" s="3">
        <f t="shared" si="117"/>
        <v>0</v>
      </c>
      <c r="F1310" s="452">
        <f t="shared" si="117"/>
        <v>0</v>
      </c>
      <c r="G1310" s="452">
        <f t="shared" si="117"/>
        <v>0</v>
      </c>
      <c r="H1310" s="452">
        <f t="shared" si="117"/>
        <v>0</v>
      </c>
      <c r="I1310" s="452">
        <f t="shared" si="117"/>
        <v>0</v>
      </c>
      <c r="J1310" s="452">
        <f t="shared" si="117"/>
        <v>0</v>
      </c>
      <c r="K1310" s="452">
        <f t="shared" si="117"/>
        <v>0</v>
      </c>
      <c r="L1310" s="452">
        <f t="shared" si="117"/>
        <v>0</v>
      </c>
      <c r="M1310" s="452">
        <f t="shared" si="117"/>
        <v>0</v>
      </c>
      <c r="N1310" s="452">
        <f t="shared" si="117"/>
        <v>0</v>
      </c>
      <c r="O1310" s="452">
        <f t="shared" si="117"/>
        <v>0</v>
      </c>
      <c r="P1310" s="452">
        <f t="shared" si="117"/>
        <v>-286526</v>
      </c>
      <c r="Q1310" s="452"/>
      <c r="R1310" s="452">
        <f t="shared" si="117"/>
        <v>-286526</v>
      </c>
      <c r="S1310" s="445">
        <f t="shared" si="114"/>
        <v>0</v>
      </c>
      <c r="T1310" s="445">
        <f t="shared" si="115"/>
        <v>0</v>
      </c>
      <c r="U1310" s="445">
        <f t="shared" si="116"/>
        <v>0</v>
      </c>
      <c r="W1310" s="450"/>
      <c r="X1310" s="450"/>
      <c r="Y1310" s="441"/>
      <c r="Z1310" s="441"/>
      <c r="AA1310" s="441"/>
      <c r="AB1310" s="441"/>
      <c r="AC1310" s="441"/>
      <c r="AD1310" s="441"/>
      <c r="AE1310" s="441"/>
      <c r="AF1310" s="441"/>
      <c r="AG1310" s="441"/>
      <c r="AH1310" s="441"/>
      <c r="AI1310" s="441"/>
      <c r="AJ1310" s="441"/>
      <c r="AK1310" s="441"/>
      <c r="AL1310" s="441"/>
      <c r="AM1310" s="441"/>
      <c r="AN1310" s="441"/>
      <c r="AO1310" s="441"/>
    </row>
    <row r="1311" spans="1:41" ht="12.75" hidden="1" thickBot="1">
      <c r="A1311" s="1" t="s">
        <v>1282</v>
      </c>
      <c r="B1311" s="2" t="s">
        <v>386</v>
      </c>
      <c r="C1311" s="2" t="s">
        <v>405</v>
      </c>
      <c r="D1311" s="8" t="s">
        <v>63</v>
      </c>
      <c r="E1311" s="3">
        <f t="shared" si="117"/>
        <v>0</v>
      </c>
      <c r="F1311" s="452">
        <f t="shared" si="117"/>
        <v>0</v>
      </c>
      <c r="G1311" s="452">
        <f t="shared" si="117"/>
        <v>0</v>
      </c>
      <c r="H1311" s="452">
        <f t="shared" si="117"/>
        <v>0</v>
      </c>
      <c r="I1311" s="452">
        <f t="shared" si="117"/>
        <v>0</v>
      </c>
      <c r="J1311" s="452">
        <f t="shared" si="117"/>
        <v>0</v>
      </c>
      <c r="K1311" s="452">
        <f t="shared" si="117"/>
        <v>0</v>
      </c>
      <c r="L1311" s="452">
        <f t="shared" si="117"/>
        <v>0</v>
      </c>
      <c r="M1311" s="452">
        <f t="shared" si="117"/>
        <v>0</v>
      </c>
      <c r="N1311" s="452">
        <f t="shared" si="117"/>
        <v>0</v>
      </c>
      <c r="O1311" s="452">
        <f t="shared" si="117"/>
        <v>0</v>
      </c>
      <c r="P1311" s="452">
        <f t="shared" si="117"/>
        <v>0</v>
      </c>
      <c r="Q1311" s="452"/>
      <c r="R1311" s="452">
        <f t="shared" si="117"/>
        <v>0</v>
      </c>
      <c r="S1311" s="445">
        <f t="shared" si="114"/>
        <v>0</v>
      </c>
      <c r="T1311" s="445">
        <f t="shared" si="115"/>
        <v>0</v>
      </c>
      <c r="U1311" s="445">
        <f t="shared" si="116"/>
        <v>0</v>
      </c>
      <c r="W1311" s="450"/>
      <c r="X1311" s="450"/>
      <c r="Y1311" s="441"/>
      <c r="Z1311" s="441"/>
      <c r="AA1311" s="441"/>
      <c r="AB1311" s="441"/>
      <c r="AC1311" s="441"/>
      <c r="AD1311" s="441"/>
      <c r="AE1311" s="441"/>
      <c r="AF1311" s="441"/>
      <c r="AG1311" s="441"/>
      <c r="AH1311" s="441"/>
      <c r="AI1311" s="441"/>
      <c r="AJ1311" s="441"/>
      <c r="AK1311" s="441"/>
      <c r="AL1311" s="441"/>
      <c r="AM1311" s="441"/>
      <c r="AN1311" s="441"/>
      <c r="AO1311" s="441"/>
    </row>
    <row r="1312" spans="1:41" ht="12.75" hidden="1" thickBot="1">
      <c r="A1312" s="1" t="s">
        <v>1282</v>
      </c>
      <c r="B1312" s="2" t="s">
        <v>803</v>
      </c>
      <c r="C1312" s="2" t="s">
        <v>804</v>
      </c>
      <c r="D1312" s="8" t="s">
        <v>1205</v>
      </c>
      <c r="E1312" s="3">
        <f t="shared" si="117"/>
        <v>0</v>
      </c>
      <c r="F1312" s="452">
        <f t="shared" si="117"/>
        <v>0</v>
      </c>
      <c r="G1312" s="452">
        <f t="shared" si="117"/>
        <v>0</v>
      </c>
      <c r="H1312" s="452">
        <f t="shared" si="117"/>
        <v>0</v>
      </c>
      <c r="I1312" s="452">
        <f t="shared" si="117"/>
        <v>0</v>
      </c>
      <c r="J1312" s="452">
        <f t="shared" si="117"/>
        <v>0</v>
      </c>
      <c r="K1312" s="452">
        <f t="shared" si="117"/>
        <v>0</v>
      </c>
      <c r="L1312" s="452">
        <f t="shared" si="117"/>
        <v>0</v>
      </c>
      <c r="M1312" s="452">
        <f t="shared" ref="G1312:R1330" si="118">ROUND(SUMIFS(M$1410:M$1613,$A$1410:$A$1613,$A1312,$B$1410:$B$1613,$B1312),0)</f>
        <v>0</v>
      </c>
      <c r="N1312" s="452">
        <f t="shared" si="118"/>
        <v>0</v>
      </c>
      <c r="O1312" s="452">
        <f t="shared" si="118"/>
        <v>0</v>
      </c>
      <c r="P1312" s="452">
        <f t="shared" si="118"/>
        <v>0</v>
      </c>
      <c r="Q1312" s="452"/>
      <c r="R1312" s="452">
        <f t="shared" si="118"/>
        <v>0</v>
      </c>
      <c r="S1312" s="445">
        <f t="shared" si="114"/>
        <v>0</v>
      </c>
      <c r="T1312" s="445">
        <f t="shared" si="115"/>
        <v>0</v>
      </c>
      <c r="U1312" s="445">
        <f t="shared" si="116"/>
        <v>0</v>
      </c>
      <c r="W1312" s="450"/>
      <c r="X1312" s="450"/>
      <c r="Y1312" s="441"/>
      <c r="Z1312" s="441"/>
      <c r="AA1312" s="441"/>
      <c r="AB1312" s="441"/>
      <c r="AC1312" s="441"/>
      <c r="AD1312" s="441"/>
      <c r="AE1312" s="441"/>
      <c r="AF1312" s="441"/>
      <c r="AG1312" s="441"/>
      <c r="AH1312" s="441"/>
      <c r="AI1312" s="441"/>
      <c r="AJ1312" s="441"/>
      <c r="AK1312" s="441"/>
      <c r="AL1312" s="441"/>
      <c r="AM1312" s="441"/>
      <c r="AN1312" s="441"/>
      <c r="AO1312" s="441"/>
    </row>
    <row r="1313" spans="1:41" ht="12.75" hidden="1" thickBot="1">
      <c r="A1313" s="1" t="s">
        <v>1282</v>
      </c>
      <c r="B1313" s="2" t="s">
        <v>387</v>
      </c>
      <c r="C1313" s="2" t="s">
        <v>411</v>
      </c>
      <c r="D1313" s="8" t="s">
        <v>412</v>
      </c>
      <c r="E1313" s="3">
        <f t="shared" ref="E1313:F1330" si="119">ROUND(SUMIFS(E$1410:E$1613,$A$1410:$A$1613,$A1313,$B$1410:$B$1613,$B1313),0)</f>
        <v>9529000</v>
      </c>
      <c r="F1313" s="452">
        <f t="shared" si="119"/>
        <v>0</v>
      </c>
      <c r="G1313" s="452">
        <f t="shared" si="118"/>
        <v>96719</v>
      </c>
      <c r="H1313" s="452">
        <f t="shared" si="118"/>
        <v>259665</v>
      </c>
      <c r="I1313" s="452">
        <f t="shared" si="118"/>
        <v>0</v>
      </c>
      <c r="J1313" s="452">
        <f t="shared" si="118"/>
        <v>4810</v>
      </c>
      <c r="K1313" s="452">
        <f t="shared" si="118"/>
        <v>152078</v>
      </c>
      <c r="L1313" s="452">
        <f t="shared" si="118"/>
        <v>0</v>
      </c>
      <c r="M1313" s="452">
        <f t="shared" si="118"/>
        <v>-7474</v>
      </c>
      <c r="N1313" s="452">
        <f t="shared" si="118"/>
        <v>0</v>
      </c>
      <c r="O1313" s="452">
        <f t="shared" si="118"/>
        <v>88296</v>
      </c>
      <c r="P1313" s="452">
        <f t="shared" si="118"/>
        <v>0</v>
      </c>
      <c r="Q1313" s="452"/>
      <c r="R1313" s="452">
        <f t="shared" si="118"/>
        <v>594095</v>
      </c>
      <c r="S1313" s="445">
        <f t="shared" si="114"/>
        <v>356384</v>
      </c>
      <c r="T1313" s="445">
        <f t="shared" si="115"/>
        <v>156888</v>
      </c>
      <c r="U1313" s="445">
        <f t="shared" si="116"/>
        <v>88296</v>
      </c>
      <c r="W1313" s="450"/>
      <c r="X1313" s="450"/>
      <c r="Y1313" s="441"/>
      <c r="Z1313" s="441"/>
      <c r="AA1313" s="441"/>
      <c r="AB1313" s="441"/>
      <c r="AC1313" s="441"/>
      <c r="AD1313" s="441"/>
      <c r="AE1313" s="441"/>
      <c r="AF1313" s="441"/>
      <c r="AG1313" s="441"/>
      <c r="AH1313" s="441"/>
      <c r="AI1313" s="441"/>
      <c r="AJ1313" s="441"/>
      <c r="AK1313" s="441"/>
      <c r="AL1313" s="441"/>
      <c r="AM1313" s="441"/>
      <c r="AN1313" s="441"/>
      <c r="AO1313" s="441"/>
    </row>
    <row r="1314" spans="1:41" ht="12.75" hidden="1" thickBot="1">
      <c r="A1314" s="1" t="s">
        <v>1282</v>
      </c>
      <c r="B1314" s="2" t="s">
        <v>388</v>
      </c>
      <c r="C1314" s="2" t="s">
        <v>54</v>
      </c>
      <c r="D1314" s="8" t="s">
        <v>15</v>
      </c>
      <c r="E1314" s="3">
        <f t="shared" si="119"/>
        <v>76289433</v>
      </c>
      <c r="F1314" s="452">
        <f t="shared" si="119"/>
        <v>9000</v>
      </c>
      <c r="G1314" s="452">
        <f t="shared" si="118"/>
        <v>675161</v>
      </c>
      <c r="H1314" s="452">
        <f t="shared" si="118"/>
        <v>2078887</v>
      </c>
      <c r="I1314" s="452">
        <f t="shared" si="118"/>
        <v>0</v>
      </c>
      <c r="J1314" s="452">
        <f t="shared" si="118"/>
        <v>44323</v>
      </c>
      <c r="K1314" s="452">
        <f t="shared" si="118"/>
        <v>1280580</v>
      </c>
      <c r="L1314" s="452">
        <f t="shared" si="118"/>
        <v>0</v>
      </c>
      <c r="M1314" s="452">
        <f t="shared" si="118"/>
        <v>-59838</v>
      </c>
      <c r="N1314" s="452">
        <f t="shared" si="118"/>
        <v>0</v>
      </c>
      <c r="O1314" s="452">
        <f t="shared" si="118"/>
        <v>706900</v>
      </c>
      <c r="P1314" s="452">
        <f t="shared" si="118"/>
        <v>0</v>
      </c>
      <c r="Q1314" s="452"/>
      <c r="R1314" s="452">
        <f t="shared" si="118"/>
        <v>4735014</v>
      </c>
      <c r="S1314" s="445">
        <f t="shared" si="114"/>
        <v>2754048</v>
      </c>
      <c r="T1314" s="445">
        <f t="shared" si="115"/>
        <v>1324903</v>
      </c>
      <c r="U1314" s="445">
        <f t="shared" si="116"/>
        <v>706900</v>
      </c>
      <c r="W1314" s="450"/>
      <c r="X1314" s="450"/>
      <c r="Y1314" s="441"/>
      <c r="Z1314" s="441"/>
      <c r="AA1314" s="441"/>
      <c r="AB1314" s="441"/>
      <c r="AC1314" s="441"/>
      <c r="AD1314" s="441"/>
      <c r="AE1314" s="441"/>
      <c r="AF1314" s="441"/>
      <c r="AG1314" s="441"/>
      <c r="AH1314" s="441"/>
      <c r="AI1314" s="441"/>
      <c r="AJ1314" s="441"/>
      <c r="AK1314" s="441"/>
      <c r="AL1314" s="441"/>
      <c r="AM1314" s="441"/>
      <c r="AN1314" s="441"/>
      <c r="AO1314" s="441"/>
    </row>
    <row r="1315" spans="1:41" ht="12.75" hidden="1" thickBot="1">
      <c r="A1315" s="1" t="s">
        <v>1282</v>
      </c>
      <c r="B1315" s="2" t="s">
        <v>389</v>
      </c>
      <c r="C1315" s="2" t="s">
        <v>419</v>
      </c>
      <c r="D1315" s="8" t="s">
        <v>20</v>
      </c>
      <c r="E1315" s="3">
        <f t="shared" si="119"/>
        <v>18982755</v>
      </c>
      <c r="F1315" s="452">
        <f t="shared" si="119"/>
        <v>19260</v>
      </c>
      <c r="G1315" s="452">
        <f t="shared" si="118"/>
        <v>253420</v>
      </c>
      <c r="H1315" s="452">
        <f t="shared" si="118"/>
        <v>517280</v>
      </c>
      <c r="I1315" s="452">
        <f t="shared" si="118"/>
        <v>0</v>
      </c>
      <c r="J1315" s="452">
        <f t="shared" si="118"/>
        <v>28356</v>
      </c>
      <c r="K1315" s="452">
        <f t="shared" si="118"/>
        <v>799287</v>
      </c>
      <c r="L1315" s="452">
        <f t="shared" si="118"/>
        <v>42523</v>
      </c>
      <c r="M1315" s="452">
        <f t="shared" si="118"/>
        <v>-14889</v>
      </c>
      <c r="N1315" s="452">
        <f t="shared" si="118"/>
        <v>0</v>
      </c>
      <c r="O1315" s="452">
        <f t="shared" si="118"/>
        <v>175895</v>
      </c>
      <c r="P1315" s="452">
        <f t="shared" si="118"/>
        <v>0</v>
      </c>
      <c r="Q1315" s="452"/>
      <c r="R1315" s="452">
        <f t="shared" si="118"/>
        <v>1821131</v>
      </c>
      <c r="S1315" s="445">
        <f t="shared" si="114"/>
        <v>770700</v>
      </c>
      <c r="T1315" s="445">
        <f t="shared" si="115"/>
        <v>827643</v>
      </c>
      <c r="U1315" s="445">
        <f t="shared" si="116"/>
        <v>175895</v>
      </c>
      <c r="W1315" s="450"/>
      <c r="X1315" s="450"/>
      <c r="Y1315" s="441"/>
      <c r="Z1315" s="441"/>
      <c r="AA1315" s="441"/>
      <c r="AB1315" s="441"/>
      <c r="AC1315" s="441"/>
      <c r="AD1315" s="441"/>
      <c r="AE1315" s="441"/>
      <c r="AF1315" s="441"/>
      <c r="AG1315" s="441"/>
      <c r="AH1315" s="441"/>
      <c r="AI1315" s="441"/>
      <c r="AJ1315" s="441"/>
      <c r="AK1315" s="441"/>
      <c r="AL1315" s="441"/>
      <c r="AM1315" s="441"/>
      <c r="AN1315" s="441"/>
      <c r="AO1315" s="441"/>
    </row>
    <row r="1316" spans="1:41" ht="12.75" hidden="1" thickBot="1">
      <c r="A1316" s="1" t="s">
        <v>1282</v>
      </c>
      <c r="B1316" s="2" t="s">
        <v>390</v>
      </c>
      <c r="C1316" s="2" t="s">
        <v>418</v>
      </c>
      <c r="D1316" s="2" t="s">
        <v>21</v>
      </c>
      <c r="E1316" s="3">
        <f t="shared" si="119"/>
        <v>1085432</v>
      </c>
      <c r="F1316" s="452">
        <f t="shared" si="119"/>
        <v>3570</v>
      </c>
      <c r="G1316" s="452">
        <f t="shared" si="118"/>
        <v>13036</v>
      </c>
      <c r="H1316" s="452">
        <f t="shared" si="118"/>
        <v>29578</v>
      </c>
      <c r="I1316" s="452">
        <f t="shared" si="118"/>
        <v>0</v>
      </c>
      <c r="J1316" s="452">
        <f t="shared" si="118"/>
        <v>1873</v>
      </c>
      <c r="K1316" s="452">
        <f t="shared" si="118"/>
        <v>43614</v>
      </c>
      <c r="L1316" s="452">
        <f t="shared" si="118"/>
        <v>2431</v>
      </c>
      <c r="M1316" s="452">
        <f t="shared" si="118"/>
        <v>-851</v>
      </c>
      <c r="N1316" s="452">
        <f t="shared" si="118"/>
        <v>0</v>
      </c>
      <c r="O1316" s="452">
        <f t="shared" si="118"/>
        <v>10058</v>
      </c>
      <c r="P1316" s="452">
        <f t="shared" si="118"/>
        <v>0</v>
      </c>
      <c r="Q1316" s="452"/>
      <c r="R1316" s="452">
        <f t="shared" si="118"/>
        <v>103308</v>
      </c>
      <c r="S1316" s="445">
        <f t="shared" si="114"/>
        <v>42614</v>
      </c>
      <c r="T1316" s="445">
        <f t="shared" si="115"/>
        <v>45487</v>
      </c>
      <c r="U1316" s="445">
        <f t="shared" si="116"/>
        <v>10058</v>
      </c>
      <c r="W1316" s="450"/>
      <c r="X1316" s="450"/>
      <c r="Y1316" s="441"/>
      <c r="Z1316" s="441"/>
      <c r="AA1316" s="441"/>
      <c r="AB1316" s="441"/>
      <c r="AC1316" s="441"/>
      <c r="AD1316" s="441"/>
      <c r="AE1316" s="441"/>
      <c r="AF1316" s="441"/>
      <c r="AG1316" s="441"/>
      <c r="AH1316" s="441"/>
      <c r="AI1316" s="441"/>
      <c r="AJ1316" s="441"/>
      <c r="AK1316" s="441"/>
      <c r="AL1316" s="441"/>
      <c r="AM1316" s="441"/>
      <c r="AN1316" s="441"/>
      <c r="AO1316" s="441"/>
    </row>
    <row r="1317" spans="1:41" ht="12.75" hidden="1" thickBot="1">
      <c r="A1317" s="1" t="s">
        <v>1282</v>
      </c>
      <c r="B1317" s="2" t="s">
        <v>391</v>
      </c>
      <c r="C1317" s="2" t="s">
        <v>1034</v>
      </c>
      <c r="D1317" s="8" t="s">
        <v>422</v>
      </c>
      <c r="E1317" s="3">
        <f t="shared" si="119"/>
        <v>20700534</v>
      </c>
      <c r="F1317" s="452">
        <f t="shared" si="119"/>
        <v>19600</v>
      </c>
      <c r="G1317" s="452">
        <f t="shared" si="118"/>
        <v>261862</v>
      </c>
      <c r="H1317" s="452">
        <f t="shared" si="118"/>
        <v>564090</v>
      </c>
      <c r="I1317" s="452">
        <f t="shared" si="118"/>
        <v>0</v>
      </c>
      <c r="J1317" s="452">
        <f t="shared" si="118"/>
        <v>23466</v>
      </c>
      <c r="K1317" s="452">
        <f t="shared" si="118"/>
        <v>686314</v>
      </c>
      <c r="L1317" s="452">
        <f t="shared" si="118"/>
        <v>46370</v>
      </c>
      <c r="M1317" s="452">
        <f t="shared" si="118"/>
        <v>-16237</v>
      </c>
      <c r="N1317" s="452">
        <f t="shared" si="118"/>
        <v>0</v>
      </c>
      <c r="O1317" s="452">
        <f t="shared" si="118"/>
        <v>191812</v>
      </c>
      <c r="P1317" s="452">
        <f t="shared" si="118"/>
        <v>0</v>
      </c>
      <c r="Q1317" s="452"/>
      <c r="R1317" s="452">
        <f t="shared" si="118"/>
        <v>1777277</v>
      </c>
      <c r="S1317" s="445">
        <f t="shared" si="114"/>
        <v>825952</v>
      </c>
      <c r="T1317" s="445">
        <f t="shared" si="115"/>
        <v>709780</v>
      </c>
      <c r="U1317" s="445">
        <f t="shared" si="116"/>
        <v>191812</v>
      </c>
      <c r="W1317" s="450"/>
      <c r="X1317" s="450"/>
      <c r="Y1317" s="441"/>
      <c r="Z1317" s="441"/>
      <c r="AA1317" s="441"/>
      <c r="AB1317" s="441"/>
      <c r="AC1317" s="441"/>
      <c r="AD1317" s="441"/>
      <c r="AE1317" s="441"/>
      <c r="AF1317" s="441"/>
      <c r="AG1317" s="441"/>
      <c r="AH1317" s="441"/>
      <c r="AI1317" s="441"/>
      <c r="AJ1317" s="441"/>
      <c r="AK1317" s="441"/>
      <c r="AL1317" s="441"/>
      <c r="AM1317" s="441"/>
      <c r="AN1317" s="441"/>
      <c r="AO1317" s="441"/>
    </row>
    <row r="1318" spans="1:41" ht="12.75" hidden="1" thickBot="1">
      <c r="A1318" s="1" t="s">
        <v>1282</v>
      </c>
      <c r="B1318" s="2" t="s">
        <v>392</v>
      </c>
      <c r="C1318" s="2" t="s">
        <v>420</v>
      </c>
      <c r="D1318" s="8" t="s">
        <v>421</v>
      </c>
      <c r="E1318" s="3">
        <f t="shared" si="119"/>
        <v>136872012</v>
      </c>
      <c r="F1318" s="452">
        <f t="shared" si="119"/>
        <v>21000</v>
      </c>
      <c r="G1318" s="452">
        <f t="shared" si="118"/>
        <v>1112769</v>
      </c>
      <c r="H1318" s="452">
        <f t="shared" si="118"/>
        <v>3729762</v>
      </c>
      <c r="I1318" s="452">
        <f t="shared" si="118"/>
        <v>0</v>
      </c>
      <c r="J1318" s="452">
        <f t="shared" si="118"/>
        <v>130764</v>
      </c>
      <c r="K1318" s="452">
        <f t="shared" si="118"/>
        <v>3606591</v>
      </c>
      <c r="L1318" s="452">
        <f t="shared" si="118"/>
        <v>306601</v>
      </c>
      <c r="M1318" s="452">
        <f t="shared" si="118"/>
        <v>-107356</v>
      </c>
      <c r="N1318" s="452">
        <f t="shared" si="118"/>
        <v>0</v>
      </c>
      <c r="O1318" s="452">
        <f t="shared" si="118"/>
        <v>1268259</v>
      </c>
      <c r="P1318" s="452">
        <f t="shared" si="118"/>
        <v>0</v>
      </c>
      <c r="Q1318" s="452"/>
      <c r="R1318" s="452">
        <f t="shared" si="118"/>
        <v>10068391</v>
      </c>
      <c r="S1318" s="445">
        <f t="shared" si="114"/>
        <v>4842531</v>
      </c>
      <c r="T1318" s="445">
        <f t="shared" si="115"/>
        <v>3737355</v>
      </c>
      <c r="U1318" s="445">
        <f t="shared" si="116"/>
        <v>1268259</v>
      </c>
      <c r="W1318" s="450"/>
      <c r="X1318" s="450"/>
      <c r="Y1318" s="441"/>
      <c r="Z1318" s="441"/>
      <c r="AA1318" s="441"/>
      <c r="AB1318" s="441"/>
      <c r="AC1318" s="441"/>
      <c r="AD1318" s="441"/>
      <c r="AE1318" s="441"/>
      <c r="AF1318" s="441"/>
      <c r="AG1318" s="441"/>
      <c r="AH1318" s="441"/>
      <c r="AI1318" s="441"/>
      <c r="AJ1318" s="441"/>
      <c r="AK1318" s="441"/>
      <c r="AL1318" s="441"/>
      <c r="AM1318" s="441"/>
      <c r="AN1318" s="441"/>
      <c r="AO1318" s="441"/>
    </row>
    <row r="1319" spans="1:41" ht="12.75" hidden="1" thickBot="1">
      <c r="A1319" s="1" t="s">
        <v>1282</v>
      </c>
      <c r="B1319" s="2" t="s">
        <v>394</v>
      </c>
      <c r="C1319" s="2" t="s">
        <v>423</v>
      </c>
      <c r="D1319" s="8" t="s">
        <v>17</v>
      </c>
      <c r="E1319" s="3">
        <f t="shared" si="119"/>
        <v>0</v>
      </c>
      <c r="F1319" s="452">
        <f t="shared" si="119"/>
        <v>0</v>
      </c>
      <c r="G1319" s="452">
        <f t="shared" si="118"/>
        <v>0</v>
      </c>
      <c r="H1319" s="452">
        <f t="shared" si="118"/>
        <v>0</v>
      </c>
      <c r="I1319" s="452">
        <f t="shared" si="118"/>
        <v>0</v>
      </c>
      <c r="J1319" s="452">
        <f t="shared" si="118"/>
        <v>0</v>
      </c>
      <c r="K1319" s="452">
        <f t="shared" si="118"/>
        <v>0</v>
      </c>
      <c r="L1319" s="452">
        <f t="shared" si="118"/>
        <v>0</v>
      </c>
      <c r="M1319" s="452">
        <f t="shared" si="118"/>
        <v>0</v>
      </c>
      <c r="N1319" s="452">
        <f t="shared" si="118"/>
        <v>0</v>
      </c>
      <c r="O1319" s="452">
        <f t="shared" si="118"/>
        <v>0</v>
      </c>
      <c r="P1319" s="452">
        <f t="shared" si="118"/>
        <v>0</v>
      </c>
      <c r="Q1319" s="452"/>
      <c r="R1319" s="452">
        <f t="shared" si="118"/>
        <v>0</v>
      </c>
      <c r="S1319" s="445">
        <f t="shared" si="114"/>
        <v>0</v>
      </c>
      <c r="T1319" s="445">
        <f t="shared" si="115"/>
        <v>0</v>
      </c>
      <c r="U1319" s="445">
        <f t="shared" si="116"/>
        <v>0</v>
      </c>
      <c r="W1319" s="450"/>
      <c r="X1319" s="450"/>
      <c r="Y1319" s="441"/>
      <c r="Z1319" s="441"/>
      <c r="AA1319" s="441"/>
      <c r="AB1319" s="441"/>
      <c r="AC1319" s="441"/>
      <c r="AD1319" s="441"/>
      <c r="AE1319" s="441"/>
      <c r="AF1319" s="441"/>
      <c r="AG1319" s="441"/>
      <c r="AH1319" s="441"/>
      <c r="AI1319" s="441"/>
      <c r="AJ1319" s="441"/>
      <c r="AK1319" s="441"/>
      <c r="AL1319" s="441"/>
      <c r="AM1319" s="441"/>
      <c r="AN1319" s="441"/>
      <c r="AO1319" s="441"/>
    </row>
    <row r="1320" spans="1:41" ht="12.75" hidden="1" thickBot="1">
      <c r="A1320" s="1" t="s">
        <v>1282</v>
      </c>
      <c r="B1320" s="2" t="s">
        <v>395</v>
      </c>
      <c r="C1320" s="2" t="s">
        <v>423</v>
      </c>
      <c r="D1320" s="8" t="s">
        <v>17</v>
      </c>
      <c r="E1320" s="3">
        <f t="shared" si="119"/>
        <v>0</v>
      </c>
      <c r="F1320" s="452">
        <f t="shared" si="119"/>
        <v>0</v>
      </c>
      <c r="G1320" s="452">
        <f t="shared" si="118"/>
        <v>0</v>
      </c>
      <c r="H1320" s="452">
        <f t="shared" si="118"/>
        <v>0</v>
      </c>
      <c r="I1320" s="452">
        <f t="shared" si="118"/>
        <v>0</v>
      </c>
      <c r="J1320" s="452">
        <f t="shared" si="118"/>
        <v>0</v>
      </c>
      <c r="K1320" s="452">
        <f t="shared" si="118"/>
        <v>0</v>
      </c>
      <c r="L1320" s="452">
        <f t="shared" si="118"/>
        <v>0</v>
      </c>
      <c r="M1320" s="452">
        <f t="shared" si="118"/>
        <v>0</v>
      </c>
      <c r="N1320" s="452">
        <f t="shared" si="118"/>
        <v>0</v>
      </c>
      <c r="O1320" s="452">
        <f t="shared" si="118"/>
        <v>0</v>
      </c>
      <c r="P1320" s="452">
        <f t="shared" si="118"/>
        <v>0</v>
      </c>
      <c r="Q1320" s="452"/>
      <c r="R1320" s="452">
        <f t="shared" si="118"/>
        <v>0</v>
      </c>
      <c r="S1320" s="445">
        <f t="shared" si="114"/>
        <v>0</v>
      </c>
      <c r="T1320" s="445">
        <f t="shared" si="115"/>
        <v>0</v>
      </c>
      <c r="U1320" s="445">
        <f t="shared" si="116"/>
        <v>0</v>
      </c>
      <c r="W1320" s="450"/>
      <c r="X1320" s="450"/>
      <c r="Y1320" s="441"/>
      <c r="Z1320" s="441"/>
      <c r="AA1320" s="441"/>
      <c r="AB1320" s="441"/>
      <c r="AC1320" s="441"/>
      <c r="AD1320" s="441"/>
      <c r="AE1320" s="441"/>
      <c r="AF1320" s="441"/>
      <c r="AG1320" s="441"/>
      <c r="AH1320" s="441"/>
      <c r="AI1320" s="441"/>
      <c r="AJ1320" s="441"/>
      <c r="AK1320" s="441"/>
      <c r="AL1320" s="441"/>
      <c r="AM1320" s="441"/>
      <c r="AN1320" s="441"/>
      <c r="AO1320" s="441"/>
    </row>
    <row r="1321" spans="1:41" ht="12.75" hidden="1" thickBot="1">
      <c r="A1321" s="1" t="s">
        <v>1282</v>
      </c>
      <c r="B1321" s="2" t="s">
        <v>396</v>
      </c>
      <c r="C1321" s="2" t="s">
        <v>423</v>
      </c>
      <c r="D1321" s="8" t="s">
        <v>17</v>
      </c>
      <c r="E1321" s="3">
        <f t="shared" si="119"/>
        <v>0</v>
      </c>
      <c r="F1321" s="452">
        <f t="shared" si="119"/>
        <v>0</v>
      </c>
      <c r="G1321" s="452">
        <f t="shared" si="118"/>
        <v>0</v>
      </c>
      <c r="H1321" s="452">
        <f t="shared" si="118"/>
        <v>0</v>
      </c>
      <c r="I1321" s="452">
        <f t="shared" si="118"/>
        <v>0</v>
      </c>
      <c r="J1321" s="452">
        <f t="shared" si="118"/>
        <v>0</v>
      </c>
      <c r="K1321" s="452">
        <f t="shared" si="118"/>
        <v>0</v>
      </c>
      <c r="L1321" s="452">
        <f t="shared" si="118"/>
        <v>0</v>
      </c>
      <c r="M1321" s="452">
        <f t="shared" si="118"/>
        <v>0</v>
      </c>
      <c r="N1321" s="452">
        <f t="shared" si="118"/>
        <v>0</v>
      </c>
      <c r="O1321" s="452">
        <f t="shared" si="118"/>
        <v>0</v>
      </c>
      <c r="P1321" s="452">
        <f t="shared" si="118"/>
        <v>0</v>
      </c>
      <c r="Q1321" s="452"/>
      <c r="R1321" s="452">
        <f t="shared" si="118"/>
        <v>0</v>
      </c>
      <c r="S1321" s="445">
        <f t="shared" si="114"/>
        <v>0</v>
      </c>
      <c r="T1321" s="445">
        <f t="shared" si="115"/>
        <v>0</v>
      </c>
      <c r="U1321" s="445">
        <f t="shared" si="116"/>
        <v>0</v>
      </c>
      <c r="W1321" s="450"/>
      <c r="X1321" s="450"/>
      <c r="Y1321" s="441"/>
      <c r="Z1321" s="441"/>
      <c r="AA1321" s="441"/>
      <c r="AB1321" s="441"/>
      <c r="AC1321" s="441"/>
      <c r="AD1321" s="441"/>
      <c r="AE1321" s="441"/>
      <c r="AF1321" s="441"/>
      <c r="AG1321" s="441"/>
      <c r="AH1321" s="441"/>
      <c r="AI1321" s="441"/>
      <c r="AJ1321" s="441"/>
      <c r="AK1321" s="441"/>
      <c r="AL1321" s="441"/>
      <c r="AM1321" s="441"/>
      <c r="AN1321" s="441"/>
      <c r="AO1321" s="441"/>
    </row>
    <row r="1322" spans="1:41" ht="12.75" hidden="1" thickBot="1">
      <c r="A1322" s="1" t="s">
        <v>1282</v>
      </c>
      <c r="B1322" s="2" t="s">
        <v>397</v>
      </c>
      <c r="C1322" s="2" t="s">
        <v>55</v>
      </c>
      <c r="D1322" s="8" t="s">
        <v>18</v>
      </c>
      <c r="E1322" s="3">
        <f t="shared" si="119"/>
        <v>0</v>
      </c>
      <c r="F1322" s="452">
        <f t="shared" si="119"/>
        <v>0</v>
      </c>
      <c r="G1322" s="452">
        <f t="shared" si="118"/>
        <v>0</v>
      </c>
      <c r="H1322" s="452">
        <f t="shared" si="118"/>
        <v>0</v>
      </c>
      <c r="I1322" s="452">
        <f t="shared" si="118"/>
        <v>0</v>
      </c>
      <c r="J1322" s="452">
        <f t="shared" si="118"/>
        <v>0</v>
      </c>
      <c r="K1322" s="452">
        <f t="shared" si="118"/>
        <v>0</v>
      </c>
      <c r="L1322" s="452">
        <f t="shared" si="118"/>
        <v>0</v>
      </c>
      <c r="M1322" s="452">
        <f t="shared" si="118"/>
        <v>0</v>
      </c>
      <c r="N1322" s="452">
        <f t="shared" si="118"/>
        <v>0</v>
      </c>
      <c r="O1322" s="452">
        <f t="shared" si="118"/>
        <v>0</v>
      </c>
      <c r="P1322" s="452">
        <f t="shared" si="118"/>
        <v>0</v>
      </c>
      <c r="Q1322" s="452"/>
      <c r="R1322" s="452">
        <f t="shared" si="118"/>
        <v>0</v>
      </c>
      <c r="S1322" s="445">
        <f t="shared" si="114"/>
        <v>0</v>
      </c>
      <c r="T1322" s="445">
        <f t="shared" si="115"/>
        <v>0</v>
      </c>
      <c r="U1322" s="445">
        <f t="shared" si="116"/>
        <v>0</v>
      </c>
      <c r="W1322" s="450"/>
      <c r="X1322" s="450"/>
      <c r="Y1322" s="441"/>
      <c r="Z1322" s="441"/>
      <c r="AA1322" s="441"/>
      <c r="AB1322" s="441"/>
      <c r="AC1322" s="441"/>
      <c r="AD1322" s="441"/>
      <c r="AE1322" s="441"/>
      <c r="AF1322" s="441"/>
      <c r="AG1322" s="441"/>
      <c r="AH1322" s="441"/>
      <c r="AI1322" s="441"/>
      <c r="AJ1322" s="441"/>
      <c r="AK1322" s="441"/>
      <c r="AL1322" s="441"/>
      <c r="AM1322" s="441"/>
      <c r="AN1322" s="441"/>
      <c r="AO1322" s="441"/>
    </row>
    <row r="1323" spans="1:41" ht="12.75" hidden="1" thickBot="1">
      <c r="A1323" s="1" t="s">
        <v>1282</v>
      </c>
      <c r="B1323" s="2" t="s">
        <v>398</v>
      </c>
      <c r="C1323" s="2" t="s">
        <v>55</v>
      </c>
      <c r="D1323" s="8" t="s">
        <v>18</v>
      </c>
      <c r="E1323" s="3">
        <f t="shared" si="119"/>
        <v>0</v>
      </c>
      <c r="F1323" s="452">
        <f t="shared" si="119"/>
        <v>0</v>
      </c>
      <c r="G1323" s="452">
        <f t="shared" si="118"/>
        <v>0</v>
      </c>
      <c r="H1323" s="452">
        <f t="shared" si="118"/>
        <v>0</v>
      </c>
      <c r="I1323" s="452">
        <f t="shared" si="118"/>
        <v>0</v>
      </c>
      <c r="J1323" s="452">
        <f t="shared" si="118"/>
        <v>0</v>
      </c>
      <c r="K1323" s="452">
        <f t="shared" si="118"/>
        <v>0</v>
      </c>
      <c r="L1323" s="452">
        <f t="shared" si="118"/>
        <v>0</v>
      </c>
      <c r="M1323" s="452">
        <f t="shared" si="118"/>
        <v>0</v>
      </c>
      <c r="N1323" s="452">
        <f t="shared" si="118"/>
        <v>0</v>
      </c>
      <c r="O1323" s="452">
        <f t="shared" si="118"/>
        <v>0</v>
      </c>
      <c r="P1323" s="452">
        <f t="shared" si="118"/>
        <v>0</v>
      </c>
      <c r="Q1323" s="452"/>
      <c r="R1323" s="452">
        <f t="shared" si="118"/>
        <v>0</v>
      </c>
      <c r="S1323" s="445">
        <f t="shared" si="114"/>
        <v>0</v>
      </c>
      <c r="T1323" s="445">
        <f t="shared" si="115"/>
        <v>0</v>
      </c>
      <c r="U1323" s="445">
        <f t="shared" si="116"/>
        <v>0</v>
      </c>
      <c r="W1323" s="450"/>
      <c r="X1323" s="450"/>
      <c r="Y1323" s="441"/>
      <c r="Z1323" s="441"/>
      <c r="AA1323" s="441"/>
      <c r="AB1323" s="441"/>
      <c r="AC1323" s="441"/>
      <c r="AD1323" s="441"/>
      <c r="AE1323" s="441"/>
      <c r="AF1323" s="441"/>
      <c r="AG1323" s="441"/>
      <c r="AH1323" s="441"/>
      <c r="AI1323" s="441"/>
      <c r="AJ1323" s="441"/>
      <c r="AK1323" s="441"/>
      <c r="AL1323" s="441"/>
      <c r="AM1323" s="441"/>
      <c r="AN1323" s="441"/>
      <c r="AO1323" s="441"/>
    </row>
    <row r="1324" spans="1:41" ht="12.75" hidden="1" thickBot="1">
      <c r="A1324" s="1" t="s">
        <v>1282</v>
      </c>
      <c r="B1324" s="2" t="s">
        <v>805</v>
      </c>
      <c r="C1324" s="2" t="s">
        <v>806</v>
      </c>
      <c r="D1324" s="8" t="s">
        <v>1205</v>
      </c>
      <c r="E1324" s="3">
        <f t="shared" si="119"/>
        <v>0</v>
      </c>
      <c r="F1324" s="452">
        <f t="shared" si="119"/>
        <v>0</v>
      </c>
      <c r="G1324" s="452">
        <f t="shared" si="118"/>
        <v>0</v>
      </c>
      <c r="H1324" s="452">
        <f t="shared" si="118"/>
        <v>0</v>
      </c>
      <c r="I1324" s="452">
        <f t="shared" si="118"/>
        <v>0</v>
      </c>
      <c r="J1324" s="452">
        <f t="shared" si="118"/>
        <v>0</v>
      </c>
      <c r="K1324" s="452">
        <f t="shared" si="118"/>
        <v>0</v>
      </c>
      <c r="L1324" s="452">
        <f t="shared" si="118"/>
        <v>0</v>
      </c>
      <c r="M1324" s="452">
        <f t="shared" si="118"/>
        <v>0</v>
      </c>
      <c r="N1324" s="452">
        <f t="shared" si="118"/>
        <v>0</v>
      </c>
      <c r="O1324" s="452">
        <f t="shared" si="118"/>
        <v>0</v>
      </c>
      <c r="P1324" s="452">
        <f t="shared" si="118"/>
        <v>0</v>
      </c>
      <c r="Q1324" s="452"/>
      <c r="R1324" s="452">
        <f t="shared" si="118"/>
        <v>0</v>
      </c>
      <c r="S1324" s="445">
        <f t="shared" si="114"/>
        <v>0</v>
      </c>
      <c r="T1324" s="445">
        <f t="shared" si="115"/>
        <v>0</v>
      </c>
      <c r="U1324" s="445">
        <f t="shared" si="116"/>
        <v>0</v>
      </c>
      <c r="W1324" s="450"/>
      <c r="X1324" s="450"/>
      <c r="Y1324" s="441"/>
      <c r="Z1324" s="441"/>
      <c r="AA1324" s="441"/>
      <c r="AB1324" s="441"/>
      <c r="AC1324" s="441"/>
      <c r="AD1324" s="441"/>
      <c r="AE1324" s="441"/>
      <c r="AF1324" s="441"/>
      <c r="AG1324" s="441"/>
      <c r="AH1324" s="441"/>
      <c r="AI1324" s="441"/>
      <c r="AJ1324" s="441"/>
      <c r="AK1324" s="441"/>
      <c r="AL1324" s="441"/>
      <c r="AM1324" s="441"/>
      <c r="AN1324" s="441"/>
      <c r="AO1324" s="441"/>
    </row>
    <row r="1325" spans="1:41" ht="12.75" thickBot="1">
      <c r="A1325" s="1" t="s">
        <v>1282</v>
      </c>
      <c r="B1325" s="2" t="s">
        <v>399</v>
      </c>
      <c r="C1325" s="2" t="s">
        <v>430</v>
      </c>
      <c r="D1325" s="8" t="s">
        <v>13</v>
      </c>
      <c r="E1325" s="3">
        <f t="shared" si="119"/>
        <v>0</v>
      </c>
      <c r="F1325" s="452">
        <f t="shared" si="119"/>
        <v>0</v>
      </c>
      <c r="G1325" s="452">
        <f t="shared" si="118"/>
        <v>0</v>
      </c>
      <c r="H1325" s="452">
        <f t="shared" si="118"/>
        <v>0</v>
      </c>
      <c r="I1325" s="452">
        <f t="shared" si="118"/>
        <v>0</v>
      </c>
      <c r="J1325" s="452">
        <f t="shared" si="118"/>
        <v>0</v>
      </c>
      <c r="K1325" s="452">
        <f t="shared" si="118"/>
        <v>0</v>
      </c>
      <c r="L1325" s="452">
        <f t="shared" si="118"/>
        <v>0</v>
      </c>
      <c r="M1325" s="452">
        <f t="shared" si="118"/>
        <v>0</v>
      </c>
      <c r="N1325" s="452">
        <f t="shared" si="118"/>
        <v>0</v>
      </c>
      <c r="O1325" s="452">
        <f t="shared" si="118"/>
        <v>0</v>
      </c>
      <c r="P1325" s="452">
        <f t="shared" si="118"/>
        <v>0</v>
      </c>
      <c r="Q1325" s="452"/>
      <c r="R1325" s="452">
        <f t="shared" si="118"/>
        <v>0</v>
      </c>
      <c r="S1325" s="445">
        <f t="shared" si="114"/>
        <v>0</v>
      </c>
      <c r="T1325" s="445">
        <f t="shared" si="115"/>
        <v>0</v>
      </c>
      <c r="U1325" s="445">
        <f t="shared" si="116"/>
        <v>0</v>
      </c>
      <c r="W1325" s="450"/>
      <c r="X1325" s="450"/>
      <c r="Y1325" s="441"/>
      <c r="Z1325" s="441"/>
      <c r="AA1325" s="441"/>
      <c r="AB1325" s="441"/>
      <c r="AC1325" s="441"/>
      <c r="AD1325" s="441"/>
      <c r="AE1325" s="441"/>
      <c r="AF1325" s="441"/>
      <c r="AG1325" s="441"/>
      <c r="AH1325" s="441"/>
      <c r="AI1325" s="441"/>
      <c r="AJ1325" s="441"/>
      <c r="AK1325" s="441"/>
      <c r="AL1325" s="441"/>
      <c r="AM1325" s="441"/>
      <c r="AN1325" s="441"/>
      <c r="AO1325" s="441"/>
    </row>
    <row r="1326" spans="1:41" ht="12.75" thickBot="1">
      <c r="A1326" s="1" t="s">
        <v>1282</v>
      </c>
      <c r="B1326" s="2" t="s">
        <v>400</v>
      </c>
      <c r="C1326" s="2" t="s">
        <v>427</v>
      </c>
      <c r="D1326" s="8" t="s">
        <v>13</v>
      </c>
      <c r="E1326" s="3">
        <f t="shared" si="119"/>
        <v>335495731</v>
      </c>
      <c r="F1326" s="452">
        <f t="shared" si="119"/>
        <v>3885297</v>
      </c>
      <c r="G1326" s="452">
        <f t="shared" si="118"/>
        <v>17502812</v>
      </c>
      <c r="H1326" s="452">
        <f t="shared" si="118"/>
        <v>9142259</v>
      </c>
      <c r="I1326" s="452">
        <f t="shared" si="118"/>
        <v>449564</v>
      </c>
      <c r="J1326" s="452">
        <f t="shared" si="118"/>
        <v>0</v>
      </c>
      <c r="K1326" s="452">
        <f t="shared" si="118"/>
        <v>0</v>
      </c>
      <c r="L1326" s="452">
        <f t="shared" si="118"/>
        <v>751530</v>
      </c>
      <c r="M1326" s="452">
        <f t="shared" si="118"/>
        <v>-263148</v>
      </c>
      <c r="N1326" s="452">
        <f t="shared" si="118"/>
        <v>3108711</v>
      </c>
      <c r="O1326" s="452">
        <f t="shared" si="118"/>
        <v>0</v>
      </c>
      <c r="P1326" s="452">
        <f t="shared" si="118"/>
        <v>0</v>
      </c>
      <c r="Q1326" s="452"/>
      <c r="R1326" s="452">
        <f t="shared" si="118"/>
        <v>34577025</v>
      </c>
      <c r="S1326" s="445">
        <f t="shared" si="114"/>
        <v>27094635</v>
      </c>
      <c r="T1326" s="445">
        <f t="shared" si="115"/>
        <v>0</v>
      </c>
      <c r="U1326" s="445">
        <f t="shared" si="116"/>
        <v>3108711</v>
      </c>
      <c r="W1326" s="450"/>
      <c r="X1326" s="450"/>
      <c r="Y1326" s="441"/>
      <c r="Z1326" s="441"/>
      <c r="AA1326" s="441"/>
      <c r="AB1326" s="441"/>
      <c r="AC1326" s="441"/>
      <c r="AD1326" s="441"/>
      <c r="AE1326" s="441"/>
      <c r="AF1326" s="441"/>
      <c r="AG1326" s="441"/>
      <c r="AH1326" s="441"/>
      <c r="AI1326" s="441"/>
      <c r="AJ1326" s="441"/>
      <c r="AK1326" s="441"/>
      <c r="AL1326" s="441"/>
      <c r="AM1326" s="441"/>
      <c r="AN1326" s="441"/>
      <c r="AO1326" s="441"/>
    </row>
    <row r="1327" spans="1:41" ht="12.75" thickBot="1">
      <c r="A1327" s="1" t="s">
        <v>1282</v>
      </c>
      <c r="B1327" s="2" t="s">
        <v>401</v>
      </c>
      <c r="C1327" s="2" t="s">
        <v>428</v>
      </c>
      <c r="D1327" s="8" t="s">
        <v>13</v>
      </c>
      <c r="E1327" s="3">
        <f t="shared" si="119"/>
        <v>0</v>
      </c>
      <c r="F1327" s="452">
        <f t="shared" si="119"/>
        <v>0</v>
      </c>
      <c r="G1327" s="452">
        <f t="shared" si="118"/>
        <v>0</v>
      </c>
      <c r="H1327" s="452">
        <f t="shared" si="118"/>
        <v>0</v>
      </c>
      <c r="I1327" s="452">
        <f t="shared" si="118"/>
        <v>0</v>
      </c>
      <c r="J1327" s="452">
        <f t="shared" si="118"/>
        <v>0</v>
      </c>
      <c r="K1327" s="452">
        <f t="shared" si="118"/>
        <v>0</v>
      </c>
      <c r="L1327" s="452">
        <f t="shared" si="118"/>
        <v>0</v>
      </c>
      <c r="M1327" s="452">
        <f t="shared" si="118"/>
        <v>0</v>
      </c>
      <c r="N1327" s="452">
        <f t="shared" si="118"/>
        <v>0</v>
      </c>
      <c r="O1327" s="452">
        <f t="shared" si="118"/>
        <v>0</v>
      </c>
      <c r="P1327" s="452">
        <f t="shared" si="118"/>
        <v>0</v>
      </c>
      <c r="Q1327" s="452"/>
      <c r="R1327" s="452">
        <f t="shared" si="118"/>
        <v>0</v>
      </c>
      <c r="S1327" s="445">
        <f t="shared" si="114"/>
        <v>0</v>
      </c>
      <c r="T1327" s="445">
        <f t="shared" si="115"/>
        <v>0</v>
      </c>
      <c r="U1327" s="445">
        <f t="shared" si="116"/>
        <v>0</v>
      </c>
      <c r="W1327" s="450"/>
      <c r="X1327" s="450"/>
      <c r="Y1327" s="441"/>
      <c r="Z1327" s="441"/>
      <c r="AA1327" s="441"/>
      <c r="AB1327" s="441"/>
      <c r="AC1327" s="441"/>
      <c r="AD1327" s="441"/>
      <c r="AE1327" s="441"/>
      <c r="AF1327" s="441"/>
      <c r="AG1327" s="441"/>
      <c r="AH1327" s="441"/>
      <c r="AI1327" s="441"/>
      <c r="AJ1327" s="441"/>
      <c r="AK1327" s="441"/>
      <c r="AL1327" s="441"/>
      <c r="AM1327" s="441"/>
      <c r="AN1327" s="441"/>
      <c r="AO1327" s="441"/>
    </row>
    <row r="1328" spans="1:41" ht="12.75" thickBot="1">
      <c r="A1328" s="1" t="s">
        <v>1282</v>
      </c>
      <c r="B1328" s="2" t="s">
        <v>402</v>
      </c>
      <c r="C1328" s="2" t="s">
        <v>429</v>
      </c>
      <c r="D1328" s="8" t="s">
        <v>13</v>
      </c>
      <c r="E1328" s="3">
        <f t="shared" si="119"/>
        <v>0</v>
      </c>
      <c r="F1328" s="452">
        <f t="shared" si="119"/>
        <v>0</v>
      </c>
      <c r="G1328" s="452">
        <f t="shared" si="118"/>
        <v>0</v>
      </c>
      <c r="H1328" s="452">
        <f t="shared" si="118"/>
        <v>0</v>
      </c>
      <c r="I1328" s="452">
        <f t="shared" si="118"/>
        <v>0</v>
      </c>
      <c r="J1328" s="452">
        <f t="shared" si="118"/>
        <v>0</v>
      </c>
      <c r="K1328" s="452">
        <f t="shared" si="118"/>
        <v>0</v>
      </c>
      <c r="L1328" s="452">
        <f t="shared" si="118"/>
        <v>0</v>
      </c>
      <c r="M1328" s="452">
        <f t="shared" si="118"/>
        <v>0</v>
      </c>
      <c r="N1328" s="452">
        <f t="shared" si="118"/>
        <v>0</v>
      </c>
      <c r="O1328" s="452">
        <f t="shared" si="118"/>
        <v>0</v>
      </c>
      <c r="P1328" s="452">
        <f t="shared" si="118"/>
        <v>0</v>
      </c>
      <c r="Q1328" s="452"/>
      <c r="R1328" s="452">
        <f t="shared" si="118"/>
        <v>0</v>
      </c>
      <c r="S1328" s="445">
        <f t="shared" si="114"/>
        <v>0</v>
      </c>
      <c r="T1328" s="445">
        <f t="shared" si="115"/>
        <v>0</v>
      </c>
      <c r="U1328" s="445">
        <f t="shared" si="116"/>
        <v>0</v>
      </c>
      <c r="W1328" s="450"/>
      <c r="X1328" s="450"/>
      <c r="Y1328" s="441"/>
      <c r="Z1328" s="441"/>
      <c r="AA1328" s="441"/>
      <c r="AB1328" s="441"/>
      <c r="AC1328" s="441"/>
      <c r="AD1328" s="441"/>
      <c r="AE1328" s="441"/>
      <c r="AF1328" s="441"/>
      <c r="AG1328" s="441"/>
      <c r="AH1328" s="441"/>
      <c r="AI1328" s="441"/>
      <c r="AJ1328" s="441"/>
      <c r="AK1328" s="441"/>
      <c r="AL1328" s="441"/>
      <c r="AM1328" s="441"/>
      <c r="AN1328" s="441"/>
      <c r="AO1328" s="441"/>
    </row>
    <row r="1329" spans="1:41" s="461" customFormat="1" ht="12.75" hidden="1" thickBot="1">
      <c r="A1329" s="1" t="s">
        <v>1282</v>
      </c>
      <c r="B1329" s="2" t="s">
        <v>706</v>
      </c>
      <c r="C1329" s="2" t="s">
        <v>1204</v>
      </c>
      <c r="D1329" s="8" t="s">
        <v>641</v>
      </c>
      <c r="E1329" s="3">
        <f t="shared" si="119"/>
        <v>0</v>
      </c>
      <c r="F1329" s="452">
        <f t="shared" si="119"/>
        <v>0</v>
      </c>
      <c r="G1329" s="452">
        <f t="shared" si="118"/>
        <v>0</v>
      </c>
      <c r="H1329" s="452">
        <f t="shared" si="118"/>
        <v>0</v>
      </c>
      <c r="I1329" s="452">
        <f t="shared" si="118"/>
        <v>0</v>
      </c>
      <c r="J1329" s="452">
        <f t="shared" si="118"/>
        <v>0</v>
      </c>
      <c r="K1329" s="452">
        <f t="shared" si="118"/>
        <v>0</v>
      </c>
      <c r="L1329" s="452">
        <f t="shared" si="118"/>
        <v>0</v>
      </c>
      <c r="M1329" s="452">
        <f t="shared" si="118"/>
        <v>0</v>
      </c>
      <c r="N1329" s="452">
        <f t="shared" si="118"/>
        <v>0</v>
      </c>
      <c r="O1329" s="452">
        <f t="shared" si="118"/>
        <v>0</v>
      </c>
      <c r="P1329" s="452">
        <f t="shared" si="118"/>
        <v>0</v>
      </c>
      <c r="Q1329" s="452"/>
      <c r="R1329" s="452">
        <f t="shared" si="118"/>
        <v>0</v>
      </c>
      <c r="S1329" s="445">
        <f t="shared" si="114"/>
        <v>0</v>
      </c>
      <c r="T1329" s="445">
        <f t="shared" si="115"/>
        <v>0</v>
      </c>
      <c r="U1329" s="445">
        <f t="shared" si="116"/>
        <v>0</v>
      </c>
      <c r="W1329" s="450"/>
      <c r="X1329" s="450"/>
      <c r="Y1329" s="441"/>
      <c r="Z1329" s="441"/>
      <c r="AA1329" s="441"/>
      <c r="AB1329" s="441"/>
      <c r="AC1329" s="441"/>
      <c r="AD1329" s="441"/>
      <c r="AE1329" s="441"/>
      <c r="AF1329" s="441"/>
      <c r="AG1329" s="441"/>
      <c r="AH1329" s="441"/>
      <c r="AI1329" s="441"/>
      <c r="AJ1329" s="441"/>
      <c r="AK1329" s="441"/>
      <c r="AL1329" s="441"/>
      <c r="AM1329" s="441"/>
      <c r="AN1329" s="441"/>
      <c r="AO1329" s="441"/>
    </row>
    <row r="1330" spans="1:41" ht="12.75" hidden="1" thickBot="1">
      <c r="A1330" s="1" t="s">
        <v>1282</v>
      </c>
      <c r="B1330" s="2" t="s">
        <v>1230</v>
      </c>
      <c r="C1330" s="2" t="s">
        <v>1245</v>
      </c>
      <c r="D1330" s="8" t="s">
        <v>641</v>
      </c>
      <c r="E1330" s="3">
        <f t="shared" si="119"/>
        <v>0</v>
      </c>
      <c r="F1330" s="452">
        <f t="shared" si="119"/>
        <v>0</v>
      </c>
      <c r="G1330" s="452">
        <f t="shared" si="118"/>
        <v>0</v>
      </c>
      <c r="H1330" s="452">
        <f t="shared" si="118"/>
        <v>0</v>
      </c>
      <c r="I1330" s="452">
        <f t="shared" si="118"/>
        <v>0</v>
      </c>
      <c r="J1330" s="452">
        <f t="shared" si="118"/>
        <v>0</v>
      </c>
      <c r="K1330" s="452">
        <f t="shared" si="118"/>
        <v>0</v>
      </c>
      <c r="L1330" s="452">
        <f t="shared" si="118"/>
        <v>0</v>
      </c>
      <c r="M1330" s="452">
        <f t="shared" si="118"/>
        <v>0</v>
      </c>
      <c r="N1330" s="452">
        <f t="shared" si="118"/>
        <v>0</v>
      </c>
      <c r="O1330" s="452">
        <f t="shared" si="118"/>
        <v>0</v>
      </c>
      <c r="P1330" s="452">
        <f t="shared" si="118"/>
        <v>0</v>
      </c>
      <c r="Q1330" s="452"/>
      <c r="R1330" s="452">
        <f t="shared" si="118"/>
        <v>0</v>
      </c>
      <c r="S1330" s="445">
        <f t="shared" si="114"/>
        <v>0</v>
      </c>
      <c r="T1330" s="445">
        <f t="shared" si="115"/>
        <v>0</v>
      </c>
      <c r="U1330" s="445">
        <f t="shared" si="116"/>
        <v>0</v>
      </c>
      <c r="W1330" s="450"/>
      <c r="X1330" s="450"/>
      <c r="Y1330" s="441"/>
      <c r="Z1330" s="441"/>
      <c r="AA1330" s="441"/>
      <c r="AB1330" s="441"/>
      <c r="AC1330" s="441"/>
      <c r="AD1330" s="441"/>
      <c r="AE1330" s="441"/>
      <c r="AF1330" s="441"/>
      <c r="AG1330" s="441"/>
      <c r="AH1330" s="441"/>
      <c r="AI1330" s="441"/>
      <c r="AJ1330" s="441"/>
      <c r="AK1330" s="441"/>
      <c r="AL1330" s="441"/>
      <c r="AM1330" s="441"/>
      <c r="AN1330" s="441"/>
      <c r="AO1330" s="441"/>
    </row>
    <row r="1331" spans="1:41" ht="12.75" hidden="1" thickBot="1">
      <c r="A1331" s="1" t="s">
        <v>1282</v>
      </c>
      <c r="B1331" s="2" t="s">
        <v>362</v>
      </c>
      <c r="C1331" s="2" t="s">
        <v>363</v>
      </c>
      <c r="D1331" s="8" t="s">
        <v>1205</v>
      </c>
      <c r="E1331" s="457"/>
      <c r="F1331" s="4"/>
      <c r="G1331" s="4"/>
      <c r="H1331" s="4"/>
      <c r="I1331" s="4"/>
      <c r="J1331" s="4"/>
      <c r="K1331" s="4"/>
      <c r="L1331" s="4"/>
      <c r="M1331" s="4"/>
      <c r="N1331" s="4"/>
      <c r="O1331" s="4"/>
      <c r="P1331" s="4"/>
      <c r="Q1331" s="4"/>
      <c r="R1331" s="4"/>
      <c r="S1331" s="445">
        <f t="shared" si="114"/>
        <v>0</v>
      </c>
      <c r="T1331" s="445">
        <f t="shared" si="115"/>
        <v>0</v>
      </c>
      <c r="U1331" s="445">
        <f t="shared" si="116"/>
        <v>0</v>
      </c>
      <c r="W1331" s="450"/>
      <c r="X1331" s="450"/>
      <c r="Y1331" s="441"/>
      <c r="Z1331" s="441"/>
      <c r="AA1331" s="441"/>
      <c r="AB1331" s="441"/>
      <c r="AC1331" s="441"/>
      <c r="AD1331" s="441"/>
      <c r="AE1331" s="441"/>
      <c r="AF1331" s="441"/>
      <c r="AG1331" s="441"/>
      <c r="AH1331" s="441"/>
      <c r="AI1331" s="441"/>
      <c r="AJ1331" s="441"/>
      <c r="AK1331" s="441"/>
      <c r="AL1331" s="441"/>
      <c r="AM1331" s="441"/>
      <c r="AN1331" s="441"/>
      <c r="AO1331" s="441"/>
    </row>
    <row r="1332" spans="1:41" ht="12.75" hidden="1" thickBot="1">
      <c r="A1332" s="1" t="s">
        <v>1282</v>
      </c>
      <c r="B1332" s="2" t="s">
        <v>342</v>
      </c>
      <c r="C1332" s="2" t="s">
        <v>1035</v>
      </c>
      <c r="D1332" s="8" t="s">
        <v>459</v>
      </c>
      <c r="E1332" s="459"/>
      <c r="F1332" s="6"/>
      <c r="G1332" s="451"/>
      <c r="H1332" s="6"/>
      <c r="I1332" s="6"/>
      <c r="J1332" s="6"/>
      <c r="K1332" s="6"/>
      <c r="L1332" s="6"/>
      <c r="M1332" s="451"/>
      <c r="N1332" s="451"/>
      <c r="O1332" s="6"/>
      <c r="P1332" s="6"/>
      <c r="Q1332" s="451"/>
      <c r="R1332" s="451"/>
      <c r="S1332" s="445">
        <f t="shared" si="114"/>
        <v>0</v>
      </c>
      <c r="T1332" s="445">
        <f t="shared" si="115"/>
        <v>0</v>
      </c>
      <c r="U1332" s="445">
        <f t="shared" si="116"/>
        <v>0</v>
      </c>
      <c r="W1332" s="450"/>
      <c r="X1332" s="450"/>
      <c r="Y1332" s="441"/>
      <c r="Z1332" s="441"/>
      <c r="AA1332" s="441"/>
      <c r="AB1332" s="441"/>
      <c r="AC1332" s="441"/>
      <c r="AD1332" s="441"/>
      <c r="AE1332" s="441"/>
      <c r="AF1332" s="441"/>
      <c r="AG1332" s="441"/>
      <c r="AH1332" s="441"/>
      <c r="AI1332" s="441"/>
      <c r="AJ1332" s="441"/>
      <c r="AK1332" s="441"/>
      <c r="AL1332" s="441"/>
      <c r="AM1332" s="441"/>
      <c r="AN1332" s="441"/>
      <c r="AO1332" s="441"/>
    </row>
    <row r="1333" spans="1:41" ht="12.75" hidden="1" thickBot="1">
      <c r="A1333" s="1" t="s">
        <v>1282</v>
      </c>
      <c r="B1333" s="2" t="s">
        <v>213</v>
      </c>
      <c r="C1333" s="2" t="s">
        <v>1036</v>
      </c>
      <c r="D1333" s="8" t="s">
        <v>459</v>
      </c>
      <c r="E1333" s="460"/>
      <c r="F1333" s="4"/>
      <c r="G1333" s="449"/>
      <c r="H1333" s="4"/>
      <c r="I1333" s="4"/>
      <c r="J1333" s="4"/>
      <c r="K1333" s="4"/>
      <c r="L1333" s="4"/>
      <c r="M1333" s="449"/>
      <c r="N1333" s="449"/>
      <c r="O1333" s="4"/>
      <c r="P1333" s="4"/>
      <c r="Q1333" s="449"/>
      <c r="R1333" s="449"/>
      <c r="S1333" s="445">
        <f t="shared" si="114"/>
        <v>0</v>
      </c>
      <c r="T1333" s="445">
        <f t="shared" si="115"/>
        <v>0</v>
      </c>
      <c r="U1333" s="445">
        <f t="shared" si="116"/>
        <v>0</v>
      </c>
      <c r="W1333" s="450"/>
      <c r="X1333" s="450"/>
      <c r="Y1333" s="441"/>
      <c r="Z1333" s="441"/>
      <c r="AA1333" s="441"/>
      <c r="AB1333" s="441"/>
      <c r="AC1333" s="441"/>
      <c r="AD1333" s="441"/>
      <c r="AE1333" s="441"/>
      <c r="AF1333" s="441"/>
      <c r="AG1333" s="441"/>
      <c r="AH1333" s="441"/>
      <c r="AI1333" s="441"/>
      <c r="AJ1333" s="441"/>
      <c r="AK1333" s="441"/>
      <c r="AL1333" s="441"/>
      <c r="AM1333" s="441"/>
      <c r="AN1333" s="441"/>
      <c r="AO1333" s="441"/>
    </row>
    <row r="1334" spans="1:41" ht="12.75" hidden="1" thickBot="1">
      <c r="A1334" s="1" t="s">
        <v>1282</v>
      </c>
      <c r="B1334" s="2" t="s">
        <v>214</v>
      </c>
      <c r="C1334" s="2" t="s">
        <v>1037</v>
      </c>
      <c r="D1334" s="8" t="s">
        <v>459</v>
      </c>
      <c r="E1334" s="459"/>
      <c r="F1334" s="6"/>
      <c r="G1334" s="451"/>
      <c r="H1334" s="6"/>
      <c r="I1334" s="6"/>
      <c r="J1334" s="6"/>
      <c r="K1334" s="6"/>
      <c r="L1334" s="6"/>
      <c r="M1334" s="451"/>
      <c r="N1334" s="451"/>
      <c r="O1334" s="6"/>
      <c r="P1334" s="6"/>
      <c r="Q1334" s="451"/>
      <c r="R1334" s="451"/>
      <c r="S1334" s="445">
        <f t="shared" si="114"/>
        <v>0</v>
      </c>
      <c r="T1334" s="445">
        <f t="shared" si="115"/>
        <v>0</v>
      </c>
      <c r="U1334" s="445">
        <f t="shared" si="116"/>
        <v>0</v>
      </c>
      <c r="W1334" s="450"/>
      <c r="X1334" s="450"/>
      <c r="Y1334" s="441"/>
      <c r="Z1334" s="441"/>
      <c r="AA1334" s="441"/>
      <c r="AB1334" s="441"/>
      <c r="AC1334" s="441"/>
      <c r="AD1334" s="441"/>
      <c r="AE1334" s="441"/>
      <c r="AF1334" s="441"/>
      <c r="AG1334" s="441"/>
      <c r="AH1334" s="441"/>
      <c r="AI1334" s="441"/>
      <c r="AJ1334" s="441"/>
      <c r="AK1334" s="441"/>
      <c r="AL1334" s="441"/>
      <c r="AM1334" s="441"/>
      <c r="AN1334" s="441"/>
      <c r="AO1334" s="441"/>
    </row>
    <row r="1335" spans="1:41" ht="12.75" hidden="1" thickBot="1">
      <c r="A1335" s="1" t="s">
        <v>1282</v>
      </c>
      <c r="B1335" s="2" t="s">
        <v>1231</v>
      </c>
      <c r="C1335" s="2" t="s">
        <v>1232</v>
      </c>
      <c r="D1335" s="8" t="s">
        <v>459</v>
      </c>
      <c r="E1335" s="460"/>
      <c r="F1335" s="4"/>
      <c r="G1335" s="4"/>
      <c r="H1335" s="4"/>
      <c r="I1335" s="4"/>
      <c r="J1335" s="4"/>
      <c r="K1335" s="4"/>
      <c r="L1335" s="4"/>
      <c r="M1335" s="4"/>
      <c r="N1335" s="4"/>
      <c r="O1335" s="4"/>
      <c r="P1335" s="4"/>
      <c r="Q1335" s="4"/>
      <c r="R1335" s="4"/>
      <c r="S1335" s="445">
        <f t="shared" si="114"/>
        <v>0</v>
      </c>
      <c r="T1335" s="445">
        <f t="shared" si="115"/>
        <v>0</v>
      </c>
      <c r="U1335" s="445">
        <f t="shared" si="116"/>
        <v>0</v>
      </c>
      <c r="W1335" s="450"/>
      <c r="X1335" s="450"/>
      <c r="Y1335" s="441"/>
      <c r="Z1335" s="441"/>
      <c r="AA1335" s="441"/>
      <c r="AB1335" s="441"/>
      <c r="AC1335" s="441"/>
      <c r="AD1335" s="441"/>
      <c r="AE1335" s="441"/>
      <c r="AF1335" s="441"/>
      <c r="AG1335" s="441"/>
      <c r="AH1335" s="441"/>
      <c r="AI1335" s="441"/>
      <c r="AJ1335" s="441"/>
      <c r="AK1335" s="441"/>
      <c r="AL1335" s="441"/>
      <c r="AM1335" s="441"/>
      <c r="AN1335" s="441"/>
      <c r="AO1335" s="441"/>
    </row>
    <row r="1336" spans="1:41" ht="12.75" hidden="1" thickBot="1">
      <c r="A1336" s="1" t="s">
        <v>1282</v>
      </c>
      <c r="B1336" s="2" t="s">
        <v>215</v>
      </c>
      <c r="C1336" s="2" t="s">
        <v>1038</v>
      </c>
      <c r="D1336" s="8" t="s">
        <v>459</v>
      </c>
      <c r="E1336" s="459"/>
      <c r="F1336" s="6"/>
      <c r="G1336" s="451"/>
      <c r="H1336" s="6"/>
      <c r="I1336" s="6"/>
      <c r="J1336" s="6"/>
      <c r="K1336" s="6"/>
      <c r="L1336" s="6"/>
      <c r="M1336" s="451"/>
      <c r="N1336" s="451"/>
      <c r="O1336" s="6"/>
      <c r="P1336" s="6"/>
      <c r="Q1336" s="451"/>
      <c r="R1336" s="451"/>
      <c r="S1336" s="445">
        <f t="shared" si="114"/>
        <v>0</v>
      </c>
      <c r="T1336" s="445">
        <f t="shared" si="115"/>
        <v>0</v>
      </c>
      <c r="U1336" s="445">
        <f t="shared" si="116"/>
        <v>0</v>
      </c>
      <c r="W1336" s="450"/>
      <c r="X1336" s="450"/>
      <c r="Y1336" s="441"/>
      <c r="Z1336" s="441"/>
      <c r="AA1336" s="441"/>
      <c r="AB1336" s="441"/>
      <c r="AC1336" s="441"/>
      <c r="AD1336" s="441"/>
      <c r="AE1336" s="441"/>
      <c r="AF1336" s="441"/>
      <c r="AG1336" s="441"/>
      <c r="AH1336" s="441"/>
      <c r="AI1336" s="441"/>
      <c r="AJ1336" s="441"/>
      <c r="AK1336" s="441"/>
      <c r="AL1336" s="441"/>
      <c r="AM1336" s="441"/>
      <c r="AN1336" s="441"/>
      <c r="AO1336" s="441"/>
    </row>
    <row r="1337" spans="1:41" ht="12.75" hidden="1" thickBot="1">
      <c r="A1337" s="1" t="s">
        <v>1282</v>
      </c>
      <c r="B1337" s="2" t="s">
        <v>216</v>
      </c>
      <c r="C1337" s="2" t="s">
        <v>1039</v>
      </c>
      <c r="D1337" s="8" t="s">
        <v>459</v>
      </c>
      <c r="E1337" s="460"/>
      <c r="F1337" s="4"/>
      <c r="G1337" s="449"/>
      <c r="H1337" s="4"/>
      <c r="I1337" s="4"/>
      <c r="J1337" s="4"/>
      <c r="K1337" s="4"/>
      <c r="L1337" s="4"/>
      <c r="M1337" s="449"/>
      <c r="N1337" s="449"/>
      <c r="O1337" s="4"/>
      <c r="P1337" s="4"/>
      <c r="Q1337" s="449"/>
      <c r="R1337" s="449"/>
      <c r="S1337" s="445">
        <f t="shared" si="114"/>
        <v>0</v>
      </c>
      <c r="T1337" s="445">
        <f t="shared" si="115"/>
        <v>0</v>
      </c>
      <c r="U1337" s="445">
        <f t="shared" si="116"/>
        <v>0</v>
      </c>
      <c r="W1337" s="450"/>
      <c r="X1337" s="450"/>
      <c r="Y1337" s="441"/>
      <c r="Z1337" s="441"/>
      <c r="AA1337" s="441"/>
      <c r="AB1337" s="441"/>
      <c r="AC1337" s="441"/>
      <c r="AD1337" s="441"/>
      <c r="AE1337" s="441"/>
      <c r="AF1337" s="441"/>
      <c r="AG1337" s="441"/>
      <c r="AH1337" s="441"/>
      <c r="AI1337" s="441"/>
      <c r="AJ1337" s="441"/>
      <c r="AK1337" s="441"/>
      <c r="AL1337" s="441"/>
      <c r="AM1337" s="441"/>
      <c r="AN1337" s="441"/>
      <c r="AO1337" s="441"/>
    </row>
    <row r="1338" spans="1:41" ht="12.75" hidden="1" thickBot="1">
      <c r="A1338" s="1" t="s">
        <v>1282</v>
      </c>
      <c r="B1338" s="2" t="s">
        <v>217</v>
      </c>
      <c r="C1338" s="2" t="s">
        <v>1040</v>
      </c>
      <c r="D1338" s="8" t="s">
        <v>459</v>
      </c>
      <c r="E1338" s="459"/>
      <c r="F1338" s="6"/>
      <c r="G1338" s="451"/>
      <c r="H1338" s="6"/>
      <c r="I1338" s="6"/>
      <c r="J1338" s="6"/>
      <c r="K1338" s="6"/>
      <c r="L1338" s="6"/>
      <c r="M1338" s="451"/>
      <c r="N1338" s="451"/>
      <c r="O1338" s="6"/>
      <c r="P1338" s="6"/>
      <c r="Q1338" s="451"/>
      <c r="R1338" s="451"/>
      <c r="S1338" s="445">
        <f t="shared" si="114"/>
        <v>0</v>
      </c>
      <c r="T1338" s="445">
        <f t="shared" si="115"/>
        <v>0</v>
      </c>
      <c r="U1338" s="445">
        <f t="shared" si="116"/>
        <v>0</v>
      </c>
      <c r="W1338" s="450"/>
      <c r="X1338" s="450"/>
      <c r="Y1338" s="441"/>
      <c r="Z1338" s="441"/>
      <c r="AA1338" s="441"/>
      <c r="AB1338" s="441"/>
      <c r="AC1338" s="441"/>
      <c r="AD1338" s="441"/>
      <c r="AE1338" s="441"/>
      <c r="AF1338" s="441"/>
      <c r="AG1338" s="441"/>
      <c r="AH1338" s="441"/>
      <c r="AI1338" s="441"/>
      <c r="AJ1338" s="441"/>
      <c r="AK1338" s="441"/>
      <c r="AL1338" s="441"/>
      <c r="AM1338" s="441"/>
      <c r="AN1338" s="441"/>
      <c r="AO1338" s="441"/>
    </row>
    <row r="1339" spans="1:41" ht="12.75" hidden="1" thickBot="1">
      <c r="A1339" s="1" t="s">
        <v>1282</v>
      </c>
      <c r="B1339" s="2" t="s">
        <v>344</v>
      </c>
      <c r="C1339" s="2" t="s">
        <v>1041</v>
      </c>
      <c r="D1339" s="8" t="s">
        <v>459</v>
      </c>
      <c r="E1339" s="460"/>
      <c r="F1339" s="4"/>
      <c r="G1339" s="449"/>
      <c r="H1339" s="4"/>
      <c r="I1339" s="4"/>
      <c r="J1339" s="4"/>
      <c r="K1339" s="4"/>
      <c r="L1339" s="4"/>
      <c r="M1339" s="449"/>
      <c r="N1339" s="449"/>
      <c r="O1339" s="4"/>
      <c r="P1339" s="4"/>
      <c r="Q1339" s="449"/>
      <c r="R1339" s="449"/>
      <c r="S1339" s="445">
        <f t="shared" si="114"/>
        <v>0</v>
      </c>
      <c r="T1339" s="445">
        <f t="shared" si="115"/>
        <v>0</v>
      </c>
      <c r="U1339" s="445">
        <f t="shared" si="116"/>
        <v>0</v>
      </c>
      <c r="W1339" s="450"/>
      <c r="X1339" s="450"/>
      <c r="Y1339" s="441"/>
      <c r="Z1339" s="441"/>
      <c r="AA1339" s="441"/>
      <c r="AB1339" s="441"/>
      <c r="AC1339" s="441"/>
      <c r="AD1339" s="441"/>
      <c r="AE1339" s="441"/>
      <c r="AF1339" s="441"/>
      <c r="AG1339" s="441"/>
      <c r="AH1339" s="441"/>
      <c r="AI1339" s="441"/>
      <c r="AJ1339" s="441"/>
      <c r="AK1339" s="441"/>
      <c r="AL1339" s="441"/>
      <c r="AM1339" s="441"/>
      <c r="AN1339" s="441"/>
      <c r="AO1339" s="441"/>
    </row>
    <row r="1340" spans="1:41" ht="12.75" hidden="1" thickBot="1">
      <c r="A1340" s="1" t="s">
        <v>1282</v>
      </c>
      <c r="B1340" s="2" t="s">
        <v>1233</v>
      </c>
      <c r="C1340" s="2" t="s">
        <v>1234</v>
      </c>
      <c r="D1340" s="8" t="s">
        <v>459</v>
      </c>
      <c r="E1340" s="459"/>
      <c r="F1340" s="6"/>
      <c r="G1340" s="6"/>
      <c r="H1340" s="6"/>
      <c r="I1340" s="6"/>
      <c r="J1340" s="6"/>
      <c r="K1340" s="6"/>
      <c r="L1340" s="6"/>
      <c r="M1340" s="6"/>
      <c r="N1340" s="6"/>
      <c r="O1340" s="6"/>
      <c r="P1340" s="6"/>
      <c r="Q1340" s="6"/>
      <c r="R1340" s="6"/>
      <c r="S1340" s="445">
        <f t="shared" si="114"/>
        <v>0</v>
      </c>
      <c r="T1340" s="445">
        <f t="shared" si="115"/>
        <v>0</v>
      </c>
      <c r="U1340" s="445">
        <f t="shared" si="116"/>
        <v>0</v>
      </c>
      <c r="W1340" s="450"/>
      <c r="X1340" s="450"/>
      <c r="Y1340" s="441"/>
      <c r="Z1340" s="441"/>
      <c r="AA1340" s="441"/>
      <c r="AB1340" s="441"/>
      <c r="AC1340" s="441"/>
      <c r="AD1340" s="441"/>
      <c r="AE1340" s="441"/>
      <c r="AF1340" s="441"/>
      <c r="AG1340" s="441"/>
      <c r="AH1340" s="441"/>
      <c r="AI1340" s="441"/>
      <c r="AJ1340" s="441"/>
      <c r="AK1340" s="441"/>
      <c r="AL1340" s="441"/>
      <c r="AM1340" s="441"/>
      <c r="AN1340" s="441"/>
      <c r="AO1340" s="441"/>
    </row>
    <row r="1341" spans="1:41" ht="12.75" hidden="1" thickBot="1">
      <c r="A1341" s="1" t="s">
        <v>1282</v>
      </c>
      <c r="B1341" s="2" t="s">
        <v>218</v>
      </c>
      <c r="C1341" s="2" t="s">
        <v>1042</v>
      </c>
      <c r="D1341" s="8" t="s">
        <v>459</v>
      </c>
      <c r="E1341" s="460"/>
      <c r="F1341" s="4"/>
      <c r="G1341" s="449"/>
      <c r="H1341" s="4"/>
      <c r="I1341" s="4"/>
      <c r="J1341" s="4"/>
      <c r="K1341" s="4"/>
      <c r="L1341" s="4"/>
      <c r="M1341" s="449"/>
      <c r="N1341" s="449"/>
      <c r="O1341" s="4"/>
      <c r="P1341" s="4"/>
      <c r="Q1341" s="449"/>
      <c r="R1341" s="449"/>
      <c r="S1341" s="445">
        <f t="shared" si="114"/>
        <v>0</v>
      </c>
      <c r="T1341" s="445">
        <f t="shared" si="115"/>
        <v>0</v>
      </c>
      <c r="U1341" s="445">
        <f t="shared" si="116"/>
        <v>0</v>
      </c>
      <c r="W1341" s="450"/>
      <c r="X1341" s="450"/>
      <c r="Y1341" s="441"/>
      <c r="Z1341" s="441"/>
      <c r="AA1341" s="441"/>
      <c r="AB1341" s="441"/>
      <c r="AC1341" s="441"/>
      <c r="AD1341" s="441"/>
      <c r="AE1341" s="441"/>
      <c r="AF1341" s="441"/>
      <c r="AG1341" s="441"/>
      <c r="AH1341" s="441"/>
      <c r="AI1341" s="441"/>
      <c r="AJ1341" s="441"/>
      <c r="AK1341" s="441"/>
      <c r="AL1341" s="441"/>
      <c r="AM1341" s="441"/>
      <c r="AN1341" s="441"/>
      <c r="AO1341" s="441"/>
    </row>
    <row r="1342" spans="1:41" ht="12.75" hidden="1" thickBot="1">
      <c r="A1342" s="1" t="s">
        <v>1282</v>
      </c>
      <c r="B1342" s="2" t="s">
        <v>223</v>
      </c>
      <c r="C1342" s="2" t="s">
        <v>1043</v>
      </c>
      <c r="D1342" s="8" t="s">
        <v>459</v>
      </c>
      <c r="E1342" s="459"/>
      <c r="F1342" s="6"/>
      <c r="G1342" s="451"/>
      <c r="H1342" s="6"/>
      <c r="I1342" s="6"/>
      <c r="J1342" s="6"/>
      <c r="K1342" s="6"/>
      <c r="L1342" s="6"/>
      <c r="M1342" s="451"/>
      <c r="N1342" s="451"/>
      <c r="O1342" s="6"/>
      <c r="P1342" s="6"/>
      <c r="Q1342" s="451"/>
      <c r="R1342" s="451"/>
      <c r="S1342" s="445">
        <f t="shared" si="114"/>
        <v>0</v>
      </c>
      <c r="T1342" s="445">
        <f t="shared" si="115"/>
        <v>0</v>
      </c>
      <c r="U1342" s="445">
        <f t="shared" si="116"/>
        <v>0</v>
      </c>
      <c r="W1342" s="450"/>
      <c r="X1342" s="450"/>
      <c r="Y1342" s="441"/>
      <c r="Z1342" s="441"/>
      <c r="AA1342" s="441"/>
      <c r="AB1342" s="441"/>
      <c r="AC1342" s="441"/>
      <c r="AD1342" s="441"/>
      <c r="AE1342" s="441"/>
      <c r="AF1342" s="441"/>
      <c r="AG1342" s="441"/>
      <c r="AH1342" s="441"/>
      <c r="AI1342" s="441"/>
      <c r="AJ1342" s="441"/>
      <c r="AK1342" s="441"/>
      <c r="AL1342" s="441"/>
      <c r="AM1342" s="441"/>
      <c r="AN1342" s="441"/>
      <c r="AO1342" s="441"/>
    </row>
    <row r="1343" spans="1:41" ht="12.75" hidden="1" thickBot="1">
      <c r="A1343" s="1" t="s">
        <v>1282</v>
      </c>
      <c r="B1343" s="2" t="s">
        <v>231</v>
      </c>
      <c r="C1343" s="2" t="s">
        <v>1044</v>
      </c>
      <c r="D1343" s="8" t="s">
        <v>459</v>
      </c>
      <c r="E1343" s="460"/>
      <c r="F1343" s="4"/>
      <c r="G1343" s="449"/>
      <c r="H1343" s="4"/>
      <c r="I1343" s="4"/>
      <c r="J1343" s="4"/>
      <c r="K1343" s="4"/>
      <c r="L1343" s="4"/>
      <c r="M1343" s="449"/>
      <c r="N1343" s="449"/>
      <c r="O1343" s="4"/>
      <c r="P1343" s="4"/>
      <c r="Q1343" s="449"/>
      <c r="R1343" s="449"/>
      <c r="S1343" s="445">
        <f t="shared" si="114"/>
        <v>0</v>
      </c>
      <c r="T1343" s="445">
        <f t="shared" si="115"/>
        <v>0</v>
      </c>
      <c r="U1343" s="445">
        <f t="shared" si="116"/>
        <v>0</v>
      </c>
      <c r="W1343" s="450"/>
      <c r="X1343" s="450"/>
      <c r="Y1343" s="441"/>
      <c r="Z1343" s="441"/>
      <c r="AA1343" s="441"/>
      <c r="AB1343" s="441"/>
      <c r="AC1343" s="441"/>
      <c r="AD1343" s="441"/>
      <c r="AE1343" s="441"/>
      <c r="AF1343" s="441"/>
      <c r="AG1343" s="441"/>
      <c r="AH1343" s="441"/>
      <c r="AI1343" s="441"/>
      <c r="AJ1343" s="441"/>
      <c r="AK1343" s="441"/>
      <c r="AL1343" s="441"/>
      <c r="AM1343" s="441"/>
      <c r="AN1343" s="441"/>
      <c r="AO1343" s="441"/>
    </row>
    <row r="1344" spans="1:41" ht="12.75" hidden="1" thickBot="1">
      <c r="A1344" s="1" t="s">
        <v>1282</v>
      </c>
      <c r="B1344" s="2" t="s">
        <v>232</v>
      </c>
      <c r="C1344" s="2" t="s">
        <v>1045</v>
      </c>
      <c r="D1344" s="8" t="s">
        <v>459</v>
      </c>
      <c r="E1344" s="459"/>
      <c r="F1344" s="6"/>
      <c r="G1344" s="451"/>
      <c r="H1344" s="6"/>
      <c r="I1344" s="6"/>
      <c r="J1344" s="6"/>
      <c r="K1344" s="6"/>
      <c r="L1344" s="6"/>
      <c r="M1344" s="451"/>
      <c r="N1344" s="451"/>
      <c r="O1344" s="6"/>
      <c r="P1344" s="6"/>
      <c r="Q1344" s="451"/>
      <c r="R1344" s="451"/>
      <c r="S1344" s="445">
        <f t="shared" si="114"/>
        <v>0</v>
      </c>
      <c r="T1344" s="445">
        <f t="shared" si="115"/>
        <v>0</v>
      </c>
      <c r="U1344" s="445">
        <f t="shared" si="116"/>
        <v>0</v>
      </c>
      <c r="W1344" s="450"/>
      <c r="X1344" s="450"/>
      <c r="Y1344" s="441"/>
      <c r="Z1344" s="441"/>
      <c r="AA1344" s="441"/>
      <c r="AB1344" s="441"/>
      <c r="AC1344" s="441"/>
      <c r="AD1344" s="441"/>
      <c r="AE1344" s="441"/>
      <c r="AF1344" s="441"/>
      <c r="AG1344" s="441"/>
      <c r="AH1344" s="441"/>
      <c r="AI1344" s="441"/>
      <c r="AJ1344" s="441"/>
      <c r="AK1344" s="441"/>
      <c r="AL1344" s="441"/>
      <c r="AM1344" s="441"/>
      <c r="AN1344" s="441"/>
      <c r="AO1344" s="441"/>
    </row>
    <row r="1345" spans="1:41" ht="12.75" hidden="1" thickBot="1">
      <c r="A1345" s="1" t="s">
        <v>1282</v>
      </c>
      <c r="B1345" s="2" t="s">
        <v>234</v>
      </c>
      <c r="C1345" s="2" t="s">
        <v>1046</v>
      </c>
      <c r="D1345" s="8" t="s">
        <v>459</v>
      </c>
      <c r="E1345" s="460"/>
      <c r="F1345" s="4"/>
      <c r="G1345" s="449"/>
      <c r="H1345" s="4"/>
      <c r="I1345" s="4"/>
      <c r="J1345" s="4"/>
      <c r="K1345" s="4"/>
      <c r="L1345" s="4"/>
      <c r="M1345" s="449"/>
      <c r="N1345" s="449"/>
      <c r="O1345" s="4"/>
      <c r="P1345" s="4"/>
      <c r="Q1345" s="449"/>
      <c r="R1345" s="449"/>
      <c r="S1345" s="445">
        <f t="shared" si="114"/>
        <v>0</v>
      </c>
      <c r="T1345" s="445">
        <f t="shared" si="115"/>
        <v>0</v>
      </c>
      <c r="U1345" s="445">
        <f t="shared" si="116"/>
        <v>0</v>
      </c>
      <c r="W1345" s="450"/>
      <c r="X1345" s="450"/>
      <c r="Y1345" s="441"/>
      <c r="Z1345" s="441"/>
      <c r="AA1345" s="441"/>
      <c r="AB1345" s="441"/>
      <c r="AC1345" s="441"/>
      <c r="AD1345" s="441"/>
      <c r="AE1345" s="441"/>
      <c r="AF1345" s="441"/>
      <c r="AG1345" s="441"/>
      <c r="AH1345" s="441"/>
      <c r="AI1345" s="441"/>
      <c r="AJ1345" s="441"/>
      <c r="AK1345" s="441"/>
      <c r="AL1345" s="441"/>
      <c r="AM1345" s="441"/>
      <c r="AN1345" s="441"/>
      <c r="AO1345" s="441"/>
    </row>
    <row r="1346" spans="1:41" ht="12.75" hidden="1" thickBot="1">
      <c r="A1346" s="1" t="s">
        <v>1282</v>
      </c>
      <c r="B1346" s="2" t="s">
        <v>353</v>
      </c>
      <c r="C1346" s="2" t="s">
        <v>1047</v>
      </c>
      <c r="D1346" s="8" t="s">
        <v>459</v>
      </c>
      <c r="E1346" s="459"/>
      <c r="F1346" s="6"/>
      <c r="G1346" s="451"/>
      <c r="H1346" s="6"/>
      <c r="I1346" s="6"/>
      <c r="J1346" s="6"/>
      <c r="K1346" s="6"/>
      <c r="L1346" s="6"/>
      <c r="M1346" s="451"/>
      <c r="N1346" s="451"/>
      <c r="O1346" s="6"/>
      <c r="P1346" s="6"/>
      <c r="Q1346" s="451"/>
      <c r="R1346" s="451"/>
      <c r="S1346" s="445">
        <f t="shared" si="114"/>
        <v>0</v>
      </c>
      <c r="T1346" s="445">
        <f t="shared" si="115"/>
        <v>0</v>
      </c>
      <c r="U1346" s="445">
        <f t="shared" si="116"/>
        <v>0</v>
      </c>
      <c r="W1346" s="450"/>
      <c r="X1346" s="450"/>
      <c r="Y1346" s="441"/>
      <c r="Z1346" s="441"/>
      <c r="AA1346" s="441"/>
      <c r="AB1346" s="441"/>
      <c r="AC1346" s="441"/>
      <c r="AD1346" s="441"/>
      <c r="AE1346" s="441"/>
      <c r="AF1346" s="441"/>
      <c r="AG1346" s="441"/>
      <c r="AH1346" s="441"/>
      <c r="AI1346" s="441"/>
      <c r="AJ1346" s="441"/>
      <c r="AK1346" s="441"/>
      <c r="AL1346" s="441"/>
      <c r="AM1346" s="441"/>
      <c r="AN1346" s="441"/>
      <c r="AO1346" s="441"/>
    </row>
    <row r="1347" spans="1:41" ht="12.75" hidden="1" thickBot="1">
      <c r="A1347" s="1" t="s">
        <v>1282</v>
      </c>
      <c r="B1347" s="2" t="s">
        <v>235</v>
      </c>
      <c r="C1347" s="2" t="s">
        <v>1048</v>
      </c>
      <c r="D1347" s="8" t="s">
        <v>459</v>
      </c>
      <c r="E1347" s="460"/>
      <c r="F1347" s="4"/>
      <c r="G1347" s="449"/>
      <c r="H1347" s="4"/>
      <c r="I1347" s="4"/>
      <c r="J1347" s="4"/>
      <c r="K1347" s="4"/>
      <c r="L1347" s="4"/>
      <c r="M1347" s="449"/>
      <c r="N1347" s="449"/>
      <c r="O1347" s="4"/>
      <c r="P1347" s="4"/>
      <c r="Q1347" s="449"/>
      <c r="R1347" s="449"/>
      <c r="S1347" s="445">
        <f t="shared" si="114"/>
        <v>0</v>
      </c>
      <c r="T1347" s="445">
        <f t="shared" si="115"/>
        <v>0</v>
      </c>
      <c r="U1347" s="445">
        <f t="shared" si="116"/>
        <v>0</v>
      </c>
      <c r="W1347" s="450"/>
      <c r="X1347" s="450"/>
      <c r="Y1347" s="441"/>
      <c r="Z1347" s="441"/>
      <c r="AA1347" s="441"/>
      <c r="AB1347" s="441"/>
      <c r="AC1347" s="441"/>
      <c r="AD1347" s="441"/>
      <c r="AE1347" s="441"/>
      <c r="AF1347" s="441"/>
      <c r="AG1347" s="441"/>
      <c r="AH1347" s="441"/>
      <c r="AI1347" s="441"/>
      <c r="AJ1347" s="441"/>
      <c r="AK1347" s="441"/>
      <c r="AL1347" s="441"/>
      <c r="AM1347" s="441"/>
      <c r="AN1347" s="441"/>
      <c r="AO1347" s="441"/>
    </row>
    <row r="1348" spans="1:41" ht="12.75" hidden="1" thickBot="1">
      <c r="A1348" s="1" t="s">
        <v>1282</v>
      </c>
      <c r="B1348" s="2" t="s">
        <v>236</v>
      </c>
      <c r="C1348" s="2" t="s">
        <v>1049</v>
      </c>
      <c r="D1348" s="8" t="s">
        <v>459</v>
      </c>
      <c r="E1348" s="459"/>
      <c r="F1348" s="6"/>
      <c r="G1348" s="451"/>
      <c r="H1348" s="6"/>
      <c r="I1348" s="6"/>
      <c r="J1348" s="6"/>
      <c r="K1348" s="6"/>
      <c r="L1348" s="6"/>
      <c r="M1348" s="451"/>
      <c r="N1348" s="451"/>
      <c r="O1348" s="6"/>
      <c r="P1348" s="6"/>
      <c r="Q1348" s="451"/>
      <c r="R1348" s="451"/>
      <c r="S1348" s="445">
        <f t="shared" si="114"/>
        <v>0</v>
      </c>
      <c r="T1348" s="445">
        <f t="shared" si="115"/>
        <v>0</v>
      </c>
      <c r="U1348" s="445">
        <f t="shared" si="116"/>
        <v>0</v>
      </c>
      <c r="W1348" s="450"/>
      <c r="X1348" s="450"/>
      <c r="Y1348" s="441"/>
      <c r="Z1348" s="441"/>
      <c r="AA1348" s="441"/>
      <c r="AB1348" s="441"/>
      <c r="AC1348" s="441"/>
      <c r="AD1348" s="441"/>
      <c r="AE1348" s="441"/>
      <c r="AF1348" s="441"/>
      <c r="AG1348" s="441"/>
      <c r="AH1348" s="441"/>
      <c r="AI1348" s="441"/>
      <c r="AJ1348" s="441"/>
      <c r="AK1348" s="441"/>
      <c r="AL1348" s="441"/>
      <c r="AM1348" s="441"/>
      <c r="AN1348" s="441"/>
      <c r="AO1348" s="441"/>
    </row>
    <row r="1349" spans="1:41" ht="12.75" hidden="1" thickBot="1">
      <c r="A1349" s="1" t="s">
        <v>1282</v>
      </c>
      <c r="B1349" s="2" t="s">
        <v>354</v>
      </c>
      <c r="C1349" s="2" t="s">
        <v>1050</v>
      </c>
      <c r="D1349" s="8" t="s">
        <v>459</v>
      </c>
      <c r="E1349" s="460"/>
      <c r="F1349" s="4"/>
      <c r="G1349" s="449"/>
      <c r="H1349" s="4"/>
      <c r="I1349" s="4"/>
      <c r="J1349" s="4"/>
      <c r="K1349" s="4"/>
      <c r="L1349" s="4"/>
      <c r="M1349" s="449"/>
      <c r="N1349" s="449"/>
      <c r="O1349" s="4"/>
      <c r="P1349" s="4"/>
      <c r="Q1349" s="449"/>
      <c r="R1349" s="449"/>
      <c r="S1349" s="445">
        <f t="shared" si="114"/>
        <v>0</v>
      </c>
      <c r="T1349" s="445">
        <f t="shared" si="115"/>
        <v>0</v>
      </c>
      <c r="U1349" s="445">
        <f t="shared" si="116"/>
        <v>0</v>
      </c>
      <c r="W1349" s="450"/>
      <c r="X1349" s="450"/>
      <c r="Y1349" s="441"/>
      <c r="Z1349" s="441"/>
      <c r="AA1349" s="441"/>
      <c r="AB1349" s="441"/>
      <c r="AC1349" s="441"/>
      <c r="AD1349" s="441"/>
      <c r="AE1349" s="441"/>
      <c r="AF1349" s="441"/>
      <c r="AG1349" s="441"/>
      <c r="AH1349" s="441"/>
      <c r="AI1349" s="441"/>
      <c r="AJ1349" s="441"/>
      <c r="AK1349" s="441"/>
      <c r="AL1349" s="441"/>
      <c r="AM1349" s="441"/>
      <c r="AN1349" s="441"/>
      <c r="AO1349" s="441"/>
    </row>
    <row r="1350" spans="1:41" ht="12.75" hidden="1" thickBot="1">
      <c r="A1350" s="1" t="s">
        <v>1282</v>
      </c>
      <c r="B1350" s="2" t="s">
        <v>355</v>
      </c>
      <c r="C1350" s="2" t="s">
        <v>1051</v>
      </c>
      <c r="D1350" s="8" t="s">
        <v>459</v>
      </c>
      <c r="E1350" s="459"/>
      <c r="F1350" s="6"/>
      <c r="G1350" s="451"/>
      <c r="H1350" s="6"/>
      <c r="I1350" s="6"/>
      <c r="J1350" s="6"/>
      <c r="K1350" s="6"/>
      <c r="L1350" s="6"/>
      <c r="M1350" s="451"/>
      <c r="N1350" s="451"/>
      <c r="O1350" s="6"/>
      <c r="P1350" s="6"/>
      <c r="Q1350" s="451"/>
      <c r="R1350" s="451"/>
      <c r="S1350" s="445">
        <f t="shared" si="114"/>
        <v>0</v>
      </c>
      <c r="T1350" s="445">
        <f t="shared" si="115"/>
        <v>0</v>
      </c>
      <c r="U1350" s="445">
        <f t="shared" si="116"/>
        <v>0</v>
      </c>
      <c r="W1350" s="450"/>
      <c r="X1350" s="450"/>
      <c r="Y1350" s="441"/>
      <c r="Z1350" s="441"/>
      <c r="AA1350" s="441"/>
      <c r="AB1350" s="441"/>
      <c r="AC1350" s="441"/>
      <c r="AD1350" s="441"/>
      <c r="AE1350" s="441"/>
      <c r="AF1350" s="441"/>
      <c r="AG1350" s="441"/>
      <c r="AH1350" s="441"/>
      <c r="AI1350" s="441"/>
      <c r="AJ1350" s="441"/>
      <c r="AK1350" s="441"/>
      <c r="AL1350" s="441"/>
      <c r="AM1350" s="441"/>
      <c r="AN1350" s="441"/>
      <c r="AO1350" s="441"/>
    </row>
    <row r="1351" spans="1:41" ht="12.75" hidden="1" thickBot="1">
      <c r="A1351" s="1" t="s">
        <v>1282</v>
      </c>
      <c r="B1351" s="2" t="s">
        <v>359</v>
      </c>
      <c r="C1351" s="2" t="s">
        <v>1052</v>
      </c>
      <c r="D1351" s="8" t="s">
        <v>459</v>
      </c>
      <c r="E1351" s="460"/>
      <c r="F1351" s="4"/>
      <c r="G1351" s="449"/>
      <c r="H1351" s="4"/>
      <c r="I1351" s="4"/>
      <c r="J1351" s="4"/>
      <c r="K1351" s="4"/>
      <c r="L1351" s="4"/>
      <c r="M1351" s="449"/>
      <c r="N1351" s="449"/>
      <c r="O1351" s="4"/>
      <c r="P1351" s="4"/>
      <c r="Q1351" s="449"/>
      <c r="R1351" s="449"/>
      <c r="S1351" s="445">
        <f t="shared" si="114"/>
        <v>0</v>
      </c>
      <c r="T1351" s="445">
        <f t="shared" si="115"/>
        <v>0</v>
      </c>
      <c r="U1351" s="445">
        <f t="shared" si="116"/>
        <v>0</v>
      </c>
      <c r="W1351" s="450"/>
      <c r="X1351" s="450"/>
      <c r="Y1351" s="441"/>
      <c r="Z1351" s="441"/>
      <c r="AA1351" s="441"/>
      <c r="AB1351" s="441"/>
      <c r="AC1351" s="441"/>
      <c r="AD1351" s="441"/>
      <c r="AE1351" s="441"/>
      <c r="AF1351" s="441"/>
      <c r="AG1351" s="441"/>
      <c r="AH1351" s="441"/>
      <c r="AI1351" s="441"/>
      <c r="AJ1351" s="441"/>
      <c r="AK1351" s="441"/>
      <c r="AL1351" s="441"/>
      <c r="AM1351" s="441"/>
      <c r="AN1351" s="441"/>
      <c r="AO1351" s="441"/>
    </row>
    <row r="1352" spans="1:41" ht="12.75" hidden="1" thickBot="1">
      <c r="A1352" s="1" t="s">
        <v>1282</v>
      </c>
      <c r="B1352" s="2" t="s">
        <v>356</v>
      </c>
      <c r="C1352" s="2" t="s">
        <v>1053</v>
      </c>
      <c r="D1352" s="8" t="s">
        <v>459</v>
      </c>
      <c r="E1352" s="459"/>
      <c r="F1352" s="6"/>
      <c r="G1352" s="451"/>
      <c r="H1352" s="6"/>
      <c r="I1352" s="6"/>
      <c r="J1352" s="6"/>
      <c r="K1352" s="6"/>
      <c r="L1352" s="6"/>
      <c r="M1352" s="451"/>
      <c r="N1352" s="451"/>
      <c r="O1352" s="6"/>
      <c r="P1352" s="6"/>
      <c r="Q1352" s="451"/>
      <c r="R1352" s="451"/>
      <c r="S1352" s="445">
        <f t="shared" si="114"/>
        <v>0</v>
      </c>
      <c r="T1352" s="445">
        <f t="shared" si="115"/>
        <v>0</v>
      </c>
      <c r="U1352" s="445">
        <f t="shared" si="116"/>
        <v>0</v>
      </c>
      <c r="W1352" s="450"/>
      <c r="X1352" s="450"/>
      <c r="Y1352" s="441"/>
      <c r="Z1352" s="441"/>
      <c r="AA1352" s="441"/>
      <c r="AB1352" s="441"/>
      <c r="AC1352" s="441"/>
      <c r="AD1352" s="441"/>
      <c r="AE1352" s="441"/>
      <c r="AF1352" s="441"/>
      <c r="AG1352" s="441"/>
      <c r="AH1352" s="441"/>
      <c r="AI1352" s="441"/>
      <c r="AJ1352" s="441"/>
      <c r="AK1352" s="441"/>
      <c r="AL1352" s="441"/>
      <c r="AM1352" s="441"/>
      <c r="AN1352" s="441"/>
      <c r="AO1352" s="441"/>
    </row>
    <row r="1353" spans="1:41" ht="12.75" hidden="1" thickBot="1">
      <c r="A1353" s="1" t="s">
        <v>1282</v>
      </c>
      <c r="B1353" s="2" t="s">
        <v>357</v>
      </c>
      <c r="C1353" s="2" t="s">
        <v>1054</v>
      </c>
      <c r="D1353" s="8" t="s">
        <v>459</v>
      </c>
      <c r="E1353" s="460"/>
      <c r="F1353" s="4"/>
      <c r="G1353" s="449"/>
      <c r="H1353" s="4"/>
      <c r="I1353" s="4"/>
      <c r="J1353" s="4"/>
      <c r="K1353" s="4"/>
      <c r="L1353" s="4"/>
      <c r="M1353" s="449"/>
      <c r="N1353" s="449"/>
      <c r="O1353" s="4"/>
      <c r="P1353" s="4"/>
      <c r="Q1353" s="449"/>
      <c r="R1353" s="449"/>
      <c r="S1353" s="445">
        <f t="shared" si="114"/>
        <v>0</v>
      </c>
      <c r="T1353" s="445">
        <f t="shared" si="115"/>
        <v>0</v>
      </c>
      <c r="U1353" s="445">
        <f t="shared" si="116"/>
        <v>0</v>
      </c>
      <c r="W1353" s="450"/>
      <c r="X1353" s="450"/>
      <c r="Y1353" s="441"/>
      <c r="Z1353" s="441"/>
      <c r="AA1353" s="441"/>
      <c r="AB1353" s="441"/>
      <c r="AC1353" s="441"/>
      <c r="AD1353" s="441"/>
      <c r="AE1353" s="441"/>
      <c r="AF1353" s="441"/>
      <c r="AG1353" s="441"/>
      <c r="AH1353" s="441"/>
      <c r="AI1353" s="441"/>
      <c r="AJ1353" s="441"/>
      <c r="AK1353" s="441"/>
      <c r="AL1353" s="441"/>
      <c r="AM1353" s="441"/>
      <c r="AN1353" s="441"/>
      <c r="AO1353" s="441"/>
    </row>
    <row r="1354" spans="1:41" ht="12.75" hidden="1" thickBot="1">
      <c r="A1354" s="1" t="s">
        <v>1282</v>
      </c>
      <c r="B1354" s="2" t="s">
        <v>358</v>
      </c>
      <c r="C1354" s="2" t="s">
        <v>1055</v>
      </c>
      <c r="D1354" s="8" t="s">
        <v>459</v>
      </c>
      <c r="E1354" s="459"/>
      <c r="F1354" s="6"/>
      <c r="G1354" s="451"/>
      <c r="H1354" s="6"/>
      <c r="I1354" s="6"/>
      <c r="J1354" s="6"/>
      <c r="K1354" s="6"/>
      <c r="L1354" s="6"/>
      <c r="M1354" s="451"/>
      <c r="N1354" s="451"/>
      <c r="O1354" s="6"/>
      <c r="P1354" s="6"/>
      <c r="Q1354" s="451"/>
      <c r="R1354" s="451"/>
      <c r="S1354" s="445">
        <f t="shared" si="114"/>
        <v>0</v>
      </c>
      <c r="T1354" s="445">
        <f t="shared" si="115"/>
        <v>0</v>
      </c>
      <c r="U1354" s="445">
        <f t="shared" si="116"/>
        <v>0</v>
      </c>
      <c r="W1354" s="450"/>
      <c r="X1354" s="450"/>
      <c r="Y1354" s="441"/>
      <c r="Z1354" s="441"/>
      <c r="AA1354" s="441"/>
      <c r="AB1354" s="441"/>
      <c r="AC1354" s="441"/>
      <c r="AD1354" s="441"/>
      <c r="AE1354" s="441"/>
      <c r="AF1354" s="441"/>
      <c r="AG1354" s="441"/>
      <c r="AH1354" s="441"/>
      <c r="AI1354" s="441"/>
      <c r="AJ1354" s="441"/>
      <c r="AK1354" s="441"/>
      <c r="AL1354" s="441"/>
      <c r="AM1354" s="441"/>
      <c r="AN1354" s="441"/>
      <c r="AO1354" s="441"/>
    </row>
    <row r="1355" spans="1:41" ht="12.75" hidden="1" thickBot="1">
      <c r="A1355" s="1" t="s">
        <v>1282</v>
      </c>
      <c r="B1355" s="2" t="s">
        <v>250</v>
      </c>
      <c r="C1355" s="2" t="s">
        <v>1056</v>
      </c>
      <c r="D1355" s="8" t="s">
        <v>459</v>
      </c>
      <c r="E1355" s="460"/>
      <c r="F1355" s="4"/>
      <c r="G1355" s="449"/>
      <c r="H1355" s="4"/>
      <c r="I1355" s="4"/>
      <c r="J1355" s="4"/>
      <c r="K1355" s="4"/>
      <c r="L1355" s="4"/>
      <c r="M1355" s="449"/>
      <c r="N1355" s="449"/>
      <c r="O1355" s="4"/>
      <c r="P1355" s="4"/>
      <c r="Q1355" s="449"/>
      <c r="R1355" s="449"/>
      <c r="S1355" s="445">
        <f t="shared" ref="S1355:S1407" si="120">G1355+H1355+I1355</f>
        <v>0</v>
      </c>
      <c r="T1355" s="445">
        <f t="shared" ref="T1355:T1407" si="121">J1355+K1355</f>
        <v>0</v>
      </c>
      <c r="U1355" s="445">
        <f t="shared" ref="U1355:U1407" si="122">N1355+O1355</f>
        <v>0</v>
      </c>
      <c r="W1355" s="450"/>
      <c r="X1355" s="450"/>
      <c r="Y1355" s="441"/>
      <c r="Z1355" s="441"/>
      <c r="AA1355" s="441"/>
      <c r="AB1355" s="441"/>
      <c r="AC1355" s="441"/>
      <c r="AD1355" s="441"/>
      <c r="AE1355" s="441"/>
      <c r="AF1355" s="441"/>
      <c r="AG1355" s="441"/>
      <c r="AH1355" s="441"/>
      <c r="AI1355" s="441"/>
      <c r="AJ1355" s="441"/>
      <c r="AK1355" s="441"/>
      <c r="AL1355" s="441"/>
      <c r="AM1355" s="441"/>
      <c r="AN1355" s="441"/>
      <c r="AO1355" s="441"/>
    </row>
    <row r="1356" spans="1:41" ht="12.75" hidden="1" thickBot="1">
      <c r="A1356" s="1" t="s">
        <v>1282</v>
      </c>
      <c r="B1356" s="2" t="s">
        <v>251</v>
      </c>
      <c r="C1356" s="2" t="s">
        <v>1057</v>
      </c>
      <c r="D1356" s="8" t="s">
        <v>459</v>
      </c>
      <c r="E1356" s="459"/>
      <c r="F1356" s="6"/>
      <c r="G1356" s="451"/>
      <c r="H1356" s="6"/>
      <c r="I1356" s="6"/>
      <c r="J1356" s="6"/>
      <c r="K1356" s="6"/>
      <c r="L1356" s="6"/>
      <c r="M1356" s="451"/>
      <c r="N1356" s="451"/>
      <c r="O1356" s="6"/>
      <c r="P1356" s="6"/>
      <c r="Q1356" s="451"/>
      <c r="R1356" s="451"/>
      <c r="S1356" s="445">
        <f t="shared" si="120"/>
        <v>0</v>
      </c>
      <c r="T1356" s="445">
        <f t="shared" si="121"/>
        <v>0</v>
      </c>
      <c r="U1356" s="445">
        <f t="shared" si="122"/>
        <v>0</v>
      </c>
      <c r="W1356" s="450"/>
      <c r="X1356" s="450"/>
      <c r="Y1356" s="441"/>
      <c r="Z1356" s="441"/>
      <c r="AA1356" s="441"/>
      <c r="AB1356" s="441"/>
      <c r="AC1356" s="441"/>
      <c r="AD1356" s="441"/>
      <c r="AE1356" s="441"/>
      <c r="AF1356" s="441"/>
      <c r="AG1356" s="441"/>
      <c r="AH1356" s="441"/>
      <c r="AI1356" s="441"/>
      <c r="AJ1356" s="441"/>
      <c r="AK1356" s="441"/>
      <c r="AL1356" s="441"/>
      <c r="AM1356" s="441"/>
      <c r="AN1356" s="441"/>
      <c r="AO1356" s="441"/>
    </row>
    <row r="1357" spans="1:41" ht="12.75" hidden="1" thickBot="1">
      <c r="A1357" s="1" t="s">
        <v>1282</v>
      </c>
      <c r="B1357" s="2" t="s">
        <v>254</v>
      </c>
      <c r="C1357" s="2" t="s">
        <v>1058</v>
      </c>
      <c r="D1357" s="8" t="s">
        <v>459</v>
      </c>
      <c r="E1357" s="460"/>
      <c r="F1357" s="4"/>
      <c r="G1357" s="449"/>
      <c r="H1357" s="4"/>
      <c r="I1357" s="4"/>
      <c r="J1357" s="4"/>
      <c r="K1357" s="4"/>
      <c r="L1357" s="4"/>
      <c r="M1357" s="449"/>
      <c r="N1357" s="449"/>
      <c r="O1357" s="4"/>
      <c r="P1357" s="4"/>
      <c r="Q1357" s="449"/>
      <c r="R1357" s="449"/>
      <c r="S1357" s="445">
        <f t="shared" si="120"/>
        <v>0</v>
      </c>
      <c r="T1357" s="445">
        <f t="shared" si="121"/>
        <v>0</v>
      </c>
      <c r="U1357" s="445">
        <f t="shared" si="122"/>
        <v>0</v>
      </c>
      <c r="W1357" s="450"/>
      <c r="X1357" s="450"/>
      <c r="Y1357" s="441"/>
      <c r="Z1357" s="441"/>
      <c r="AA1357" s="441"/>
      <c r="AB1357" s="441"/>
      <c r="AC1357" s="441"/>
      <c r="AD1357" s="441"/>
      <c r="AE1357" s="441"/>
      <c r="AF1357" s="441"/>
      <c r="AG1357" s="441"/>
      <c r="AH1357" s="441"/>
      <c r="AI1357" s="441"/>
      <c r="AJ1357" s="441"/>
      <c r="AK1357" s="441"/>
      <c r="AL1357" s="441"/>
      <c r="AM1357" s="441"/>
      <c r="AN1357" s="441"/>
      <c r="AO1357" s="441"/>
    </row>
    <row r="1358" spans="1:41" ht="12.75" hidden="1" thickBot="1">
      <c r="A1358" s="1" t="s">
        <v>1282</v>
      </c>
      <c r="B1358" s="2" t="s">
        <v>260</v>
      </c>
      <c r="C1358" s="2" t="s">
        <v>1059</v>
      </c>
      <c r="D1358" s="8" t="s">
        <v>459</v>
      </c>
      <c r="E1358" s="459"/>
      <c r="F1358" s="6"/>
      <c r="G1358" s="451"/>
      <c r="H1358" s="6"/>
      <c r="I1358" s="6"/>
      <c r="J1358" s="6"/>
      <c r="K1358" s="6"/>
      <c r="L1358" s="6"/>
      <c r="M1358" s="451"/>
      <c r="N1358" s="451"/>
      <c r="O1358" s="6"/>
      <c r="P1358" s="6"/>
      <c r="Q1358" s="451"/>
      <c r="R1358" s="451"/>
      <c r="S1358" s="445">
        <f t="shared" si="120"/>
        <v>0</v>
      </c>
      <c r="T1358" s="445">
        <f t="shared" si="121"/>
        <v>0</v>
      </c>
      <c r="U1358" s="445">
        <f t="shared" si="122"/>
        <v>0</v>
      </c>
      <c r="W1358" s="450"/>
      <c r="X1358" s="450"/>
      <c r="Y1358" s="441"/>
      <c r="Z1358" s="441"/>
      <c r="AA1358" s="441"/>
      <c r="AB1358" s="441"/>
      <c r="AC1358" s="441"/>
      <c r="AD1358" s="441"/>
      <c r="AE1358" s="441"/>
      <c r="AF1358" s="441"/>
      <c r="AG1358" s="441"/>
      <c r="AH1358" s="441"/>
      <c r="AI1358" s="441"/>
      <c r="AJ1358" s="441"/>
      <c r="AK1358" s="441"/>
      <c r="AL1358" s="441"/>
      <c r="AM1358" s="441"/>
      <c r="AN1358" s="441"/>
      <c r="AO1358" s="441"/>
    </row>
    <row r="1359" spans="1:41" ht="12.75" hidden="1" thickBot="1">
      <c r="A1359" s="1" t="s">
        <v>1282</v>
      </c>
      <c r="B1359" s="2" t="s">
        <v>262</v>
      </c>
      <c r="C1359" s="2" t="s">
        <v>1060</v>
      </c>
      <c r="D1359" s="8" t="s">
        <v>459</v>
      </c>
      <c r="E1359" s="460"/>
      <c r="F1359" s="4"/>
      <c r="G1359" s="449"/>
      <c r="H1359" s="4"/>
      <c r="I1359" s="4"/>
      <c r="J1359" s="4"/>
      <c r="K1359" s="4"/>
      <c r="L1359" s="4"/>
      <c r="M1359" s="449"/>
      <c r="N1359" s="449"/>
      <c r="O1359" s="4"/>
      <c r="P1359" s="4"/>
      <c r="Q1359" s="449"/>
      <c r="R1359" s="449"/>
      <c r="S1359" s="445">
        <f t="shared" si="120"/>
        <v>0</v>
      </c>
      <c r="T1359" s="445">
        <f t="shared" si="121"/>
        <v>0</v>
      </c>
      <c r="U1359" s="445">
        <f t="shared" si="122"/>
        <v>0</v>
      </c>
      <c r="W1359" s="450"/>
      <c r="X1359" s="450"/>
      <c r="Y1359" s="441"/>
      <c r="Z1359" s="441"/>
      <c r="AA1359" s="441"/>
      <c r="AB1359" s="441"/>
      <c r="AC1359" s="441"/>
      <c r="AD1359" s="441"/>
      <c r="AE1359" s="441"/>
      <c r="AF1359" s="441"/>
      <c r="AG1359" s="441"/>
      <c r="AH1359" s="441"/>
      <c r="AI1359" s="441"/>
      <c r="AJ1359" s="441"/>
      <c r="AK1359" s="441"/>
      <c r="AL1359" s="441"/>
      <c r="AM1359" s="441"/>
      <c r="AN1359" s="441"/>
      <c r="AO1359" s="441"/>
    </row>
    <row r="1360" spans="1:41" ht="12.75" hidden="1" thickBot="1">
      <c r="A1360" s="1" t="s">
        <v>1282</v>
      </c>
      <c r="B1360" s="2" t="s">
        <v>340</v>
      </c>
      <c r="C1360" s="2" t="s">
        <v>1061</v>
      </c>
      <c r="D1360" s="8" t="s">
        <v>567</v>
      </c>
      <c r="E1360" s="459"/>
      <c r="F1360" s="6"/>
      <c r="G1360" s="451"/>
      <c r="H1360" s="6"/>
      <c r="I1360" s="6"/>
      <c r="J1360" s="6"/>
      <c r="K1360" s="6"/>
      <c r="L1360" s="6"/>
      <c r="M1360" s="451"/>
      <c r="N1360" s="451"/>
      <c r="O1360" s="6"/>
      <c r="P1360" s="6"/>
      <c r="Q1360" s="6"/>
      <c r="R1360" s="451"/>
      <c r="S1360" s="445">
        <f t="shared" si="120"/>
        <v>0</v>
      </c>
      <c r="T1360" s="445">
        <f t="shared" si="121"/>
        <v>0</v>
      </c>
      <c r="U1360" s="445">
        <f t="shared" si="122"/>
        <v>0</v>
      </c>
      <c r="W1360" s="450"/>
      <c r="X1360" s="450"/>
      <c r="Y1360" s="441"/>
      <c r="Z1360" s="441"/>
      <c r="AA1360" s="441"/>
      <c r="AB1360" s="441"/>
      <c r="AC1360" s="441"/>
      <c r="AD1360" s="441"/>
      <c r="AE1360" s="441"/>
      <c r="AF1360" s="441"/>
      <c r="AG1360" s="441"/>
      <c r="AH1360" s="441"/>
      <c r="AI1360" s="441"/>
      <c r="AJ1360" s="441"/>
      <c r="AK1360" s="441"/>
      <c r="AL1360" s="441"/>
      <c r="AM1360" s="441"/>
      <c r="AN1360" s="441"/>
      <c r="AO1360" s="441"/>
    </row>
    <row r="1361" spans="1:41" ht="12.75" hidden="1" thickBot="1">
      <c r="A1361" s="1" t="s">
        <v>1282</v>
      </c>
      <c r="B1361" s="2" t="s">
        <v>692</v>
      </c>
      <c r="C1361" s="2" t="s">
        <v>1062</v>
      </c>
      <c r="D1361" s="8" t="s">
        <v>567</v>
      </c>
      <c r="E1361" s="460"/>
      <c r="F1361" s="4"/>
      <c r="G1361" s="449"/>
      <c r="H1361" s="4"/>
      <c r="I1361" s="4"/>
      <c r="J1361" s="4"/>
      <c r="K1361" s="4"/>
      <c r="L1361" s="4"/>
      <c r="M1361" s="449"/>
      <c r="N1361" s="449"/>
      <c r="O1361" s="4"/>
      <c r="P1361" s="4"/>
      <c r="Q1361" s="4"/>
      <c r="R1361" s="449"/>
      <c r="S1361" s="445">
        <f t="shared" si="120"/>
        <v>0</v>
      </c>
      <c r="T1361" s="445">
        <f t="shared" si="121"/>
        <v>0</v>
      </c>
      <c r="U1361" s="445">
        <f t="shared" si="122"/>
        <v>0</v>
      </c>
      <c r="W1361" s="450"/>
      <c r="X1361" s="450"/>
      <c r="Y1361" s="441"/>
      <c r="Z1361" s="441"/>
      <c r="AA1361" s="441"/>
      <c r="AB1361" s="441"/>
      <c r="AC1361" s="441"/>
      <c r="AD1361" s="441"/>
      <c r="AE1361" s="441"/>
      <c r="AF1361" s="441"/>
      <c r="AG1361" s="441"/>
      <c r="AH1361" s="441"/>
      <c r="AI1361" s="441"/>
      <c r="AJ1361" s="441"/>
      <c r="AK1361" s="441"/>
      <c r="AL1361" s="441"/>
      <c r="AM1361" s="441"/>
      <c r="AN1361" s="441"/>
      <c r="AO1361" s="441"/>
    </row>
    <row r="1362" spans="1:41" ht="12.75" hidden="1" thickBot="1">
      <c r="A1362" s="1" t="s">
        <v>1282</v>
      </c>
      <c r="B1362" s="2" t="s">
        <v>292</v>
      </c>
      <c r="C1362" s="2" t="s">
        <v>1063</v>
      </c>
      <c r="D1362" s="8" t="s">
        <v>567</v>
      </c>
      <c r="E1362" s="459"/>
      <c r="F1362" s="6"/>
      <c r="G1362" s="451"/>
      <c r="H1362" s="6"/>
      <c r="I1362" s="6"/>
      <c r="J1362" s="6"/>
      <c r="K1362" s="6"/>
      <c r="L1362" s="6"/>
      <c r="M1362" s="451"/>
      <c r="N1362" s="451"/>
      <c r="O1362" s="6"/>
      <c r="P1362" s="6"/>
      <c r="Q1362" s="451"/>
      <c r="R1362" s="451"/>
      <c r="S1362" s="445">
        <f t="shared" si="120"/>
        <v>0</v>
      </c>
      <c r="T1362" s="445">
        <f t="shared" si="121"/>
        <v>0</v>
      </c>
      <c r="U1362" s="445">
        <f t="shared" si="122"/>
        <v>0</v>
      </c>
      <c r="W1362" s="450"/>
      <c r="X1362" s="450"/>
      <c r="Y1362" s="441"/>
      <c r="Z1362" s="441"/>
      <c r="AA1362" s="441"/>
      <c r="AB1362" s="441"/>
      <c r="AC1362" s="441"/>
      <c r="AD1362" s="441"/>
      <c r="AE1362" s="441"/>
      <c r="AF1362" s="441"/>
      <c r="AG1362" s="441"/>
      <c r="AH1362" s="441"/>
      <c r="AI1362" s="441"/>
      <c r="AJ1362" s="441"/>
      <c r="AK1362" s="441"/>
      <c r="AL1362" s="441"/>
      <c r="AM1362" s="441"/>
      <c r="AN1362" s="441"/>
      <c r="AO1362" s="441"/>
    </row>
    <row r="1363" spans="1:41" ht="12.75" hidden="1" thickBot="1">
      <c r="A1363" s="1" t="s">
        <v>1282</v>
      </c>
      <c r="B1363" s="2" t="s">
        <v>293</v>
      </c>
      <c r="C1363" s="2" t="s">
        <v>1064</v>
      </c>
      <c r="D1363" s="8" t="s">
        <v>567</v>
      </c>
      <c r="E1363" s="460"/>
      <c r="F1363" s="4"/>
      <c r="G1363" s="449"/>
      <c r="H1363" s="4"/>
      <c r="I1363" s="4"/>
      <c r="J1363" s="4"/>
      <c r="K1363" s="4"/>
      <c r="L1363" s="4"/>
      <c r="M1363" s="449"/>
      <c r="N1363" s="449"/>
      <c r="O1363" s="4"/>
      <c r="P1363" s="4"/>
      <c r="Q1363" s="449"/>
      <c r="R1363" s="449"/>
      <c r="S1363" s="445">
        <f t="shared" si="120"/>
        <v>0</v>
      </c>
      <c r="T1363" s="445">
        <f t="shared" si="121"/>
        <v>0</v>
      </c>
      <c r="U1363" s="445">
        <f t="shared" si="122"/>
        <v>0</v>
      </c>
      <c r="W1363" s="450"/>
      <c r="X1363" s="450"/>
      <c r="Y1363" s="441"/>
      <c r="Z1363" s="441"/>
      <c r="AA1363" s="441"/>
      <c r="AB1363" s="441"/>
      <c r="AC1363" s="441"/>
      <c r="AD1363" s="441"/>
      <c r="AE1363" s="441"/>
      <c r="AF1363" s="441"/>
      <c r="AG1363" s="441"/>
      <c r="AH1363" s="441"/>
      <c r="AI1363" s="441"/>
      <c r="AJ1363" s="441"/>
      <c r="AK1363" s="441"/>
      <c r="AL1363" s="441"/>
      <c r="AM1363" s="441"/>
      <c r="AN1363" s="441"/>
      <c r="AO1363" s="441"/>
    </row>
    <row r="1364" spans="1:41" ht="12.75" hidden="1" thickBot="1">
      <c r="A1364" s="1" t="s">
        <v>1282</v>
      </c>
      <c r="B1364" s="2" t="s">
        <v>295</v>
      </c>
      <c r="C1364" s="2" t="s">
        <v>1065</v>
      </c>
      <c r="D1364" s="8" t="s">
        <v>567</v>
      </c>
      <c r="E1364" s="459"/>
      <c r="F1364" s="6"/>
      <c r="G1364" s="451"/>
      <c r="H1364" s="6"/>
      <c r="I1364" s="6"/>
      <c r="J1364" s="6"/>
      <c r="K1364" s="6"/>
      <c r="L1364" s="6"/>
      <c r="M1364" s="451"/>
      <c r="N1364" s="451"/>
      <c r="O1364" s="6"/>
      <c r="P1364" s="6"/>
      <c r="Q1364" s="451"/>
      <c r="R1364" s="451"/>
      <c r="S1364" s="445">
        <f t="shared" si="120"/>
        <v>0</v>
      </c>
      <c r="T1364" s="445">
        <f t="shared" si="121"/>
        <v>0</v>
      </c>
      <c r="U1364" s="445">
        <f t="shared" si="122"/>
        <v>0</v>
      </c>
      <c r="W1364" s="450"/>
      <c r="X1364" s="450"/>
      <c r="Y1364" s="441"/>
      <c r="Z1364" s="441"/>
      <c r="AA1364" s="441"/>
      <c r="AB1364" s="441"/>
      <c r="AC1364" s="441"/>
      <c r="AD1364" s="441"/>
      <c r="AE1364" s="441"/>
      <c r="AF1364" s="441"/>
      <c r="AG1364" s="441"/>
      <c r="AH1364" s="441"/>
      <c r="AI1364" s="441"/>
      <c r="AJ1364" s="441"/>
      <c r="AK1364" s="441"/>
      <c r="AL1364" s="441"/>
      <c r="AM1364" s="441"/>
      <c r="AN1364" s="441"/>
      <c r="AO1364" s="441"/>
    </row>
    <row r="1365" spans="1:41" ht="12.75" hidden="1" thickBot="1">
      <c r="A1365" s="1" t="s">
        <v>1282</v>
      </c>
      <c r="B1365" s="2" t="s">
        <v>296</v>
      </c>
      <c r="C1365" s="2" t="s">
        <v>1066</v>
      </c>
      <c r="D1365" s="8" t="s">
        <v>567</v>
      </c>
      <c r="E1365" s="460"/>
      <c r="F1365" s="4"/>
      <c r="G1365" s="449"/>
      <c r="H1365" s="4"/>
      <c r="I1365" s="4"/>
      <c r="J1365" s="4"/>
      <c r="K1365" s="4"/>
      <c r="L1365" s="4"/>
      <c r="M1365" s="449"/>
      <c r="N1365" s="449"/>
      <c r="O1365" s="4"/>
      <c r="P1365" s="4"/>
      <c r="Q1365" s="449"/>
      <c r="R1365" s="449"/>
      <c r="S1365" s="445">
        <f t="shared" si="120"/>
        <v>0</v>
      </c>
      <c r="T1365" s="445">
        <f t="shared" si="121"/>
        <v>0</v>
      </c>
      <c r="U1365" s="445">
        <f t="shared" si="122"/>
        <v>0</v>
      </c>
      <c r="W1365" s="450"/>
      <c r="X1365" s="450"/>
      <c r="Y1365" s="441"/>
      <c r="Z1365" s="441"/>
      <c r="AA1365" s="441"/>
      <c r="AB1365" s="441"/>
      <c r="AC1365" s="441"/>
      <c r="AD1365" s="441"/>
      <c r="AE1365" s="441"/>
      <c r="AF1365" s="441"/>
      <c r="AG1365" s="441"/>
      <c r="AH1365" s="441"/>
      <c r="AI1365" s="441"/>
      <c r="AJ1365" s="441"/>
      <c r="AK1365" s="441"/>
      <c r="AL1365" s="441"/>
      <c r="AM1365" s="441"/>
      <c r="AN1365" s="441"/>
      <c r="AO1365" s="441"/>
    </row>
    <row r="1366" spans="1:41" ht="12.75" hidden="1" thickBot="1">
      <c r="A1366" s="1" t="s">
        <v>1282</v>
      </c>
      <c r="B1366" s="2" t="s">
        <v>297</v>
      </c>
      <c r="C1366" s="2" t="s">
        <v>1067</v>
      </c>
      <c r="D1366" s="8" t="s">
        <v>459</v>
      </c>
      <c r="E1366" s="459"/>
      <c r="F1366" s="6"/>
      <c r="G1366" s="451"/>
      <c r="H1366" s="6"/>
      <c r="I1366" s="6"/>
      <c r="J1366" s="6"/>
      <c r="K1366" s="6"/>
      <c r="L1366" s="6"/>
      <c r="M1366" s="451"/>
      <c r="N1366" s="451"/>
      <c r="O1366" s="6"/>
      <c r="P1366" s="6"/>
      <c r="Q1366" s="451"/>
      <c r="R1366" s="451"/>
      <c r="S1366" s="445">
        <f t="shared" si="120"/>
        <v>0</v>
      </c>
      <c r="T1366" s="445">
        <f t="shared" si="121"/>
        <v>0</v>
      </c>
      <c r="U1366" s="445">
        <f t="shared" si="122"/>
        <v>0</v>
      </c>
      <c r="W1366" s="450"/>
      <c r="X1366" s="450"/>
      <c r="Y1366" s="441"/>
      <c r="Z1366" s="441"/>
      <c r="AA1366" s="441"/>
      <c r="AB1366" s="441"/>
      <c r="AC1366" s="441"/>
      <c r="AD1366" s="441"/>
      <c r="AE1366" s="441"/>
      <c r="AF1366" s="441"/>
      <c r="AG1366" s="441"/>
      <c r="AH1366" s="441"/>
      <c r="AI1366" s="441"/>
      <c r="AJ1366" s="441"/>
      <c r="AK1366" s="441"/>
      <c r="AL1366" s="441"/>
      <c r="AM1366" s="441"/>
      <c r="AN1366" s="441"/>
      <c r="AO1366" s="441"/>
    </row>
    <row r="1367" spans="1:41" ht="12.75" hidden="1" thickBot="1">
      <c r="A1367" s="1" t="s">
        <v>1282</v>
      </c>
      <c r="B1367" s="2" t="s">
        <v>299</v>
      </c>
      <c r="C1367" s="2" t="s">
        <v>1068</v>
      </c>
      <c r="D1367" s="8" t="s">
        <v>459</v>
      </c>
      <c r="E1367" s="460"/>
      <c r="F1367" s="4"/>
      <c r="G1367" s="449"/>
      <c r="H1367" s="4"/>
      <c r="I1367" s="4"/>
      <c r="J1367" s="4"/>
      <c r="K1367" s="4"/>
      <c r="L1367" s="4"/>
      <c r="M1367" s="449"/>
      <c r="N1367" s="449"/>
      <c r="O1367" s="4"/>
      <c r="P1367" s="4"/>
      <c r="Q1367" s="449"/>
      <c r="R1367" s="449"/>
      <c r="S1367" s="445">
        <f t="shared" si="120"/>
        <v>0</v>
      </c>
      <c r="T1367" s="445">
        <f t="shared" si="121"/>
        <v>0</v>
      </c>
      <c r="U1367" s="445">
        <f t="shared" si="122"/>
        <v>0</v>
      </c>
      <c r="W1367" s="450"/>
      <c r="X1367" s="450"/>
      <c r="Y1367" s="441"/>
      <c r="Z1367" s="441"/>
      <c r="AA1367" s="441"/>
      <c r="AB1367" s="441"/>
      <c r="AC1367" s="441"/>
      <c r="AD1367" s="441"/>
      <c r="AE1367" s="441"/>
      <c r="AF1367" s="441"/>
      <c r="AG1367" s="441"/>
      <c r="AH1367" s="441"/>
      <c r="AI1367" s="441"/>
      <c r="AJ1367" s="441"/>
      <c r="AK1367" s="441"/>
      <c r="AL1367" s="441"/>
      <c r="AM1367" s="441"/>
      <c r="AN1367" s="441"/>
      <c r="AO1367" s="441"/>
    </row>
    <row r="1368" spans="1:41" ht="12.75" hidden="1" thickBot="1">
      <c r="A1368" s="1" t="s">
        <v>1282</v>
      </c>
      <c r="B1368" s="2" t="s">
        <v>300</v>
      </c>
      <c r="C1368" s="2" t="s">
        <v>1069</v>
      </c>
      <c r="D1368" s="8" t="s">
        <v>567</v>
      </c>
      <c r="E1368" s="459"/>
      <c r="F1368" s="6"/>
      <c r="G1368" s="451"/>
      <c r="H1368" s="6"/>
      <c r="I1368" s="6"/>
      <c r="J1368" s="6"/>
      <c r="K1368" s="6"/>
      <c r="L1368" s="6"/>
      <c r="M1368" s="451"/>
      <c r="N1368" s="451"/>
      <c r="O1368" s="6"/>
      <c r="P1368" s="6"/>
      <c r="Q1368" s="451"/>
      <c r="R1368" s="451"/>
      <c r="S1368" s="445">
        <f t="shared" si="120"/>
        <v>0</v>
      </c>
      <c r="T1368" s="445">
        <f t="shared" si="121"/>
        <v>0</v>
      </c>
      <c r="U1368" s="445">
        <f t="shared" si="122"/>
        <v>0</v>
      </c>
      <c r="W1368" s="450"/>
      <c r="X1368" s="450"/>
      <c r="Y1368" s="441"/>
      <c r="Z1368" s="441"/>
      <c r="AA1368" s="441"/>
      <c r="AB1368" s="441"/>
      <c r="AC1368" s="441"/>
      <c r="AD1368" s="441"/>
      <c r="AE1368" s="441"/>
      <c r="AF1368" s="441"/>
      <c r="AG1368" s="441"/>
      <c r="AH1368" s="441"/>
      <c r="AI1368" s="441"/>
      <c r="AJ1368" s="441"/>
      <c r="AK1368" s="441"/>
      <c r="AL1368" s="441"/>
      <c r="AM1368" s="441"/>
      <c r="AN1368" s="441"/>
      <c r="AO1368" s="441"/>
    </row>
    <row r="1369" spans="1:41" ht="12.75" hidden="1" thickBot="1">
      <c r="A1369" s="1" t="s">
        <v>1282</v>
      </c>
      <c r="B1369" s="2" t="s">
        <v>301</v>
      </c>
      <c r="C1369" s="2" t="s">
        <v>1070</v>
      </c>
      <c r="D1369" s="8" t="s">
        <v>567</v>
      </c>
      <c r="E1369" s="460"/>
      <c r="F1369" s="4"/>
      <c r="G1369" s="449"/>
      <c r="H1369" s="4"/>
      <c r="I1369" s="4"/>
      <c r="J1369" s="4"/>
      <c r="K1369" s="4"/>
      <c r="L1369" s="4"/>
      <c r="M1369" s="449"/>
      <c r="N1369" s="449"/>
      <c r="O1369" s="4"/>
      <c r="P1369" s="4"/>
      <c r="Q1369" s="449"/>
      <c r="R1369" s="449"/>
      <c r="S1369" s="445">
        <f t="shared" si="120"/>
        <v>0</v>
      </c>
      <c r="T1369" s="445">
        <f t="shared" si="121"/>
        <v>0</v>
      </c>
      <c r="U1369" s="445">
        <f t="shared" si="122"/>
        <v>0</v>
      </c>
      <c r="W1369" s="450"/>
      <c r="X1369" s="450"/>
      <c r="Y1369" s="441"/>
      <c r="Z1369" s="441"/>
      <c r="AA1369" s="441"/>
      <c r="AB1369" s="441"/>
      <c r="AC1369" s="441"/>
      <c r="AD1369" s="441"/>
      <c r="AE1369" s="441"/>
      <c r="AF1369" s="441"/>
      <c r="AG1369" s="441"/>
      <c r="AH1369" s="441"/>
      <c r="AI1369" s="441"/>
      <c r="AJ1369" s="441"/>
      <c r="AK1369" s="441"/>
      <c r="AL1369" s="441"/>
      <c r="AM1369" s="441"/>
      <c r="AN1369" s="441"/>
      <c r="AO1369" s="441"/>
    </row>
    <row r="1370" spans="1:41" ht="12.75" hidden="1" thickBot="1">
      <c r="A1370" s="1" t="s">
        <v>1282</v>
      </c>
      <c r="B1370" s="2" t="s">
        <v>302</v>
      </c>
      <c r="C1370" s="2" t="s">
        <v>1071</v>
      </c>
      <c r="D1370" s="8" t="s">
        <v>567</v>
      </c>
      <c r="E1370" s="459"/>
      <c r="F1370" s="6"/>
      <c r="G1370" s="451"/>
      <c r="H1370" s="6"/>
      <c r="I1370" s="6"/>
      <c r="J1370" s="6"/>
      <c r="K1370" s="6"/>
      <c r="L1370" s="6"/>
      <c r="M1370" s="451"/>
      <c r="N1370" s="451"/>
      <c r="O1370" s="6"/>
      <c r="P1370" s="6"/>
      <c r="Q1370" s="451"/>
      <c r="R1370" s="451"/>
      <c r="S1370" s="445">
        <f t="shared" si="120"/>
        <v>0</v>
      </c>
      <c r="T1370" s="445">
        <f t="shared" si="121"/>
        <v>0</v>
      </c>
      <c r="U1370" s="445">
        <f t="shared" si="122"/>
        <v>0</v>
      </c>
      <c r="W1370" s="450"/>
      <c r="X1370" s="450"/>
      <c r="Y1370" s="441"/>
      <c r="Z1370" s="441"/>
      <c r="AA1370" s="441"/>
      <c r="AB1370" s="441"/>
      <c r="AC1370" s="441"/>
      <c r="AD1370" s="441"/>
      <c r="AE1370" s="441"/>
      <c r="AF1370" s="441"/>
      <c r="AG1370" s="441"/>
      <c r="AH1370" s="441"/>
      <c r="AI1370" s="441"/>
      <c r="AJ1370" s="441"/>
      <c r="AK1370" s="441"/>
      <c r="AL1370" s="441"/>
      <c r="AM1370" s="441"/>
      <c r="AN1370" s="441"/>
      <c r="AO1370" s="441"/>
    </row>
    <row r="1371" spans="1:41" ht="12.75" hidden="1" thickBot="1">
      <c r="A1371" s="1" t="s">
        <v>1282</v>
      </c>
      <c r="B1371" s="2" t="s">
        <v>303</v>
      </c>
      <c r="C1371" s="2" t="s">
        <v>1072</v>
      </c>
      <c r="D1371" s="8" t="s">
        <v>567</v>
      </c>
      <c r="E1371" s="460"/>
      <c r="F1371" s="4"/>
      <c r="G1371" s="449"/>
      <c r="H1371" s="4"/>
      <c r="I1371" s="4"/>
      <c r="J1371" s="4"/>
      <c r="K1371" s="4"/>
      <c r="L1371" s="4"/>
      <c r="M1371" s="449"/>
      <c r="N1371" s="449"/>
      <c r="O1371" s="4"/>
      <c r="P1371" s="4"/>
      <c r="Q1371" s="449"/>
      <c r="R1371" s="449"/>
      <c r="S1371" s="445">
        <f t="shared" si="120"/>
        <v>0</v>
      </c>
      <c r="T1371" s="445">
        <f t="shared" si="121"/>
        <v>0</v>
      </c>
      <c r="U1371" s="445">
        <f t="shared" si="122"/>
        <v>0</v>
      </c>
      <c r="W1371" s="450"/>
      <c r="X1371" s="450"/>
      <c r="Y1371" s="441"/>
      <c r="Z1371" s="441"/>
      <c r="AA1371" s="441"/>
      <c r="AB1371" s="441"/>
      <c r="AC1371" s="441"/>
      <c r="AD1371" s="441"/>
      <c r="AE1371" s="441"/>
      <c r="AF1371" s="441"/>
      <c r="AG1371" s="441"/>
      <c r="AH1371" s="441"/>
      <c r="AI1371" s="441"/>
      <c r="AJ1371" s="441"/>
      <c r="AK1371" s="441"/>
      <c r="AL1371" s="441"/>
      <c r="AM1371" s="441"/>
      <c r="AN1371" s="441"/>
      <c r="AO1371" s="441"/>
    </row>
    <row r="1372" spans="1:41" ht="12.75" hidden="1" thickBot="1">
      <c r="A1372" s="1" t="s">
        <v>1282</v>
      </c>
      <c r="B1372" s="2" t="s">
        <v>304</v>
      </c>
      <c r="C1372" s="2" t="s">
        <v>1073</v>
      </c>
      <c r="D1372" s="8" t="s">
        <v>567</v>
      </c>
      <c r="E1372" s="459"/>
      <c r="F1372" s="6"/>
      <c r="G1372" s="451"/>
      <c r="H1372" s="6"/>
      <c r="I1372" s="6"/>
      <c r="J1372" s="6"/>
      <c r="K1372" s="6"/>
      <c r="L1372" s="6"/>
      <c r="M1372" s="451"/>
      <c r="N1372" s="451"/>
      <c r="O1372" s="6"/>
      <c r="P1372" s="6"/>
      <c r="Q1372" s="451"/>
      <c r="R1372" s="451"/>
      <c r="S1372" s="445">
        <f t="shared" si="120"/>
        <v>0</v>
      </c>
      <c r="T1372" s="445">
        <f t="shared" si="121"/>
        <v>0</v>
      </c>
      <c r="U1372" s="445">
        <f t="shared" si="122"/>
        <v>0</v>
      </c>
      <c r="W1372" s="450"/>
      <c r="X1372" s="450"/>
      <c r="Y1372" s="441"/>
      <c r="Z1372" s="441"/>
      <c r="AA1372" s="441"/>
      <c r="AB1372" s="441"/>
      <c r="AC1372" s="441"/>
      <c r="AD1372" s="441"/>
      <c r="AE1372" s="441"/>
      <c r="AF1372" s="441"/>
      <c r="AG1372" s="441"/>
      <c r="AH1372" s="441"/>
      <c r="AI1372" s="441"/>
      <c r="AJ1372" s="441"/>
      <c r="AK1372" s="441"/>
      <c r="AL1372" s="441"/>
      <c r="AM1372" s="441"/>
      <c r="AN1372" s="441"/>
      <c r="AO1372" s="441"/>
    </row>
    <row r="1373" spans="1:41" ht="12.75" hidden="1" thickBot="1">
      <c r="A1373" s="1" t="s">
        <v>1282</v>
      </c>
      <c r="B1373" s="2" t="s">
        <v>305</v>
      </c>
      <c r="C1373" s="2" t="s">
        <v>1074</v>
      </c>
      <c r="D1373" s="8" t="s">
        <v>567</v>
      </c>
      <c r="E1373" s="460"/>
      <c r="F1373" s="4"/>
      <c r="G1373" s="449"/>
      <c r="H1373" s="4"/>
      <c r="I1373" s="4"/>
      <c r="J1373" s="4"/>
      <c r="K1373" s="4"/>
      <c r="L1373" s="4"/>
      <c r="M1373" s="449"/>
      <c r="N1373" s="449"/>
      <c r="O1373" s="4"/>
      <c r="P1373" s="4"/>
      <c r="Q1373" s="449"/>
      <c r="R1373" s="449"/>
      <c r="S1373" s="445">
        <f t="shared" si="120"/>
        <v>0</v>
      </c>
      <c r="T1373" s="445">
        <f t="shared" si="121"/>
        <v>0</v>
      </c>
      <c r="U1373" s="445">
        <f t="shared" si="122"/>
        <v>0</v>
      </c>
      <c r="W1373" s="450"/>
      <c r="X1373" s="450"/>
      <c r="Y1373" s="441"/>
      <c r="Z1373" s="441"/>
      <c r="AA1373" s="441"/>
      <c r="AB1373" s="441"/>
      <c r="AC1373" s="441"/>
      <c r="AD1373" s="441"/>
      <c r="AE1373" s="441"/>
      <c r="AF1373" s="441"/>
      <c r="AG1373" s="441"/>
      <c r="AH1373" s="441"/>
      <c r="AI1373" s="441"/>
      <c r="AJ1373" s="441"/>
      <c r="AK1373" s="441"/>
      <c r="AL1373" s="441"/>
      <c r="AM1373" s="441"/>
      <c r="AN1373" s="441"/>
      <c r="AO1373" s="441"/>
    </row>
    <row r="1374" spans="1:41" ht="12.75" hidden="1" thickBot="1">
      <c r="A1374" s="1" t="s">
        <v>1282</v>
      </c>
      <c r="B1374" s="2" t="s">
        <v>306</v>
      </c>
      <c r="C1374" s="2" t="s">
        <v>1075</v>
      </c>
      <c r="D1374" s="453" t="s">
        <v>459</v>
      </c>
      <c r="E1374" s="459"/>
      <c r="F1374" s="6"/>
      <c r="G1374" s="451"/>
      <c r="H1374" s="6"/>
      <c r="I1374" s="6"/>
      <c r="J1374" s="6"/>
      <c r="K1374" s="6"/>
      <c r="L1374" s="6"/>
      <c r="M1374" s="451"/>
      <c r="N1374" s="451"/>
      <c r="O1374" s="6"/>
      <c r="P1374" s="6"/>
      <c r="Q1374" s="451"/>
      <c r="R1374" s="451"/>
      <c r="S1374" s="445">
        <f t="shared" si="120"/>
        <v>0</v>
      </c>
      <c r="T1374" s="445">
        <f t="shared" si="121"/>
        <v>0</v>
      </c>
      <c r="U1374" s="445">
        <f t="shared" si="122"/>
        <v>0</v>
      </c>
      <c r="W1374" s="450"/>
      <c r="X1374" s="450"/>
      <c r="Y1374" s="441"/>
      <c r="Z1374" s="441"/>
      <c r="AA1374" s="441"/>
      <c r="AB1374" s="441"/>
      <c r="AC1374" s="441"/>
      <c r="AD1374" s="441"/>
      <c r="AE1374" s="441"/>
      <c r="AF1374" s="441"/>
      <c r="AG1374" s="441"/>
      <c r="AH1374" s="441"/>
      <c r="AI1374" s="441"/>
      <c r="AJ1374" s="441"/>
      <c r="AK1374" s="441"/>
      <c r="AL1374" s="441"/>
      <c r="AM1374" s="441"/>
      <c r="AN1374" s="441"/>
      <c r="AO1374" s="441"/>
    </row>
    <row r="1375" spans="1:41" ht="12.75" hidden="1" thickBot="1">
      <c r="A1375" s="1" t="s">
        <v>1282</v>
      </c>
      <c r="B1375" s="2" t="s">
        <v>307</v>
      </c>
      <c r="C1375" s="2" t="s">
        <v>1076</v>
      </c>
      <c r="D1375" s="8" t="s">
        <v>567</v>
      </c>
      <c r="E1375" s="460"/>
      <c r="F1375" s="4"/>
      <c r="G1375" s="449"/>
      <c r="H1375" s="4"/>
      <c r="I1375" s="4"/>
      <c r="J1375" s="4"/>
      <c r="K1375" s="4"/>
      <c r="L1375" s="4"/>
      <c r="M1375" s="449"/>
      <c r="N1375" s="449"/>
      <c r="O1375" s="4"/>
      <c r="P1375" s="4"/>
      <c r="Q1375" s="449"/>
      <c r="R1375" s="449"/>
      <c r="S1375" s="445">
        <f t="shared" si="120"/>
        <v>0</v>
      </c>
      <c r="T1375" s="445">
        <f t="shared" si="121"/>
        <v>0</v>
      </c>
      <c r="U1375" s="445">
        <f t="shared" si="122"/>
        <v>0</v>
      </c>
      <c r="W1375" s="450"/>
      <c r="X1375" s="450"/>
      <c r="Y1375" s="441"/>
      <c r="Z1375" s="441"/>
      <c r="AA1375" s="441"/>
      <c r="AB1375" s="441"/>
      <c r="AC1375" s="441"/>
      <c r="AD1375" s="441"/>
      <c r="AE1375" s="441"/>
      <c r="AF1375" s="441"/>
      <c r="AG1375" s="441"/>
      <c r="AH1375" s="441"/>
      <c r="AI1375" s="441"/>
      <c r="AJ1375" s="441"/>
      <c r="AK1375" s="441"/>
      <c r="AL1375" s="441"/>
      <c r="AM1375" s="441"/>
      <c r="AN1375" s="441"/>
      <c r="AO1375" s="441"/>
    </row>
    <row r="1376" spans="1:41" ht="12.75" hidden="1" thickBot="1">
      <c r="A1376" s="1" t="s">
        <v>1282</v>
      </c>
      <c r="B1376" s="2" t="s">
        <v>308</v>
      </c>
      <c r="C1376" s="2" t="s">
        <v>1077</v>
      </c>
      <c r="D1376" s="453" t="s">
        <v>459</v>
      </c>
      <c r="E1376" s="459"/>
      <c r="F1376" s="6"/>
      <c r="G1376" s="451"/>
      <c r="H1376" s="6"/>
      <c r="I1376" s="6"/>
      <c r="J1376" s="6"/>
      <c r="K1376" s="6"/>
      <c r="L1376" s="6"/>
      <c r="M1376" s="451"/>
      <c r="N1376" s="451"/>
      <c r="O1376" s="6"/>
      <c r="P1376" s="6"/>
      <c r="Q1376" s="451"/>
      <c r="R1376" s="451"/>
      <c r="S1376" s="445">
        <f t="shared" si="120"/>
        <v>0</v>
      </c>
      <c r="T1376" s="445">
        <f t="shared" si="121"/>
        <v>0</v>
      </c>
      <c r="U1376" s="445">
        <f t="shared" si="122"/>
        <v>0</v>
      </c>
      <c r="W1376" s="450"/>
      <c r="X1376" s="450"/>
      <c r="Y1376" s="441"/>
      <c r="Z1376" s="441"/>
      <c r="AA1376" s="441"/>
      <c r="AB1376" s="441"/>
      <c r="AC1376" s="441"/>
      <c r="AD1376" s="441"/>
      <c r="AE1376" s="441"/>
      <c r="AF1376" s="441"/>
      <c r="AG1376" s="441"/>
      <c r="AH1376" s="441"/>
      <c r="AI1376" s="441"/>
      <c r="AJ1376" s="441"/>
      <c r="AK1376" s="441"/>
      <c r="AL1376" s="441"/>
      <c r="AM1376" s="441"/>
      <c r="AN1376" s="441"/>
      <c r="AO1376" s="441"/>
    </row>
    <row r="1377" spans="1:41" ht="12.75" hidden="1" thickBot="1">
      <c r="A1377" s="1" t="s">
        <v>1282</v>
      </c>
      <c r="B1377" s="2" t="s">
        <v>309</v>
      </c>
      <c r="C1377" s="2" t="s">
        <v>1078</v>
      </c>
      <c r="D1377" s="8" t="s">
        <v>567</v>
      </c>
      <c r="E1377" s="460"/>
      <c r="F1377" s="4"/>
      <c r="G1377" s="449"/>
      <c r="H1377" s="4"/>
      <c r="I1377" s="4"/>
      <c r="J1377" s="4"/>
      <c r="K1377" s="4"/>
      <c r="L1377" s="4"/>
      <c r="M1377" s="449"/>
      <c r="N1377" s="449"/>
      <c r="O1377" s="4"/>
      <c r="P1377" s="4"/>
      <c r="Q1377" s="449"/>
      <c r="R1377" s="449"/>
      <c r="S1377" s="445">
        <f t="shared" si="120"/>
        <v>0</v>
      </c>
      <c r="T1377" s="445">
        <f t="shared" si="121"/>
        <v>0</v>
      </c>
      <c r="U1377" s="445">
        <f t="shared" si="122"/>
        <v>0</v>
      </c>
      <c r="W1377" s="450"/>
      <c r="X1377" s="450"/>
      <c r="Y1377" s="441"/>
      <c r="Z1377" s="441"/>
      <c r="AA1377" s="441"/>
      <c r="AB1377" s="441"/>
      <c r="AC1377" s="441"/>
      <c r="AD1377" s="441"/>
      <c r="AE1377" s="441"/>
      <c r="AF1377" s="441"/>
      <c r="AG1377" s="441"/>
      <c r="AH1377" s="441"/>
      <c r="AI1377" s="441"/>
      <c r="AJ1377" s="441"/>
      <c r="AK1377" s="441"/>
      <c r="AL1377" s="441"/>
      <c r="AM1377" s="441"/>
      <c r="AN1377" s="441"/>
      <c r="AO1377" s="441"/>
    </row>
    <row r="1378" spans="1:41" ht="12.75" hidden="1" thickBot="1">
      <c r="A1378" s="1" t="s">
        <v>1282</v>
      </c>
      <c r="B1378" s="2" t="s">
        <v>310</v>
      </c>
      <c r="C1378" s="2" t="s">
        <v>1079</v>
      </c>
      <c r="D1378" s="453" t="s">
        <v>459</v>
      </c>
      <c r="E1378" s="459"/>
      <c r="F1378" s="6"/>
      <c r="G1378" s="451"/>
      <c r="H1378" s="6"/>
      <c r="I1378" s="6"/>
      <c r="J1378" s="6"/>
      <c r="K1378" s="6"/>
      <c r="L1378" s="6"/>
      <c r="M1378" s="451"/>
      <c r="N1378" s="451"/>
      <c r="O1378" s="6"/>
      <c r="P1378" s="6"/>
      <c r="Q1378" s="451"/>
      <c r="R1378" s="451"/>
      <c r="S1378" s="445">
        <f t="shared" si="120"/>
        <v>0</v>
      </c>
      <c r="T1378" s="445">
        <f t="shared" si="121"/>
        <v>0</v>
      </c>
      <c r="U1378" s="445">
        <f t="shared" si="122"/>
        <v>0</v>
      </c>
      <c r="W1378" s="450"/>
      <c r="X1378" s="450"/>
      <c r="Y1378" s="441"/>
      <c r="Z1378" s="441"/>
      <c r="AA1378" s="441"/>
      <c r="AB1378" s="441"/>
      <c r="AC1378" s="441"/>
      <c r="AD1378" s="441"/>
      <c r="AE1378" s="441"/>
      <c r="AF1378" s="441"/>
      <c r="AG1378" s="441"/>
      <c r="AH1378" s="441"/>
      <c r="AI1378" s="441"/>
      <c r="AJ1378" s="441"/>
      <c r="AK1378" s="441"/>
      <c r="AL1378" s="441"/>
      <c r="AM1378" s="441"/>
      <c r="AN1378" s="441"/>
      <c r="AO1378" s="441"/>
    </row>
    <row r="1379" spans="1:41" ht="12.75" hidden="1" thickBot="1">
      <c r="A1379" s="1" t="s">
        <v>1282</v>
      </c>
      <c r="B1379" s="2" t="s">
        <v>311</v>
      </c>
      <c r="C1379" s="2" t="s">
        <v>1080</v>
      </c>
      <c r="D1379" s="8" t="s">
        <v>567</v>
      </c>
      <c r="E1379" s="460"/>
      <c r="F1379" s="4"/>
      <c r="G1379" s="449"/>
      <c r="H1379" s="4"/>
      <c r="I1379" s="4"/>
      <c r="J1379" s="4"/>
      <c r="K1379" s="4"/>
      <c r="L1379" s="4"/>
      <c r="M1379" s="449"/>
      <c r="N1379" s="449"/>
      <c r="O1379" s="4"/>
      <c r="P1379" s="4"/>
      <c r="Q1379" s="449"/>
      <c r="R1379" s="449"/>
      <c r="S1379" s="445">
        <f t="shared" si="120"/>
        <v>0</v>
      </c>
      <c r="T1379" s="445">
        <f t="shared" si="121"/>
        <v>0</v>
      </c>
      <c r="U1379" s="445">
        <f t="shared" si="122"/>
        <v>0</v>
      </c>
      <c r="W1379" s="450"/>
      <c r="X1379" s="450"/>
      <c r="Y1379" s="441"/>
      <c r="Z1379" s="441"/>
      <c r="AA1379" s="441"/>
      <c r="AB1379" s="441"/>
      <c r="AC1379" s="441"/>
      <c r="AD1379" s="441"/>
      <c r="AE1379" s="441"/>
      <c r="AF1379" s="441"/>
      <c r="AG1379" s="441"/>
      <c r="AH1379" s="441"/>
      <c r="AI1379" s="441"/>
      <c r="AJ1379" s="441"/>
      <c r="AK1379" s="441"/>
      <c r="AL1379" s="441"/>
      <c r="AM1379" s="441"/>
      <c r="AN1379" s="441"/>
      <c r="AO1379" s="441"/>
    </row>
    <row r="1380" spans="1:41" ht="12.75" hidden="1" thickBot="1">
      <c r="A1380" s="1" t="s">
        <v>1282</v>
      </c>
      <c r="B1380" s="2" t="s">
        <v>339</v>
      </c>
      <c r="C1380" s="2" t="s">
        <v>1081</v>
      </c>
      <c r="D1380" s="453" t="s">
        <v>459</v>
      </c>
      <c r="E1380" s="459"/>
      <c r="F1380" s="6"/>
      <c r="G1380" s="451"/>
      <c r="H1380" s="6"/>
      <c r="I1380" s="6"/>
      <c r="J1380" s="6"/>
      <c r="K1380" s="6"/>
      <c r="L1380" s="6"/>
      <c r="M1380" s="451"/>
      <c r="N1380" s="451"/>
      <c r="O1380" s="6"/>
      <c r="P1380" s="6"/>
      <c r="Q1380" s="451"/>
      <c r="R1380" s="451"/>
      <c r="S1380" s="445">
        <f t="shared" si="120"/>
        <v>0</v>
      </c>
      <c r="T1380" s="445">
        <f t="shared" si="121"/>
        <v>0</v>
      </c>
      <c r="U1380" s="445">
        <f t="shared" si="122"/>
        <v>0</v>
      </c>
      <c r="W1380" s="450"/>
      <c r="X1380" s="450"/>
      <c r="Y1380" s="441"/>
      <c r="Z1380" s="441"/>
      <c r="AA1380" s="441"/>
      <c r="AB1380" s="441"/>
      <c r="AC1380" s="441"/>
      <c r="AD1380" s="441"/>
      <c r="AE1380" s="441"/>
      <c r="AF1380" s="441"/>
      <c r="AG1380" s="441"/>
      <c r="AH1380" s="441"/>
      <c r="AI1380" s="441"/>
      <c r="AJ1380" s="441"/>
      <c r="AK1380" s="441"/>
      <c r="AL1380" s="441"/>
      <c r="AM1380" s="441"/>
      <c r="AN1380" s="441"/>
      <c r="AO1380" s="441"/>
    </row>
    <row r="1381" spans="1:41" ht="12.75" hidden="1" thickBot="1">
      <c r="A1381" s="1" t="s">
        <v>1282</v>
      </c>
      <c r="B1381" s="2" t="s">
        <v>312</v>
      </c>
      <c r="C1381" s="2" t="s">
        <v>1082</v>
      </c>
      <c r="D1381" s="8" t="s">
        <v>567</v>
      </c>
      <c r="E1381" s="460"/>
      <c r="F1381" s="4"/>
      <c r="G1381" s="449"/>
      <c r="H1381" s="4"/>
      <c r="I1381" s="4"/>
      <c r="J1381" s="4"/>
      <c r="K1381" s="4"/>
      <c r="L1381" s="4"/>
      <c r="M1381" s="449"/>
      <c r="N1381" s="449"/>
      <c r="O1381" s="4"/>
      <c r="P1381" s="4"/>
      <c r="Q1381" s="449"/>
      <c r="R1381" s="449"/>
      <c r="S1381" s="445">
        <f t="shared" si="120"/>
        <v>0</v>
      </c>
      <c r="T1381" s="445">
        <f t="shared" si="121"/>
        <v>0</v>
      </c>
      <c r="U1381" s="445">
        <f t="shared" si="122"/>
        <v>0</v>
      </c>
      <c r="W1381" s="450"/>
      <c r="X1381" s="450"/>
      <c r="Y1381" s="441"/>
      <c r="Z1381" s="441"/>
      <c r="AA1381" s="441"/>
      <c r="AB1381" s="441"/>
      <c r="AC1381" s="441"/>
      <c r="AD1381" s="441"/>
      <c r="AE1381" s="441"/>
      <c r="AF1381" s="441"/>
      <c r="AG1381" s="441"/>
      <c r="AH1381" s="441"/>
      <c r="AI1381" s="441"/>
      <c r="AJ1381" s="441"/>
      <c r="AK1381" s="441"/>
      <c r="AL1381" s="441"/>
      <c r="AM1381" s="441"/>
      <c r="AN1381" s="441"/>
      <c r="AO1381" s="441"/>
    </row>
    <row r="1382" spans="1:41" ht="12.75" hidden="1" thickBot="1">
      <c r="A1382" s="1" t="s">
        <v>1282</v>
      </c>
      <c r="B1382" s="2" t="s">
        <v>688</v>
      </c>
      <c r="C1382" s="2" t="s">
        <v>1083</v>
      </c>
      <c r="D1382" s="8" t="s">
        <v>567</v>
      </c>
      <c r="E1382" s="459"/>
      <c r="F1382" s="6"/>
      <c r="G1382" s="451"/>
      <c r="H1382" s="6"/>
      <c r="I1382" s="6"/>
      <c r="J1382" s="6"/>
      <c r="K1382" s="6"/>
      <c r="L1382" s="6"/>
      <c r="M1382" s="451"/>
      <c r="N1382" s="451"/>
      <c r="O1382" s="6"/>
      <c r="P1382" s="6"/>
      <c r="Q1382" s="6"/>
      <c r="R1382" s="451"/>
      <c r="S1382" s="445">
        <f t="shared" si="120"/>
        <v>0</v>
      </c>
      <c r="T1382" s="445">
        <f t="shared" si="121"/>
        <v>0</v>
      </c>
      <c r="U1382" s="445">
        <f t="shared" si="122"/>
        <v>0</v>
      </c>
      <c r="W1382" s="450"/>
      <c r="X1382" s="450"/>
      <c r="Y1382" s="441"/>
      <c r="Z1382" s="441"/>
      <c r="AA1382" s="441"/>
      <c r="AB1382" s="441"/>
      <c r="AC1382" s="441"/>
      <c r="AD1382" s="441"/>
      <c r="AE1382" s="441"/>
      <c r="AF1382" s="441"/>
      <c r="AG1382" s="441"/>
      <c r="AH1382" s="441"/>
      <c r="AI1382" s="441"/>
      <c r="AJ1382" s="441"/>
      <c r="AK1382" s="441"/>
      <c r="AL1382" s="441"/>
      <c r="AM1382" s="441"/>
      <c r="AN1382" s="441"/>
      <c r="AO1382" s="441"/>
    </row>
    <row r="1383" spans="1:41" ht="12.75" hidden="1" thickBot="1">
      <c r="A1383" s="1" t="s">
        <v>1282</v>
      </c>
      <c r="B1383" s="2" t="s">
        <v>341</v>
      </c>
      <c r="C1383" s="2" t="s">
        <v>1084</v>
      </c>
      <c r="D1383" s="8" t="s">
        <v>567</v>
      </c>
      <c r="E1383" s="460"/>
      <c r="F1383" s="4"/>
      <c r="G1383" s="449"/>
      <c r="H1383" s="4"/>
      <c r="I1383" s="4"/>
      <c r="J1383" s="4"/>
      <c r="K1383" s="4"/>
      <c r="L1383" s="4"/>
      <c r="M1383" s="449"/>
      <c r="N1383" s="449"/>
      <c r="O1383" s="4"/>
      <c r="P1383" s="4"/>
      <c r="Q1383" s="4"/>
      <c r="R1383" s="449"/>
      <c r="S1383" s="445">
        <f t="shared" si="120"/>
        <v>0</v>
      </c>
      <c r="T1383" s="445">
        <f t="shared" si="121"/>
        <v>0</v>
      </c>
      <c r="U1383" s="445">
        <f t="shared" si="122"/>
        <v>0</v>
      </c>
      <c r="W1383" s="450"/>
      <c r="X1383" s="450"/>
      <c r="Y1383" s="441"/>
      <c r="Z1383" s="441"/>
      <c r="AA1383" s="441"/>
      <c r="AB1383" s="441"/>
      <c r="AC1383" s="441"/>
      <c r="AD1383" s="441"/>
      <c r="AE1383" s="441"/>
      <c r="AF1383" s="441"/>
      <c r="AG1383" s="441"/>
      <c r="AH1383" s="441"/>
      <c r="AI1383" s="441"/>
      <c r="AJ1383" s="441"/>
      <c r="AK1383" s="441"/>
      <c r="AL1383" s="441"/>
      <c r="AM1383" s="441"/>
      <c r="AN1383" s="441"/>
      <c r="AO1383" s="441"/>
    </row>
    <row r="1384" spans="1:41" ht="12.75" hidden="1" thickBot="1">
      <c r="A1384" s="1" t="s">
        <v>1282</v>
      </c>
      <c r="B1384" s="2" t="s">
        <v>317</v>
      </c>
      <c r="C1384" s="2" t="s">
        <v>1085</v>
      </c>
      <c r="D1384" s="8" t="s">
        <v>567</v>
      </c>
      <c r="E1384" s="459"/>
      <c r="F1384" s="6"/>
      <c r="G1384" s="451"/>
      <c r="H1384" s="6"/>
      <c r="I1384" s="6"/>
      <c r="J1384" s="6"/>
      <c r="K1384" s="6"/>
      <c r="L1384" s="6"/>
      <c r="M1384" s="451"/>
      <c r="N1384" s="451"/>
      <c r="O1384" s="6"/>
      <c r="P1384" s="6"/>
      <c r="Q1384" s="451"/>
      <c r="R1384" s="451"/>
      <c r="S1384" s="445">
        <f t="shared" si="120"/>
        <v>0</v>
      </c>
      <c r="T1384" s="445">
        <f t="shared" si="121"/>
        <v>0</v>
      </c>
      <c r="U1384" s="445">
        <f t="shared" si="122"/>
        <v>0</v>
      </c>
      <c r="W1384" s="450"/>
      <c r="X1384" s="450"/>
      <c r="Y1384" s="441"/>
      <c r="Z1384" s="441"/>
      <c r="AA1384" s="441"/>
      <c r="AB1384" s="441"/>
      <c r="AC1384" s="441"/>
      <c r="AD1384" s="441"/>
      <c r="AE1384" s="441"/>
      <c r="AF1384" s="441"/>
      <c r="AG1384" s="441"/>
      <c r="AH1384" s="441"/>
      <c r="AI1384" s="441"/>
      <c r="AJ1384" s="441"/>
      <c r="AK1384" s="441"/>
      <c r="AL1384" s="441"/>
      <c r="AM1384" s="441"/>
      <c r="AN1384" s="441"/>
      <c r="AO1384" s="441"/>
    </row>
    <row r="1385" spans="1:41" ht="12.75" hidden="1" thickBot="1">
      <c r="A1385" s="1" t="s">
        <v>1282</v>
      </c>
      <c r="B1385" s="2" t="s">
        <v>1235</v>
      </c>
      <c r="C1385" s="2" t="s">
        <v>1236</v>
      </c>
      <c r="D1385" s="8" t="s">
        <v>567</v>
      </c>
      <c r="E1385" s="460"/>
      <c r="F1385" s="4"/>
      <c r="G1385" s="449"/>
      <c r="H1385" s="4"/>
      <c r="I1385" s="4"/>
      <c r="J1385" s="4"/>
      <c r="K1385" s="4"/>
      <c r="L1385" s="4"/>
      <c r="M1385" s="449"/>
      <c r="N1385" s="449"/>
      <c r="O1385" s="4"/>
      <c r="P1385" s="4"/>
      <c r="Q1385" s="449"/>
      <c r="R1385" s="449"/>
      <c r="S1385" s="445">
        <f t="shared" si="120"/>
        <v>0</v>
      </c>
      <c r="T1385" s="445">
        <f t="shared" si="121"/>
        <v>0</v>
      </c>
      <c r="U1385" s="445">
        <f t="shared" si="122"/>
        <v>0</v>
      </c>
      <c r="W1385" s="450"/>
      <c r="X1385" s="450"/>
      <c r="Y1385" s="441"/>
      <c r="Z1385" s="441"/>
      <c r="AA1385" s="441"/>
      <c r="AB1385" s="441"/>
      <c r="AC1385" s="441"/>
      <c r="AD1385" s="441"/>
      <c r="AE1385" s="441"/>
      <c r="AF1385" s="441"/>
      <c r="AG1385" s="441"/>
      <c r="AH1385" s="441"/>
      <c r="AI1385" s="441"/>
      <c r="AJ1385" s="441"/>
      <c r="AK1385" s="441"/>
      <c r="AL1385" s="441"/>
      <c r="AM1385" s="441"/>
      <c r="AN1385" s="441"/>
      <c r="AO1385" s="441"/>
    </row>
    <row r="1386" spans="1:41" ht="12.75" hidden="1" thickBot="1">
      <c r="A1386" s="1" t="s">
        <v>1282</v>
      </c>
      <c r="B1386" s="2" t="s">
        <v>318</v>
      </c>
      <c r="C1386" s="2" t="s">
        <v>1086</v>
      </c>
      <c r="D1386" s="8" t="s">
        <v>567</v>
      </c>
      <c r="E1386" s="459"/>
      <c r="F1386" s="6"/>
      <c r="G1386" s="6"/>
      <c r="H1386" s="6"/>
      <c r="I1386" s="6"/>
      <c r="J1386" s="6"/>
      <c r="K1386" s="6"/>
      <c r="L1386" s="6"/>
      <c r="M1386" s="6"/>
      <c r="N1386" s="6"/>
      <c r="O1386" s="6"/>
      <c r="P1386" s="6"/>
      <c r="Q1386" s="6"/>
      <c r="R1386" s="6"/>
      <c r="S1386" s="445">
        <f t="shared" si="120"/>
        <v>0</v>
      </c>
      <c r="T1386" s="445">
        <f t="shared" si="121"/>
        <v>0</v>
      </c>
      <c r="U1386" s="445">
        <f t="shared" si="122"/>
        <v>0</v>
      </c>
      <c r="W1386" s="450"/>
      <c r="X1386" s="450"/>
      <c r="Y1386" s="441"/>
      <c r="Z1386" s="441"/>
      <c r="AA1386" s="441"/>
      <c r="AB1386" s="441"/>
      <c r="AC1386" s="441"/>
      <c r="AD1386" s="441"/>
      <c r="AE1386" s="441"/>
      <c r="AF1386" s="441"/>
      <c r="AG1386" s="441"/>
      <c r="AH1386" s="441"/>
      <c r="AI1386" s="441"/>
      <c r="AJ1386" s="441"/>
      <c r="AK1386" s="441"/>
      <c r="AL1386" s="441"/>
      <c r="AM1386" s="441"/>
      <c r="AN1386" s="441"/>
      <c r="AO1386" s="441"/>
    </row>
    <row r="1387" spans="1:41" ht="12.75" hidden="1" thickBot="1">
      <c r="A1387" s="1" t="s">
        <v>1282</v>
      </c>
      <c r="B1387" s="2" t="s">
        <v>1237</v>
      </c>
      <c r="C1387" s="2" t="s">
        <v>1238</v>
      </c>
      <c r="D1387" s="8" t="s">
        <v>567</v>
      </c>
      <c r="E1387" s="460"/>
      <c r="F1387" s="4"/>
      <c r="G1387" s="449"/>
      <c r="H1387" s="4"/>
      <c r="I1387" s="4"/>
      <c r="J1387" s="4"/>
      <c r="K1387" s="4"/>
      <c r="L1387" s="4"/>
      <c r="M1387" s="449"/>
      <c r="N1387" s="449"/>
      <c r="O1387" s="4"/>
      <c r="P1387" s="4"/>
      <c r="Q1387" s="449"/>
      <c r="R1387" s="449"/>
      <c r="S1387" s="445">
        <f t="shared" si="120"/>
        <v>0</v>
      </c>
      <c r="T1387" s="445">
        <f t="shared" si="121"/>
        <v>0</v>
      </c>
      <c r="U1387" s="445">
        <f t="shared" si="122"/>
        <v>0</v>
      </c>
      <c r="W1387" s="450"/>
      <c r="X1387" s="450"/>
      <c r="Y1387" s="441"/>
      <c r="Z1387" s="441"/>
      <c r="AA1387" s="441"/>
      <c r="AB1387" s="441"/>
      <c r="AC1387" s="441"/>
      <c r="AD1387" s="441"/>
      <c r="AE1387" s="441"/>
      <c r="AF1387" s="441"/>
      <c r="AG1387" s="441"/>
      <c r="AH1387" s="441"/>
      <c r="AI1387" s="441"/>
      <c r="AJ1387" s="441"/>
      <c r="AK1387" s="441"/>
      <c r="AL1387" s="441"/>
      <c r="AM1387" s="441"/>
      <c r="AN1387" s="441"/>
      <c r="AO1387" s="441"/>
    </row>
    <row r="1388" spans="1:41" ht="12.75" hidden="1" thickBot="1">
      <c r="A1388" s="1" t="s">
        <v>1282</v>
      </c>
      <c r="B1388" s="2" t="s">
        <v>319</v>
      </c>
      <c r="C1388" s="2" t="s">
        <v>1087</v>
      </c>
      <c r="D1388" s="8" t="s">
        <v>567</v>
      </c>
      <c r="E1388" s="459"/>
      <c r="F1388" s="6"/>
      <c r="G1388" s="6"/>
      <c r="H1388" s="6"/>
      <c r="I1388" s="6"/>
      <c r="J1388" s="6"/>
      <c r="K1388" s="6"/>
      <c r="L1388" s="6"/>
      <c r="M1388" s="6"/>
      <c r="N1388" s="6"/>
      <c r="O1388" s="6"/>
      <c r="P1388" s="6"/>
      <c r="Q1388" s="6"/>
      <c r="R1388" s="6"/>
      <c r="S1388" s="445">
        <f t="shared" si="120"/>
        <v>0</v>
      </c>
      <c r="T1388" s="445">
        <f t="shared" si="121"/>
        <v>0</v>
      </c>
      <c r="U1388" s="445">
        <f t="shared" si="122"/>
        <v>0</v>
      </c>
      <c r="W1388" s="450"/>
      <c r="X1388" s="450"/>
      <c r="Y1388" s="441"/>
      <c r="Z1388" s="441"/>
      <c r="AA1388" s="441"/>
      <c r="AB1388" s="441"/>
      <c r="AC1388" s="441"/>
      <c r="AD1388" s="441"/>
      <c r="AE1388" s="441"/>
      <c r="AF1388" s="441"/>
      <c r="AG1388" s="441"/>
      <c r="AH1388" s="441"/>
      <c r="AI1388" s="441"/>
      <c r="AJ1388" s="441"/>
      <c r="AK1388" s="441"/>
      <c r="AL1388" s="441"/>
      <c r="AM1388" s="441"/>
      <c r="AN1388" s="441"/>
      <c r="AO1388" s="441"/>
    </row>
    <row r="1389" spans="1:41" ht="12.75" hidden="1" thickBot="1">
      <c r="A1389" s="1" t="s">
        <v>1282</v>
      </c>
      <c r="B1389" s="2" t="s">
        <v>1225</v>
      </c>
      <c r="C1389" s="2" t="s">
        <v>1226</v>
      </c>
      <c r="D1389" s="8" t="s">
        <v>567</v>
      </c>
      <c r="E1389" s="460"/>
      <c r="F1389" s="4"/>
      <c r="G1389" s="449"/>
      <c r="H1389" s="4"/>
      <c r="I1389" s="4"/>
      <c r="J1389" s="4"/>
      <c r="K1389" s="4"/>
      <c r="L1389" s="4"/>
      <c r="M1389" s="449"/>
      <c r="N1389" s="449"/>
      <c r="O1389" s="4"/>
      <c r="P1389" s="4"/>
      <c r="Q1389" s="449"/>
      <c r="R1389" s="449"/>
      <c r="S1389" s="445">
        <f t="shared" si="120"/>
        <v>0</v>
      </c>
      <c r="T1389" s="445">
        <f t="shared" si="121"/>
        <v>0</v>
      </c>
      <c r="U1389" s="445">
        <f t="shared" si="122"/>
        <v>0</v>
      </c>
      <c r="W1389" s="450"/>
      <c r="X1389" s="450"/>
      <c r="Y1389" s="441"/>
      <c r="Z1389" s="441"/>
      <c r="AA1389" s="441"/>
      <c r="AB1389" s="441"/>
      <c r="AC1389" s="441"/>
      <c r="AD1389" s="441"/>
      <c r="AE1389" s="441"/>
      <c r="AF1389" s="441"/>
      <c r="AG1389" s="441"/>
      <c r="AH1389" s="441"/>
      <c r="AI1389" s="441"/>
      <c r="AJ1389" s="441"/>
      <c r="AK1389" s="441"/>
      <c r="AL1389" s="441"/>
      <c r="AM1389" s="441"/>
      <c r="AN1389" s="441"/>
      <c r="AO1389" s="441"/>
    </row>
    <row r="1390" spans="1:41" ht="12.75" hidden="1" thickBot="1">
      <c r="A1390" s="1" t="s">
        <v>1282</v>
      </c>
      <c r="B1390" s="2" t="s">
        <v>320</v>
      </c>
      <c r="C1390" s="2" t="s">
        <v>1088</v>
      </c>
      <c r="D1390" s="8" t="s">
        <v>567</v>
      </c>
      <c r="E1390" s="459"/>
      <c r="F1390" s="6"/>
      <c r="G1390" s="451"/>
      <c r="H1390" s="6"/>
      <c r="I1390" s="6"/>
      <c r="J1390" s="6"/>
      <c r="K1390" s="6"/>
      <c r="L1390" s="6"/>
      <c r="M1390" s="451"/>
      <c r="N1390" s="451"/>
      <c r="O1390" s="6"/>
      <c r="P1390" s="6"/>
      <c r="Q1390" s="451"/>
      <c r="R1390" s="451"/>
      <c r="S1390" s="445">
        <f t="shared" si="120"/>
        <v>0</v>
      </c>
      <c r="T1390" s="445">
        <f t="shared" si="121"/>
        <v>0</v>
      </c>
      <c r="U1390" s="445">
        <f t="shared" si="122"/>
        <v>0</v>
      </c>
      <c r="W1390" s="450"/>
      <c r="X1390" s="450"/>
      <c r="Y1390" s="441"/>
      <c r="Z1390" s="441"/>
      <c r="AA1390" s="441"/>
      <c r="AB1390" s="441"/>
      <c r="AC1390" s="441"/>
      <c r="AD1390" s="441"/>
      <c r="AE1390" s="441"/>
      <c r="AF1390" s="441"/>
      <c r="AG1390" s="441"/>
      <c r="AH1390" s="441"/>
      <c r="AI1390" s="441"/>
      <c r="AJ1390" s="441"/>
      <c r="AK1390" s="441"/>
      <c r="AL1390" s="441"/>
      <c r="AM1390" s="441"/>
      <c r="AN1390" s="441"/>
      <c r="AO1390" s="441"/>
    </row>
    <row r="1391" spans="1:41" ht="12.75" hidden="1" thickBot="1">
      <c r="A1391" s="1" t="s">
        <v>1282</v>
      </c>
      <c r="B1391" s="2" t="s">
        <v>321</v>
      </c>
      <c r="C1391" s="2" t="s">
        <v>1089</v>
      </c>
      <c r="D1391" s="8" t="s">
        <v>567</v>
      </c>
      <c r="E1391" s="460"/>
      <c r="F1391" s="4"/>
      <c r="G1391" s="4"/>
      <c r="H1391" s="4"/>
      <c r="I1391" s="4"/>
      <c r="J1391" s="4"/>
      <c r="K1391" s="4"/>
      <c r="L1391" s="4"/>
      <c r="M1391" s="4"/>
      <c r="N1391" s="4"/>
      <c r="O1391" s="4"/>
      <c r="P1391" s="4"/>
      <c r="Q1391" s="4"/>
      <c r="R1391" s="4"/>
      <c r="S1391" s="445">
        <f t="shared" si="120"/>
        <v>0</v>
      </c>
      <c r="T1391" s="445">
        <f t="shared" si="121"/>
        <v>0</v>
      </c>
      <c r="U1391" s="445">
        <f t="shared" si="122"/>
        <v>0</v>
      </c>
      <c r="W1391" s="450"/>
      <c r="X1391" s="450"/>
      <c r="Y1391" s="441"/>
      <c r="Z1391" s="441"/>
      <c r="AA1391" s="441"/>
      <c r="AB1391" s="441"/>
      <c r="AC1391" s="441"/>
      <c r="AD1391" s="441"/>
      <c r="AE1391" s="441"/>
      <c r="AF1391" s="441"/>
      <c r="AG1391" s="441"/>
      <c r="AH1391" s="441"/>
      <c r="AI1391" s="441"/>
      <c r="AJ1391" s="441"/>
      <c r="AK1391" s="441"/>
      <c r="AL1391" s="441"/>
      <c r="AM1391" s="441"/>
      <c r="AN1391" s="441"/>
      <c r="AO1391" s="441"/>
    </row>
    <row r="1392" spans="1:41" ht="12.75" hidden="1" thickBot="1">
      <c r="A1392" s="1" t="s">
        <v>1282</v>
      </c>
      <c r="B1392" s="2" t="s">
        <v>1227</v>
      </c>
      <c r="C1392" s="2" t="s">
        <v>1228</v>
      </c>
      <c r="D1392" s="8" t="s">
        <v>567</v>
      </c>
      <c r="E1392" s="459"/>
      <c r="F1392" s="6"/>
      <c r="G1392" s="451"/>
      <c r="H1392" s="6"/>
      <c r="I1392" s="6"/>
      <c r="J1392" s="6"/>
      <c r="K1392" s="6"/>
      <c r="L1392" s="6"/>
      <c r="M1392" s="451"/>
      <c r="N1392" s="451"/>
      <c r="O1392" s="6"/>
      <c r="P1392" s="6"/>
      <c r="Q1392" s="451"/>
      <c r="R1392" s="451"/>
      <c r="S1392" s="445">
        <f t="shared" si="120"/>
        <v>0</v>
      </c>
      <c r="T1392" s="445">
        <f t="shared" si="121"/>
        <v>0</v>
      </c>
      <c r="U1392" s="445">
        <f t="shared" si="122"/>
        <v>0</v>
      </c>
      <c r="W1392" s="450"/>
      <c r="X1392" s="450"/>
      <c r="Y1392" s="441"/>
      <c r="Z1392" s="441"/>
      <c r="AA1392" s="441"/>
      <c r="AB1392" s="441"/>
      <c r="AC1392" s="441"/>
      <c r="AD1392" s="441"/>
      <c r="AE1392" s="441"/>
      <c r="AF1392" s="441"/>
      <c r="AG1392" s="441"/>
      <c r="AH1392" s="441"/>
      <c r="AI1392" s="441"/>
      <c r="AJ1392" s="441"/>
      <c r="AK1392" s="441"/>
      <c r="AL1392" s="441"/>
      <c r="AM1392" s="441"/>
      <c r="AN1392" s="441"/>
      <c r="AO1392" s="441"/>
    </row>
    <row r="1393" spans="1:41" ht="12.75" hidden="1" thickBot="1">
      <c r="A1393" s="1" t="s">
        <v>1282</v>
      </c>
      <c r="B1393" s="2" t="s">
        <v>322</v>
      </c>
      <c r="C1393" s="2" t="s">
        <v>1090</v>
      </c>
      <c r="D1393" s="8" t="s">
        <v>567</v>
      </c>
      <c r="E1393" s="460"/>
      <c r="F1393" s="4"/>
      <c r="G1393" s="449"/>
      <c r="H1393" s="4"/>
      <c r="I1393" s="4"/>
      <c r="J1393" s="4"/>
      <c r="K1393" s="4"/>
      <c r="L1393" s="4"/>
      <c r="M1393" s="449"/>
      <c r="N1393" s="449"/>
      <c r="O1393" s="4"/>
      <c r="P1393" s="4"/>
      <c r="Q1393" s="449"/>
      <c r="R1393" s="449"/>
      <c r="S1393" s="445">
        <f t="shared" si="120"/>
        <v>0</v>
      </c>
      <c r="T1393" s="445">
        <f t="shared" si="121"/>
        <v>0</v>
      </c>
      <c r="U1393" s="445">
        <f t="shared" si="122"/>
        <v>0</v>
      </c>
      <c r="W1393" s="450"/>
      <c r="X1393" s="450"/>
      <c r="Y1393" s="441"/>
      <c r="Z1393" s="441"/>
      <c r="AA1393" s="441"/>
      <c r="AB1393" s="441"/>
      <c r="AC1393" s="441"/>
      <c r="AD1393" s="441"/>
      <c r="AE1393" s="441"/>
      <c r="AF1393" s="441"/>
      <c r="AG1393" s="441"/>
      <c r="AH1393" s="441"/>
      <c r="AI1393" s="441"/>
      <c r="AJ1393" s="441"/>
      <c r="AK1393" s="441"/>
      <c r="AL1393" s="441"/>
      <c r="AM1393" s="441"/>
      <c r="AN1393" s="441"/>
      <c r="AO1393" s="441"/>
    </row>
    <row r="1394" spans="1:41" ht="12.75" hidden="1" thickBot="1">
      <c r="A1394" s="1" t="s">
        <v>1282</v>
      </c>
      <c r="B1394" s="2" t="s">
        <v>323</v>
      </c>
      <c r="C1394" s="2" t="s">
        <v>1091</v>
      </c>
      <c r="D1394" s="453" t="s">
        <v>459</v>
      </c>
      <c r="E1394" s="459"/>
      <c r="F1394" s="6"/>
      <c r="G1394" s="451"/>
      <c r="H1394" s="6"/>
      <c r="I1394" s="6"/>
      <c r="J1394" s="6"/>
      <c r="K1394" s="6"/>
      <c r="L1394" s="6"/>
      <c r="M1394" s="451"/>
      <c r="N1394" s="451"/>
      <c r="O1394" s="6"/>
      <c r="P1394" s="6"/>
      <c r="Q1394" s="451"/>
      <c r="R1394" s="451"/>
      <c r="S1394" s="445">
        <f t="shared" si="120"/>
        <v>0</v>
      </c>
      <c r="T1394" s="445">
        <f t="shared" si="121"/>
        <v>0</v>
      </c>
      <c r="U1394" s="445">
        <f t="shared" si="122"/>
        <v>0</v>
      </c>
      <c r="W1394" s="450"/>
      <c r="X1394" s="450"/>
      <c r="Y1394" s="441"/>
      <c r="Z1394" s="441"/>
      <c r="AA1394" s="441"/>
      <c r="AB1394" s="441"/>
      <c r="AC1394" s="441"/>
      <c r="AD1394" s="441"/>
      <c r="AE1394" s="441"/>
      <c r="AF1394" s="441"/>
      <c r="AG1394" s="441"/>
      <c r="AH1394" s="441"/>
      <c r="AI1394" s="441"/>
      <c r="AJ1394" s="441"/>
      <c r="AK1394" s="441"/>
      <c r="AL1394" s="441"/>
      <c r="AM1394" s="441"/>
      <c r="AN1394" s="441"/>
      <c r="AO1394" s="441"/>
    </row>
    <row r="1395" spans="1:41" ht="12.75" hidden="1" thickBot="1">
      <c r="A1395" s="1" t="s">
        <v>1282</v>
      </c>
      <c r="B1395" s="2" t="s">
        <v>328</v>
      </c>
      <c r="C1395" s="2" t="s">
        <v>1092</v>
      </c>
      <c r="D1395" s="8" t="s">
        <v>567</v>
      </c>
      <c r="E1395" s="460"/>
      <c r="F1395" s="4"/>
      <c r="G1395" s="449"/>
      <c r="H1395" s="4"/>
      <c r="I1395" s="4"/>
      <c r="J1395" s="4"/>
      <c r="K1395" s="4"/>
      <c r="L1395" s="4"/>
      <c r="M1395" s="449"/>
      <c r="N1395" s="449"/>
      <c r="O1395" s="4"/>
      <c r="P1395" s="4"/>
      <c r="Q1395" s="449"/>
      <c r="R1395" s="449"/>
      <c r="S1395" s="445">
        <f t="shared" si="120"/>
        <v>0</v>
      </c>
      <c r="T1395" s="445">
        <f t="shared" si="121"/>
        <v>0</v>
      </c>
      <c r="U1395" s="445">
        <f t="shared" si="122"/>
        <v>0</v>
      </c>
      <c r="W1395" s="450"/>
      <c r="X1395" s="450"/>
      <c r="Y1395" s="441"/>
      <c r="Z1395" s="441"/>
      <c r="AA1395" s="441"/>
      <c r="AB1395" s="441"/>
      <c r="AC1395" s="441"/>
      <c r="AD1395" s="441"/>
      <c r="AE1395" s="441"/>
      <c r="AF1395" s="441"/>
      <c r="AG1395" s="441"/>
      <c r="AH1395" s="441"/>
      <c r="AI1395" s="441"/>
      <c r="AJ1395" s="441"/>
      <c r="AK1395" s="441"/>
      <c r="AL1395" s="441"/>
      <c r="AM1395" s="441"/>
      <c r="AN1395" s="441"/>
      <c r="AO1395" s="441"/>
    </row>
    <row r="1396" spans="1:41" ht="12.75" hidden="1" thickBot="1">
      <c r="A1396" s="1" t="s">
        <v>1282</v>
      </c>
      <c r="B1396" s="2" t="s">
        <v>329</v>
      </c>
      <c r="C1396" s="2" t="s">
        <v>1093</v>
      </c>
      <c r="D1396" s="453" t="s">
        <v>459</v>
      </c>
      <c r="E1396" s="459"/>
      <c r="F1396" s="6"/>
      <c r="G1396" s="451"/>
      <c r="H1396" s="6"/>
      <c r="I1396" s="6"/>
      <c r="J1396" s="6"/>
      <c r="K1396" s="6"/>
      <c r="L1396" s="6"/>
      <c r="M1396" s="451"/>
      <c r="N1396" s="451"/>
      <c r="O1396" s="6"/>
      <c r="P1396" s="6"/>
      <c r="Q1396" s="451"/>
      <c r="R1396" s="451"/>
      <c r="S1396" s="445">
        <f t="shared" si="120"/>
        <v>0</v>
      </c>
      <c r="T1396" s="445">
        <f t="shared" si="121"/>
        <v>0</v>
      </c>
      <c r="U1396" s="445">
        <f t="shared" si="122"/>
        <v>0</v>
      </c>
      <c r="W1396" s="450"/>
      <c r="X1396" s="450"/>
      <c r="Y1396" s="441"/>
      <c r="Z1396" s="441"/>
      <c r="AA1396" s="441"/>
      <c r="AB1396" s="441"/>
      <c r="AC1396" s="441"/>
      <c r="AD1396" s="441"/>
      <c r="AE1396" s="441"/>
      <c r="AF1396" s="441"/>
      <c r="AG1396" s="441"/>
      <c r="AH1396" s="441"/>
      <c r="AI1396" s="441"/>
      <c r="AJ1396" s="441"/>
      <c r="AK1396" s="441"/>
      <c r="AL1396" s="441"/>
      <c r="AM1396" s="441"/>
      <c r="AN1396" s="441"/>
      <c r="AO1396" s="441"/>
    </row>
    <row r="1397" spans="1:41" ht="12.75" hidden="1" thickBot="1">
      <c r="A1397" s="1" t="s">
        <v>1282</v>
      </c>
      <c r="B1397" s="2" t="s">
        <v>330</v>
      </c>
      <c r="C1397" s="2" t="s">
        <v>1094</v>
      </c>
      <c r="D1397" s="8" t="s">
        <v>567</v>
      </c>
      <c r="E1397" s="460"/>
      <c r="F1397" s="4"/>
      <c r="G1397" s="449"/>
      <c r="H1397" s="4"/>
      <c r="I1397" s="4"/>
      <c r="J1397" s="4"/>
      <c r="K1397" s="4"/>
      <c r="L1397" s="4"/>
      <c r="M1397" s="449"/>
      <c r="N1397" s="449"/>
      <c r="O1397" s="4"/>
      <c r="P1397" s="4"/>
      <c r="Q1397" s="449"/>
      <c r="R1397" s="449"/>
      <c r="S1397" s="445">
        <f t="shared" si="120"/>
        <v>0</v>
      </c>
      <c r="T1397" s="445">
        <f t="shared" si="121"/>
        <v>0</v>
      </c>
      <c r="U1397" s="445">
        <f t="shared" si="122"/>
        <v>0</v>
      </c>
      <c r="W1397" s="450"/>
      <c r="X1397" s="450"/>
      <c r="Y1397" s="441"/>
      <c r="Z1397" s="441"/>
      <c r="AA1397" s="441"/>
      <c r="AB1397" s="441"/>
      <c r="AC1397" s="441"/>
      <c r="AD1397" s="441"/>
      <c r="AE1397" s="441"/>
      <c r="AF1397" s="441"/>
      <c r="AG1397" s="441"/>
      <c r="AH1397" s="441"/>
      <c r="AI1397" s="441"/>
      <c r="AJ1397" s="441"/>
      <c r="AK1397" s="441"/>
      <c r="AL1397" s="441"/>
      <c r="AM1397" s="441"/>
      <c r="AN1397" s="441"/>
      <c r="AO1397" s="441"/>
    </row>
    <row r="1398" spans="1:41" ht="12.75" hidden="1" thickBot="1">
      <c r="A1398" s="1" t="s">
        <v>1282</v>
      </c>
      <c r="B1398" s="2" t="s">
        <v>331</v>
      </c>
      <c r="C1398" s="2" t="s">
        <v>1095</v>
      </c>
      <c r="D1398" s="453" t="s">
        <v>459</v>
      </c>
      <c r="E1398" s="459"/>
      <c r="F1398" s="6"/>
      <c r="G1398" s="451"/>
      <c r="H1398" s="6"/>
      <c r="I1398" s="6"/>
      <c r="J1398" s="6"/>
      <c r="K1398" s="6"/>
      <c r="L1398" s="6"/>
      <c r="M1398" s="451"/>
      <c r="N1398" s="451"/>
      <c r="O1398" s="6"/>
      <c r="P1398" s="6"/>
      <c r="Q1398" s="451"/>
      <c r="R1398" s="451"/>
      <c r="S1398" s="445">
        <f t="shared" si="120"/>
        <v>0</v>
      </c>
      <c r="T1398" s="445">
        <f t="shared" si="121"/>
        <v>0</v>
      </c>
      <c r="U1398" s="445">
        <f t="shared" si="122"/>
        <v>0</v>
      </c>
      <c r="W1398" s="450"/>
      <c r="X1398" s="450"/>
      <c r="Y1398" s="441"/>
      <c r="Z1398" s="441"/>
      <c r="AA1398" s="441"/>
      <c r="AB1398" s="441"/>
      <c r="AC1398" s="441"/>
      <c r="AD1398" s="441"/>
      <c r="AE1398" s="441"/>
      <c r="AF1398" s="441"/>
      <c r="AG1398" s="441"/>
      <c r="AH1398" s="441"/>
      <c r="AI1398" s="441"/>
      <c r="AJ1398" s="441"/>
      <c r="AK1398" s="441"/>
      <c r="AL1398" s="441"/>
      <c r="AM1398" s="441"/>
      <c r="AN1398" s="441"/>
      <c r="AO1398" s="441"/>
    </row>
    <row r="1399" spans="1:41" ht="12.75" hidden="1" thickBot="1">
      <c r="A1399" s="1" t="s">
        <v>1282</v>
      </c>
      <c r="B1399" s="2" t="s">
        <v>332</v>
      </c>
      <c r="C1399" s="2" t="s">
        <v>1096</v>
      </c>
      <c r="D1399" s="453" t="s">
        <v>459</v>
      </c>
      <c r="E1399" s="460"/>
      <c r="F1399" s="4"/>
      <c r="G1399" s="449"/>
      <c r="H1399" s="4"/>
      <c r="I1399" s="4"/>
      <c r="J1399" s="4"/>
      <c r="K1399" s="4"/>
      <c r="L1399" s="4"/>
      <c r="M1399" s="449"/>
      <c r="N1399" s="449"/>
      <c r="O1399" s="4"/>
      <c r="P1399" s="4"/>
      <c r="Q1399" s="449"/>
      <c r="R1399" s="449"/>
      <c r="S1399" s="445">
        <f t="shared" si="120"/>
        <v>0</v>
      </c>
      <c r="T1399" s="445">
        <f t="shared" si="121"/>
        <v>0</v>
      </c>
      <c r="U1399" s="445">
        <f t="shared" si="122"/>
        <v>0</v>
      </c>
      <c r="W1399" s="450"/>
      <c r="X1399" s="450"/>
      <c r="Y1399" s="441"/>
      <c r="Z1399" s="441"/>
      <c r="AA1399" s="441"/>
      <c r="AB1399" s="441"/>
      <c r="AC1399" s="441"/>
      <c r="AD1399" s="441"/>
      <c r="AE1399" s="441"/>
      <c r="AF1399" s="441"/>
      <c r="AG1399" s="441"/>
      <c r="AH1399" s="441"/>
      <c r="AI1399" s="441"/>
      <c r="AJ1399" s="441"/>
      <c r="AK1399" s="441"/>
      <c r="AL1399" s="441"/>
      <c r="AM1399" s="441"/>
      <c r="AN1399" s="441"/>
      <c r="AO1399" s="441"/>
    </row>
    <row r="1400" spans="1:41" ht="12.75" hidden="1" thickBot="1">
      <c r="A1400" s="1" t="s">
        <v>1282</v>
      </c>
      <c r="B1400" s="2" t="s">
        <v>333</v>
      </c>
      <c r="C1400" s="2" t="s">
        <v>1097</v>
      </c>
      <c r="D1400" s="8" t="s">
        <v>567</v>
      </c>
      <c r="E1400" s="459"/>
      <c r="F1400" s="6"/>
      <c r="G1400" s="451"/>
      <c r="H1400" s="6"/>
      <c r="I1400" s="6"/>
      <c r="J1400" s="6"/>
      <c r="K1400" s="6"/>
      <c r="L1400" s="6"/>
      <c r="M1400" s="451"/>
      <c r="N1400" s="451"/>
      <c r="O1400" s="6"/>
      <c r="P1400" s="6"/>
      <c r="Q1400" s="451"/>
      <c r="R1400" s="451"/>
      <c r="S1400" s="445">
        <f t="shared" si="120"/>
        <v>0</v>
      </c>
      <c r="T1400" s="445">
        <f t="shared" si="121"/>
        <v>0</v>
      </c>
      <c r="U1400" s="445">
        <f t="shared" si="122"/>
        <v>0</v>
      </c>
      <c r="W1400" s="450"/>
      <c r="X1400" s="450"/>
      <c r="Y1400" s="441"/>
      <c r="Z1400" s="441"/>
      <c r="AA1400" s="441"/>
      <c r="AB1400" s="441"/>
      <c r="AC1400" s="441"/>
      <c r="AD1400" s="441"/>
      <c r="AE1400" s="441"/>
      <c r="AF1400" s="441"/>
      <c r="AG1400" s="441"/>
      <c r="AH1400" s="441"/>
      <c r="AI1400" s="441"/>
      <c r="AJ1400" s="441"/>
      <c r="AK1400" s="441"/>
      <c r="AL1400" s="441"/>
      <c r="AM1400" s="441"/>
      <c r="AN1400" s="441"/>
      <c r="AO1400" s="441"/>
    </row>
    <row r="1401" spans="1:41" ht="12.75" hidden="1" thickBot="1">
      <c r="A1401" s="1" t="s">
        <v>1282</v>
      </c>
      <c r="B1401" s="2" t="s">
        <v>334</v>
      </c>
      <c r="C1401" s="2" t="s">
        <v>1098</v>
      </c>
      <c r="D1401" s="453" t="s">
        <v>459</v>
      </c>
      <c r="E1401" s="460"/>
      <c r="F1401" s="4"/>
      <c r="G1401" s="449"/>
      <c r="H1401" s="4"/>
      <c r="I1401" s="4"/>
      <c r="J1401" s="4"/>
      <c r="K1401" s="4"/>
      <c r="L1401" s="4"/>
      <c r="M1401" s="449"/>
      <c r="N1401" s="449"/>
      <c r="O1401" s="4"/>
      <c r="P1401" s="4"/>
      <c r="Q1401" s="449"/>
      <c r="R1401" s="449"/>
      <c r="S1401" s="445">
        <f t="shared" si="120"/>
        <v>0</v>
      </c>
      <c r="T1401" s="445">
        <f t="shared" si="121"/>
        <v>0</v>
      </c>
      <c r="U1401" s="445">
        <f t="shared" si="122"/>
        <v>0</v>
      </c>
      <c r="W1401" s="450"/>
      <c r="X1401" s="450"/>
      <c r="Y1401" s="441"/>
      <c r="Z1401" s="441"/>
      <c r="AA1401" s="441"/>
      <c r="AB1401" s="441"/>
      <c r="AC1401" s="441"/>
      <c r="AD1401" s="441"/>
      <c r="AE1401" s="441"/>
      <c r="AF1401" s="441"/>
      <c r="AG1401" s="441"/>
      <c r="AH1401" s="441"/>
      <c r="AI1401" s="441"/>
      <c r="AJ1401" s="441"/>
      <c r="AK1401" s="441"/>
      <c r="AL1401" s="441"/>
      <c r="AM1401" s="441"/>
      <c r="AN1401" s="441"/>
      <c r="AO1401" s="441"/>
    </row>
    <row r="1402" spans="1:41" ht="12.75" hidden="1" thickBot="1">
      <c r="A1402" s="1" t="s">
        <v>1282</v>
      </c>
      <c r="B1402" s="2" t="s">
        <v>620</v>
      </c>
      <c r="C1402" s="2" t="s">
        <v>1099</v>
      </c>
      <c r="D1402" s="8" t="s">
        <v>567</v>
      </c>
      <c r="E1402" s="459"/>
      <c r="F1402" s="6"/>
      <c r="G1402" s="451"/>
      <c r="H1402" s="6"/>
      <c r="I1402" s="6"/>
      <c r="J1402" s="6"/>
      <c r="K1402" s="6"/>
      <c r="L1402" s="6"/>
      <c r="M1402" s="451"/>
      <c r="N1402" s="451"/>
      <c r="O1402" s="6"/>
      <c r="P1402" s="6"/>
      <c r="Q1402" s="451"/>
      <c r="R1402" s="451"/>
      <c r="S1402" s="445">
        <f t="shared" si="120"/>
        <v>0</v>
      </c>
      <c r="T1402" s="445">
        <f t="shared" si="121"/>
        <v>0</v>
      </c>
      <c r="U1402" s="445">
        <f t="shared" si="122"/>
        <v>0</v>
      </c>
      <c r="W1402" s="450"/>
      <c r="X1402" s="450"/>
      <c r="Y1402" s="441"/>
      <c r="Z1402" s="441"/>
      <c r="AA1402" s="441"/>
      <c r="AB1402" s="441"/>
      <c r="AC1402" s="441"/>
      <c r="AD1402" s="441"/>
      <c r="AE1402" s="441"/>
      <c r="AF1402" s="441"/>
      <c r="AG1402" s="441"/>
      <c r="AH1402" s="441"/>
      <c r="AI1402" s="441"/>
      <c r="AJ1402" s="441"/>
      <c r="AK1402" s="441"/>
      <c r="AL1402" s="441"/>
      <c r="AM1402" s="441"/>
      <c r="AN1402" s="441"/>
      <c r="AO1402" s="441"/>
    </row>
    <row r="1403" spans="1:41" ht="12.75" hidden="1" thickBot="1">
      <c r="A1403" s="1" t="s">
        <v>1282</v>
      </c>
      <c r="B1403" s="2" t="s">
        <v>360</v>
      </c>
      <c r="C1403" s="2" t="s">
        <v>1100</v>
      </c>
      <c r="D1403" s="8" t="s">
        <v>567</v>
      </c>
      <c r="E1403" s="460"/>
      <c r="F1403" s="4"/>
      <c r="G1403" s="449"/>
      <c r="H1403" s="4"/>
      <c r="I1403" s="4"/>
      <c r="J1403" s="4"/>
      <c r="K1403" s="4"/>
      <c r="L1403" s="4"/>
      <c r="M1403" s="449"/>
      <c r="N1403" s="449"/>
      <c r="O1403" s="4"/>
      <c r="P1403" s="4"/>
      <c r="Q1403" s="449"/>
      <c r="R1403" s="449"/>
      <c r="S1403" s="445">
        <f t="shared" si="120"/>
        <v>0</v>
      </c>
      <c r="T1403" s="445">
        <f t="shared" si="121"/>
        <v>0</v>
      </c>
      <c r="U1403" s="445">
        <f t="shared" si="122"/>
        <v>0</v>
      </c>
      <c r="W1403" s="450"/>
      <c r="X1403" s="450"/>
      <c r="Y1403" s="441"/>
      <c r="Z1403" s="441"/>
      <c r="AA1403" s="441"/>
      <c r="AB1403" s="441"/>
      <c r="AC1403" s="441"/>
      <c r="AD1403" s="441"/>
      <c r="AE1403" s="441"/>
      <c r="AF1403" s="441"/>
      <c r="AG1403" s="441"/>
      <c r="AH1403" s="441"/>
      <c r="AI1403" s="441"/>
      <c r="AJ1403" s="441"/>
      <c r="AK1403" s="441"/>
      <c r="AL1403" s="441"/>
      <c r="AM1403" s="441"/>
      <c r="AN1403" s="441"/>
      <c r="AO1403" s="441"/>
    </row>
    <row r="1404" spans="1:41" ht="12.75" hidden="1" thickBot="1">
      <c r="A1404" s="1" t="s">
        <v>1282</v>
      </c>
      <c r="B1404" s="2" t="s">
        <v>335</v>
      </c>
      <c r="C1404" s="2" t="s">
        <v>1101</v>
      </c>
      <c r="D1404" s="8" t="s">
        <v>567</v>
      </c>
      <c r="E1404" s="459"/>
      <c r="F1404" s="6"/>
      <c r="G1404" s="451"/>
      <c r="H1404" s="6"/>
      <c r="I1404" s="6"/>
      <c r="J1404" s="6"/>
      <c r="K1404" s="6"/>
      <c r="L1404" s="6"/>
      <c r="M1404" s="451"/>
      <c r="N1404" s="451"/>
      <c r="O1404" s="6"/>
      <c r="P1404" s="6"/>
      <c r="Q1404" s="451"/>
      <c r="R1404" s="451"/>
      <c r="S1404" s="445">
        <f t="shared" si="120"/>
        <v>0</v>
      </c>
      <c r="T1404" s="445">
        <f t="shared" si="121"/>
        <v>0</v>
      </c>
      <c r="U1404" s="445">
        <f t="shared" si="122"/>
        <v>0</v>
      </c>
      <c r="W1404" s="450"/>
      <c r="X1404" s="450"/>
      <c r="Y1404" s="441"/>
      <c r="Z1404" s="441"/>
      <c r="AA1404" s="441"/>
      <c r="AB1404" s="441"/>
      <c r="AC1404" s="441"/>
      <c r="AD1404" s="441"/>
      <c r="AE1404" s="441"/>
      <c r="AF1404" s="441"/>
      <c r="AG1404" s="441"/>
      <c r="AH1404" s="441"/>
      <c r="AI1404" s="441"/>
      <c r="AJ1404" s="441"/>
      <c r="AK1404" s="441"/>
      <c r="AL1404" s="441"/>
      <c r="AM1404" s="441"/>
      <c r="AN1404" s="441"/>
      <c r="AO1404" s="441"/>
    </row>
    <row r="1405" spans="1:41" ht="12.75" hidden="1" thickBot="1">
      <c r="A1405" s="1" t="s">
        <v>1282</v>
      </c>
      <c r="B1405" s="2" t="s">
        <v>336</v>
      </c>
      <c r="C1405" s="2" t="s">
        <v>1102</v>
      </c>
      <c r="D1405" s="8" t="s">
        <v>567</v>
      </c>
      <c r="E1405" s="460"/>
      <c r="F1405" s="4"/>
      <c r="G1405" s="449"/>
      <c r="H1405" s="4"/>
      <c r="I1405" s="4"/>
      <c r="J1405" s="4"/>
      <c r="K1405" s="4"/>
      <c r="L1405" s="4"/>
      <c r="M1405" s="449"/>
      <c r="N1405" s="449"/>
      <c r="O1405" s="4"/>
      <c r="P1405" s="4"/>
      <c r="Q1405" s="449"/>
      <c r="R1405" s="449"/>
      <c r="S1405" s="445">
        <f t="shared" si="120"/>
        <v>0</v>
      </c>
      <c r="T1405" s="445">
        <f t="shared" si="121"/>
        <v>0</v>
      </c>
      <c r="U1405" s="445">
        <f t="shared" si="122"/>
        <v>0</v>
      </c>
      <c r="W1405" s="450"/>
      <c r="X1405" s="450"/>
      <c r="Y1405" s="441"/>
      <c r="Z1405" s="441"/>
      <c r="AA1405" s="441"/>
      <c r="AB1405" s="441"/>
      <c r="AC1405" s="441"/>
      <c r="AD1405" s="441"/>
      <c r="AE1405" s="441"/>
      <c r="AF1405" s="441"/>
      <c r="AG1405" s="441"/>
      <c r="AH1405" s="441"/>
      <c r="AI1405" s="441"/>
      <c r="AJ1405" s="441"/>
      <c r="AK1405" s="441"/>
      <c r="AL1405" s="441"/>
      <c r="AM1405" s="441"/>
      <c r="AN1405" s="441"/>
      <c r="AO1405" s="441"/>
    </row>
    <row r="1406" spans="1:41" ht="12.75" hidden="1" thickBot="1">
      <c r="A1406" s="1" t="s">
        <v>1282</v>
      </c>
      <c r="B1406" s="2" t="s">
        <v>337</v>
      </c>
      <c r="C1406" s="2" t="s">
        <v>1103</v>
      </c>
      <c r="D1406" s="8" t="s">
        <v>567</v>
      </c>
      <c r="E1406" s="459"/>
      <c r="F1406" s="6"/>
      <c r="G1406" s="451"/>
      <c r="H1406" s="6"/>
      <c r="I1406" s="6"/>
      <c r="J1406" s="6"/>
      <c r="K1406" s="6"/>
      <c r="L1406" s="6"/>
      <c r="M1406" s="451"/>
      <c r="N1406" s="451"/>
      <c r="O1406" s="6"/>
      <c r="P1406" s="6"/>
      <c r="Q1406" s="451"/>
      <c r="R1406" s="451"/>
      <c r="S1406" s="445">
        <f t="shared" si="120"/>
        <v>0</v>
      </c>
      <c r="T1406" s="445">
        <f t="shared" si="121"/>
        <v>0</v>
      </c>
      <c r="U1406" s="445">
        <f t="shared" si="122"/>
        <v>0</v>
      </c>
      <c r="W1406" s="450"/>
      <c r="X1406" s="450"/>
      <c r="Y1406" s="441"/>
      <c r="Z1406" s="441"/>
      <c r="AA1406" s="441"/>
      <c r="AB1406" s="441"/>
      <c r="AC1406" s="441"/>
      <c r="AD1406" s="441"/>
      <c r="AE1406" s="441"/>
      <c r="AF1406" s="441"/>
      <c r="AG1406" s="441"/>
      <c r="AH1406" s="441"/>
      <c r="AI1406" s="441"/>
      <c r="AJ1406" s="441"/>
      <c r="AK1406" s="441"/>
      <c r="AL1406" s="441"/>
      <c r="AM1406" s="441"/>
      <c r="AN1406" s="441"/>
      <c r="AO1406" s="441"/>
    </row>
    <row r="1407" spans="1:41" ht="12.75" hidden="1" thickBot="1">
      <c r="A1407" s="1" t="s">
        <v>1282</v>
      </c>
      <c r="B1407" s="454" t="s">
        <v>7</v>
      </c>
      <c r="C1407" s="455"/>
      <c r="D1407" s="7"/>
      <c r="E1407" s="7"/>
      <c r="F1407" s="456"/>
      <c r="G1407" s="456"/>
      <c r="H1407" s="456"/>
      <c r="I1407" s="456"/>
      <c r="J1407" s="456"/>
      <c r="K1407" s="456"/>
      <c r="L1407" s="456"/>
      <c r="M1407" s="456"/>
      <c r="N1407" s="456"/>
      <c r="O1407" s="456"/>
      <c r="P1407" s="456"/>
      <c r="Q1407" s="456"/>
      <c r="R1407" s="456"/>
      <c r="S1407" s="445">
        <f t="shared" si="120"/>
        <v>0</v>
      </c>
      <c r="T1407" s="445">
        <f t="shared" si="121"/>
        <v>0</v>
      </c>
      <c r="U1407" s="445">
        <f t="shared" si="122"/>
        <v>0</v>
      </c>
      <c r="W1407" s="450"/>
      <c r="X1407" s="450"/>
      <c r="Y1407" s="441"/>
      <c r="Z1407" s="441"/>
      <c r="AA1407" s="441"/>
      <c r="AB1407" s="441"/>
      <c r="AC1407" s="441"/>
      <c r="AD1407" s="441"/>
      <c r="AE1407" s="441"/>
      <c r="AF1407" s="441"/>
      <c r="AG1407" s="441"/>
      <c r="AH1407" s="441"/>
      <c r="AI1407" s="441"/>
      <c r="AJ1407" s="441"/>
      <c r="AK1407" s="441"/>
      <c r="AL1407" s="441"/>
      <c r="AM1407" s="441"/>
      <c r="AN1407" s="441"/>
      <c r="AO1407" s="441"/>
    </row>
    <row r="1408" spans="1:41" hidden="1">
      <c r="E1408" s="502">
        <f>SUM(E2:E1407)</f>
        <v>12031690091</v>
      </c>
      <c r="F1408" s="503">
        <f>SUM(F5:F1407)</f>
        <v>64725096</v>
      </c>
      <c r="G1408" s="503">
        <f t="shared" ref="G1408:P1408" si="123">SUM(G5:G1407)</f>
        <v>392633720</v>
      </c>
      <c r="H1408" s="503">
        <f t="shared" si="123"/>
        <v>327863553</v>
      </c>
      <c r="I1408" s="503">
        <f t="shared" si="123"/>
        <v>8030529</v>
      </c>
      <c r="J1408" s="503">
        <f t="shared" si="123"/>
        <v>6309960</v>
      </c>
      <c r="K1408" s="503">
        <f t="shared" si="123"/>
        <v>184962837</v>
      </c>
      <c r="L1408" s="503">
        <f t="shared" si="123"/>
        <v>20379920</v>
      </c>
      <c r="M1408" s="503">
        <f t="shared" si="123"/>
        <v>-3033257</v>
      </c>
      <c r="N1408" s="503">
        <f t="shared" si="123"/>
        <v>38841360</v>
      </c>
      <c r="O1408" s="503">
        <f t="shared" si="123"/>
        <v>69311206</v>
      </c>
      <c r="P1408" s="503">
        <f t="shared" si="123"/>
        <v>-3438312</v>
      </c>
      <c r="Q1408" s="503"/>
      <c r="R1408" s="503">
        <f>SUM(R5:R1407)</f>
        <v>1106586598</v>
      </c>
      <c r="W1408" s="450"/>
      <c r="X1408" s="448"/>
    </row>
    <row r="1409" spans="1:24" ht="12.75" thickBot="1">
      <c r="W1409" s="450"/>
      <c r="X1409" s="448"/>
    </row>
    <row r="1410" spans="1:24" ht="12.75" thickBot="1">
      <c r="A1410" s="35" t="s">
        <v>1277</v>
      </c>
      <c r="B1410" s="2" t="s">
        <v>376</v>
      </c>
      <c r="E1410" s="98">
        <v>14939405.9147799</v>
      </c>
      <c r="F1410" s="98">
        <v>8840</v>
      </c>
      <c r="G1410" s="98">
        <v>179422.265036506</v>
      </c>
      <c r="H1410" s="98">
        <v>407098.81117775198</v>
      </c>
      <c r="J1410" s="98">
        <v>16805.909255999999</v>
      </c>
      <c r="K1410" s="98">
        <v>471615.82849649998</v>
      </c>
      <c r="L1410" s="98">
        <v>24603.418473687099</v>
      </c>
      <c r="M1410" s="98">
        <v>29262.503607633</v>
      </c>
      <c r="O1410" s="98">
        <v>94348.272521637002</v>
      </c>
      <c r="R1410" s="98">
        <v>1231997.00856971</v>
      </c>
      <c r="W1410" s="450"/>
      <c r="X1410" s="448"/>
    </row>
    <row r="1411" spans="1:24" ht="12.75" thickBot="1">
      <c r="A1411" s="35" t="s">
        <v>1278</v>
      </c>
      <c r="B1411" s="2" t="s">
        <v>376</v>
      </c>
      <c r="E1411" s="98">
        <v>14885241.305093499</v>
      </c>
      <c r="F1411" s="98">
        <v>8840</v>
      </c>
      <c r="G1411" s="98">
        <v>178771.74807417201</v>
      </c>
      <c r="H1411" s="98">
        <v>405622.82556379697</v>
      </c>
      <c r="J1411" s="98">
        <v>16948.686287999903</v>
      </c>
      <c r="K1411" s="98">
        <v>475622.5089570001</v>
      </c>
      <c r="L1411" s="98">
        <v>30154.3115558442</v>
      </c>
      <c r="M1411" s="98">
        <v>32011.639024193799</v>
      </c>
      <c r="O1411" s="98">
        <v>95390.314186855307</v>
      </c>
      <c r="R1411" s="98">
        <v>1243362.0336498599</v>
      </c>
      <c r="W1411" s="450"/>
      <c r="X1411" s="448"/>
    </row>
    <row r="1412" spans="1:24" ht="12.75" thickBot="1">
      <c r="A1412" s="35" t="s">
        <v>1279</v>
      </c>
      <c r="B1412" s="2" t="s">
        <v>376</v>
      </c>
      <c r="E1412" s="98">
        <v>13180844.122808499</v>
      </c>
      <c r="F1412" s="98">
        <v>8840</v>
      </c>
      <c r="G1412" s="98">
        <v>158301.93791492999</v>
      </c>
      <c r="H1412" s="98">
        <v>359178.00234653102</v>
      </c>
      <c r="J1412" s="98">
        <v>17606.144174399902</v>
      </c>
      <c r="K1412" s="98">
        <v>494072.42089409911</v>
      </c>
      <c r="L1412" s="98">
        <v>28184.139133288198</v>
      </c>
      <c r="M1412" s="98">
        <v>3484.9106718345897</v>
      </c>
      <c r="O1412" s="98">
        <v>111173.575766109</v>
      </c>
      <c r="R1412" s="98">
        <v>1180841.13090119</v>
      </c>
      <c r="W1412" s="450"/>
      <c r="X1412" s="448"/>
    </row>
    <row r="1413" spans="1:24" ht="12.75" thickBot="1">
      <c r="A1413" s="35" t="s">
        <v>1280</v>
      </c>
      <c r="B1413" s="2" t="s">
        <v>376</v>
      </c>
      <c r="E1413" s="98">
        <v>12153894.069492301</v>
      </c>
      <c r="F1413" s="98">
        <v>8840</v>
      </c>
      <c r="G1413" s="98">
        <v>145968.26777460298</v>
      </c>
      <c r="H1413" s="98">
        <v>331193.61339366704</v>
      </c>
      <c r="J1413" s="98">
        <v>14546.321457599999</v>
      </c>
      <c r="K1413" s="98">
        <v>338808.07061660005</v>
      </c>
      <c r="L1413" s="98">
        <v>28240.8951293834</v>
      </c>
      <c r="M1413" s="98">
        <v>-2636.1606007722198</v>
      </c>
      <c r="O1413" s="98">
        <v>116042.06780335601</v>
      </c>
      <c r="R1413" s="98">
        <v>981003.07557443902</v>
      </c>
      <c r="W1413" s="450"/>
      <c r="X1413" s="448"/>
    </row>
    <row r="1414" spans="1:24" ht="12.75" thickBot="1">
      <c r="A1414" s="35" t="s">
        <v>1281</v>
      </c>
      <c r="B1414" s="2" t="s">
        <v>376</v>
      </c>
      <c r="E1414" s="98">
        <v>11303433.358320801</v>
      </c>
      <c r="F1414" s="98">
        <v>8840</v>
      </c>
      <c r="G1414" s="98">
        <v>135754.234633432</v>
      </c>
      <c r="H1414" s="98">
        <v>308018.55901424104</v>
      </c>
      <c r="J1414" s="98">
        <v>12944.277086399899</v>
      </c>
      <c r="K1414" s="98">
        <v>301493.78713740007</v>
      </c>
      <c r="L1414" s="98">
        <v>27143.260167316603</v>
      </c>
      <c r="M1414" s="98">
        <v>-2514.62055219179</v>
      </c>
      <c r="O1414" s="98">
        <v>116538.77172979299</v>
      </c>
      <c r="R1414" s="98">
        <v>908218.269216393</v>
      </c>
      <c r="W1414" s="450"/>
      <c r="X1414" s="448"/>
    </row>
    <row r="1415" spans="1:24" ht="12.75" thickBot="1">
      <c r="A1415" s="35" t="s">
        <v>1282</v>
      </c>
      <c r="B1415" s="2" t="s">
        <v>376</v>
      </c>
      <c r="E1415" s="98">
        <v>11973010.148997601</v>
      </c>
      <c r="F1415" s="98">
        <v>8840</v>
      </c>
      <c r="G1415" s="98">
        <v>143795.85188946102</v>
      </c>
      <c r="H1415" s="98">
        <v>326264.52656018396</v>
      </c>
      <c r="J1415" s="98">
        <v>13792.187265600001</v>
      </c>
      <c r="K1415" s="98">
        <v>321243.02839459997</v>
      </c>
      <c r="L1415" s="98">
        <v>26820.257130835897</v>
      </c>
      <c r="M1415" s="98">
        <v>-9391.1040609796692</v>
      </c>
      <c r="O1415" s="98">
        <v>110942.16631301699</v>
      </c>
      <c r="R1415" s="98">
        <v>942306.91349271894</v>
      </c>
      <c r="W1415" s="450"/>
      <c r="X1415" s="448"/>
    </row>
    <row r="1416" spans="1:24" ht="12.75" thickBot="1">
      <c r="A1416" s="35" t="s">
        <v>1271</v>
      </c>
      <c r="B1416" s="2" t="s">
        <v>376</v>
      </c>
      <c r="E1416" s="98">
        <v>11527513.145984599</v>
      </c>
      <c r="F1416" s="98">
        <v>8840</v>
      </c>
      <c r="G1416" s="98">
        <v>138445.432883275</v>
      </c>
      <c r="H1416" s="98">
        <v>314124.73322807997</v>
      </c>
      <c r="J1416" s="98">
        <v>13780.263633600001</v>
      </c>
      <c r="K1416" s="98">
        <v>320965.30713259993</v>
      </c>
      <c r="L1416" s="98">
        <v>15044.629876000699</v>
      </c>
      <c r="M1416" s="98">
        <v>-29362.706084496898</v>
      </c>
      <c r="O1416" s="98">
        <v>103468.642063868</v>
      </c>
      <c r="R1416" s="98">
        <v>885306.30273292691</v>
      </c>
      <c r="W1416" s="450"/>
      <c r="X1416" s="448"/>
    </row>
    <row r="1417" spans="1:24" ht="12.75" thickBot="1">
      <c r="A1417" s="35" t="s">
        <v>1272</v>
      </c>
      <c r="B1417" s="2" t="s">
        <v>376</v>
      </c>
      <c r="E1417" s="98">
        <v>10127682.640680199</v>
      </c>
      <c r="F1417" s="98">
        <v>8840</v>
      </c>
      <c r="G1417" s="98">
        <v>121633.468514569</v>
      </c>
      <c r="H1417" s="98">
        <v>275979.35195853503</v>
      </c>
      <c r="J1417" s="98">
        <v>12623.942788800001</v>
      </c>
      <c r="K1417" s="98">
        <v>294032.66745580005</v>
      </c>
      <c r="L1417" s="98">
        <v>14433.5896486162</v>
      </c>
      <c r="M1417" s="98">
        <v>-53620.294208899206</v>
      </c>
      <c r="O1417" s="98">
        <v>97028.277235685091</v>
      </c>
      <c r="R1417" s="98">
        <v>770951.00339310605</v>
      </c>
      <c r="W1417" s="450"/>
      <c r="X1417" s="448"/>
    </row>
    <row r="1418" spans="1:24" ht="12.75" thickBot="1">
      <c r="A1418" s="35" t="s">
        <v>1273</v>
      </c>
      <c r="B1418" s="2" t="s">
        <v>376</v>
      </c>
      <c r="E1418" s="98">
        <v>10824709.8036223</v>
      </c>
      <c r="F1418" s="98">
        <v>8840</v>
      </c>
      <c r="G1418" s="98">
        <v>130004.76474150301</v>
      </c>
      <c r="H1418" s="98">
        <v>294973.34214870702</v>
      </c>
      <c r="J1418" s="98">
        <v>12791.7738288</v>
      </c>
      <c r="K1418" s="98">
        <v>297941.73209579999</v>
      </c>
      <c r="L1418" s="98">
        <v>18255.743753639901</v>
      </c>
      <c r="M1418" s="98">
        <v>-15264.875155527499</v>
      </c>
      <c r="O1418" s="98">
        <v>112239.949969575</v>
      </c>
      <c r="R1418" s="98">
        <v>859782.43138249801</v>
      </c>
      <c r="W1418" s="450"/>
      <c r="X1418" s="448"/>
    </row>
    <row r="1419" spans="1:24" ht="12.75" thickBot="1">
      <c r="A1419" s="35" t="s">
        <v>1274</v>
      </c>
      <c r="B1419" s="2" t="s">
        <v>376</v>
      </c>
      <c r="E1419" s="98">
        <v>11224431.2913043</v>
      </c>
      <c r="F1419" s="98">
        <v>8840</v>
      </c>
      <c r="G1419" s="98">
        <v>134805.41980856401</v>
      </c>
      <c r="H1419" s="98">
        <v>305865.752688042</v>
      </c>
      <c r="J1419" s="98">
        <v>13546.4087232</v>
      </c>
      <c r="K1419" s="98">
        <v>315518.43651120004</v>
      </c>
      <c r="L1419" s="98">
        <v>18838.1983847624</v>
      </c>
      <c r="M1419" s="98">
        <v>-9778.881100207951</v>
      </c>
      <c r="O1419" s="98">
        <v>124256.03445491</v>
      </c>
      <c r="R1419" s="98">
        <v>911891.36947047198</v>
      </c>
      <c r="W1419" s="450"/>
      <c r="X1419" s="448"/>
    </row>
    <row r="1420" spans="1:24" ht="12.75" thickBot="1">
      <c r="A1420" s="35" t="s">
        <v>1275</v>
      </c>
      <c r="B1420" s="2" t="s">
        <v>376</v>
      </c>
      <c r="E1420" s="98">
        <v>13088103.210917499</v>
      </c>
      <c r="F1420" s="98">
        <v>8840</v>
      </c>
      <c r="G1420" s="98">
        <v>157188.11956311899</v>
      </c>
      <c r="H1420" s="98">
        <v>356650.81249750103</v>
      </c>
      <c r="J1420" s="98">
        <v>13581.9064944</v>
      </c>
      <c r="K1420" s="98">
        <v>381142.25099909998</v>
      </c>
      <c r="L1420" s="98">
        <v>27395.910656746997</v>
      </c>
      <c r="M1420" s="98">
        <v>2524.8721150883198</v>
      </c>
      <c r="O1420" s="98">
        <v>136999.47425308899</v>
      </c>
      <c r="R1420" s="98">
        <v>1084323.3465790399</v>
      </c>
      <c r="W1420" s="450"/>
      <c r="X1420" s="448"/>
    </row>
    <row r="1421" spans="1:24" ht="12.75" thickBot="1">
      <c r="A1421" s="35" t="s">
        <v>1276</v>
      </c>
      <c r="B1421" s="2" t="s">
        <v>376</v>
      </c>
      <c r="E1421" s="98">
        <v>14473038.760524599</v>
      </c>
      <c r="F1421" s="98">
        <v>8840</v>
      </c>
      <c r="G1421" s="98">
        <v>173821.19551389999</v>
      </c>
      <c r="H1421" s="98">
        <v>394390.306224295</v>
      </c>
      <c r="J1421" s="98">
        <v>15400.876876799999</v>
      </c>
      <c r="K1421" s="98">
        <v>432187.10735520005</v>
      </c>
      <c r="L1421" s="98">
        <v>23795.656939694902</v>
      </c>
      <c r="M1421" s="98">
        <v>21926.509097502803</v>
      </c>
      <c r="O1421" s="98">
        <v>133575.76229437502</v>
      </c>
      <c r="R1421" s="98">
        <v>1203937.41430176</v>
      </c>
      <c r="W1421" s="450"/>
      <c r="X1421" s="448"/>
    </row>
    <row r="1422" spans="1:24" ht="12.75" thickBot="1">
      <c r="A1422" s="35" t="s">
        <v>1277</v>
      </c>
      <c r="B1422" s="1" t="s">
        <v>379</v>
      </c>
      <c r="E1422" s="13">
        <v>36804280.467819899</v>
      </c>
      <c r="F1422" s="13">
        <v>11399.999988599999</v>
      </c>
      <c r="G1422" s="13">
        <v>399326.44307584601</v>
      </c>
      <c r="H1422" s="13">
        <v>1002916.64274809</v>
      </c>
      <c r="I1422" s="13"/>
      <c r="J1422" s="13">
        <v>33574.525203800004</v>
      </c>
      <c r="K1422" s="13">
        <v>1074671.9155617999</v>
      </c>
      <c r="L1422" s="13">
        <v>60612.257216793201</v>
      </c>
      <c r="M1422" s="13">
        <v>72090.242149483995</v>
      </c>
      <c r="N1422" s="13"/>
      <c r="O1422" s="13">
        <v>232433.62576454799</v>
      </c>
      <c r="P1422" s="13"/>
      <c r="Q1422" s="13">
        <f t="shared" ref="Q1422:Q1427" si="124">SUMIFS(Q$5:Q$1407,$A$5:$A$1407,$A1422,$B$5:$B$1407,$B$1422)-Q1416</f>
        <v>0</v>
      </c>
      <c r="R1422" s="13">
        <v>2887025.6517089601</v>
      </c>
      <c r="W1422" s="450"/>
      <c r="X1422" s="448"/>
    </row>
    <row r="1423" spans="1:24" ht="12.75" thickBot="1">
      <c r="A1423" s="35" t="s">
        <v>1278</v>
      </c>
      <c r="B1423" s="1" t="s">
        <v>379</v>
      </c>
      <c r="E1423" s="13">
        <v>36677896.378551498</v>
      </c>
      <c r="F1423" s="13">
        <v>11399.999988599999</v>
      </c>
      <c r="G1423" s="13">
        <v>397955.17570728296</v>
      </c>
      <c r="H1423" s="13">
        <v>999472.67631552799</v>
      </c>
      <c r="I1423" s="13"/>
      <c r="J1423" s="13">
        <v>33683.8850208</v>
      </c>
      <c r="K1423" s="13">
        <v>1079813.6223307902</v>
      </c>
      <c r="L1423" s="13">
        <v>74301.564344365601</v>
      </c>
      <c r="M1423" s="13">
        <v>78878.1018037787</v>
      </c>
      <c r="N1423" s="13"/>
      <c r="O1423" s="13">
        <v>235045.97524164699</v>
      </c>
      <c r="P1423" s="13"/>
      <c r="Q1423" s="13">
        <f t="shared" si="124"/>
        <v>0</v>
      </c>
      <c r="R1423" s="13">
        <v>2910551.0007528001</v>
      </c>
      <c r="W1423" s="450"/>
      <c r="X1423" s="448"/>
    </row>
    <row r="1424" spans="1:24" ht="12.75" thickBot="1">
      <c r="A1424" s="35" t="s">
        <v>1279</v>
      </c>
      <c r="B1424" s="1" t="s">
        <v>379</v>
      </c>
      <c r="E1424" s="13">
        <v>32700969.619886499</v>
      </c>
      <c r="F1424" s="13">
        <v>11399.999988599999</v>
      </c>
      <c r="G1424" s="13">
        <v>354805.52037576801</v>
      </c>
      <c r="H1424" s="13">
        <v>891101.42214190704</v>
      </c>
      <c r="I1424" s="13"/>
      <c r="J1424" s="13">
        <v>34332.518555999995</v>
      </c>
      <c r="K1424" s="13">
        <v>1102864.1022485001</v>
      </c>
      <c r="L1424" s="13">
        <v>69923.3424637399</v>
      </c>
      <c r="M1424" s="13">
        <v>8645.8770732658704</v>
      </c>
      <c r="N1424" s="13"/>
      <c r="O1424" s="13">
        <v>275815.69812898</v>
      </c>
      <c r="P1424" s="13"/>
      <c r="Q1424" s="13">
        <f t="shared" si="124"/>
        <v>0</v>
      </c>
      <c r="R1424" s="13">
        <v>2748888.4809767599</v>
      </c>
      <c r="W1424" s="450"/>
      <c r="X1424" s="448"/>
    </row>
    <row r="1425" spans="1:24" ht="12.75" thickBot="1">
      <c r="A1425" s="35" t="s">
        <v>1280</v>
      </c>
      <c r="B1425" s="1" t="s">
        <v>379</v>
      </c>
      <c r="E1425" s="13">
        <v>30304752.828815598</v>
      </c>
      <c r="F1425" s="13">
        <v>11699.9999883</v>
      </c>
      <c r="G1425" s="13">
        <v>328806.56819264998</v>
      </c>
      <c r="H1425" s="13">
        <v>825804.51458522701</v>
      </c>
      <c r="I1425" s="13"/>
      <c r="J1425" s="13">
        <v>30351.122753</v>
      </c>
      <c r="K1425" s="13">
        <v>973908.69060849003</v>
      </c>
      <c r="L1425" s="13">
        <v>70416.390143526602</v>
      </c>
      <c r="M1425" s="13">
        <v>-6573.0534565043208</v>
      </c>
      <c r="N1425" s="13"/>
      <c r="O1425" s="13">
        <v>289341.519879831</v>
      </c>
      <c r="P1425" s="13"/>
      <c r="Q1425" s="13">
        <f t="shared" si="124"/>
        <v>0</v>
      </c>
      <c r="R1425" s="13">
        <v>2523755.7526945304</v>
      </c>
      <c r="W1425" s="450"/>
      <c r="X1425" s="448"/>
    </row>
    <row r="1426" spans="1:24" ht="12.75" thickBot="1">
      <c r="A1426" s="35" t="s">
        <v>1281</v>
      </c>
      <c r="B1426" s="1" t="s">
        <v>379</v>
      </c>
      <c r="E1426" s="13">
        <v>28320344.502748501</v>
      </c>
      <c r="F1426" s="13">
        <v>11699.9999883</v>
      </c>
      <c r="G1426" s="13">
        <v>307275.73785482097</v>
      </c>
      <c r="H1426" s="13">
        <v>771729.387699896</v>
      </c>
      <c r="I1426" s="13"/>
      <c r="J1426" s="13">
        <v>27794.664637599999</v>
      </c>
      <c r="K1426" s="13">
        <v>889262.79095009901</v>
      </c>
      <c r="L1426" s="13">
        <v>68006.459143696396</v>
      </c>
      <c r="M1426" s="13">
        <v>-6300.2910774308893</v>
      </c>
      <c r="N1426" s="13"/>
      <c r="O1426" s="13">
        <v>291983.68837954802</v>
      </c>
      <c r="P1426" s="13"/>
      <c r="Q1426" s="13">
        <f t="shared" si="124"/>
        <v>0</v>
      </c>
      <c r="R1426" s="13">
        <v>2361452.43757653</v>
      </c>
      <c r="W1426" s="450"/>
      <c r="X1426" s="448"/>
    </row>
    <row r="1427" spans="1:24" ht="12.75" thickBot="1">
      <c r="A1427" s="35" t="s">
        <v>1282</v>
      </c>
      <c r="B1427" s="1" t="s">
        <v>379</v>
      </c>
      <c r="E1427" s="13">
        <v>29882690.3476611</v>
      </c>
      <c r="F1427" s="13">
        <v>11699.9999883</v>
      </c>
      <c r="G1427" s="13">
        <v>324227.19027212204</v>
      </c>
      <c r="H1427" s="13">
        <v>814303.31197376491</v>
      </c>
      <c r="I1427" s="13"/>
      <c r="J1427" s="13">
        <v>28204.8691512</v>
      </c>
      <c r="K1427" s="13">
        <v>899941.49511719996</v>
      </c>
      <c r="L1427" s="13">
        <v>66939.0093979433</v>
      </c>
      <c r="M1427" s="13">
        <v>-23438.6717445832</v>
      </c>
      <c r="N1427" s="13"/>
      <c r="O1427" s="13">
        <v>276893.64338408899</v>
      </c>
      <c r="P1427" s="13"/>
      <c r="Q1427" s="13">
        <f t="shared" si="124"/>
        <v>0</v>
      </c>
      <c r="R1427" s="13">
        <v>2398770.8475400298</v>
      </c>
      <c r="W1427" s="450"/>
      <c r="X1427" s="448"/>
    </row>
    <row r="1428" spans="1:24" ht="12.75" thickBot="1">
      <c r="A1428" s="35" t="s">
        <v>1271</v>
      </c>
      <c r="B1428" s="1" t="s">
        <v>379</v>
      </c>
      <c r="E1428" s="13">
        <v>28843197.340630699</v>
      </c>
      <c r="F1428" s="13">
        <v>11999.9999879999</v>
      </c>
      <c r="G1428" s="13">
        <v>312948.69114584301</v>
      </c>
      <c r="H1428" s="13">
        <v>785977.1275321861</v>
      </c>
      <c r="I1428" s="13"/>
      <c r="J1428" s="13">
        <v>25734.1602112</v>
      </c>
      <c r="K1428" s="13">
        <v>820785.57308669901</v>
      </c>
      <c r="L1428" s="13">
        <v>37643.4381756824</v>
      </c>
      <c r="M1428" s="13">
        <v>-73468.953392179697</v>
      </c>
      <c r="N1428" s="13"/>
      <c r="O1428" s="13">
        <v>258890.74458828702</v>
      </c>
      <c r="P1428" s="13"/>
      <c r="Q1428" s="13">
        <f t="shared" ref="Q1428:Q1433" si="125">SUMIFS(Q$5:Q$1407,$A$5:$A$1407,$A1428,$B$5:$B$1407,$B$1422)-Q1410</f>
        <v>0</v>
      </c>
      <c r="R1428" s="13">
        <v>2180510.7813357199</v>
      </c>
      <c r="W1428" s="450"/>
      <c r="X1428" s="448"/>
    </row>
    <row r="1429" spans="1:24" ht="12.75" thickBot="1">
      <c r="A1429" s="35" t="s">
        <v>1272</v>
      </c>
      <c r="B1429" s="1" t="s">
        <v>379</v>
      </c>
      <c r="E1429" s="13">
        <v>25576926.161587</v>
      </c>
      <c r="F1429" s="13">
        <v>11999.9999879999</v>
      </c>
      <c r="G1429" s="13">
        <v>277509.64885321801</v>
      </c>
      <c r="H1429" s="13">
        <v>696971.23790324503</v>
      </c>
      <c r="I1429" s="13"/>
      <c r="J1429" s="13">
        <v>24823.184398599999</v>
      </c>
      <c r="K1429" s="13">
        <v>791708.01571409998</v>
      </c>
      <c r="L1429" s="13">
        <v>36451.266275510905</v>
      </c>
      <c r="M1429" s="13">
        <v>-135415.21337120698</v>
      </c>
      <c r="N1429" s="13"/>
      <c r="O1429" s="13">
        <v>245039.77568124401</v>
      </c>
      <c r="P1429" s="13"/>
      <c r="Q1429" s="13">
        <f t="shared" si="125"/>
        <v>0</v>
      </c>
      <c r="R1429" s="13">
        <v>1949087.91544271</v>
      </c>
      <c r="W1429" s="450"/>
      <c r="X1429" s="448"/>
    </row>
    <row r="1430" spans="1:24" ht="12.75" thickBot="1">
      <c r="A1430" s="35" t="s">
        <v>1273</v>
      </c>
      <c r="B1430" s="1" t="s">
        <v>379</v>
      </c>
      <c r="E1430" s="13">
        <v>27203322.875118598</v>
      </c>
      <c r="F1430" s="13">
        <v>11999.9999879999</v>
      </c>
      <c r="G1430" s="13">
        <v>295156.05319503695</v>
      </c>
      <c r="H1430" s="13">
        <v>741290.54834698397</v>
      </c>
      <c r="I1430" s="13"/>
      <c r="J1430" s="13">
        <v>25807.841004399899</v>
      </c>
      <c r="K1430" s="13">
        <v>825130.14938690001</v>
      </c>
      <c r="L1430" s="13">
        <v>45878.079012290298</v>
      </c>
      <c r="M1430" s="13">
        <v>-38361.797686736703</v>
      </c>
      <c r="N1430" s="13"/>
      <c r="O1430" s="13">
        <v>282067.57076183101</v>
      </c>
      <c r="P1430" s="13"/>
      <c r="Q1430" s="13">
        <f t="shared" si="125"/>
        <v>0</v>
      </c>
      <c r="R1430" s="13">
        <v>2188968.4440087001</v>
      </c>
      <c r="W1430" s="450"/>
      <c r="X1430" s="448"/>
    </row>
    <row r="1431" spans="1:24" ht="12.75" thickBot="1">
      <c r="A1431" s="35" t="s">
        <v>1274</v>
      </c>
      <c r="B1431" s="1" t="s">
        <v>379</v>
      </c>
      <c r="E1431" s="13">
        <v>28136006.346376799</v>
      </c>
      <c r="F1431" s="13">
        <v>12299.999987699901</v>
      </c>
      <c r="G1431" s="13">
        <v>305275.66885818797</v>
      </c>
      <c r="H1431" s="13">
        <v>766706.17293876701</v>
      </c>
      <c r="I1431" s="13"/>
      <c r="J1431" s="13">
        <v>27419.577823400003</v>
      </c>
      <c r="K1431" s="13">
        <v>876632.79661690001</v>
      </c>
      <c r="L1431" s="13">
        <v>47221.249393597704</v>
      </c>
      <c r="M1431" s="13">
        <v>-24512.481172125601</v>
      </c>
      <c r="N1431" s="13"/>
      <c r="O1431" s="13">
        <v>311469.55095243198</v>
      </c>
      <c r="P1431" s="13"/>
      <c r="Q1431" s="13">
        <f t="shared" si="125"/>
        <v>0</v>
      </c>
      <c r="R1431" s="13">
        <v>2322512.53539886</v>
      </c>
      <c r="W1431" s="450"/>
      <c r="X1431" s="448"/>
    </row>
    <row r="1432" spans="1:24" ht="12.75" thickBot="1">
      <c r="A1432" s="35" t="s">
        <v>1275</v>
      </c>
      <c r="B1432" s="1" t="s">
        <v>379</v>
      </c>
      <c r="E1432" s="13">
        <v>32484574.158807401</v>
      </c>
      <c r="F1432" s="13">
        <v>12299.999987699901</v>
      </c>
      <c r="G1432" s="13">
        <v>352457.62962306</v>
      </c>
      <c r="H1432" s="13">
        <v>885204.64582750108</v>
      </c>
      <c r="I1432" s="13"/>
      <c r="J1432" s="13">
        <v>28022.4379568</v>
      </c>
      <c r="K1432" s="13">
        <v>898400.5262043</v>
      </c>
      <c r="L1432" s="13">
        <v>67996.445094871204</v>
      </c>
      <c r="M1432" s="13">
        <v>6266.7136820616406</v>
      </c>
      <c r="N1432" s="13"/>
      <c r="O1432" s="13">
        <v>340031.66917111503</v>
      </c>
      <c r="P1432" s="13"/>
      <c r="Q1432" s="13">
        <f t="shared" si="125"/>
        <v>0</v>
      </c>
      <c r="R1432" s="13">
        <v>2590680.0675474103</v>
      </c>
      <c r="W1432" s="450"/>
      <c r="X1432" s="448"/>
    </row>
    <row r="1433" spans="1:24" ht="12.75" thickBot="1">
      <c r="A1433" s="35" t="s">
        <v>1276</v>
      </c>
      <c r="B1433" s="1" t="s">
        <v>379</v>
      </c>
      <c r="E1433" s="13">
        <v>35716090.441224001</v>
      </c>
      <c r="F1433" s="13">
        <v>12299.999987699901</v>
      </c>
      <c r="G1433" s="13">
        <v>387519.58128728002</v>
      </c>
      <c r="H1433" s="13">
        <v>973263.46452335396</v>
      </c>
      <c r="I1433" s="13"/>
      <c r="J1433" s="13">
        <v>32093.454155000003</v>
      </c>
      <c r="K1433" s="13">
        <v>1028336.779528</v>
      </c>
      <c r="L1433" s="13">
        <v>58722.141868683801</v>
      </c>
      <c r="M1433" s="13">
        <v>54109.520118382199</v>
      </c>
      <c r="N1433" s="13"/>
      <c r="O1433" s="13">
        <v>329633.88586188201</v>
      </c>
      <c r="P1433" s="13"/>
      <c r="Q1433" s="13">
        <f t="shared" si="125"/>
        <v>0</v>
      </c>
      <c r="R1433" s="13">
        <v>2875978.8273302801</v>
      </c>
      <c r="W1433" s="450"/>
      <c r="X1433" s="448"/>
    </row>
    <row r="1434" spans="1:24" ht="12.75" thickBot="1">
      <c r="A1434" s="35" t="s">
        <v>1277</v>
      </c>
      <c r="B1434" s="1" t="s">
        <v>378</v>
      </c>
      <c r="E1434" s="98">
        <v>76574430.95359619</v>
      </c>
      <c r="F1434" s="98">
        <v>43199.999956799998</v>
      </c>
      <c r="G1434" s="98">
        <v>968666.55156299204</v>
      </c>
      <c r="H1434" s="98">
        <v>2086653.2434854899</v>
      </c>
      <c r="J1434" s="98">
        <v>73502.333858217593</v>
      </c>
      <c r="K1434" s="98">
        <v>2158816.3861087724</v>
      </c>
      <c r="L1434" s="98">
        <v>126108.94836667499</v>
      </c>
      <c r="M1434" s="98">
        <v>149989.87073610601</v>
      </c>
      <c r="O1434" s="98">
        <v>483597.89679800096</v>
      </c>
      <c r="R1434" s="98">
        <v>6090535.2308730697</v>
      </c>
      <c r="W1434" s="450"/>
      <c r="X1434" s="448"/>
    </row>
    <row r="1435" spans="1:24" ht="12.75" thickBot="1">
      <c r="A1435" s="35" t="s">
        <v>1278</v>
      </c>
      <c r="B1435" s="1" t="s">
        <v>378</v>
      </c>
      <c r="E1435" s="98">
        <v>77456014.529185697</v>
      </c>
      <c r="F1435" s="98">
        <v>43399.999956599997</v>
      </c>
      <c r="G1435" s="98">
        <v>979818.58379419998</v>
      </c>
      <c r="H1435" s="98">
        <v>2110676.3959203097</v>
      </c>
      <c r="J1435" s="98">
        <v>76166.276625091894</v>
      </c>
      <c r="K1435" s="98">
        <v>2237053.9880182184</v>
      </c>
      <c r="L1435" s="98">
        <v>156909.30003182701</v>
      </c>
      <c r="M1435" s="98">
        <v>166573.986040291</v>
      </c>
      <c r="O1435" s="98">
        <v>496367.73836326104</v>
      </c>
      <c r="R1435" s="98">
        <v>6266966.2687498005</v>
      </c>
      <c r="W1435" s="450"/>
      <c r="X1435" s="448"/>
    </row>
    <row r="1436" spans="1:24" ht="12.75" thickBot="1">
      <c r="A1436" s="35" t="s">
        <v>1279</v>
      </c>
      <c r="B1436" s="1" t="s">
        <v>378</v>
      </c>
      <c r="E1436" s="98">
        <v>66161499.351934299</v>
      </c>
      <c r="F1436" s="98">
        <v>43599.999956399995</v>
      </c>
      <c r="G1436" s="98">
        <v>836942.96680196899</v>
      </c>
      <c r="H1436" s="98">
        <v>1802900.8573402001</v>
      </c>
      <c r="J1436" s="98">
        <v>73251.475586279994</v>
      </c>
      <c r="K1436" s="98">
        <v>2151666.2960606394</v>
      </c>
      <c r="L1436" s="98">
        <v>141470.82581570998</v>
      </c>
      <c r="M1436" s="98">
        <v>17492.575817443503</v>
      </c>
      <c r="O1436" s="98">
        <v>558037.89138767298</v>
      </c>
      <c r="R1436" s="98">
        <v>5625362.8887663297</v>
      </c>
      <c r="W1436" s="450"/>
      <c r="X1436" s="448"/>
    </row>
    <row r="1437" spans="1:24" ht="12.75" thickBot="1">
      <c r="A1437" s="35" t="s">
        <v>1280</v>
      </c>
      <c r="B1437" s="1" t="s">
        <v>378</v>
      </c>
      <c r="E1437" s="98">
        <v>63676678.283937298</v>
      </c>
      <c r="F1437" s="98">
        <v>43799.999956199994</v>
      </c>
      <c r="G1437" s="98">
        <v>805509.98029180698</v>
      </c>
      <c r="H1437" s="98">
        <v>1735189.4832372901</v>
      </c>
      <c r="J1437" s="98">
        <v>67243.687156756903</v>
      </c>
      <c r="K1437" s="98">
        <v>1974297.6418015831</v>
      </c>
      <c r="L1437" s="98">
        <v>147959.68957126699</v>
      </c>
      <c r="M1437" s="98">
        <v>-13811.3718550102</v>
      </c>
      <c r="O1437" s="98">
        <v>607967.56798011099</v>
      </c>
      <c r="R1437" s="98">
        <v>5368156.6781400098</v>
      </c>
      <c r="W1437" s="450"/>
      <c r="X1437" s="448"/>
    </row>
    <row r="1438" spans="1:24" ht="12.75" thickBot="1">
      <c r="A1438" s="35" t="s">
        <v>1281</v>
      </c>
      <c r="B1438" s="1" t="s">
        <v>378</v>
      </c>
      <c r="E1438" s="98">
        <v>60713563.441250697</v>
      </c>
      <c r="F1438" s="98">
        <v>43999.999956000007</v>
      </c>
      <c r="G1438" s="98">
        <v>768026.57753182098</v>
      </c>
      <c r="H1438" s="98">
        <v>1654444.6037740801</v>
      </c>
      <c r="J1438" s="98">
        <v>62950.985686635802</v>
      </c>
      <c r="K1438" s="98">
        <v>1842028.0044048941</v>
      </c>
      <c r="L1438" s="98">
        <v>145793.22900662199</v>
      </c>
      <c r="M1438" s="98">
        <v>-13506.654976983898</v>
      </c>
      <c r="O1438" s="98">
        <v>625958.84688202292</v>
      </c>
      <c r="R1438" s="98">
        <v>5129695.5922650909</v>
      </c>
      <c r="W1438" s="450"/>
      <c r="X1438" s="448"/>
    </row>
    <row r="1439" spans="1:24" ht="12.75" thickBot="1">
      <c r="A1439" s="35" t="s">
        <v>1282</v>
      </c>
      <c r="B1439" s="1" t="s">
        <v>378</v>
      </c>
      <c r="E1439" s="98">
        <v>63933590.785095304</v>
      </c>
      <c r="F1439" s="98">
        <v>44199.999955799904</v>
      </c>
      <c r="G1439" s="98">
        <v>808759.92343145504</v>
      </c>
      <c r="H1439" s="98">
        <v>1742190.3488938401</v>
      </c>
      <c r="J1439" s="98">
        <v>63560.860182543503</v>
      </c>
      <c r="K1439" s="98">
        <v>1860280.9340007764</v>
      </c>
      <c r="L1439" s="98">
        <v>143215.05810278299</v>
      </c>
      <c r="M1439" s="98">
        <v>-50146.704678538001</v>
      </c>
      <c r="O1439" s="98">
        <v>592410.00998084701</v>
      </c>
      <c r="R1439" s="98">
        <v>5204470.4298695195</v>
      </c>
      <c r="W1439" s="450"/>
      <c r="X1439" s="448"/>
    </row>
    <row r="1440" spans="1:24" ht="12.75" thickBot="1">
      <c r="A1440" s="35" t="s">
        <v>1271</v>
      </c>
      <c r="B1440" s="1" t="s">
        <v>378</v>
      </c>
      <c r="E1440" s="98">
        <v>58180400.468194798</v>
      </c>
      <c r="F1440" s="98">
        <v>44399.999955599902</v>
      </c>
      <c r="G1440" s="98">
        <v>735982.06592266506</v>
      </c>
      <c r="H1440" s="98">
        <v>1585415.9127583101</v>
      </c>
      <c r="J1440" s="98">
        <v>53496.964634694501</v>
      </c>
      <c r="K1440" s="98">
        <v>1564434.1881400957</v>
      </c>
      <c r="L1440" s="98">
        <v>75931.606409521904</v>
      </c>
      <c r="M1440" s="98">
        <v>-148196.230808116</v>
      </c>
      <c r="O1440" s="98">
        <v>522215.58587188099</v>
      </c>
      <c r="R1440" s="98">
        <v>4433680.0928846598</v>
      </c>
      <c r="W1440" s="450"/>
      <c r="X1440" s="448"/>
    </row>
    <row r="1441" spans="1:24" ht="12.75" thickBot="1">
      <c r="A1441" s="35" t="s">
        <v>1272</v>
      </c>
      <c r="B1441" s="1" t="s">
        <v>378</v>
      </c>
      <c r="E1441" s="98">
        <v>55589071.452384606</v>
      </c>
      <c r="F1441" s="98">
        <v>44599.999955400002</v>
      </c>
      <c r="G1441" s="98">
        <v>703201.75387266499</v>
      </c>
      <c r="H1441" s="98">
        <v>1514802.1970774801</v>
      </c>
      <c r="J1441" s="98">
        <v>61131.454103652402</v>
      </c>
      <c r="K1441" s="98">
        <v>1788015.5474288177</v>
      </c>
      <c r="L1441" s="98">
        <v>79223.438841626208</v>
      </c>
      <c r="M1441" s="98">
        <v>-294312.37844121398</v>
      </c>
      <c r="O1441" s="98">
        <v>532571.17422806798</v>
      </c>
      <c r="R1441" s="98">
        <v>4429233.1870665001</v>
      </c>
      <c r="W1441" s="450"/>
      <c r="X1441" s="448"/>
    </row>
    <row r="1442" spans="1:24" ht="12.75" thickBot="1">
      <c r="A1442" s="35" t="s">
        <v>1273</v>
      </c>
      <c r="B1442" s="1" t="s">
        <v>378</v>
      </c>
      <c r="E1442" s="98">
        <v>57508341.665990598</v>
      </c>
      <c r="F1442" s="98">
        <v>44799.999955200001</v>
      </c>
      <c r="G1442" s="98">
        <v>727480.52207478101</v>
      </c>
      <c r="H1442" s="98">
        <v>1567102.3103982399</v>
      </c>
      <c r="J1442" s="98">
        <v>58994.427144412904</v>
      </c>
      <c r="K1442" s="98">
        <v>1725716.6054790569</v>
      </c>
      <c r="L1442" s="98">
        <v>96987.131128428198</v>
      </c>
      <c r="M1442" s="98">
        <v>-81097.569529209199</v>
      </c>
      <c r="O1442" s="98">
        <v>596296.20641322504</v>
      </c>
      <c r="R1442" s="98">
        <v>4736279.6330641406</v>
      </c>
      <c r="W1442" s="450"/>
      <c r="X1442" s="448"/>
    </row>
    <row r="1443" spans="1:24" ht="12.75" thickBot="1">
      <c r="A1443" s="35" t="s">
        <v>1274</v>
      </c>
      <c r="B1443" s="1" t="s">
        <v>378</v>
      </c>
      <c r="E1443" s="98">
        <v>56529298.747229502</v>
      </c>
      <c r="F1443" s="98">
        <v>44999.999954999897</v>
      </c>
      <c r="G1443" s="98">
        <v>715095.62915245292</v>
      </c>
      <c r="H1443" s="98">
        <v>1540423.3908619999</v>
      </c>
      <c r="J1443" s="98">
        <v>62591.360694991701</v>
      </c>
      <c r="K1443" s="98">
        <v>1830548.6826428785</v>
      </c>
      <c r="L1443" s="98">
        <v>94874.307367074609</v>
      </c>
      <c r="M1443" s="98">
        <v>-49249.113543556196</v>
      </c>
      <c r="O1443" s="98">
        <v>625787.29474600195</v>
      </c>
      <c r="R1443" s="98">
        <v>4865071.5518768504</v>
      </c>
      <c r="W1443" s="450"/>
      <c r="X1443" s="448"/>
    </row>
    <row r="1444" spans="1:24" ht="12.75" thickBot="1">
      <c r="A1444" s="35" t="s">
        <v>1275</v>
      </c>
      <c r="B1444" s="1" t="s">
        <v>378</v>
      </c>
      <c r="E1444" s="98">
        <v>67792800.901758805</v>
      </c>
      <c r="F1444" s="98">
        <v>45199.999954799998</v>
      </c>
      <c r="G1444" s="98">
        <v>857578.93140725</v>
      </c>
      <c r="H1444" s="98">
        <v>1847353.8245729201</v>
      </c>
      <c r="J1444" s="98">
        <v>64439.894390105706</v>
      </c>
      <c r="K1444" s="98">
        <v>1889474.0113586544</v>
      </c>
      <c r="L1444" s="98">
        <v>141903.336697864</v>
      </c>
      <c r="M1444" s="98">
        <v>13078.148135155599</v>
      </c>
      <c r="O1444" s="98">
        <v>709619.86867112003</v>
      </c>
      <c r="R1444" s="98">
        <v>5568648.01518788</v>
      </c>
      <c r="W1444" s="450"/>
      <c r="X1444" s="448"/>
    </row>
    <row r="1445" spans="1:24" ht="12.75" thickBot="1">
      <c r="A1445" s="35" t="s">
        <v>1276</v>
      </c>
      <c r="B1445" s="1" t="s">
        <v>378</v>
      </c>
      <c r="E1445" s="98">
        <v>76748015.373360097</v>
      </c>
      <c r="F1445" s="98">
        <v>45399.999954599902</v>
      </c>
      <c r="G1445" s="98">
        <v>970862.39447300602</v>
      </c>
      <c r="H1445" s="98">
        <v>2091383.4189240602</v>
      </c>
      <c r="J1445" s="98">
        <v>72366.737906748604</v>
      </c>
      <c r="K1445" s="98">
        <v>2124374.5421802117</v>
      </c>
      <c r="L1445" s="98">
        <v>126184.243326155</v>
      </c>
      <c r="M1445" s="98">
        <v>116272.476370972</v>
      </c>
      <c r="O1445" s="98">
        <v>708329.10957432294</v>
      </c>
      <c r="R1445" s="98">
        <v>6255172.9227100797</v>
      </c>
      <c r="T1445" s="98" t="s">
        <v>1330</v>
      </c>
      <c r="W1445" s="450"/>
      <c r="X1445" s="448"/>
    </row>
    <row r="1446" spans="1:24" ht="12.75" thickBot="1">
      <c r="A1446" s="35" t="s">
        <v>1277</v>
      </c>
      <c r="B1446" s="1" t="s">
        <v>387</v>
      </c>
      <c r="E1446" s="98">
        <v>10990000</v>
      </c>
      <c r="G1446" s="98">
        <v>111548.5</v>
      </c>
      <c r="H1446" s="98">
        <v>299477.5</v>
      </c>
      <c r="J1446" s="98">
        <v>8032.44</v>
      </c>
      <c r="K1446" s="98">
        <v>301731.39999999898</v>
      </c>
      <c r="M1446" s="98">
        <v>21526.6200331115</v>
      </c>
      <c r="O1446" s="98">
        <v>69406.208046530999</v>
      </c>
      <c r="R1446" s="98">
        <v>811722.668079642</v>
      </c>
      <c r="T1446" s="445">
        <f t="shared" ref="T1446:T1457" si="126">J1446+K1446</f>
        <v>309763.83999999898</v>
      </c>
      <c r="U1446" s="568" t="str">
        <f>A1446</f>
        <v>JUL 2015</v>
      </c>
      <c r="W1446" s="450"/>
      <c r="X1446" s="448"/>
    </row>
    <row r="1447" spans="1:24" ht="12.75" thickBot="1">
      <c r="A1447" s="35" t="s">
        <v>1278</v>
      </c>
      <c r="B1447" s="1" t="s">
        <v>387</v>
      </c>
      <c r="E1447" s="98">
        <v>10824200</v>
      </c>
      <c r="G1447" s="98">
        <v>109865.62999999999</v>
      </c>
      <c r="H1447" s="98">
        <v>294959.45</v>
      </c>
      <c r="J1447" s="98">
        <v>6455.28</v>
      </c>
      <c r="K1447" s="98">
        <v>242486.799999999</v>
      </c>
      <c r="M1447" s="98">
        <v>23278.116627313997</v>
      </c>
      <c r="O1447" s="98">
        <v>69365.609710878198</v>
      </c>
      <c r="R1447" s="98">
        <v>746410.88633819192</v>
      </c>
      <c r="T1447" s="445">
        <f t="shared" si="126"/>
        <v>248942.079999999</v>
      </c>
      <c r="U1447" s="568" t="str">
        <f t="shared" ref="U1447:U1457" si="127">A1447</f>
        <v>AUG 2015</v>
      </c>
      <c r="W1447" s="450"/>
      <c r="X1447" s="448"/>
    </row>
    <row r="1448" spans="1:24" ht="12.75" thickBot="1">
      <c r="A1448" s="35" t="s">
        <v>1279</v>
      </c>
      <c r="B1448" s="1" t="s">
        <v>387</v>
      </c>
      <c r="E1448" s="98">
        <v>8540000</v>
      </c>
      <c r="G1448" s="98">
        <v>86681</v>
      </c>
      <c r="H1448" s="98">
        <v>232715</v>
      </c>
      <c r="J1448" s="98">
        <v>5325.0599999999995</v>
      </c>
      <c r="K1448" s="98">
        <v>200031.09999999998</v>
      </c>
      <c r="M1448" s="98">
        <v>2257.90828418704</v>
      </c>
      <c r="O1448" s="98">
        <v>72030.465438830797</v>
      </c>
      <c r="R1448" s="98">
        <v>599040.53372301697</v>
      </c>
      <c r="T1448" s="445">
        <f t="shared" si="126"/>
        <v>205356.15999999997</v>
      </c>
      <c r="U1448" s="568" t="str">
        <f t="shared" si="127"/>
        <v>SEP 2015</v>
      </c>
      <c r="W1448" s="450"/>
      <c r="X1448" s="448"/>
    </row>
    <row r="1449" spans="1:24" ht="12.75" thickBot="1">
      <c r="A1449" s="35" t="s">
        <v>1280</v>
      </c>
      <c r="B1449" s="1" t="s">
        <v>387</v>
      </c>
      <c r="E1449" s="98">
        <v>7093200</v>
      </c>
      <c r="G1449" s="98">
        <v>71995.98</v>
      </c>
      <c r="H1449" s="98">
        <v>193289.69999999899</v>
      </c>
      <c r="J1449" s="98">
        <v>3249.48</v>
      </c>
      <c r="K1449" s="98">
        <v>102733.56000000001</v>
      </c>
      <c r="M1449" s="98">
        <v>-1538.50397794181</v>
      </c>
      <c r="O1449" s="98">
        <v>67723.940215084294</v>
      </c>
      <c r="R1449" s="98">
        <v>437454.15623714199</v>
      </c>
      <c r="T1449" s="445">
        <f t="shared" si="126"/>
        <v>105983.04000000001</v>
      </c>
      <c r="U1449" s="568" t="str">
        <f t="shared" si="127"/>
        <v>OCT 2015</v>
      </c>
      <c r="W1449" s="450"/>
      <c r="X1449" s="448"/>
    </row>
    <row r="1450" spans="1:24" ht="12.75" thickBot="1">
      <c r="A1450" s="35" t="s">
        <v>1281</v>
      </c>
      <c r="B1450" s="1" t="s">
        <v>387</v>
      </c>
      <c r="E1450" s="98">
        <v>7436000</v>
      </c>
      <c r="G1450" s="98">
        <v>75475.399999999994</v>
      </c>
      <c r="H1450" s="98">
        <v>202631</v>
      </c>
      <c r="J1450" s="98">
        <v>3712.8</v>
      </c>
      <c r="K1450" s="98">
        <v>117381.59999999999</v>
      </c>
      <c r="M1450" s="98">
        <v>-1654.2512202572</v>
      </c>
      <c r="O1450" s="98">
        <v>76665.405909155001</v>
      </c>
      <c r="R1450" s="98">
        <v>474211.95468889701</v>
      </c>
      <c r="T1450" s="445">
        <f t="shared" si="126"/>
        <v>121094.39999999999</v>
      </c>
      <c r="U1450" s="568" t="str">
        <f t="shared" si="127"/>
        <v>NOV 2015</v>
      </c>
      <c r="W1450" s="450"/>
      <c r="X1450" s="448"/>
    </row>
    <row r="1451" spans="1:24" ht="12.75" thickBot="1">
      <c r="A1451" s="35" t="s">
        <v>1282</v>
      </c>
      <c r="B1451" s="1" t="s">
        <v>387</v>
      </c>
      <c r="E1451" s="98">
        <v>9529000</v>
      </c>
      <c r="G1451" s="98">
        <v>96719.35</v>
      </c>
      <c r="H1451" s="98">
        <v>259665.25</v>
      </c>
      <c r="J1451" s="98">
        <v>4810.26</v>
      </c>
      <c r="K1451" s="98">
        <v>152078.21999999997</v>
      </c>
      <c r="M1451" s="98">
        <v>-7474.1296869749394</v>
      </c>
      <c r="O1451" s="98">
        <v>88295.916368637903</v>
      </c>
      <c r="R1451" s="98">
        <v>594094.86668166297</v>
      </c>
      <c r="T1451" s="445">
        <f t="shared" si="126"/>
        <v>156888.47999999998</v>
      </c>
      <c r="U1451" s="568" t="str">
        <f t="shared" si="127"/>
        <v>DEC 2015</v>
      </c>
      <c r="W1451" s="450"/>
      <c r="X1451" s="448"/>
    </row>
    <row r="1452" spans="1:24" ht="12.75" thickBot="1">
      <c r="A1452" s="35" t="s">
        <v>1271</v>
      </c>
      <c r="B1452" s="1" t="s">
        <v>387</v>
      </c>
      <c r="E1452" s="98">
        <v>10975500</v>
      </c>
      <c r="G1452" s="98">
        <v>111401.325</v>
      </c>
      <c r="H1452" s="98">
        <v>299082.375</v>
      </c>
      <c r="J1452" s="98">
        <v>6069.18</v>
      </c>
      <c r="K1452" s="98">
        <v>191879.46000000002</v>
      </c>
      <c r="M1452" s="98">
        <v>-27956.626598396197</v>
      </c>
      <c r="O1452" s="98">
        <v>98513.882967685509</v>
      </c>
      <c r="R1452" s="98">
        <v>678989.59636928898</v>
      </c>
      <c r="T1452" s="445">
        <f t="shared" si="126"/>
        <v>197948.64</v>
      </c>
      <c r="U1452" s="568" t="str">
        <f t="shared" si="127"/>
        <v>JAN 2016</v>
      </c>
      <c r="W1452" s="450"/>
      <c r="X1452" s="448"/>
    </row>
    <row r="1453" spans="1:24" ht="12.75" thickBot="1">
      <c r="A1453" s="35" t="s">
        <v>1272</v>
      </c>
      <c r="B1453" s="1" t="s">
        <v>387</v>
      </c>
      <c r="E1453" s="98">
        <v>9522500</v>
      </c>
      <c r="G1453" s="98">
        <v>96653.375</v>
      </c>
      <c r="H1453" s="98">
        <v>259488.12500000003</v>
      </c>
      <c r="J1453" s="98">
        <v>5582.46</v>
      </c>
      <c r="K1453" s="98">
        <v>176491.62000000002</v>
      </c>
      <c r="M1453" s="98">
        <v>-50416.197833184699</v>
      </c>
      <c r="O1453" s="98">
        <v>91230.324128201202</v>
      </c>
      <c r="R1453" s="98">
        <v>579029.70629501599</v>
      </c>
      <c r="T1453" s="445">
        <f t="shared" si="126"/>
        <v>182074.08000000002</v>
      </c>
      <c r="U1453" s="568" t="str">
        <f t="shared" si="127"/>
        <v>FEB 2016</v>
      </c>
      <c r="W1453" s="450"/>
      <c r="X1453" s="448"/>
    </row>
    <row r="1454" spans="1:24" ht="12.75" thickBot="1">
      <c r="A1454" s="35" t="s">
        <v>1273</v>
      </c>
      <c r="B1454" s="1" t="s">
        <v>387</v>
      </c>
      <c r="E1454" s="98">
        <v>9371000</v>
      </c>
      <c r="G1454" s="98">
        <v>95115.650000000009</v>
      </c>
      <c r="H1454" s="98">
        <v>255359.75</v>
      </c>
      <c r="J1454" s="98">
        <v>4974.0599999999995</v>
      </c>
      <c r="K1454" s="98">
        <v>157256.82</v>
      </c>
      <c r="M1454" s="98">
        <v>-13214.871130732799</v>
      </c>
      <c r="O1454" s="98">
        <v>97166.629890892902</v>
      </c>
      <c r="R1454" s="98">
        <v>596658.03876015998</v>
      </c>
      <c r="T1454" s="445">
        <f t="shared" si="126"/>
        <v>162230.88</v>
      </c>
      <c r="U1454" s="568" t="str">
        <f t="shared" si="127"/>
        <v>MAR 2016</v>
      </c>
      <c r="W1454" s="450"/>
      <c r="X1454" s="448"/>
    </row>
    <row r="1455" spans="1:24" ht="12.75" thickBot="1">
      <c r="A1455" s="35" t="s">
        <v>1274</v>
      </c>
      <c r="B1455" s="1" t="s">
        <v>387</v>
      </c>
      <c r="E1455" s="98">
        <v>7236500</v>
      </c>
      <c r="G1455" s="98">
        <v>73450.474999999991</v>
      </c>
      <c r="H1455" s="98">
        <v>197194.625</v>
      </c>
      <c r="J1455" s="98">
        <v>2758.08</v>
      </c>
      <c r="K1455" s="98">
        <v>87197.759999999995</v>
      </c>
      <c r="M1455" s="98">
        <v>-6304.5397352538594</v>
      </c>
      <c r="O1455" s="98">
        <v>80109.073680157497</v>
      </c>
      <c r="R1455" s="98">
        <v>434405.473944903</v>
      </c>
      <c r="T1455" s="445">
        <f t="shared" si="126"/>
        <v>89955.839999999997</v>
      </c>
      <c r="U1455" s="568" t="str">
        <f t="shared" si="127"/>
        <v>APR 2016</v>
      </c>
      <c r="W1455" s="450"/>
      <c r="X1455" s="448"/>
    </row>
    <row r="1456" spans="1:24" ht="12.75" thickBot="1">
      <c r="A1456" s="35" t="s">
        <v>1275</v>
      </c>
      <c r="B1456" s="1" t="s">
        <v>387</v>
      </c>
      <c r="E1456" s="98">
        <v>8289000</v>
      </c>
      <c r="G1456" s="98">
        <v>84133.349999999991</v>
      </c>
      <c r="H1456" s="98">
        <v>225875.25</v>
      </c>
      <c r="J1456" s="98">
        <v>5048.9399999999996</v>
      </c>
      <c r="K1456" s="98">
        <v>159624.18000000002</v>
      </c>
      <c r="M1456" s="98">
        <v>1599.0602018258301</v>
      </c>
      <c r="O1456" s="98">
        <v>86764.951634596204</v>
      </c>
      <c r="R1456" s="98">
        <v>563045.731836422</v>
      </c>
      <c r="T1456" s="445">
        <f t="shared" si="126"/>
        <v>164673.12000000002</v>
      </c>
      <c r="U1456" s="568" t="str">
        <f t="shared" si="127"/>
        <v>MAY 2016</v>
      </c>
      <c r="W1456" s="450"/>
      <c r="X1456" s="448"/>
    </row>
    <row r="1457" spans="1:24" ht="12.75" thickBot="1">
      <c r="A1457" s="35" t="s">
        <v>1276</v>
      </c>
      <c r="B1457" s="1" t="s">
        <v>387</v>
      </c>
      <c r="E1457" s="98">
        <v>10068000</v>
      </c>
      <c r="G1457" s="98">
        <v>102190.20000000001</v>
      </c>
      <c r="H1457" s="98">
        <v>274353</v>
      </c>
      <c r="J1457" s="98">
        <v>6251.7</v>
      </c>
      <c r="K1457" s="98">
        <v>234839.49999999997</v>
      </c>
      <c r="M1457" s="98">
        <v>15252.919393525901</v>
      </c>
      <c r="O1457" s="98">
        <v>92920.415472654204</v>
      </c>
      <c r="R1457" s="98">
        <v>725807.73486617999</v>
      </c>
      <c r="T1457" s="445">
        <f t="shared" si="126"/>
        <v>241091.19999999998</v>
      </c>
      <c r="U1457" s="568" t="str">
        <f t="shared" si="127"/>
        <v>JUN 2016</v>
      </c>
      <c r="W1457" s="450"/>
      <c r="X1457" s="448"/>
    </row>
    <row r="1458" spans="1:24" ht="12.75" thickBot="1">
      <c r="A1458" s="35" t="s">
        <v>1277</v>
      </c>
      <c r="B1458" s="477" t="s">
        <v>370</v>
      </c>
      <c r="E1458" s="98">
        <v>40110980.652817905</v>
      </c>
      <c r="F1458" s="98">
        <v>563114.37002872396</v>
      </c>
      <c r="G1458" s="98">
        <v>2503727.4123488939</v>
      </c>
      <c r="H1458" s="98">
        <v>1093024.2227892899</v>
      </c>
      <c r="I1458" s="98">
        <v>66985.337690205997</v>
      </c>
      <c r="L1458" s="98">
        <v>66057.997755781995</v>
      </c>
      <c r="M1458" s="98">
        <v>78567.22835929961</v>
      </c>
      <c r="O1458" s="98">
        <v>253316.748693345</v>
      </c>
      <c r="R1458" s="98">
        <v>4624793.3176655397</v>
      </c>
      <c r="W1458" s="450"/>
      <c r="X1458" s="448"/>
    </row>
    <row r="1459" spans="1:24" ht="12.75" thickBot="1">
      <c r="A1459" s="35" t="s">
        <v>1278</v>
      </c>
      <c r="B1459" s="477" t="s">
        <v>370</v>
      </c>
      <c r="E1459" s="98">
        <v>40346504.676085003</v>
      </c>
      <c r="F1459" s="98">
        <v>563329.48348317901</v>
      </c>
      <c r="G1459" s="98">
        <v>2518428.8218812179</v>
      </c>
      <c r="H1459" s="98">
        <v>1099442.25242331</v>
      </c>
      <c r="I1459" s="98">
        <v>67378.662809061891</v>
      </c>
      <c r="L1459" s="98">
        <v>81733.379208013605</v>
      </c>
      <c r="M1459" s="98">
        <v>86767.672562811</v>
      </c>
      <c r="O1459" s="98">
        <v>258555.81904985401</v>
      </c>
      <c r="R1459" s="98">
        <v>4675636.0914174598</v>
      </c>
      <c r="T1459" s="25">
        <f>SUM(T1446:T1448,T1457)</f>
        <v>1005153.2799999979</v>
      </c>
      <c r="U1459" s="98" t="s">
        <v>1331</v>
      </c>
      <c r="W1459" s="450"/>
      <c r="X1459" s="448"/>
    </row>
    <row r="1460" spans="1:24" ht="12.75" thickBot="1">
      <c r="A1460" s="35" t="s">
        <v>1279</v>
      </c>
      <c r="B1460" s="477" t="s">
        <v>370</v>
      </c>
      <c r="E1460" s="98">
        <v>32918663.199789297</v>
      </c>
      <c r="F1460" s="98">
        <v>563544.596937633</v>
      </c>
      <c r="G1460" s="98">
        <v>2054782.956930842</v>
      </c>
      <c r="H1460" s="98">
        <v>897033.57219425903</v>
      </c>
      <c r="I1460" s="98">
        <v>54974.167543648102</v>
      </c>
      <c r="L1460" s="98">
        <v>70388.829050732296</v>
      </c>
      <c r="M1460" s="98">
        <v>8703.4335296449008</v>
      </c>
      <c r="O1460" s="98">
        <v>277651.83043383301</v>
      </c>
      <c r="R1460" s="98">
        <v>3927079.3866205998</v>
      </c>
      <c r="T1460" s="25">
        <f>SUM(T1449:T1456)</f>
        <v>1180848.4800000002</v>
      </c>
      <c r="U1460" s="98" t="s">
        <v>1329</v>
      </c>
      <c r="W1460" s="450"/>
      <c r="X1460" s="448"/>
    </row>
    <row r="1461" spans="1:24" ht="12.75" thickBot="1">
      <c r="A1461" s="35" t="s">
        <v>1280</v>
      </c>
      <c r="B1461" s="477" t="s">
        <v>370</v>
      </c>
      <c r="E1461" s="98">
        <v>29801686.440132003</v>
      </c>
      <c r="F1461" s="98">
        <v>563759.71039208793</v>
      </c>
      <c r="G1461" s="98">
        <v>1860221.2675930394</v>
      </c>
      <c r="H1461" s="98">
        <v>812095.95549359801</v>
      </c>
      <c r="I1461" s="98">
        <v>49768.816355020499</v>
      </c>
      <c r="L1461" s="98">
        <v>69247.460659305201</v>
      </c>
      <c r="M1461" s="98">
        <v>-6463.9391441828602</v>
      </c>
      <c r="O1461" s="98">
        <v>284538.37912087498</v>
      </c>
      <c r="R1461" s="98">
        <v>3633167.6504697399</v>
      </c>
      <c r="W1461" s="450"/>
      <c r="X1461" s="448"/>
    </row>
    <row r="1462" spans="1:24" ht="12.75" thickBot="1">
      <c r="A1462" s="35" t="s">
        <v>1281</v>
      </c>
      <c r="B1462" s="477" t="s">
        <v>370</v>
      </c>
      <c r="E1462" s="98">
        <v>29115339.213477999</v>
      </c>
      <c r="F1462" s="98">
        <v>563974.82384654204</v>
      </c>
      <c r="G1462" s="98">
        <v>1817379.4737052917</v>
      </c>
      <c r="H1462" s="98">
        <v>793392.99356727698</v>
      </c>
      <c r="I1462" s="98">
        <v>48622.616486508297</v>
      </c>
      <c r="L1462" s="98">
        <v>69915.502845811003</v>
      </c>
      <c r="M1462" s="98">
        <v>-6477.1497340100195</v>
      </c>
      <c r="O1462" s="98">
        <v>300180.11013771297</v>
      </c>
      <c r="R1462" s="98">
        <v>3586988.37085514</v>
      </c>
      <c r="W1462" s="450"/>
      <c r="X1462" s="448"/>
    </row>
    <row r="1463" spans="1:24" ht="12.75" thickBot="1">
      <c r="A1463" s="35" t="s">
        <v>1282</v>
      </c>
      <c r="B1463" s="477" t="s">
        <v>370</v>
      </c>
      <c r="E1463" s="98">
        <v>30941035.8693786</v>
      </c>
      <c r="F1463" s="98">
        <v>564189.93730099709</v>
      </c>
      <c r="G1463" s="98">
        <v>1931339.4589666077</v>
      </c>
      <c r="H1463" s="98">
        <v>843143.22744056699</v>
      </c>
      <c r="I1463" s="98">
        <v>51671.529901862297</v>
      </c>
      <c r="L1463" s="98">
        <v>69309.766515200812</v>
      </c>
      <c r="M1463" s="98">
        <v>-24268.7915559953</v>
      </c>
      <c r="O1463" s="98">
        <v>286700.29546454799</v>
      </c>
      <c r="R1463" s="98">
        <v>3722085.4240337899</v>
      </c>
      <c r="W1463" s="450"/>
      <c r="X1463" s="448"/>
    </row>
    <row r="1464" spans="1:24" ht="12.75" thickBot="1">
      <c r="A1464" s="35" t="s">
        <v>1271</v>
      </c>
      <c r="B1464" s="477" t="s">
        <v>370</v>
      </c>
      <c r="E1464" s="98">
        <v>31971164.158693798</v>
      </c>
      <c r="F1464" s="98">
        <v>564405.05075544899</v>
      </c>
      <c r="G1464" s="98">
        <v>1995640.0667856615</v>
      </c>
      <c r="H1464" s="98">
        <v>871214.22332440608</v>
      </c>
      <c r="I1464" s="98">
        <v>53391.8441450186</v>
      </c>
      <c r="L1464" s="98">
        <v>41725.767334297503</v>
      </c>
      <c r="M1464" s="98">
        <v>-81436.462876464211</v>
      </c>
      <c r="O1464" s="98">
        <v>286966.74632319401</v>
      </c>
      <c r="R1464" s="98">
        <v>3731907.23579157</v>
      </c>
      <c r="W1464" s="450"/>
      <c r="X1464" s="448"/>
    </row>
    <row r="1465" spans="1:24" ht="12.75" thickBot="1">
      <c r="A1465" s="35" t="s">
        <v>1272</v>
      </c>
      <c r="B1465" s="477" t="s">
        <v>370</v>
      </c>
      <c r="E1465" s="98">
        <v>28606751.2482532</v>
      </c>
      <c r="F1465" s="98">
        <v>564620.16420990403</v>
      </c>
      <c r="G1465" s="98">
        <v>1785633.4129159572</v>
      </c>
      <c r="H1465" s="98">
        <v>779533.97151489905</v>
      </c>
      <c r="I1465" s="98">
        <v>47773.274584582803</v>
      </c>
      <c r="L1465" s="98">
        <v>40769.258214986403</v>
      </c>
      <c r="M1465" s="98">
        <v>-151456.40643703201</v>
      </c>
      <c r="O1465" s="98">
        <v>274067.01902157604</v>
      </c>
      <c r="R1465" s="98">
        <v>3340940.69402488</v>
      </c>
      <c r="W1465" s="450"/>
      <c r="X1465" s="448"/>
    </row>
    <row r="1466" spans="1:24" ht="12.75" thickBot="1">
      <c r="A1466" s="35" t="s">
        <v>1273</v>
      </c>
      <c r="B1466" s="477" t="s">
        <v>370</v>
      </c>
      <c r="E1466" s="98">
        <v>29862341.073635701</v>
      </c>
      <c r="F1466" s="98">
        <v>564835.27766435803</v>
      </c>
      <c r="G1466" s="98">
        <v>1864007.3298163384</v>
      </c>
      <c r="H1466" s="98">
        <v>813748.79425657401</v>
      </c>
      <c r="I1466" s="98">
        <v>49870.109592971705</v>
      </c>
      <c r="L1466" s="98">
        <v>50362.481434990696</v>
      </c>
      <c r="M1466" s="98">
        <v>-42111.513066917702</v>
      </c>
      <c r="O1466" s="98">
        <v>309638.57035295898</v>
      </c>
      <c r="R1466" s="98">
        <v>3610351.0500512798</v>
      </c>
      <c r="W1466" s="450"/>
      <c r="X1466" s="448"/>
    </row>
    <row r="1467" spans="1:24" ht="12.75" thickBot="1">
      <c r="A1467" s="35" t="s">
        <v>1274</v>
      </c>
      <c r="B1467" s="477" t="s">
        <v>370</v>
      </c>
      <c r="E1467" s="98">
        <v>28238912.279392999</v>
      </c>
      <c r="F1467" s="98">
        <v>565050.39111881191</v>
      </c>
      <c r="G1467" s="98">
        <v>1762672.9044797036</v>
      </c>
      <c r="H1467" s="98">
        <v>769510.35961346002</v>
      </c>
      <c r="I1467" s="98">
        <v>47158.983506586301</v>
      </c>
      <c r="L1467" s="98">
        <v>47393.958578661703</v>
      </c>
      <c r="M1467" s="98">
        <v>-24602.1342563092</v>
      </c>
      <c r="O1467" s="98">
        <v>312608.734116962</v>
      </c>
      <c r="R1467" s="98">
        <v>3479793.1971578803</v>
      </c>
      <c r="W1467" s="450"/>
      <c r="X1467" s="448"/>
    </row>
    <row r="1468" spans="1:24" ht="12.75" thickBot="1">
      <c r="A1468" s="35" t="s">
        <v>1275</v>
      </c>
      <c r="B1468" s="477" t="s">
        <v>370</v>
      </c>
      <c r="E1468" s="98">
        <v>31985394.940836597</v>
      </c>
      <c r="F1468" s="98">
        <v>565265.50457326695</v>
      </c>
      <c r="G1468" s="98">
        <v>1996528.3522070132</v>
      </c>
      <c r="H1468" s="98">
        <v>871602.01213779708</v>
      </c>
      <c r="I1468" s="98">
        <v>53415.6095511971</v>
      </c>
      <c r="L1468" s="98">
        <v>66951.567236189207</v>
      </c>
      <c r="M1468" s="98">
        <v>6170.4152599316303</v>
      </c>
      <c r="O1468" s="98">
        <v>334806.52009351499</v>
      </c>
      <c r="R1468" s="98">
        <v>3894739.9810589198</v>
      </c>
      <c r="W1468" s="450"/>
      <c r="X1468" s="448"/>
    </row>
    <row r="1469" spans="1:24" ht="12.75" thickBot="1">
      <c r="A1469" s="35" t="s">
        <v>1276</v>
      </c>
      <c r="B1469" s="477" t="s">
        <v>370</v>
      </c>
      <c r="E1469" s="98">
        <v>36031760.275112301</v>
      </c>
      <c r="F1469" s="98">
        <v>565480.61802772095</v>
      </c>
      <c r="G1469" s="98">
        <v>2249102.4763725023</v>
      </c>
      <c r="H1469" s="98">
        <v>981865.46749681002</v>
      </c>
      <c r="I1469" s="98">
        <v>60173.039659437498</v>
      </c>
      <c r="L1469" s="98">
        <v>59241.146287707699</v>
      </c>
      <c r="M1469" s="98">
        <v>54587.756762330006</v>
      </c>
      <c r="O1469" s="98">
        <v>332547.29191244597</v>
      </c>
      <c r="R1469" s="98">
        <v>4302997.79651896</v>
      </c>
      <c r="W1469" s="450"/>
      <c r="X1469" s="448"/>
    </row>
    <row r="1470" spans="1:24" ht="12.75" thickBot="1">
      <c r="A1470" s="35" t="s">
        <v>1277</v>
      </c>
      <c r="B1470" s="1" t="s">
        <v>390</v>
      </c>
      <c r="E1470" s="98">
        <v>1185295.48</v>
      </c>
      <c r="F1470" s="98">
        <v>3570</v>
      </c>
      <c r="G1470" s="98">
        <v>14235.3987147999</v>
      </c>
      <c r="H1470" s="98">
        <v>32299.301829999997</v>
      </c>
      <c r="J1470" s="98">
        <v>2000.9514163199999</v>
      </c>
      <c r="K1470" s="98">
        <v>56151.699120479898</v>
      </c>
      <c r="L1470" s="98">
        <v>1952.0401865885999</v>
      </c>
      <c r="M1470" s="98">
        <v>2321.6929413034204</v>
      </c>
      <c r="O1470" s="98">
        <v>7485.6109810275602</v>
      </c>
      <c r="R1470" s="98">
        <v>120016.69519051901</v>
      </c>
      <c r="W1470" s="450"/>
      <c r="X1470" s="448"/>
    </row>
    <row r="1471" spans="1:24" ht="12.75" thickBot="1">
      <c r="A1471" s="35" t="s">
        <v>1278</v>
      </c>
      <c r="B1471" s="1" t="s">
        <v>390</v>
      </c>
      <c r="E1471" s="98">
        <v>1251082.889</v>
      </c>
      <c r="F1471" s="98">
        <v>3570</v>
      </c>
      <c r="G1471" s="98">
        <v>15025.50549689</v>
      </c>
      <c r="H1471" s="98">
        <v>34092.008725249994</v>
      </c>
      <c r="J1471" s="98">
        <v>2136.81369408</v>
      </c>
      <c r="K1471" s="98">
        <v>59964.334290119994</v>
      </c>
      <c r="L1471" s="98">
        <v>2534.42604280675</v>
      </c>
      <c r="M1471" s="98">
        <v>2690.5317160232598</v>
      </c>
      <c r="O1471" s="98">
        <v>8017.4172127576994</v>
      </c>
      <c r="R1471" s="98">
        <v>128031.03717792701</v>
      </c>
      <c r="W1471" s="450"/>
      <c r="X1471" s="448"/>
    </row>
    <row r="1472" spans="1:24" ht="12.75" thickBot="1">
      <c r="A1472" s="35" t="s">
        <v>1279</v>
      </c>
      <c r="B1472" s="1" t="s">
        <v>390</v>
      </c>
      <c r="E1472" s="98">
        <v>1023218.162</v>
      </c>
      <c r="F1472" s="98">
        <v>3570</v>
      </c>
      <c r="G1472" s="98">
        <v>12288.85012562</v>
      </c>
      <c r="H1472" s="98">
        <v>27882.6949145</v>
      </c>
      <c r="J1472" s="98">
        <v>2037.7072003199999</v>
      </c>
      <c r="K1472" s="98">
        <v>57183.158308979997</v>
      </c>
      <c r="L1472" s="98">
        <v>2187.9116976743899</v>
      </c>
      <c r="M1472" s="98">
        <v>270.53076867803702</v>
      </c>
      <c r="O1472" s="98">
        <v>8630.3138705298607</v>
      </c>
      <c r="R1472" s="98">
        <v>114051.166886302</v>
      </c>
      <c r="W1472" s="450"/>
      <c r="X1472" s="448"/>
    </row>
    <row r="1473" spans="1:24" ht="12.75" thickBot="1">
      <c r="A1473" s="35" t="s">
        <v>1280</v>
      </c>
      <c r="B1473" s="1" t="s">
        <v>390</v>
      </c>
      <c r="E1473" s="98">
        <v>1042841.1679999999</v>
      </c>
      <c r="F1473" s="98">
        <v>3570</v>
      </c>
      <c r="G1473" s="98">
        <v>12524.5224276799</v>
      </c>
      <c r="H1473" s="98">
        <v>28417.4218279999</v>
      </c>
      <c r="J1473" s="98">
        <v>1866.5642548800001</v>
      </c>
      <c r="K1473" s="98">
        <v>43475.392436579998</v>
      </c>
      <c r="L1473" s="98">
        <v>2423.1549076946699</v>
      </c>
      <c r="M1473" s="98">
        <v>-226.19061711632099</v>
      </c>
      <c r="O1473" s="98">
        <v>9956.7632261124199</v>
      </c>
      <c r="R1473" s="98">
        <v>102007.62846383</v>
      </c>
      <c r="W1473" s="450"/>
      <c r="X1473" s="448"/>
    </row>
    <row r="1474" spans="1:24" ht="12.75" thickBot="1">
      <c r="A1474" s="35" t="s">
        <v>1281</v>
      </c>
      <c r="B1474" s="1" t="s">
        <v>390</v>
      </c>
      <c r="E1474" s="98">
        <v>1056885.473</v>
      </c>
      <c r="F1474" s="98">
        <v>3570</v>
      </c>
      <c r="G1474" s="98">
        <v>12693.194530730001</v>
      </c>
      <c r="H1474" s="98">
        <v>28800.129139249999</v>
      </c>
      <c r="J1474" s="98">
        <v>1812.31015776</v>
      </c>
      <c r="K1474" s="98">
        <v>42211.724091160002</v>
      </c>
      <c r="L1474" s="98">
        <v>2537.9295344435204</v>
      </c>
      <c r="M1474" s="98">
        <v>-235.120237141253</v>
      </c>
      <c r="O1474" s="98">
        <v>10896.5241779228</v>
      </c>
      <c r="R1474" s="98">
        <v>102286.69139412499</v>
      </c>
      <c r="W1474" s="450"/>
      <c r="X1474" s="448"/>
    </row>
    <row r="1475" spans="1:24" ht="12.75" thickBot="1">
      <c r="A1475" s="35" t="s">
        <v>1282</v>
      </c>
      <c r="B1475" s="1" t="s">
        <v>390</v>
      </c>
      <c r="E1475" s="98">
        <v>1085431.7479999999</v>
      </c>
      <c r="F1475" s="98">
        <v>3570</v>
      </c>
      <c r="G1475" s="98">
        <v>13036.035293479899</v>
      </c>
      <c r="H1475" s="98">
        <v>29578.015132999903</v>
      </c>
      <c r="J1475" s="98">
        <v>1872.50686895999</v>
      </c>
      <c r="K1475" s="98">
        <v>43613.805822860013</v>
      </c>
      <c r="L1475" s="98">
        <v>2431.4318802920202</v>
      </c>
      <c r="M1475" s="98">
        <v>-851.36505938838297</v>
      </c>
      <c r="O1475" s="98">
        <v>10057.6336284261</v>
      </c>
      <c r="R1475" s="98">
        <v>103308.06356762901</v>
      </c>
      <c r="W1475" s="450"/>
      <c r="X1475" s="448"/>
    </row>
    <row r="1476" spans="1:24" ht="12.75" thickBot="1">
      <c r="A1476" s="35" t="s">
        <v>1271</v>
      </c>
      <c r="B1476" s="1" t="s">
        <v>390</v>
      </c>
      <c r="E1476" s="98">
        <v>1034319.374</v>
      </c>
      <c r="F1476" s="98">
        <v>3570</v>
      </c>
      <c r="G1476" s="98">
        <v>12422.1756817399</v>
      </c>
      <c r="H1476" s="98">
        <v>28185.202941499898</v>
      </c>
      <c r="J1476" s="98">
        <v>1848.43436256</v>
      </c>
      <c r="K1476" s="98">
        <v>43053.117027959997</v>
      </c>
      <c r="L1476" s="98">
        <v>1349.8967173875701</v>
      </c>
      <c r="M1476" s="98">
        <v>-2634.6025714003899</v>
      </c>
      <c r="O1476" s="98">
        <v>9283.8429011385088</v>
      </c>
      <c r="R1476" s="98">
        <v>97078.067060885704</v>
      </c>
      <c r="W1476" s="450"/>
      <c r="X1476" s="448"/>
    </row>
    <row r="1477" spans="1:24" ht="12.75" thickBot="1">
      <c r="A1477" s="35" t="s">
        <v>1272</v>
      </c>
      <c r="B1477" s="1" t="s">
        <v>390</v>
      </c>
      <c r="E1477" s="98">
        <v>963928.28199999896</v>
      </c>
      <c r="F1477" s="98">
        <v>3570</v>
      </c>
      <c r="G1477" s="98">
        <v>11576.778666819999</v>
      </c>
      <c r="H1477" s="98">
        <v>26267.045684499903</v>
      </c>
      <c r="J1477" s="98">
        <v>1790.88921504</v>
      </c>
      <c r="K1477" s="98">
        <v>41712.794633639998</v>
      </c>
      <c r="L1477" s="98">
        <v>1373.7540725455799</v>
      </c>
      <c r="M1477" s="98">
        <v>-5103.4496153650598</v>
      </c>
      <c r="O1477" s="98">
        <v>9234.9162093147897</v>
      </c>
      <c r="R1477" s="98">
        <v>90422.728866495308</v>
      </c>
      <c r="W1477" s="450"/>
      <c r="X1477" s="448"/>
    </row>
    <row r="1478" spans="1:24" ht="12.75" thickBot="1">
      <c r="A1478" s="35" t="s">
        <v>1273</v>
      </c>
      <c r="B1478" s="1" t="s">
        <v>390</v>
      </c>
      <c r="E1478" s="98">
        <v>1034858.446</v>
      </c>
      <c r="F1478" s="98">
        <v>3570</v>
      </c>
      <c r="G1478" s="98">
        <v>12428.649936459999</v>
      </c>
      <c r="H1478" s="98">
        <v>28199.892653499901</v>
      </c>
      <c r="J1478" s="98">
        <v>1828.1512055999999</v>
      </c>
      <c r="K1478" s="98">
        <v>42580.688497100004</v>
      </c>
      <c r="L1478" s="98">
        <v>1745.27640502141</v>
      </c>
      <c r="M1478" s="98">
        <v>-1459.34489408178</v>
      </c>
      <c r="O1478" s="98">
        <v>10730.307076293499</v>
      </c>
      <c r="R1478" s="98">
        <v>99623.620879893089</v>
      </c>
      <c r="W1478" s="450"/>
      <c r="X1478" s="448"/>
    </row>
    <row r="1479" spans="1:24" ht="12.75" thickBot="1">
      <c r="A1479" s="35" t="s">
        <v>1274</v>
      </c>
      <c r="B1479" s="1" t="s">
        <v>390</v>
      </c>
      <c r="E1479" s="98">
        <v>1038168.2350000001</v>
      </c>
      <c r="F1479" s="98">
        <v>3570</v>
      </c>
      <c r="G1479" s="98">
        <v>12468.400502350001</v>
      </c>
      <c r="H1479" s="98">
        <v>28290.084403749999</v>
      </c>
      <c r="J1479" s="98">
        <v>1871.9372784</v>
      </c>
      <c r="K1479" s="98">
        <v>43600.539109400001</v>
      </c>
      <c r="L1479" s="98">
        <v>1742.37951662102</v>
      </c>
      <c r="M1479" s="98">
        <v>-904.46664678171396</v>
      </c>
      <c r="O1479" s="98">
        <v>11492.668504113</v>
      </c>
      <c r="R1479" s="98">
        <v>102131.542667852</v>
      </c>
      <c r="W1479" s="450"/>
      <c r="X1479" s="448"/>
    </row>
    <row r="1480" spans="1:24" ht="12.75" thickBot="1">
      <c r="A1480" s="35" t="s">
        <v>1275</v>
      </c>
      <c r="B1480" s="1" t="s">
        <v>390</v>
      </c>
      <c r="E1480" s="98">
        <v>1232785.6599999999</v>
      </c>
      <c r="F1480" s="98">
        <v>3570</v>
      </c>
      <c r="G1480" s="98">
        <v>14805.755776599901</v>
      </c>
      <c r="H1480" s="98">
        <v>33593.409234999905</v>
      </c>
      <c r="J1480" s="98">
        <v>1924.6719331199899</v>
      </c>
      <c r="K1480" s="98">
        <v>54011.10612317991</v>
      </c>
      <c r="L1480" s="98">
        <v>2580.4568665157503</v>
      </c>
      <c r="M1480" s="98">
        <v>237.82102621396999</v>
      </c>
      <c r="O1480" s="98">
        <v>12904.16071489</v>
      </c>
      <c r="R1480" s="98">
        <v>123627.38167551901</v>
      </c>
      <c r="W1480" s="450"/>
      <c r="X1480" s="448"/>
    </row>
    <row r="1481" spans="1:24" ht="12.75" thickBot="1">
      <c r="A1481" s="35" t="s">
        <v>1276</v>
      </c>
      <c r="B1481" s="1" t="s">
        <v>390</v>
      </c>
      <c r="E1481" s="98">
        <v>1298251.8560000001</v>
      </c>
      <c r="F1481" s="98">
        <v>3570</v>
      </c>
      <c r="G1481" s="98">
        <v>15592.00479056</v>
      </c>
      <c r="H1481" s="98">
        <v>35377.363076000001</v>
      </c>
      <c r="J1481" s="98">
        <v>2076.8892431999898</v>
      </c>
      <c r="K1481" s="98">
        <v>58282.704387299913</v>
      </c>
      <c r="L1481" s="98">
        <v>2134.5037692401297</v>
      </c>
      <c r="M1481" s="98">
        <v>1966.83858880249</v>
      </c>
      <c r="O1481" s="98">
        <v>11981.9330400938</v>
      </c>
      <c r="R1481" s="98">
        <v>130982.23689519599</v>
      </c>
      <c r="W1481" s="450"/>
      <c r="X1481" s="448"/>
    </row>
    <row r="1482" spans="1:24" ht="12.75" thickBot="1">
      <c r="A1482" s="35" t="s">
        <v>1277</v>
      </c>
      <c r="B1482" s="1" t="s">
        <v>392</v>
      </c>
      <c r="E1482" s="98">
        <v>149464742.65215498</v>
      </c>
      <c r="F1482" s="98">
        <v>20400.000004354202</v>
      </c>
      <c r="G1482" s="98">
        <v>1215148.3577620198</v>
      </c>
      <c r="H1482" s="98">
        <v>4072914.23727124</v>
      </c>
      <c r="J1482" s="98">
        <v>139734.00236569002</v>
      </c>
      <c r="K1482" s="98">
        <v>3853984.7586776796</v>
      </c>
      <c r="L1482" s="98">
        <v>246150.59203223398</v>
      </c>
      <c r="M1482" s="98">
        <v>292763.48711735802</v>
      </c>
      <c r="O1482" s="98">
        <v>943929.11957568303</v>
      </c>
      <c r="R1482" s="98">
        <v>10785024.554806199</v>
      </c>
      <c r="W1482" s="450"/>
      <c r="X1482" s="448"/>
    </row>
    <row r="1483" spans="1:24" ht="12.75" thickBot="1">
      <c r="A1483" s="35" t="s">
        <v>1278</v>
      </c>
      <c r="B1483" s="1" t="s">
        <v>392</v>
      </c>
      <c r="E1483" s="98">
        <v>157760478.45504999</v>
      </c>
      <c r="F1483" s="98">
        <v>20700.000004418202</v>
      </c>
      <c r="G1483" s="98">
        <v>1282592.6898395601</v>
      </c>
      <c r="H1483" s="98">
        <v>4298973.0379001303</v>
      </c>
      <c r="J1483" s="98">
        <v>149221.77887271901</v>
      </c>
      <c r="K1483" s="98">
        <v>4115665.8487237617</v>
      </c>
      <c r="L1483" s="98">
        <v>319588.94861212798</v>
      </c>
      <c r="M1483" s="98">
        <v>339273.740013815</v>
      </c>
      <c r="O1483" s="98">
        <v>1010989.4289013901</v>
      </c>
      <c r="R1483" s="98">
        <v>11537005.472867901</v>
      </c>
      <c r="W1483" s="450"/>
      <c r="X1483" s="448"/>
    </row>
    <row r="1484" spans="1:24" ht="12.75" thickBot="1">
      <c r="A1484" s="35" t="s">
        <v>1279</v>
      </c>
      <c r="B1484" s="1" t="s">
        <v>392</v>
      </c>
      <c r="E1484" s="98">
        <v>129026931.945024</v>
      </c>
      <c r="F1484" s="98">
        <v>20700.000004418202</v>
      </c>
      <c r="G1484" s="98">
        <v>1048988.9567130399</v>
      </c>
      <c r="H1484" s="98">
        <v>3515983.8955019</v>
      </c>
      <c r="J1484" s="98">
        <v>142300.797743428</v>
      </c>
      <c r="K1484" s="98">
        <v>3924779.197358212</v>
      </c>
      <c r="L1484" s="98">
        <v>275893.78707446699</v>
      </c>
      <c r="M1484" s="98">
        <v>34113.697719192896</v>
      </c>
      <c r="O1484" s="98">
        <v>1088275.1712112899</v>
      </c>
      <c r="R1484" s="98">
        <v>10051035.5033259</v>
      </c>
      <c r="W1484" s="450"/>
      <c r="X1484" s="448"/>
    </row>
    <row r="1485" spans="1:24" ht="12.75" thickBot="1">
      <c r="A1485" s="35" t="s">
        <v>1280</v>
      </c>
      <c r="B1485" s="1" t="s">
        <v>392</v>
      </c>
      <c r="E1485" s="98">
        <v>131501376.245887</v>
      </c>
      <c r="F1485" s="98">
        <v>20700.000004418202</v>
      </c>
      <c r="G1485" s="98">
        <v>1069106.1888790601</v>
      </c>
      <c r="H1485" s="98">
        <v>3583412.5027004303</v>
      </c>
      <c r="J1485" s="98">
        <v>130349.23882465198</v>
      </c>
      <c r="K1485" s="98">
        <v>3595144.8554883478</v>
      </c>
      <c r="L1485" s="98">
        <v>305557.75414001197</v>
      </c>
      <c r="M1485" s="98">
        <v>-28522.442685828901</v>
      </c>
      <c r="O1485" s="98">
        <v>1255539.2972252001</v>
      </c>
      <c r="R1485" s="98">
        <v>9931287.3945763092</v>
      </c>
      <c r="W1485" s="450"/>
      <c r="X1485" s="448"/>
    </row>
    <row r="1486" spans="1:24" ht="12.75" thickBot="1">
      <c r="A1486" s="35" t="s">
        <v>1281</v>
      </c>
      <c r="B1486" s="1" t="s">
        <v>392</v>
      </c>
      <c r="E1486" s="98">
        <v>133272351.046505</v>
      </c>
      <c r="F1486" s="98">
        <v>21000.000004482201</v>
      </c>
      <c r="G1486" s="98">
        <v>1083504.2140080901</v>
      </c>
      <c r="H1486" s="98">
        <v>3631671.5660172701</v>
      </c>
      <c r="J1486" s="98">
        <v>126560.47007903901</v>
      </c>
      <c r="K1486" s="98">
        <v>3490647.3333909004</v>
      </c>
      <c r="L1486" s="98">
        <v>320030.73605086002</v>
      </c>
      <c r="M1486" s="98">
        <v>-29648.460105598202</v>
      </c>
      <c r="O1486" s="98">
        <v>1374042.3466175001</v>
      </c>
      <c r="R1486" s="98">
        <v>10017808.206062499</v>
      </c>
      <c r="W1486" s="450"/>
      <c r="X1486" s="448"/>
    </row>
    <row r="1487" spans="1:24" ht="12.75" thickBot="1">
      <c r="A1487" s="35" t="s">
        <v>1282</v>
      </c>
      <c r="B1487" s="1" t="s">
        <v>392</v>
      </c>
      <c r="E1487" s="98">
        <v>136872011.74776098</v>
      </c>
      <c r="F1487" s="98">
        <v>21000.000004482201</v>
      </c>
      <c r="G1487" s="98">
        <v>1112769.4555093001</v>
      </c>
      <c r="H1487" s="98">
        <v>3729762.3201265</v>
      </c>
      <c r="J1487" s="98">
        <v>130764.23403460899</v>
      </c>
      <c r="K1487" s="98">
        <v>3606590.7826583008</v>
      </c>
      <c r="L1487" s="98">
        <v>306601.473097148</v>
      </c>
      <c r="M1487" s="98">
        <v>-107356.403223835</v>
      </c>
      <c r="O1487" s="98">
        <v>1268258.9676238399</v>
      </c>
      <c r="R1487" s="98">
        <v>10068390.8298303</v>
      </c>
      <c r="W1487" s="450"/>
      <c r="X1487" s="448"/>
    </row>
    <row r="1488" spans="1:24" ht="12.75" thickBot="1">
      <c r="A1488" s="35" t="s">
        <v>1271</v>
      </c>
      <c r="B1488" s="1" t="s">
        <v>392</v>
      </c>
      <c r="E1488" s="98">
        <v>130426785.24551199</v>
      </c>
      <c r="F1488" s="98">
        <v>21000.000004482201</v>
      </c>
      <c r="G1488" s="98">
        <v>1060369.7640460101</v>
      </c>
      <c r="H1488" s="98">
        <v>3554129.8979402101</v>
      </c>
      <c r="J1488" s="98">
        <v>129083.15988478099</v>
      </c>
      <c r="K1488" s="98">
        <v>3560225.3022455391</v>
      </c>
      <c r="L1488" s="98">
        <v>170220.81736847697</v>
      </c>
      <c r="M1488" s="98">
        <v>-332221.12282246898</v>
      </c>
      <c r="O1488" s="98">
        <v>1170684.62097652</v>
      </c>
      <c r="R1488" s="98">
        <v>9333492.4396435712</v>
      </c>
      <c r="W1488" s="450"/>
      <c r="X1488" s="448"/>
    </row>
    <row r="1489" spans="1:24" ht="12.75" thickBot="1">
      <c r="A1489" s="35" t="s">
        <v>1272</v>
      </c>
      <c r="B1489" s="1" t="s">
        <v>392</v>
      </c>
      <c r="E1489" s="98">
        <v>121550528.942415</v>
      </c>
      <c r="F1489" s="98">
        <v>21300.000004546298</v>
      </c>
      <c r="G1489" s="98">
        <v>988205.80030183599</v>
      </c>
      <c r="H1489" s="98">
        <v>3312251.91368081</v>
      </c>
      <c r="J1489" s="98">
        <v>125064.564675193</v>
      </c>
      <c r="K1489" s="98">
        <v>3449388.9672846673</v>
      </c>
      <c r="L1489" s="98">
        <v>173229.209343514</v>
      </c>
      <c r="M1489" s="98">
        <v>-643540.61579302093</v>
      </c>
      <c r="O1489" s="98">
        <v>1164515.00691738</v>
      </c>
      <c r="R1489" s="98">
        <v>8590414.8464149497</v>
      </c>
      <c r="W1489" s="450"/>
      <c r="X1489" s="448"/>
    </row>
    <row r="1490" spans="1:24" ht="12.75" thickBot="1">
      <c r="A1490" s="35" t="s">
        <v>1273</v>
      </c>
      <c r="B1490" s="1" t="s">
        <v>392</v>
      </c>
      <c r="E1490" s="98">
        <v>130494761.745536</v>
      </c>
      <c r="F1490" s="98">
        <v>21300.000004546298</v>
      </c>
      <c r="G1490" s="98">
        <v>1060922.4129912099</v>
      </c>
      <c r="H1490" s="98">
        <v>3555982.2575658602</v>
      </c>
      <c r="J1490" s="98">
        <v>127666.710374926</v>
      </c>
      <c r="K1490" s="98">
        <v>3521158.3984361039</v>
      </c>
      <c r="L1490" s="98">
        <v>220077.85657418799</v>
      </c>
      <c r="M1490" s="98">
        <v>-184022.13848073198</v>
      </c>
      <c r="O1490" s="98">
        <v>1353082.5117094</v>
      </c>
      <c r="R1490" s="98">
        <v>9676168.0091755092</v>
      </c>
      <c r="W1490" s="450"/>
      <c r="X1490" s="448"/>
    </row>
    <row r="1491" spans="1:24" ht="12.75" thickBot="1">
      <c r="A1491" s="35" t="s">
        <v>1274</v>
      </c>
      <c r="B1491" s="1" t="s">
        <v>392</v>
      </c>
      <c r="E1491" s="98">
        <v>130912123.345681</v>
      </c>
      <c r="F1491" s="98">
        <v>21300.000004546298</v>
      </c>
      <c r="G1491" s="98">
        <v>1064315.5628003899</v>
      </c>
      <c r="H1491" s="98">
        <v>3567355.36116983</v>
      </c>
      <c r="J1491" s="98">
        <v>130724.457360613</v>
      </c>
      <c r="K1491" s="98">
        <v>3605493.7074913969</v>
      </c>
      <c r="L1491" s="98">
        <v>219712.561514542</v>
      </c>
      <c r="M1491" s="98">
        <v>-114052.467831038</v>
      </c>
      <c r="O1491" s="98">
        <v>1449215.6339010701</v>
      </c>
      <c r="R1491" s="98">
        <v>9944064.8164113611</v>
      </c>
      <c r="W1491" s="450"/>
      <c r="X1491" s="448"/>
    </row>
    <row r="1492" spans="1:24" ht="12.75" thickBot="1">
      <c r="A1492" s="35" t="s">
        <v>1275</v>
      </c>
      <c r="B1492" s="1" t="s">
        <v>392</v>
      </c>
      <c r="E1492" s="98">
        <v>155453213.55424502</v>
      </c>
      <c r="F1492" s="98">
        <v>21600.000004610301</v>
      </c>
      <c r="G1492" s="98">
        <v>1263834.62619601</v>
      </c>
      <c r="H1492" s="98">
        <v>4236100.0693531893</v>
      </c>
      <c r="J1492" s="98">
        <v>134407.11769823599</v>
      </c>
      <c r="K1492" s="98">
        <v>3707064.6678491142</v>
      </c>
      <c r="L1492" s="98">
        <v>325393.39591116901</v>
      </c>
      <c r="M1492" s="98">
        <v>29989.027269939299</v>
      </c>
      <c r="O1492" s="98">
        <v>1627203.58975469</v>
      </c>
      <c r="R1492" s="98">
        <v>11345592.4940369</v>
      </c>
      <c r="W1492" s="450"/>
      <c r="X1492" s="448"/>
    </row>
    <row r="1493" spans="1:24" ht="12.75" thickBot="1">
      <c r="A1493" s="35" t="s">
        <v>1276</v>
      </c>
      <c r="B1493" s="1" t="s">
        <v>392</v>
      </c>
      <c r="E1493" s="98">
        <v>163708444.757126</v>
      </c>
      <c r="F1493" s="98">
        <v>21600.000004610301</v>
      </c>
      <c r="G1493" s="98">
        <v>1330949.65587543</v>
      </c>
      <c r="H1493" s="98">
        <v>4461055.11963169</v>
      </c>
      <c r="J1493" s="98">
        <v>145037.02792514698</v>
      </c>
      <c r="K1493" s="98">
        <v>4000246.7946603131</v>
      </c>
      <c r="L1493" s="98">
        <v>269159.09326497099</v>
      </c>
      <c r="M1493" s="98">
        <v>248016.657918151</v>
      </c>
      <c r="O1493" s="98">
        <v>1510911.47230971</v>
      </c>
      <c r="R1493" s="98">
        <v>11986975.821590001</v>
      </c>
      <c r="W1493" s="450"/>
      <c r="X1493" s="448"/>
    </row>
    <row r="1494" spans="1:24" ht="12.75" thickBot="1">
      <c r="A1494" s="35" t="s">
        <v>1277</v>
      </c>
      <c r="B1494" s="1" t="s">
        <v>391</v>
      </c>
      <c r="E1494" s="98">
        <v>23109450.550000001</v>
      </c>
      <c r="F1494" s="98">
        <v>18600</v>
      </c>
      <c r="G1494" s="98">
        <v>292334.54945749999</v>
      </c>
      <c r="H1494" s="98">
        <v>629732.52748749999</v>
      </c>
      <c r="J1494" s="98">
        <v>25056.877271748501</v>
      </c>
      <c r="K1494" s="98">
        <v>732933.79638396355</v>
      </c>
      <c r="L1494" s="98">
        <v>38058.5068658003</v>
      </c>
      <c r="M1494" s="98">
        <v>45265.546966681693</v>
      </c>
      <c r="O1494" s="98">
        <v>145945.34419602499</v>
      </c>
      <c r="R1494" s="98">
        <v>1927927.14862922</v>
      </c>
      <c r="W1494" s="450"/>
      <c r="X1494" s="448"/>
    </row>
    <row r="1495" spans="1:24" ht="12.75" thickBot="1">
      <c r="A1495" s="35" t="s">
        <v>1278</v>
      </c>
      <c r="B1495" s="1" t="s">
        <v>391</v>
      </c>
      <c r="E1495" s="98">
        <v>23497311.449999999</v>
      </c>
      <c r="F1495" s="98">
        <v>18799.999999999902</v>
      </c>
      <c r="G1495" s="98">
        <v>297240.98984249902</v>
      </c>
      <c r="H1495" s="98">
        <v>640301.73701249994</v>
      </c>
      <c r="J1495" s="98">
        <v>26111.6750377631</v>
      </c>
      <c r="K1495" s="98">
        <v>763983.16882118594</v>
      </c>
      <c r="L1495" s="98">
        <v>47600.521594873499</v>
      </c>
      <c r="M1495" s="98">
        <v>50532.432545723605</v>
      </c>
      <c r="O1495" s="98">
        <v>150579.75049385999</v>
      </c>
      <c r="R1495" s="98">
        <v>1995150.2753484</v>
      </c>
      <c r="W1495" s="450"/>
      <c r="X1495" s="448"/>
    </row>
    <row r="1496" spans="1:24" ht="12.75" thickBot="1">
      <c r="A1496" s="35" t="s">
        <v>1279</v>
      </c>
      <c r="B1496" s="1" t="s">
        <v>391</v>
      </c>
      <c r="E1496" s="98">
        <v>20552866.419999998</v>
      </c>
      <c r="F1496" s="98">
        <v>18999.999999999902</v>
      </c>
      <c r="G1496" s="98">
        <v>259993.76021299997</v>
      </c>
      <c r="H1496" s="98">
        <v>560065.60994500003</v>
      </c>
      <c r="J1496" s="98">
        <v>24956.7331933649</v>
      </c>
      <c r="K1496" s="98">
        <v>730925.56296750915</v>
      </c>
      <c r="L1496" s="98">
        <v>43947.477215574603</v>
      </c>
      <c r="M1496" s="98">
        <v>5434.0149125887192</v>
      </c>
      <c r="O1496" s="98">
        <v>173352.755776898</v>
      </c>
      <c r="R1496" s="98">
        <v>1817675.9142239301</v>
      </c>
      <c r="W1496" s="450"/>
      <c r="X1496" s="448"/>
    </row>
    <row r="1497" spans="1:24" ht="12.75" thickBot="1">
      <c r="A1497" s="35" t="s">
        <v>1280</v>
      </c>
      <c r="B1497" s="1" t="s">
        <v>391</v>
      </c>
      <c r="E1497" s="98">
        <v>20321483.759999998</v>
      </c>
      <c r="F1497" s="98">
        <v>19200</v>
      </c>
      <c r="G1497" s="98">
        <v>257066.76956400002</v>
      </c>
      <c r="H1497" s="98">
        <v>553760.43245999992</v>
      </c>
      <c r="J1497" s="98">
        <v>23490.9909123363</v>
      </c>
      <c r="K1497" s="98">
        <v>687090.67620054469</v>
      </c>
      <c r="L1497" s="98">
        <v>47219.178352078299</v>
      </c>
      <c r="M1497" s="98">
        <v>-4407.6980209834801</v>
      </c>
      <c r="O1497" s="98">
        <v>194023.98793831302</v>
      </c>
      <c r="R1497" s="98">
        <v>1777444.33740629</v>
      </c>
      <c r="W1497" s="450"/>
      <c r="X1497" s="448"/>
    </row>
    <row r="1498" spans="1:24" ht="12.75" thickBot="1">
      <c r="A1498" s="35" t="s">
        <v>1281</v>
      </c>
      <c r="B1498" s="1" t="s">
        <v>391</v>
      </c>
      <c r="E1498" s="98">
        <v>20853450.369999997</v>
      </c>
      <c r="F1498" s="98">
        <v>19400</v>
      </c>
      <c r="G1498" s="98">
        <v>263796.14718049997</v>
      </c>
      <c r="H1498" s="98">
        <v>568256.52258249896</v>
      </c>
      <c r="J1498" s="98">
        <v>24360.135441606602</v>
      </c>
      <c r="K1498" s="98">
        <v>713609.25022058131</v>
      </c>
      <c r="L1498" s="98">
        <v>50075.991146748696</v>
      </c>
      <c r="M1498" s="98">
        <v>-4639.1669877818094</v>
      </c>
      <c r="O1498" s="98">
        <v>214999.76294008401</v>
      </c>
      <c r="R1498" s="98">
        <v>1849858.6425242398</v>
      </c>
      <c r="W1498" s="450"/>
      <c r="X1498" s="448"/>
    </row>
    <row r="1499" spans="1:24" ht="12.75" thickBot="1">
      <c r="A1499" s="35" t="s">
        <v>1282</v>
      </c>
      <c r="B1499" s="1" t="s">
        <v>391</v>
      </c>
      <c r="E1499" s="98">
        <v>20700533.809999898</v>
      </c>
      <c r="F1499" s="98">
        <v>19600</v>
      </c>
      <c r="G1499" s="98">
        <v>261861.75269649999</v>
      </c>
      <c r="H1499" s="98">
        <v>564089.54632249905</v>
      </c>
      <c r="J1499" s="98">
        <v>23466.253104304498</v>
      </c>
      <c r="K1499" s="98">
        <v>686313.62047028053</v>
      </c>
      <c r="L1499" s="98">
        <v>46370.430879175801</v>
      </c>
      <c r="M1499" s="98">
        <v>-16236.5908579651</v>
      </c>
      <c r="O1499" s="98">
        <v>191811.58590344401</v>
      </c>
      <c r="R1499" s="98">
        <v>1777276.59851824</v>
      </c>
      <c r="W1499" s="450"/>
      <c r="X1499" s="448"/>
    </row>
    <row r="1500" spans="1:24" ht="12.75" thickBot="1">
      <c r="A1500" s="35" t="s">
        <v>1271</v>
      </c>
      <c r="B1500" s="1" t="s">
        <v>391</v>
      </c>
      <c r="E1500" s="98">
        <v>20040158.870000001</v>
      </c>
      <c r="F1500" s="98">
        <v>19799.999999999902</v>
      </c>
      <c r="G1500" s="98">
        <v>253508.00970550001</v>
      </c>
      <c r="H1500" s="98">
        <v>546094.32920749998</v>
      </c>
      <c r="J1500" s="98">
        <v>22561.200981506998</v>
      </c>
      <c r="K1500" s="98">
        <v>659596.140175123</v>
      </c>
      <c r="L1500" s="98">
        <v>26154.537326242298</v>
      </c>
      <c r="M1500" s="98">
        <v>-51045.9877455358</v>
      </c>
      <c r="O1500" s="98">
        <v>179876.439849938</v>
      </c>
      <c r="R1500" s="98">
        <v>1656544.6695002699</v>
      </c>
      <c r="W1500" s="450"/>
      <c r="X1500" s="448"/>
    </row>
    <row r="1501" spans="1:24" ht="12.75" thickBot="1">
      <c r="A1501" s="35" t="s">
        <v>1272</v>
      </c>
      <c r="B1501" s="1" t="s">
        <v>391</v>
      </c>
      <c r="E1501" s="98">
        <v>19781342.359999899</v>
      </c>
      <c r="F1501" s="98">
        <v>20000</v>
      </c>
      <c r="G1501" s="98">
        <v>250233.98085400002</v>
      </c>
      <c r="H1501" s="98">
        <v>539041.5793099989</v>
      </c>
      <c r="J1501" s="98">
        <v>24212.527227340699</v>
      </c>
      <c r="K1501" s="98">
        <v>707977.76993792725</v>
      </c>
      <c r="L1501" s="98">
        <v>28191.619786365402</v>
      </c>
      <c r="M1501" s="98">
        <v>-104730.907831737</v>
      </c>
      <c r="O1501" s="98">
        <v>189515.17723220901</v>
      </c>
      <c r="R1501" s="98">
        <v>1654441.7465160999</v>
      </c>
      <c r="W1501" s="450"/>
      <c r="X1501" s="448"/>
    </row>
    <row r="1502" spans="1:24" ht="12.75" thickBot="1">
      <c r="A1502" s="35" t="s">
        <v>1273</v>
      </c>
      <c r="B1502" s="1" t="s">
        <v>391</v>
      </c>
      <c r="E1502" s="98">
        <v>20709792.509999998</v>
      </c>
      <c r="F1502" s="98">
        <v>20000</v>
      </c>
      <c r="G1502" s="98">
        <v>261978.87525150002</v>
      </c>
      <c r="H1502" s="98">
        <v>564341.84589749994</v>
      </c>
      <c r="J1502" s="98">
        <v>24053.153596882101</v>
      </c>
      <c r="K1502" s="98">
        <v>702511.59623013285</v>
      </c>
      <c r="L1502" s="98">
        <v>34926.817634140694</v>
      </c>
      <c r="M1502" s="98">
        <v>-29204.699515939101</v>
      </c>
      <c r="O1502" s="98">
        <v>214737.03382097499</v>
      </c>
      <c r="R1502" s="98">
        <v>1793344.6229151899</v>
      </c>
      <c r="W1502" s="450"/>
      <c r="X1502" s="448"/>
    </row>
    <row r="1503" spans="1:24" ht="12.75" thickBot="1">
      <c r="A1503" s="35" t="s">
        <v>1274</v>
      </c>
      <c r="B1503" s="1" t="s">
        <v>391</v>
      </c>
      <c r="E1503" s="98">
        <v>20494105.280000001</v>
      </c>
      <c r="F1503" s="98">
        <v>20000</v>
      </c>
      <c r="G1503" s="98">
        <v>259250.43179199996</v>
      </c>
      <c r="H1503" s="98">
        <v>558464.36887999903</v>
      </c>
      <c r="J1503" s="98">
        <v>24449.134339142402</v>
      </c>
      <c r="K1503" s="98">
        <v>715781.12359703472</v>
      </c>
      <c r="L1503" s="98">
        <v>34395.686602130299</v>
      </c>
      <c r="M1503" s="98">
        <v>-17854.750373279297</v>
      </c>
      <c r="O1503" s="98">
        <v>226872.63039928398</v>
      </c>
      <c r="R1503" s="98">
        <v>1821358.6252363101</v>
      </c>
      <c r="W1503" s="450"/>
      <c r="X1503" s="448"/>
    </row>
    <row r="1504" spans="1:24" ht="12.75" thickBot="1">
      <c r="A1504" s="35" t="s">
        <v>1275</v>
      </c>
      <c r="B1504" s="1" t="s">
        <v>391</v>
      </c>
      <c r="E1504" s="98">
        <v>24315210.279999901</v>
      </c>
      <c r="F1504" s="98">
        <v>20000</v>
      </c>
      <c r="G1504" s="98">
        <v>307587.410042</v>
      </c>
      <c r="H1504" s="98">
        <v>662589.48012999899</v>
      </c>
      <c r="J1504" s="98">
        <v>25302.539396460201</v>
      </c>
      <c r="K1504" s="98">
        <v>741135.76473836182</v>
      </c>
      <c r="L1504" s="98">
        <v>50896.399401498798</v>
      </c>
      <c r="M1504" s="98">
        <v>4690.7329059928106</v>
      </c>
      <c r="O1504" s="98">
        <v>254519.00638547901</v>
      </c>
      <c r="R1504" s="98">
        <v>2066721.3329997899</v>
      </c>
      <c r="W1504" s="450"/>
      <c r="X1504" s="448"/>
    </row>
    <row r="1505" spans="1:24" ht="12.75" thickBot="1">
      <c r="A1505" s="35" t="s">
        <v>1276</v>
      </c>
      <c r="B1505" s="1" t="s">
        <v>391</v>
      </c>
      <c r="E1505" s="98">
        <v>25167481.400000002</v>
      </c>
      <c r="F1505" s="98">
        <v>20000</v>
      </c>
      <c r="G1505" s="98">
        <v>318368.63970999903</v>
      </c>
      <c r="H1505" s="98">
        <v>685813.86814999999</v>
      </c>
      <c r="J1505" s="98">
        <v>26535.858141644097</v>
      </c>
      <c r="K1505" s="98">
        <v>775937.31507374998</v>
      </c>
      <c r="L1505" s="98">
        <v>41378.784603548294</v>
      </c>
      <c r="M1505" s="98">
        <v>38128.482829982502</v>
      </c>
      <c r="O1505" s="98">
        <v>232277.793810915</v>
      </c>
      <c r="R1505" s="98">
        <v>2138440.74231984</v>
      </c>
      <c r="W1505" s="450"/>
      <c r="X1505" s="448"/>
    </row>
    <row r="1506" spans="1:24" ht="12.75" thickBot="1">
      <c r="A1506" s="35" t="s">
        <v>1277</v>
      </c>
      <c r="B1506" s="1" t="s">
        <v>793</v>
      </c>
      <c r="E1506" s="98">
        <v>7505863.9544941299</v>
      </c>
      <c r="G1506" s="98">
        <v>1346832.7127481401</v>
      </c>
      <c r="H1506" s="98">
        <v>204534.792759965</v>
      </c>
      <c r="M1506" s="98">
        <v>14702.0820171632</v>
      </c>
      <c r="N1506" s="98">
        <v>47402.507297049902</v>
      </c>
      <c r="R1506" s="98">
        <v>1613472.0948223202</v>
      </c>
      <c r="W1506" s="450"/>
      <c r="X1506" s="448"/>
    </row>
    <row r="1507" spans="1:24" ht="12.75" thickBot="1">
      <c r="A1507" s="35" t="s">
        <v>1278</v>
      </c>
      <c r="B1507" s="1" t="s">
        <v>793</v>
      </c>
      <c r="E1507" s="98">
        <v>7966910.46803308</v>
      </c>
      <c r="G1507" s="98">
        <v>1330281.24892819</v>
      </c>
      <c r="H1507" s="98">
        <v>217098.310253901</v>
      </c>
      <c r="M1507" s="98">
        <v>17133.337432257602</v>
      </c>
      <c r="N1507" s="98">
        <v>51055.006571117803</v>
      </c>
      <c r="R1507" s="98">
        <v>1615567.90318547</v>
      </c>
      <c r="W1507" s="450"/>
      <c r="X1507" s="448"/>
    </row>
    <row r="1508" spans="1:24" ht="12.75" thickBot="1">
      <c r="A1508" s="35" t="s">
        <v>1279</v>
      </c>
      <c r="B1508" s="1" t="s">
        <v>793</v>
      </c>
      <c r="E1508" s="98">
        <v>7528108.9354718896</v>
      </c>
      <c r="G1508" s="98">
        <v>1315725.9920079901</v>
      </c>
      <c r="H1508" s="98">
        <v>205140.96849160898</v>
      </c>
      <c r="M1508" s="98">
        <v>1990.37231026516</v>
      </c>
      <c r="N1508" s="98">
        <v>63495.689753660597</v>
      </c>
      <c r="R1508" s="98">
        <v>1586353.0225635199</v>
      </c>
      <c r="W1508" s="450"/>
      <c r="X1508" s="448"/>
    </row>
    <row r="1509" spans="1:24" ht="12.75" thickBot="1">
      <c r="A1509" s="35" t="s">
        <v>1280</v>
      </c>
      <c r="B1509" s="1" t="s">
        <v>793</v>
      </c>
      <c r="E1509" s="98">
        <v>8830822.8551691696</v>
      </c>
      <c r="G1509" s="98">
        <v>1292541.93192483</v>
      </c>
      <c r="H1509" s="98">
        <v>240639.92280336001</v>
      </c>
      <c r="M1509" s="98">
        <v>-1915.3916555542301</v>
      </c>
      <c r="N1509" s="98">
        <v>84314.289614486697</v>
      </c>
      <c r="R1509" s="98">
        <v>1615580.7526871199</v>
      </c>
      <c r="W1509" s="450"/>
      <c r="X1509" s="448"/>
    </row>
    <row r="1510" spans="1:24" ht="12.75" thickBot="1">
      <c r="A1510" s="35" t="s">
        <v>1281</v>
      </c>
      <c r="B1510" s="1" t="s">
        <v>793</v>
      </c>
      <c r="E1510" s="98">
        <v>10115160.9698848</v>
      </c>
      <c r="G1510" s="98">
        <v>1244225.4902616502</v>
      </c>
      <c r="H1510" s="98">
        <v>275638.13642936101</v>
      </c>
      <c r="M1510" s="98">
        <v>-2250.27129875336</v>
      </c>
      <c r="N1510" s="98">
        <v>104287.64410874901</v>
      </c>
      <c r="R1510" s="98">
        <v>1621900.9995010099</v>
      </c>
      <c r="W1510" s="450"/>
      <c r="X1510" s="448"/>
    </row>
    <row r="1511" spans="1:24" ht="12.75" thickBot="1">
      <c r="A1511" s="35" t="s">
        <v>1282</v>
      </c>
      <c r="B1511" s="1" t="s">
        <v>793</v>
      </c>
      <c r="E1511" s="98">
        <v>14608576.045391401</v>
      </c>
      <c r="G1511" s="98">
        <v>1136168.8542118699</v>
      </c>
      <c r="H1511" s="98">
        <v>398083.69723691599</v>
      </c>
      <c r="M1511" s="98">
        <v>-11458.3263621881</v>
      </c>
      <c r="N1511" s="98">
        <v>135363.375880865</v>
      </c>
      <c r="R1511" s="98">
        <v>1658157.6009674701</v>
      </c>
      <c r="W1511" s="450"/>
      <c r="X1511" s="448"/>
    </row>
    <row r="1512" spans="1:24" ht="12.75" thickBot="1">
      <c r="A1512" s="35" t="s">
        <v>1271</v>
      </c>
      <c r="B1512" s="1" t="s">
        <v>793</v>
      </c>
      <c r="E1512" s="98">
        <v>16278824.003721099</v>
      </c>
      <c r="G1512" s="98">
        <v>1116696.39688966</v>
      </c>
      <c r="H1512" s="98">
        <v>443597.95410140202</v>
      </c>
      <c r="M1512" s="98">
        <v>-41465.172806071998</v>
      </c>
      <c r="N1512" s="98">
        <v>146115.45376102501</v>
      </c>
      <c r="R1512" s="98">
        <v>1664944.6319460201</v>
      </c>
      <c r="W1512" s="450"/>
      <c r="X1512" s="448"/>
    </row>
    <row r="1513" spans="1:24" ht="12.75" thickBot="1">
      <c r="A1513" s="35" t="s">
        <v>1272</v>
      </c>
      <c r="B1513" s="1" t="s">
        <v>793</v>
      </c>
      <c r="E1513" s="98">
        <v>13359321.366640601</v>
      </c>
      <c r="G1513" s="98">
        <v>1179323.4841472099</v>
      </c>
      <c r="H1513" s="98">
        <v>364041.50724095805</v>
      </c>
      <c r="M1513" s="98">
        <v>-70729.975210044402</v>
      </c>
      <c r="N1513" s="98">
        <v>127988.996420208</v>
      </c>
      <c r="R1513" s="98">
        <v>1600624.0125983299</v>
      </c>
      <c r="W1513" s="450"/>
      <c r="X1513" s="448"/>
    </row>
    <row r="1514" spans="1:24" ht="12.75" thickBot="1">
      <c r="A1514" s="35" t="s">
        <v>1273</v>
      </c>
      <c r="B1514" s="1" t="s">
        <v>793</v>
      </c>
      <c r="E1514" s="98">
        <v>12095162.7379048</v>
      </c>
      <c r="G1514" s="98">
        <v>1201603.6183273399</v>
      </c>
      <c r="H1514" s="98">
        <v>329593.18460790598</v>
      </c>
      <c r="M1514" s="98">
        <v>-17056.4525543329</v>
      </c>
      <c r="N1514" s="98">
        <v>125413.104388445</v>
      </c>
      <c r="R1514" s="98">
        <v>1639553.4547693601</v>
      </c>
      <c r="W1514" s="450"/>
      <c r="X1514" s="448"/>
    </row>
    <row r="1515" spans="1:24" ht="12.75" thickBot="1">
      <c r="A1515" s="35" t="s">
        <v>1274</v>
      </c>
      <c r="B1515" s="1" t="s">
        <v>793</v>
      </c>
      <c r="E1515" s="98">
        <v>8078182.2059218101</v>
      </c>
      <c r="G1515" s="98">
        <v>1327574.9262669499</v>
      </c>
      <c r="H1515" s="98">
        <v>220130.46511136901</v>
      </c>
      <c r="M1515" s="98">
        <v>-7037.8250129005501</v>
      </c>
      <c r="N1515" s="98">
        <v>89426.614183089594</v>
      </c>
      <c r="R1515" s="98">
        <v>1630094.18054851</v>
      </c>
      <c r="W1515" s="450"/>
      <c r="X1515" s="448"/>
    </row>
    <row r="1516" spans="1:24" ht="12.75" thickBot="1">
      <c r="A1516" s="35" t="s">
        <v>1275</v>
      </c>
      <c r="B1516" s="1" t="s">
        <v>793</v>
      </c>
      <c r="E1516" s="98">
        <v>8869364.9411306307</v>
      </c>
      <c r="G1516" s="98">
        <v>948575.03270794498</v>
      </c>
      <c r="H1516" s="98">
        <v>241690.19464580898</v>
      </c>
      <c r="M1516" s="98">
        <v>1711.02044792271</v>
      </c>
      <c r="N1516" s="98">
        <v>92839.910742765394</v>
      </c>
      <c r="R1516" s="98">
        <v>1284816.1585444401</v>
      </c>
      <c r="W1516" s="450"/>
      <c r="X1516" s="448"/>
    </row>
    <row r="1517" spans="1:24" ht="12.75" thickBot="1">
      <c r="A1517" s="35" t="s">
        <v>1276</v>
      </c>
      <c r="B1517" s="1" t="s">
        <v>793</v>
      </c>
      <c r="E1517" s="98">
        <v>7911510.2750884797</v>
      </c>
      <c r="G1517" s="98">
        <v>1715665.5925738302</v>
      </c>
      <c r="H1517" s="98">
        <v>215588.654996161</v>
      </c>
      <c r="M1517" s="98">
        <v>11985.859009433501</v>
      </c>
      <c r="N1517" s="98">
        <v>73017.562751032499</v>
      </c>
      <c r="R1517" s="98">
        <v>2016257.66933046</v>
      </c>
      <c r="W1517" s="450"/>
      <c r="X1517" s="448"/>
    </row>
    <row r="1518" spans="1:24" ht="12.75" thickBot="1">
      <c r="A1518" s="35" t="s">
        <v>1277</v>
      </c>
      <c r="B1518" s="1" t="s">
        <v>385</v>
      </c>
      <c r="E1518" s="98">
        <v>5252400</v>
      </c>
      <c r="G1518" s="98">
        <v>51315.947999999997</v>
      </c>
      <c r="H1518" s="98">
        <v>143127.90000000002</v>
      </c>
      <c r="J1518" s="98">
        <v>3496.6110000000003</v>
      </c>
      <c r="K1518" s="98">
        <v>94313.993999999992</v>
      </c>
      <c r="M1518" s="98">
        <v>10288.1182039959</v>
      </c>
      <c r="O1518" s="98">
        <v>33170.988821073603</v>
      </c>
      <c r="R1518" s="98">
        <v>335713.56002506899</v>
      </c>
      <c r="W1518" s="450"/>
      <c r="X1518" s="448"/>
    </row>
    <row r="1519" spans="1:24" ht="12.75" thickBot="1">
      <c r="A1519" s="35" t="s">
        <v>1278</v>
      </c>
      <c r="B1519" s="1" t="s">
        <v>385</v>
      </c>
      <c r="E1519" s="98">
        <v>5119500</v>
      </c>
      <c r="G1519" s="98">
        <v>50017.514999999999</v>
      </c>
      <c r="H1519" s="98">
        <v>139506.375</v>
      </c>
      <c r="J1519" s="98">
        <v>3496.6110000000003</v>
      </c>
      <c r="K1519" s="98">
        <v>94313.993999999992</v>
      </c>
      <c r="M1519" s="98">
        <v>11009.803779820601</v>
      </c>
      <c r="O1519" s="98">
        <v>32807.712248003598</v>
      </c>
      <c r="R1519" s="98">
        <v>331152.01102782402</v>
      </c>
      <c r="W1519" s="450"/>
      <c r="X1519" s="448"/>
    </row>
    <row r="1520" spans="1:24" ht="12.75" thickBot="1">
      <c r="A1520" s="35" t="s">
        <v>1279</v>
      </c>
      <c r="B1520" s="1" t="s">
        <v>385</v>
      </c>
      <c r="E1520" s="98">
        <v>5318100</v>
      </c>
      <c r="G1520" s="98">
        <v>51957.837</v>
      </c>
      <c r="H1520" s="98">
        <v>144918.22500000001</v>
      </c>
      <c r="J1520" s="98">
        <v>3496.6110000000003</v>
      </c>
      <c r="K1520" s="98">
        <v>94313.993999999992</v>
      </c>
      <c r="M1520" s="98">
        <v>1406.06347144439</v>
      </c>
      <c r="O1520" s="98">
        <v>44855.4119730967</v>
      </c>
      <c r="R1520" s="98">
        <v>340948.14244454104</v>
      </c>
      <c r="W1520" s="450"/>
      <c r="X1520" s="448"/>
    </row>
    <row r="1521" spans="1:24" ht="12.75" thickBot="1">
      <c r="A1521" s="35" t="s">
        <v>1280</v>
      </c>
      <c r="B1521" s="1" t="s">
        <v>385</v>
      </c>
      <c r="E1521" s="98">
        <v>4450800</v>
      </c>
      <c r="G1521" s="98">
        <v>43484.315999999999</v>
      </c>
      <c r="H1521" s="98">
        <v>121284.3</v>
      </c>
      <c r="J1521" s="98">
        <v>3496.6110000000003</v>
      </c>
      <c r="K1521" s="98">
        <v>94313.993999999992</v>
      </c>
      <c r="M1521" s="98">
        <v>-965.37155374491601</v>
      </c>
      <c r="O1521" s="98">
        <v>42495.0252508454</v>
      </c>
      <c r="R1521" s="98">
        <v>304108.87469710002</v>
      </c>
      <c r="W1521" s="450"/>
      <c r="X1521" s="448"/>
    </row>
    <row r="1522" spans="1:24" ht="12.75" thickBot="1">
      <c r="A1522" s="35" t="s">
        <v>1281</v>
      </c>
      <c r="B1522" s="1" t="s">
        <v>385</v>
      </c>
      <c r="E1522" s="98">
        <v>4366800</v>
      </c>
      <c r="G1522" s="98">
        <v>42663.635999999999</v>
      </c>
      <c r="H1522" s="98">
        <v>118995.3</v>
      </c>
      <c r="J1522" s="98">
        <v>3496.6110000000003</v>
      </c>
      <c r="K1522" s="98">
        <v>94313.993999999992</v>
      </c>
      <c r="M1522" s="98">
        <v>-971.46103128283505</v>
      </c>
      <c r="O1522" s="98">
        <v>45021.852410448904</v>
      </c>
      <c r="R1522" s="98">
        <v>303519.93237916601</v>
      </c>
      <c r="W1522" s="450"/>
      <c r="X1522" s="448"/>
    </row>
    <row r="1523" spans="1:24" ht="12.75" thickBot="1">
      <c r="A1523" s="35" t="s">
        <v>1282</v>
      </c>
      <c r="B1523" s="1" t="s">
        <v>385</v>
      </c>
      <c r="E1523" s="98">
        <v>4790100</v>
      </c>
      <c r="G1523" s="98">
        <v>46799.276999999995</v>
      </c>
      <c r="H1523" s="98">
        <v>130530.22500000001</v>
      </c>
      <c r="J1523" s="98">
        <v>3504.6030000000001</v>
      </c>
      <c r="K1523" s="98">
        <v>94529.561999999903</v>
      </c>
      <c r="M1523" s="98">
        <v>-3757.1443607491501</v>
      </c>
      <c r="O1523" s="98">
        <v>44385.168327989501</v>
      </c>
      <c r="R1523" s="98">
        <v>315991.69096724002</v>
      </c>
      <c r="W1523" s="450"/>
      <c r="X1523" s="448"/>
    </row>
    <row r="1524" spans="1:24" ht="12.75" thickBot="1">
      <c r="A1524" s="35" t="s">
        <v>1271</v>
      </c>
      <c r="B1524" s="1" t="s">
        <v>385</v>
      </c>
      <c r="E1524" s="98">
        <v>5498880</v>
      </c>
      <c r="G1524" s="98">
        <v>53724.0576</v>
      </c>
      <c r="H1524" s="98">
        <v>149844.48000000001</v>
      </c>
      <c r="J1524" s="98">
        <v>3443.6640000000002</v>
      </c>
      <c r="K1524" s="98">
        <v>92885.856</v>
      </c>
      <c r="M1524" s="98">
        <v>-14006.663465845601</v>
      </c>
      <c r="O1524" s="98">
        <v>49356.8421277706</v>
      </c>
      <c r="R1524" s="98">
        <v>335248.23626192397</v>
      </c>
      <c r="W1524" s="450"/>
      <c r="X1524" s="448"/>
    </row>
    <row r="1525" spans="1:24" ht="12.75" thickBot="1">
      <c r="A1525" s="35" t="s">
        <v>1272</v>
      </c>
      <c r="B1525" s="1" t="s">
        <v>385</v>
      </c>
      <c r="E1525" s="98">
        <v>4744800</v>
      </c>
      <c r="G1525" s="98">
        <v>46356.695999999996</v>
      </c>
      <c r="H1525" s="98">
        <v>129295.80000000002</v>
      </c>
      <c r="J1525" s="98">
        <v>3443.6640000000002</v>
      </c>
      <c r="K1525" s="98">
        <v>92885.856</v>
      </c>
      <c r="M1525" s="98">
        <v>-25121.005563548897</v>
      </c>
      <c r="O1525" s="98">
        <v>45457.562816853606</v>
      </c>
      <c r="R1525" s="98">
        <v>292318.573253304</v>
      </c>
      <c r="W1525" s="450"/>
      <c r="X1525" s="448"/>
    </row>
    <row r="1526" spans="1:24" ht="12.75" thickBot="1">
      <c r="A1526" s="35" t="s">
        <v>1273</v>
      </c>
      <c r="B1526" s="1" t="s">
        <v>385</v>
      </c>
      <c r="E1526" s="98">
        <v>4351200</v>
      </c>
      <c r="G1526" s="98">
        <v>42511.224000000002</v>
      </c>
      <c r="H1526" s="98">
        <v>118570.2</v>
      </c>
      <c r="J1526" s="98">
        <v>3443.6640000000002</v>
      </c>
      <c r="K1526" s="98">
        <v>92885.856</v>
      </c>
      <c r="M1526" s="98">
        <v>-6136.0097389867296</v>
      </c>
      <c r="O1526" s="98">
        <v>45117.003519502003</v>
      </c>
      <c r="R1526" s="98">
        <v>296391.937780515</v>
      </c>
      <c r="W1526" s="450"/>
      <c r="X1526" s="448"/>
    </row>
    <row r="1527" spans="1:24" ht="12.75" thickBot="1">
      <c r="A1527" s="35" t="s">
        <v>1274</v>
      </c>
      <c r="B1527" s="1" t="s">
        <v>385</v>
      </c>
      <c r="E1527" s="98">
        <v>4414320</v>
      </c>
      <c r="G1527" s="98">
        <v>43127.906399999898</v>
      </c>
      <c r="H1527" s="98">
        <v>120290.219999999</v>
      </c>
      <c r="J1527" s="98">
        <v>3443.6640000000002</v>
      </c>
      <c r="K1527" s="98">
        <v>92885.856</v>
      </c>
      <c r="M1527" s="98">
        <v>-3845.817155272</v>
      </c>
      <c r="O1527" s="98">
        <v>48867.143802638406</v>
      </c>
      <c r="R1527" s="98">
        <v>304768.97304736602</v>
      </c>
      <c r="W1527" s="450"/>
      <c r="X1527" s="448"/>
    </row>
    <row r="1528" spans="1:24" ht="12.75" thickBot="1">
      <c r="A1528" s="35" t="s">
        <v>1275</v>
      </c>
      <c r="B1528" s="1" t="s">
        <v>385</v>
      </c>
      <c r="E1528" s="98">
        <v>4343400</v>
      </c>
      <c r="G1528" s="98">
        <v>42435.017999999996</v>
      </c>
      <c r="H1528" s="98">
        <v>118357.649999999</v>
      </c>
      <c r="J1528" s="98">
        <v>3488.7577499999902</v>
      </c>
      <c r="K1528" s="98">
        <v>94102.1685</v>
      </c>
      <c r="M1528" s="98">
        <v>837.90060086986796</v>
      </c>
      <c r="O1528" s="98">
        <v>45464.457827205304</v>
      </c>
      <c r="R1528" s="98">
        <v>304685.952678075</v>
      </c>
      <c r="W1528" s="450"/>
      <c r="X1528" s="448"/>
    </row>
    <row r="1529" spans="1:24" ht="12.75" thickBot="1">
      <c r="A1529" s="35" t="s">
        <v>1276</v>
      </c>
      <c r="B1529" s="1" t="s">
        <v>385</v>
      </c>
      <c r="E1529" s="98">
        <v>4921800</v>
      </c>
      <c r="G1529" s="98">
        <v>48085.985999999997</v>
      </c>
      <c r="H1529" s="98">
        <v>134119.04999999999</v>
      </c>
      <c r="J1529" s="98">
        <v>3490.9222499999901</v>
      </c>
      <c r="K1529" s="98">
        <v>94160.551500000001</v>
      </c>
      <c r="M1529" s="98">
        <v>7456.4778179435898</v>
      </c>
      <c r="O1529" s="98">
        <v>45424.682248044199</v>
      </c>
      <c r="R1529" s="98">
        <v>332737.669815987</v>
      </c>
      <c r="W1529" s="450"/>
      <c r="X1529" s="448"/>
    </row>
    <row r="1530" spans="1:24" ht="12.75" thickBot="1">
      <c r="A1530" s="35" t="s">
        <v>1277</v>
      </c>
      <c r="B1530" s="1" t="s">
        <v>400</v>
      </c>
      <c r="E1530" s="98">
        <v>517311366.28173798</v>
      </c>
      <c r="F1530" s="98">
        <v>3874214.0006121197</v>
      </c>
      <c r="G1530" s="98">
        <v>26988133.978918269</v>
      </c>
      <c r="H1530" s="98">
        <v>14096734.731177298</v>
      </c>
      <c r="I1530" s="98">
        <v>693197.23081752995</v>
      </c>
      <c r="L1530" s="98">
        <v>851950.07742795895</v>
      </c>
      <c r="M1530" s="98">
        <v>1013281.6397412899</v>
      </c>
      <c r="N1530" s="98">
        <v>3267026.4161042399</v>
      </c>
      <c r="R1530" s="98">
        <v>50784538.0747988</v>
      </c>
      <c r="W1530" s="450"/>
      <c r="X1530" s="448"/>
    </row>
    <row r="1531" spans="1:24" ht="12.75" thickBot="1">
      <c r="A1531" s="35" t="s">
        <v>1278</v>
      </c>
      <c r="B1531" s="1" t="s">
        <v>400</v>
      </c>
      <c r="E1531" s="98">
        <v>516787602.68175703</v>
      </c>
      <c r="F1531" s="98">
        <v>3876428.5006124703</v>
      </c>
      <c r="G1531" s="98">
        <v>26960809.231907245</v>
      </c>
      <c r="H1531" s="98">
        <v>14082462.173077799</v>
      </c>
      <c r="I1531" s="98">
        <v>692495.38759355503</v>
      </c>
      <c r="L1531" s="98">
        <v>1046901.0249858099</v>
      </c>
      <c r="M1531" s="98">
        <v>1111383.9440121201</v>
      </c>
      <c r="N1531" s="98">
        <v>3311772.4313153098</v>
      </c>
      <c r="R1531" s="98">
        <v>51082252.693504401</v>
      </c>
      <c r="W1531" s="450"/>
      <c r="X1531" s="448"/>
    </row>
    <row r="1532" spans="1:24" ht="12.75" thickBot="1">
      <c r="A1532" s="35" t="s">
        <v>1279</v>
      </c>
      <c r="B1532" s="1" t="s">
        <v>400</v>
      </c>
      <c r="E1532" s="98">
        <v>387432169.68632299</v>
      </c>
      <c r="F1532" s="98">
        <v>3878653.75061282</v>
      </c>
      <c r="G1532" s="98">
        <v>20212336.292535428</v>
      </c>
      <c r="H1532" s="98">
        <v>10557526.623952301</v>
      </c>
      <c r="I1532" s="98">
        <v>519159.10737967293</v>
      </c>
      <c r="L1532" s="98">
        <v>828432.69167076796</v>
      </c>
      <c r="M1532" s="98">
        <v>102433.99361771699</v>
      </c>
      <c r="N1532" s="98">
        <v>3267789.1696114698</v>
      </c>
      <c r="R1532" s="98">
        <v>39366331.629380196</v>
      </c>
      <c r="W1532" s="450"/>
      <c r="X1532" s="448"/>
    </row>
    <row r="1533" spans="1:24" ht="12.75" thickBot="1">
      <c r="A1533" s="35" t="s">
        <v>1280</v>
      </c>
      <c r="B1533" s="1" t="s">
        <v>400</v>
      </c>
      <c r="E1533" s="98">
        <v>275120005.09028798</v>
      </c>
      <c r="F1533" s="98">
        <v>3880868.2506131697</v>
      </c>
      <c r="G1533" s="98">
        <v>14353010.665560314</v>
      </c>
      <c r="H1533" s="98">
        <v>7497020.1387103498</v>
      </c>
      <c r="I1533" s="98">
        <v>368660.80682098604</v>
      </c>
      <c r="L1533" s="98">
        <v>639271.26296524995</v>
      </c>
      <c r="M1533" s="98">
        <v>-59673.098494724698</v>
      </c>
      <c r="N1533" s="98">
        <v>2626770.81947617</v>
      </c>
      <c r="R1533" s="98">
        <v>29305928.8456515</v>
      </c>
      <c r="W1533" s="450"/>
      <c r="X1533" s="448"/>
    </row>
    <row r="1534" spans="1:24" ht="12.75" thickBot="1">
      <c r="A1534" s="35" t="s">
        <v>1281</v>
      </c>
      <c r="B1534" s="1" t="s">
        <v>400</v>
      </c>
      <c r="E1534" s="98">
        <v>257476676.99091098</v>
      </c>
      <c r="F1534" s="98">
        <v>3883082.7506135199</v>
      </c>
      <c r="G1534" s="98">
        <v>13432558.238615781</v>
      </c>
      <c r="H1534" s="98">
        <v>7016239.4480023207</v>
      </c>
      <c r="I1534" s="98">
        <v>345018.74716781999</v>
      </c>
      <c r="L1534" s="98">
        <v>618286.16218061</v>
      </c>
      <c r="M1534" s="98">
        <v>-57279.600201719295</v>
      </c>
      <c r="N1534" s="98">
        <v>2654593.0545519902</v>
      </c>
      <c r="R1534" s="98">
        <v>27892498.800930303</v>
      </c>
      <c r="W1534" s="450"/>
      <c r="X1534" s="448"/>
    </row>
    <row r="1535" spans="1:24" ht="12.75" thickBot="1">
      <c r="A1535" s="35" t="s">
        <v>1282</v>
      </c>
      <c r="B1535" s="1" t="s">
        <v>400</v>
      </c>
      <c r="E1535" s="98">
        <v>335495731.38815701</v>
      </c>
      <c r="F1535" s="98">
        <v>3885297.2506138701</v>
      </c>
      <c r="G1535" s="98">
        <v>17502812.306520071</v>
      </c>
      <c r="H1535" s="98">
        <v>9142258.6803272702</v>
      </c>
      <c r="I1535" s="98">
        <v>449564.28006013</v>
      </c>
      <c r="L1535" s="98">
        <v>751530.45643092401</v>
      </c>
      <c r="M1535" s="98">
        <v>-263148.13787612499</v>
      </c>
      <c r="N1535" s="98">
        <v>3108710.5720100398</v>
      </c>
      <c r="R1535" s="98">
        <v>34577025.408086203</v>
      </c>
      <c r="W1535" s="450"/>
      <c r="X1535" s="448"/>
    </row>
    <row r="1536" spans="1:24" ht="12.75" thickBot="1">
      <c r="A1536" s="35" t="s">
        <v>1271</v>
      </c>
      <c r="B1536" s="1" t="s">
        <v>400</v>
      </c>
      <c r="E1536" s="98">
        <v>375149152.086757</v>
      </c>
      <c r="F1536" s="98">
        <v>3887468.7506142198</v>
      </c>
      <c r="G1536" s="98">
        <v>19571531.264366046</v>
      </c>
      <c r="H1536" s="98">
        <v>10222814.3943641</v>
      </c>
      <c r="I1536" s="98">
        <v>502699.86379625404</v>
      </c>
      <c r="L1536" s="98">
        <v>489609.51681124303</v>
      </c>
      <c r="M1536" s="98">
        <v>-955574.21198072494</v>
      </c>
      <c r="N1536" s="98">
        <v>3367263.4198078597</v>
      </c>
      <c r="R1536" s="98">
        <v>37085812.997779101</v>
      </c>
      <c r="W1536" s="450"/>
      <c r="X1536" s="448"/>
    </row>
    <row r="1537" spans="1:24" ht="12.75" thickBot="1">
      <c r="A1537" s="35" t="s">
        <v>1272</v>
      </c>
      <c r="B1537" s="1" t="s">
        <v>400</v>
      </c>
      <c r="E1537" s="98">
        <v>328329892.98840898</v>
      </c>
      <c r="F1537" s="98">
        <v>3889640.2506145602</v>
      </c>
      <c r="G1537" s="98">
        <v>17128970.517205331</v>
      </c>
      <c r="H1537" s="98">
        <v>8946989.5839341693</v>
      </c>
      <c r="I1537" s="98">
        <v>439962.05660446902</v>
      </c>
      <c r="L1537" s="98">
        <v>467923.32588835002</v>
      </c>
      <c r="M1537" s="98">
        <v>-1738319.2270361802</v>
      </c>
      <c r="N1537" s="98">
        <v>3145564.9838078497</v>
      </c>
      <c r="R1537" s="98">
        <v>32280731.4910185</v>
      </c>
      <c r="W1537" s="450"/>
      <c r="X1537" s="448"/>
    </row>
    <row r="1538" spans="1:24" ht="12.75" thickBot="1">
      <c r="A1538" s="35" t="s">
        <v>1273</v>
      </c>
      <c r="B1538" s="1" t="s">
        <v>400</v>
      </c>
      <c r="E1538" s="98">
        <v>309085716.58908904</v>
      </c>
      <c r="F1538" s="98">
        <v>3891811.7506149001</v>
      </c>
      <c r="G1538" s="98">
        <v>16125001.834452722</v>
      </c>
      <c r="H1538" s="98">
        <v>8422585.77705268</v>
      </c>
      <c r="I1538" s="98">
        <v>414174.86022937903</v>
      </c>
      <c r="L1538" s="98">
        <v>521269.36817025603</v>
      </c>
      <c r="M1538" s="98">
        <v>-435868.94814587705</v>
      </c>
      <c r="N1538" s="98">
        <v>3204867.9360125302</v>
      </c>
      <c r="R1538" s="98">
        <v>32143842.578386601</v>
      </c>
      <c r="W1538" s="450"/>
      <c r="X1538" s="448"/>
    </row>
    <row r="1539" spans="1:24" ht="12.75" thickBot="1">
      <c r="A1539" s="35" t="s">
        <v>1274</v>
      </c>
      <c r="B1539" s="1" t="s">
        <v>400</v>
      </c>
      <c r="E1539" s="98">
        <v>258348856.99088001</v>
      </c>
      <c r="F1539" s="98">
        <v>3893994.0006152503</v>
      </c>
      <c r="G1539" s="98">
        <v>13478059.869214222</v>
      </c>
      <c r="H1539" s="98">
        <v>7040006.35300148</v>
      </c>
      <c r="I1539" s="98">
        <v>346187.46836777899</v>
      </c>
      <c r="L1539" s="98">
        <v>433592.30362443603</v>
      </c>
      <c r="M1539" s="98">
        <v>-225077.127680014</v>
      </c>
      <c r="N1539" s="98">
        <v>2859958.2145881099</v>
      </c>
      <c r="R1539" s="98">
        <v>27826721.0817312</v>
      </c>
      <c r="W1539" s="450"/>
      <c r="X1539" s="448"/>
    </row>
    <row r="1540" spans="1:24" ht="12.75" thickBot="1">
      <c r="A1540" s="35" t="s">
        <v>1275</v>
      </c>
      <c r="B1540" s="1" t="s">
        <v>400</v>
      </c>
      <c r="E1540" s="98">
        <v>295395537.58957201</v>
      </c>
      <c r="F1540" s="98">
        <v>3896165.5006155903</v>
      </c>
      <c r="G1540" s="98">
        <v>15410785.196047973</v>
      </c>
      <c r="H1540" s="98">
        <v>8049528.3993158499</v>
      </c>
      <c r="I1540" s="98">
        <v>395830.02037002699</v>
      </c>
      <c r="L1540" s="98">
        <v>618319.52466994408</v>
      </c>
      <c r="M1540" s="98">
        <v>56985.794179808603</v>
      </c>
      <c r="N1540" s="98">
        <v>3092047.2351350901</v>
      </c>
      <c r="R1540" s="98">
        <v>31519661.670334298</v>
      </c>
      <c r="W1540" s="450"/>
      <c r="X1540" s="448"/>
    </row>
    <row r="1541" spans="1:24" ht="12.75" thickBot="1">
      <c r="A1541" s="35" t="s">
        <v>1276</v>
      </c>
      <c r="B1541" s="1" t="s">
        <v>400</v>
      </c>
      <c r="E1541" s="98">
        <v>411112753.18548703</v>
      </c>
      <c r="F1541" s="98">
        <v>3898337.0006159297</v>
      </c>
      <c r="G1541" s="98">
        <v>21447752.333686847</v>
      </c>
      <c r="H1541" s="98">
        <v>11202822.5243045</v>
      </c>
      <c r="I1541" s="98">
        <v>550891.08926855295</v>
      </c>
      <c r="L1541" s="98">
        <v>675925.64355025301</v>
      </c>
      <c r="M1541" s="98">
        <v>622831.71295081195</v>
      </c>
      <c r="N1541" s="98">
        <v>3794275.70839315</v>
      </c>
      <c r="R1541" s="98">
        <v>42192836.012770101</v>
      </c>
      <c r="W1541" s="450"/>
      <c r="X1541" s="448"/>
    </row>
    <row r="1542" spans="1:24" ht="12.75" thickBot="1">
      <c r="A1542" s="35" t="s">
        <v>1277</v>
      </c>
      <c r="B1542" s="1" t="s">
        <v>388</v>
      </c>
      <c r="E1542" s="98">
        <v>71457685.549999997</v>
      </c>
      <c r="F1542" s="98">
        <v>9000</v>
      </c>
      <c r="G1542" s="98">
        <v>632400.51711749902</v>
      </c>
      <c r="H1542" s="98">
        <v>1947221.9312374999</v>
      </c>
      <c r="J1542" s="98">
        <v>42316.936686199901</v>
      </c>
      <c r="K1542" s="98">
        <v>1216660.9762498001</v>
      </c>
      <c r="M1542" s="98">
        <v>139967.46544862699</v>
      </c>
      <c r="O1542" s="98">
        <v>451283.62054657796</v>
      </c>
      <c r="R1542" s="98">
        <v>4438851.4472861998</v>
      </c>
      <c r="W1542" s="450"/>
      <c r="X1542" s="448"/>
    </row>
    <row r="1543" spans="1:24" ht="12.75" thickBot="1">
      <c r="A1543" s="35" t="s">
        <v>1278</v>
      </c>
      <c r="B1543" s="1" t="s">
        <v>388</v>
      </c>
      <c r="E1543" s="98">
        <v>77369757.370000005</v>
      </c>
      <c r="F1543" s="98">
        <v>9000</v>
      </c>
      <c r="G1543" s="98">
        <v>684722.3527245</v>
      </c>
      <c r="H1543" s="98">
        <v>2108325.8883325001</v>
      </c>
      <c r="J1543" s="98">
        <v>45202.208941999997</v>
      </c>
      <c r="K1543" s="98">
        <v>1303613.7333529999</v>
      </c>
      <c r="M1543" s="98">
        <v>166388.48464420901</v>
      </c>
      <c r="O1543" s="98">
        <v>495814.96952687099</v>
      </c>
      <c r="R1543" s="98">
        <v>4813067.6375230793</v>
      </c>
      <c r="W1543" s="450"/>
      <c r="X1543" s="448"/>
    </row>
    <row r="1544" spans="1:24" ht="12.75" thickBot="1">
      <c r="A1544" s="35" t="s">
        <v>1279</v>
      </c>
      <c r="B1544" s="1" t="s">
        <v>388</v>
      </c>
      <c r="E1544" s="98">
        <v>64168870.260000005</v>
      </c>
      <c r="F1544" s="98">
        <v>9000</v>
      </c>
      <c r="G1544" s="98">
        <v>567894.50180100009</v>
      </c>
      <c r="H1544" s="98">
        <v>1748601.7145850002</v>
      </c>
      <c r="J1544" s="98">
        <v>45347.8306534</v>
      </c>
      <c r="K1544" s="98">
        <v>1301911.9686485999</v>
      </c>
      <c r="M1544" s="98">
        <v>16965.740485594502</v>
      </c>
      <c r="O1544" s="98">
        <v>541231.09970863501</v>
      </c>
      <c r="R1544" s="98">
        <v>4230952.8558822302</v>
      </c>
      <c r="W1544" s="450"/>
      <c r="X1544" s="448"/>
    </row>
    <row r="1545" spans="1:24" ht="12.75" thickBot="1">
      <c r="A1545" s="35" t="s">
        <v>1280</v>
      </c>
      <c r="B1545" s="1" t="s">
        <v>388</v>
      </c>
      <c r="E1545" s="98">
        <v>68882846.13000001</v>
      </c>
      <c r="F1545" s="98">
        <v>9000</v>
      </c>
      <c r="G1545" s="98">
        <v>609613.18825050001</v>
      </c>
      <c r="H1545" s="98">
        <v>1877057.5570425</v>
      </c>
      <c r="J1545" s="98">
        <v>45590.369555499994</v>
      </c>
      <c r="K1545" s="98">
        <v>1302037.7809219998</v>
      </c>
      <c r="M1545" s="98">
        <v>-14940.581512287699</v>
      </c>
      <c r="O1545" s="98">
        <v>657674.63953546598</v>
      </c>
      <c r="R1545" s="98">
        <v>4486032.9537936691</v>
      </c>
      <c r="W1545" s="450"/>
      <c r="X1545" s="448"/>
    </row>
    <row r="1546" spans="1:24" ht="12.75" thickBot="1">
      <c r="A1546" s="35" t="s">
        <v>1281</v>
      </c>
      <c r="B1546" s="1" t="s">
        <v>388</v>
      </c>
      <c r="E1546" s="98">
        <v>71794293.789999992</v>
      </c>
      <c r="F1546" s="98">
        <v>9000</v>
      </c>
      <c r="G1546" s="98">
        <v>635379.50004149904</v>
      </c>
      <c r="H1546" s="98">
        <v>1956394.5057774999</v>
      </c>
      <c r="J1546" s="98">
        <v>42574.898237299996</v>
      </c>
      <c r="K1546" s="98">
        <v>1226230.7785892</v>
      </c>
      <c r="M1546" s="98">
        <v>-15971.731859818601</v>
      </c>
      <c r="O1546" s="98">
        <v>740201.54321832699</v>
      </c>
      <c r="R1546" s="98">
        <v>4593809.494004</v>
      </c>
      <c r="W1546" s="450"/>
      <c r="X1546" s="448"/>
    </row>
    <row r="1547" spans="1:24" ht="12.75" thickBot="1">
      <c r="A1547" s="35" t="s">
        <v>1282</v>
      </c>
      <c r="B1547" s="1" t="s">
        <v>388</v>
      </c>
      <c r="E1547" s="98">
        <v>76289432.75</v>
      </c>
      <c r="F1547" s="98">
        <v>9000</v>
      </c>
      <c r="G1547" s="98">
        <v>675161.47983750002</v>
      </c>
      <c r="H1547" s="98">
        <v>2078887.0424375001</v>
      </c>
      <c r="J1547" s="98">
        <v>44323.474710900002</v>
      </c>
      <c r="K1547" s="98">
        <v>1280580.3301486</v>
      </c>
      <c r="M1547" s="98">
        <v>-59838.085226073403</v>
      </c>
      <c r="O1547" s="98">
        <v>706899.50403031008</v>
      </c>
      <c r="R1547" s="98">
        <v>4735013.7459387295</v>
      </c>
      <c r="W1547" s="450"/>
      <c r="X1547" s="448"/>
    </row>
    <row r="1548" spans="1:24" ht="12.75" thickBot="1">
      <c r="A1548" s="35" t="s">
        <v>1271</v>
      </c>
      <c r="B1548" s="1" t="s">
        <v>388</v>
      </c>
      <c r="E1548" s="98">
        <v>68922948.910000011</v>
      </c>
      <c r="F1548" s="98">
        <v>9000</v>
      </c>
      <c r="G1548" s="98">
        <v>609968.09785350005</v>
      </c>
      <c r="H1548" s="98">
        <v>1878150.3577975</v>
      </c>
      <c r="J1548" s="98">
        <v>45360.596003799998</v>
      </c>
      <c r="K1548" s="98">
        <v>1295007.7888601902</v>
      </c>
      <c r="M1548" s="98">
        <v>-175559.48674203502</v>
      </c>
      <c r="O1548" s="98">
        <v>618638.54245433095</v>
      </c>
      <c r="R1548" s="98">
        <v>4280565.8962272899</v>
      </c>
      <c r="W1548" s="450"/>
      <c r="X1548" s="448"/>
    </row>
    <row r="1549" spans="1:24" ht="12.75" thickBot="1">
      <c r="A1549" s="35" t="s">
        <v>1272</v>
      </c>
      <c r="B1549" s="1" t="s">
        <v>388</v>
      </c>
      <c r="E1549" s="98">
        <v>56255086.68</v>
      </c>
      <c r="F1549" s="98">
        <v>9000</v>
      </c>
      <c r="G1549" s="98">
        <v>497857.51711799996</v>
      </c>
      <c r="H1549" s="98">
        <v>1532951.1120299902</v>
      </c>
      <c r="J1549" s="98">
        <v>41979.0930009</v>
      </c>
      <c r="K1549" s="98">
        <v>1186513.9880686</v>
      </c>
      <c r="M1549" s="98">
        <v>-297838.54861452698</v>
      </c>
      <c r="O1549" s="98">
        <v>538951.93401695497</v>
      </c>
      <c r="R1549" s="98">
        <v>3509415.0956199202</v>
      </c>
      <c r="W1549" s="450"/>
      <c r="X1549" s="448"/>
    </row>
    <row r="1550" spans="1:24" ht="12.75" thickBot="1">
      <c r="A1550" s="35" t="s">
        <v>1273</v>
      </c>
      <c r="B1550" s="1" t="s">
        <v>388</v>
      </c>
      <c r="E1550" s="98">
        <v>68950546.189999998</v>
      </c>
      <c r="F1550" s="98">
        <v>9000</v>
      </c>
      <c r="G1550" s="98">
        <v>610212.3337815</v>
      </c>
      <c r="H1550" s="98">
        <v>1878902.3836775001</v>
      </c>
      <c r="J1550" s="98">
        <v>44106.510400700005</v>
      </c>
      <c r="K1550" s="98">
        <v>1262916.2148728003</v>
      </c>
      <c r="M1550" s="98">
        <v>-97233.228288815502</v>
      </c>
      <c r="O1550" s="98">
        <v>714938.87551154103</v>
      </c>
      <c r="R1550" s="98">
        <v>4422843.08995522</v>
      </c>
      <c r="W1550" s="450"/>
      <c r="X1550" s="448"/>
    </row>
    <row r="1551" spans="1:24" ht="12.75" thickBot="1">
      <c r="A1551" s="35" t="s">
        <v>1274</v>
      </c>
      <c r="B1551" s="1" t="s">
        <v>388</v>
      </c>
      <c r="E1551" s="98">
        <v>78019986.269999996</v>
      </c>
      <c r="F1551" s="98">
        <v>9000</v>
      </c>
      <c r="G1551" s="98">
        <v>690476.87848950003</v>
      </c>
      <c r="H1551" s="98">
        <v>2126044.6258574999</v>
      </c>
      <c r="J1551" s="98">
        <v>49240.309392999996</v>
      </c>
      <c r="K1551" s="98">
        <v>1416350.2839019999</v>
      </c>
      <c r="M1551" s="98">
        <v>-67972.100267142392</v>
      </c>
      <c r="O1551" s="98">
        <v>863692.23086136999</v>
      </c>
      <c r="R1551" s="98">
        <v>5086832.2282362198</v>
      </c>
      <c r="W1551" s="450"/>
      <c r="X1551" s="448"/>
    </row>
    <row r="1552" spans="1:24" ht="12.75" thickBot="1">
      <c r="A1552" s="35" t="s">
        <v>1275</v>
      </c>
      <c r="B1552" s="1" t="s">
        <v>388</v>
      </c>
      <c r="E1552" s="98">
        <v>88780754.689999998</v>
      </c>
      <c r="F1552" s="98">
        <v>9000</v>
      </c>
      <c r="G1552" s="98">
        <v>785709.67900649994</v>
      </c>
      <c r="H1552" s="98">
        <v>2419275.5653025</v>
      </c>
      <c r="J1552" s="98">
        <v>47671.965087999997</v>
      </c>
      <c r="K1552" s="98">
        <v>1374446.7365869998</v>
      </c>
      <c r="M1552" s="98">
        <v>17127.008265513497</v>
      </c>
      <c r="O1552" s="98">
        <v>929310.88029446197</v>
      </c>
      <c r="R1552" s="98">
        <v>5582541.8345439704</v>
      </c>
      <c r="W1552" s="450"/>
      <c r="X1552" s="448"/>
    </row>
    <row r="1553" spans="1:24" ht="12.75" thickBot="1">
      <c r="A1553" s="35" t="s">
        <v>1276</v>
      </c>
      <c r="B1553" s="1" t="s">
        <v>388</v>
      </c>
      <c r="E1553" s="98">
        <v>85948776.280000001</v>
      </c>
      <c r="F1553" s="98">
        <v>9000</v>
      </c>
      <c r="G1553" s="98">
        <v>760646.67007800005</v>
      </c>
      <c r="H1553" s="98">
        <v>2342104.1536300001</v>
      </c>
      <c r="J1553" s="98">
        <v>47513.076830999897</v>
      </c>
      <c r="K1553" s="98">
        <v>1368907.6141290001</v>
      </c>
      <c r="M1553" s="98">
        <v>130211.537204115</v>
      </c>
      <c r="O1553" s="98">
        <v>793245.53052282601</v>
      </c>
      <c r="R1553" s="98">
        <v>5451628.5823949398</v>
      </c>
      <c r="W1553" s="450"/>
      <c r="X1553" s="448"/>
    </row>
    <row r="1554" spans="1:24" ht="12.75" thickBot="1">
      <c r="A1554" s="35" t="s">
        <v>1277</v>
      </c>
      <c r="B1554" s="1" t="s">
        <v>375</v>
      </c>
      <c r="E1554" s="98">
        <v>168924378.183451</v>
      </c>
      <c r="F1554" s="98">
        <v>232109.99999999898</v>
      </c>
      <c r="G1554" s="98">
        <v>2255140.4487490701</v>
      </c>
      <c r="H1554" s="98">
        <v>4603189.3054990498</v>
      </c>
      <c r="J1554" s="98">
        <v>195172.455219172</v>
      </c>
      <c r="K1554" s="98">
        <v>6473219.7647692179</v>
      </c>
      <c r="L1554" s="98">
        <v>278198.28917983198</v>
      </c>
      <c r="M1554" s="98">
        <v>330879.97301954497</v>
      </c>
      <c r="O1554" s="98">
        <v>1066824.4346070501</v>
      </c>
      <c r="R1554" s="98">
        <v>15434734.671042899</v>
      </c>
      <c r="W1554" s="450"/>
      <c r="X1554" s="448"/>
    </row>
    <row r="1555" spans="1:24" ht="12.75" thickBot="1">
      <c r="A1555" s="35" t="s">
        <v>1278</v>
      </c>
      <c r="B1555" s="1" t="s">
        <v>375</v>
      </c>
      <c r="E1555" s="98">
        <v>169566983.480905</v>
      </c>
      <c r="F1555" s="98">
        <v>232109.99999999898</v>
      </c>
      <c r="G1555" s="98">
        <v>2263719.22947009</v>
      </c>
      <c r="H1555" s="98">
        <v>4620700.2998546809</v>
      </c>
      <c r="J1555" s="98">
        <v>198210.29088621002</v>
      </c>
      <c r="K1555" s="98">
        <v>6573974.6477259705</v>
      </c>
      <c r="L1555" s="98">
        <v>343506.39970601496</v>
      </c>
      <c r="M1555" s="98">
        <v>364664.36481313698</v>
      </c>
      <c r="O1555" s="98">
        <v>1086650.0245734002</v>
      </c>
      <c r="R1555" s="98">
        <v>15683535.2570295</v>
      </c>
      <c r="W1555" s="450"/>
      <c r="X1555" s="448"/>
    </row>
    <row r="1556" spans="1:24" ht="12.75" thickBot="1">
      <c r="A1556" s="35" t="s">
        <v>1279</v>
      </c>
      <c r="B1556" s="1" t="s">
        <v>375</v>
      </c>
      <c r="E1556" s="98">
        <v>143721390.761462</v>
      </c>
      <c r="F1556" s="98">
        <v>232109.99999999898</v>
      </c>
      <c r="G1556" s="98">
        <v>1918680.56666552</v>
      </c>
      <c r="H1556" s="98">
        <v>3916407.8982498501</v>
      </c>
      <c r="J1556" s="98">
        <v>195783.59659578299</v>
      </c>
      <c r="K1556" s="98">
        <v>6493489.2870934876</v>
      </c>
      <c r="L1556" s="98">
        <v>307314.435700014</v>
      </c>
      <c r="M1556" s="98">
        <v>37998.7961141907</v>
      </c>
      <c r="O1556" s="98">
        <v>1212215.3009442799</v>
      </c>
      <c r="R1556" s="98">
        <v>14313999.881363099</v>
      </c>
      <c r="W1556" s="450"/>
      <c r="X1556" s="448"/>
    </row>
    <row r="1557" spans="1:24" ht="12.75" thickBot="1">
      <c r="A1557" s="35" t="s">
        <v>1280</v>
      </c>
      <c r="B1557" s="1" t="s">
        <v>375</v>
      </c>
      <c r="E1557" s="98">
        <v>137270483.88734201</v>
      </c>
      <c r="F1557" s="98">
        <v>232109.99999999898</v>
      </c>
      <c r="G1557" s="98">
        <v>1832560.9598960199</v>
      </c>
      <c r="H1557" s="98">
        <v>3740620.6859300802</v>
      </c>
      <c r="J1557" s="98">
        <v>168109.36250410898</v>
      </c>
      <c r="K1557" s="98">
        <v>4738582.6555845812</v>
      </c>
      <c r="L1557" s="98">
        <v>318962.90338361199</v>
      </c>
      <c r="M1557" s="98">
        <v>-29773.753103630799</v>
      </c>
      <c r="O1557" s="98">
        <v>1310621.1645071402</v>
      </c>
      <c r="R1557" s="98">
        <v>12311793.978701901</v>
      </c>
      <c r="W1557" s="450"/>
      <c r="X1557" s="448"/>
    </row>
    <row r="1558" spans="1:24" ht="12.75" thickBot="1">
      <c r="A1558" s="35" t="s">
        <v>1281</v>
      </c>
      <c r="B1558" s="1" t="s">
        <v>375</v>
      </c>
      <c r="E1558" s="98">
        <v>129888118.684661</v>
      </c>
      <c r="F1558" s="98">
        <v>232109.99999999898</v>
      </c>
      <c r="G1558" s="98">
        <v>1734006.38444022</v>
      </c>
      <c r="H1558" s="98">
        <v>3539451.23415701</v>
      </c>
      <c r="J1558" s="98">
        <v>152406.67330440602</v>
      </c>
      <c r="K1558" s="98">
        <v>4295963.1037679538</v>
      </c>
      <c r="L1558" s="98">
        <v>311904.08138300397</v>
      </c>
      <c r="M1558" s="98">
        <v>-28895.586179533802</v>
      </c>
      <c r="O1558" s="98">
        <v>1339150.7990500298</v>
      </c>
      <c r="R1558" s="98">
        <v>11576096.6899231</v>
      </c>
      <c r="W1558" s="450"/>
      <c r="X1558" s="448"/>
    </row>
    <row r="1559" spans="1:24" ht="12.75" thickBot="1">
      <c r="A1559" s="35" t="s">
        <v>1282</v>
      </c>
      <c r="B1559" s="1" t="s">
        <v>375</v>
      </c>
      <c r="E1559" s="98">
        <v>135751630.864759</v>
      </c>
      <c r="F1559" s="98">
        <v>232109.99999999898</v>
      </c>
      <c r="G1559" s="98">
        <v>1812284.2720445402</v>
      </c>
      <c r="H1559" s="98">
        <v>3699231.9410646902</v>
      </c>
      <c r="J1559" s="98">
        <v>160250.99372825</v>
      </c>
      <c r="K1559" s="98">
        <v>4517074.8857150702</v>
      </c>
      <c r="L1559" s="98">
        <v>304091.75306913099</v>
      </c>
      <c r="M1559" s="98">
        <v>-106477.62559571401</v>
      </c>
      <c r="O1559" s="98">
        <v>1257877.4945682602</v>
      </c>
      <c r="R1559" s="98">
        <v>11876443.714594198</v>
      </c>
      <c r="W1559" s="450"/>
      <c r="X1559" s="448"/>
    </row>
    <row r="1560" spans="1:24" ht="12.75" thickBot="1">
      <c r="A1560" s="35" t="s">
        <v>1271</v>
      </c>
      <c r="B1560" s="1" t="s">
        <v>375</v>
      </c>
      <c r="E1560" s="98">
        <v>134413193.90121999</v>
      </c>
      <c r="F1560" s="98">
        <v>232650</v>
      </c>
      <c r="G1560" s="98">
        <v>1794416.1385812799</v>
      </c>
      <c r="H1560" s="98">
        <v>3662759.5338082402</v>
      </c>
      <c r="J1560" s="98">
        <v>164347.331060347</v>
      </c>
      <c r="K1560" s="98">
        <v>4632540.3942635329</v>
      </c>
      <c r="L1560" s="98">
        <v>175423.50436610598</v>
      </c>
      <c r="M1560" s="98">
        <v>-342375.24229367601</v>
      </c>
      <c r="O1560" s="98">
        <v>1206465.8241809099</v>
      </c>
      <c r="R1560" s="98">
        <v>11526227.483966701</v>
      </c>
      <c r="W1560" s="450"/>
      <c r="X1560" s="448"/>
    </row>
    <row r="1561" spans="1:24" ht="12.75" thickBot="1">
      <c r="A1561" s="35" t="s">
        <v>1272</v>
      </c>
      <c r="B1561" s="1" t="s">
        <v>375</v>
      </c>
      <c r="E1561" s="98">
        <v>127422858.244158</v>
      </c>
      <c r="F1561" s="98">
        <v>232650</v>
      </c>
      <c r="G1561" s="98">
        <v>1701095.1575595199</v>
      </c>
      <c r="H1561" s="98">
        <v>3472272.88715332</v>
      </c>
      <c r="J1561" s="98">
        <v>161946.34134594598</v>
      </c>
      <c r="K1561" s="98">
        <v>4564862.4966888539</v>
      </c>
      <c r="L1561" s="98">
        <v>181598.23061225601</v>
      </c>
      <c r="M1561" s="98">
        <v>-674631.24491544894</v>
      </c>
      <c r="O1561" s="98">
        <v>1220774.8657344601</v>
      </c>
      <c r="R1561" s="98">
        <v>10860568.734178901</v>
      </c>
      <c r="W1561" s="450"/>
      <c r="X1561" s="448"/>
    </row>
    <row r="1562" spans="1:24" ht="12.75" thickBot="1">
      <c r="A1562" s="35" t="s">
        <v>1273</v>
      </c>
      <c r="B1562" s="1" t="s">
        <v>375</v>
      </c>
      <c r="E1562" s="98">
        <v>130807806.72327599</v>
      </c>
      <c r="F1562" s="98">
        <v>232650</v>
      </c>
      <c r="G1562" s="98">
        <v>1746284.2197557399</v>
      </c>
      <c r="H1562" s="98">
        <v>3564512.7332092901</v>
      </c>
      <c r="J1562" s="98">
        <v>158103.81774210298</v>
      </c>
      <c r="K1562" s="98">
        <v>4456551.3626055466</v>
      </c>
      <c r="L1562" s="98">
        <v>220605.803188986</v>
      </c>
      <c r="M1562" s="98">
        <v>-184463.59073118199</v>
      </c>
      <c r="O1562" s="98">
        <v>1356328.43268809</v>
      </c>
      <c r="R1562" s="98">
        <v>11550572.7784585</v>
      </c>
      <c r="W1562" s="450"/>
      <c r="X1562" s="448"/>
    </row>
    <row r="1563" spans="1:24" ht="12.75" thickBot="1">
      <c r="A1563" s="35" t="s">
        <v>1274</v>
      </c>
      <c r="B1563" s="1" t="s">
        <v>375</v>
      </c>
      <c r="E1563" s="98">
        <v>127586689.640139</v>
      </c>
      <c r="F1563" s="98">
        <v>232650</v>
      </c>
      <c r="G1563" s="98">
        <v>1703282.3066958599</v>
      </c>
      <c r="H1563" s="98">
        <v>3476737.2926938003</v>
      </c>
      <c r="J1563" s="98">
        <v>157387.272253387</v>
      </c>
      <c r="K1563" s="98">
        <v>4436353.7366423532</v>
      </c>
      <c r="L1563" s="98">
        <v>214131.41640040898</v>
      </c>
      <c r="M1563" s="98">
        <v>-111155.30360336599</v>
      </c>
      <c r="O1563" s="98">
        <v>1412402.6146603101</v>
      </c>
      <c r="R1563" s="98">
        <v>11521789.335742701</v>
      </c>
      <c r="W1563" s="450"/>
      <c r="X1563" s="448"/>
    </row>
    <row r="1564" spans="1:24" ht="12.75" thickBot="1">
      <c r="A1564" s="35" t="s">
        <v>1275</v>
      </c>
      <c r="B1564" s="1" t="s">
        <v>375</v>
      </c>
      <c r="E1564" s="98">
        <v>151860056.511592</v>
      </c>
      <c r="F1564" s="98">
        <v>232650</v>
      </c>
      <c r="G1564" s="98">
        <v>2027331.7544297499</v>
      </c>
      <c r="H1564" s="98">
        <v>4138186.5399408797</v>
      </c>
      <c r="J1564" s="98">
        <v>162289.85963428899</v>
      </c>
      <c r="K1564" s="98">
        <v>5382613.6778706107</v>
      </c>
      <c r="L1564" s="98">
        <v>317872.22896055301</v>
      </c>
      <c r="M1564" s="98">
        <v>29295.858681953101</v>
      </c>
      <c r="O1564" s="98">
        <v>1589592.2859760302</v>
      </c>
      <c r="R1564" s="98">
        <v>13879832.205494</v>
      </c>
      <c r="W1564" s="450"/>
      <c r="X1564" s="448"/>
    </row>
    <row r="1565" spans="1:24" ht="12.75" thickBot="1">
      <c r="A1565" s="35" t="s">
        <v>1276</v>
      </c>
      <c r="B1565" s="1" t="s">
        <v>375</v>
      </c>
      <c r="E1565" s="98">
        <v>170619420.38951999</v>
      </c>
      <c r="F1565" s="98">
        <v>232650</v>
      </c>
      <c r="G1565" s="98">
        <v>2277769.2622000901</v>
      </c>
      <c r="H1565" s="98">
        <v>4649379.2056144299</v>
      </c>
      <c r="J1565" s="98">
        <v>186830.67633083</v>
      </c>
      <c r="K1565" s="98">
        <v>6196550.7649725499</v>
      </c>
      <c r="L1565" s="98">
        <v>280521.68324956897</v>
      </c>
      <c r="M1565" s="98">
        <v>258486.716941942</v>
      </c>
      <c r="O1565" s="98">
        <v>1574694.8182655599</v>
      </c>
      <c r="R1565" s="98">
        <v>15656883.1275749</v>
      </c>
      <c r="W1565" s="450"/>
      <c r="X1565" s="448"/>
    </row>
    <row r="1566" spans="1:24" ht="12.75" thickBot="1">
      <c r="A1566" s="35" t="s">
        <v>1277</v>
      </c>
      <c r="B1566" s="1" t="s">
        <v>1223</v>
      </c>
      <c r="P1566" s="98">
        <v>-221405.89090909</v>
      </c>
      <c r="R1566" s="98">
        <v>-221405.89090909</v>
      </c>
      <c r="W1566" s="450"/>
      <c r="X1566" s="448"/>
    </row>
    <row r="1567" spans="1:24" ht="12.75" thickBot="1">
      <c r="A1567" s="35" t="s">
        <v>1278</v>
      </c>
      <c r="B1567" s="1" t="s">
        <v>1223</v>
      </c>
      <c r="P1567" s="98">
        <v>-221405.89090909</v>
      </c>
      <c r="R1567" s="98">
        <v>-221405.89090909</v>
      </c>
      <c r="W1567" s="450"/>
      <c r="X1567" s="448"/>
    </row>
    <row r="1568" spans="1:24" ht="12.75" thickBot="1">
      <c r="A1568" s="35" t="s">
        <v>1279</v>
      </c>
      <c r="B1568" s="1" t="s">
        <v>1223</v>
      </c>
      <c r="P1568" s="98">
        <v>-221405.89090909</v>
      </c>
      <c r="R1568" s="98">
        <v>-221405.89090909</v>
      </c>
      <c r="W1568" s="450"/>
      <c r="X1568" s="448"/>
    </row>
    <row r="1569" spans="1:24" ht="12.75" thickBot="1">
      <c r="A1569" s="35" t="s">
        <v>1280</v>
      </c>
      <c r="B1569" s="1" t="s">
        <v>1223</v>
      </c>
      <c r="P1569" s="98">
        <v>-221405.89090909</v>
      </c>
      <c r="R1569" s="98">
        <v>-221405.89090909</v>
      </c>
      <c r="W1569" s="450"/>
      <c r="X1569" s="448"/>
    </row>
    <row r="1570" spans="1:24" ht="12.75" thickBot="1">
      <c r="A1570" s="35" t="s">
        <v>1281</v>
      </c>
      <c r="B1570" s="1" t="s">
        <v>1223</v>
      </c>
      <c r="P1570" s="98">
        <v>-221405.89090909</v>
      </c>
      <c r="R1570" s="98">
        <v>-221405.89090909</v>
      </c>
      <c r="W1570" s="450"/>
      <c r="X1570" s="448"/>
    </row>
    <row r="1571" spans="1:24" ht="12.75" thickBot="1">
      <c r="A1571" s="35" t="s">
        <v>1282</v>
      </c>
      <c r="B1571" s="1" t="s">
        <v>1223</v>
      </c>
      <c r="P1571" s="98">
        <v>-221405.89090909</v>
      </c>
      <c r="R1571" s="98">
        <v>-221405.89090909</v>
      </c>
      <c r="W1571" s="450"/>
      <c r="X1571" s="448"/>
    </row>
    <row r="1572" spans="1:24" ht="12.75" thickBot="1">
      <c r="A1572" s="35" t="s">
        <v>1271</v>
      </c>
      <c r="B1572" s="1" t="s">
        <v>1223</v>
      </c>
      <c r="P1572" s="98">
        <v>-221405.89090909</v>
      </c>
      <c r="R1572" s="98">
        <v>-221405.89090909</v>
      </c>
      <c r="W1572" s="450"/>
      <c r="X1572" s="448"/>
    </row>
    <row r="1573" spans="1:24" ht="12.75" thickBot="1">
      <c r="A1573" s="35" t="s">
        <v>1272</v>
      </c>
      <c r="B1573" s="1" t="s">
        <v>1223</v>
      </c>
      <c r="P1573" s="98">
        <v>-221405.89090909</v>
      </c>
      <c r="R1573" s="98">
        <v>-221405.89090909</v>
      </c>
      <c r="W1573" s="450"/>
      <c r="X1573" s="448"/>
    </row>
    <row r="1574" spans="1:24" ht="12.75" thickBot="1">
      <c r="A1574" s="35" t="s">
        <v>1273</v>
      </c>
      <c r="B1574" s="1" t="s">
        <v>1223</v>
      </c>
      <c r="P1574" s="98">
        <v>-221405.89090909</v>
      </c>
      <c r="R1574" s="98">
        <v>-221405.89090909</v>
      </c>
      <c r="W1574" s="450"/>
      <c r="X1574" s="448"/>
    </row>
    <row r="1575" spans="1:24" ht="12.75" thickBot="1">
      <c r="A1575" s="35" t="s">
        <v>1274</v>
      </c>
      <c r="B1575" s="1" t="s">
        <v>1223</v>
      </c>
      <c r="P1575" s="98">
        <v>-221405.89090909</v>
      </c>
      <c r="R1575" s="98">
        <v>-221405.89090909</v>
      </c>
      <c r="W1575" s="450"/>
      <c r="X1575" s="448"/>
    </row>
    <row r="1576" spans="1:24" ht="12.75" thickBot="1">
      <c r="A1576" s="35" t="s">
        <v>1275</v>
      </c>
      <c r="B1576" s="1" t="s">
        <v>1223</v>
      </c>
      <c r="P1576" s="98">
        <v>-221405.89090909</v>
      </c>
      <c r="R1576" s="98">
        <v>-221405.89090909</v>
      </c>
      <c r="W1576" s="450"/>
      <c r="X1576" s="448"/>
    </row>
    <row r="1577" spans="1:24" ht="12.75" thickBot="1">
      <c r="A1577" s="35" t="s">
        <v>1276</v>
      </c>
      <c r="B1577" s="1" t="s">
        <v>1223</v>
      </c>
      <c r="P1577" s="98">
        <v>-221405.89090909</v>
      </c>
      <c r="R1577" s="98">
        <v>-221405.89090909</v>
      </c>
      <c r="W1577" s="450"/>
      <c r="X1577" s="448"/>
    </row>
    <row r="1578" spans="1:24" ht="12.75" thickBot="1">
      <c r="A1578" s="35" t="s">
        <v>1277</v>
      </c>
      <c r="B1578" s="1" t="s">
        <v>389</v>
      </c>
      <c r="E1578" s="98">
        <v>23496230.350000001</v>
      </c>
      <c r="F1578" s="98">
        <v>19439.999980559998</v>
      </c>
      <c r="G1578" s="98">
        <v>313674.67517249996</v>
      </c>
      <c r="H1578" s="98">
        <v>640272.27703749994</v>
      </c>
      <c r="J1578" s="98">
        <v>34160.330178639597</v>
      </c>
      <c r="K1578" s="98">
        <v>1132984.2842582103</v>
      </c>
      <c r="L1578" s="98">
        <v>38695.487032940298</v>
      </c>
      <c r="M1578" s="98">
        <v>46023.150405360706</v>
      </c>
      <c r="O1578" s="98">
        <v>148388.012009219</v>
      </c>
      <c r="R1578" s="98">
        <v>2373638.21607493</v>
      </c>
      <c r="W1578" s="450"/>
      <c r="X1578" s="448"/>
    </row>
    <row r="1579" spans="1:24" ht="12.75" thickBot="1">
      <c r="A1579" s="35" t="s">
        <v>1278</v>
      </c>
      <c r="B1579" s="1" t="s">
        <v>389</v>
      </c>
      <c r="E1579" s="98">
        <v>22942934.859999999</v>
      </c>
      <c r="F1579" s="98">
        <v>19439.999980559998</v>
      </c>
      <c r="G1579" s="98">
        <v>306288.18038100004</v>
      </c>
      <c r="H1579" s="98">
        <v>625194.97493499995</v>
      </c>
      <c r="J1579" s="98">
        <v>33780.864739019104</v>
      </c>
      <c r="K1579" s="98">
        <v>1120398.6805108008</v>
      </c>
      <c r="L1579" s="98">
        <v>46477.473330388399</v>
      </c>
      <c r="M1579" s="98">
        <v>49340.211142065898</v>
      </c>
      <c r="O1579" s="98">
        <v>147027.09346841899</v>
      </c>
      <c r="R1579" s="98">
        <v>2347947.4784872499</v>
      </c>
      <c r="W1579" s="450"/>
      <c r="X1579" s="448"/>
    </row>
    <row r="1580" spans="1:24" ht="12.75" thickBot="1">
      <c r="A1580" s="35" t="s">
        <v>1279</v>
      </c>
      <c r="B1580" s="1" t="s">
        <v>389</v>
      </c>
      <c r="E1580" s="98">
        <v>19657594.190000001</v>
      </c>
      <c r="F1580" s="98">
        <v>19349.999980650002</v>
      </c>
      <c r="G1580" s="98">
        <v>262428.88243649999</v>
      </c>
      <c r="H1580" s="98">
        <v>535669.44167750003</v>
      </c>
      <c r="J1580" s="98">
        <v>34119.644817080298</v>
      </c>
      <c r="K1580" s="98">
        <v>1131634.8864331597</v>
      </c>
      <c r="L1580" s="98">
        <v>42033.147840506201</v>
      </c>
      <c r="M1580" s="98">
        <v>5197.3120338159297</v>
      </c>
      <c r="O1580" s="98">
        <v>165801.59940437399</v>
      </c>
      <c r="R1580" s="98">
        <v>2196234.9146235902</v>
      </c>
      <c r="W1580" s="450"/>
      <c r="X1580" s="448"/>
    </row>
    <row r="1581" spans="1:24" ht="12.75" thickBot="1">
      <c r="A1581" s="35" t="s">
        <v>1280</v>
      </c>
      <c r="B1581" s="1" t="s">
        <v>389</v>
      </c>
      <c r="E1581" s="98">
        <v>19399423.009999998</v>
      </c>
      <c r="F1581" s="98">
        <v>19349.999980650002</v>
      </c>
      <c r="G1581" s="98">
        <v>258982.29718350002</v>
      </c>
      <c r="H1581" s="98">
        <v>528634.27702249994</v>
      </c>
      <c r="J1581" s="98">
        <v>30111.937928288</v>
      </c>
      <c r="K1581" s="98">
        <v>848780.25035361899</v>
      </c>
      <c r="L1581" s="98">
        <v>45076.669885673902</v>
      </c>
      <c r="M1581" s="98">
        <v>-4207.7044874895701</v>
      </c>
      <c r="O1581" s="98">
        <v>185220.40322229298</v>
      </c>
      <c r="R1581" s="98">
        <v>1911948.1310890301</v>
      </c>
      <c r="W1581" s="450"/>
      <c r="X1581" s="448"/>
    </row>
    <row r="1582" spans="1:24" ht="12.75" thickBot="1">
      <c r="A1582" s="35" t="s">
        <v>1281</v>
      </c>
      <c r="B1582" s="1" t="s">
        <v>389</v>
      </c>
      <c r="E1582" s="98">
        <v>19146671.760000002</v>
      </c>
      <c r="F1582" s="98">
        <v>19259.9999807399</v>
      </c>
      <c r="G1582" s="98">
        <v>255608.067996</v>
      </c>
      <c r="H1582" s="98">
        <v>521746.80546</v>
      </c>
      <c r="J1582" s="98">
        <v>28413.910118786</v>
      </c>
      <c r="K1582" s="98">
        <v>800917.09147328301</v>
      </c>
      <c r="L1582" s="98">
        <v>45977.454499461899</v>
      </c>
      <c r="M1582" s="98">
        <v>-4259.4681445460101</v>
      </c>
      <c r="O1582" s="98">
        <v>197402.81902767002</v>
      </c>
      <c r="R1582" s="98">
        <v>1865066.68041139</v>
      </c>
      <c r="W1582" s="450"/>
      <c r="X1582" s="448"/>
    </row>
    <row r="1583" spans="1:24" ht="12.75" thickBot="1">
      <c r="A1583" s="35" t="s">
        <v>1282</v>
      </c>
      <c r="B1583" s="1" t="s">
        <v>389</v>
      </c>
      <c r="E1583" s="98">
        <v>18982754.609999903</v>
      </c>
      <c r="F1583" s="98">
        <v>19259.9999807399</v>
      </c>
      <c r="G1583" s="98">
        <v>253419.774043499</v>
      </c>
      <c r="H1583" s="98">
        <v>517280.06312249997</v>
      </c>
      <c r="J1583" s="98">
        <v>28356.0765652439</v>
      </c>
      <c r="K1583" s="98">
        <v>799286.90818281309</v>
      </c>
      <c r="L1583" s="98">
        <v>42522.502975944299</v>
      </c>
      <c r="M1583" s="98">
        <v>-14889.2401900683</v>
      </c>
      <c r="O1583" s="98">
        <v>175894.60735553899</v>
      </c>
      <c r="R1583" s="98">
        <v>1821130.6920362099</v>
      </c>
      <c r="W1583" s="450"/>
      <c r="X1583" s="448"/>
    </row>
    <row r="1584" spans="1:24" ht="12.75" thickBot="1">
      <c r="A1584" s="35" t="s">
        <v>1271</v>
      </c>
      <c r="B1584" s="1" t="s">
        <v>389</v>
      </c>
      <c r="E1584" s="98">
        <v>18274284.109999999</v>
      </c>
      <c r="F1584" s="98">
        <v>19169.999980829998</v>
      </c>
      <c r="G1584" s="98">
        <v>243961.69286849999</v>
      </c>
      <c r="H1584" s="98">
        <v>497974.24199749995</v>
      </c>
      <c r="J1584" s="98">
        <v>28363.237560436701</v>
      </c>
      <c r="K1584" s="98">
        <v>799488.75873481133</v>
      </c>
      <c r="L1584" s="98">
        <v>23849.8830755702</v>
      </c>
      <c r="M1584" s="98">
        <v>-46547.9784261561</v>
      </c>
      <c r="O1584" s="98">
        <v>164026.30277716499</v>
      </c>
      <c r="R1584" s="98">
        <v>1730286.13856865</v>
      </c>
      <c r="W1584" s="450"/>
      <c r="X1584" s="448"/>
    </row>
    <row r="1585" spans="1:24" ht="12.75" thickBot="1">
      <c r="A1585" s="35" t="s">
        <v>1272</v>
      </c>
      <c r="B1585" s="1" t="s">
        <v>389</v>
      </c>
      <c r="E1585" s="98">
        <v>17230018.599999998</v>
      </c>
      <c r="F1585" s="98">
        <v>19169.999980829998</v>
      </c>
      <c r="G1585" s="98">
        <v>230020.74831</v>
      </c>
      <c r="H1585" s="98">
        <v>469518.00684999896</v>
      </c>
      <c r="J1585" s="98">
        <v>27909.164184890797</v>
      </c>
      <c r="K1585" s="98">
        <v>786689.56546161021</v>
      </c>
      <c r="L1585" s="98">
        <v>24555.569811350502</v>
      </c>
      <c r="M1585" s="98">
        <v>-91223.105949808596</v>
      </c>
      <c r="O1585" s="98">
        <v>165072.21649912599</v>
      </c>
      <c r="R1585" s="98">
        <v>1631712.165148</v>
      </c>
      <c r="W1585" s="450"/>
      <c r="X1585" s="448"/>
    </row>
    <row r="1586" spans="1:24" ht="12.75" thickBot="1">
      <c r="A1586" s="35" t="s">
        <v>1273</v>
      </c>
      <c r="B1586" s="1" t="s">
        <v>389</v>
      </c>
      <c r="E1586" s="98">
        <v>18186183.239999998</v>
      </c>
      <c r="F1586" s="98">
        <v>19079.999980920002</v>
      </c>
      <c r="G1586" s="98">
        <v>242785.54625399999</v>
      </c>
      <c r="H1586" s="98">
        <v>495573.49329000001</v>
      </c>
      <c r="J1586" s="98">
        <v>27887.202970512699</v>
      </c>
      <c r="K1586" s="98">
        <v>786070.53373132937</v>
      </c>
      <c r="L1586" s="98">
        <v>30670.780751561702</v>
      </c>
      <c r="M1586" s="98">
        <v>-25645.9361729263</v>
      </c>
      <c r="O1586" s="98">
        <v>188570.071071288</v>
      </c>
      <c r="R1586" s="98">
        <v>1764991.6918766801</v>
      </c>
      <c r="W1586" s="450"/>
      <c r="X1586" s="448"/>
    </row>
    <row r="1587" spans="1:24" ht="12.75" thickBot="1">
      <c r="A1587" s="35" t="s">
        <v>1274</v>
      </c>
      <c r="B1587" s="1" t="s">
        <v>389</v>
      </c>
      <c r="E1587" s="98">
        <v>17964057.690000001</v>
      </c>
      <c r="F1587" s="98">
        <v>19079.999980920002</v>
      </c>
      <c r="G1587" s="98">
        <v>239820.17016149999</v>
      </c>
      <c r="H1587" s="98">
        <v>489520.57205249998</v>
      </c>
      <c r="J1587" s="98">
        <v>28158.5116566414</v>
      </c>
      <c r="K1587" s="98">
        <v>793718.04732158163</v>
      </c>
      <c r="L1587" s="98">
        <v>30149.454682992102</v>
      </c>
      <c r="M1587" s="98">
        <v>-15650.537623574601</v>
      </c>
      <c r="O1587" s="98">
        <v>198864.647423866</v>
      </c>
      <c r="R1587" s="98">
        <v>1783660.8656564199</v>
      </c>
      <c r="W1587" s="450"/>
      <c r="X1587" s="448"/>
    </row>
    <row r="1588" spans="1:24" ht="12.75" thickBot="1">
      <c r="A1588" s="35" t="s">
        <v>1275</v>
      </c>
      <c r="B1588" s="1" t="s">
        <v>389</v>
      </c>
      <c r="E1588" s="98">
        <v>20979803.329999901</v>
      </c>
      <c r="F1588" s="98">
        <v>18989.9999810099</v>
      </c>
      <c r="G1588" s="98">
        <v>280080.374455499</v>
      </c>
      <c r="H1588" s="98">
        <v>571699.64074249903</v>
      </c>
      <c r="J1588" s="98">
        <v>28149.050784650899</v>
      </c>
      <c r="K1588" s="98">
        <v>933610.18435758911</v>
      </c>
      <c r="L1588" s="98">
        <v>43914.752837933302</v>
      </c>
      <c r="M1588" s="98">
        <v>4047.2877967349705</v>
      </c>
      <c r="O1588" s="98">
        <v>219605.69685496303</v>
      </c>
      <c r="R1588" s="98">
        <v>2100096.9878108799</v>
      </c>
      <c r="W1588" s="450"/>
      <c r="X1588" s="448"/>
    </row>
    <row r="1589" spans="1:24" ht="12.75" thickBot="1">
      <c r="A1589" s="35" t="s">
        <v>1276</v>
      </c>
      <c r="B1589" s="1" t="s">
        <v>389</v>
      </c>
      <c r="E1589" s="98">
        <v>21823097.57</v>
      </c>
      <c r="F1589" s="98">
        <v>18989.9999810099</v>
      </c>
      <c r="G1589" s="98">
        <v>291338.35255949997</v>
      </c>
      <c r="H1589" s="98">
        <v>594679.40878249996</v>
      </c>
      <c r="J1589" s="98">
        <v>30024.786545975199</v>
      </c>
      <c r="K1589" s="98">
        <v>995822.08710817469</v>
      </c>
      <c r="L1589" s="98">
        <v>35880.159773605701</v>
      </c>
      <c r="M1589" s="98">
        <v>33061.774746946903</v>
      </c>
      <c r="O1589" s="98">
        <v>201411.53090034399</v>
      </c>
      <c r="R1589" s="98">
        <v>2201208.1003980604</v>
      </c>
      <c r="W1589" s="450"/>
      <c r="X1589" s="448"/>
    </row>
    <row r="1590" spans="1:24" ht="12.75" thickBot="1">
      <c r="A1590" s="35" t="s">
        <v>1277</v>
      </c>
      <c r="B1590" s="1" t="s">
        <v>1223</v>
      </c>
      <c r="P1590" s="98">
        <v>-65119.744186046402</v>
      </c>
      <c r="R1590" s="98">
        <v>-65119.744186046402</v>
      </c>
      <c r="W1590" s="450"/>
      <c r="X1590" s="448"/>
    </row>
    <row r="1591" spans="1:24" ht="12.75" thickBot="1">
      <c r="A1591" s="35" t="s">
        <v>1278</v>
      </c>
      <c r="B1591" s="1" t="s">
        <v>1223</v>
      </c>
      <c r="P1591" s="98">
        <v>-65119.744186046402</v>
      </c>
      <c r="R1591" s="98">
        <v>-65119.744186046402</v>
      </c>
      <c r="W1591" s="450"/>
      <c r="X1591" s="448"/>
    </row>
    <row r="1592" spans="1:24" ht="12.75" thickBot="1">
      <c r="A1592" s="35" t="s">
        <v>1279</v>
      </c>
      <c r="B1592" s="1" t="s">
        <v>1223</v>
      </c>
      <c r="P1592" s="98">
        <v>-65119.744186046402</v>
      </c>
      <c r="R1592" s="98">
        <v>-65119.744186046402</v>
      </c>
      <c r="W1592" s="450"/>
      <c r="X1592" s="448"/>
    </row>
    <row r="1593" spans="1:24" ht="12.75" thickBot="1">
      <c r="A1593" s="35" t="s">
        <v>1280</v>
      </c>
      <c r="B1593" s="1" t="s">
        <v>1223</v>
      </c>
      <c r="P1593" s="98">
        <v>-65119.744186046402</v>
      </c>
      <c r="R1593" s="98">
        <v>-65119.744186046402</v>
      </c>
      <c r="W1593" s="450"/>
      <c r="X1593" s="448"/>
    </row>
    <row r="1594" spans="1:24" ht="12.75" thickBot="1">
      <c r="A1594" s="35" t="s">
        <v>1281</v>
      </c>
      <c r="B1594" s="1" t="s">
        <v>1223</v>
      </c>
      <c r="P1594" s="98">
        <v>-65119.744186046402</v>
      </c>
      <c r="R1594" s="98">
        <v>-65119.744186046402</v>
      </c>
      <c r="W1594" s="450"/>
      <c r="X1594" s="448"/>
    </row>
    <row r="1595" spans="1:24" ht="12.75" thickBot="1">
      <c r="A1595" s="35" t="s">
        <v>1282</v>
      </c>
      <c r="B1595" s="1" t="s">
        <v>1223</v>
      </c>
      <c r="P1595" s="98">
        <v>-65119.744186046402</v>
      </c>
      <c r="R1595" s="98">
        <v>-65119.744186046402</v>
      </c>
      <c r="W1595" s="450"/>
      <c r="X1595" s="448"/>
    </row>
    <row r="1596" spans="1:24" ht="12.75" thickBot="1">
      <c r="A1596" s="35" t="s">
        <v>1271</v>
      </c>
      <c r="B1596" s="1" t="s">
        <v>1223</v>
      </c>
      <c r="P1596" s="98">
        <v>-65119.744186046402</v>
      </c>
      <c r="R1596" s="98">
        <v>-65119.744186046402</v>
      </c>
      <c r="W1596" s="450"/>
      <c r="X1596" s="448"/>
    </row>
    <row r="1597" spans="1:24" ht="12.75" thickBot="1">
      <c r="A1597" s="35" t="s">
        <v>1272</v>
      </c>
      <c r="B1597" s="1" t="s">
        <v>1223</v>
      </c>
      <c r="P1597" s="98">
        <v>-65119.744186046402</v>
      </c>
      <c r="R1597" s="98">
        <v>-65119.744186046402</v>
      </c>
      <c r="W1597" s="450"/>
      <c r="X1597" s="448"/>
    </row>
    <row r="1598" spans="1:24" ht="12.75" thickBot="1">
      <c r="A1598" s="35" t="s">
        <v>1273</v>
      </c>
      <c r="B1598" s="1" t="s">
        <v>1223</v>
      </c>
      <c r="P1598" s="98">
        <v>-65119.744186046402</v>
      </c>
      <c r="R1598" s="98">
        <v>-65119.744186046402</v>
      </c>
      <c r="W1598" s="450"/>
      <c r="X1598" s="448"/>
    </row>
    <row r="1599" spans="1:24" ht="12.75" thickBot="1">
      <c r="A1599" s="35" t="s">
        <v>1274</v>
      </c>
      <c r="B1599" s="1" t="s">
        <v>1223</v>
      </c>
      <c r="P1599" s="98">
        <v>-65119.744186046402</v>
      </c>
      <c r="R1599" s="98">
        <v>-65119.744186046402</v>
      </c>
      <c r="W1599" s="450"/>
      <c r="X1599" s="448"/>
    </row>
    <row r="1600" spans="1:24" ht="12.75" thickBot="1">
      <c r="A1600" s="35" t="s">
        <v>1275</v>
      </c>
      <c r="B1600" s="1" t="s">
        <v>1223</v>
      </c>
      <c r="P1600" s="98">
        <v>-65119.744186046402</v>
      </c>
      <c r="R1600" s="98">
        <v>-65119.744186046402</v>
      </c>
      <c r="W1600" s="450"/>
      <c r="X1600" s="448"/>
    </row>
    <row r="1601" spans="1:24" ht="12.75" thickBot="1">
      <c r="A1601" s="35" t="s">
        <v>1276</v>
      </c>
      <c r="B1601" s="1" t="s">
        <v>1223</v>
      </c>
      <c r="P1601" s="98">
        <v>-65119.744186046402</v>
      </c>
      <c r="R1601" s="98">
        <v>-65119.744186046402</v>
      </c>
      <c r="W1601" s="450"/>
      <c r="X1601" s="448"/>
    </row>
    <row r="1602" spans="1:24" ht="12.75" thickBot="1">
      <c r="A1602" s="35" t="s">
        <v>1277</v>
      </c>
      <c r="B1602" s="1" t="s">
        <v>381</v>
      </c>
      <c r="E1602" s="98">
        <v>102495326.428157</v>
      </c>
      <c r="F1602" s="98">
        <v>572189.85167091107</v>
      </c>
      <c r="G1602" s="98">
        <v>6397758.275645569</v>
      </c>
      <c r="H1602" s="98">
        <v>2792997.64516728</v>
      </c>
      <c r="I1602" s="98">
        <v>171167.19513502202</v>
      </c>
      <c r="L1602" s="98">
        <v>168797.56946789299</v>
      </c>
      <c r="M1602" s="98">
        <v>200762.32458495701</v>
      </c>
      <c r="O1602" s="98">
        <v>647298.6305614009</v>
      </c>
      <c r="R1602" s="98">
        <v>10950971.492233001</v>
      </c>
      <c r="W1602" s="450"/>
      <c r="X1602" s="448"/>
    </row>
    <row r="1603" spans="1:24" ht="12.75" thickBot="1">
      <c r="A1603" s="35" t="s">
        <v>1278</v>
      </c>
      <c r="B1603" s="1" t="s">
        <v>381</v>
      </c>
      <c r="E1603" s="98">
        <v>103100959.630843</v>
      </c>
      <c r="F1603" s="98">
        <v>572408.403125318</v>
      </c>
      <c r="G1603" s="98">
        <v>6435561.9001572616</v>
      </c>
      <c r="H1603" s="98">
        <v>2809501.1499404898</v>
      </c>
      <c r="I1603" s="98">
        <v>172178.602583509</v>
      </c>
      <c r="L1603" s="98">
        <v>208860.467539156</v>
      </c>
      <c r="M1603" s="98">
        <v>221725.038587127</v>
      </c>
      <c r="O1603" s="98">
        <v>660710.345944284</v>
      </c>
      <c r="R1603" s="98">
        <v>11080945.907877099</v>
      </c>
      <c r="W1603" s="450"/>
      <c r="X1603" s="448"/>
    </row>
    <row r="1604" spans="1:24" ht="12.75" thickBot="1">
      <c r="A1604" s="35" t="s">
        <v>1279</v>
      </c>
      <c r="B1604" s="1" t="s">
        <v>381</v>
      </c>
      <c r="E1604" s="98">
        <v>84000795.834654599</v>
      </c>
      <c r="F1604" s="98">
        <v>572626.95457972598</v>
      </c>
      <c r="G1604" s="98">
        <v>5243329.6759991376</v>
      </c>
      <c r="H1604" s="98">
        <v>2289021.6864943299</v>
      </c>
      <c r="I1604" s="98">
        <v>140281.329043873</v>
      </c>
      <c r="L1604" s="98">
        <v>179615.97110567999</v>
      </c>
      <c r="M1604" s="98">
        <v>22209.1443551956</v>
      </c>
      <c r="O1604" s="98">
        <v>708503.09381760808</v>
      </c>
      <c r="R1604" s="98">
        <v>9155587.8553955611</v>
      </c>
      <c r="W1604" s="450"/>
      <c r="X1604" s="448"/>
    </row>
    <row r="1605" spans="1:24" ht="12.75" thickBot="1">
      <c r="A1605" s="35" t="s">
        <v>1280</v>
      </c>
      <c r="B1605" s="1" t="s">
        <v>381</v>
      </c>
      <c r="E1605" s="98">
        <v>75985712.738393188</v>
      </c>
      <c r="F1605" s="98">
        <v>572845.50603413302</v>
      </c>
      <c r="G1605" s="98">
        <v>4743028.1891305037</v>
      </c>
      <c r="H1605" s="98">
        <v>2070610.67212121</v>
      </c>
      <c r="I1605" s="98">
        <v>126896.14027311601</v>
      </c>
      <c r="L1605" s="98">
        <v>176561.07026330501</v>
      </c>
      <c r="M1605" s="98">
        <v>-16481.1821624601</v>
      </c>
      <c r="O1605" s="98">
        <v>725490.87389267399</v>
      </c>
      <c r="R1605" s="98">
        <v>8398951.2695524897</v>
      </c>
      <c r="W1605" s="450"/>
      <c r="X1605" s="448"/>
    </row>
    <row r="1606" spans="1:24" ht="12.75" thickBot="1">
      <c r="A1606" s="35" t="s">
        <v>1281</v>
      </c>
      <c r="B1606" s="1" t="s">
        <v>381</v>
      </c>
      <c r="E1606" s="98">
        <v>74220819.869854197</v>
      </c>
      <c r="F1606" s="98">
        <v>573064.05748854007</v>
      </c>
      <c r="G1606" s="98">
        <v>4632863.576276294</v>
      </c>
      <c r="H1606" s="98">
        <v>2022517.3414535199</v>
      </c>
      <c r="I1606" s="98">
        <v>123948.76918265599</v>
      </c>
      <c r="L1606" s="98">
        <v>178228.59300320401</v>
      </c>
      <c r="M1606" s="98">
        <v>-16511.549467213099</v>
      </c>
      <c r="O1606" s="98">
        <v>765219.10734704894</v>
      </c>
      <c r="R1606" s="98">
        <v>8279329.8952840595</v>
      </c>
      <c r="W1606" s="450"/>
      <c r="X1606" s="448"/>
    </row>
    <row r="1607" spans="1:24" ht="12.75" thickBot="1">
      <c r="A1607" s="35" t="s">
        <v>1282</v>
      </c>
      <c r="B1607" s="1" t="s">
        <v>381</v>
      </c>
      <c r="E1607" s="98">
        <v>78915468.413598701</v>
      </c>
      <c r="F1607" s="98">
        <v>573282.608942947</v>
      </c>
      <c r="G1607" s="98">
        <v>4925903.5383768314</v>
      </c>
      <c r="H1607" s="98">
        <v>2150446.5142705599</v>
      </c>
      <c r="I1607" s="98">
        <v>131788.83225070901</v>
      </c>
      <c r="L1607" s="98">
        <v>176775.357918683</v>
      </c>
      <c r="M1607" s="98">
        <v>-61897.832430644499</v>
      </c>
      <c r="O1607" s="98">
        <v>731232.406258684</v>
      </c>
      <c r="R1607" s="98">
        <v>8627531.4255877808</v>
      </c>
      <c r="W1607" s="450"/>
      <c r="X1607" s="448"/>
    </row>
    <row r="1608" spans="1:24" ht="12.75" thickBot="1">
      <c r="A1608" s="35" t="s">
        <v>1271</v>
      </c>
      <c r="B1608" s="1" t="s">
        <v>381</v>
      </c>
      <c r="E1608" s="98">
        <v>81564369.728980601</v>
      </c>
      <c r="F1608" s="98">
        <v>573501.16039735801</v>
      </c>
      <c r="G1608" s="98">
        <v>5091247.9584829621</v>
      </c>
      <c r="H1608" s="98">
        <v>2222629.07511472</v>
      </c>
      <c r="I1608" s="98">
        <v>136212.49744739701</v>
      </c>
      <c r="L1608" s="98">
        <v>106450.171698067</v>
      </c>
      <c r="M1608" s="98">
        <v>-207759.52150213101</v>
      </c>
      <c r="O1608" s="98">
        <v>732105.3960014421</v>
      </c>
      <c r="R1608" s="98">
        <v>8654386.7376398202</v>
      </c>
      <c r="W1608" s="450"/>
      <c r="X1608" s="448"/>
    </row>
    <row r="1609" spans="1:24" ht="12.75" thickBot="1">
      <c r="A1609" s="35" t="s">
        <v>1272</v>
      </c>
      <c r="B1609" s="1" t="s">
        <v>381</v>
      </c>
      <c r="E1609" s="98">
        <v>72913022.244990498</v>
      </c>
      <c r="F1609" s="98">
        <v>573719.71185176505</v>
      </c>
      <c r="G1609" s="98">
        <v>4551230.848532306</v>
      </c>
      <c r="H1609" s="98">
        <v>1986879.8561759901</v>
      </c>
      <c r="I1609" s="98">
        <v>121764.747149134</v>
      </c>
      <c r="L1609" s="98">
        <v>103912.87725559399</v>
      </c>
      <c r="M1609" s="98">
        <v>-386032.80169270997</v>
      </c>
      <c r="O1609" s="98">
        <v>698543.30822549004</v>
      </c>
      <c r="R1609" s="98">
        <v>7650018.5474975696</v>
      </c>
      <c r="W1609" s="450"/>
      <c r="X1609" s="448"/>
    </row>
    <row r="1610" spans="1:24" ht="12.75" thickBot="1">
      <c r="A1610" s="35" t="s">
        <v>1273</v>
      </c>
      <c r="B1610" s="1" t="s">
        <v>381</v>
      </c>
      <c r="E1610" s="98">
        <v>76141681.795974106</v>
      </c>
      <c r="F1610" s="98">
        <v>573938.26330617198</v>
      </c>
      <c r="G1610" s="98">
        <v>4752763.7777047036</v>
      </c>
      <c r="H1610" s="98">
        <v>2074860.82894029</v>
      </c>
      <c r="I1610" s="98">
        <v>127156.60859927599</v>
      </c>
      <c r="L1610" s="98">
        <v>128412.036632459</v>
      </c>
      <c r="M1610" s="98">
        <v>-107374.080953053</v>
      </c>
      <c r="O1610" s="98">
        <v>789502.78671855305</v>
      </c>
      <c r="R1610" s="98">
        <v>8339260.2209484102</v>
      </c>
      <c r="W1610" s="450"/>
      <c r="X1610" s="448"/>
    </row>
    <row r="1611" spans="1:24" ht="12.75" thickBot="1">
      <c r="A1611" s="35" t="s">
        <v>1274</v>
      </c>
      <c r="B1611" s="1" t="s">
        <v>381</v>
      </c>
      <c r="E1611" s="98">
        <v>71967150.6107786</v>
      </c>
      <c r="F1611" s="98">
        <v>574156.81476057996</v>
      </c>
      <c r="G1611" s="98">
        <v>4492189.5411247993</v>
      </c>
      <c r="H1611" s="98">
        <v>1961104.8541437101</v>
      </c>
      <c r="I1611" s="98">
        <v>120185.14152</v>
      </c>
      <c r="L1611" s="98">
        <v>120783.977843245</v>
      </c>
      <c r="M1611" s="98">
        <v>-62698.785415415397</v>
      </c>
      <c r="O1611" s="98">
        <v>796686.48805774294</v>
      </c>
      <c r="R1611" s="98">
        <v>8002408.03203467</v>
      </c>
      <c r="W1611" s="450"/>
      <c r="X1611" s="448"/>
    </row>
    <row r="1612" spans="1:24" ht="12.75" thickBot="1">
      <c r="A1612" s="35" t="s">
        <v>1275</v>
      </c>
      <c r="B1612" s="1" t="s">
        <v>381</v>
      </c>
      <c r="E1612" s="98">
        <v>81600963.168776304</v>
      </c>
      <c r="F1612" s="98">
        <v>574375.36621498701</v>
      </c>
      <c r="G1612" s="98">
        <v>5093532.120995014</v>
      </c>
      <c r="H1612" s="98">
        <v>2223626.2463491498</v>
      </c>
      <c r="I1612" s="98">
        <v>136273.60849185602</v>
      </c>
      <c r="L1612" s="98">
        <v>170806.46908495601</v>
      </c>
      <c r="M1612" s="98">
        <v>15741.929380365</v>
      </c>
      <c r="O1612" s="98">
        <v>854156.54755402892</v>
      </c>
      <c r="R1612" s="98">
        <v>9068512.2880703695</v>
      </c>
      <c r="W1612" s="450"/>
      <c r="X1612" s="448"/>
    </row>
    <row r="1613" spans="1:24" ht="12.75" thickBot="1">
      <c r="A1613" s="35" t="s">
        <v>1276</v>
      </c>
      <c r="B1613" s="1" t="s">
        <v>381</v>
      </c>
      <c r="E1613" s="98">
        <v>92005902.599770889</v>
      </c>
      <c r="F1613" s="98">
        <v>574593.91766939405</v>
      </c>
      <c r="G1613" s="98">
        <v>5743008.4402776938</v>
      </c>
      <c r="H1613" s="98">
        <v>2507160.8458437501</v>
      </c>
      <c r="I1613" s="98">
        <v>153649.857341617</v>
      </c>
      <c r="L1613" s="98">
        <v>151270.29858184201</v>
      </c>
      <c r="M1613" s="98">
        <v>139388.02305153999</v>
      </c>
      <c r="O1613" s="98">
        <v>849148.46002257406</v>
      </c>
      <c r="R1613" s="98">
        <v>10118219.8427884</v>
      </c>
      <c r="W1613" s="450"/>
      <c r="X1613" s="448"/>
    </row>
    <row r="1614" spans="1:24">
      <c r="A1614" s="98"/>
      <c r="W1614" s="450"/>
      <c r="X1614" s="448"/>
    </row>
    <row r="1615" spans="1:24">
      <c r="A1615" s="98"/>
      <c r="W1615" s="450"/>
      <c r="X1615" s="448"/>
    </row>
    <row r="1616" spans="1:24">
      <c r="A1616" s="98"/>
      <c r="W1616" s="450"/>
      <c r="X1616" s="448"/>
    </row>
    <row r="1617" spans="1:24">
      <c r="A1617" s="98"/>
      <c r="W1617" s="450"/>
      <c r="X1617" s="448"/>
    </row>
    <row r="1618" spans="1:24">
      <c r="A1618" s="98"/>
      <c r="W1618" s="450"/>
      <c r="X1618" s="448"/>
    </row>
    <row r="1619" spans="1:24">
      <c r="A1619" s="98"/>
      <c r="W1619" s="450"/>
      <c r="X1619" s="448"/>
    </row>
    <row r="1620" spans="1:24">
      <c r="A1620" s="98"/>
      <c r="W1620" s="450"/>
      <c r="X1620" s="448"/>
    </row>
    <row r="1621" spans="1:24">
      <c r="A1621" s="98"/>
      <c r="W1621" s="450"/>
      <c r="X1621" s="448"/>
    </row>
    <row r="1622" spans="1:24">
      <c r="A1622" s="98"/>
      <c r="W1622" s="450"/>
      <c r="X1622" s="448"/>
    </row>
    <row r="1623" spans="1:24">
      <c r="A1623" s="98"/>
      <c r="W1623" s="450"/>
      <c r="X1623" s="448"/>
    </row>
    <row r="1624" spans="1:24">
      <c r="A1624" s="98"/>
      <c r="W1624" s="450"/>
      <c r="X1624" s="448"/>
    </row>
    <row r="1625" spans="1:24">
      <c r="A1625" s="98"/>
      <c r="W1625" s="450"/>
      <c r="X1625" s="448"/>
    </row>
    <row r="1626" spans="1:24">
      <c r="A1626" s="98"/>
      <c r="W1626" s="450"/>
      <c r="X1626" s="448"/>
    </row>
    <row r="1627" spans="1:24">
      <c r="A1627" s="98"/>
      <c r="W1627" s="450"/>
      <c r="X1627" s="448"/>
    </row>
    <row r="1628" spans="1:24">
      <c r="A1628" s="98"/>
      <c r="W1628" s="450"/>
      <c r="X1628" s="448"/>
    </row>
    <row r="1629" spans="1:24">
      <c r="A1629" s="98"/>
      <c r="W1629" s="450"/>
      <c r="X1629" s="448"/>
    </row>
    <row r="1630" spans="1:24">
      <c r="A1630" s="98"/>
      <c r="W1630" s="450"/>
      <c r="X1630" s="448"/>
    </row>
    <row r="1631" spans="1:24">
      <c r="A1631" s="98"/>
      <c r="W1631" s="450"/>
      <c r="X1631" s="448"/>
    </row>
    <row r="1632" spans="1:24">
      <c r="A1632" s="98"/>
      <c r="W1632" s="450"/>
      <c r="X1632" s="448"/>
    </row>
    <row r="1633" spans="1:24">
      <c r="A1633" s="98"/>
      <c r="W1633" s="450"/>
      <c r="X1633" s="448"/>
    </row>
    <row r="1634" spans="1:24">
      <c r="A1634" s="98"/>
      <c r="W1634" s="450"/>
      <c r="X1634" s="448"/>
    </row>
    <row r="1635" spans="1:24">
      <c r="A1635" s="98"/>
      <c r="W1635" s="450"/>
      <c r="X1635" s="448"/>
    </row>
    <row r="1636" spans="1:24">
      <c r="A1636" s="98"/>
      <c r="W1636" s="450"/>
      <c r="X1636" s="448"/>
    </row>
    <row r="1637" spans="1:24">
      <c r="A1637" s="98"/>
      <c r="W1637" s="450"/>
      <c r="X1637" s="448"/>
    </row>
    <row r="1638" spans="1:24">
      <c r="A1638" s="98"/>
      <c r="W1638" s="450"/>
      <c r="X1638" s="448"/>
    </row>
    <row r="1639" spans="1:24">
      <c r="A1639" s="98"/>
      <c r="W1639" s="450"/>
      <c r="X1639" s="448"/>
    </row>
    <row r="1640" spans="1:24">
      <c r="A1640" s="98"/>
      <c r="W1640" s="450"/>
      <c r="X1640" s="448"/>
    </row>
    <row r="1641" spans="1:24">
      <c r="A1641" s="98"/>
      <c r="W1641" s="450"/>
      <c r="X1641" s="448"/>
    </row>
    <row r="1642" spans="1:24">
      <c r="A1642" s="98"/>
      <c r="W1642" s="450"/>
      <c r="X1642" s="448"/>
    </row>
    <row r="1643" spans="1:24">
      <c r="A1643" s="98"/>
      <c r="W1643" s="450"/>
      <c r="X1643" s="448"/>
    </row>
    <row r="1644" spans="1:24">
      <c r="A1644" s="98"/>
      <c r="W1644" s="450"/>
      <c r="X1644" s="448"/>
    </row>
    <row r="1645" spans="1:24">
      <c r="A1645" s="98"/>
      <c r="W1645" s="450"/>
      <c r="X1645" s="448"/>
    </row>
    <row r="1646" spans="1:24">
      <c r="A1646" s="98"/>
      <c r="W1646" s="450"/>
      <c r="X1646" s="448"/>
    </row>
    <row r="1647" spans="1:24">
      <c r="A1647" s="98"/>
      <c r="W1647" s="450"/>
      <c r="X1647" s="448"/>
    </row>
    <row r="1648" spans="1:24">
      <c r="A1648" s="98"/>
      <c r="W1648" s="450"/>
      <c r="X1648" s="448"/>
    </row>
    <row r="1649" spans="1:24">
      <c r="A1649" s="98"/>
      <c r="W1649" s="450"/>
      <c r="X1649" s="448"/>
    </row>
    <row r="1650" spans="1:24">
      <c r="A1650" s="98"/>
      <c r="W1650" s="450"/>
      <c r="X1650" s="448"/>
    </row>
    <row r="1651" spans="1:24">
      <c r="A1651" s="98"/>
      <c r="W1651" s="450"/>
      <c r="X1651" s="448"/>
    </row>
    <row r="1652" spans="1:24">
      <c r="A1652" s="98"/>
      <c r="W1652" s="450"/>
      <c r="X1652" s="448"/>
    </row>
    <row r="1653" spans="1:24">
      <c r="A1653" s="98"/>
      <c r="W1653" s="450"/>
      <c r="X1653" s="448"/>
    </row>
    <row r="1654" spans="1:24">
      <c r="A1654" s="98"/>
      <c r="W1654" s="450"/>
      <c r="X1654" s="448"/>
    </row>
    <row r="1655" spans="1:24">
      <c r="A1655" s="98"/>
      <c r="W1655" s="450"/>
      <c r="X1655" s="448"/>
    </row>
    <row r="1656" spans="1:24">
      <c r="A1656" s="98"/>
      <c r="W1656" s="450"/>
      <c r="X1656" s="448"/>
    </row>
    <row r="1657" spans="1:24">
      <c r="A1657" s="98"/>
      <c r="W1657" s="450"/>
      <c r="X1657" s="448"/>
    </row>
    <row r="1658" spans="1:24">
      <c r="A1658" s="98"/>
      <c r="W1658" s="450"/>
      <c r="X1658" s="448"/>
    </row>
    <row r="1659" spans="1:24">
      <c r="A1659" s="98"/>
      <c r="W1659" s="450"/>
      <c r="X1659" s="448"/>
    </row>
    <row r="1660" spans="1:24">
      <c r="A1660" s="98"/>
      <c r="W1660" s="450"/>
      <c r="X1660" s="448"/>
    </row>
    <row r="1661" spans="1:24">
      <c r="A1661" s="98"/>
      <c r="W1661" s="450"/>
      <c r="X1661" s="448"/>
    </row>
    <row r="1662" spans="1:24">
      <c r="A1662" s="98"/>
      <c r="W1662" s="450"/>
      <c r="X1662" s="448"/>
    </row>
    <row r="1663" spans="1:24">
      <c r="A1663" s="98"/>
      <c r="W1663" s="450"/>
      <c r="X1663" s="448"/>
    </row>
    <row r="1664" spans="1:24">
      <c r="A1664" s="98"/>
      <c r="W1664" s="450"/>
      <c r="X1664" s="448"/>
    </row>
    <row r="1665" spans="1:24">
      <c r="A1665" s="98"/>
      <c r="W1665" s="450"/>
      <c r="X1665" s="448"/>
    </row>
    <row r="1666" spans="1:24">
      <c r="A1666" s="98"/>
      <c r="W1666" s="450"/>
      <c r="X1666" s="448"/>
    </row>
    <row r="1667" spans="1:24">
      <c r="A1667" s="98"/>
      <c r="W1667" s="450"/>
      <c r="X1667" s="448"/>
    </row>
    <row r="1668" spans="1:24">
      <c r="A1668" s="98"/>
      <c r="W1668" s="450"/>
      <c r="X1668" s="448"/>
    </row>
    <row r="1669" spans="1:24">
      <c r="A1669" s="98"/>
      <c r="W1669" s="450"/>
      <c r="X1669" s="448"/>
    </row>
    <row r="1670" spans="1:24">
      <c r="A1670" s="98"/>
      <c r="W1670" s="450"/>
      <c r="X1670" s="448"/>
    </row>
    <row r="1671" spans="1:24">
      <c r="A1671" s="98"/>
      <c r="W1671" s="450"/>
      <c r="X1671" s="448"/>
    </row>
    <row r="1672" spans="1:24">
      <c r="A1672" s="98"/>
      <c r="W1672" s="450"/>
      <c r="X1672" s="448"/>
    </row>
    <row r="1673" spans="1:24">
      <c r="A1673" s="98"/>
      <c r="W1673" s="450"/>
      <c r="X1673" s="448"/>
    </row>
    <row r="1674" spans="1:24">
      <c r="A1674" s="98"/>
      <c r="W1674" s="450"/>
      <c r="X1674" s="448"/>
    </row>
    <row r="1675" spans="1:24">
      <c r="A1675" s="98"/>
      <c r="W1675" s="450"/>
      <c r="X1675" s="448"/>
    </row>
    <row r="1676" spans="1:24">
      <c r="A1676" s="98"/>
      <c r="W1676" s="450"/>
      <c r="X1676" s="448"/>
    </row>
    <row r="1677" spans="1:24">
      <c r="A1677" s="98"/>
      <c r="W1677" s="450"/>
      <c r="X1677" s="448"/>
    </row>
    <row r="1678" spans="1:24">
      <c r="A1678" s="98"/>
      <c r="W1678" s="450"/>
      <c r="X1678" s="448"/>
    </row>
    <row r="1679" spans="1:24">
      <c r="A1679" s="98"/>
      <c r="W1679" s="450"/>
      <c r="X1679" s="448"/>
    </row>
    <row r="1680" spans="1:24">
      <c r="A1680" s="98"/>
      <c r="W1680" s="450"/>
      <c r="X1680" s="448"/>
    </row>
    <row r="1681" spans="1:24">
      <c r="A1681" s="98"/>
      <c r="W1681" s="450"/>
      <c r="X1681" s="448"/>
    </row>
    <row r="1682" spans="1:24">
      <c r="A1682" s="98"/>
      <c r="W1682" s="450"/>
      <c r="X1682" s="448"/>
    </row>
    <row r="1683" spans="1:24">
      <c r="A1683" s="98"/>
      <c r="W1683" s="450"/>
      <c r="X1683" s="448"/>
    </row>
    <row r="1684" spans="1:24">
      <c r="A1684" s="98"/>
      <c r="W1684" s="450"/>
      <c r="X1684" s="448"/>
    </row>
    <row r="1685" spans="1:24">
      <c r="A1685" s="98"/>
      <c r="W1685" s="450"/>
      <c r="X1685" s="448"/>
    </row>
    <row r="1686" spans="1:24">
      <c r="A1686" s="98"/>
      <c r="W1686" s="450"/>
      <c r="X1686" s="448"/>
    </row>
    <row r="1687" spans="1:24">
      <c r="A1687" s="98"/>
      <c r="W1687" s="450"/>
      <c r="X1687" s="448"/>
    </row>
    <row r="1688" spans="1:24">
      <c r="A1688" s="98"/>
      <c r="W1688" s="450"/>
      <c r="X1688" s="448"/>
    </row>
    <row r="1689" spans="1:24">
      <c r="A1689" s="98"/>
      <c r="W1689" s="450"/>
      <c r="X1689" s="448"/>
    </row>
    <row r="1690" spans="1:24">
      <c r="A1690" s="98"/>
      <c r="W1690" s="450"/>
      <c r="X1690" s="448"/>
    </row>
    <row r="1691" spans="1:24">
      <c r="A1691" s="98"/>
      <c r="W1691" s="450"/>
      <c r="X1691" s="448"/>
    </row>
    <row r="1692" spans="1:24">
      <c r="A1692" s="98"/>
      <c r="W1692" s="450"/>
      <c r="X1692" s="448"/>
    </row>
    <row r="1693" spans="1:24">
      <c r="A1693" s="98"/>
      <c r="W1693" s="450"/>
      <c r="X1693" s="448"/>
    </row>
    <row r="1694" spans="1:24">
      <c r="A1694" s="98"/>
      <c r="W1694" s="450"/>
      <c r="X1694" s="448"/>
    </row>
    <row r="1695" spans="1:24">
      <c r="A1695" s="98"/>
      <c r="W1695" s="450"/>
      <c r="X1695" s="448"/>
    </row>
    <row r="1696" spans="1:24">
      <c r="A1696" s="98"/>
      <c r="W1696" s="450"/>
      <c r="X1696" s="448"/>
    </row>
    <row r="1697" spans="1:24">
      <c r="A1697" s="98"/>
      <c r="W1697" s="450"/>
      <c r="X1697" s="448"/>
    </row>
    <row r="1698" spans="1:24">
      <c r="A1698" s="98"/>
      <c r="W1698" s="450"/>
      <c r="X1698" s="448"/>
    </row>
    <row r="1699" spans="1:24">
      <c r="A1699" s="98"/>
      <c r="W1699" s="450"/>
      <c r="X1699" s="448"/>
    </row>
    <row r="1700" spans="1:24">
      <c r="A1700" s="98"/>
      <c r="W1700" s="450"/>
      <c r="X1700" s="448"/>
    </row>
    <row r="1701" spans="1:24">
      <c r="A1701" s="98"/>
      <c r="W1701" s="450"/>
      <c r="X1701" s="448"/>
    </row>
    <row r="1702" spans="1:24">
      <c r="A1702" s="98"/>
      <c r="W1702" s="450"/>
      <c r="X1702" s="448"/>
    </row>
    <row r="1703" spans="1:24">
      <c r="A1703" s="98"/>
      <c r="W1703" s="450"/>
      <c r="X1703" s="448"/>
    </row>
    <row r="1704" spans="1:24">
      <c r="A1704" s="98"/>
      <c r="W1704" s="450"/>
      <c r="X1704" s="448"/>
    </row>
    <row r="1705" spans="1:24">
      <c r="A1705" s="98"/>
      <c r="W1705" s="450"/>
      <c r="X1705" s="448"/>
    </row>
    <row r="1706" spans="1:24">
      <c r="A1706" s="98"/>
      <c r="W1706" s="450"/>
      <c r="X1706" s="448"/>
    </row>
    <row r="1707" spans="1:24">
      <c r="A1707" s="98"/>
      <c r="W1707" s="450"/>
      <c r="X1707" s="448"/>
    </row>
    <row r="1708" spans="1:24">
      <c r="A1708" s="98"/>
      <c r="W1708" s="450"/>
      <c r="X1708" s="448"/>
    </row>
    <row r="1709" spans="1:24">
      <c r="A1709" s="98"/>
      <c r="W1709" s="450"/>
      <c r="X1709" s="448"/>
    </row>
    <row r="1710" spans="1:24">
      <c r="A1710" s="98"/>
      <c r="W1710" s="450"/>
      <c r="X1710" s="448"/>
    </row>
    <row r="1711" spans="1:24">
      <c r="A1711" s="98"/>
      <c r="W1711" s="450"/>
      <c r="X1711" s="448"/>
    </row>
    <row r="1712" spans="1:24">
      <c r="A1712" s="98"/>
      <c r="W1712" s="450"/>
      <c r="X1712" s="448"/>
    </row>
    <row r="1713" spans="1:1">
      <c r="A1713" s="98"/>
    </row>
    <row r="1714" spans="1:1">
      <c r="A1714" s="98"/>
    </row>
    <row r="1715" spans="1:1">
      <c r="A1715" s="98"/>
    </row>
    <row r="1716" spans="1:1">
      <c r="A1716" s="98"/>
    </row>
    <row r="1717" spans="1:1">
      <c r="A1717" s="98"/>
    </row>
    <row r="1718" spans="1:1">
      <c r="A1718" s="98"/>
    </row>
    <row r="1719" spans="1:1">
      <c r="A1719" s="98"/>
    </row>
    <row r="1720" spans="1:1">
      <c r="A1720" s="98"/>
    </row>
    <row r="1721" spans="1:1">
      <c r="A1721" s="98"/>
    </row>
    <row r="1722" spans="1:1">
      <c r="A1722" s="98"/>
    </row>
    <row r="1723" spans="1:1">
      <c r="A1723" s="98"/>
    </row>
    <row r="1724" spans="1:1">
      <c r="A1724" s="98"/>
    </row>
    <row r="1725" spans="1:1">
      <c r="A1725" s="98"/>
    </row>
    <row r="1726" spans="1:1">
      <c r="A1726" s="98"/>
    </row>
    <row r="1727" spans="1:1">
      <c r="A1727" s="98"/>
    </row>
    <row r="1728" spans="1:1">
      <c r="A1728" s="98"/>
    </row>
    <row r="1729" spans="1:1">
      <c r="A1729" s="98"/>
    </row>
    <row r="1730" spans="1:1">
      <c r="A1730" s="98"/>
    </row>
    <row r="1731" spans="1:1">
      <c r="A1731" s="98"/>
    </row>
    <row r="1732" spans="1:1">
      <c r="A1732" s="98"/>
    </row>
    <row r="1733" spans="1:1">
      <c r="A1733" s="98"/>
    </row>
    <row r="1734" spans="1:1">
      <c r="A1734" s="98"/>
    </row>
    <row r="1735" spans="1:1">
      <c r="A1735" s="98"/>
    </row>
    <row r="1736" spans="1:1">
      <c r="A1736" s="98"/>
    </row>
    <row r="1737" spans="1:1">
      <c r="A1737" s="98"/>
    </row>
    <row r="1738" spans="1:1">
      <c r="A1738" s="98"/>
    </row>
    <row r="1739" spans="1:1">
      <c r="A1739" s="98"/>
    </row>
    <row r="1740" spans="1:1">
      <c r="A1740" s="98"/>
    </row>
    <row r="1741" spans="1:1">
      <c r="A1741" s="98"/>
    </row>
    <row r="1742" spans="1:1">
      <c r="A1742" s="98"/>
    </row>
    <row r="1743" spans="1:1">
      <c r="A1743" s="98"/>
    </row>
    <row r="1744" spans="1:1">
      <c r="A1744" s="98"/>
    </row>
    <row r="1745" spans="1:1">
      <c r="A1745" s="98"/>
    </row>
    <row r="1746" spans="1:1">
      <c r="A1746" s="98"/>
    </row>
    <row r="1747" spans="1:1">
      <c r="A1747" s="98"/>
    </row>
    <row r="1748" spans="1:1">
      <c r="A1748" s="98"/>
    </row>
    <row r="1749" spans="1:1">
      <c r="A1749" s="98"/>
    </row>
    <row r="1750" spans="1:1">
      <c r="A1750" s="98"/>
    </row>
    <row r="1751" spans="1:1">
      <c r="A1751" s="98"/>
    </row>
    <row r="1752" spans="1:1">
      <c r="A1752" s="98"/>
    </row>
    <row r="1753" spans="1:1">
      <c r="A1753" s="98"/>
    </row>
    <row r="1754" spans="1:1">
      <c r="A1754" s="98"/>
    </row>
    <row r="1755" spans="1:1">
      <c r="A1755" s="98"/>
    </row>
    <row r="1756" spans="1:1">
      <c r="A1756" s="98"/>
    </row>
    <row r="1757" spans="1:1">
      <c r="A1757" s="98"/>
    </row>
    <row r="1758" spans="1:1">
      <c r="A1758" s="98"/>
    </row>
    <row r="1759" spans="1:1">
      <c r="A1759" s="98"/>
    </row>
    <row r="1760" spans="1:1">
      <c r="A1760" s="98"/>
    </row>
    <row r="1761" spans="1:1">
      <c r="A1761" s="98"/>
    </row>
    <row r="1762" spans="1:1">
      <c r="A1762" s="98"/>
    </row>
    <row r="1763" spans="1:1">
      <c r="A1763" s="98"/>
    </row>
    <row r="1764" spans="1:1">
      <c r="A1764" s="98"/>
    </row>
    <row r="1765" spans="1:1">
      <c r="A1765" s="98"/>
    </row>
    <row r="1766" spans="1:1">
      <c r="A1766" s="98"/>
    </row>
    <row r="1767" spans="1:1">
      <c r="A1767" s="98"/>
    </row>
    <row r="1768" spans="1:1">
      <c r="A1768" s="98"/>
    </row>
    <row r="1769" spans="1:1">
      <c r="A1769" s="98"/>
    </row>
    <row r="1770" spans="1:1">
      <c r="A1770" s="98"/>
    </row>
    <row r="1771" spans="1:1">
      <c r="A1771" s="98"/>
    </row>
    <row r="1772" spans="1:1">
      <c r="A1772" s="98"/>
    </row>
    <row r="1773" spans="1:1">
      <c r="A1773" s="98"/>
    </row>
    <row r="1774" spans="1:1">
      <c r="A1774" s="98"/>
    </row>
    <row r="1775" spans="1:1">
      <c r="A1775" s="98"/>
    </row>
    <row r="1776" spans="1:1">
      <c r="A1776" s="98"/>
    </row>
    <row r="1777" spans="1:1">
      <c r="A1777" s="98"/>
    </row>
    <row r="1778" spans="1:1">
      <c r="A1778" s="98"/>
    </row>
    <row r="1779" spans="1:1">
      <c r="A1779" s="98"/>
    </row>
    <row r="1780" spans="1:1">
      <c r="A1780" s="98"/>
    </row>
    <row r="1781" spans="1:1">
      <c r="A1781" s="98"/>
    </row>
    <row r="1782" spans="1:1">
      <c r="A1782" s="98"/>
    </row>
    <row r="1783" spans="1:1">
      <c r="A1783" s="98"/>
    </row>
    <row r="1784" spans="1:1">
      <c r="A1784" s="98"/>
    </row>
    <row r="1785" spans="1:1">
      <c r="A1785" s="98"/>
    </row>
    <row r="1786" spans="1:1">
      <c r="A1786" s="98"/>
    </row>
    <row r="1787" spans="1:1">
      <c r="A1787" s="98"/>
    </row>
    <row r="1788" spans="1:1">
      <c r="A1788" s="98"/>
    </row>
    <row r="1789" spans="1:1">
      <c r="A1789" s="98"/>
    </row>
    <row r="1790" spans="1:1">
      <c r="A1790" s="98"/>
    </row>
    <row r="1791" spans="1:1">
      <c r="A1791" s="98"/>
    </row>
    <row r="1792" spans="1:1">
      <c r="A1792" s="98"/>
    </row>
    <row r="1793" spans="1:1">
      <c r="A1793" s="98"/>
    </row>
    <row r="1794" spans="1:1">
      <c r="A1794" s="98"/>
    </row>
    <row r="1795" spans="1:1">
      <c r="A1795" s="98"/>
    </row>
    <row r="1796" spans="1:1">
      <c r="A1796" s="98"/>
    </row>
    <row r="1797" spans="1:1">
      <c r="A1797" s="98"/>
    </row>
    <row r="1798" spans="1:1">
      <c r="A1798" s="98"/>
    </row>
    <row r="1799" spans="1:1">
      <c r="A1799" s="98"/>
    </row>
    <row r="1800" spans="1:1">
      <c r="A1800" s="98"/>
    </row>
    <row r="1801" spans="1:1">
      <c r="A1801" s="98"/>
    </row>
    <row r="1802" spans="1:1">
      <c r="A1802" s="98"/>
    </row>
    <row r="1803" spans="1:1">
      <c r="A1803" s="98"/>
    </row>
    <row r="1804" spans="1:1">
      <c r="A1804" s="98"/>
    </row>
    <row r="1805" spans="1:1">
      <c r="A1805" s="98"/>
    </row>
    <row r="1806" spans="1:1">
      <c r="A1806" s="98"/>
    </row>
    <row r="1807" spans="1:1">
      <c r="A1807" s="98"/>
    </row>
    <row r="1808" spans="1:1">
      <c r="A1808" s="98"/>
    </row>
    <row r="1809" spans="1:1">
      <c r="A1809" s="98"/>
    </row>
    <row r="1810" spans="1:1">
      <c r="A1810" s="98"/>
    </row>
    <row r="1811" spans="1:1">
      <c r="A1811" s="98"/>
    </row>
    <row r="1812" spans="1:1">
      <c r="A1812" s="98"/>
    </row>
    <row r="1813" spans="1:1">
      <c r="A1813" s="98"/>
    </row>
    <row r="1814" spans="1:1">
      <c r="A1814" s="98"/>
    </row>
    <row r="1815" spans="1:1">
      <c r="A1815" s="98"/>
    </row>
    <row r="1816" spans="1:1">
      <c r="A1816" s="98"/>
    </row>
    <row r="1817" spans="1:1">
      <c r="A1817" s="98"/>
    </row>
    <row r="1818" spans="1:1">
      <c r="A1818" s="98"/>
    </row>
    <row r="1819" spans="1:1">
      <c r="A1819" s="98"/>
    </row>
    <row r="1820" spans="1:1">
      <c r="A1820" s="98"/>
    </row>
    <row r="1821" spans="1:1">
      <c r="A1821" s="98"/>
    </row>
    <row r="1822" spans="1:1">
      <c r="A1822" s="98"/>
    </row>
    <row r="1823" spans="1:1">
      <c r="A1823" s="98"/>
    </row>
    <row r="1824" spans="1:1">
      <c r="A1824" s="98"/>
    </row>
    <row r="1825" spans="1:1">
      <c r="A1825" s="98"/>
    </row>
    <row r="1826" spans="1:1">
      <c r="A1826" s="98"/>
    </row>
    <row r="1827" spans="1:1">
      <c r="A1827" s="98"/>
    </row>
    <row r="1828" spans="1:1">
      <c r="A1828" s="98"/>
    </row>
    <row r="1829" spans="1:1">
      <c r="A1829" s="98"/>
    </row>
    <row r="1830" spans="1:1">
      <c r="A1830" s="98"/>
    </row>
    <row r="1831" spans="1:1">
      <c r="A1831" s="98"/>
    </row>
    <row r="1832" spans="1:1">
      <c r="A1832" s="98"/>
    </row>
    <row r="1833" spans="1:1">
      <c r="A1833" s="98"/>
    </row>
    <row r="1834" spans="1:1">
      <c r="A1834" s="98"/>
    </row>
    <row r="1835" spans="1:1">
      <c r="A1835" s="98"/>
    </row>
    <row r="1836" spans="1:1">
      <c r="A1836" s="98"/>
    </row>
    <row r="1837" spans="1:1">
      <c r="A1837" s="98"/>
    </row>
    <row r="1838" spans="1:1">
      <c r="A1838" s="98"/>
    </row>
    <row r="1839" spans="1:1">
      <c r="A1839" s="98"/>
    </row>
    <row r="1840" spans="1:1">
      <c r="A1840" s="98"/>
    </row>
    <row r="1841" spans="1:1">
      <c r="A1841" s="98"/>
    </row>
    <row r="1842" spans="1:1">
      <c r="A1842" s="98"/>
    </row>
    <row r="1843" spans="1:1">
      <c r="A1843" s="98"/>
    </row>
    <row r="1844" spans="1:1">
      <c r="A1844" s="98"/>
    </row>
    <row r="1845" spans="1:1">
      <c r="A1845" s="98"/>
    </row>
    <row r="1846" spans="1:1">
      <c r="A1846" s="98"/>
    </row>
    <row r="1847" spans="1:1">
      <c r="A1847" s="98"/>
    </row>
    <row r="1848" spans="1:1">
      <c r="A1848" s="98"/>
    </row>
    <row r="1849" spans="1:1">
      <c r="A1849" s="98"/>
    </row>
    <row r="1850" spans="1:1">
      <c r="A1850" s="98"/>
    </row>
    <row r="1851" spans="1:1">
      <c r="A1851" s="98"/>
    </row>
    <row r="1852" spans="1:1">
      <c r="A1852" s="98"/>
    </row>
    <row r="1853" spans="1:1">
      <c r="A1853" s="98"/>
    </row>
    <row r="1854" spans="1:1">
      <c r="A1854" s="98"/>
    </row>
    <row r="1855" spans="1:1">
      <c r="A1855" s="98"/>
    </row>
    <row r="1856" spans="1:1">
      <c r="A1856" s="98"/>
    </row>
    <row r="1857" spans="1:1">
      <c r="A1857" s="98"/>
    </row>
    <row r="1858" spans="1:1">
      <c r="A1858" s="98"/>
    </row>
    <row r="1859" spans="1:1">
      <c r="A1859" s="98"/>
    </row>
    <row r="1860" spans="1:1">
      <c r="A1860" s="98"/>
    </row>
    <row r="1861" spans="1:1">
      <c r="A1861" s="98"/>
    </row>
    <row r="1862" spans="1:1">
      <c r="A1862" s="98"/>
    </row>
    <row r="1863" spans="1:1">
      <c r="A1863" s="98"/>
    </row>
    <row r="1864" spans="1:1">
      <c r="A1864" s="98"/>
    </row>
    <row r="1865" spans="1:1">
      <c r="A1865" s="98"/>
    </row>
    <row r="1866" spans="1:1">
      <c r="A1866" s="98"/>
    </row>
    <row r="1867" spans="1:1">
      <c r="A1867" s="98"/>
    </row>
    <row r="1868" spans="1:1">
      <c r="A1868" s="98"/>
    </row>
    <row r="1869" spans="1:1">
      <c r="A1869" s="98"/>
    </row>
    <row r="1870" spans="1:1">
      <c r="A1870" s="98"/>
    </row>
    <row r="1871" spans="1:1">
      <c r="A1871" s="98"/>
    </row>
    <row r="1872" spans="1:1">
      <c r="A1872" s="98"/>
    </row>
    <row r="1873" spans="1:1">
      <c r="A1873" s="98"/>
    </row>
    <row r="1874" spans="1:1">
      <c r="A1874" s="98"/>
    </row>
    <row r="1875" spans="1:1">
      <c r="A1875" s="98"/>
    </row>
    <row r="1876" spans="1:1">
      <c r="A1876" s="98"/>
    </row>
    <row r="1877" spans="1:1">
      <c r="A1877" s="98"/>
    </row>
    <row r="1878" spans="1:1">
      <c r="A1878" s="98"/>
    </row>
    <row r="1879" spans="1:1">
      <c r="A1879" s="98"/>
    </row>
    <row r="1880" spans="1:1">
      <c r="A1880" s="98"/>
    </row>
    <row r="1881" spans="1:1">
      <c r="A1881" s="98"/>
    </row>
    <row r="1882" spans="1:1">
      <c r="A1882" s="98"/>
    </row>
    <row r="1883" spans="1:1">
      <c r="A1883" s="98"/>
    </row>
    <row r="1884" spans="1:1">
      <c r="A1884" s="98"/>
    </row>
    <row r="1885" spans="1:1">
      <c r="A1885" s="98"/>
    </row>
    <row r="1886" spans="1:1">
      <c r="A1886" s="98"/>
    </row>
    <row r="1887" spans="1:1">
      <c r="A1887" s="98"/>
    </row>
    <row r="1888" spans="1:1">
      <c r="A1888" s="98"/>
    </row>
    <row r="1889" spans="1:1">
      <c r="A1889" s="98"/>
    </row>
    <row r="1890" spans="1:1">
      <c r="A1890" s="98"/>
    </row>
    <row r="1891" spans="1:1">
      <c r="A1891" s="98"/>
    </row>
    <row r="1892" spans="1:1">
      <c r="A1892" s="98"/>
    </row>
    <row r="1893" spans="1:1">
      <c r="A1893" s="98"/>
    </row>
    <row r="1894" spans="1:1">
      <c r="A1894" s="98"/>
    </row>
    <row r="1895" spans="1:1">
      <c r="A1895" s="98"/>
    </row>
    <row r="1896" spans="1:1">
      <c r="A1896" s="98"/>
    </row>
    <row r="1897" spans="1:1">
      <c r="A1897" s="98"/>
    </row>
    <row r="1898" spans="1:1">
      <c r="A1898" s="98"/>
    </row>
    <row r="1899" spans="1:1">
      <c r="A1899" s="98"/>
    </row>
    <row r="1900" spans="1:1">
      <c r="A1900" s="98"/>
    </row>
    <row r="1901" spans="1:1">
      <c r="A1901" s="98"/>
    </row>
    <row r="1902" spans="1:1">
      <c r="A1902" s="98"/>
    </row>
    <row r="1903" spans="1:1">
      <c r="A1903" s="98"/>
    </row>
    <row r="1904" spans="1:1">
      <c r="A1904" s="98"/>
    </row>
    <row r="1905" spans="1:1">
      <c r="A1905" s="98"/>
    </row>
    <row r="1906" spans="1:1">
      <c r="A1906" s="98"/>
    </row>
    <row r="1907" spans="1:1">
      <c r="A1907" s="98"/>
    </row>
    <row r="1908" spans="1:1">
      <c r="A1908" s="98"/>
    </row>
    <row r="1909" spans="1:1">
      <c r="A1909" s="98"/>
    </row>
    <row r="1910" spans="1:1">
      <c r="A1910" s="98"/>
    </row>
    <row r="1911" spans="1:1">
      <c r="A1911" s="98"/>
    </row>
    <row r="1912" spans="1:1">
      <c r="A1912" s="98"/>
    </row>
    <row r="1913" spans="1:1">
      <c r="A1913" s="98"/>
    </row>
    <row r="1914" spans="1:1">
      <c r="A1914" s="98"/>
    </row>
    <row r="1915" spans="1:1">
      <c r="A1915" s="98"/>
    </row>
    <row r="1916" spans="1:1">
      <c r="A1916" s="98"/>
    </row>
    <row r="1917" spans="1:1">
      <c r="A1917" s="98"/>
    </row>
    <row r="1918" spans="1:1">
      <c r="A1918" s="98"/>
    </row>
    <row r="1919" spans="1:1">
      <c r="A1919" s="98"/>
    </row>
    <row r="1920" spans="1:1">
      <c r="A1920" s="98"/>
    </row>
    <row r="1921" spans="1:1">
      <c r="A1921" s="98"/>
    </row>
    <row r="1922" spans="1:1">
      <c r="A1922" s="98"/>
    </row>
    <row r="1923" spans="1:1">
      <c r="A1923" s="98"/>
    </row>
    <row r="1924" spans="1:1">
      <c r="A1924" s="98"/>
    </row>
    <row r="1925" spans="1:1">
      <c r="A1925" s="98"/>
    </row>
    <row r="1926" spans="1:1">
      <c r="A1926" s="98"/>
    </row>
    <row r="1927" spans="1:1">
      <c r="A1927" s="98"/>
    </row>
    <row r="1928" spans="1:1">
      <c r="A1928" s="98"/>
    </row>
    <row r="1929" spans="1:1">
      <c r="A1929" s="98"/>
    </row>
    <row r="1930" spans="1:1">
      <c r="A1930" s="98"/>
    </row>
    <row r="1931" spans="1:1">
      <c r="A1931" s="98"/>
    </row>
    <row r="1932" spans="1:1">
      <c r="A1932" s="98"/>
    </row>
    <row r="1933" spans="1:1">
      <c r="A1933" s="98"/>
    </row>
    <row r="1934" spans="1:1">
      <c r="A1934" s="98"/>
    </row>
    <row r="1935" spans="1:1">
      <c r="A1935" s="98"/>
    </row>
    <row r="1936" spans="1:1">
      <c r="A1936" s="98"/>
    </row>
    <row r="1937" spans="1:1">
      <c r="A1937" s="98"/>
    </row>
    <row r="1938" spans="1:1">
      <c r="A1938" s="98"/>
    </row>
    <row r="1939" spans="1:1">
      <c r="A1939" s="98"/>
    </row>
    <row r="1940" spans="1:1">
      <c r="A1940" s="98"/>
    </row>
    <row r="1941" spans="1:1">
      <c r="A1941" s="98"/>
    </row>
    <row r="1942" spans="1:1">
      <c r="A1942" s="98"/>
    </row>
    <row r="1943" spans="1:1">
      <c r="A1943" s="98"/>
    </row>
    <row r="1944" spans="1:1">
      <c r="A1944" s="98"/>
    </row>
    <row r="1945" spans="1:1">
      <c r="A1945" s="98"/>
    </row>
    <row r="1946" spans="1:1">
      <c r="A1946" s="98"/>
    </row>
    <row r="1947" spans="1:1">
      <c r="A1947" s="98"/>
    </row>
    <row r="1948" spans="1:1">
      <c r="A1948" s="98"/>
    </row>
    <row r="1949" spans="1:1">
      <c r="A1949" s="98"/>
    </row>
    <row r="1950" spans="1:1">
      <c r="A1950" s="98"/>
    </row>
    <row r="1951" spans="1:1">
      <c r="A1951" s="98"/>
    </row>
    <row r="1952" spans="1:1">
      <c r="A1952" s="98"/>
    </row>
    <row r="1953" spans="1:1">
      <c r="A1953" s="98"/>
    </row>
    <row r="1954" spans="1:1">
      <c r="A1954" s="98"/>
    </row>
    <row r="1955" spans="1:1">
      <c r="A1955" s="98"/>
    </row>
    <row r="1956" spans="1:1">
      <c r="A1956" s="98"/>
    </row>
    <row r="1957" spans="1:1">
      <c r="A1957" s="98"/>
    </row>
    <row r="1958" spans="1:1">
      <c r="A1958" s="98"/>
    </row>
    <row r="1959" spans="1:1">
      <c r="A1959" s="98"/>
    </row>
    <row r="1960" spans="1:1">
      <c r="A1960" s="98"/>
    </row>
    <row r="1961" spans="1:1">
      <c r="A1961" s="98"/>
    </row>
    <row r="1962" spans="1:1">
      <c r="A1962" s="98"/>
    </row>
    <row r="1963" spans="1:1">
      <c r="A1963" s="98"/>
    </row>
    <row r="1964" spans="1:1">
      <c r="A1964" s="98"/>
    </row>
    <row r="1965" spans="1:1">
      <c r="A1965" s="98"/>
    </row>
    <row r="1966" spans="1:1">
      <c r="A1966" s="98"/>
    </row>
    <row r="1967" spans="1:1">
      <c r="A1967" s="98"/>
    </row>
    <row r="1968" spans="1:1">
      <c r="A1968" s="98"/>
    </row>
    <row r="1969" spans="1:1">
      <c r="A1969" s="98"/>
    </row>
    <row r="1970" spans="1:1">
      <c r="A1970" s="98"/>
    </row>
    <row r="1971" spans="1:1">
      <c r="A1971" s="98"/>
    </row>
    <row r="1972" spans="1:1">
      <c r="A1972" s="98"/>
    </row>
    <row r="1973" spans="1:1">
      <c r="A1973" s="98"/>
    </row>
    <row r="1974" spans="1:1">
      <c r="A1974" s="98"/>
    </row>
    <row r="1975" spans="1:1">
      <c r="A1975" s="98"/>
    </row>
    <row r="1976" spans="1:1">
      <c r="A1976" s="98"/>
    </row>
    <row r="1977" spans="1:1">
      <c r="A1977" s="98"/>
    </row>
    <row r="1978" spans="1:1">
      <c r="A1978" s="98"/>
    </row>
    <row r="1979" spans="1:1">
      <c r="A1979" s="98"/>
    </row>
    <row r="1980" spans="1:1">
      <c r="A1980" s="98"/>
    </row>
    <row r="1981" spans="1:1">
      <c r="A1981" s="98"/>
    </row>
    <row r="1982" spans="1:1">
      <c r="A1982" s="98"/>
    </row>
    <row r="1983" spans="1:1">
      <c r="A1983" s="98"/>
    </row>
    <row r="1984" spans="1:1">
      <c r="A1984" s="98"/>
    </row>
    <row r="1985" spans="1:1">
      <c r="A1985" s="98"/>
    </row>
    <row r="1986" spans="1:1">
      <c r="A1986" s="98"/>
    </row>
    <row r="1987" spans="1:1">
      <c r="A1987" s="98"/>
    </row>
    <row r="1988" spans="1:1">
      <c r="A1988" s="98"/>
    </row>
    <row r="1989" spans="1:1">
      <c r="A1989" s="98"/>
    </row>
    <row r="1990" spans="1:1">
      <c r="A1990" s="98"/>
    </row>
    <row r="1991" spans="1:1">
      <c r="A1991" s="98"/>
    </row>
    <row r="1992" spans="1:1">
      <c r="A1992" s="98"/>
    </row>
    <row r="1993" spans="1:1">
      <c r="A1993" s="98"/>
    </row>
    <row r="1994" spans="1:1">
      <c r="A1994" s="98"/>
    </row>
    <row r="1995" spans="1:1">
      <c r="A1995" s="98"/>
    </row>
    <row r="1996" spans="1:1">
      <c r="A1996" s="98"/>
    </row>
    <row r="1997" spans="1:1">
      <c r="A1997" s="98"/>
    </row>
    <row r="1998" spans="1:1">
      <c r="A1998" s="98"/>
    </row>
    <row r="1999" spans="1:1">
      <c r="A1999" s="98"/>
    </row>
    <row r="2000" spans="1:1">
      <c r="A2000" s="98"/>
    </row>
    <row r="2001" spans="1:1">
      <c r="A2001" s="98"/>
    </row>
    <row r="2002" spans="1:1">
      <c r="A2002" s="98"/>
    </row>
    <row r="2003" spans="1:1">
      <c r="A2003" s="98"/>
    </row>
    <row r="2004" spans="1:1">
      <c r="A2004" s="98"/>
    </row>
    <row r="2005" spans="1:1">
      <c r="A2005" s="98"/>
    </row>
    <row r="2006" spans="1:1">
      <c r="A2006" s="98"/>
    </row>
    <row r="2007" spans="1:1">
      <c r="A2007" s="98"/>
    </row>
    <row r="2008" spans="1:1">
      <c r="A2008" s="98"/>
    </row>
    <row r="2009" spans="1:1">
      <c r="A2009" s="98"/>
    </row>
    <row r="2010" spans="1:1">
      <c r="A2010" s="98"/>
    </row>
    <row r="2011" spans="1:1">
      <c r="A2011" s="98"/>
    </row>
    <row r="2012" spans="1:1">
      <c r="A2012" s="98"/>
    </row>
    <row r="2013" spans="1:1">
      <c r="A2013" s="98"/>
    </row>
    <row r="2014" spans="1:1">
      <c r="A2014" s="98"/>
    </row>
    <row r="2015" spans="1:1">
      <c r="A2015" s="98"/>
    </row>
    <row r="2016" spans="1:1">
      <c r="A2016" s="98"/>
    </row>
    <row r="2017" spans="1:1">
      <c r="A2017" s="98"/>
    </row>
    <row r="2018" spans="1:1">
      <c r="A2018" s="98"/>
    </row>
    <row r="2019" spans="1:1">
      <c r="A2019" s="98"/>
    </row>
    <row r="2020" spans="1:1">
      <c r="A2020" s="98"/>
    </row>
    <row r="2021" spans="1:1">
      <c r="A2021" s="98"/>
    </row>
    <row r="2022" spans="1:1">
      <c r="A2022" s="98"/>
    </row>
    <row r="2023" spans="1:1">
      <c r="A2023" s="98"/>
    </row>
    <row r="2024" spans="1:1">
      <c r="A2024" s="98"/>
    </row>
    <row r="2025" spans="1:1">
      <c r="A2025" s="98"/>
    </row>
    <row r="2026" spans="1:1">
      <c r="A2026" s="98"/>
    </row>
    <row r="2027" spans="1:1">
      <c r="A2027" s="98"/>
    </row>
    <row r="2028" spans="1:1">
      <c r="A2028" s="98"/>
    </row>
    <row r="2029" spans="1:1">
      <c r="A2029" s="98"/>
    </row>
    <row r="2030" spans="1:1">
      <c r="A2030" s="98"/>
    </row>
    <row r="2031" spans="1:1">
      <c r="A2031" s="98"/>
    </row>
    <row r="2032" spans="1:1">
      <c r="A2032" s="98"/>
    </row>
    <row r="2033" spans="1:1">
      <c r="A2033" s="98"/>
    </row>
    <row r="2034" spans="1:1">
      <c r="A2034" s="98"/>
    </row>
    <row r="2035" spans="1:1">
      <c r="A2035" s="98"/>
    </row>
    <row r="2036" spans="1:1">
      <c r="A2036" s="98"/>
    </row>
    <row r="2037" spans="1:1">
      <c r="A2037" s="98"/>
    </row>
    <row r="2038" spans="1:1">
      <c r="A2038" s="98"/>
    </row>
    <row r="2039" spans="1:1">
      <c r="A2039" s="98"/>
    </row>
    <row r="2040" spans="1:1">
      <c r="A2040" s="98"/>
    </row>
    <row r="2041" spans="1:1">
      <c r="A2041" s="98"/>
    </row>
    <row r="2042" spans="1:1">
      <c r="A2042" s="98"/>
    </row>
    <row r="2043" spans="1:1">
      <c r="A2043" s="98"/>
    </row>
    <row r="2044" spans="1:1">
      <c r="A2044" s="98"/>
    </row>
    <row r="2045" spans="1:1">
      <c r="A2045" s="98"/>
    </row>
    <row r="2046" spans="1:1">
      <c r="A2046" s="98"/>
    </row>
    <row r="2047" spans="1:1">
      <c r="A2047" s="98"/>
    </row>
    <row r="2048" spans="1:1">
      <c r="A2048" s="98"/>
    </row>
    <row r="2049" spans="1:1">
      <c r="A2049" s="98"/>
    </row>
    <row r="2050" spans="1:1">
      <c r="A2050" s="98"/>
    </row>
    <row r="2051" spans="1:1">
      <c r="A2051" s="98"/>
    </row>
    <row r="2052" spans="1:1">
      <c r="A2052" s="98"/>
    </row>
    <row r="2053" spans="1:1">
      <c r="A2053" s="98"/>
    </row>
    <row r="2054" spans="1:1">
      <c r="A2054" s="98"/>
    </row>
    <row r="2055" spans="1:1">
      <c r="A2055" s="98"/>
    </row>
    <row r="2056" spans="1:1">
      <c r="A2056" s="98"/>
    </row>
    <row r="2057" spans="1:1">
      <c r="A2057" s="98"/>
    </row>
    <row r="2058" spans="1:1">
      <c r="A2058" s="98"/>
    </row>
    <row r="2059" spans="1:1">
      <c r="A2059" s="98"/>
    </row>
    <row r="2060" spans="1:1">
      <c r="A2060" s="98"/>
    </row>
    <row r="2061" spans="1:1">
      <c r="A2061" s="98"/>
    </row>
    <row r="2062" spans="1:1">
      <c r="A2062" s="98"/>
    </row>
    <row r="2063" spans="1:1">
      <c r="A2063" s="98"/>
    </row>
    <row r="2064" spans="1:1">
      <c r="A2064" s="98"/>
    </row>
    <row r="2065" spans="1:1">
      <c r="A2065" s="98"/>
    </row>
    <row r="2066" spans="1:1">
      <c r="A2066" s="98"/>
    </row>
    <row r="2067" spans="1:1">
      <c r="A2067" s="98"/>
    </row>
    <row r="2068" spans="1:1">
      <c r="A2068" s="98"/>
    </row>
    <row r="2069" spans="1:1">
      <c r="A2069" s="98"/>
    </row>
    <row r="2070" spans="1:1">
      <c r="A2070" s="98"/>
    </row>
    <row r="2071" spans="1:1">
      <c r="A2071" s="98"/>
    </row>
    <row r="2072" spans="1:1">
      <c r="A2072" s="98"/>
    </row>
    <row r="2073" spans="1:1">
      <c r="A2073" s="98"/>
    </row>
    <row r="2074" spans="1:1">
      <c r="A2074" s="98"/>
    </row>
    <row r="2075" spans="1:1">
      <c r="A2075" s="98"/>
    </row>
    <row r="2076" spans="1:1">
      <c r="A2076" s="98"/>
    </row>
    <row r="2077" spans="1:1">
      <c r="A2077" s="98"/>
    </row>
    <row r="2078" spans="1:1">
      <c r="A2078" s="98"/>
    </row>
    <row r="2079" spans="1:1">
      <c r="A2079" s="98"/>
    </row>
    <row r="2080" spans="1:1">
      <c r="A2080" s="98"/>
    </row>
    <row r="2081" spans="1:1">
      <c r="A2081" s="98"/>
    </row>
    <row r="2082" spans="1:1">
      <c r="A2082" s="98"/>
    </row>
    <row r="2083" spans="1:1">
      <c r="A2083" s="98"/>
    </row>
    <row r="2084" spans="1:1">
      <c r="A2084" s="98"/>
    </row>
    <row r="2085" spans="1:1">
      <c r="A2085" s="98"/>
    </row>
    <row r="2086" spans="1:1">
      <c r="A2086" s="98"/>
    </row>
    <row r="2087" spans="1:1">
      <c r="A2087" s="98"/>
    </row>
    <row r="2088" spans="1:1">
      <c r="A2088" s="98"/>
    </row>
    <row r="2089" spans="1:1">
      <c r="A2089" s="98"/>
    </row>
    <row r="2090" spans="1:1">
      <c r="A2090" s="98"/>
    </row>
    <row r="2091" spans="1:1">
      <c r="A2091" s="98"/>
    </row>
    <row r="2092" spans="1:1">
      <c r="A2092" s="98"/>
    </row>
    <row r="2093" spans="1:1">
      <c r="A2093" s="98"/>
    </row>
    <row r="2094" spans="1:1">
      <c r="A2094" s="98"/>
    </row>
    <row r="2095" spans="1:1">
      <c r="A2095" s="98"/>
    </row>
    <row r="2096" spans="1:1">
      <c r="A2096" s="98"/>
    </row>
    <row r="2097" spans="1:1">
      <c r="A2097" s="98"/>
    </row>
    <row r="2098" spans="1:1">
      <c r="A2098" s="98"/>
    </row>
    <row r="2099" spans="1:1">
      <c r="A2099" s="98"/>
    </row>
    <row r="2100" spans="1:1">
      <c r="A2100" s="98"/>
    </row>
    <row r="2101" spans="1:1">
      <c r="A2101" s="98"/>
    </row>
    <row r="2102" spans="1:1">
      <c r="A2102" s="98"/>
    </row>
    <row r="2103" spans="1:1">
      <c r="A2103" s="98"/>
    </row>
    <row r="2104" spans="1:1">
      <c r="A2104" s="98"/>
    </row>
    <row r="2105" spans="1:1">
      <c r="A2105" s="98"/>
    </row>
    <row r="2106" spans="1:1">
      <c r="A2106" s="98"/>
    </row>
    <row r="2107" spans="1:1">
      <c r="A2107" s="98"/>
    </row>
    <row r="2108" spans="1:1">
      <c r="A2108" s="98"/>
    </row>
    <row r="2109" spans="1:1">
      <c r="A2109" s="98"/>
    </row>
    <row r="2110" spans="1:1">
      <c r="A2110" s="98"/>
    </row>
    <row r="2111" spans="1:1">
      <c r="A2111" s="98"/>
    </row>
    <row r="2112" spans="1:1">
      <c r="A2112" s="98"/>
    </row>
    <row r="2113" spans="1:1">
      <c r="A2113" s="98"/>
    </row>
    <row r="2114" spans="1:1">
      <c r="A2114" s="98"/>
    </row>
    <row r="2115" spans="1:1">
      <c r="A2115" s="98"/>
    </row>
    <row r="2116" spans="1:1">
      <c r="A2116" s="98"/>
    </row>
    <row r="2117" spans="1:1">
      <c r="A2117" s="98"/>
    </row>
    <row r="2118" spans="1:1">
      <c r="A2118" s="98"/>
    </row>
    <row r="2119" spans="1:1">
      <c r="A2119" s="98"/>
    </row>
    <row r="2120" spans="1:1">
      <c r="A2120" s="98"/>
    </row>
    <row r="2121" spans="1:1">
      <c r="A2121" s="98"/>
    </row>
    <row r="2122" spans="1:1">
      <c r="A2122" s="98"/>
    </row>
    <row r="2123" spans="1:1">
      <c r="A2123" s="98"/>
    </row>
    <row r="2124" spans="1:1">
      <c r="A2124" s="98"/>
    </row>
    <row r="2125" spans="1:1">
      <c r="A2125" s="98"/>
    </row>
    <row r="2126" spans="1:1">
      <c r="A2126" s="98"/>
    </row>
    <row r="2127" spans="1:1">
      <c r="A2127" s="98"/>
    </row>
    <row r="2128" spans="1:1">
      <c r="A2128" s="98"/>
    </row>
    <row r="2129" spans="1:1">
      <c r="A2129" s="98"/>
    </row>
    <row r="2130" spans="1:1">
      <c r="A2130" s="98"/>
    </row>
    <row r="2131" spans="1:1">
      <c r="A2131" s="98"/>
    </row>
    <row r="2132" spans="1:1">
      <c r="A2132" s="98"/>
    </row>
    <row r="2133" spans="1:1">
      <c r="A2133" s="98"/>
    </row>
    <row r="2134" spans="1:1">
      <c r="A2134" s="98"/>
    </row>
    <row r="2135" spans="1:1">
      <c r="A2135" s="98"/>
    </row>
    <row r="2136" spans="1:1">
      <c r="A2136" s="98"/>
    </row>
    <row r="2137" spans="1:1">
      <c r="A2137" s="98"/>
    </row>
    <row r="2138" spans="1:1">
      <c r="A2138" s="98"/>
    </row>
    <row r="2139" spans="1:1">
      <c r="A2139" s="98"/>
    </row>
    <row r="2140" spans="1:1">
      <c r="A2140" s="98"/>
    </row>
    <row r="2141" spans="1:1">
      <c r="A2141" s="98"/>
    </row>
    <row r="2142" spans="1:1">
      <c r="A2142" s="98"/>
    </row>
    <row r="2143" spans="1:1">
      <c r="A2143" s="98"/>
    </row>
    <row r="2144" spans="1:1">
      <c r="A2144" s="98"/>
    </row>
    <row r="2145" spans="1:1">
      <c r="A2145" s="98"/>
    </row>
    <row r="2146" spans="1:1">
      <c r="A2146" s="98"/>
    </row>
    <row r="2147" spans="1:1">
      <c r="A2147" s="98"/>
    </row>
    <row r="2148" spans="1:1">
      <c r="A2148" s="98"/>
    </row>
    <row r="2149" spans="1:1">
      <c r="A2149" s="98"/>
    </row>
    <row r="2150" spans="1:1">
      <c r="A2150" s="98"/>
    </row>
    <row r="2151" spans="1:1">
      <c r="A2151" s="98"/>
    </row>
    <row r="2152" spans="1:1">
      <c r="A2152" s="98"/>
    </row>
    <row r="2153" spans="1:1">
      <c r="A2153" s="98"/>
    </row>
    <row r="2154" spans="1:1">
      <c r="A2154" s="98"/>
    </row>
    <row r="2155" spans="1:1">
      <c r="A2155" s="98"/>
    </row>
    <row r="2156" spans="1:1">
      <c r="A2156" s="98"/>
    </row>
    <row r="2157" spans="1:1">
      <c r="A2157" s="98"/>
    </row>
    <row r="2158" spans="1:1">
      <c r="A2158" s="98"/>
    </row>
    <row r="2159" spans="1:1">
      <c r="A2159" s="98"/>
    </row>
    <row r="2160" spans="1:1">
      <c r="A2160" s="98"/>
    </row>
    <row r="2161" spans="1:1">
      <c r="A2161" s="98"/>
    </row>
    <row r="2162" spans="1:1">
      <c r="A2162" s="98"/>
    </row>
    <row r="2163" spans="1:1">
      <c r="A2163" s="98"/>
    </row>
    <row r="2164" spans="1:1">
      <c r="A2164" s="98"/>
    </row>
    <row r="2165" spans="1:1">
      <c r="A2165" s="98"/>
    </row>
    <row r="2166" spans="1:1">
      <c r="A2166" s="98"/>
    </row>
    <row r="2167" spans="1:1">
      <c r="A2167" s="98"/>
    </row>
    <row r="2168" spans="1:1">
      <c r="A2168" s="98"/>
    </row>
    <row r="2169" spans="1:1">
      <c r="A2169" s="98"/>
    </row>
    <row r="2170" spans="1:1">
      <c r="A2170" s="98"/>
    </row>
    <row r="2171" spans="1:1">
      <c r="A2171" s="98"/>
    </row>
    <row r="2172" spans="1:1">
      <c r="A2172" s="98"/>
    </row>
    <row r="2173" spans="1:1">
      <c r="A2173" s="98"/>
    </row>
    <row r="2174" spans="1:1">
      <c r="A2174" s="98"/>
    </row>
    <row r="2175" spans="1:1">
      <c r="A2175" s="98"/>
    </row>
    <row r="2176" spans="1:1">
      <c r="A2176" s="98"/>
    </row>
    <row r="2177" spans="1:1">
      <c r="A2177" s="98"/>
    </row>
    <row r="2178" spans="1:1">
      <c r="A2178" s="98"/>
    </row>
    <row r="2179" spans="1:1">
      <c r="A2179" s="98"/>
    </row>
    <row r="2180" spans="1:1">
      <c r="A2180" s="98"/>
    </row>
    <row r="2181" spans="1:1">
      <c r="A2181" s="98"/>
    </row>
    <row r="2182" spans="1:1">
      <c r="A2182" s="98"/>
    </row>
    <row r="2183" spans="1:1">
      <c r="A2183" s="98"/>
    </row>
    <row r="2184" spans="1:1">
      <c r="A2184" s="98"/>
    </row>
    <row r="2185" spans="1:1">
      <c r="A2185" s="98"/>
    </row>
    <row r="2186" spans="1:1">
      <c r="A2186" s="98"/>
    </row>
    <row r="2187" spans="1:1">
      <c r="A2187" s="98"/>
    </row>
    <row r="2188" spans="1:1">
      <c r="A2188" s="98"/>
    </row>
    <row r="2189" spans="1:1">
      <c r="A2189" s="98"/>
    </row>
    <row r="2190" spans="1:1">
      <c r="A2190" s="98"/>
    </row>
    <row r="2191" spans="1:1">
      <c r="A2191" s="98"/>
    </row>
    <row r="2192" spans="1:1">
      <c r="A2192" s="98"/>
    </row>
    <row r="2193" spans="1:1">
      <c r="A2193" s="98"/>
    </row>
    <row r="2194" spans="1:1">
      <c r="A2194" s="98"/>
    </row>
    <row r="2195" spans="1:1">
      <c r="A2195" s="98"/>
    </row>
    <row r="2196" spans="1:1">
      <c r="A2196" s="98"/>
    </row>
    <row r="2197" spans="1:1">
      <c r="A2197" s="98"/>
    </row>
    <row r="2198" spans="1:1">
      <c r="A2198" s="98"/>
    </row>
    <row r="2199" spans="1:1">
      <c r="A2199" s="98"/>
    </row>
    <row r="2200" spans="1:1">
      <c r="A2200" s="98"/>
    </row>
    <row r="2201" spans="1:1">
      <c r="A2201" s="98"/>
    </row>
    <row r="2202" spans="1:1">
      <c r="A2202" s="98"/>
    </row>
    <row r="2203" spans="1:1">
      <c r="A2203" s="98"/>
    </row>
    <row r="2204" spans="1:1">
      <c r="A2204" s="98"/>
    </row>
    <row r="2205" spans="1:1">
      <c r="A2205" s="98"/>
    </row>
    <row r="2206" spans="1:1">
      <c r="A2206" s="98"/>
    </row>
    <row r="2207" spans="1:1">
      <c r="A2207" s="98"/>
    </row>
    <row r="2208" spans="1:1">
      <c r="A2208" s="98"/>
    </row>
    <row r="2209" spans="1:1">
      <c r="A2209" s="98"/>
    </row>
    <row r="2210" spans="1:1">
      <c r="A2210" s="98"/>
    </row>
    <row r="2211" spans="1:1">
      <c r="A2211" s="98"/>
    </row>
    <row r="2212" spans="1:1">
      <c r="A2212" s="98"/>
    </row>
    <row r="2213" spans="1:1">
      <c r="A2213" s="98"/>
    </row>
    <row r="2214" spans="1:1">
      <c r="A2214" s="98"/>
    </row>
    <row r="2215" spans="1:1">
      <c r="A2215" s="98"/>
    </row>
    <row r="2216" spans="1:1">
      <c r="A2216" s="98"/>
    </row>
    <row r="2217" spans="1:1">
      <c r="A2217" s="98"/>
    </row>
    <row r="2218" spans="1:1">
      <c r="A2218" s="98"/>
    </row>
    <row r="2219" spans="1:1">
      <c r="A2219" s="98"/>
    </row>
    <row r="2220" spans="1:1">
      <c r="A2220" s="98"/>
    </row>
    <row r="2221" spans="1:1">
      <c r="A2221" s="98"/>
    </row>
    <row r="2222" spans="1:1">
      <c r="A2222" s="98"/>
    </row>
    <row r="2223" spans="1:1">
      <c r="A2223" s="98"/>
    </row>
    <row r="2224" spans="1:1">
      <c r="A2224" s="98"/>
    </row>
    <row r="2225" spans="1:1">
      <c r="A2225" s="98"/>
    </row>
    <row r="2226" spans="1:1">
      <c r="A2226" s="98"/>
    </row>
    <row r="2227" spans="1:1">
      <c r="A2227" s="98"/>
    </row>
    <row r="2228" spans="1:1">
      <c r="A2228" s="98"/>
    </row>
    <row r="2229" spans="1:1">
      <c r="A2229" s="98"/>
    </row>
    <row r="2230" spans="1:1">
      <c r="A2230" s="98"/>
    </row>
    <row r="2231" spans="1:1">
      <c r="A2231" s="98"/>
    </row>
    <row r="2232" spans="1:1">
      <c r="A2232" s="98"/>
    </row>
    <row r="2233" spans="1:1">
      <c r="A2233" s="98"/>
    </row>
    <row r="2234" spans="1:1">
      <c r="A2234" s="98"/>
    </row>
    <row r="2235" spans="1:1">
      <c r="A2235" s="98"/>
    </row>
    <row r="2236" spans="1:1">
      <c r="A2236" s="98"/>
    </row>
    <row r="2237" spans="1:1">
      <c r="A2237" s="98"/>
    </row>
    <row r="2238" spans="1:1">
      <c r="A2238" s="98"/>
    </row>
    <row r="2239" spans="1:1">
      <c r="A2239" s="98"/>
    </row>
    <row r="2240" spans="1:1">
      <c r="A2240" s="98"/>
    </row>
    <row r="2241" spans="1:1">
      <c r="A2241" s="98"/>
    </row>
    <row r="2242" spans="1:1">
      <c r="A2242" s="98"/>
    </row>
    <row r="2243" spans="1:1">
      <c r="A2243" s="98"/>
    </row>
    <row r="2244" spans="1:1">
      <c r="A2244" s="98"/>
    </row>
    <row r="2245" spans="1:1">
      <c r="A2245" s="98"/>
    </row>
    <row r="2246" spans="1:1">
      <c r="A2246" s="98"/>
    </row>
    <row r="2247" spans="1:1">
      <c r="A2247" s="98"/>
    </row>
    <row r="2248" spans="1:1">
      <c r="A2248" s="98"/>
    </row>
    <row r="2249" spans="1:1">
      <c r="A2249" s="98"/>
    </row>
    <row r="2250" spans="1:1">
      <c r="A2250" s="98"/>
    </row>
    <row r="2251" spans="1:1">
      <c r="A2251" s="98"/>
    </row>
    <row r="2252" spans="1:1">
      <c r="A2252" s="98"/>
    </row>
    <row r="2253" spans="1:1">
      <c r="A2253" s="98"/>
    </row>
    <row r="2254" spans="1:1">
      <c r="A2254" s="98"/>
    </row>
    <row r="2255" spans="1:1">
      <c r="A2255" s="98"/>
    </row>
    <row r="2256" spans="1:1">
      <c r="A2256" s="98"/>
    </row>
    <row r="2257" spans="1:1">
      <c r="A2257" s="98"/>
    </row>
    <row r="2258" spans="1:1">
      <c r="A2258" s="98"/>
    </row>
    <row r="2259" spans="1:1">
      <c r="A2259" s="98"/>
    </row>
    <row r="2260" spans="1:1">
      <c r="A2260" s="98"/>
    </row>
    <row r="2261" spans="1:1">
      <c r="A2261" s="98"/>
    </row>
    <row r="2262" spans="1:1">
      <c r="A2262" s="98"/>
    </row>
    <row r="2263" spans="1:1">
      <c r="A2263" s="98"/>
    </row>
    <row r="2264" spans="1:1">
      <c r="A2264" s="98"/>
    </row>
    <row r="2265" spans="1:1">
      <c r="A2265" s="98"/>
    </row>
    <row r="2266" spans="1:1">
      <c r="A2266" s="98"/>
    </row>
    <row r="2267" spans="1:1">
      <c r="A2267" s="98"/>
    </row>
    <row r="2268" spans="1:1">
      <c r="A2268" s="98"/>
    </row>
    <row r="2269" spans="1:1">
      <c r="A2269" s="98"/>
    </row>
    <row r="2270" spans="1:1">
      <c r="A2270" s="98"/>
    </row>
    <row r="2271" spans="1:1">
      <c r="A2271" s="98"/>
    </row>
    <row r="2272" spans="1:1">
      <c r="A2272" s="98"/>
    </row>
    <row r="2273" spans="1:1">
      <c r="A2273" s="98"/>
    </row>
    <row r="2274" spans="1:1">
      <c r="A2274" s="98"/>
    </row>
    <row r="2275" spans="1:1">
      <c r="A2275" s="98"/>
    </row>
    <row r="2276" spans="1:1">
      <c r="A2276" s="98"/>
    </row>
    <row r="2277" spans="1:1">
      <c r="A2277" s="98"/>
    </row>
    <row r="2278" spans="1:1">
      <c r="A2278" s="98"/>
    </row>
    <row r="2279" spans="1:1">
      <c r="A2279" s="98"/>
    </row>
    <row r="2280" spans="1:1">
      <c r="A2280" s="98"/>
    </row>
    <row r="2281" spans="1:1">
      <c r="A2281" s="98"/>
    </row>
    <row r="2282" spans="1:1">
      <c r="A2282" s="98"/>
    </row>
    <row r="2283" spans="1:1">
      <c r="A2283" s="98"/>
    </row>
    <row r="2284" spans="1:1">
      <c r="A2284" s="98"/>
    </row>
    <row r="2285" spans="1:1">
      <c r="A2285" s="98"/>
    </row>
    <row r="2286" spans="1:1">
      <c r="A2286" s="98"/>
    </row>
    <row r="2287" spans="1:1">
      <c r="A2287" s="98"/>
    </row>
    <row r="2288" spans="1:1">
      <c r="A2288" s="98"/>
    </row>
    <row r="2289" spans="1:1">
      <c r="A2289" s="98"/>
    </row>
    <row r="2290" spans="1:1">
      <c r="A2290" s="98"/>
    </row>
    <row r="2291" spans="1:1">
      <c r="A2291" s="98"/>
    </row>
    <row r="2292" spans="1:1">
      <c r="A2292" s="98"/>
    </row>
    <row r="2293" spans="1:1">
      <c r="A2293" s="98"/>
    </row>
    <row r="2294" spans="1:1">
      <c r="A2294" s="98"/>
    </row>
    <row r="2295" spans="1:1">
      <c r="A2295" s="98"/>
    </row>
    <row r="2296" spans="1:1">
      <c r="A2296" s="98"/>
    </row>
    <row r="2297" spans="1:1">
      <c r="A2297" s="98"/>
    </row>
    <row r="2298" spans="1:1">
      <c r="A2298" s="98"/>
    </row>
    <row r="2299" spans="1:1">
      <c r="A2299" s="98"/>
    </row>
    <row r="2300" spans="1:1">
      <c r="A2300" s="98"/>
    </row>
    <row r="2301" spans="1:1">
      <c r="A2301" s="98"/>
    </row>
    <row r="2302" spans="1:1">
      <c r="A2302" s="98"/>
    </row>
    <row r="2303" spans="1:1">
      <c r="A2303" s="98"/>
    </row>
    <row r="2304" spans="1:1">
      <c r="A2304" s="98"/>
    </row>
    <row r="2305" spans="1:1">
      <c r="A2305" s="98"/>
    </row>
    <row r="2306" spans="1:1">
      <c r="A2306" s="98"/>
    </row>
    <row r="2307" spans="1:1">
      <c r="A2307" s="98"/>
    </row>
    <row r="2308" spans="1:1">
      <c r="A2308" s="98"/>
    </row>
    <row r="2309" spans="1:1">
      <c r="A2309" s="98"/>
    </row>
    <row r="2310" spans="1:1">
      <c r="A2310" s="98"/>
    </row>
    <row r="2311" spans="1:1">
      <c r="A2311" s="98"/>
    </row>
    <row r="2312" spans="1:1">
      <c r="A2312" s="98"/>
    </row>
    <row r="2313" spans="1:1">
      <c r="A2313" s="98"/>
    </row>
    <row r="2314" spans="1:1">
      <c r="A2314" s="98"/>
    </row>
    <row r="2315" spans="1:1">
      <c r="A2315" s="98"/>
    </row>
    <row r="2316" spans="1:1">
      <c r="A2316" s="98"/>
    </row>
    <row r="2317" spans="1:1">
      <c r="A2317" s="98"/>
    </row>
    <row r="2318" spans="1:1">
      <c r="A2318" s="98"/>
    </row>
    <row r="2319" spans="1:1">
      <c r="A2319" s="98"/>
    </row>
    <row r="2320" spans="1:1">
      <c r="A2320" s="98"/>
    </row>
    <row r="2321" spans="1:1">
      <c r="A2321" s="98"/>
    </row>
    <row r="2322" spans="1:1">
      <c r="A2322" s="98"/>
    </row>
    <row r="2323" spans="1:1">
      <c r="A2323" s="98"/>
    </row>
    <row r="2324" spans="1:1">
      <c r="A2324" s="98"/>
    </row>
    <row r="2325" spans="1:1">
      <c r="A2325" s="98"/>
    </row>
    <row r="2326" spans="1:1">
      <c r="A2326" s="98"/>
    </row>
    <row r="2327" spans="1:1">
      <c r="A2327" s="98"/>
    </row>
    <row r="2328" spans="1:1">
      <c r="A2328" s="98"/>
    </row>
    <row r="2329" spans="1:1">
      <c r="A2329" s="98"/>
    </row>
    <row r="2330" spans="1:1">
      <c r="A2330" s="98"/>
    </row>
    <row r="2331" spans="1:1">
      <c r="A2331" s="98"/>
    </row>
    <row r="2332" spans="1:1">
      <c r="A2332" s="98"/>
    </row>
    <row r="2333" spans="1:1">
      <c r="A2333" s="98"/>
    </row>
    <row r="2334" spans="1:1">
      <c r="A2334" s="98"/>
    </row>
    <row r="2335" spans="1:1">
      <c r="A2335" s="98"/>
    </row>
    <row r="2336" spans="1:1">
      <c r="A2336" s="98"/>
    </row>
    <row r="2337" spans="1:1">
      <c r="A2337" s="98"/>
    </row>
    <row r="2338" spans="1:1">
      <c r="A2338" s="98"/>
    </row>
    <row r="2339" spans="1:1">
      <c r="A2339" s="98"/>
    </row>
    <row r="2340" spans="1:1">
      <c r="A2340" s="98"/>
    </row>
    <row r="2341" spans="1:1">
      <c r="A2341" s="98"/>
    </row>
    <row r="2342" spans="1:1">
      <c r="A2342" s="98"/>
    </row>
    <row r="2343" spans="1:1">
      <c r="A2343" s="98"/>
    </row>
    <row r="2344" spans="1:1">
      <c r="A2344" s="98"/>
    </row>
    <row r="2345" spans="1:1">
      <c r="A2345" s="98"/>
    </row>
    <row r="2346" spans="1:1">
      <c r="A2346" s="98"/>
    </row>
    <row r="2347" spans="1:1">
      <c r="A2347" s="98"/>
    </row>
    <row r="2348" spans="1:1">
      <c r="A2348" s="98"/>
    </row>
    <row r="2349" spans="1:1">
      <c r="A2349" s="98"/>
    </row>
    <row r="2350" spans="1:1">
      <c r="A2350" s="98"/>
    </row>
    <row r="2351" spans="1:1">
      <c r="A2351" s="98"/>
    </row>
    <row r="2352" spans="1:1">
      <c r="A2352" s="98"/>
    </row>
    <row r="2353" spans="1:1">
      <c r="A2353" s="98"/>
    </row>
    <row r="2354" spans="1:1">
      <c r="A2354" s="98"/>
    </row>
    <row r="2355" spans="1:1">
      <c r="A2355" s="98"/>
    </row>
    <row r="2356" spans="1:1">
      <c r="A2356" s="98"/>
    </row>
    <row r="2357" spans="1:1">
      <c r="A2357" s="98"/>
    </row>
    <row r="2358" spans="1:1">
      <c r="A2358" s="98"/>
    </row>
    <row r="2359" spans="1:1">
      <c r="A2359" s="98"/>
    </row>
    <row r="2360" spans="1:1">
      <c r="A2360" s="98"/>
    </row>
    <row r="2361" spans="1:1">
      <c r="A2361" s="98"/>
    </row>
    <row r="2362" spans="1:1">
      <c r="A2362" s="98"/>
    </row>
    <row r="2363" spans="1:1">
      <c r="A2363" s="98"/>
    </row>
    <row r="2364" spans="1:1">
      <c r="A2364" s="98"/>
    </row>
    <row r="2365" spans="1:1">
      <c r="A2365" s="98"/>
    </row>
    <row r="2366" spans="1:1">
      <c r="A2366" s="98"/>
    </row>
    <row r="2367" spans="1:1">
      <c r="A2367" s="98"/>
    </row>
    <row r="2368" spans="1:1">
      <c r="A2368" s="98"/>
    </row>
    <row r="2369" spans="1:1">
      <c r="A2369" s="98"/>
    </row>
    <row r="2370" spans="1:1">
      <c r="A2370" s="98"/>
    </row>
    <row r="2371" spans="1:1">
      <c r="A2371" s="98"/>
    </row>
    <row r="2372" spans="1:1">
      <c r="A2372" s="98"/>
    </row>
    <row r="2373" spans="1:1">
      <c r="A2373" s="98"/>
    </row>
    <row r="2374" spans="1:1">
      <c r="A2374" s="98"/>
    </row>
    <row r="2375" spans="1:1">
      <c r="A2375" s="98"/>
    </row>
    <row r="2376" spans="1:1">
      <c r="A2376" s="98"/>
    </row>
    <row r="2377" spans="1:1">
      <c r="A2377" s="98"/>
    </row>
    <row r="2378" spans="1:1">
      <c r="A2378" s="98"/>
    </row>
    <row r="2379" spans="1:1">
      <c r="A2379" s="98"/>
    </row>
    <row r="2380" spans="1:1">
      <c r="A2380" s="98"/>
    </row>
    <row r="2381" spans="1:1">
      <c r="A2381" s="98"/>
    </row>
    <row r="2382" spans="1:1">
      <c r="A2382" s="98"/>
    </row>
    <row r="2383" spans="1:1">
      <c r="A2383" s="98"/>
    </row>
    <row r="2384" spans="1:1">
      <c r="A2384" s="98"/>
    </row>
    <row r="2385" spans="1:1">
      <c r="A2385" s="98"/>
    </row>
    <row r="2386" spans="1:1">
      <c r="A2386" s="98"/>
    </row>
    <row r="2387" spans="1:1">
      <c r="A2387" s="98"/>
    </row>
    <row r="2388" spans="1:1">
      <c r="A2388" s="98"/>
    </row>
    <row r="2389" spans="1:1">
      <c r="A2389" s="98"/>
    </row>
    <row r="2390" spans="1:1">
      <c r="A2390" s="98"/>
    </row>
    <row r="2391" spans="1:1">
      <c r="A2391" s="98"/>
    </row>
    <row r="2392" spans="1:1">
      <c r="A2392" s="98"/>
    </row>
    <row r="2393" spans="1:1">
      <c r="A2393" s="98"/>
    </row>
    <row r="2394" spans="1:1">
      <c r="A2394" s="98"/>
    </row>
    <row r="2395" spans="1:1">
      <c r="A2395" s="98"/>
    </row>
    <row r="2396" spans="1:1">
      <c r="A2396" s="98"/>
    </row>
    <row r="2397" spans="1:1">
      <c r="A2397" s="98"/>
    </row>
    <row r="2398" spans="1:1">
      <c r="A2398" s="98"/>
    </row>
    <row r="2399" spans="1:1">
      <c r="A2399" s="98"/>
    </row>
    <row r="2400" spans="1:1">
      <c r="A2400" s="98"/>
    </row>
    <row r="2401" spans="1:1">
      <c r="A2401" s="98"/>
    </row>
    <row r="2402" spans="1:1">
      <c r="A2402" s="98"/>
    </row>
    <row r="2403" spans="1:1">
      <c r="A2403" s="98"/>
    </row>
    <row r="2404" spans="1:1">
      <c r="A2404" s="98"/>
    </row>
    <row r="2405" spans="1:1">
      <c r="A2405" s="98"/>
    </row>
    <row r="2406" spans="1:1">
      <c r="A2406" s="98"/>
    </row>
    <row r="2407" spans="1:1">
      <c r="A2407" s="98"/>
    </row>
    <row r="2408" spans="1:1">
      <c r="A2408" s="98"/>
    </row>
    <row r="2409" spans="1:1">
      <c r="A2409" s="98"/>
    </row>
    <row r="2410" spans="1:1">
      <c r="A2410" s="98"/>
    </row>
    <row r="2411" spans="1:1">
      <c r="A2411" s="98"/>
    </row>
    <row r="2412" spans="1:1">
      <c r="A2412" s="98"/>
    </row>
    <row r="2413" spans="1:1">
      <c r="A2413" s="98"/>
    </row>
    <row r="2414" spans="1:1">
      <c r="A2414" s="98"/>
    </row>
    <row r="2415" spans="1:1">
      <c r="A2415" s="98"/>
    </row>
    <row r="2416" spans="1:1">
      <c r="A2416" s="98"/>
    </row>
    <row r="2417" spans="1:1">
      <c r="A2417" s="98"/>
    </row>
    <row r="2418" spans="1:1">
      <c r="A2418" s="98"/>
    </row>
    <row r="2419" spans="1:1">
      <c r="A2419" s="98"/>
    </row>
    <row r="2420" spans="1:1">
      <c r="A2420" s="98"/>
    </row>
    <row r="2421" spans="1:1">
      <c r="A2421" s="98"/>
    </row>
    <row r="2422" spans="1:1">
      <c r="A2422" s="98"/>
    </row>
    <row r="2423" spans="1:1">
      <c r="A2423" s="98"/>
    </row>
    <row r="2424" spans="1:1">
      <c r="A2424" s="98"/>
    </row>
    <row r="2425" spans="1:1">
      <c r="A2425" s="98"/>
    </row>
    <row r="2426" spans="1:1">
      <c r="A2426" s="98"/>
    </row>
    <row r="2427" spans="1:1">
      <c r="A2427" s="98"/>
    </row>
    <row r="2428" spans="1:1">
      <c r="A2428" s="98"/>
    </row>
    <row r="2429" spans="1:1">
      <c r="A2429" s="98"/>
    </row>
    <row r="2430" spans="1:1">
      <c r="A2430" s="98"/>
    </row>
    <row r="2431" spans="1:1">
      <c r="A2431" s="98"/>
    </row>
    <row r="2432" spans="1:1">
      <c r="A2432" s="98"/>
    </row>
    <row r="2433" spans="1:1">
      <c r="A2433" s="98"/>
    </row>
    <row r="2434" spans="1:1">
      <c r="A2434" s="98"/>
    </row>
    <row r="2435" spans="1:1">
      <c r="A2435" s="98"/>
    </row>
    <row r="2436" spans="1:1">
      <c r="A2436" s="98"/>
    </row>
    <row r="2437" spans="1:1">
      <c r="A2437" s="98"/>
    </row>
    <row r="2438" spans="1:1">
      <c r="A2438" s="98"/>
    </row>
    <row r="2439" spans="1:1">
      <c r="A2439" s="98"/>
    </row>
    <row r="2440" spans="1:1">
      <c r="A2440" s="98"/>
    </row>
    <row r="2441" spans="1:1">
      <c r="A2441" s="98"/>
    </row>
    <row r="2442" spans="1:1">
      <c r="A2442" s="98"/>
    </row>
    <row r="2443" spans="1:1">
      <c r="A2443" s="98"/>
    </row>
    <row r="2444" spans="1:1">
      <c r="A2444" s="98"/>
    </row>
    <row r="2445" spans="1:1">
      <c r="A2445" s="98"/>
    </row>
    <row r="2446" spans="1:1">
      <c r="A2446" s="98"/>
    </row>
    <row r="2447" spans="1:1">
      <c r="A2447" s="98"/>
    </row>
    <row r="2448" spans="1:1">
      <c r="A2448" s="98"/>
    </row>
    <row r="2449" spans="1:1">
      <c r="A2449" s="98"/>
    </row>
    <row r="2450" spans="1:1">
      <c r="A2450" s="98"/>
    </row>
    <row r="2451" spans="1:1">
      <c r="A2451" s="98"/>
    </row>
    <row r="2452" spans="1:1">
      <c r="A2452" s="98"/>
    </row>
    <row r="2453" spans="1:1">
      <c r="A2453" s="98"/>
    </row>
    <row r="2454" spans="1:1">
      <c r="A2454" s="98"/>
    </row>
    <row r="2455" spans="1:1">
      <c r="A2455" s="98"/>
    </row>
    <row r="2456" spans="1:1">
      <c r="A2456" s="98"/>
    </row>
    <row r="2457" spans="1:1">
      <c r="A2457" s="98"/>
    </row>
    <row r="2458" spans="1:1">
      <c r="A2458" s="98"/>
    </row>
    <row r="2459" spans="1:1">
      <c r="A2459" s="98"/>
    </row>
    <row r="2460" spans="1:1">
      <c r="A2460" s="98"/>
    </row>
    <row r="2461" spans="1:1">
      <c r="A2461" s="98"/>
    </row>
    <row r="2462" spans="1:1">
      <c r="A2462" s="98"/>
    </row>
    <row r="2463" spans="1:1">
      <c r="A2463" s="98"/>
    </row>
    <row r="2464" spans="1:1">
      <c r="A2464" s="98"/>
    </row>
    <row r="2465" spans="1:1">
      <c r="A2465" s="98"/>
    </row>
    <row r="2466" spans="1:1">
      <c r="A2466" s="98"/>
    </row>
    <row r="2467" spans="1:1">
      <c r="A2467" s="98"/>
    </row>
    <row r="2468" spans="1:1">
      <c r="A2468" s="98"/>
    </row>
    <row r="2469" spans="1:1">
      <c r="A2469" s="98"/>
    </row>
    <row r="2470" spans="1:1">
      <c r="A2470" s="98"/>
    </row>
    <row r="2471" spans="1:1">
      <c r="A2471" s="98"/>
    </row>
    <row r="2472" spans="1:1">
      <c r="A2472" s="98"/>
    </row>
    <row r="2473" spans="1:1">
      <c r="A2473" s="98"/>
    </row>
    <row r="2474" spans="1:1">
      <c r="A2474" s="98"/>
    </row>
    <row r="2475" spans="1:1">
      <c r="A2475" s="98"/>
    </row>
    <row r="2476" spans="1:1">
      <c r="A2476" s="98"/>
    </row>
    <row r="2477" spans="1:1">
      <c r="A2477" s="98"/>
    </row>
    <row r="2478" spans="1:1">
      <c r="A2478" s="98"/>
    </row>
    <row r="2479" spans="1:1">
      <c r="A2479" s="98"/>
    </row>
    <row r="2480" spans="1:1">
      <c r="A2480" s="98"/>
    </row>
    <row r="2481" spans="1:1">
      <c r="A2481" s="98"/>
    </row>
    <row r="2482" spans="1:1">
      <c r="A2482" s="98"/>
    </row>
    <row r="2483" spans="1:1">
      <c r="A2483" s="98"/>
    </row>
    <row r="2484" spans="1:1">
      <c r="A2484" s="98"/>
    </row>
    <row r="2485" spans="1:1">
      <c r="A2485" s="98"/>
    </row>
    <row r="2486" spans="1:1">
      <c r="A2486" s="98"/>
    </row>
    <row r="2487" spans="1:1">
      <c r="A2487" s="98"/>
    </row>
    <row r="2488" spans="1:1">
      <c r="A2488" s="98"/>
    </row>
    <row r="2489" spans="1:1">
      <c r="A2489" s="98"/>
    </row>
    <row r="2490" spans="1:1">
      <c r="A2490" s="98"/>
    </row>
    <row r="2491" spans="1:1">
      <c r="A2491" s="98"/>
    </row>
    <row r="2492" spans="1:1">
      <c r="A2492" s="98"/>
    </row>
    <row r="2493" spans="1:1">
      <c r="A2493" s="98"/>
    </row>
    <row r="2494" spans="1:1">
      <c r="A2494" s="98"/>
    </row>
    <row r="2495" spans="1:1">
      <c r="A2495" s="98"/>
    </row>
    <row r="2496" spans="1:1">
      <c r="A2496" s="98"/>
    </row>
    <row r="2497" spans="1:1">
      <c r="A2497" s="98"/>
    </row>
    <row r="2498" spans="1:1">
      <c r="A2498" s="98"/>
    </row>
    <row r="2499" spans="1:1">
      <c r="A2499" s="98"/>
    </row>
    <row r="2500" spans="1:1">
      <c r="A2500" s="98"/>
    </row>
    <row r="2501" spans="1:1">
      <c r="A2501" s="98"/>
    </row>
    <row r="2502" spans="1:1">
      <c r="A2502" s="98"/>
    </row>
    <row r="2503" spans="1:1">
      <c r="A2503" s="98"/>
    </row>
    <row r="2504" spans="1:1">
      <c r="A2504" s="98"/>
    </row>
    <row r="2505" spans="1:1">
      <c r="A2505" s="98"/>
    </row>
    <row r="2506" spans="1:1">
      <c r="A2506" s="98"/>
    </row>
    <row r="2507" spans="1:1">
      <c r="A2507" s="98"/>
    </row>
    <row r="2508" spans="1:1">
      <c r="A2508" s="98"/>
    </row>
    <row r="2509" spans="1:1">
      <c r="A2509" s="98"/>
    </row>
    <row r="2510" spans="1:1">
      <c r="A2510" s="98"/>
    </row>
    <row r="2511" spans="1:1">
      <c r="A2511" s="98"/>
    </row>
    <row r="2512" spans="1:1">
      <c r="A2512" s="98"/>
    </row>
    <row r="2513" spans="1:1">
      <c r="A2513" s="98"/>
    </row>
    <row r="2514" spans="1:1">
      <c r="A2514" s="98"/>
    </row>
    <row r="2515" spans="1:1">
      <c r="A2515" s="98"/>
    </row>
    <row r="2516" spans="1:1">
      <c r="A2516" s="98"/>
    </row>
    <row r="2517" spans="1:1">
      <c r="A2517" s="98"/>
    </row>
    <row r="2518" spans="1:1">
      <c r="A2518" s="98"/>
    </row>
    <row r="2519" spans="1:1">
      <c r="A2519" s="98"/>
    </row>
    <row r="2520" spans="1:1">
      <c r="A2520" s="98"/>
    </row>
    <row r="2521" spans="1:1">
      <c r="A2521" s="98"/>
    </row>
    <row r="2522" spans="1:1">
      <c r="A2522" s="98"/>
    </row>
    <row r="2523" spans="1:1">
      <c r="A2523" s="98"/>
    </row>
    <row r="2524" spans="1:1">
      <c r="A2524" s="98"/>
    </row>
    <row r="2525" spans="1:1">
      <c r="A2525" s="98"/>
    </row>
    <row r="2526" spans="1:1">
      <c r="A2526" s="98"/>
    </row>
    <row r="2527" spans="1:1">
      <c r="A2527" s="98"/>
    </row>
    <row r="2528" spans="1:1">
      <c r="A2528" s="98"/>
    </row>
    <row r="2529" spans="1:1">
      <c r="A2529" s="98"/>
    </row>
    <row r="2530" spans="1:1">
      <c r="A2530" s="98"/>
    </row>
    <row r="2531" spans="1:1">
      <c r="A2531" s="98"/>
    </row>
    <row r="2532" spans="1:1">
      <c r="A2532" s="98"/>
    </row>
    <row r="2533" spans="1:1">
      <c r="A2533" s="98"/>
    </row>
    <row r="2534" spans="1:1">
      <c r="A2534" s="98"/>
    </row>
    <row r="2535" spans="1:1">
      <c r="A2535" s="98"/>
    </row>
    <row r="2536" spans="1:1">
      <c r="A2536" s="98"/>
    </row>
    <row r="2537" spans="1:1">
      <c r="A2537" s="98"/>
    </row>
    <row r="2538" spans="1:1">
      <c r="A2538" s="98"/>
    </row>
    <row r="2539" spans="1:1">
      <c r="A2539" s="98"/>
    </row>
    <row r="2540" spans="1:1">
      <c r="A2540" s="98"/>
    </row>
    <row r="2541" spans="1:1">
      <c r="A2541" s="98"/>
    </row>
    <row r="2542" spans="1:1">
      <c r="A2542" s="98"/>
    </row>
    <row r="2543" spans="1:1">
      <c r="A2543" s="98"/>
    </row>
    <row r="2544" spans="1:1">
      <c r="A2544" s="98"/>
    </row>
    <row r="2545" spans="1:1">
      <c r="A2545" s="98"/>
    </row>
    <row r="2546" spans="1:1">
      <c r="A2546" s="98"/>
    </row>
    <row r="2547" spans="1:1">
      <c r="A2547" s="98"/>
    </row>
    <row r="2548" spans="1:1">
      <c r="A2548" s="98"/>
    </row>
    <row r="2549" spans="1:1">
      <c r="A2549" s="98"/>
    </row>
    <row r="2550" spans="1:1">
      <c r="A2550" s="98"/>
    </row>
    <row r="2551" spans="1:1">
      <c r="A2551" s="98"/>
    </row>
    <row r="2552" spans="1:1">
      <c r="A2552" s="98"/>
    </row>
    <row r="2553" spans="1:1">
      <c r="A2553" s="98"/>
    </row>
    <row r="2554" spans="1:1">
      <c r="A2554" s="98"/>
    </row>
    <row r="2555" spans="1:1">
      <c r="A2555" s="98"/>
    </row>
    <row r="2556" spans="1:1">
      <c r="A2556" s="98"/>
    </row>
    <row r="2557" spans="1:1">
      <c r="A2557" s="98"/>
    </row>
    <row r="2558" spans="1:1">
      <c r="A2558" s="98"/>
    </row>
    <row r="2559" spans="1:1">
      <c r="A2559" s="98"/>
    </row>
    <row r="2560" spans="1:1">
      <c r="A2560" s="98"/>
    </row>
    <row r="2561" spans="1:1">
      <c r="A2561" s="98"/>
    </row>
    <row r="2562" spans="1:1">
      <c r="A2562" s="98"/>
    </row>
    <row r="2563" spans="1:1">
      <c r="A2563" s="98"/>
    </row>
    <row r="2564" spans="1:1">
      <c r="A2564" s="98"/>
    </row>
    <row r="2565" spans="1:1">
      <c r="A2565" s="98"/>
    </row>
    <row r="2566" spans="1:1">
      <c r="A2566" s="98"/>
    </row>
    <row r="2567" spans="1:1">
      <c r="A2567" s="98"/>
    </row>
    <row r="2568" spans="1:1">
      <c r="A2568" s="98"/>
    </row>
    <row r="2569" spans="1:1">
      <c r="A2569" s="98"/>
    </row>
    <row r="2570" spans="1:1">
      <c r="A2570" s="98"/>
    </row>
    <row r="2571" spans="1:1">
      <c r="A2571" s="98"/>
    </row>
    <row r="2572" spans="1:1">
      <c r="A2572" s="98"/>
    </row>
    <row r="2573" spans="1:1">
      <c r="A2573" s="98"/>
    </row>
    <row r="2574" spans="1:1">
      <c r="A2574" s="98"/>
    </row>
    <row r="2575" spans="1:1">
      <c r="A2575" s="98"/>
    </row>
    <row r="2576" spans="1:1">
      <c r="A2576" s="98"/>
    </row>
    <row r="2577" spans="1:1">
      <c r="A2577" s="98"/>
    </row>
    <row r="2578" spans="1:1">
      <c r="A2578" s="98"/>
    </row>
    <row r="2579" spans="1:1">
      <c r="A2579" s="98"/>
    </row>
    <row r="2580" spans="1:1">
      <c r="A2580" s="98"/>
    </row>
    <row r="2581" spans="1:1">
      <c r="A2581" s="98"/>
    </row>
    <row r="2582" spans="1:1">
      <c r="A2582" s="98"/>
    </row>
    <row r="2583" spans="1:1">
      <c r="A2583" s="98"/>
    </row>
    <row r="2584" spans="1:1">
      <c r="A2584" s="98"/>
    </row>
    <row r="2585" spans="1:1">
      <c r="A2585" s="98"/>
    </row>
    <row r="2586" spans="1:1">
      <c r="A2586" s="98"/>
    </row>
    <row r="2587" spans="1:1">
      <c r="A2587" s="98"/>
    </row>
    <row r="2588" spans="1:1">
      <c r="A2588" s="98"/>
    </row>
    <row r="2589" spans="1:1">
      <c r="A2589" s="98"/>
    </row>
    <row r="2590" spans="1:1">
      <c r="A2590" s="98"/>
    </row>
    <row r="2591" spans="1:1">
      <c r="A2591" s="98"/>
    </row>
    <row r="2592" spans="1:1">
      <c r="A2592" s="98"/>
    </row>
    <row r="2593" spans="1:1">
      <c r="A2593" s="98"/>
    </row>
    <row r="2594" spans="1:1">
      <c r="A2594" s="98"/>
    </row>
    <row r="2595" spans="1:1">
      <c r="A2595" s="98"/>
    </row>
    <row r="2596" spans="1:1">
      <c r="A2596" s="98"/>
    </row>
    <row r="2597" spans="1:1">
      <c r="A2597" s="98"/>
    </row>
    <row r="2598" spans="1:1">
      <c r="A2598" s="98"/>
    </row>
    <row r="2599" spans="1:1">
      <c r="A2599" s="98"/>
    </row>
    <row r="2600" spans="1:1">
      <c r="A2600" s="98"/>
    </row>
    <row r="2601" spans="1:1">
      <c r="A2601" s="98"/>
    </row>
    <row r="2602" spans="1:1">
      <c r="A2602" s="98"/>
    </row>
    <row r="2603" spans="1:1">
      <c r="A2603" s="98"/>
    </row>
    <row r="2604" spans="1:1">
      <c r="A2604" s="98"/>
    </row>
    <row r="2605" spans="1:1">
      <c r="A2605" s="98"/>
    </row>
    <row r="2606" spans="1:1">
      <c r="A2606" s="98"/>
    </row>
    <row r="2607" spans="1:1">
      <c r="A2607" s="98"/>
    </row>
    <row r="2608" spans="1:1">
      <c r="A2608" s="98"/>
    </row>
    <row r="2609" spans="1:1">
      <c r="A2609" s="98"/>
    </row>
    <row r="2610" spans="1:1">
      <c r="A2610" s="98"/>
    </row>
    <row r="2611" spans="1:1">
      <c r="A2611" s="98"/>
    </row>
    <row r="2612" spans="1:1">
      <c r="A2612" s="98"/>
    </row>
    <row r="2613" spans="1:1">
      <c r="A2613" s="98"/>
    </row>
    <row r="2614" spans="1:1">
      <c r="A2614" s="98"/>
    </row>
    <row r="2615" spans="1:1">
      <c r="A2615" s="98"/>
    </row>
    <row r="2616" spans="1:1">
      <c r="A2616" s="98"/>
    </row>
    <row r="2617" spans="1:1">
      <c r="A2617" s="98"/>
    </row>
    <row r="2618" spans="1:1">
      <c r="A2618" s="98"/>
    </row>
    <row r="2619" spans="1:1">
      <c r="A2619" s="98"/>
    </row>
    <row r="2620" spans="1:1">
      <c r="A2620" s="98"/>
    </row>
    <row r="2621" spans="1:1">
      <c r="A2621" s="98"/>
    </row>
    <row r="2622" spans="1:1">
      <c r="A2622" s="98"/>
    </row>
    <row r="2623" spans="1:1">
      <c r="A2623" s="98"/>
    </row>
    <row r="2624" spans="1:1">
      <c r="A2624" s="98"/>
    </row>
    <row r="2625" spans="1:1">
      <c r="A2625" s="98"/>
    </row>
    <row r="2626" spans="1:1">
      <c r="A2626" s="98"/>
    </row>
    <row r="2627" spans="1:1">
      <c r="A2627" s="98"/>
    </row>
    <row r="2628" spans="1:1">
      <c r="A2628" s="98"/>
    </row>
    <row r="2629" spans="1:1">
      <c r="A2629" s="98"/>
    </row>
    <row r="2630" spans="1:1">
      <c r="A2630" s="98"/>
    </row>
    <row r="2631" spans="1:1">
      <c r="A2631" s="98"/>
    </row>
    <row r="2632" spans="1:1">
      <c r="A2632" s="98"/>
    </row>
    <row r="2633" spans="1:1">
      <c r="A2633" s="98"/>
    </row>
    <row r="2634" spans="1:1">
      <c r="A2634" s="98"/>
    </row>
    <row r="2635" spans="1:1">
      <c r="A2635" s="98"/>
    </row>
    <row r="2636" spans="1:1">
      <c r="A2636" s="98"/>
    </row>
    <row r="2637" spans="1:1">
      <c r="A2637" s="98"/>
    </row>
    <row r="2638" spans="1:1">
      <c r="A2638" s="98"/>
    </row>
    <row r="2639" spans="1:1">
      <c r="A2639" s="98"/>
    </row>
    <row r="2640" spans="1:1">
      <c r="A2640" s="98"/>
    </row>
    <row r="2641" spans="1:1">
      <c r="A2641" s="98"/>
    </row>
    <row r="2642" spans="1:1">
      <c r="A2642" s="98"/>
    </row>
    <row r="2643" spans="1:1">
      <c r="A2643" s="98"/>
    </row>
    <row r="2644" spans="1:1">
      <c r="A2644" s="98"/>
    </row>
    <row r="2645" spans="1:1">
      <c r="A2645" s="98"/>
    </row>
    <row r="2646" spans="1:1">
      <c r="A2646" s="98"/>
    </row>
    <row r="2647" spans="1:1">
      <c r="A2647" s="98"/>
    </row>
    <row r="2648" spans="1:1">
      <c r="A2648" s="98"/>
    </row>
    <row r="2649" spans="1:1">
      <c r="A2649" s="98"/>
    </row>
    <row r="2650" spans="1:1">
      <c r="A2650" s="98"/>
    </row>
    <row r="2651" spans="1:1">
      <c r="A2651" s="98"/>
    </row>
    <row r="2652" spans="1:1">
      <c r="A2652" s="98"/>
    </row>
    <row r="2653" spans="1:1">
      <c r="A2653" s="98"/>
    </row>
    <row r="2654" spans="1:1">
      <c r="A2654" s="98"/>
    </row>
    <row r="2655" spans="1:1">
      <c r="A2655" s="98"/>
    </row>
    <row r="2656" spans="1:1">
      <c r="A2656" s="98"/>
    </row>
    <row r="2657" spans="1:1">
      <c r="A2657" s="98"/>
    </row>
    <row r="2658" spans="1:1">
      <c r="A2658" s="98"/>
    </row>
    <row r="2659" spans="1:1">
      <c r="A2659" s="98"/>
    </row>
    <row r="2660" spans="1:1">
      <c r="A2660" s="98"/>
    </row>
    <row r="2661" spans="1:1">
      <c r="A2661" s="98"/>
    </row>
    <row r="2662" spans="1:1">
      <c r="A2662" s="98"/>
    </row>
    <row r="2663" spans="1:1">
      <c r="A2663" s="98"/>
    </row>
    <row r="2664" spans="1:1">
      <c r="A2664" s="98"/>
    </row>
    <row r="2665" spans="1:1">
      <c r="A2665" s="98"/>
    </row>
    <row r="2666" spans="1:1">
      <c r="A2666" s="98"/>
    </row>
    <row r="2667" spans="1:1">
      <c r="A2667" s="98"/>
    </row>
    <row r="2668" spans="1:1">
      <c r="A2668" s="98"/>
    </row>
    <row r="2669" spans="1:1">
      <c r="A2669" s="98"/>
    </row>
    <row r="2670" spans="1:1">
      <c r="A2670" s="98"/>
    </row>
    <row r="2671" spans="1:1">
      <c r="A2671" s="98"/>
    </row>
    <row r="2672" spans="1:1">
      <c r="A2672" s="98"/>
    </row>
    <row r="2673" spans="1:1">
      <c r="A2673" s="98"/>
    </row>
    <row r="2674" spans="1:1">
      <c r="A2674" s="98"/>
    </row>
    <row r="2675" spans="1:1">
      <c r="A2675" s="98"/>
    </row>
    <row r="2676" spans="1:1">
      <c r="A2676" s="98"/>
    </row>
    <row r="2677" spans="1:1">
      <c r="A2677" s="98"/>
    </row>
    <row r="2678" spans="1:1">
      <c r="A2678" s="98"/>
    </row>
    <row r="2679" spans="1:1">
      <c r="A2679" s="98"/>
    </row>
    <row r="2680" spans="1:1">
      <c r="A2680" s="98"/>
    </row>
    <row r="2681" spans="1:1">
      <c r="A2681" s="98"/>
    </row>
    <row r="2682" spans="1:1">
      <c r="A2682" s="98"/>
    </row>
    <row r="2683" spans="1:1">
      <c r="A2683" s="98"/>
    </row>
    <row r="2684" spans="1:1">
      <c r="A2684" s="98"/>
    </row>
    <row r="2685" spans="1:1">
      <c r="A2685" s="98"/>
    </row>
    <row r="2686" spans="1:1">
      <c r="A2686" s="98"/>
    </row>
    <row r="2687" spans="1:1">
      <c r="A2687" s="98"/>
    </row>
    <row r="2688" spans="1:1">
      <c r="A2688" s="98"/>
    </row>
    <row r="2689" spans="1:1">
      <c r="A2689" s="98"/>
    </row>
    <row r="2690" spans="1:1">
      <c r="A2690" s="98"/>
    </row>
    <row r="2691" spans="1:1">
      <c r="A2691" s="98"/>
    </row>
    <row r="2692" spans="1:1">
      <c r="A2692" s="98"/>
    </row>
    <row r="2693" spans="1:1">
      <c r="A2693" s="98"/>
    </row>
    <row r="2694" spans="1:1">
      <c r="A2694" s="98"/>
    </row>
    <row r="2695" spans="1:1">
      <c r="A2695" s="98"/>
    </row>
    <row r="2696" spans="1:1">
      <c r="A2696" s="98"/>
    </row>
    <row r="2697" spans="1:1">
      <c r="A2697" s="98"/>
    </row>
    <row r="2698" spans="1:1">
      <c r="A2698" s="98"/>
    </row>
    <row r="2699" spans="1:1">
      <c r="A2699" s="98"/>
    </row>
    <row r="2700" spans="1:1">
      <c r="A2700" s="98"/>
    </row>
    <row r="2701" spans="1:1">
      <c r="A2701" s="98"/>
    </row>
    <row r="2702" spans="1:1">
      <c r="A2702" s="98"/>
    </row>
    <row r="2703" spans="1:1">
      <c r="A2703" s="98"/>
    </row>
    <row r="2704" spans="1:1">
      <c r="A2704" s="98"/>
    </row>
    <row r="2705" spans="1:1">
      <c r="A2705" s="98"/>
    </row>
    <row r="2706" spans="1:1">
      <c r="A2706" s="98"/>
    </row>
    <row r="2707" spans="1:1">
      <c r="A2707" s="98"/>
    </row>
    <row r="2708" spans="1:1">
      <c r="A2708" s="98"/>
    </row>
    <row r="2709" spans="1:1">
      <c r="A2709" s="98"/>
    </row>
    <row r="2710" spans="1:1">
      <c r="A2710" s="98"/>
    </row>
    <row r="2711" spans="1:1">
      <c r="A2711" s="98"/>
    </row>
    <row r="2712" spans="1:1">
      <c r="A2712" s="98"/>
    </row>
    <row r="2713" spans="1:1">
      <c r="A2713" s="98"/>
    </row>
    <row r="2714" spans="1:1">
      <c r="A2714" s="98"/>
    </row>
    <row r="2715" spans="1:1">
      <c r="A2715" s="98"/>
    </row>
    <row r="2716" spans="1:1">
      <c r="A2716" s="98"/>
    </row>
    <row r="2717" spans="1:1">
      <c r="A2717" s="98"/>
    </row>
    <row r="2718" spans="1:1">
      <c r="A2718" s="98"/>
    </row>
    <row r="2719" spans="1:1">
      <c r="A2719" s="98"/>
    </row>
    <row r="2720" spans="1:1">
      <c r="A2720" s="98"/>
    </row>
    <row r="2721" spans="1:1">
      <c r="A2721" s="98"/>
    </row>
    <row r="2722" spans="1:1">
      <c r="A2722" s="98"/>
    </row>
    <row r="2723" spans="1:1">
      <c r="A2723" s="98"/>
    </row>
    <row r="2724" spans="1:1">
      <c r="A2724" s="98"/>
    </row>
    <row r="2725" spans="1:1">
      <c r="A2725" s="98"/>
    </row>
    <row r="2726" spans="1:1">
      <c r="A2726" s="98"/>
    </row>
    <row r="2727" spans="1:1">
      <c r="A2727" s="98"/>
    </row>
    <row r="2728" spans="1:1">
      <c r="A2728" s="98"/>
    </row>
    <row r="2729" spans="1:1">
      <c r="A2729" s="98"/>
    </row>
    <row r="2730" spans="1:1">
      <c r="A2730" s="98"/>
    </row>
    <row r="2731" spans="1:1">
      <c r="A2731" s="98"/>
    </row>
    <row r="2732" spans="1:1">
      <c r="A2732" s="98"/>
    </row>
    <row r="2733" spans="1:1">
      <c r="A2733" s="98"/>
    </row>
    <row r="2734" spans="1:1">
      <c r="A2734" s="98"/>
    </row>
    <row r="2735" spans="1:1">
      <c r="A2735" s="98"/>
    </row>
    <row r="2736" spans="1:1">
      <c r="A2736" s="98"/>
    </row>
    <row r="2737" spans="1:1">
      <c r="A2737" s="98"/>
    </row>
    <row r="2738" spans="1:1">
      <c r="A2738" s="98"/>
    </row>
    <row r="2739" spans="1:1">
      <c r="A2739" s="98"/>
    </row>
    <row r="2740" spans="1:1">
      <c r="A2740" s="98"/>
    </row>
    <row r="2741" spans="1:1">
      <c r="A2741" s="98"/>
    </row>
    <row r="2742" spans="1:1">
      <c r="A2742" s="98"/>
    </row>
    <row r="2743" spans="1:1">
      <c r="A2743" s="98"/>
    </row>
    <row r="2744" spans="1:1">
      <c r="A2744" s="98"/>
    </row>
    <row r="2745" spans="1:1">
      <c r="A2745" s="98"/>
    </row>
    <row r="2746" spans="1:1">
      <c r="A2746" s="98"/>
    </row>
    <row r="2747" spans="1:1">
      <c r="A2747" s="98"/>
    </row>
    <row r="2748" spans="1:1">
      <c r="A2748" s="98"/>
    </row>
    <row r="2749" spans="1:1">
      <c r="A2749" s="98"/>
    </row>
    <row r="2750" spans="1:1">
      <c r="A2750" s="98"/>
    </row>
    <row r="2751" spans="1:1">
      <c r="A2751" s="98"/>
    </row>
    <row r="2752" spans="1:1">
      <c r="A2752" s="98"/>
    </row>
    <row r="2753" spans="1:1">
      <c r="A2753" s="98"/>
    </row>
    <row r="2754" spans="1:1">
      <c r="A2754" s="98"/>
    </row>
    <row r="2755" spans="1:1">
      <c r="A2755" s="98"/>
    </row>
    <row r="2756" spans="1:1">
      <c r="A2756" s="98"/>
    </row>
    <row r="2757" spans="1:1">
      <c r="A2757" s="98"/>
    </row>
    <row r="2758" spans="1:1">
      <c r="A2758" s="98"/>
    </row>
    <row r="2759" spans="1:1">
      <c r="A2759" s="98"/>
    </row>
    <row r="2760" spans="1:1">
      <c r="A2760" s="98"/>
    </row>
    <row r="2761" spans="1:1">
      <c r="A2761" s="98"/>
    </row>
    <row r="2762" spans="1:1">
      <c r="A2762" s="98"/>
    </row>
    <row r="2763" spans="1:1">
      <c r="A2763" s="98"/>
    </row>
    <row r="2764" spans="1:1">
      <c r="A2764" s="98"/>
    </row>
    <row r="2765" spans="1:1">
      <c r="A2765" s="98"/>
    </row>
    <row r="2766" spans="1:1">
      <c r="A2766" s="98"/>
    </row>
    <row r="2767" spans="1:1">
      <c r="A2767" s="98"/>
    </row>
    <row r="2768" spans="1:1">
      <c r="A2768" s="98"/>
    </row>
    <row r="2769" spans="1:1">
      <c r="A2769" s="98"/>
    </row>
    <row r="2770" spans="1:1">
      <c r="A2770" s="98"/>
    </row>
    <row r="2771" spans="1:1">
      <c r="A2771" s="98"/>
    </row>
    <row r="2772" spans="1:1">
      <c r="A2772" s="98"/>
    </row>
    <row r="2773" spans="1:1">
      <c r="A2773" s="98"/>
    </row>
    <row r="2774" spans="1:1">
      <c r="A2774" s="98"/>
    </row>
    <row r="2775" spans="1:1">
      <c r="A2775" s="98"/>
    </row>
    <row r="2776" spans="1:1">
      <c r="A2776" s="98"/>
    </row>
    <row r="2777" spans="1:1">
      <c r="A2777" s="98"/>
    </row>
    <row r="2778" spans="1:1">
      <c r="A2778" s="98"/>
    </row>
    <row r="2779" spans="1:1">
      <c r="A2779" s="98"/>
    </row>
    <row r="2780" spans="1:1">
      <c r="A2780" s="98"/>
    </row>
    <row r="2781" spans="1:1">
      <c r="A2781" s="98"/>
    </row>
    <row r="2782" spans="1:1">
      <c r="A2782" s="98"/>
    </row>
    <row r="2783" spans="1:1">
      <c r="A2783" s="98"/>
    </row>
    <row r="2784" spans="1:1">
      <c r="A2784" s="98"/>
    </row>
    <row r="2785" spans="1:1">
      <c r="A2785" s="98"/>
    </row>
    <row r="2786" spans="1:1">
      <c r="A2786" s="98"/>
    </row>
    <row r="2787" spans="1:1">
      <c r="A2787" s="98"/>
    </row>
    <row r="2788" spans="1:1">
      <c r="A2788" s="98"/>
    </row>
    <row r="2789" spans="1:1">
      <c r="A2789" s="98"/>
    </row>
    <row r="2790" spans="1:1">
      <c r="A2790" s="98"/>
    </row>
    <row r="2791" spans="1:1">
      <c r="A2791" s="98"/>
    </row>
    <row r="2792" spans="1:1">
      <c r="A2792" s="98"/>
    </row>
    <row r="2793" spans="1:1">
      <c r="A2793" s="98"/>
    </row>
    <row r="2794" spans="1:1">
      <c r="A2794" s="98"/>
    </row>
  </sheetData>
  <autoFilter ref="A1:U1408">
    <filterColumn colId="3">
      <filters>
        <filter val="RS"/>
      </filters>
    </filterColumn>
  </autoFilter>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9"/>
  <sheetViews>
    <sheetView workbookViewId="0"/>
  </sheetViews>
  <sheetFormatPr defaultRowHeight="12"/>
  <cols>
    <col min="1" max="1" width="17.6640625" style="98" customWidth="1"/>
    <col min="2" max="2" width="16.1640625" style="98" bestFit="1" customWidth="1"/>
    <col min="3" max="3" width="9.33203125" style="98"/>
    <col min="4" max="4" width="10.1640625" style="98" bestFit="1" customWidth="1"/>
    <col min="5" max="5" width="9.33203125" style="98"/>
    <col min="6" max="6" width="23.83203125" style="98" bestFit="1" customWidth="1"/>
    <col min="7" max="7" width="9.33203125" style="98"/>
    <col min="8" max="9" width="12.5" style="98" bestFit="1" customWidth="1"/>
    <col min="10" max="10" width="11.5" style="98" bestFit="1" customWidth="1"/>
    <col min="11" max="11" width="12.5" style="98" bestFit="1" customWidth="1"/>
    <col min="12" max="26" width="9.33203125" style="98"/>
    <col min="27" max="27" width="15" style="98" bestFit="1" customWidth="1"/>
    <col min="28" max="29" width="9.33203125" style="98"/>
    <col min="30" max="30" width="11.33203125" style="98" bestFit="1" customWidth="1"/>
    <col min="31" max="16384" width="9.33203125" style="98"/>
  </cols>
  <sheetData>
    <row r="1" spans="1:37">
      <c r="A1" s="98" t="s">
        <v>65</v>
      </c>
      <c r="C1" s="98" t="s">
        <v>66</v>
      </c>
      <c r="D1" s="556">
        <f>EOMONTH(F1,-12)+1</f>
        <v>42186</v>
      </c>
      <c r="E1" s="98" t="s">
        <v>25</v>
      </c>
      <c r="F1" s="557">
        <v>42551</v>
      </c>
    </row>
    <row r="2" spans="1:37">
      <c r="J2" s="134"/>
    </row>
    <row r="3" spans="1:37">
      <c r="A3" s="134" t="s">
        <v>73</v>
      </c>
      <c r="C3" s="151"/>
      <c r="D3" s="151"/>
      <c r="E3" s="151"/>
      <c r="F3" s="368"/>
      <c r="G3" s="151"/>
      <c r="H3" s="151"/>
      <c r="I3" s="368"/>
      <c r="J3" s="151"/>
      <c r="K3" s="151"/>
      <c r="L3" s="368"/>
      <c r="M3" s="151"/>
      <c r="N3" s="151"/>
      <c r="O3" s="368"/>
      <c r="P3" s="151"/>
      <c r="Q3" s="151"/>
      <c r="R3" s="204"/>
      <c r="S3" s="204"/>
      <c r="T3" s="204"/>
      <c r="U3" s="204"/>
      <c r="V3" s="204"/>
      <c r="W3" s="204"/>
      <c r="X3" s="204"/>
      <c r="Y3" s="204"/>
      <c r="Z3" s="204"/>
    </row>
    <row r="4" spans="1:37" ht="24.75" thickBot="1">
      <c r="C4" s="558" t="s">
        <v>811</v>
      </c>
      <c r="D4" s="558" t="s">
        <v>812</v>
      </c>
      <c r="E4" s="559" t="s">
        <v>813</v>
      </c>
      <c r="F4" s="558"/>
      <c r="G4" s="559"/>
      <c r="H4" s="559"/>
      <c r="I4" s="559"/>
      <c r="J4" s="558"/>
      <c r="K4" s="559"/>
      <c r="L4" s="558"/>
      <c r="M4" s="558"/>
      <c r="N4" s="559"/>
      <c r="O4" s="558"/>
      <c r="P4" s="558"/>
      <c r="Q4" s="559"/>
      <c r="AA4" s="204" t="s">
        <v>809</v>
      </c>
      <c r="AD4" s="204" t="s">
        <v>810</v>
      </c>
      <c r="AG4" s="98" t="s">
        <v>1105</v>
      </c>
      <c r="AJ4" s="98" t="s">
        <v>1123</v>
      </c>
      <c r="AK4" s="98" t="s">
        <v>1003</v>
      </c>
    </row>
    <row r="5" spans="1:37" ht="12.75" thickBot="1">
      <c r="A5" s="560">
        <f>IF(A64=MONTH($F$1),$F$1,IF(A64&lt;MONTH($F$1),EOMONTH(A6,-1),IF(A64=MONTH($F$1)+1,EOMONTH(A4,-11),EOMONTH(A4,1))))</f>
        <v>42400</v>
      </c>
      <c r="B5" s="561" t="str">
        <f>TEXT(A5,"mmm yyyy")</f>
        <v>Jan 2016</v>
      </c>
      <c r="C5" s="151"/>
      <c r="D5" s="151">
        <v>2.7519999999999999E-2</v>
      </c>
      <c r="E5" s="151">
        <f>C5+D5-0.02215</f>
        <v>5.3699999999999998E-3</v>
      </c>
      <c r="F5" s="151"/>
      <c r="G5" s="151"/>
      <c r="H5" s="151"/>
      <c r="I5" s="151"/>
      <c r="J5" s="151"/>
      <c r="K5" s="151"/>
      <c r="L5" s="151"/>
      <c r="M5" s="151"/>
      <c r="N5" s="151"/>
      <c r="O5" s="151"/>
      <c r="P5" s="151"/>
      <c r="Q5" s="151"/>
      <c r="X5" s="98">
        <v>20140101</v>
      </c>
      <c r="Y5" s="98" t="s">
        <v>63</v>
      </c>
      <c r="Z5" s="98">
        <v>1</v>
      </c>
      <c r="AA5" s="205" t="s">
        <v>816</v>
      </c>
      <c r="AB5" s="98" t="s">
        <v>22</v>
      </c>
      <c r="AC5" s="98">
        <v>1</v>
      </c>
      <c r="AD5" s="206" t="s">
        <v>342</v>
      </c>
      <c r="AE5" s="207" t="s">
        <v>459</v>
      </c>
      <c r="AF5" s="98">
        <v>1</v>
      </c>
      <c r="AG5" s="2" t="s">
        <v>126</v>
      </c>
      <c r="AH5" s="208" t="s">
        <v>459</v>
      </c>
      <c r="AJ5" s="98">
        <v>910</v>
      </c>
      <c r="AK5" s="98">
        <v>958</v>
      </c>
    </row>
    <row r="6" spans="1:37" ht="12.75" thickBot="1">
      <c r="A6" s="560">
        <f t="shared" ref="A6:A16" si="0">IF(A65=MONTH($F$1),$F$1,IF(A65&lt;MONTH($F$1),EOMONTH(A7,-1),IF(A65=MONTH($F$1)+1,EOMONTH(A5,-11),EOMONTH(A5,1))))</f>
        <v>42429</v>
      </c>
      <c r="B6" s="561" t="str">
        <f t="shared" ref="B6:B18" si="1">TEXT(A6,"mmm yyyy")</f>
        <v>Feb 2016</v>
      </c>
      <c r="C6" s="151"/>
      <c r="D6" s="151">
        <v>2.7519999999999999E-2</v>
      </c>
      <c r="E6" s="151">
        <f t="shared" ref="E6:E16" si="2">C6+D6-0.02215</f>
        <v>5.3699999999999998E-3</v>
      </c>
      <c r="F6" s="151"/>
      <c r="G6" s="151"/>
      <c r="H6" s="151"/>
      <c r="I6" s="151"/>
      <c r="J6" s="151"/>
      <c r="K6" s="151"/>
      <c r="L6" s="151"/>
      <c r="M6" s="151"/>
      <c r="N6" s="151"/>
      <c r="O6" s="151"/>
      <c r="P6" s="151"/>
      <c r="Q6" s="151"/>
      <c r="Y6" s="98" t="s">
        <v>409</v>
      </c>
      <c r="Z6" s="98">
        <f>Z5+1</f>
        <v>2</v>
      </c>
      <c r="AA6" s="205" t="s">
        <v>817</v>
      </c>
      <c r="AB6" s="98" t="s">
        <v>23</v>
      </c>
      <c r="AC6" s="98">
        <f t="shared" ref="AC6:AC68" si="3">AC5+1</f>
        <v>2</v>
      </c>
      <c r="AD6" s="206" t="s">
        <v>213</v>
      </c>
      <c r="AE6" s="110" t="s">
        <v>459</v>
      </c>
      <c r="AF6" s="98">
        <f t="shared" ref="AF6:AF28" si="4">AF5+1</f>
        <v>2</v>
      </c>
      <c r="AG6" s="1" t="s">
        <v>126</v>
      </c>
      <c r="AH6" s="208" t="s">
        <v>1197</v>
      </c>
      <c r="AJ6" s="98">
        <v>911</v>
      </c>
      <c r="AK6" s="98">
        <v>901</v>
      </c>
    </row>
    <row r="7" spans="1:37" ht="12.75" thickBot="1">
      <c r="A7" s="560">
        <f t="shared" si="0"/>
        <v>42460</v>
      </c>
      <c r="B7" s="561" t="str">
        <f t="shared" si="1"/>
        <v>Mar 2016</v>
      </c>
      <c r="C7" s="151"/>
      <c r="D7" s="151">
        <v>2.7519999999999999E-2</v>
      </c>
      <c r="E7" s="151">
        <f t="shared" si="2"/>
        <v>5.3699999999999998E-3</v>
      </c>
      <c r="F7" s="151"/>
      <c r="G7" s="151"/>
      <c r="H7" s="151"/>
      <c r="I7" s="151"/>
      <c r="J7" s="151"/>
      <c r="K7" s="151"/>
      <c r="L7" s="151"/>
      <c r="M7" s="151"/>
      <c r="N7" s="151"/>
      <c r="O7" s="151"/>
      <c r="P7" s="151"/>
      <c r="Q7" s="151"/>
      <c r="Y7" s="98" t="s">
        <v>412</v>
      </c>
      <c r="Z7" s="98">
        <f t="shared" ref="Z7:Z42" si="5">Z6+1</f>
        <v>3</v>
      </c>
      <c r="AA7" s="110" t="s">
        <v>368</v>
      </c>
      <c r="AB7" s="98" t="s">
        <v>414</v>
      </c>
      <c r="AC7" s="98">
        <f t="shared" si="3"/>
        <v>3</v>
      </c>
      <c r="AD7" s="206" t="s">
        <v>214</v>
      </c>
      <c r="AE7" s="110" t="s">
        <v>459</v>
      </c>
      <c r="AF7" s="98">
        <f t="shared" si="4"/>
        <v>3</v>
      </c>
      <c r="AG7" s="2" t="s">
        <v>127</v>
      </c>
      <c r="AH7" s="208" t="s">
        <v>459</v>
      </c>
      <c r="AJ7" s="98">
        <v>912</v>
      </c>
      <c r="AK7" s="98">
        <v>902</v>
      </c>
    </row>
    <row r="8" spans="1:37" ht="12.75" thickBot="1">
      <c r="A8" s="560">
        <f t="shared" si="0"/>
        <v>42490</v>
      </c>
      <c r="B8" s="561" t="str">
        <f t="shared" si="1"/>
        <v>Apr 2016</v>
      </c>
      <c r="C8" s="151">
        <v>5.8199999999999988E-3</v>
      </c>
      <c r="D8" s="151">
        <v>2.215E-2</v>
      </c>
      <c r="E8" s="151">
        <f t="shared" si="2"/>
        <v>5.8199999999999988E-3</v>
      </c>
      <c r="F8" s="151"/>
      <c r="G8" s="562"/>
      <c r="H8" s="74"/>
      <c r="I8" s="74"/>
      <c r="J8" s="369"/>
      <c r="K8" s="369"/>
      <c r="L8" s="151"/>
      <c r="M8" s="151"/>
      <c r="N8" s="151"/>
      <c r="O8" s="151"/>
      <c r="P8" s="151"/>
      <c r="Q8" s="151"/>
      <c r="Y8" s="98" t="s">
        <v>22</v>
      </c>
      <c r="Z8" s="98">
        <f t="shared" si="5"/>
        <v>4</v>
      </c>
      <c r="AA8" s="110" t="s">
        <v>369</v>
      </c>
      <c r="AB8" s="98" t="s">
        <v>414</v>
      </c>
      <c r="AC8" s="98">
        <f t="shared" si="3"/>
        <v>4</v>
      </c>
      <c r="AD8" s="206" t="s">
        <v>215</v>
      </c>
      <c r="AE8" s="110" t="s">
        <v>459</v>
      </c>
      <c r="AF8" s="98">
        <f t="shared" si="4"/>
        <v>4</v>
      </c>
      <c r="AG8" s="2" t="s">
        <v>127</v>
      </c>
      <c r="AH8" s="208" t="s">
        <v>1197</v>
      </c>
      <c r="AJ8" s="98">
        <v>952</v>
      </c>
      <c r="AK8" s="98">
        <v>956</v>
      </c>
    </row>
    <row r="9" spans="1:37" ht="12.75" thickBot="1">
      <c r="A9" s="560">
        <f t="shared" si="0"/>
        <v>42521</v>
      </c>
      <c r="B9" s="561" t="str">
        <f t="shared" si="1"/>
        <v>May 2016</v>
      </c>
      <c r="C9" s="151">
        <v>5.62E-3</v>
      </c>
      <c r="D9" s="151">
        <v>2.215E-2</v>
      </c>
      <c r="E9" s="151">
        <f t="shared" si="2"/>
        <v>5.62E-3</v>
      </c>
      <c r="F9" s="151"/>
      <c r="G9" s="151"/>
      <c r="H9" s="151"/>
      <c r="I9" s="151"/>
      <c r="J9" s="151"/>
      <c r="K9" s="151"/>
      <c r="L9" s="151"/>
      <c r="M9" s="151"/>
      <c r="N9" s="151"/>
      <c r="O9" s="151"/>
      <c r="P9" s="151"/>
      <c r="Q9" s="151"/>
      <c r="Y9" s="98" t="s">
        <v>23</v>
      </c>
      <c r="Z9" s="98">
        <f t="shared" si="5"/>
        <v>5</v>
      </c>
      <c r="AA9" s="110" t="s">
        <v>370</v>
      </c>
      <c r="AB9" s="98" t="s">
        <v>414</v>
      </c>
      <c r="AC9" s="98">
        <f t="shared" si="3"/>
        <v>5</v>
      </c>
      <c r="AD9" s="206" t="s">
        <v>216</v>
      </c>
      <c r="AE9" s="110" t="s">
        <v>459</v>
      </c>
      <c r="AF9" s="98">
        <f t="shared" si="4"/>
        <v>5</v>
      </c>
      <c r="AG9" s="2" t="s">
        <v>128</v>
      </c>
      <c r="AH9" s="208" t="s">
        <v>459</v>
      </c>
      <c r="AJ9" s="98">
        <v>953</v>
      </c>
      <c r="AK9" s="98">
        <v>956</v>
      </c>
    </row>
    <row r="10" spans="1:37" ht="12.75" thickBot="1">
      <c r="A10" s="560">
        <f t="shared" si="0"/>
        <v>42551</v>
      </c>
      <c r="B10" s="561" t="str">
        <f t="shared" si="1"/>
        <v>Jun 2016</v>
      </c>
      <c r="C10" s="151">
        <v>4.1999999999999989E-3</v>
      </c>
      <c r="D10" s="151">
        <v>2.215E-2</v>
      </c>
      <c r="E10" s="151">
        <f t="shared" si="2"/>
        <v>4.1999999999999989E-3</v>
      </c>
      <c r="F10" s="151"/>
      <c r="G10" s="151"/>
      <c r="H10" s="151"/>
      <c r="I10" s="151"/>
      <c r="J10" s="151"/>
      <c r="K10" s="151"/>
      <c r="L10" s="151"/>
      <c r="M10" s="151"/>
      <c r="N10" s="151"/>
      <c r="O10" s="151"/>
      <c r="P10" s="151"/>
      <c r="Q10" s="151"/>
      <c r="Y10" s="98" t="s">
        <v>14</v>
      </c>
      <c r="Z10" s="98">
        <f t="shared" si="5"/>
        <v>6</v>
      </c>
      <c r="AA10" s="110" t="s">
        <v>371</v>
      </c>
      <c r="AB10" s="98" t="s">
        <v>414</v>
      </c>
      <c r="AC10" s="98">
        <f t="shared" si="3"/>
        <v>6</v>
      </c>
      <c r="AD10" s="206" t="s">
        <v>217</v>
      </c>
      <c r="AE10" s="110" t="s">
        <v>459</v>
      </c>
      <c r="AF10" s="98">
        <f t="shared" si="4"/>
        <v>6</v>
      </c>
      <c r="AG10" s="2" t="s">
        <v>128</v>
      </c>
      <c r="AH10" s="208" t="s">
        <v>1197</v>
      </c>
      <c r="AJ10" s="98">
        <v>954</v>
      </c>
      <c r="AK10" s="98">
        <v>950</v>
      </c>
    </row>
    <row r="11" spans="1:37" ht="12.75" thickBot="1">
      <c r="A11" s="560">
        <f t="shared" si="0"/>
        <v>42216</v>
      </c>
      <c r="B11" s="561" t="str">
        <f t="shared" si="1"/>
        <v>Jul 2015</v>
      </c>
      <c r="C11" s="151">
        <v>7.4000000000000107E-4</v>
      </c>
      <c r="D11" s="151">
        <v>2.7519999999999999E-2</v>
      </c>
      <c r="E11" s="151">
        <f t="shared" si="2"/>
        <v>6.1100000000000008E-3</v>
      </c>
      <c r="F11" s="151"/>
      <c r="G11" s="151"/>
      <c r="H11" s="151"/>
      <c r="I11" s="151"/>
      <c r="J11" s="151"/>
      <c r="K11" s="151"/>
      <c r="L11" s="151"/>
      <c r="M11" s="151"/>
      <c r="N11" s="151"/>
      <c r="O11" s="151"/>
      <c r="P11" s="151"/>
      <c r="Q11" s="151"/>
      <c r="Y11" s="134" t="s">
        <v>902</v>
      </c>
      <c r="Z11" s="98">
        <f t="shared" si="5"/>
        <v>7</v>
      </c>
      <c r="AA11" s="110" t="s">
        <v>372</v>
      </c>
      <c r="AB11" s="98" t="s">
        <v>414</v>
      </c>
      <c r="AC11" s="98">
        <f t="shared" si="3"/>
        <v>7</v>
      </c>
      <c r="AD11" s="206" t="s">
        <v>344</v>
      </c>
      <c r="AE11" s="110" t="s">
        <v>459</v>
      </c>
      <c r="AF11" s="98">
        <f t="shared" si="4"/>
        <v>7</v>
      </c>
      <c r="AG11" s="2" t="s">
        <v>129</v>
      </c>
      <c r="AH11" s="208" t="s">
        <v>459</v>
      </c>
      <c r="AJ11" s="98">
        <v>955</v>
      </c>
      <c r="AK11" s="98">
        <v>951</v>
      </c>
    </row>
    <row r="12" spans="1:37" ht="12.75" thickBot="1">
      <c r="A12" s="560">
        <f t="shared" si="0"/>
        <v>42247</v>
      </c>
      <c r="B12" s="561" t="str">
        <f t="shared" si="1"/>
        <v>Aug 2015</v>
      </c>
      <c r="C12" s="151">
        <v>-1.9999999999999879E-4</v>
      </c>
      <c r="D12" s="151">
        <v>2.7519999999999999E-2</v>
      </c>
      <c r="E12" s="151">
        <f t="shared" si="2"/>
        <v>5.170000000000001E-3</v>
      </c>
      <c r="F12" s="151"/>
      <c r="G12" s="151"/>
      <c r="H12" s="151"/>
      <c r="I12" s="151"/>
      <c r="J12" s="151"/>
      <c r="K12" s="151"/>
      <c r="L12" s="151"/>
      <c r="M12" s="151"/>
      <c r="N12" s="151"/>
      <c r="O12" s="151"/>
      <c r="P12" s="151"/>
      <c r="Q12" s="151"/>
      <c r="Y12" s="98" t="s">
        <v>421</v>
      </c>
      <c r="Z12" s="98">
        <f t="shared" si="5"/>
        <v>8</v>
      </c>
      <c r="AA12" s="110" t="s">
        <v>374</v>
      </c>
      <c r="AB12" s="98" t="s">
        <v>414</v>
      </c>
      <c r="AC12" s="98">
        <f t="shared" si="3"/>
        <v>8</v>
      </c>
      <c r="AD12" s="206" t="s">
        <v>218</v>
      </c>
      <c r="AE12" s="110" t="s">
        <v>459</v>
      </c>
      <c r="AF12" s="98">
        <f t="shared" si="4"/>
        <v>8</v>
      </c>
      <c r="AG12" s="2" t="s">
        <v>129</v>
      </c>
      <c r="AH12" s="208" t="s">
        <v>1197</v>
      </c>
      <c r="AJ12" s="98">
        <v>957</v>
      </c>
      <c r="AK12" s="98">
        <v>956</v>
      </c>
    </row>
    <row r="13" spans="1:37" ht="12.75" thickBot="1">
      <c r="A13" s="560">
        <f t="shared" si="0"/>
        <v>42277</v>
      </c>
      <c r="B13" s="561" t="str">
        <f t="shared" si="1"/>
        <v>Sep 2015</v>
      </c>
      <c r="C13" s="151">
        <v>4.1000000000000064E-4</v>
      </c>
      <c r="D13" s="151">
        <v>2.7519999999999999E-2</v>
      </c>
      <c r="E13" s="151">
        <f t="shared" si="2"/>
        <v>5.7800000000000004E-3</v>
      </c>
      <c r="F13" s="151"/>
      <c r="G13" s="151"/>
      <c r="H13" s="151"/>
      <c r="I13" s="151"/>
      <c r="J13" s="151"/>
      <c r="K13" s="151"/>
      <c r="L13" s="151"/>
      <c r="M13" s="151"/>
      <c r="N13" s="151"/>
      <c r="O13" s="151"/>
      <c r="P13" s="151"/>
      <c r="Q13" s="151"/>
      <c r="Y13" s="134" t="s">
        <v>17</v>
      </c>
      <c r="Z13" s="98">
        <f t="shared" si="5"/>
        <v>9</v>
      </c>
      <c r="AA13" s="110" t="s">
        <v>375</v>
      </c>
      <c r="AB13" s="98" t="s">
        <v>20</v>
      </c>
      <c r="AC13" s="98">
        <f t="shared" si="3"/>
        <v>9</v>
      </c>
      <c r="AD13" s="206" t="s">
        <v>223</v>
      </c>
      <c r="AE13" s="110" t="s">
        <v>459</v>
      </c>
      <c r="AF13" s="98">
        <f t="shared" si="4"/>
        <v>9</v>
      </c>
      <c r="AG13" s="2" t="s">
        <v>130</v>
      </c>
      <c r="AH13" s="208" t="s">
        <v>459</v>
      </c>
      <c r="AJ13" s="98">
        <v>960</v>
      </c>
      <c r="AK13" s="98">
        <v>950</v>
      </c>
    </row>
    <row r="14" spans="1:37" ht="12.75" thickBot="1">
      <c r="A14" s="560">
        <f t="shared" si="0"/>
        <v>42308</v>
      </c>
      <c r="B14" s="561" t="str">
        <f t="shared" si="1"/>
        <v>Oct 2015</v>
      </c>
      <c r="C14" s="151"/>
      <c r="D14" s="151">
        <v>2.7519999999999999E-2</v>
      </c>
      <c r="E14" s="151">
        <f t="shared" si="2"/>
        <v>5.3699999999999998E-3</v>
      </c>
      <c r="F14" s="151"/>
      <c r="G14" s="151"/>
      <c r="H14" s="151"/>
      <c r="I14" s="151"/>
      <c r="J14" s="151"/>
      <c r="K14" s="151"/>
      <c r="L14" s="151"/>
      <c r="M14" s="151"/>
      <c r="N14" s="151"/>
      <c r="O14" s="151"/>
      <c r="P14" s="151"/>
      <c r="Q14" s="151"/>
      <c r="Y14" s="98" t="s">
        <v>641</v>
      </c>
      <c r="Z14" s="98">
        <f t="shared" si="5"/>
        <v>10</v>
      </c>
      <c r="AA14" s="110" t="s">
        <v>376</v>
      </c>
      <c r="AB14" s="98" t="s">
        <v>21</v>
      </c>
      <c r="AC14" s="98">
        <f t="shared" si="3"/>
        <v>10</v>
      </c>
      <c r="AD14" s="206" t="s">
        <v>231</v>
      </c>
      <c r="AE14" s="110" t="s">
        <v>459</v>
      </c>
      <c r="AF14" s="98">
        <f t="shared" si="4"/>
        <v>10</v>
      </c>
      <c r="AG14" s="2" t="s">
        <v>130</v>
      </c>
      <c r="AH14" s="208" t="s">
        <v>1197</v>
      </c>
      <c r="AJ14" s="98">
        <v>961</v>
      </c>
      <c r="AK14" s="98">
        <v>951</v>
      </c>
    </row>
    <row r="15" spans="1:37" ht="12.75" thickBot="1">
      <c r="A15" s="560">
        <f t="shared" si="0"/>
        <v>42338</v>
      </c>
      <c r="B15" s="561" t="str">
        <f t="shared" si="1"/>
        <v>Nov 2015</v>
      </c>
      <c r="C15" s="151"/>
      <c r="D15" s="151">
        <v>2.7519999999999999E-2</v>
      </c>
      <c r="E15" s="151">
        <f t="shared" si="2"/>
        <v>5.3699999999999998E-3</v>
      </c>
      <c r="F15" s="151"/>
      <c r="G15" s="151"/>
      <c r="H15" s="151"/>
      <c r="I15" s="151"/>
      <c r="J15" s="151"/>
      <c r="K15" s="151"/>
      <c r="L15" s="151"/>
      <c r="M15" s="151"/>
      <c r="N15" s="151"/>
      <c r="O15" s="151"/>
      <c r="P15" s="151"/>
      <c r="Q15" s="151"/>
      <c r="Y15" s="98" t="s">
        <v>425</v>
      </c>
      <c r="Z15" s="98">
        <f t="shared" si="5"/>
        <v>11</v>
      </c>
      <c r="AA15" s="110" t="s">
        <v>377</v>
      </c>
      <c r="AB15" s="98" t="s">
        <v>20</v>
      </c>
      <c r="AC15" s="98">
        <f t="shared" si="3"/>
        <v>11</v>
      </c>
      <c r="AD15" s="206" t="s">
        <v>232</v>
      </c>
      <c r="AE15" s="110" t="s">
        <v>459</v>
      </c>
      <c r="AF15" s="98">
        <f t="shared" si="4"/>
        <v>11</v>
      </c>
      <c r="AG15" s="1" t="s">
        <v>131</v>
      </c>
      <c r="AH15" s="208" t="s">
        <v>459</v>
      </c>
      <c r="AJ15" s="98">
        <v>962</v>
      </c>
      <c r="AK15" s="98">
        <v>951</v>
      </c>
    </row>
    <row r="16" spans="1:37" ht="12.75" thickBot="1">
      <c r="A16" s="560">
        <f t="shared" si="0"/>
        <v>42369</v>
      </c>
      <c r="B16" s="561" t="str">
        <f t="shared" si="1"/>
        <v>Dec 2015</v>
      </c>
      <c r="C16" s="151"/>
      <c r="D16" s="151">
        <v>2.7519999999999999E-2</v>
      </c>
      <c r="E16" s="151">
        <f t="shared" si="2"/>
        <v>5.3699999999999998E-3</v>
      </c>
      <c r="F16" s="151"/>
      <c r="G16" s="151"/>
      <c r="H16" s="151"/>
      <c r="I16" s="151"/>
      <c r="J16" s="151"/>
      <c r="K16" s="151"/>
      <c r="L16" s="151"/>
      <c r="M16" s="151"/>
      <c r="N16" s="151"/>
      <c r="O16" s="151"/>
      <c r="P16" s="151"/>
      <c r="Q16" s="151"/>
      <c r="Y16" s="98" t="s">
        <v>21</v>
      </c>
      <c r="Z16" s="98">
        <f t="shared" si="5"/>
        <v>12</v>
      </c>
      <c r="AA16" s="110" t="s">
        <v>378</v>
      </c>
      <c r="AB16" s="134" t="s">
        <v>1006</v>
      </c>
      <c r="AC16" s="98">
        <f t="shared" si="3"/>
        <v>12</v>
      </c>
      <c r="AD16" s="206" t="s">
        <v>234</v>
      </c>
      <c r="AE16" s="110" t="s">
        <v>459</v>
      </c>
      <c r="AF16" s="98">
        <f t="shared" si="4"/>
        <v>12</v>
      </c>
      <c r="AG16" s="1" t="s">
        <v>131</v>
      </c>
      <c r="AH16" s="209" t="s">
        <v>1197</v>
      </c>
      <c r="AJ16" s="98">
        <v>963</v>
      </c>
      <c r="AK16" s="98">
        <v>956</v>
      </c>
    </row>
    <row r="17" spans="1:34" ht="12.75" thickBot="1">
      <c r="C17" s="151"/>
      <c r="D17" s="151"/>
      <c r="E17" s="151"/>
      <c r="F17" s="151"/>
      <c r="G17" s="151"/>
      <c r="H17" s="151"/>
      <c r="I17" s="151"/>
      <c r="J17" s="151"/>
      <c r="K17" s="151"/>
      <c r="L17" s="151"/>
      <c r="M17" s="151"/>
      <c r="N17" s="151"/>
      <c r="O17" s="151"/>
      <c r="P17" s="151"/>
      <c r="Q17" s="151"/>
      <c r="Y17" s="98" t="s">
        <v>20</v>
      </c>
      <c r="Z17" s="98">
        <f t="shared" si="5"/>
        <v>13</v>
      </c>
      <c r="AA17" s="110" t="s">
        <v>379</v>
      </c>
      <c r="AB17" s="98" t="s">
        <v>409</v>
      </c>
      <c r="AC17" s="98">
        <f t="shared" si="3"/>
        <v>13</v>
      </c>
      <c r="AD17" s="206" t="s">
        <v>353</v>
      </c>
      <c r="AE17" s="110" t="s">
        <v>459</v>
      </c>
      <c r="AF17" s="98">
        <f t="shared" si="4"/>
        <v>13</v>
      </c>
      <c r="AG17" s="1" t="s">
        <v>132</v>
      </c>
      <c r="AH17" s="208" t="s">
        <v>459</v>
      </c>
    </row>
    <row r="18" spans="1:34" ht="12.75" thickBot="1">
      <c r="A18" s="556">
        <f>EOMONTH(MIN(A5:A16),-1)</f>
        <v>42185</v>
      </c>
      <c r="B18" s="561" t="str">
        <f t="shared" si="1"/>
        <v>Jun 2015</v>
      </c>
      <c r="C18" s="563"/>
      <c r="D18" s="563"/>
      <c r="E18" s="563"/>
      <c r="F18" s="563"/>
      <c r="G18" s="563"/>
      <c r="H18" s="563"/>
      <c r="I18" s="563"/>
      <c r="J18" s="563"/>
      <c r="K18" s="563"/>
      <c r="L18" s="563"/>
      <c r="M18" s="563"/>
      <c r="N18" s="563"/>
      <c r="O18" s="563"/>
      <c r="P18" s="563"/>
      <c r="Q18" s="563"/>
      <c r="Y18" s="98" t="s">
        <v>13</v>
      </c>
      <c r="Z18" s="98">
        <f t="shared" si="5"/>
        <v>14</v>
      </c>
      <c r="AA18" s="110" t="s">
        <v>380</v>
      </c>
      <c r="AB18" s="98" t="s">
        <v>14</v>
      </c>
      <c r="AC18" s="98">
        <f t="shared" si="3"/>
        <v>14</v>
      </c>
      <c r="AD18" s="206" t="s">
        <v>235</v>
      </c>
      <c r="AE18" s="110" t="s">
        <v>459</v>
      </c>
      <c r="AF18" s="98">
        <f t="shared" si="4"/>
        <v>14</v>
      </c>
      <c r="AG18" s="1" t="s">
        <v>132</v>
      </c>
      <c r="AH18" s="208" t="s">
        <v>1197</v>
      </c>
    </row>
    <row r="19" spans="1:34" ht="12.75" thickBot="1">
      <c r="B19" s="98">
        <v>1</v>
      </c>
      <c r="C19" s="151"/>
      <c r="D19" s="151"/>
      <c r="E19" s="151"/>
      <c r="F19" s="151"/>
      <c r="G19" s="151"/>
      <c r="H19" s="151"/>
      <c r="I19" s="151"/>
      <c r="J19" s="151"/>
      <c r="K19" s="151"/>
      <c r="L19" s="151"/>
      <c r="M19" s="151"/>
      <c r="N19" s="151"/>
      <c r="O19" s="151"/>
      <c r="P19" s="151"/>
      <c r="Q19" s="151"/>
      <c r="Y19" s="98" t="s">
        <v>15</v>
      </c>
      <c r="Z19" s="98">
        <f t="shared" si="5"/>
        <v>15</v>
      </c>
      <c r="AA19" s="110" t="s">
        <v>381</v>
      </c>
      <c r="AB19" s="98" t="s">
        <v>14</v>
      </c>
      <c r="AC19" s="98">
        <f t="shared" si="3"/>
        <v>15</v>
      </c>
      <c r="AD19" s="206" t="s">
        <v>236</v>
      </c>
      <c r="AE19" s="110" t="s">
        <v>459</v>
      </c>
      <c r="AF19" s="98">
        <f t="shared" si="4"/>
        <v>15</v>
      </c>
      <c r="AG19" s="1" t="s">
        <v>1229</v>
      </c>
      <c r="AH19" s="208" t="s">
        <v>459</v>
      </c>
    </row>
    <row r="20" spans="1:34" ht="12.75" thickBot="1">
      <c r="Y20" s="98" t="s">
        <v>18</v>
      </c>
      <c r="Z20" s="98">
        <f t="shared" si="5"/>
        <v>16</v>
      </c>
      <c r="AA20" s="110" t="s">
        <v>382</v>
      </c>
      <c r="AB20" s="98" t="s">
        <v>14</v>
      </c>
      <c r="AC20" s="98">
        <f t="shared" si="3"/>
        <v>16</v>
      </c>
      <c r="AD20" s="206" t="s">
        <v>354</v>
      </c>
      <c r="AE20" s="110" t="s">
        <v>459</v>
      </c>
      <c r="AF20" s="98">
        <f t="shared" si="4"/>
        <v>16</v>
      </c>
      <c r="AG20" s="1" t="s">
        <v>1229</v>
      </c>
      <c r="AH20" s="208" t="s">
        <v>1197</v>
      </c>
    </row>
    <row r="21" spans="1:34" ht="12.75" thickBot="1">
      <c r="A21" s="98" t="s">
        <v>29</v>
      </c>
      <c r="Y21" s="98" t="s">
        <v>1006</v>
      </c>
      <c r="Z21" s="98">
        <f t="shared" si="5"/>
        <v>17</v>
      </c>
      <c r="AA21" s="110" t="s">
        <v>384</v>
      </c>
      <c r="AB21" s="98" t="s">
        <v>14</v>
      </c>
      <c r="AC21" s="98">
        <f t="shared" si="3"/>
        <v>17</v>
      </c>
      <c r="AD21" s="206" t="s">
        <v>355</v>
      </c>
      <c r="AE21" s="110" t="s">
        <v>459</v>
      </c>
      <c r="AF21" s="98">
        <f t="shared" si="4"/>
        <v>17</v>
      </c>
      <c r="AG21" s="1" t="s">
        <v>133</v>
      </c>
      <c r="AH21" s="208" t="s">
        <v>459</v>
      </c>
    </row>
    <row r="22" spans="1:34" ht="12.75" thickBot="1">
      <c r="A22" s="98" t="s">
        <v>30</v>
      </c>
      <c r="B22" s="98" t="s">
        <v>31</v>
      </c>
      <c r="K22" s="556"/>
      <c r="R22" s="98" t="s">
        <v>74</v>
      </c>
      <c r="S22" s="98" t="s">
        <v>75</v>
      </c>
      <c r="T22" s="98" t="s">
        <v>76</v>
      </c>
      <c r="U22" s="98" t="s">
        <v>77</v>
      </c>
      <c r="V22" s="98" t="s">
        <v>57</v>
      </c>
      <c r="Y22" s="98" t="s">
        <v>700</v>
      </c>
      <c r="Z22" s="98">
        <f t="shared" si="5"/>
        <v>18</v>
      </c>
      <c r="AA22" s="110" t="s">
        <v>385</v>
      </c>
      <c r="AB22" s="98" t="s">
        <v>425</v>
      </c>
      <c r="AC22" s="98">
        <f t="shared" si="3"/>
        <v>18</v>
      </c>
      <c r="AD22" s="206" t="s">
        <v>359</v>
      </c>
      <c r="AE22" s="110" t="s">
        <v>459</v>
      </c>
      <c r="AF22" s="98">
        <f t="shared" si="4"/>
        <v>18</v>
      </c>
      <c r="AG22" s="1" t="s">
        <v>133</v>
      </c>
      <c r="AH22" s="208" t="s">
        <v>1197</v>
      </c>
    </row>
    <row r="23" spans="1:34" ht="12.75" thickBot="1">
      <c r="A23" s="556">
        <f>D1</f>
        <v>42186</v>
      </c>
      <c r="B23" s="564"/>
      <c r="C23" s="565">
        <v>20140101</v>
      </c>
      <c r="D23" s="133" t="s">
        <v>1124</v>
      </c>
      <c r="K23" s="556"/>
      <c r="R23" s="98" t="s">
        <v>26</v>
      </c>
      <c r="S23" s="98" t="s">
        <v>27</v>
      </c>
      <c r="T23" s="98" t="s">
        <v>28</v>
      </c>
      <c r="U23" s="98" t="s">
        <v>78</v>
      </c>
      <c r="V23" s="98" t="s">
        <v>79</v>
      </c>
      <c r="Z23" s="98">
        <f t="shared" si="5"/>
        <v>19</v>
      </c>
      <c r="AA23" s="207" t="s">
        <v>1223</v>
      </c>
      <c r="AB23" s="98" t="s">
        <v>63</v>
      </c>
      <c r="AC23" s="98">
        <f t="shared" si="3"/>
        <v>19</v>
      </c>
      <c r="AD23" s="206" t="s">
        <v>356</v>
      </c>
      <c r="AE23" s="110" t="s">
        <v>459</v>
      </c>
      <c r="AF23" s="98">
        <f t="shared" si="4"/>
        <v>19</v>
      </c>
      <c r="AG23" s="2" t="s">
        <v>134</v>
      </c>
      <c r="AH23" s="208" t="s">
        <v>459</v>
      </c>
    </row>
    <row r="24" spans="1:34" ht="12.75" thickBot="1">
      <c r="A24" s="556">
        <f>B23+1</f>
        <v>1</v>
      </c>
      <c r="B24" s="564"/>
      <c r="C24" s="565"/>
      <c r="D24" s="133" t="s">
        <v>1124</v>
      </c>
      <c r="K24" s="556"/>
      <c r="Z24" s="98">
        <f t="shared" si="5"/>
        <v>20</v>
      </c>
      <c r="AA24" s="207" t="s">
        <v>386</v>
      </c>
      <c r="AB24" s="98" t="s">
        <v>63</v>
      </c>
      <c r="AC24" s="98">
        <f t="shared" si="3"/>
        <v>20</v>
      </c>
      <c r="AD24" s="206" t="s">
        <v>357</v>
      </c>
      <c r="AE24" s="110" t="s">
        <v>459</v>
      </c>
      <c r="AF24" s="98">
        <f t="shared" si="4"/>
        <v>20</v>
      </c>
      <c r="AG24" s="2" t="s">
        <v>134</v>
      </c>
      <c r="AH24" s="208" t="s">
        <v>1197</v>
      </c>
    </row>
    <row r="25" spans="1:34" ht="12.75" thickBot="1">
      <c r="A25" s="556">
        <f>B24+1</f>
        <v>1</v>
      </c>
      <c r="B25" s="556">
        <f>F1</f>
        <v>42551</v>
      </c>
      <c r="C25" s="565"/>
      <c r="D25" s="133" t="s">
        <v>1124</v>
      </c>
      <c r="K25" s="556"/>
      <c r="Z25" s="98">
        <f t="shared" si="5"/>
        <v>21</v>
      </c>
      <c r="AA25" s="110" t="s">
        <v>387</v>
      </c>
      <c r="AB25" s="98" t="s">
        <v>412</v>
      </c>
      <c r="AC25" s="98">
        <f t="shared" si="3"/>
        <v>21</v>
      </c>
      <c r="AD25" s="206" t="s">
        <v>358</v>
      </c>
      <c r="AE25" s="110" t="s">
        <v>459</v>
      </c>
      <c r="AF25" s="98">
        <f t="shared" si="4"/>
        <v>21</v>
      </c>
      <c r="AG25" s="1" t="s">
        <v>135</v>
      </c>
      <c r="AH25" s="208" t="s">
        <v>459</v>
      </c>
    </row>
    <row r="26" spans="1:34" ht="12.75" thickBot="1">
      <c r="K26" s="556"/>
      <c r="Z26" s="98">
        <f t="shared" si="5"/>
        <v>22</v>
      </c>
      <c r="AA26" s="110" t="s">
        <v>388</v>
      </c>
      <c r="AB26" s="98" t="s">
        <v>15</v>
      </c>
      <c r="AC26" s="98">
        <f t="shared" si="3"/>
        <v>22</v>
      </c>
      <c r="AD26" s="206" t="s">
        <v>250</v>
      </c>
      <c r="AE26" s="110" t="s">
        <v>459</v>
      </c>
      <c r="AF26" s="98">
        <f t="shared" si="4"/>
        <v>22</v>
      </c>
      <c r="AG26" s="1" t="s">
        <v>135</v>
      </c>
      <c r="AH26" s="208" t="s">
        <v>1197</v>
      </c>
    </row>
    <row r="27" spans="1:34" ht="12.75" thickBot="1">
      <c r="K27" s="556"/>
      <c r="Z27" s="98">
        <f t="shared" si="5"/>
        <v>23</v>
      </c>
      <c r="AA27" s="110" t="s">
        <v>389</v>
      </c>
      <c r="AB27" s="98" t="s">
        <v>20</v>
      </c>
      <c r="AC27" s="98">
        <f t="shared" si="3"/>
        <v>23</v>
      </c>
      <c r="AD27" s="206" t="s">
        <v>251</v>
      </c>
      <c r="AE27" s="110" t="s">
        <v>459</v>
      </c>
      <c r="AF27" s="98">
        <f t="shared" si="4"/>
        <v>23</v>
      </c>
      <c r="AG27" s="2" t="s">
        <v>136</v>
      </c>
      <c r="AH27" s="208" t="s">
        <v>459</v>
      </c>
    </row>
    <row r="28" spans="1:34" ht="12.75" thickBot="1">
      <c r="K28" s="556"/>
      <c r="Z28" s="98">
        <f t="shared" si="5"/>
        <v>24</v>
      </c>
      <c r="AA28" s="110" t="s">
        <v>390</v>
      </c>
      <c r="AB28" s="98" t="s">
        <v>21</v>
      </c>
      <c r="AC28" s="98">
        <f t="shared" si="3"/>
        <v>24</v>
      </c>
      <c r="AD28" s="206" t="s">
        <v>254</v>
      </c>
      <c r="AE28" s="110" t="s">
        <v>459</v>
      </c>
      <c r="AF28" s="98">
        <f t="shared" si="4"/>
        <v>24</v>
      </c>
      <c r="AG28" s="2" t="s">
        <v>136</v>
      </c>
      <c r="AH28" s="208" t="s">
        <v>1197</v>
      </c>
    </row>
    <row r="29" spans="1:34">
      <c r="K29" s="556"/>
      <c r="Z29" s="98">
        <f t="shared" si="5"/>
        <v>25</v>
      </c>
      <c r="AA29" s="110" t="s">
        <v>391</v>
      </c>
      <c r="AB29" s="134" t="s">
        <v>1006</v>
      </c>
      <c r="AC29" s="98">
        <f t="shared" si="3"/>
        <v>25</v>
      </c>
      <c r="AD29" s="206" t="s">
        <v>542</v>
      </c>
      <c r="AE29" s="110" t="s">
        <v>459</v>
      </c>
    </row>
    <row r="30" spans="1:34">
      <c r="K30" s="556"/>
      <c r="Z30" s="98">
        <f t="shared" si="5"/>
        <v>26</v>
      </c>
      <c r="AA30" s="110" t="s">
        <v>392</v>
      </c>
      <c r="AB30" s="98" t="s">
        <v>421</v>
      </c>
      <c r="AC30" s="98">
        <f t="shared" si="3"/>
        <v>26</v>
      </c>
      <c r="AD30" s="206" t="s">
        <v>260</v>
      </c>
      <c r="AE30" s="110" t="s">
        <v>459</v>
      </c>
    </row>
    <row r="31" spans="1:34">
      <c r="A31" s="99"/>
      <c r="B31" s="99"/>
      <c r="C31" s="95"/>
      <c r="D31" s="95"/>
      <c r="E31" s="95"/>
      <c r="G31" s="566"/>
      <c r="K31" s="556"/>
      <c r="Z31" s="98">
        <f t="shared" si="5"/>
        <v>27</v>
      </c>
      <c r="AA31" s="110" t="s">
        <v>393</v>
      </c>
      <c r="AB31" s="98" t="s">
        <v>421</v>
      </c>
      <c r="AC31" s="98">
        <f t="shared" si="3"/>
        <v>27</v>
      </c>
      <c r="AD31" s="206" t="s">
        <v>262</v>
      </c>
      <c r="AE31" s="110" t="s">
        <v>459</v>
      </c>
    </row>
    <row r="32" spans="1:34">
      <c r="A32" s="95"/>
      <c r="B32" s="95"/>
      <c r="C32" s="95"/>
      <c r="D32" s="95"/>
      <c r="E32" s="95"/>
      <c r="G32" s="566"/>
      <c r="K32" s="556"/>
      <c r="Z32" s="98">
        <f t="shared" si="5"/>
        <v>28</v>
      </c>
      <c r="AA32" s="110" t="s">
        <v>394</v>
      </c>
      <c r="AB32" s="98" t="s">
        <v>17</v>
      </c>
      <c r="AC32" s="98">
        <f t="shared" si="3"/>
        <v>28</v>
      </c>
      <c r="AD32" s="210" t="s">
        <v>340</v>
      </c>
      <c r="AE32" s="207" t="s">
        <v>1197</v>
      </c>
    </row>
    <row r="33" spans="1:31">
      <c r="A33" s="95"/>
      <c r="B33" s="95"/>
      <c r="C33" s="95"/>
      <c r="D33" s="95"/>
      <c r="E33" s="95"/>
      <c r="G33" s="566"/>
      <c r="K33" s="556"/>
      <c r="Z33" s="98">
        <f t="shared" si="5"/>
        <v>29</v>
      </c>
      <c r="AA33" s="110" t="s">
        <v>395</v>
      </c>
      <c r="AB33" s="98" t="s">
        <v>17</v>
      </c>
      <c r="AC33" s="98">
        <f t="shared" si="3"/>
        <v>29</v>
      </c>
      <c r="AD33" s="210" t="s">
        <v>692</v>
      </c>
      <c r="AE33" s="110" t="s">
        <v>1197</v>
      </c>
    </row>
    <row r="34" spans="1:31">
      <c r="A34" s="95"/>
      <c r="B34" s="95"/>
      <c r="C34" s="95"/>
      <c r="D34" s="95"/>
      <c r="E34" s="95"/>
      <c r="G34" s="566"/>
      <c r="Z34" s="98">
        <f t="shared" si="5"/>
        <v>30</v>
      </c>
      <c r="AA34" s="110" t="s">
        <v>396</v>
      </c>
      <c r="AB34" s="98" t="s">
        <v>17</v>
      </c>
      <c r="AC34" s="98">
        <f t="shared" si="3"/>
        <v>30</v>
      </c>
      <c r="AD34" s="206" t="s">
        <v>292</v>
      </c>
      <c r="AE34" s="110" t="s">
        <v>1197</v>
      </c>
    </row>
    <row r="35" spans="1:31">
      <c r="A35" s="95"/>
      <c r="B35" s="95"/>
      <c r="C35" s="95"/>
      <c r="D35" s="95"/>
      <c r="E35" s="95"/>
      <c r="G35" s="566"/>
      <c r="H35" s="95"/>
      <c r="Z35" s="98">
        <f t="shared" si="5"/>
        <v>31</v>
      </c>
      <c r="AA35" s="110" t="s">
        <v>397</v>
      </c>
      <c r="AB35" s="98" t="s">
        <v>18</v>
      </c>
      <c r="AC35" s="98">
        <f t="shared" si="3"/>
        <v>31</v>
      </c>
      <c r="AD35" s="206" t="s">
        <v>293</v>
      </c>
      <c r="AE35" s="110" t="s">
        <v>1197</v>
      </c>
    </row>
    <row r="36" spans="1:31">
      <c r="A36" s="95"/>
      <c r="B36" s="95"/>
      <c r="C36" s="95"/>
      <c r="D36" s="95"/>
      <c r="E36" s="95"/>
      <c r="G36" s="566"/>
      <c r="Z36" s="98">
        <f t="shared" si="5"/>
        <v>32</v>
      </c>
      <c r="AA36" s="110" t="s">
        <v>398</v>
      </c>
      <c r="AB36" s="98" t="s">
        <v>18</v>
      </c>
      <c r="AC36" s="98">
        <f t="shared" si="3"/>
        <v>32</v>
      </c>
      <c r="AD36" s="206" t="s">
        <v>295</v>
      </c>
      <c r="AE36" s="110" t="s">
        <v>1197</v>
      </c>
    </row>
    <row r="37" spans="1:31">
      <c r="A37" s="99"/>
      <c r="B37" s="95"/>
      <c r="C37" s="95"/>
      <c r="D37" s="95"/>
      <c r="E37" s="95"/>
      <c r="G37" s="566"/>
      <c r="Z37" s="98">
        <f t="shared" si="5"/>
        <v>33</v>
      </c>
      <c r="AA37" s="110" t="s">
        <v>399</v>
      </c>
      <c r="AB37" s="98" t="s">
        <v>13</v>
      </c>
      <c r="AC37" s="98">
        <f t="shared" si="3"/>
        <v>33</v>
      </c>
      <c r="AD37" s="206" t="s">
        <v>296</v>
      </c>
      <c r="AE37" s="110" t="s">
        <v>1197</v>
      </c>
    </row>
    <row r="38" spans="1:31">
      <c r="A38" s="95"/>
      <c r="B38" s="95"/>
      <c r="C38" s="95"/>
      <c r="D38" s="95"/>
      <c r="E38" s="95"/>
      <c r="G38" s="566"/>
      <c r="Z38" s="98">
        <f t="shared" si="5"/>
        <v>34</v>
      </c>
      <c r="AA38" s="110" t="s">
        <v>400</v>
      </c>
      <c r="AB38" s="98" t="s">
        <v>13</v>
      </c>
      <c r="AC38" s="98">
        <f t="shared" si="3"/>
        <v>34</v>
      </c>
      <c r="AD38" s="206" t="s">
        <v>297</v>
      </c>
      <c r="AE38" s="110" t="s">
        <v>459</v>
      </c>
    </row>
    <row r="39" spans="1:31">
      <c r="G39" s="566"/>
      <c r="Z39" s="98">
        <f t="shared" si="5"/>
        <v>35</v>
      </c>
      <c r="AA39" s="110" t="s">
        <v>401</v>
      </c>
      <c r="AB39" s="98" t="s">
        <v>13</v>
      </c>
      <c r="AC39" s="98">
        <f t="shared" si="3"/>
        <v>35</v>
      </c>
      <c r="AD39" s="206" t="s">
        <v>299</v>
      </c>
      <c r="AE39" s="110" t="s">
        <v>459</v>
      </c>
    </row>
    <row r="40" spans="1:31">
      <c r="G40" s="566"/>
      <c r="Z40" s="98">
        <f t="shared" si="5"/>
        <v>36</v>
      </c>
      <c r="AA40" s="110" t="s">
        <v>402</v>
      </c>
      <c r="AB40" s="98" t="s">
        <v>700</v>
      </c>
      <c r="AC40" s="98">
        <f t="shared" si="3"/>
        <v>36</v>
      </c>
      <c r="AD40" s="206" t="s">
        <v>300</v>
      </c>
      <c r="AE40" s="110" t="s">
        <v>1197</v>
      </c>
    </row>
    <row r="41" spans="1:31">
      <c r="B41" s="471"/>
      <c r="C41" s="471"/>
      <c r="G41" s="566"/>
      <c r="Z41" s="98">
        <f t="shared" si="5"/>
        <v>37</v>
      </c>
      <c r="AA41" s="207" t="s">
        <v>706</v>
      </c>
      <c r="AB41" s="98" t="s">
        <v>641</v>
      </c>
      <c r="AC41" s="98">
        <f t="shared" si="3"/>
        <v>37</v>
      </c>
      <c r="AD41" s="206" t="s">
        <v>301</v>
      </c>
      <c r="AE41" s="110" t="s">
        <v>1197</v>
      </c>
    </row>
    <row r="42" spans="1:31">
      <c r="G42" s="566"/>
      <c r="Z42" s="98">
        <f t="shared" si="5"/>
        <v>38</v>
      </c>
      <c r="AA42" s="207" t="s">
        <v>1230</v>
      </c>
      <c r="AB42" s="98" t="s">
        <v>641</v>
      </c>
      <c r="AC42" s="98">
        <f t="shared" si="3"/>
        <v>38</v>
      </c>
      <c r="AD42" s="206" t="s">
        <v>302</v>
      </c>
      <c r="AE42" s="110" t="s">
        <v>1197</v>
      </c>
    </row>
    <row r="43" spans="1:31">
      <c r="G43" s="566"/>
      <c r="AC43" s="98">
        <f t="shared" si="3"/>
        <v>39</v>
      </c>
      <c r="AD43" s="206" t="s">
        <v>303</v>
      </c>
      <c r="AE43" s="110" t="s">
        <v>1197</v>
      </c>
    </row>
    <row r="44" spans="1:31">
      <c r="A44" s="567"/>
      <c r="G44" s="566"/>
      <c r="AC44" s="98">
        <f t="shared" si="3"/>
        <v>40</v>
      </c>
      <c r="AD44" s="206" t="s">
        <v>304</v>
      </c>
      <c r="AE44" s="110" t="s">
        <v>1197</v>
      </c>
    </row>
    <row r="45" spans="1:31">
      <c r="A45" s="567"/>
      <c r="AC45" s="98">
        <f t="shared" si="3"/>
        <v>41</v>
      </c>
      <c r="AD45" s="206" t="s">
        <v>305</v>
      </c>
      <c r="AE45" s="110" t="s">
        <v>1197</v>
      </c>
    </row>
    <row r="46" spans="1:31">
      <c r="A46" s="471"/>
      <c r="AC46" s="98">
        <f t="shared" si="3"/>
        <v>42</v>
      </c>
      <c r="AD46" s="206" t="s">
        <v>306</v>
      </c>
      <c r="AE46" s="110" t="s">
        <v>459</v>
      </c>
    </row>
    <row r="47" spans="1:31">
      <c r="A47" s="134"/>
      <c r="AC47" s="98">
        <f t="shared" si="3"/>
        <v>43</v>
      </c>
      <c r="AD47" s="206" t="s">
        <v>307</v>
      </c>
      <c r="AE47" s="110" t="s">
        <v>1197</v>
      </c>
    </row>
    <row r="48" spans="1:31">
      <c r="AC48" s="98">
        <f t="shared" si="3"/>
        <v>44</v>
      </c>
      <c r="AD48" s="206" t="s">
        <v>308</v>
      </c>
      <c r="AE48" s="110" t="s">
        <v>459</v>
      </c>
    </row>
    <row r="49" spans="1:31">
      <c r="AC49" s="98">
        <f t="shared" si="3"/>
        <v>45</v>
      </c>
      <c r="AD49" s="206" t="s">
        <v>309</v>
      </c>
      <c r="AE49" s="110" t="s">
        <v>1197</v>
      </c>
    </row>
    <row r="50" spans="1:31">
      <c r="B50" s="99"/>
      <c r="G50" s="134"/>
      <c r="AC50" s="98">
        <f t="shared" si="3"/>
        <v>46</v>
      </c>
      <c r="AD50" s="206" t="s">
        <v>310</v>
      </c>
      <c r="AE50" s="110" t="s">
        <v>459</v>
      </c>
    </row>
    <row r="51" spans="1:31">
      <c r="AC51" s="98">
        <f t="shared" si="3"/>
        <v>47</v>
      </c>
      <c r="AD51" s="206" t="s">
        <v>311</v>
      </c>
      <c r="AE51" s="110" t="s">
        <v>1197</v>
      </c>
    </row>
    <row r="52" spans="1:31">
      <c r="AC52" s="98">
        <f t="shared" si="3"/>
        <v>48</v>
      </c>
      <c r="AD52" s="206" t="s">
        <v>339</v>
      </c>
      <c r="AE52" s="110" t="s">
        <v>459</v>
      </c>
    </row>
    <row r="53" spans="1:31">
      <c r="AC53" s="98">
        <f t="shared" si="3"/>
        <v>49</v>
      </c>
      <c r="AD53" s="206" t="s">
        <v>312</v>
      </c>
      <c r="AE53" s="110" t="s">
        <v>1197</v>
      </c>
    </row>
    <row r="54" spans="1:31">
      <c r="AC54" s="98">
        <f t="shared" si="3"/>
        <v>50</v>
      </c>
      <c r="AD54" s="210" t="s">
        <v>687</v>
      </c>
      <c r="AE54" s="110" t="s">
        <v>1197</v>
      </c>
    </row>
    <row r="55" spans="1:31">
      <c r="AC55" s="98">
        <f t="shared" si="3"/>
        <v>51</v>
      </c>
      <c r="AD55" s="210" t="s">
        <v>688</v>
      </c>
      <c r="AE55" s="110" t="s">
        <v>1197</v>
      </c>
    </row>
    <row r="56" spans="1:31">
      <c r="AC56" s="98">
        <f t="shared" si="3"/>
        <v>52</v>
      </c>
      <c r="AD56" s="210" t="s">
        <v>341</v>
      </c>
      <c r="AE56" s="110" t="s">
        <v>1197</v>
      </c>
    </row>
    <row r="57" spans="1:31">
      <c r="AC57" s="98">
        <f t="shared" si="3"/>
        <v>53</v>
      </c>
      <c r="AD57" s="206" t="s">
        <v>317</v>
      </c>
      <c r="AE57" s="110" t="s">
        <v>1197</v>
      </c>
    </row>
    <row r="58" spans="1:31">
      <c r="AC58" s="98">
        <f t="shared" si="3"/>
        <v>54</v>
      </c>
      <c r="AD58" s="206" t="s">
        <v>318</v>
      </c>
      <c r="AE58" s="110" t="s">
        <v>1197</v>
      </c>
    </row>
    <row r="59" spans="1:31">
      <c r="AC59" s="98">
        <f t="shared" si="3"/>
        <v>55</v>
      </c>
      <c r="AD59" s="206" t="s">
        <v>319</v>
      </c>
      <c r="AE59" s="110" t="s">
        <v>1197</v>
      </c>
    </row>
    <row r="60" spans="1:31">
      <c r="AC60" s="98">
        <f t="shared" si="3"/>
        <v>56</v>
      </c>
      <c r="AD60" s="206" t="s">
        <v>320</v>
      </c>
      <c r="AE60" s="110" t="s">
        <v>1197</v>
      </c>
    </row>
    <row r="61" spans="1:31">
      <c r="AC61" s="98">
        <f t="shared" si="3"/>
        <v>57</v>
      </c>
      <c r="AD61" s="206" t="s">
        <v>321</v>
      </c>
      <c r="AE61" s="110" t="s">
        <v>1197</v>
      </c>
    </row>
    <row r="62" spans="1:31">
      <c r="AC62" s="98">
        <f t="shared" si="3"/>
        <v>58</v>
      </c>
      <c r="AD62" s="206" t="s">
        <v>322</v>
      </c>
      <c r="AE62" s="110" t="s">
        <v>1197</v>
      </c>
    </row>
    <row r="63" spans="1:31">
      <c r="B63" s="134"/>
      <c r="AC63" s="98">
        <f t="shared" si="3"/>
        <v>59</v>
      </c>
      <c r="AD63" s="206" t="s">
        <v>323</v>
      </c>
      <c r="AE63" s="110" t="s">
        <v>459</v>
      </c>
    </row>
    <row r="64" spans="1:31">
      <c r="A64" s="98">
        <v>1</v>
      </c>
      <c r="AC64" s="98">
        <f t="shared" si="3"/>
        <v>60</v>
      </c>
      <c r="AD64" s="206" t="s">
        <v>328</v>
      </c>
      <c r="AE64" s="110" t="s">
        <v>1197</v>
      </c>
    </row>
    <row r="65" spans="1:31">
      <c r="A65" s="98">
        <v>2</v>
      </c>
      <c r="AC65" s="98">
        <f t="shared" si="3"/>
        <v>61</v>
      </c>
      <c r="AD65" s="206" t="s">
        <v>329</v>
      </c>
      <c r="AE65" s="110" t="s">
        <v>459</v>
      </c>
    </row>
    <row r="66" spans="1:31">
      <c r="A66" s="98">
        <v>3</v>
      </c>
      <c r="AC66" s="98">
        <f t="shared" si="3"/>
        <v>62</v>
      </c>
      <c r="AD66" s="206" t="s">
        <v>330</v>
      </c>
      <c r="AE66" s="110" t="s">
        <v>1197</v>
      </c>
    </row>
    <row r="67" spans="1:31">
      <c r="A67" s="98">
        <v>4</v>
      </c>
      <c r="B67" s="134"/>
      <c r="AC67" s="98">
        <f t="shared" si="3"/>
        <v>63</v>
      </c>
      <c r="AD67" s="206" t="s">
        <v>331</v>
      </c>
      <c r="AE67" s="110" t="s">
        <v>459</v>
      </c>
    </row>
    <row r="68" spans="1:31">
      <c r="A68" s="98">
        <v>5</v>
      </c>
      <c r="E68" s="568"/>
      <c r="AC68" s="98">
        <f t="shared" si="3"/>
        <v>64</v>
      </c>
      <c r="AD68" s="206" t="s">
        <v>332</v>
      </c>
      <c r="AE68" s="110" t="s">
        <v>459</v>
      </c>
    </row>
    <row r="69" spans="1:31">
      <c r="A69" s="98">
        <v>6</v>
      </c>
      <c r="E69" s="568"/>
      <c r="AC69" s="98">
        <f t="shared" ref="AC69:AC77" si="6">AC68+1</f>
        <v>65</v>
      </c>
      <c r="AD69" s="206" t="s">
        <v>333</v>
      </c>
      <c r="AE69" s="110" t="s">
        <v>1197</v>
      </c>
    </row>
    <row r="70" spans="1:31">
      <c r="A70" s="98">
        <v>7</v>
      </c>
      <c r="E70" s="568"/>
      <c r="AC70" s="98">
        <f t="shared" si="6"/>
        <v>66</v>
      </c>
      <c r="AD70" s="206" t="s">
        <v>334</v>
      </c>
      <c r="AE70" s="110" t="s">
        <v>459</v>
      </c>
    </row>
    <row r="71" spans="1:31">
      <c r="A71" s="98">
        <v>8</v>
      </c>
      <c r="E71" s="568"/>
      <c r="AC71" s="98">
        <f t="shared" si="6"/>
        <v>67</v>
      </c>
      <c r="AD71" s="206" t="s">
        <v>618</v>
      </c>
      <c r="AE71" s="110" t="s">
        <v>1197</v>
      </c>
    </row>
    <row r="72" spans="1:31">
      <c r="A72" s="98">
        <v>9</v>
      </c>
      <c r="E72" s="568"/>
      <c r="AC72" s="98">
        <f t="shared" si="6"/>
        <v>68</v>
      </c>
      <c r="AD72" s="206" t="s">
        <v>620</v>
      </c>
      <c r="AE72" s="110" t="s">
        <v>1197</v>
      </c>
    </row>
    <row r="73" spans="1:31">
      <c r="A73" s="98">
        <v>10</v>
      </c>
      <c r="E73" s="568"/>
      <c r="AC73" s="98">
        <f t="shared" si="6"/>
        <v>69</v>
      </c>
      <c r="AD73" s="206" t="s">
        <v>360</v>
      </c>
      <c r="AE73" s="110" t="s">
        <v>1197</v>
      </c>
    </row>
    <row r="74" spans="1:31">
      <c r="A74" s="98">
        <v>11</v>
      </c>
      <c r="E74" s="568"/>
      <c r="AC74" s="98">
        <f t="shared" si="6"/>
        <v>70</v>
      </c>
      <c r="AD74" s="206" t="s">
        <v>335</v>
      </c>
      <c r="AE74" s="110" t="s">
        <v>1197</v>
      </c>
    </row>
    <row r="75" spans="1:31">
      <c r="A75" s="98">
        <v>12</v>
      </c>
      <c r="E75" s="568"/>
      <c r="AC75" s="98">
        <f t="shared" si="6"/>
        <v>71</v>
      </c>
      <c r="AD75" s="206" t="s">
        <v>336</v>
      </c>
      <c r="AE75" s="110" t="s">
        <v>1197</v>
      </c>
    </row>
    <row r="76" spans="1:31">
      <c r="E76" s="568"/>
      <c r="AC76" s="98">
        <f t="shared" si="6"/>
        <v>72</v>
      </c>
      <c r="AD76" s="206" t="s">
        <v>337</v>
      </c>
      <c r="AE76" s="110" t="s">
        <v>1197</v>
      </c>
    </row>
    <row r="77" spans="1:31">
      <c r="E77" s="568"/>
      <c r="AC77" s="98">
        <f t="shared" si="6"/>
        <v>73</v>
      </c>
      <c r="AD77" s="206" t="s">
        <v>793</v>
      </c>
      <c r="AE77" s="110" t="s">
        <v>793</v>
      </c>
    </row>
    <row r="78" spans="1:31">
      <c r="E78" s="568"/>
    </row>
    <row r="79" spans="1:31">
      <c r="E79" s="568"/>
    </row>
  </sheetData>
  <sortState ref="Y5:Y22">
    <sortCondition ref="Y5:Y22"/>
  </sortStat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0"/>
  <sheetViews>
    <sheetView workbookViewId="0"/>
  </sheetViews>
  <sheetFormatPr defaultRowHeight="12"/>
  <cols>
    <col min="1" max="1" width="14.5" style="98" customWidth="1"/>
    <col min="2" max="2" width="12.83203125" style="98" customWidth="1"/>
    <col min="3" max="3" width="18" style="98" customWidth="1"/>
    <col min="4" max="4" width="14.1640625" style="98" bestFit="1" customWidth="1"/>
    <col min="5" max="5" width="15.1640625" style="98" bestFit="1" customWidth="1"/>
    <col min="6" max="6" width="14.83203125" style="98" customWidth="1"/>
    <col min="7" max="7" width="14.1640625" style="98" bestFit="1" customWidth="1"/>
    <col min="8" max="8" width="14.1640625" style="98" customWidth="1"/>
    <col min="9" max="9" width="17.33203125" style="98" customWidth="1"/>
    <col min="10" max="10" width="16.5" style="98" customWidth="1"/>
    <col min="11" max="13" width="15.1640625" style="98" bestFit="1" customWidth="1"/>
    <col min="14" max="14" width="14.1640625" style="98" bestFit="1" customWidth="1"/>
    <col min="15" max="16" width="15.1640625" style="98" bestFit="1" customWidth="1"/>
    <col min="17" max="17" width="17.5" style="98" bestFit="1" customWidth="1"/>
    <col min="18" max="18" width="14.83203125" style="98" bestFit="1" customWidth="1"/>
    <col min="19" max="19" width="11.33203125" style="98" customWidth="1"/>
    <col min="20" max="16384" width="9.33203125" style="98"/>
  </cols>
  <sheetData>
    <row r="1" spans="1:19">
      <c r="H1" s="98" t="s">
        <v>1340</v>
      </c>
    </row>
    <row r="2" spans="1:19">
      <c r="A2" s="98" t="s">
        <v>1332</v>
      </c>
      <c r="H2" s="134" t="s">
        <v>1345</v>
      </c>
    </row>
    <row r="4" spans="1:19">
      <c r="A4" s="98" t="s">
        <v>1333</v>
      </c>
    </row>
    <row r="6" spans="1:19">
      <c r="A6" s="613"/>
      <c r="B6" s="614"/>
      <c r="C6" s="641">
        <v>-1</v>
      </c>
      <c r="D6" s="642">
        <f>C6-1</f>
        <v>-2</v>
      </c>
      <c r="E6" s="642">
        <f>D6-1</f>
        <v>-3</v>
      </c>
      <c r="F6" s="642">
        <f>E6-1</f>
        <v>-4</v>
      </c>
      <c r="G6" s="642">
        <f>F6-1</f>
        <v>-5</v>
      </c>
      <c r="H6" s="642"/>
      <c r="I6" s="642">
        <f>G6-1</f>
        <v>-6</v>
      </c>
      <c r="J6" s="642">
        <f>I6-1</f>
        <v>-7</v>
      </c>
      <c r="K6" s="648">
        <f>J6-1</f>
        <v>-8</v>
      </c>
    </row>
    <row r="7" spans="1:19" ht="36">
      <c r="A7" s="867" t="s">
        <v>1374</v>
      </c>
      <c r="B7" s="868"/>
      <c r="C7" s="636" t="s">
        <v>1375</v>
      </c>
      <c r="D7" s="615" t="s">
        <v>1376</v>
      </c>
      <c r="E7" s="615" t="s">
        <v>1377</v>
      </c>
      <c r="F7" s="616" t="s">
        <v>824</v>
      </c>
      <c r="G7" s="151" t="s">
        <v>1346</v>
      </c>
      <c r="H7" s="658" t="s">
        <v>1379</v>
      </c>
      <c r="I7" s="659" t="s">
        <v>1364</v>
      </c>
      <c r="J7" s="639" t="s">
        <v>1347</v>
      </c>
      <c r="K7" s="650" t="s">
        <v>1348</v>
      </c>
      <c r="N7" s="599"/>
      <c r="O7" s="599"/>
      <c r="P7" s="599"/>
    </row>
    <row r="8" spans="1:19" ht="15">
      <c r="A8" s="637"/>
      <c r="B8" s="638"/>
      <c r="C8" s="643" t="s">
        <v>1353</v>
      </c>
      <c r="D8" s="643" t="s">
        <v>1353</v>
      </c>
      <c r="E8" s="643" t="s">
        <v>1350</v>
      </c>
      <c r="F8" s="661" t="s">
        <v>1351</v>
      </c>
      <c r="G8" s="643" t="s">
        <v>1378</v>
      </c>
      <c r="H8" s="649"/>
      <c r="I8" s="661" t="s">
        <v>1349</v>
      </c>
      <c r="J8" s="669" t="s">
        <v>1354</v>
      </c>
      <c r="K8" s="670" t="s">
        <v>1355</v>
      </c>
      <c r="N8" s="599"/>
      <c r="O8" s="599"/>
      <c r="P8" s="599"/>
    </row>
    <row r="9" spans="1:19" ht="12.75">
      <c r="A9" s="619"/>
      <c r="B9" s="151" t="s">
        <v>1341</v>
      </c>
      <c r="C9" s="623">
        <v>2621757.4</v>
      </c>
      <c r="D9" s="608">
        <v>484568.45</v>
      </c>
      <c r="E9" s="609">
        <f>C9+D9</f>
        <v>3106325.85</v>
      </c>
      <c r="F9" s="626">
        <f>E9+E11</f>
        <v>3144864.35</v>
      </c>
      <c r="G9" s="151">
        <f>E11/F9</f>
        <v>1.2254423628796581E-2</v>
      </c>
      <c r="H9" s="619"/>
      <c r="I9" s="662">
        <f>SUMIF(L_12MonResults_RateClass,MiscData!$Y$17,L_12MonResults_Demand_Measured_Inter)</f>
        <v>2753649</v>
      </c>
      <c r="J9" s="608">
        <f>I9*(1-G9)</f>
        <v>2719904.618628988</v>
      </c>
      <c r="K9" s="626">
        <f>I9-J9</f>
        <v>33744.381371011958</v>
      </c>
      <c r="N9" s="611"/>
      <c r="O9" s="13"/>
      <c r="P9" s="334"/>
      <c r="Q9" s="334"/>
      <c r="S9" s="123"/>
    </row>
    <row r="10" spans="1:19" ht="12.75">
      <c r="A10" s="619"/>
      <c r="B10" s="151" t="s">
        <v>1342</v>
      </c>
      <c r="C10" s="623">
        <v>2041667.6</v>
      </c>
      <c r="D10" s="608">
        <v>351970</v>
      </c>
      <c r="E10" s="609">
        <f t="shared" ref="E10:E12" si="0">C10+D10</f>
        <v>2393637.6</v>
      </c>
      <c r="F10" s="626">
        <f>E10+E12</f>
        <v>2424490.5</v>
      </c>
      <c r="G10" s="151">
        <f>E12/F10</f>
        <v>1.2725519031730585E-2</v>
      </c>
      <c r="H10" s="620"/>
      <c r="I10" s="663">
        <f>SUMIF(L_12MonResults_RateClass,MiscData!$Y$17,L_12MonResults_Demand_Measured_Peak)</f>
        <v>2288587</v>
      </c>
      <c r="J10" s="608">
        <f>I10*(1-G10)</f>
        <v>2259463.5425757286</v>
      </c>
      <c r="K10" s="626">
        <f>I10-J10</f>
        <v>29123.457424271386</v>
      </c>
      <c r="N10" s="611"/>
      <c r="O10" s="13"/>
      <c r="P10" s="334"/>
      <c r="Q10" s="334"/>
      <c r="S10" s="123"/>
    </row>
    <row r="11" spans="1:19">
      <c r="A11" s="619"/>
      <c r="B11" s="151" t="s">
        <v>1343</v>
      </c>
      <c r="C11" s="608">
        <v>4317.8999999999996</v>
      </c>
      <c r="D11" s="608">
        <v>34220.6</v>
      </c>
      <c r="E11" s="609">
        <f t="shared" si="0"/>
        <v>38538.5</v>
      </c>
      <c r="F11" s="618"/>
      <c r="G11" s="151"/>
      <c r="H11" s="151"/>
      <c r="I11" s="151"/>
      <c r="J11" s="151"/>
      <c r="K11" s="618"/>
      <c r="N11" s="13"/>
      <c r="O11" s="13"/>
      <c r="P11" s="334"/>
      <c r="Q11" s="25"/>
      <c r="R11" s="25"/>
      <c r="S11" s="123"/>
    </row>
    <row r="12" spans="1:19">
      <c r="A12" s="620"/>
      <c r="B12" s="621" t="s">
        <v>1344</v>
      </c>
      <c r="C12" s="655">
        <v>4816</v>
      </c>
      <c r="D12" s="655">
        <v>26036.9</v>
      </c>
      <c r="E12" s="656">
        <f t="shared" si="0"/>
        <v>30852.9</v>
      </c>
      <c r="F12" s="622"/>
      <c r="G12" s="151"/>
      <c r="H12" s="151"/>
      <c r="I12" s="151"/>
      <c r="J12" s="151"/>
      <c r="K12" s="618"/>
      <c r="N12" s="13"/>
      <c r="O12" s="13"/>
      <c r="P12" s="334"/>
      <c r="Q12" s="25"/>
      <c r="R12" s="25"/>
      <c r="S12" s="123"/>
    </row>
    <row r="13" spans="1:19">
      <c r="A13" s="619"/>
      <c r="B13" s="151"/>
      <c r="C13" s="151"/>
      <c r="D13" s="151"/>
      <c r="E13" s="151"/>
      <c r="F13" s="151"/>
      <c r="G13" s="151"/>
      <c r="H13" s="151"/>
      <c r="I13" s="151"/>
      <c r="J13" s="151"/>
      <c r="K13" s="618"/>
      <c r="Q13" s="25"/>
      <c r="R13" s="25"/>
      <c r="S13" s="123"/>
    </row>
    <row r="14" spans="1:19">
      <c r="A14" s="631" t="s">
        <v>1361</v>
      </c>
      <c r="B14" s="151"/>
      <c r="C14" s="608"/>
      <c r="D14" s="608"/>
      <c r="E14" s="609"/>
      <c r="F14" s="151"/>
      <c r="G14" s="151"/>
      <c r="H14" s="349"/>
      <c r="I14" s="349"/>
      <c r="J14" s="349"/>
      <c r="K14" s="627"/>
      <c r="L14" s="25"/>
      <c r="Q14" s="25"/>
      <c r="R14" s="25"/>
    </row>
    <row r="15" spans="1:19" ht="36">
      <c r="A15" s="652"/>
      <c r="B15" s="558" t="s">
        <v>1356</v>
      </c>
      <c r="C15" s="559" t="s">
        <v>113</v>
      </c>
      <c r="D15" s="628" t="s">
        <v>1362</v>
      </c>
      <c r="E15" s="559" t="s">
        <v>1359</v>
      </c>
      <c r="F15" s="559" t="s">
        <v>1360</v>
      </c>
      <c r="G15" s="151"/>
      <c r="H15" s="349"/>
      <c r="I15" s="349"/>
      <c r="J15" s="349"/>
      <c r="K15" s="627"/>
      <c r="N15" s="25"/>
      <c r="O15" s="25"/>
      <c r="P15" s="25"/>
      <c r="Q15" s="25"/>
      <c r="R15" s="25"/>
      <c r="S15" s="123"/>
    </row>
    <row r="16" spans="1:19">
      <c r="A16" s="619"/>
      <c r="B16" s="151"/>
      <c r="C16" s="643" t="s">
        <v>1357</v>
      </c>
      <c r="D16" s="643" t="s">
        <v>1358</v>
      </c>
      <c r="E16" s="151"/>
      <c r="F16" s="151"/>
      <c r="G16" s="151"/>
      <c r="H16" s="151"/>
      <c r="I16" s="151"/>
      <c r="J16" s="151"/>
      <c r="K16" s="618"/>
      <c r="N16" s="25"/>
      <c r="O16" s="25"/>
      <c r="P16" s="25"/>
      <c r="Q16" s="25"/>
      <c r="R16" s="25"/>
      <c r="S16" s="123"/>
    </row>
    <row r="17" spans="1:20">
      <c r="A17" s="619" t="s">
        <v>1329</v>
      </c>
      <c r="B17" s="349">
        <f>Rates!$R$260</f>
        <v>14.010000000000002</v>
      </c>
      <c r="C17" s="349">
        <f>B17*J9</f>
        <v>38105863.706992127</v>
      </c>
      <c r="D17" s="349">
        <f>B17*K9</f>
        <v>472758.78300787759</v>
      </c>
      <c r="E17" s="149">
        <f>C17+D17</f>
        <v>38578622.490000002</v>
      </c>
      <c r="F17" s="349"/>
      <c r="G17" s="151"/>
      <c r="H17" s="151"/>
      <c r="I17" s="151"/>
      <c r="J17" s="151"/>
      <c r="K17" s="618"/>
      <c r="N17" s="25"/>
      <c r="O17" s="25"/>
      <c r="P17" s="25"/>
      <c r="Q17" s="25"/>
      <c r="R17" s="25"/>
      <c r="S17" s="123"/>
    </row>
    <row r="18" spans="1:20" ht="14.25">
      <c r="A18" s="619" t="s">
        <v>1331</v>
      </c>
      <c r="B18" s="349">
        <f>Rates!$S$260</f>
        <v>16.399999999999999</v>
      </c>
      <c r="C18" s="349">
        <f>B18*J10</f>
        <v>37055202.098241948</v>
      </c>
      <c r="D18" s="349">
        <f>B18*K10</f>
        <v>477624.70175805071</v>
      </c>
      <c r="E18" s="646">
        <f>C18+D18</f>
        <v>37532826.799999997</v>
      </c>
      <c r="F18" s="151"/>
      <c r="G18" s="151"/>
      <c r="H18" s="151"/>
      <c r="I18" s="151"/>
      <c r="J18" s="151"/>
      <c r="K18" s="618"/>
      <c r="N18" s="25"/>
      <c r="O18" s="25"/>
      <c r="P18" s="25"/>
      <c r="Q18" s="25"/>
      <c r="R18" s="25"/>
      <c r="S18" s="123"/>
    </row>
    <row r="19" spans="1:20">
      <c r="A19" s="620"/>
      <c r="B19" s="624"/>
      <c r="C19" s="624"/>
      <c r="D19" s="624"/>
      <c r="E19" s="625">
        <f>SUM(E17:E18)</f>
        <v>76111449.289999992</v>
      </c>
      <c r="F19" s="624">
        <f>SUMIF(L_SBR_Rate_Category,MiscData!$AA$13,L_SBR_Demand_Revenue)+SUMIF(L_SBR_Rate_Category,MiscData!$AA$27,L_SBR_Demand_Revenue)</f>
        <v>76111452</v>
      </c>
      <c r="G19" s="621"/>
      <c r="H19" s="621"/>
      <c r="I19" s="621"/>
      <c r="J19" s="621"/>
      <c r="K19" s="622"/>
      <c r="N19" s="25"/>
      <c r="O19" s="25"/>
      <c r="P19" s="25"/>
      <c r="Q19" s="25"/>
      <c r="R19" s="25"/>
      <c r="S19" s="123"/>
    </row>
    <row r="20" spans="1:20">
      <c r="A20" s="151"/>
      <c r="B20" s="151"/>
      <c r="C20" s="349"/>
      <c r="D20" s="349"/>
      <c r="E20" s="349"/>
      <c r="F20" s="149"/>
      <c r="G20" s="151"/>
      <c r="H20" s="151"/>
      <c r="I20" s="151"/>
      <c r="J20" s="151"/>
      <c r="K20" s="151"/>
      <c r="N20" s="25"/>
      <c r="O20" s="25"/>
      <c r="P20" s="25"/>
      <c r="Q20" s="25"/>
      <c r="R20" s="25"/>
      <c r="S20" s="123"/>
    </row>
    <row r="21" spans="1:20">
      <c r="A21" s="151"/>
      <c r="B21" s="151"/>
      <c r="C21" s="349"/>
      <c r="D21" s="349"/>
      <c r="E21" s="349"/>
      <c r="F21" s="149"/>
      <c r="G21" s="151"/>
      <c r="H21" s="151"/>
      <c r="I21" s="151"/>
      <c r="J21" s="151"/>
      <c r="K21" s="151"/>
      <c r="N21" s="25"/>
      <c r="O21" s="25"/>
      <c r="P21" s="25"/>
      <c r="Q21" s="25"/>
      <c r="R21" s="25"/>
      <c r="S21" s="123"/>
    </row>
    <row r="22" spans="1:20">
      <c r="A22" s="151"/>
      <c r="B22" s="151"/>
      <c r="C22" s="349"/>
      <c r="D22" s="349"/>
      <c r="E22" s="349"/>
      <c r="F22" s="149"/>
      <c r="G22" s="151"/>
      <c r="H22" s="151"/>
      <c r="I22" s="151"/>
      <c r="J22" s="151"/>
      <c r="K22" s="151"/>
      <c r="N22" s="25"/>
      <c r="O22" s="25"/>
      <c r="P22" s="25"/>
      <c r="Q22" s="25"/>
      <c r="R22" s="25"/>
      <c r="S22" s="123"/>
    </row>
    <row r="23" spans="1:20">
      <c r="A23" s="667"/>
      <c r="B23" s="668"/>
      <c r="C23" s="641">
        <v>-1</v>
      </c>
      <c r="D23" s="642">
        <f>C23-1</f>
        <v>-2</v>
      </c>
      <c r="E23" s="642">
        <f>D23-1</f>
        <v>-3</v>
      </c>
      <c r="F23" s="642">
        <f>E23-1</f>
        <v>-4</v>
      </c>
      <c r="G23" s="642">
        <f>F23-1</f>
        <v>-5</v>
      </c>
      <c r="H23" s="642"/>
      <c r="I23" s="642">
        <f>G23-1</f>
        <v>-6</v>
      </c>
      <c r="J23" s="642">
        <f>I23-1</f>
        <v>-7</v>
      </c>
      <c r="K23" s="648">
        <f>J23-1</f>
        <v>-8</v>
      </c>
      <c r="M23" s="25"/>
      <c r="N23" s="25"/>
      <c r="O23" s="123"/>
      <c r="P23" s="25"/>
      <c r="Q23" s="25"/>
      <c r="R23" s="610"/>
      <c r="S23" s="123"/>
    </row>
    <row r="24" spans="1:20" ht="48.75" customHeight="1">
      <c r="A24" s="867" t="s">
        <v>1373</v>
      </c>
      <c r="B24" s="868"/>
      <c r="C24" s="615" t="s">
        <v>1368</v>
      </c>
      <c r="D24" s="615" t="s">
        <v>1369</v>
      </c>
      <c r="E24" s="615" t="s">
        <v>1370</v>
      </c>
      <c r="F24" s="616" t="s">
        <v>824</v>
      </c>
      <c r="G24" s="645" t="s">
        <v>1346</v>
      </c>
      <c r="H24" s="665" t="s">
        <v>1371</v>
      </c>
      <c r="I24" s="659" t="s">
        <v>1364</v>
      </c>
      <c r="J24" s="639" t="s">
        <v>1347</v>
      </c>
      <c r="K24" s="650" t="s">
        <v>1348</v>
      </c>
      <c r="L24" s="619"/>
      <c r="O24" s="599"/>
      <c r="P24" s="599"/>
      <c r="Q24" s="599"/>
    </row>
    <row r="25" spans="1:20">
      <c r="A25" s="664"/>
      <c r="B25" s="657"/>
      <c r="C25" s="643" t="s">
        <v>1353</v>
      </c>
      <c r="D25" s="643" t="s">
        <v>1353</v>
      </c>
      <c r="E25" s="643" t="s">
        <v>1350</v>
      </c>
      <c r="F25" s="661" t="s">
        <v>1351</v>
      </c>
      <c r="G25" s="643" t="s">
        <v>1378</v>
      </c>
      <c r="H25" s="649"/>
      <c r="I25" s="661" t="s">
        <v>1349</v>
      </c>
      <c r="J25" s="669" t="s">
        <v>1354</v>
      </c>
      <c r="K25" s="669" t="s">
        <v>1355</v>
      </c>
      <c r="L25" s="619"/>
      <c r="O25" s="599"/>
      <c r="P25" s="599"/>
      <c r="Q25" s="599"/>
    </row>
    <row r="26" spans="1:20" ht="12.75">
      <c r="A26" s="617"/>
      <c r="B26" s="151" t="s">
        <v>1341</v>
      </c>
      <c r="C26" s="623">
        <v>200805.1</v>
      </c>
      <c r="D26" s="608">
        <v>32178</v>
      </c>
      <c r="E26" s="609">
        <f>C26+D26</f>
        <v>232983.1</v>
      </c>
      <c r="F26" s="626">
        <f>E26+E28</f>
        <v>240991</v>
      </c>
      <c r="G26" s="151">
        <f>E28/F26</f>
        <v>3.3229041748447041E-2</v>
      </c>
      <c r="H26" s="619"/>
      <c r="I26" s="662">
        <f>SUMIF(L_12MonResults_RateClass,MiscData!$Y$16,L_12MonResults_Demand_Measured_Inter)</f>
        <v>222744</v>
      </c>
      <c r="J26" s="608">
        <f>I26*(1-G26)</f>
        <v>215342.4303247839</v>
      </c>
      <c r="K26" s="609">
        <f>I26-J26</f>
        <v>7401.569675216102</v>
      </c>
      <c r="L26" s="619"/>
      <c r="O26" s="611"/>
      <c r="P26" s="13"/>
      <c r="Q26" s="334"/>
      <c r="R26" s="334"/>
      <c r="T26" s="123"/>
    </row>
    <row r="27" spans="1:20" ht="12.75">
      <c r="A27" s="619"/>
      <c r="B27" s="151" t="s">
        <v>1342</v>
      </c>
      <c r="C27" s="623">
        <v>144311.25</v>
      </c>
      <c r="D27" s="608">
        <v>46671.25</v>
      </c>
      <c r="E27" s="609">
        <f t="shared" ref="E27:E29" si="1">C27+D27</f>
        <v>190982.5</v>
      </c>
      <c r="F27" s="626">
        <f>E27+E29</f>
        <v>194694</v>
      </c>
      <c r="G27" s="151">
        <f>E29/F27</f>
        <v>1.9063247968607144E-2</v>
      </c>
      <c r="H27" s="620"/>
      <c r="I27" s="663">
        <f>SUMIF(L_12MonResults_RateClass,MiscData!$Y$16,L_12MonResults_Demand_Measured_Peak)</f>
        <v>188585</v>
      </c>
      <c r="J27" s="608">
        <f>I27*(1-G27)</f>
        <v>184989.95738184021</v>
      </c>
      <c r="K27" s="609">
        <f>I27-J27</f>
        <v>3595.0426181597868</v>
      </c>
      <c r="L27" s="619"/>
      <c r="O27" s="611"/>
      <c r="P27" s="13"/>
      <c r="Q27" s="334"/>
      <c r="R27" s="334"/>
      <c r="T27" s="123"/>
    </row>
    <row r="28" spans="1:20">
      <c r="A28" s="619"/>
      <c r="B28" s="151" t="s">
        <v>1343</v>
      </c>
      <c r="C28" s="608">
        <v>3032.8</v>
      </c>
      <c r="D28" s="608">
        <v>4975.1000000000004</v>
      </c>
      <c r="E28" s="609">
        <f t="shared" si="1"/>
        <v>8007.9000000000005</v>
      </c>
      <c r="F28" s="618"/>
      <c r="G28" s="151"/>
      <c r="H28" s="151"/>
      <c r="I28" s="151"/>
      <c r="J28" s="151"/>
      <c r="K28" s="151"/>
      <c r="L28" s="619"/>
      <c r="O28" s="13"/>
      <c r="P28" s="13"/>
      <c r="Q28" s="334"/>
      <c r="R28" s="25"/>
      <c r="S28" s="25"/>
      <c r="T28" s="123"/>
    </row>
    <row r="29" spans="1:20">
      <c r="A29" s="620"/>
      <c r="B29" s="621" t="s">
        <v>1344</v>
      </c>
      <c r="C29" s="655">
        <v>-562.9</v>
      </c>
      <c r="D29" s="655">
        <v>4274.3999999999996</v>
      </c>
      <c r="E29" s="656">
        <f t="shared" si="1"/>
        <v>3711.4999999999995</v>
      </c>
      <c r="F29" s="622"/>
      <c r="G29" s="151"/>
      <c r="H29" s="151"/>
      <c r="I29" s="151"/>
      <c r="J29" s="151"/>
      <c r="K29" s="151"/>
      <c r="L29" s="619"/>
      <c r="O29" s="13"/>
      <c r="P29" s="13"/>
      <c r="Q29" s="334"/>
      <c r="R29" s="25"/>
      <c r="S29" s="25"/>
      <c r="T29" s="123"/>
    </row>
    <row r="30" spans="1:20">
      <c r="A30" s="619"/>
      <c r="B30" s="151"/>
      <c r="C30" s="151"/>
      <c r="D30" s="151"/>
      <c r="E30" s="151"/>
      <c r="F30" s="151"/>
      <c r="G30" s="151"/>
      <c r="H30" s="151"/>
      <c r="I30" s="151"/>
      <c r="J30" s="151"/>
      <c r="K30" s="151"/>
      <c r="L30" s="619"/>
      <c r="R30" s="25"/>
      <c r="S30" s="25"/>
      <c r="T30" s="123"/>
    </row>
    <row r="31" spans="1:20">
      <c r="A31" s="631" t="s">
        <v>1361</v>
      </c>
      <c r="B31" s="151"/>
      <c r="C31" s="608"/>
      <c r="D31" s="608"/>
      <c r="E31" s="609"/>
      <c r="F31" s="151"/>
      <c r="G31" s="151"/>
      <c r="H31" s="151"/>
      <c r="I31" s="151"/>
      <c r="J31" s="151"/>
      <c r="K31" s="151"/>
      <c r="L31" s="619"/>
      <c r="R31" s="25"/>
      <c r="S31" s="25"/>
      <c r="T31" s="123"/>
    </row>
    <row r="32" spans="1:20" ht="36">
      <c r="A32" s="652"/>
      <c r="B32" s="558" t="s">
        <v>1356</v>
      </c>
      <c r="C32" s="559" t="s">
        <v>113</v>
      </c>
      <c r="D32" s="628" t="s">
        <v>1362</v>
      </c>
      <c r="E32" s="559" t="s">
        <v>1359</v>
      </c>
      <c r="F32" s="559" t="s">
        <v>1360</v>
      </c>
      <c r="G32" s="151"/>
      <c r="H32" s="151"/>
      <c r="I32" s="349"/>
      <c r="J32" s="349"/>
      <c r="K32" s="349"/>
      <c r="L32" s="666"/>
      <c r="M32" s="25"/>
      <c r="R32" s="25"/>
      <c r="S32" s="25"/>
    </row>
    <row r="33" spans="1:20">
      <c r="A33" s="619"/>
      <c r="B33" s="151"/>
      <c r="C33" s="643" t="s">
        <v>1357</v>
      </c>
      <c r="D33" s="643" t="s">
        <v>1358</v>
      </c>
      <c r="E33" s="151"/>
      <c r="F33" s="151"/>
      <c r="G33" s="151"/>
      <c r="H33" s="151"/>
      <c r="I33" s="349"/>
      <c r="J33" s="349"/>
      <c r="K33" s="349"/>
      <c r="L33" s="666"/>
      <c r="O33" s="25"/>
      <c r="P33" s="25"/>
      <c r="Q33" s="25"/>
      <c r="R33" s="25"/>
      <c r="S33" s="25"/>
      <c r="T33" s="123"/>
    </row>
    <row r="34" spans="1:20">
      <c r="A34" s="619" t="s">
        <v>1329</v>
      </c>
      <c r="B34" s="349">
        <f>Rates!$R$255</f>
        <v>11.660000000000002</v>
      </c>
      <c r="C34" s="349">
        <f>B34*J26</f>
        <v>2510892.7375869807</v>
      </c>
      <c r="D34" s="349">
        <f>B34*K26</f>
        <v>86302.302413019759</v>
      </c>
      <c r="E34" s="149">
        <f>C34+D34</f>
        <v>2597195.0400000005</v>
      </c>
      <c r="F34" s="349"/>
      <c r="G34" s="151"/>
      <c r="H34" s="151"/>
      <c r="I34" s="151"/>
      <c r="J34" s="151"/>
      <c r="K34" s="151"/>
      <c r="L34" s="619"/>
      <c r="O34" s="25"/>
      <c r="P34" s="25"/>
      <c r="Q34" s="25"/>
      <c r="R34" s="25"/>
      <c r="S34" s="25"/>
      <c r="T34" s="123"/>
    </row>
    <row r="35" spans="1:20" ht="14.25">
      <c r="A35" s="619" t="s">
        <v>1331</v>
      </c>
      <c r="B35" s="349">
        <f>Rates!$S$255</f>
        <v>13.950000000000001</v>
      </c>
      <c r="C35" s="349">
        <f>B35*J27</f>
        <v>2580609.9054766712</v>
      </c>
      <c r="D35" s="349">
        <f>B35*K27</f>
        <v>50150.844523329033</v>
      </c>
      <c r="E35" s="646">
        <f t="shared" ref="E35" si="2">C35+D35</f>
        <v>2630760.75</v>
      </c>
      <c r="F35" s="151"/>
      <c r="G35" s="151"/>
      <c r="H35" s="151"/>
      <c r="I35" s="349"/>
      <c r="J35" s="151"/>
      <c r="K35" s="151"/>
      <c r="L35" s="619"/>
      <c r="N35" s="25"/>
      <c r="O35" s="25"/>
      <c r="P35" s="25"/>
      <c r="Q35" s="25"/>
      <c r="R35" s="25"/>
      <c r="S35" s="123"/>
    </row>
    <row r="36" spans="1:20">
      <c r="A36" s="620"/>
      <c r="B36" s="624"/>
      <c r="C36" s="624"/>
      <c r="D36" s="624"/>
      <c r="E36" s="625">
        <f>SUM(E34:E35)</f>
        <v>5227955.790000001</v>
      </c>
      <c r="F36" s="624">
        <f>SUMIF(L_SBR_Rate_Category,MiscData!$AA$14,L_SBR_Demand_Revenue)+SUMIF(L_SBR_Rate_Category,MiscData!$AA$28,L_SBR_Demand_Revenue)</f>
        <v>5227922</v>
      </c>
      <c r="G36" s="621"/>
      <c r="H36" s="621"/>
      <c r="I36" s="624"/>
      <c r="J36" s="621"/>
      <c r="K36" s="621"/>
      <c r="L36" s="619"/>
      <c r="M36" s="25"/>
      <c r="N36" s="25"/>
      <c r="O36" s="123"/>
      <c r="P36" s="25"/>
      <c r="Q36" s="25"/>
      <c r="R36" s="610"/>
      <c r="S36" s="123"/>
    </row>
    <row r="37" spans="1:20">
      <c r="A37" s="619"/>
      <c r="B37" s="349"/>
      <c r="C37" s="349"/>
      <c r="D37" s="349"/>
      <c r="E37" s="149"/>
      <c r="F37" s="349"/>
      <c r="I37" s="25"/>
      <c r="M37" s="25"/>
      <c r="N37" s="25"/>
      <c r="O37" s="123"/>
      <c r="P37" s="25"/>
      <c r="Q37" s="25"/>
      <c r="R37" s="610"/>
      <c r="S37" s="123"/>
    </row>
    <row r="38" spans="1:20">
      <c r="A38" s="619"/>
      <c r="B38" s="349"/>
      <c r="C38" s="349"/>
      <c r="D38" s="349"/>
      <c r="E38" s="149"/>
      <c r="F38" s="349"/>
      <c r="I38" s="25"/>
      <c r="M38" s="25"/>
      <c r="N38" s="25"/>
      <c r="O38" s="123"/>
      <c r="P38" s="25"/>
      <c r="Q38" s="25"/>
      <c r="R38" s="610"/>
      <c r="S38" s="123"/>
    </row>
    <row r="39" spans="1:20">
      <c r="A39" s="613"/>
      <c r="B39" s="614"/>
      <c r="C39" s="641">
        <v>-1</v>
      </c>
      <c r="D39" s="642">
        <f>C39-1</f>
        <v>-2</v>
      </c>
      <c r="E39" s="642">
        <f>D39-1</f>
        <v>-3</v>
      </c>
      <c r="F39" s="642">
        <f>E39-1</f>
        <v>-4</v>
      </c>
      <c r="G39" s="642">
        <f>F39-1</f>
        <v>-5</v>
      </c>
      <c r="H39" s="642"/>
      <c r="I39" s="642">
        <f>G39-1</f>
        <v>-6</v>
      </c>
      <c r="J39" s="642">
        <f>I39-1</f>
        <v>-7</v>
      </c>
      <c r="K39" s="648">
        <f>J39-1</f>
        <v>-8</v>
      </c>
      <c r="L39" s="653"/>
      <c r="M39" s="654"/>
      <c r="N39" s="25"/>
      <c r="O39" s="25"/>
      <c r="P39" s="123"/>
      <c r="Q39" s="25"/>
      <c r="R39" s="25"/>
      <c r="S39" s="610"/>
      <c r="T39" s="123"/>
    </row>
    <row r="40" spans="1:20" ht="36">
      <c r="A40" s="867" t="s">
        <v>1372</v>
      </c>
      <c r="B40" s="868"/>
      <c r="C40" s="615" t="s">
        <v>1365</v>
      </c>
      <c r="D40" s="615" t="s">
        <v>1366</v>
      </c>
      <c r="E40" s="615" t="s">
        <v>1367</v>
      </c>
      <c r="F40" s="616" t="s">
        <v>824</v>
      </c>
      <c r="G40" s="151" t="s">
        <v>1346</v>
      </c>
      <c r="H40" s="658" t="s">
        <v>1363</v>
      </c>
      <c r="I40" s="659" t="s">
        <v>1364</v>
      </c>
      <c r="J40" s="640" t="s">
        <v>1347</v>
      </c>
      <c r="K40" s="650" t="s">
        <v>1348</v>
      </c>
      <c r="L40" s="619"/>
      <c r="M40" s="151"/>
      <c r="N40" s="25"/>
      <c r="O40" s="25"/>
      <c r="Q40" s="25"/>
      <c r="R40" s="25"/>
      <c r="S40" s="25"/>
    </row>
    <row r="41" spans="1:20" ht="15">
      <c r="A41" s="637"/>
      <c r="B41" s="151"/>
      <c r="C41" s="643" t="s">
        <v>1353</v>
      </c>
      <c r="D41" s="643" t="s">
        <v>1353</v>
      </c>
      <c r="E41" s="635" t="s">
        <v>1350</v>
      </c>
      <c r="F41" s="644" t="s">
        <v>1351</v>
      </c>
      <c r="G41" s="635" t="s">
        <v>1352</v>
      </c>
      <c r="H41" s="660"/>
      <c r="I41" s="661" t="s">
        <v>1349</v>
      </c>
      <c r="J41" s="628" t="s">
        <v>1354</v>
      </c>
      <c r="K41" s="651" t="s">
        <v>1355</v>
      </c>
      <c r="L41" s="619"/>
      <c r="M41" s="151"/>
      <c r="N41" s="25"/>
      <c r="O41" s="25"/>
      <c r="Q41" s="25"/>
      <c r="R41" s="25"/>
      <c r="S41" s="25"/>
    </row>
    <row r="42" spans="1:20" ht="12.75">
      <c r="A42" s="619"/>
      <c r="B42" s="151" t="s">
        <v>1334</v>
      </c>
      <c r="C42" s="608">
        <v>1461957.8</v>
      </c>
      <c r="D42" s="608">
        <v>557129.625</v>
      </c>
      <c r="E42" s="609">
        <f t="shared" ref="E42:E47" si="3">C42+D42</f>
        <v>2019087.425</v>
      </c>
      <c r="F42" s="626">
        <f>E42+E45</f>
        <v>2064549.2250000001</v>
      </c>
      <c r="G42" s="151">
        <f>E45/F42</f>
        <v>2.2020206372168241E-2</v>
      </c>
      <c r="H42" s="619"/>
      <c r="I42" s="662">
        <f>SUMIF(L_12MonResults_RateClass,MiscData!$Y$21,L_12MonResults_Demand_Measured_Base)</f>
        <v>2364364</v>
      </c>
      <c r="J42" s="608">
        <f>I42*(1-G42)</f>
        <v>2312300.2167810746</v>
      </c>
      <c r="K42" s="626">
        <f>I42-J42</f>
        <v>52063.783218925353</v>
      </c>
      <c r="L42" s="619"/>
      <c r="M42" s="151"/>
      <c r="N42" s="25"/>
      <c r="O42" s="25"/>
      <c r="P42" s="123"/>
      <c r="Q42" s="25"/>
      <c r="R42" s="25"/>
      <c r="S42" s="610"/>
      <c r="T42" s="123"/>
    </row>
    <row r="43" spans="1:20" ht="12.75">
      <c r="A43" s="619"/>
      <c r="B43" s="151" t="s">
        <v>1335</v>
      </c>
      <c r="C43" s="608">
        <v>1375212.25</v>
      </c>
      <c r="D43" s="608">
        <v>520628.8</v>
      </c>
      <c r="E43" s="609">
        <f t="shared" si="3"/>
        <v>1895841.05</v>
      </c>
      <c r="F43" s="626">
        <f t="shared" ref="F43:F44" si="4">E43+E46</f>
        <v>1950139.55</v>
      </c>
      <c r="G43" s="151">
        <f>E46/F43</f>
        <v>2.7843392028021788E-2</v>
      </c>
      <c r="H43" s="619"/>
      <c r="I43" s="662">
        <f>SUMIF(L_12MonResults_RateClass,MiscData!$Y$21,L_12MonResults_Demand_Measured_Inter)</f>
        <v>2229605</v>
      </c>
      <c r="J43" s="608">
        <f>I43*(1-G43)</f>
        <v>2167525.2339173625</v>
      </c>
      <c r="K43" s="626">
        <f t="shared" ref="K43:K44" si="5">I43-J43</f>
        <v>62079.766082637478</v>
      </c>
      <c r="L43" s="619"/>
      <c r="M43" s="151"/>
      <c r="N43" s="25"/>
      <c r="O43" s="25"/>
      <c r="P43" s="123"/>
      <c r="Q43" s="25"/>
      <c r="R43" s="25"/>
      <c r="S43" s="610"/>
      <c r="T43" s="123"/>
    </row>
    <row r="44" spans="1:20" ht="12.75">
      <c r="A44" s="619"/>
      <c r="B44" s="151" t="s">
        <v>1336</v>
      </c>
      <c r="C44" s="608">
        <v>1349546</v>
      </c>
      <c r="D44" s="608">
        <v>507897.3</v>
      </c>
      <c r="E44" s="609">
        <f t="shared" si="3"/>
        <v>1857443.3</v>
      </c>
      <c r="F44" s="626">
        <f t="shared" si="4"/>
        <v>1910126.7</v>
      </c>
      <c r="G44" s="151">
        <f>E47/F44</f>
        <v>2.7581102342582823E-2</v>
      </c>
      <c r="H44" s="620"/>
      <c r="I44" s="663">
        <f>SUMIF(L_12MonResults_RateClass,MiscData!$Y$21,L_12MonResults_Demand_Measured_Peak)</f>
        <v>2182615</v>
      </c>
      <c r="J44" s="608">
        <f>I44*(1-G44)</f>
        <v>2122416.0723105436</v>
      </c>
      <c r="K44" s="626">
        <f t="shared" si="5"/>
        <v>60198.927689456381</v>
      </c>
      <c r="L44" s="619"/>
      <c r="M44" s="151"/>
      <c r="N44" s="25"/>
      <c r="O44" s="25"/>
      <c r="Q44" s="25"/>
      <c r="R44" s="25"/>
      <c r="S44" s="25"/>
    </row>
    <row r="45" spans="1:20">
      <c r="A45" s="619"/>
      <c r="B45" s="151" t="s">
        <v>1337</v>
      </c>
      <c r="C45" s="608">
        <v>17163.8</v>
      </c>
      <c r="D45" s="608">
        <v>28298</v>
      </c>
      <c r="E45" s="609">
        <f t="shared" si="3"/>
        <v>45461.8</v>
      </c>
      <c r="F45" s="618"/>
      <c r="G45" s="608"/>
      <c r="H45" s="608"/>
      <c r="I45" s="151"/>
      <c r="J45" s="151"/>
      <c r="K45" s="618"/>
      <c r="L45" s="619"/>
      <c r="M45" s="151"/>
      <c r="N45" s="25"/>
      <c r="O45" s="25"/>
      <c r="P45" s="123"/>
      <c r="Q45" s="25"/>
      <c r="R45" s="25"/>
      <c r="S45" s="610"/>
      <c r="T45" s="123"/>
    </row>
    <row r="46" spans="1:20">
      <c r="A46" s="619"/>
      <c r="B46" s="151" t="s">
        <v>1338</v>
      </c>
      <c r="C46" s="608">
        <v>20952.8</v>
      </c>
      <c r="D46" s="608">
        <v>33345.699999999997</v>
      </c>
      <c r="E46" s="609">
        <f t="shared" si="3"/>
        <v>54298.5</v>
      </c>
      <c r="F46" s="626"/>
      <c r="G46" s="151"/>
      <c r="H46" s="151"/>
      <c r="I46" s="151"/>
      <c r="J46" s="151"/>
      <c r="K46" s="618"/>
    </row>
    <row r="47" spans="1:20">
      <c r="A47" s="620"/>
      <c r="B47" s="621" t="s">
        <v>1339</v>
      </c>
      <c r="C47" s="655">
        <v>20379.599999999999</v>
      </c>
      <c r="D47" s="655">
        <v>32303.8</v>
      </c>
      <c r="E47" s="656">
        <f t="shared" si="3"/>
        <v>52683.399999999994</v>
      </c>
      <c r="F47" s="622"/>
      <c r="G47" s="151"/>
      <c r="H47" s="151"/>
      <c r="I47" s="151"/>
      <c r="J47" s="151"/>
      <c r="K47" s="618"/>
      <c r="O47" s="95"/>
      <c r="P47" s="95"/>
      <c r="Q47" s="95"/>
      <c r="R47" s="95"/>
    </row>
    <row r="48" spans="1:20">
      <c r="A48" s="619"/>
      <c r="B48" s="151"/>
      <c r="C48" s="608"/>
      <c r="D48" s="608"/>
      <c r="E48" s="609"/>
      <c r="F48" s="151"/>
      <c r="G48" s="151"/>
      <c r="H48" s="151"/>
      <c r="I48" s="151"/>
      <c r="J48" s="151"/>
      <c r="K48" s="618"/>
      <c r="O48" s="95"/>
      <c r="P48" s="95"/>
      <c r="Q48" s="95"/>
      <c r="R48" s="95"/>
    </row>
    <row r="49" spans="1:18">
      <c r="A49" s="631" t="s">
        <v>1361</v>
      </c>
      <c r="B49" s="151"/>
      <c r="C49" s="608"/>
      <c r="D49" s="608"/>
      <c r="E49" s="609"/>
      <c r="F49" s="151"/>
      <c r="G49" s="151"/>
      <c r="H49" s="151"/>
      <c r="I49" s="151"/>
      <c r="J49" s="151"/>
      <c r="K49" s="618"/>
      <c r="O49" s="95"/>
      <c r="P49" s="95"/>
      <c r="Q49" s="95"/>
      <c r="R49" s="95"/>
    </row>
    <row r="50" spans="1:18" ht="36">
      <c r="A50" s="652"/>
      <c r="B50" s="558" t="s">
        <v>1356</v>
      </c>
      <c r="C50" s="559" t="s">
        <v>113</v>
      </c>
      <c r="D50" s="628" t="s">
        <v>1362</v>
      </c>
      <c r="E50" s="559" t="s">
        <v>1359</v>
      </c>
      <c r="F50" s="559" t="s">
        <v>1360</v>
      </c>
      <c r="G50" s="151"/>
      <c r="H50" s="151"/>
      <c r="I50" s="151"/>
      <c r="J50" s="151"/>
      <c r="K50" s="618"/>
      <c r="O50" s="647"/>
      <c r="P50" s="647"/>
      <c r="Q50" s="647"/>
      <c r="R50" s="95"/>
    </row>
    <row r="51" spans="1:18">
      <c r="A51" s="619"/>
      <c r="B51" s="151"/>
      <c r="C51" s="643" t="s">
        <v>1357</v>
      </c>
      <c r="D51" s="643" t="s">
        <v>1358</v>
      </c>
      <c r="E51" s="151"/>
      <c r="F51" s="151"/>
      <c r="G51" s="151"/>
      <c r="H51" s="151"/>
      <c r="I51" s="151"/>
      <c r="J51" s="151"/>
      <c r="K51" s="618"/>
    </row>
    <row r="52" spans="1:18">
      <c r="A52" s="619" t="s">
        <v>911</v>
      </c>
      <c r="B52" s="349">
        <f>Rates!$Q$262</f>
        <v>4</v>
      </c>
      <c r="C52" s="349">
        <f>B52*J42</f>
        <v>9249200.8671242986</v>
      </c>
      <c r="D52" s="349">
        <f>B52*K42</f>
        <v>208255.13287570141</v>
      </c>
      <c r="E52" s="149">
        <f>C52+D52</f>
        <v>9457456</v>
      </c>
      <c r="F52" s="349"/>
      <c r="G52" s="151"/>
      <c r="H52" s="151"/>
      <c r="I52" s="151"/>
      <c r="J52" s="151"/>
      <c r="K52" s="618"/>
    </row>
    <row r="53" spans="1:18">
      <c r="A53" s="619" t="s">
        <v>912</v>
      </c>
      <c r="B53" s="349">
        <f>Rates!$R$262</f>
        <v>4.5100000000000007</v>
      </c>
      <c r="C53" s="349">
        <f>B53*J43</f>
        <v>9775538.8049673066</v>
      </c>
      <c r="D53" s="349">
        <f>B53*K43</f>
        <v>279979.74503269506</v>
      </c>
      <c r="E53" s="149">
        <f>C53+D53</f>
        <v>10055518.550000001</v>
      </c>
      <c r="F53" s="151"/>
      <c r="G53" s="151"/>
      <c r="H53" s="151"/>
      <c r="I53" s="151"/>
      <c r="J53" s="151"/>
      <c r="K53" s="618"/>
    </row>
    <row r="54" spans="1:18" ht="14.25">
      <c r="A54" s="619" t="s">
        <v>19</v>
      </c>
      <c r="B54" s="349">
        <f>Rates!$S$262</f>
        <v>6.11</v>
      </c>
      <c r="C54" s="349">
        <f>B54*J44</f>
        <v>12967962.201817423</v>
      </c>
      <c r="D54" s="349">
        <f>B54*K44</f>
        <v>367815.44818257849</v>
      </c>
      <c r="E54" s="646">
        <f>C54+D54</f>
        <v>13335777.650000002</v>
      </c>
      <c r="F54" s="151"/>
      <c r="G54" s="151"/>
      <c r="H54" s="151"/>
      <c r="I54" s="151"/>
      <c r="J54" s="151"/>
      <c r="K54" s="618"/>
    </row>
    <row r="55" spans="1:18">
      <c r="A55" s="620"/>
      <c r="B55" s="624"/>
      <c r="C55" s="624"/>
      <c r="D55" s="624"/>
      <c r="E55" s="625">
        <f>SUM(E52:E54)</f>
        <v>32848752.200000003</v>
      </c>
      <c r="F55" s="624">
        <f>SUMIF(L_SBR_Rate_Category,MiscData!$AA$29,L_SBR_Demand_Revenue)+SUMIF(L_SBR_Rate_Category,MiscData!$AA$16,L_SBR_Demand_Revenue)</f>
        <v>32848758</v>
      </c>
      <c r="G55" s="621"/>
      <c r="H55" s="621"/>
      <c r="I55" s="621"/>
      <c r="J55" s="621"/>
      <c r="K55" s="622"/>
    </row>
    <row r="56" spans="1:18">
      <c r="A56" s="151"/>
      <c r="B56" s="151"/>
      <c r="C56" s="151"/>
      <c r="D56" s="151"/>
      <c r="E56" s="151"/>
      <c r="F56" s="151"/>
      <c r="G56" s="151"/>
      <c r="H56" s="349"/>
      <c r="I56" s="349"/>
      <c r="J56" s="349"/>
      <c r="K56" s="149"/>
      <c r="L56" s="151"/>
    </row>
    <row r="58" spans="1:18">
      <c r="A58" s="368"/>
      <c r="B58" s="151"/>
      <c r="C58" s="151"/>
      <c r="D58" s="151"/>
      <c r="E58" s="151"/>
      <c r="F58" s="151"/>
      <c r="G58" s="151"/>
      <c r="H58" s="151"/>
      <c r="I58" s="151"/>
      <c r="J58" s="151"/>
      <c r="K58" s="151"/>
    </row>
    <row r="59" spans="1:18">
      <c r="A59" s="151"/>
      <c r="B59" s="368"/>
      <c r="C59" s="151"/>
      <c r="D59" s="151"/>
      <c r="E59" s="151"/>
      <c r="F59" s="151"/>
      <c r="G59" s="151"/>
      <c r="H59" s="151"/>
      <c r="I59" s="151"/>
      <c r="J59" s="151"/>
      <c r="K59" s="151"/>
    </row>
    <row r="60" spans="1:18">
      <c r="A60" s="151"/>
      <c r="B60" s="368"/>
      <c r="C60" s="151"/>
      <c r="D60" s="149"/>
      <c r="E60" s="151"/>
      <c r="F60" s="151"/>
      <c r="G60" s="151"/>
      <c r="H60" s="151"/>
      <c r="I60" s="151"/>
      <c r="J60" s="151"/>
      <c r="K60" s="151"/>
    </row>
    <row r="61" spans="1:18">
      <c r="A61" s="151"/>
      <c r="B61" s="368"/>
      <c r="C61" s="151"/>
      <c r="D61" s="151"/>
      <c r="E61" s="151"/>
      <c r="F61" s="151"/>
      <c r="G61" s="151"/>
      <c r="H61" s="151"/>
      <c r="I61" s="151"/>
      <c r="J61" s="151"/>
      <c r="K61" s="151"/>
    </row>
    <row r="62" spans="1:18">
      <c r="A62" s="151"/>
      <c r="B62" s="368"/>
      <c r="C62" s="151"/>
      <c r="D62" s="151"/>
      <c r="E62" s="151"/>
      <c r="F62" s="151"/>
      <c r="G62" s="151"/>
      <c r="H62" s="151"/>
      <c r="I62" s="151"/>
      <c r="J62" s="151"/>
      <c r="K62" s="151"/>
    </row>
    <row r="63" spans="1:18">
      <c r="A63" s="151"/>
      <c r="B63" s="151"/>
      <c r="C63" s="151"/>
      <c r="D63" s="151"/>
      <c r="E63" s="151"/>
      <c r="F63" s="151"/>
      <c r="G63" s="151"/>
      <c r="H63" s="151"/>
      <c r="I63" s="151"/>
      <c r="J63" s="151"/>
      <c r="K63" s="151"/>
    </row>
    <row r="64" spans="1:18">
      <c r="A64" s="368"/>
      <c r="B64" s="151"/>
      <c r="C64" s="151"/>
      <c r="D64" s="151"/>
      <c r="E64" s="151"/>
      <c r="F64" s="151"/>
      <c r="G64" s="151"/>
      <c r="H64" s="151"/>
      <c r="I64" s="151"/>
      <c r="J64" s="151"/>
      <c r="K64" s="151"/>
    </row>
    <row r="65" spans="1:11">
      <c r="A65" s="151"/>
      <c r="B65" s="151"/>
      <c r="C65" s="151"/>
      <c r="D65" s="151"/>
      <c r="E65" s="151"/>
      <c r="F65" s="151"/>
      <c r="G65" s="151"/>
      <c r="H65" s="151"/>
      <c r="I65" s="151"/>
      <c r="J65" s="151"/>
      <c r="K65" s="151"/>
    </row>
    <row r="66" spans="1:11">
      <c r="A66" s="632"/>
      <c r="B66" s="632"/>
      <c r="C66" s="632"/>
      <c r="D66" s="632"/>
      <c r="E66" s="151"/>
      <c r="F66" s="633"/>
      <c r="G66" s="634"/>
      <c r="H66" s="634"/>
      <c r="I66" s="634"/>
      <c r="J66" s="634"/>
      <c r="K66" s="634"/>
    </row>
    <row r="67" spans="1:11">
      <c r="A67" s="151"/>
      <c r="B67" s="151"/>
      <c r="C67" s="559"/>
      <c r="D67" s="559"/>
      <c r="E67" s="628"/>
      <c r="F67" s="559"/>
      <c r="G67" s="559"/>
      <c r="H67" s="628"/>
      <c r="I67" s="151"/>
      <c r="J67" s="559"/>
      <c r="K67" s="559"/>
    </row>
    <row r="68" spans="1:11">
      <c r="A68" s="151"/>
      <c r="B68" s="151"/>
      <c r="C68" s="361"/>
      <c r="D68" s="608"/>
      <c r="E68" s="609"/>
      <c r="F68" s="562"/>
      <c r="G68" s="562"/>
      <c r="H68" s="151"/>
      <c r="I68" s="349"/>
      <c r="J68" s="349"/>
      <c r="K68" s="349"/>
    </row>
    <row r="69" spans="1:11">
      <c r="A69" s="151"/>
      <c r="B69" s="151"/>
      <c r="C69" s="361"/>
      <c r="D69" s="608"/>
      <c r="E69" s="609"/>
      <c r="F69" s="562"/>
      <c r="G69" s="562"/>
      <c r="H69" s="151"/>
      <c r="I69" s="349"/>
      <c r="J69" s="349"/>
      <c r="K69" s="349"/>
    </row>
    <row r="70" spans="1:11">
      <c r="A70" s="151"/>
      <c r="B70" s="151"/>
      <c r="C70" s="361"/>
      <c r="D70" s="608"/>
      <c r="E70" s="609"/>
      <c r="F70" s="562"/>
      <c r="G70" s="562"/>
      <c r="H70" s="151"/>
      <c r="I70" s="349"/>
      <c r="J70" s="349"/>
      <c r="K70" s="349"/>
    </row>
    <row r="71" spans="1:11">
      <c r="A71" s="151"/>
      <c r="B71" s="151"/>
      <c r="C71" s="361"/>
      <c r="D71" s="608"/>
      <c r="E71" s="609"/>
      <c r="F71" s="562"/>
      <c r="G71" s="562"/>
      <c r="H71" s="151"/>
      <c r="I71" s="349"/>
      <c r="J71" s="349"/>
      <c r="K71" s="349"/>
    </row>
    <row r="72" spans="1:11">
      <c r="A72" s="151"/>
      <c r="B72" s="151"/>
      <c r="C72" s="361"/>
      <c r="D72" s="608"/>
      <c r="E72" s="609"/>
      <c r="F72" s="562"/>
      <c r="G72" s="562"/>
      <c r="H72" s="151"/>
      <c r="I72" s="349"/>
      <c r="J72" s="349"/>
      <c r="K72" s="349"/>
    </row>
    <row r="73" spans="1:11">
      <c r="A73" s="151"/>
      <c r="B73" s="151"/>
      <c r="C73" s="361"/>
      <c r="D73" s="608"/>
      <c r="E73" s="609"/>
      <c r="F73" s="562"/>
      <c r="G73" s="562"/>
      <c r="H73" s="151"/>
      <c r="I73" s="349"/>
      <c r="J73" s="349"/>
      <c r="K73" s="349"/>
    </row>
    <row r="74" spans="1:11">
      <c r="A74" s="151"/>
      <c r="B74" s="151"/>
      <c r="C74" s="361"/>
      <c r="D74" s="608"/>
      <c r="E74" s="609"/>
      <c r="F74" s="562"/>
      <c r="G74" s="562"/>
      <c r="H74" s="151"/>
      <c r="I74" s="349"/>
      <c r="J74" s="349"/>
      <c r="K74" s="349"/>
    </row>
    <row r="75" spans="1:11">
      <c r="A75" s="151"/>
      <c r="B75" s="151"/>
      <c r="C75" s="361"/>
      <c r="D75" s="608"/>
      <c r="E75" s="609"/>
      <c r="F75" s="562"/>
      <c r="G75" s="562"/>
      <c r="H75" s="151"/>
      <c r="I75" s="349"/>
      <c r="J75" s="349"/>
      <c r="K75" s="349"/>
    </row>
    <row r="76" spans="1:11">
      <c r="A76" s="151"/>
      <c r="B76" s="151"/>
      <c r="C76" s="361"/>
      <c r="D76" s="608"/>
      <c r="E76" s="609"/>
      <c r="F76" s="562"/>
      <c r="G76" s="562"/>
      <c r="H76" s="151"/>
      <c r="I76" s="349"/>
      <c r="J76" s="349"/>
      <c r="K76" s="349"/>
    </row>
    <row r="77" spans="1:11">
      <c r="A77" s="151"/>
      <c r="B77" s="151"/>
      <c r="C77" s="361"/>
      <c r="D77" s="608"/>
      <c r="E77" s="609"/>
      <c r="F77" s="562"/>
      <c r="G77" s="562"/>
      <c r="H77" s="151"/>
      <c r="I77" s="349"/>
      <c r="J77" s="349"/>
      <c r="K77" s="349"/>
    </row>
    <row r="78" spans="1:11">
      <c r="A78" s="151"/>
      <c r="B78" s="151"/>
      <c r="C78" s="361"/>
      <c r="D78" s="608"/>
      <c r="E78" s="609"/>
      <c r="F78" s="562"/>
      <c r="G78" s="562"/>
      <c r="H78" s="151"/>
      <c r="I78" s="349"/>
      <c r="J78" s="349"/>
      <c r="K78" s="349"/>
    </row>
    <row r="79" spans="1:11" ht="14.25">
      <c r="A79" s="151"/>
      <c r="B79" s="151"/>
      <c r="C79" s="361"/>
      <c r="D79" s="629"/>
      <c r="E79" s="630"/>
      <c r="F79" s="562"/>
      <c r="G79" s="562"/>
      <c r="H79" s="151"/>
      <c r="I79" s="349"/>
      <c r="J79" s="349"/>
      <c r="K79" s="349"/>
    </row>
    <row r="80" spans="1:11">
      <c r="A80" s="151"/>
      <c r="B80" s="151"/>
      <c r="C80" s="151"/>
      <c r="D80" s="609"/>
      <c r="E80" s="609"/>
      <c r="F80" s="151"/>
      <c r="G80" s="151"/>
      <c r="H80" s="151"/>
      <c r="I80" s="151"/>
      <c r="J80" s="151"/>
      <c r="K80" s="151"/>
    </row>
    <row r="81" spans="1:11">
      <c r="A81" s="151"/>
      <c r="B81" s="151"/>
      <c r="C81" s="361"/>
      <c r="D81" s="151"/>
      <c r="E81" s="151"/>
      <c r="F81" s="151"/>
      <c r="G81" s="151"/>
      <c r="H81" s="151"/>
      <c r="I81" s="151"/>
      <c r="J81" s="151"/>
      <c r="K81" s="151"/>
    </row>
    <row r="82" spans="1:11">
      <c r="A82" s="151"/>
      <c r="B82" s="151"/>
      <c r="C82" s="361"/>
      <c r="D82" s="151"/>
      <c r="E82" s="151"/>
      <c r="F82" s="151"/>
      <c r="G82" s="151"/>
      <c r="H82" s="151"/>
      <c r="I82" s="151"/>
      <c r="J82" s="151"/>
      <c r="K82" s="151"/>
    </row>
    <row r="83" spans="1:11">
      <c r="A83" s="632"/>
      <c r="B83" s="632"/>
      <c r="C83" s="632"/>
      <c r="D83" s="632"/>
      <c r="E83" s="628"/>
      <c r="F83" s="559"/>
      <c r="G83" s="628"/>
      <c r="H83" s="151"/>
      <c r="I83" s="151"/>
      <c r="J83" s="151"/>
      <c r="K83" s="151"/>
    </row>
    <row r="84" spans="1:11">
      <c r="A84" s="681"/>
      <c r="B84" s="632"/>
      <c r="C84" s="632"/>
      <c r="D84" s="632"/>
      <c r="E84" s="562"/>
      <c r="F84" s="562"/>
      <c r="G84" s="151"/>
      <c r="H84" s="151"/>
      <c r="I84" s="151"/>
      <c r="J84" s="151"/>
      <c r="K84" s="151"/>
    </row>
    <row r="85" spans="1:11">
      <c r="A85" s="151"/>
      <c r="B85" s="151"/>
      <c r="C85" s="151"/>
      <c r="D85" s="151"/>
      <c r="E85" s="151"/>
      <c r="F85" s="151"/>
      <c r="G85" s="151"/>
      <c r="H85" s="151"/>
      <c r="I85" s="151"/>
      <c r="J85" s="151"/>
      <c r="K85" s="151"/>
    </row>
    <row r="86" spans="1:11">
      <c r="A86" s="151"/>
      <c r="B86" s="151"/>
      <c r="C86" s="151"/>
      <c r="D86" s="151"/>
      <c r="E86" s="559"/>
      <c r="F86" s="151"/>
      <c r="G86" s="151"/>
      <c r="H86" s="151"/>
      <c r="I86" s="151"/>
      <c r="J86" s="151"/>
      <c r="K86" s="151"/>
    </row>
    <row r="87" spans="1:11">
      <c r="A87" s="151"/>
      <c r="B87" s="151"/>
      <c r="C87" s="151"/>
      <c r="D87" s="151"/>
      <c r="E87" s="608"/>
      <c r="F87" s="149"/>
      <c r="G87" s="349"/>
      <c r="H87" s="368"/>
      <c r="I87" s="151"/>
      <c r="J87" s="151"/>
      <c r="K87" s="151"/>
    </row>
    <row r="88" spans="1:11">
      <c r="A88" s="151"/>
      <c r="B88" s="151"/>
      <c r="C88" s="151"/>
      <c r="D88" s="151"/>
      <c r="E88" s="608"/>
      <c r="F88" s="149"/>
      <c r="G88" s="349"/>
      <c r="H88" s="368"/>
      <c r="I88" s="151"/>
      <c r="J88" s="151"/>
      <c r="K88" s="151"/>
    </row>
    <row r="89" spans="1:11">
      <c r="A89" s="151"/>
      <c r="B89" s="151"/>
      <c r="C89" s="151"/>
      <c r="D89" s="151"/>
      <c r="E89" s="151"/>
      <c r="F89" s="151"/>
      <c r="G89" s="151"/>
      <c r="H89" s="151"/>
      <c r="I89" s="151"/>
      <c r="J89" s="151"/>
      <c r="K89" s="151"/>
    </row>
    <row r="90" spans="1:11">
      <c r="A90" s="151"/>
      <c r="B90" s="151"/>
      <c r="C90" s="151"/>
      <c r="D90" s="151"/>
      <c r="E90" s="151"/>
      <c r="F90" s="608"/>
      <c r="G90" s="149"/>
      <c r="H90" s="349"/>
      <c r="I90" s="149"/>
      <c r="J90" s="151"/>
      <c r="K90" s="151"/>
    </row>
    <row r="91" spans="1:11">
      <c r="A91" s="151"/>
      <c r="B91" s="151"/>
      <c r="C91" s="151"/>
      <c r="D91" s="151"/>
      <c r="E91" s="151"/>
      <c r="F91" s="680"/>
      <c r="G91" s="149"/>
      <c r="H91" s="349"/>
      <c r="I91" s="149"/>
      <c r="J91" s="151"/>
      <c r="K91" s="151"/>
    </row>
    <row r="92" spans="1:11">
      <c r="A92" s="151"/>
      <c r="B92" s="368"/>
      <c r="C92" s="151"/>
      <c r="D92" s="151"/>
      <c r="E92" s="149"/>
      <c r="F92" s="679"/>
      <c r="G92" s="149"/>
      <c r="H92" s="349"/>
      <c r="I92" s="151"/>
      <c r="J92" s="151"/>
      <c r="K92" s="151"/>
    </row>
    <row r="93" spans="1:11" ht="14.25">
      <c r="A93" s="151"/>
      <c r="B93" s="151"/>
      <c r="C93" s="151"/>
      <c r="D93" s="151"/>
      <c r="E93" s="149"/>
      <c r="F93" s="679"/>
      <c r="G93" s="646"/>
      <c r="H93" s="349"/>
      <c r="I93" s="151"/>
      <c r="J93" s="151"/>
      <c r="K93" s="151"/>
    </row>
    <row r="94" spans="1:11">
      <c r="A94" s="151"/>
      <c r="B94" s="151"/>
      <c r="C94" s="151"/>
      <c r="D94" s="151"/>
      <c r="E94" s="151"/>
      <c r="F94" s="151"/>
      <c r="G94" s="149"/>
      <c r="H94" s="151"/>
      <c r="I94" s="151"/>
      <c r="J94" s="151"/>
      <c r="K94" s="151"/>
    </row>
    <row r="95" spans="1:11">
      <c r="A95" s="151"/>
      <c r="B95" s="368"/>
      <c r="C95" s="151"/>
      <c r="D95" s="151"/>
      <c r="E95" s="368"/>
      <c r="F95" s="608"/>
      <c r="G95" s="149"/>
      <c r="H95" s="368"/>
      <c r="I95" s="151"/>
      <c r="J95" s="151"/>
      <c r="K95" s="151"/>
    </row>
    <row r="96" spans="1:11">
      <c r="A96" s="151"/>
      <c r="B96" s="151"/>
      <c r="C96" s="151"/>
      <c r="D96" s="151"/>
      <c r="E96" s="151"/>
      <c r="F96" s="151"/>
      <c r="G96" s="151"/>
      <c r="H96" s="368"/>
      <c r="I96" s="151"/>
      <c r="J96" s="151"/>
      <c r="K96" s="151"/>
    </row>
    <row r="97" spans="1:11">
      <c r="A97" s="151"/>
      <c r="B97" s="151"/>
      <c r="C97" s="151"/>
      <c r="D97" s="151"/>
      <c r="E97" s="151"/>
      <c r="F97" s="151"/>
      <c r="G97" s="151"/>
      <c r="H97" s="151"/>
      <c r="I97" s="151"/>
      <c r="J97" s="151"/>
      <c r="K97" s="151"/>
    </row>
    <row r="98" spans="1:11">
      <c r="A98" s="151"/>
      <c r="B98" s="368"/>
      <c r="C98" s="151"/>
      <c r="D98" s="151"/>
      <c r="E98" s="368"/>
      <c r="F98" s="608"/>
      <c r="G98" s="149"/>
      <c r="H98" s="368"/>
      <c r="I98" s="151"/>
      <c r="J98" s="151"/>
      <c r="K98" s="151"/>
    </row>
    <row r="99" spans="1:11">
      <c r="A99" s="151"/>
      <c r="B99" s="368"/>
      <c r="C99" s="151"/>
      <c r="D99" s="151"/>
      <c r="E99" s="151"/>
      <c r="F99" s="609"/>
      <c r="G99" s="151"/>
      <c r="H99" s="368"/>
      <c r="I99" s="151"/>
      <c r="J99" s="151"/>
      <c r="K99" s="151"/>
    </row>
    <row r="100" spans="1:11">
      <c r="A100" s="151"/>
      <c r="B100" s="151"/>
      <c r="C100" s="151"/>
      <c r="D100" s="151"/>
      <c r="E100" s="151"/>
      <c r="F100" s="151"/>
      <c r="G100" s="151"/>
      <c r="H100" s="151"/>
      <c r="I100" s="151"/>
      <c r="J100" s="151"/>
      <c r="K100" s="151"/>
    </row>
  </sheetData>
  <mergeCells count="3">
    <mergeCell ref="A40:B40"/>
    <mergeCell ref="A24:B24"/>
    <mergeCell ref="A7:B7"/>
  </mergeCells>
  <pageMargins left="0.7" right="0.7" top="0.75" bottom="0.75" header="0.3" footer="0.3"/>
  <pageSetup scale="9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1"/>
  <sheetViews>
    <sheetView topLeftCell="A76" workbookViewId="0">
      <selection activeCell="I111" sqref="I111"/>
    </sheetView>
  </sheetViews>
  <sheetFormatPr defaultRowHeight="12"/>
  <cols>
    <col min="1" max="1" width="14.5" style="98" customWidth="1"/>
    <col min="2" max="2" width="12.83203125" style="98" customWidth="1"/>
    <col min="3" max="3" width="18" style="98" customWidth="1"/>
    <col min="4" max="4" width="14.1640625" style="98" bestFit="1" customWidth="1"/>
    <col min="5" max="5" width="15.1640625" style="98" bestFit="1" customWidth="1"/>
    <col min="6" max="6" width="14.83203125" style="98" customWidth="1"/>
    <col min="7" max="7" width="16.5" style="98" customWidth="1"/>
    <col min="8" max="8" width="14.1640625" style="98" customWidth="1"/>
    <col min="9" max="9" width="16" style="98" customWidth="1"/>
    <col min="10" max="10" width="17.33203125" style="98" customWidth="1"/>
    <col min="11" max="11" width="16.5" style="98" customWidth="1"/>
    <col min="12" max="17" width="15.1640625" style="98" bestFit="1" customWidth="1"/>
    <col min="18" max="18" width="17.5" style="98" bestFit="1" customWidth="1"/>
    <col min="19" max="19" width="14.83203125" style="98" bestFit="1" customWidth="1"/>
    <col min="20" max="20" width="11.33203125" style="98" customWidth="1"/>
    <col min="21" max="16384" width="9.33203125" style="98"/>
  </cols>
  <sheetData>
    <row r="1" spans="1:20">
      <c r="A1" s="98" t="s">
        <v>1388</v>
      </c>
    </row>
    <row r="2" spans="1:20">
      <c r="I2" s="134"/>
    </row>
    <row r="3" spans="1:20" ht="12.75" thickBot="1">
      <c r="B3" s="98" t="s">
        <v>75</v>
      </c>
      <c r="K3" s="98" t="s">
        <v>76</v>
      </c>
    </row>
    <row r="4" spans="1:20" ht="12.75" thickBot="1">
      <c r="B4" s="671" t="s">
        <v>400</v>
      </c>
      <c r="C4" s="671" t="s">
        <v>399</v>
      </c>
      <c r="D4" s="671" t="s">
        <v>401</v>
      </c>
      <c r="E4" s="671" t="s">
        <v>402</v>
      </c>
      <c r="F4" s="671" t="s">
        <v>706</v>
      </c>
      <c r="G4" s="671" t="s">
        <v>1230</v>
      </c>
      <c r="H4" s="673" t="s">
        <v>1403</v>
      </c>
      <c r="K4" s="671" t="s">
        <v>400</v>
      </c>
      <c r="L4" s="671" t="s">
        <v>399</v>
      </c>
      <c r="M4" s="671" t="s">
        <v>401</v>
      </c>
      <c r="N4" s="671" t="s">
        <v>402</v>
      </c>
      <c r="O4" s="671" t="s">
        <v>706</v>
      </c>
      <c r="P4" s="671" t="s">
        <v>1230</v>
      </c>
      <c r="Q4" s="673" t="s">
        <v>1403</v>
      </c>
    </row>
    <row r="5" spans="1:20">
      <c r="A5" s="98" t="s">
        <v>1389</v>
      </c>
      <c r="B5" s="502">
        <v>350208</v>
      </c>
      <c r="C5" s="502">
        <v>3565</v>
      </c>
      <c r="D5" s="502">
        <v>116</v>
      </c>
      <c r="E5" s="502">
        <v>5</v>
      </c>
      <c r="F5" s="502">
        <v>9</v>
      </c>
      <c r="G5" s="502">
        <v>0</v>
      </c>
      <c r="H5" s="502">
        <f>SUM(B5:G5)</f>
        <v>353903</v>
      </c>
      <c r="J5" s="98" t="s">
        <v>1389</v>
      </c>
      <c r="K5" s="502">
        <v>453474875</v>
      </c>
      <c r="L5" s="502">
        <v>641633</v>
      </c>
      <c r="M5" s="502">
        <v>144494</v>
      </c>
      <c r="N5" s="502">
        <v>39525</v>
      </c>
      <c r="O5" s="502">
        <v>15654</v>
      </c>
      <c r="P5" s="502">
        <v>0</v>
      </c>
      <c r="Q5" s="502">
        <f>SUM(K5:P5)</f>
        <v>454316181</v>
      </c>
    </row>
    <row r="6" spans="1:20">
      <c r="A6" s="98" t="s">
        <v>1390</v>
      </c>
      <c r="B6" s="502">
        <v>350699</v>
      </c>
      <c r="C6" s="502">
        <v>3548</v>
      </c>
      <c r="D6" s="502">
        <v>117</v>
      </c>
      <c r="E6" s="502">
        <v>5</v>
      </c>
      <c r="F6" s="502">
        <v>10</v>
      </c>
      <c r="G6" s="502">
        <v>1</v>
      </c>
      <c r="H6" s="502">
        <f t="shared" ref="H6:H16" si="0">SUM(B6:G6)</f>
        <v>354380</v>
      </c>
      <c r="J6" s="98" t="s">
        <v>1390</v>
      </c>
      <c r="K6" s="502">
        <v>303991986</v>
      </c>
      <c r="L6" s="502">
        <v>617912</v>
      </c>
      <c r="M6" s="502">
        <v>94492</v>
      </c>
      <c r="N6" s="502">
        <v>32555</v>
      </c>
      <c r="O6" s="502">
        <v>10984</v>
      </c>
      <c r="P6" s="502">
        <v>73</v>
      </c>
      <c r="Q6" s="502">
        <f t="shared" ref="Q6:Q16" si="1">SUM(K6:P6)</f>
        <v>304748002</v>
      </c>
    </row>
    <row r="7" spans="1:20">
      <c r="A7" s="98" t="s">
        <v>1391</v>
      </c>
      <c r="B7" s="502">
        <v>349864</v>
      </c>
      <c r="C7" s="502">
        <v>3529</v>
      </c>
      <c r="D7" s="502">
        <v>119</v>
      </c>
      <c r="E7" s="502">
        <v>5</v>
      </c>
      <c r="F7" s="502">
        <v>10</v>
      </c>
      <c r="G7" s="502">
        <v>1</v>
      </c>
      <c r="H7" s="502">
        <f t="shared" si="0"/>
        <v>353528</v>
      </c>
      <c r="J7" s="98" t="s">
        <v>1391</v>
      </c>
      <c r="K7" s="502">
        <v>257439947</v>
      </c>
      <c r="L7" s="502">
        <v>714071</v>
      </c>
      <c r="M7" s="502">
        <v>92222</v>
      </c>
      <c r="N7" s="502">
        <v>27837</v>
      </c>
      <c r="O7" s="502">
        <v>12736</v>
      </c>
      <c r="P7" s="502">
        <v>142</v>
      </c>
      <c r="Q7" s="502">
        <f t="shared" si="1"/>
        <v>258286955</v>
      </c>
    </row>
    <row r="8" spans="1:20">
      <c r="A8" s="98" t="s">
        <v>1392</v>
      </c>
      <c r="B8" s="502">
        <v>351273</v>
      </c>
      <c r="C8" s="502">
        <v>3516</v>
      </c>
      <c r="D8" s="502">
        <v>122</v>
      </c>
      <c r="E8" s="502">
        <v>5</v>
      </c>
      <c r="F8" s="502">
        <v>12</v>
      </c>
      <c r="G8" s="502">
        <v>0</v>
      </c>
      <c r="H8" s="502">
        <f t="shared" si="0"/>
        <v>354928</v>
      </c>
      <c r="J8" s="98" t="s">
        <v>1392</v>
      </c>
      <c r="K8" s="502">
        <v>344277507</v>
      </c>
      <c r="L8" s="502">
        <v>904583</v>
      </c>
      <c r="M8" s="502">
        <v>150551</v>
      </c>
      <c r="N8" s="502">
        <v>31529</v>
      </c>
      <c r="O8" s="502">
        <v>21365</v>
      </c>
      <c r="P8" s="502">
        <v>0</v>
      </c>
      <c r="Q8" s="502">
        <f t="shared" si="1"/>
        <v>345385535</v>
      </c>
    </row>
    <row r="9" spans="1:20">
      <c r="A9" s="98" t="s">
        <v>1393</v>
      </c>
      <c r="B9" s="502">
        <v>352006</v>
      </c>
      <c r="C9" s="502">
        <v>3506</v>
      </c>
      <c r="D9" s="502">
        <v>123</v>
      </c>
      <c r="E9" s="502">
        <v>6</v>
      </c>
      <c r="F9" s="502">
        <v>14</v>
      </c>
      <c r="G9" s="502">
        <v>2</v>
      </c>
      <c r="H9" s="502">
        <f t="shared" si="0"/>
        <v>355657</v>
      </c>
      <c r="J9" s="98" t="s">
        <v>1393</v>
      </c>
      <c r="K9" s="502">
        <v>418741930</v>
      </c>
      <c r="L9" s="502">
        <v>1035549</v>
      </c>
      <c r="M9" s="502">
        <v>192784</v>
      </c>
      <c r="N9" s="502">
        <v>37792</v>
      </c>
      <c r="O9" s="502">
        <v>32235</v>
      </c>
      <c r="P9" s="502">
        <v>499</v>
      </c>
      <c r="Q9" s="502">
        <f t="shared" si="1"/>
        <v>420040789</v>
      </c>
      <c r="R9" s="334"/>
      <c r="T9" s="123"/>
    </row>
    <row r="10" spans="1:20">
      <c r="A10" s="98" t="s">
        <v>1394</v>
      </c>
      <c r="B10" s="502">
        <v>352192</v>
      </c>
      <c r="C10" s="502">
        <v>3493</v>
      </c>
      <c r="D10" s="502">
        <v>123</v>
      </c>
      <c r="E10" s="502">
        <v>6</v>
      </c>
      <c r="F10" s="502">
        <v>14</v>
      </c>
      <c r="G10" s="502">
        <v>1</v>
      </c>
      <c r="H10" s="502">
        <f t="shared" si="0"/>
        <v>355829</v>
      </c>
      <c r="J10" s="98" t="s">
        <v>1394</v>
      </c>
      <c r="K10" s="502">
        <v>383652416</v>
      </c>
      <c r="L10" s="502">
        <v>952219</v>
      </c>
      <c r="M10" s="502">
        <v>184094</v>
      </c>
      <c r="N10" s="502">
        <v>32894</v>
      </c>
      <c r="O10" s="502">
        <v>34489</v>
      </c>
      <c r="P10" s="502">
        <v>261</v>
      </c>
      <c r="Q10" s="502">
        <f t="shared" si="1"/>
        <v>384856373</v>
      </c>
      <c r="R10" s="334"/>
      <c r="T10" s="123"/>
    </row>
    <row r="11" spans="1:20">
      <c r="A11" s="98" t="s">
        <v>1395</v>
      </c>
      <c r="B11" s="502">
        <v>353497</v>
      </c>
      <c r="C11" s="502">
        <v>3471</v>
      </c>
      <c r="D11" s="502">
        <v>127</v>
      </c>
      <c r="E11" s="502">
        <v>6</v>
      </c>
      <c r="F11" s="502">
        <v>17</v>
      </c>
      <c r="G11" s="502">
        <v>1</v>
      </c>
      <c r="H11" s="502">
        <f t="shared" si="0"/>
        <v>357119</v>
      </c>
      <c r="J11" s="98" t="s">
        <v>1395</v>
      </c>
      <c r="K11" s="502">
        <v>325326658</v>
      </c>
      <c r="L11" s="502">
        <v>927781</v>
      </c>
      <c r="M11" s="502">
        <v>133746</v>
      </c>
      <c r="N11" s="502">
        <v>30870</v>
      </c>
      <c r="O11" s="502">
        <v>27843</v>
      </c>
      <c r="P11" s="502">
        <v>89</v>
      </c>
      <c r="Q11" s="502">
        <f t="shared" si="1"/>
        <v>326446987</v>
      </c>
      <c r="R11" s="25"/>
      <c r="S11" s="25"/>
      <c r="T11" s="123"/>
    </row>
    <row r="12" spans="1:20">
      <c r="A12" s="98" t="s">
        <v>1396</v>
      </c>
      <c r="B12" s="502">
        <v>353166</v>
      </c>
      <c r="C12" s="502">
        <v>3478</v>
      </c>
      <c r="D12" s="502">
        <v>127</v>
      </c>
      <c r="E12" s="502">
        <v>6</v>
      </c>
      <c r="F12" s="502">
        <v>17</v>
      </c>
      <c r="G12" s="502">
        <v>1</v>
      </c>
      <c r="H12" s="502">
        <f t="shared" si="0"/>
        <v>356795</v>
      </c>
      <c r="J12" s="98" t="s">
        <v>1396</v>
      </c>
      <c r="K12" s="502">
        <v>249766272</v>
      </c>
      <c r="L12" s="502">
        <v>831206</v>
      </c>
      <c r="M12" s="502">
        <v>88307</v>
      </c>
      <c r="N12" s="502">
        <v>27519</v>
      </c>
      <c r="O12" s="502">
        <v>21652</v>
      </c>
      <c r="P12" s="502">
        <v>114</v>
      </c>
      <c r="Q12" s="502">
        <f t="shared" si="1"/>
        <v>250735070</v>
      </c>
      <c r="R12" s="25"/>
      <c r="S12" s="25"/>
      <c r="T12" s="123"/>
    </row>
    <row r="13" spans="1:20">
      <c r="A13" s="98" t="s">
        <v>1397</v>
      </c>
      <c r="B13" s="502">
        <v>352912</v>
      </c>
      <c r="C13" s="502">
        <v>3484</v>
      </c>
      <c r="D13" s="502">
        <v>127</v>
      </c>
      <c r="E13" s="502">
        <v>6</v>
      </c>
      <c r="F13" s="502">
        <v>18</v>
      </c>
      <c r="G13" s="502">
        <v>1</v>
      </c>
      <c r="H13" s="502">
        <f t="shared" si="0"/>
        <v>356548</v>
      </c>
      <c r="J13" s="98" t="s">
        <v>1397</v>
      </c>
      <c r="K13" s="502">
        <v>262854554</v>
      </c>
      <c r="L13" s="502">
        <v>768882</v>
      </c>
      <c r="M13" s="502">
        <v>79310</v>
      </c>
      <c r="N13" s="502">
        <v>32308</v>
      </c>
      <c r="O13" s="502">
        <v>21503</v>
      </c>
      <c r="P13" s="502">
        <v>79</v>
      </c>
      <c r="Q13" s="502">
        <f t="shared" si="1"/>
        <v>263756636</v>
      </c>
      <c r="R13" s="25"/>
      <c r="S13" s="25"/>
      <c r="T13" s="123"/>
    </row>
    <row r="14" spans="1:20">
      <c r="A14" s="98" t="s">
        <v>1398</v>
      </c>
      <c r="B14" s="502">
        <v>353693</v>
      </c>
      <c r="C14" s="502">
        <v>3455</v>
      </c>
      <c r="D14" s="502">
        <v>131</v>
      </c>
      <c r="E14" s="502">
        <v>6</v>
      </c>
      <c r="F14" s="502">
        <v>20</v>
      </c>
      <c r="G14" s="502">
        <v>1</v>
      </c>
      <c r="H14" s="502">
        <f t="shared" si="0"/>
        <v>357306</v>
      </c>
      <c r="J14" s="98" t="s">
        <v>1398</v>
      </c>
      <c r="K14" s="502">
        <v>376010722</v>
      </c>
      <c r="L14" s="502">
        <v>700359</v>
      </c>
      <c r="M14" s="502">
        <v>120280</v>
      </c>
      <c r="N14" s="502">
        <v>39808</v>
      </c>
      <c r="O14" s="502">
        <v>28828</v>
      </c>
      <c r="P14" s="502">
        <v>164</v>
      </c>
      <c r="Q14" s="502">
        <f t="shared" si="1"/>
        <v>376900161</v>
      </c>
      <c r="R14" s="25"/>
      <c r="S14" s="25"/>
    </row>
    <row r="15" spans="1:20">
      <c r="A15" s="98" t="s">
        <v>1399</v>
      </c>
      <c r="B15" s="502">
        <v>353823</v>
      </c>
      <c r="C15" s="502">
        <v>3461</v>
      </c>
      <c r="D15" s="502">
        <v>134</v>
      </c>
      <c r="E15" s="502">
        <v>6</v>
      </c>
      <c r="F15" s="502">
        <v>20</v>
      </c>
      <c r="G15" s="502">
        <v>1</v>
      </c>
      <c r="H15" s="502">
        <f t="shared" si="0"/>
        <v>357445</v>
      </c>
      <c r="J15" s="98" t="s">
        <v>1399</v>
      </c>
      <c r="K15" s="502">
        <v>465021091</v>
      </c>
      <c r="L15" s="502">
        <v>666963</v>
      </c>
      <c r="M15" s="502">
        <v>158528</v>
      </c>
      <c r="N15" s="502">
        <v>41344</v>
      </c>
      <c r="O15" s="502">
        <v>38059</v>
      </c>
      <c r="P15" s="502">
        <v>238</v>
      </c>
      <c r="Q15" s="502">
        <f t="shared" si="1"/>
        <v>465926223</v>
      </c>
      <c r="R15" s="25"/>
      <c r="S15" s="25"/>
      <c r="T15" s="123"/>
    </row>
    <row r="16" spans="1:20" ht="14.25">
      <c r="A16" s="98" t="s">
        <v>1400</v>
      </c>
      <c r="B16" s="604">
        <v>353518</v>
      </c>
      <c r="C16" s="604">
        <v>3459</v>
      </c>
      <c r="D16" s="604">
        <v>135</v>
      </c>
      <c r="E16" s="604">
        <v>6</v>
      </c>
      <c r="F16" s="604">
        <v>19</v>
      </c>
      <c r="G16" s="604">
        <v>1</v>
      </c>
      <c r="H16" s="604">
        <f t="shared" si="0"/>
        <v>357138</v>
      </c>
      <c r="J16" s="98" t="s">
        <v>1400</v>
      </c>
      <c r="K16" s="604">
        <v>397883008</v>
      </c>
      <c r="L16" s="604">
        <v>594367</v>
      </c>
      <c r="M16" s="604">
        <v>137981</v>
      </c>
      <c r="N16" s="604">
        <v>34986</v>
      </c>
      <c r="O16" s="604">
        <v>30800</v>
      </c>
      <c r="P16" s="604">
        <v>159</v>
      </c>
      <c r="Q16" s="604">
        <f t="shared" si="1"/>
        <v>398681301</v>
      </c>
      <c r="R16" s="25"/>
      <c r="S16" s="25"/>
      <c r="T16" s="123"/>
    </row>
    <row r="17" spans="1:21">
      <c r="B17" s="130">
        <f>SUM(B5:B16)</f>
        <v>4226851</v>
      </c>
      <c r="C17" s="130">
        <f t="shared" ref="C17:H17" si="2">SUM(C5:C16)</f>
        <v>41965</v>
      </c>
      <c r="D17" s="130">
        <f t="shared" si="2"/>
        <v>1501</v>
      </c>
      <c r="E17" s="130">
        <f t="shared" si="2"/>
        <v>68</v>
      </c>
      <c r="F17" s="130">
        <f t="shared" si="2"/>
        <v>180</v>
      </c>
      <c r="G17" s="130">
        <f t="shared" si="2"/>
        <v>11</v>
      </c>
      <c r="H17" s="130">
        <f t="shared" si="2"/>
        <v>4270576</v>
      </c>
      <c r="K17" s="130">
        <f>SUM(K5:K16)</f>
        <v>4238440966</v>
      </c>
      <c r="L17" s="130">
        <f t="shared" ref="L17:Q17" si="3">SUM(L5:L16)</f>
        <v>9355525</v>
      </c>
      <c r="M17" s="130">
        <f t="shared" si="3"/>
        <v>1576789</v>
      </c>
      <c r="N17" s="130">
        <f t="shared" si="3"/>
        <v>408967</v>
      </c>
      <c r="O17" s="130">
        <f t="shared" si="3"/>
        <v>296148</v>
      </c>
      <c r="P17" s="130">
        <f t="shared" si="3"/>
        <v>1818</v>
      </c>
      <c r="Q17" s="130">
        <f t="shared" si="3"/>
        <v>4250080213</v>
      </c>
      <c r="R17" s="25"/>
      <c r="S17" s="25"/>
      <c r="T17" s="123"/>
    </row>
    <row r="18" spans="1:21">
      <c r="A18" s="98" t="s">
        <v>1408</v>
      </c>
      <c r="B18" s="130"/>
      <c r="C18" s="130"/>
      <c r="D18" s="130"/>
      <c r="E18" s="130"/>
      <c r="F18" s="130"/>
      <c r="G18" s="130"/>
      <c r="H18" s="130"/>
      <c r="K18" s="130"/>
      <c r="L18" s="130"/>
      <c r="M18" s="130"/>
      <c r="N18" s="130"/>
      <c r="O18" s="130"/>
      <c r="P18" s="130"/>
      <c r="Q18" s="130"/>
      <c r="R18" s="25"/>
      <c r="S18" s="25"/>
      <c r="T18" s="123"/>
    </row>
    <row r="19" spans="1:21">
      <c r="A19" s="98" t="s">
        <v>1409</v>
      </c>
      <c r="B19" s="130">
        <f>B16*12</f>
        <v>4242216</v>
      </c>
      <c r="C19" s="130">
        <f t="shared" ref="C19:G19" si="4">C16*12</f>
        <v>41508</v>
      </c>
      <c r="D19" s="130">
        <f t="shared" si="4"/>
        <v>1620</v>
      </c>
      <c r="E19" s="130">
        <f t="shared" si="4"/>
        <v>72</v>
      </c>
      <c r="F19" s="130">
        <f t="shared" si="4"/>
        <v>228</v>
      </c>
      <c r="G19" s="130">
        <f t="shared" si="4"/>
        <v>12</v>
      </c>
      <c r="H19" s="130">
        <f>SUM(B19:G19)</f>
        <v>4285656</v>
      </c>
      <c r="K19" s="130">
        <f>K16*12</f>
        <v>4774596096</v>
      </c>
      <c r="L19" s="130">
        <f t="shared" ref="L19:P19" si="5">L16*12</f>
        <v>7132404</v>
      </c>
      <c r="M19" s="130">
        <f t="shared" si="5"/>
        <v>1655772</v>
      </c>
      <c r="N19" s="130">
        <f t="shared" si="5"/>
        <v>419832</v>
      </c>
      <c r="O19" s="130">
        <f t="shared" si="5"/>
        <v>369600</v>
      </c>
      <c r="P19" s="130">
        <f t="shared" si="5"/>
        <v>1908</v>
      </c>
      <c r="Q19" s="130">
        <f>SUM(K19:P19)</f>
        <v>4784175612</v>
      </c>
      <c r="R19" s="25"/>
      <c r="S19" s="25"/>
      <c r="T19" s="123"/>
    </row>
    <row r="20" spans="1:21">
      <c r="E20" s="98" t="s">
        <v>1404</v>
      </c>
      <c r="G20" s="130">
        <f>G19+F19</f>
        <v>240</v>
      </c>
      <c r="N20" s="98" t="s">
        <v>1404</v>
      </c>
      <c r="P20" s="130">
        <f>O19+P19</f>
        <v>371508</v>
      </c>
      <c r="Q20" s="25"/>
      <c r="R20" s="25"/>
      <c r="S20" s="25"/>
      <c r="T20" s="123"/>
    </row>
    <row r="21" spans="1:21">
      <c r="E21" s="98" t="s">
        <v>1405</v>
      </c>
      <c r="G21" s="674">
        <f>G20/H19</f>
        <v>5.6000761610357902E-5</v>
      </c>
      <c r="N21" s="98" t="s">
        <v>1405</v>
      </c>
      <c r="P21" s="674">
        <f>P20/Q19</f>
        <v>7.7653503995162292E-5</v>
      </c>
      <c r="Q21" s="25"/>
      <c r="R21" s="25"/>
      <c r="S21" s="25"/>
      <c r="T21" s="123"/>
    </row>
    <row r="22" spans="1:21">
      <c r="Q22" s="25"/>
      <c r="R22" s="25"/>
      <c r="S22" s="25"/>
      <c r="T22" s="123"/>
    </row>
    <row r="23" spans="1:21" ht="12.75" thickBot="1">
      <c r="B23" s="98" t="s">
        <v>1401</v>
      </c>
      <c r="K23" s="98" t="s">
        <v>1402</v>
      </c>
      <c r="Q23" s="25"/>
      <c r="R23" s="25"/>
      <c r="S23" s="25"/>
      <c r="T23" s="123"/>
    </row>
    <row r="24" spans="1:21" ht="12.75" thickBot="1">
      <c r="B24" s="671" t="s">
        <v>400</v>
      </c>
      <c r="C24" s="671" t="s">
        <v>399</v>
      </c>
      <c r="D24" s="671" t="s">
        <v>401</v>
      </c>
      <c r="E24" s="671" t="s">
        <v>402</v>
      </c>
      <c r="F24" s="671" t="s">
        <v>706</v>
      </c>
      <c r="G24" s="671" t="s">
        <v>1230</v>
      </c>
      <c r="H24" s="673" t="s">
        <v>1403</v>
      </c>
      <c r="K24" s="671" t="s">
        <v>400</v>
      </c>
      <c r="L24" s="671" t="s">
        <v>399</v>
      </c>
      <c r="M24" s="671" t="s">
        <v>401</v>
      </c>
      <c r="N24" s="671" t="s">
        <v>402</v>
      </c>
      <c r="O24" s="671" t="s">
        <v>706</v>
      </c>
      <c r="P24" s="671" t="s">
        <v>1230</v>
      </c>
      <c r="Q24" s="673" t="s">
        <v>1403</v>
      </c>
      <c r="R24" s="25"/>
      <c r="S24" s="25"/>
      <c r="T24" s="123"/>
    </row>
    <row r="25" spans="1:21">
      <c r="A25" s="98" t="s">
        <v>1389</v>
      </c>
      <c r="B25" s="503">
        <v>3752986.35</v>
      </c>
      <c r="C25" s="503">
        <v>0</v>
      </c>
      <c r="D25" s="503">
        <v>1229.51</v>
      </c>
      <c r="E25" s="503">
        <v>53.75</v>
      </c>
      <c r="F25" s="503">
        <v>92.09</v>
      </c>
      <c r="G25" s="503">
        <v>0</v>
      </c>
      <c r="H25" s="503">
        <f>SUM(B25:G25)</f>
        <v>3754361.6999999997</v>
      </c>
      <c r="J25" s="98" t="s">
        <v>1389</v>
      </c>
      <c r="K25" s="503">
        <v>36046720.030000001</v>
      </c>
      <c r="L25" s="503">
        <v>51003.45</v>
      </c>
      <c r="M25" s="503">
        <v>11485.83</v>
      </c>
      <c r="N25" s="503">
        <v>3141.84</v>
      </c>
      <c r="O25" s="503">
        <v>1236.27</v>
      </c>
      <c r="P25" s="503">
        <v>0</v>
      </c>
      <c r="Q25" s="503">
        <f>SUM(K25:P25)</f>
        <v>36113587.420000009</v>
      </c>
      <c r="R25" s="25"/>
      <c r="S25" s="25"/>
      <c r="T25" s="123"/>
    </row>
    <row r="26" spans="1:21">
      <c r="A26" s="98" t="s">
        <v>1390</v>
      </c>
      <c r="B26" s="503">
        <v>3757283.49</v>
      </c>
      <c r="C26" s="503">
        <v>0</v>
      </c>
      <c r="D26" s="503">
        <v>1265.99</v>
      </c>
      <c r="E26" s="503">
        <v>53.75</v>
      </c>
      <c r="F26" s="503">
        <v>99.82</v>
      </c>
      <c r="G26" s="503">
        <v>10.75</v>
      </c>
      <c r="H26" s="503">
        <f t="shared" ref="H26:H36" si="6">SUM(B26:G26)</f>
        <v>3758713.8000000003</v>
      </c>
      <c r="J26" s="98" t="s">
        <v>1390</v>
      </c>
      <c r="K26" s="503">
        <v>24164323.66</v>
      </c>
      <c r="L26" s="503">
        <v>49118.1</v>
      </c>
      <c r="M26" s="503">
        <v>7511.16</v>
      </c>
      <c r="N26" s="503">
        <v>2587.8000000000002</v>
      </c>
      <c r="O26" s="503">
        <v>856.05</v>
      </c>
      <c r="P26" s="503">
        <v>4.16</v>
      </c>
      <c r="Q26" s="503">
        <f t="shared" ref="Q26:Q36" si="7">SUM(K26:P26)</f>
        <v>24224400.930000003</v>
      </c>
      <c r="R26" s="25"/>
      <c r="S26" s="610"/>
      <c r="T26" s="123"/>
    </row>
    <row r="27" spans="1:21">
      <c r="A27" s="98" t="s">
        <v>1391</v>
      </c>
      <c r="B27" s="503">
        <v>3746856.27</v>
      </c>
      <c r="C27" s="503">
        <v>0</v>
      </c>
      <c r="D27" s="503">
        <v>1278.6099999999999</v>
      </c>
      <c r="E27" s="503">
        <v>53.75</v>
      </c>
      <c r="F27" s="503">
        <v>107.5</v>
      </c>
      <c r="G27" s="503">
        <v>10.75</v>
      </c>
      <c r="H27" s="503">
        <f t="shared" si="6"/>
        <v>3748306.88</v>
      </c>
      <c r="J27" s="98" t="s">
        <v>1391</v>
      </c>
      <c r="K27" s="503">
        <v>20463905.75</v>
      </c>
      <c r="L27" s="503">
        <v>56761.63</v>
      </c>
      <c r="M27" s="503">
        <v>7330.69</v>
      </c>
      <c r="N27" s="503">
        <v>2212.7600000000002</v>
      </c>
      <c r="O27" s="503">
        <v>980.47</v>
      </c>
      <c r="P27" s="503">
        <v>8.08</v>
      </c>
      <c r="Q27" s="503">
        <f t="shared" si="7"/>
        <v>20531199.379999999</v>
      </c>
      <c r="R27" s="599"/>
    </row>
    <row r="28" spans="1:21">
      <c r="A28" s="98" t="s">
        <v>1392</v>
      </c>
      <c r="B28" s="503">
        <v>3767048.49</v>
      </c>
      <c r="C28" s="503">
        <v>0</v>
      </c>
      <c r="D28" s="503">
        <v>1302.53</v>
      </c>
      <c r="E28" s="503">
        <v>53.75</v>
      </c>
      <c r="F28" s="503">
        <v>123.62</v>
      </c>
      <c r="G28" s="503">
        <v>0</v>
      </c>
      <c r="H28" s="503">
        <f t="shared" si="6"/>
        <v>3768528.39</v>
      </c>
      <c r="J28" s="98" t="s">
        <v>1392</v>
      </c>
      <c r="K28" s="503">
        <v>27366623.530000001</v>
      </c>
      <c r="L28" s="503">
        <v>71905.16</v>
      </c>
      <c r="M28" s="503">
        <v>11967.3</v>
      </c>
      <c r="N28" s="503">
        <v>2506.25</v>
      </c>
      <c r="O28" s="503">
        <v>1661.91</v>
      </c>
      <c r="P28" s="503">
        <v>0</v>
      </c>
      <c r="Q28" s="503">
        <f t="shared" si="7"/>
        <v>27454664.150000002</v>
      </c>
      <c r="R28" s="599"/>
    </row>
    <row r="29" spans="1:21">
      <c r="A29" s="98" t="s">
        <v>1393</v>
      </c>
      <c r="B29" s="503">
        <v>3781703.87</v>
      </c>
      <c r="C29" s="503">
        <v>0</v>
      </c>
      <c r="D29" s="503">
        <v>1304.6099999999999</v>
      </c>
      <c r="E29" s="503">
        <v>64.5</v>
      </c>
      <c r="F29" s="503">
        <v>142.03</v>
      </c>
      <c r="G29" s="503">
        <v>21.5</v>
      </c>
      <c r="H29" s="503">
        <f t="shared" si="6"/>
        <v>3783236.51</v>
      </c>
      <c r="J29" s="98" t="s">
        <v>1393</v>
      </c>
      <c r="K29" s="503">
        <v>33817376.009999998</v>
      </c>
      <c r="L29" s="503">
        <v>83632.639999999999</v>
      </c>
      <c r="M29" s="503">
        <v>15569.25</v>
      </c>
      <c r="N29" s="503">
        <v>3052.08</v>
      </c>
      <c r="O29" s="503">
        <v>2607.08</v>
      </c>
      <c r="P29" s="503">
        <v>29.96</v>
      </c>
      <c r="Q29" s="503">
        <f t="shared" si="7"/>
        <v>33922267.019999996</v>
      </c>
      <c r="R29" s="334"/>
      <c r="S29" s="334"/>
      <c r="U29" s="123"/>
    </row>
    <row r="30" spans="1:21">
      <c r="A30" s="98" t="s">
        <v>1394</v>
      </c>
      <c r="B30" s="503">
        <v>3775603.26</v>
      </c>
      <c r="C30" s="503">
        <v>0</v>
      </c>
      <c r="D30" s="503">
        <v>1343.75</v>
      </c>
      <c r="E30" s="503">
        <v>64.5</v>
      </c>
      <c r="F30" s="503">
        <v>150.5</v>
      </c>
      <c r="G30" s="503">
        <v>10.75</v>
      </c>
      <c r="H30" s="503">
        <f t="shared" si="6"/>
        <v>3777172.76</v>
      </c>
      <c r="J30" s="98" t="s">
        <v>1394</v>
      </c>
      <c r="K30" s="503">
        <v>30983755.629999999</v>
      </c>
      <c r="L30" s="503">
        <v>76901</v>
      </c>
      <c r="M30" s="503">
        <v>14867.32</v>
      </c>
      <c r="N30" s="503">
        <v>2656.52</v>
      </c>
      <c r="O30" s="503">
        <v>2815.34</v>
      </c>
      <c r="P30" s="503">
        <v>16.14</v>
      </c>
      <c r="Q30" s="503">
        <f t="shared" si="7"/>
        <v>31081011.949999999</v>
      </c>
      <c r="R30" s="334"/>
      <c r="S30" s="334"/>
      <c r="U30" s="123"/>
    </row>
    <row r="31" spans="1:21">
      <c r="A31" s="98" t="s">
        <v>1395</v>
      </c>
      <c r="B31" s="503">
        <v>3778474.26</v>
      </c>
      <c r="C31" s="503">
        <v>0</v>
      </c>
      <c r="D31" s="503">
        <v>1378.15</v>
      </c>
      <c r="E31" s="503">
        <v>64.5</v>
      </c>
      <c r="F31" s="503">
        <v>170.28</v>
      </c>
      <c r="G31" s="503">
        <v>10.75</v>
      </c>
      <c r="H31" s="503">
        <f t="shared" si="6"/>
        <v>3780097.9399999995</v>
      </c>
      <c r="J31" s="98" t="s">
        <v>1395</v>
      </c>
      <c r="K31" s="503">
        <v>26273366.140000001</v>
      </c>
      <c r="L31" s="503">
        <v>74927.48</v>
      </c>
      <c r="M31" s="503">
        <v>10801.33</v>
      </c>
      <c r="N31" s="503">
        <v>2493.0700000000002</v>
      </c>
      <c r="O31" s="503">
        <v>2224.0700000000002</v>
      </c>
      <c r="P31" s="503">
        <v>5.18</v>
      </c>
      <c r="Q31" s="503">
        <f t="shared" si="7"/>
        <v>26363817.27</v>
      </c>
      <c r="R31" s="334"/>
      <c r="S31" s="25"/>
      <c r="T31" s="25"/>
      <c r="U31" s="123"/>
    </row>
    <row r="32" spans="1:21">
      <c r="A32" s="98" t="s">
        <v>1396</v>
      </c>
      <c r="B32" s="503">
        <v>3779500.78</v>
      </c>
      <c r="C32" s="503">
        <v>0</v>
      </c>
      <c r="D32" s="503">
        <v>1365.25</v>
      </c>
      <c r="E32" s="503">
        <v>64.5</v>
      </c>
      <c r="F32" s="503">
        <v>180.24</v>
      </c>
      <c r="G32" s="503">
        <v>10.75</v>
      </c>
      <c r="H32" s="503">
        <f t="shared" si="6"/>
        <v>3781121.52</v>
      </c>
      <c r="J32" s="98" t="s">
        <v>1396</v>
      </c>
      <c r="K32" s="503">
        <v>20171118.440000001</v>
      </c>
      <c r="L32" s="503">
        <v>67128.81</v>
      </c>
      <c r="M32" s="503">
        <v>7131.72</v>
      </c>
      <c r="N32" s="503">
        <v>2222.4299999999998</v>
      </c>
      <c r="O32" s="503">
        <v>1706.99</v>
      </c>
      <c r="P32" s="503">
        <v>6.63</v>
      </c>
      <c r="Q32" s="503">
        <f t="shared" si="7"/>
        <v>20249315.019999996</v>
      </c>
      <c r="R32" s="334"/>
      <c r="S32" s="25"/>
      <c r="T32" s="25"/>
      <c r="U32" s="123"/>
    </row>
    <row r="33" spans="1:21">
      <c r="A33" s="98" t="s">
        <v>1397</v>
      </c>
      <c r="B33" s="503">
        <v>3774896.69</v>
      </c>
      <c r="C33" s="503">
        <v>0</v>
      </c>
      <c r="D33" s="503">
        <v>1355.57</v>
      </c>
      <c r="E33" s="503">
        <v>64.5</v>
      </c>
      <c r="F33" s="503">
        <v>204.25</v>
      </c>
      <c r="G33" s="503">
        <v>10.75</v>
      </c>
      <c r="H33" s="503">
        <f t="shared" si="6"/>
        <v>3776531.76</v>
      </c>
      <c r="J33" s="98" t="s">
        <v>1397</v>
      </c>
      <c r="K33" s="503">
        <v>21228134.289999999</v>
      </c>
      <c r="L33" s="503">
        <v>62095</v>
      </c>
      <c r="M33" s="503">
        <v>6405.09</v>
      </c>
      <c r="N33" s="503">
        <v>2609.1999999999998</v>
      </c>
      <c r="O33" s="503">
        <v>1688.99</v>
      </c>
      <c r="P33" s="503">
        <v>4.5999999999999996</v>
      </c>
      <c r="Q33" s="503">
        <f t="shared" si="7"/>
        <v>21300937.169999998</v>
      </c>
      <c r="S33" s="25"/>
      <c r="T33" s="25"/>
      <c r="U33" s="123"/>
    </row>
    <row r="34" spans="1:21">
      <c r="A34" s="98" t="s">
        <v>1398</v>
      </c>
      <c r="B34" s="503">
        <v>3779355.32</v>
      </c>
      <c r="C34" s="503">
        <v>0</v>
      </c>
      <c r="D34" s="503">
        <v>1397.28</v>
      </c>
      <c r="E34" s="503">
        <v>64.5</v>
      </c>
      <c r="F34" s="503">
        <v>210.3</v>
      </c>
      <c r="G34" s="503">
        <v>10.75</v>
      </c>
      <c r="H34" s="503">
        <f t="shared" si="6"/>
        <v>3781038.1499999994</v>
      </c>
      <c r="J34" s="98" t="s">
        <v>1398</v>
      </c>
      <c r="K34" s="503">
        <v>30366594.620000001</v>
      </c>
      <c r="L34" s="503">
        <v>56561.17</v>
      </c>
      <c r="M34" s="503">
        <v>9713.83</v>
      </c>
      <c r="N34" s="503">
        <v>3214.9</v>
      </c>
      <c r="O34" s="503">
        <v>2313.7199999999998</v>
      </c>
      <c r="P34" s="503">
        <v>9.5399999999999991</v>
      </c>
      <c r="Q34" s="503">
        <f t="shared" si="7"/>
        <v>30438407.779999997</v>
      </c>
      <c r="S34" s="25"/>
      <c r="T34" s="25"/>
      <c r="U34" s="123"/>
    </row>
    <row r="35" spans="1:21">
      <c r="A35" s="98" t="s">
        <v>1399</v>
      </c>
      <c r="B35" s="503">
        <v>3785198.57</v>
      </c>
      <c r="C35" s="503">
        <v>0</v>
      </c>
      <c r="D35" s="503">
        <v>1443.21</v>
      </c>
      <c r="E35" s="503">
        <v>64.5</v>
      </c>
      <c r="F35" s="503">
        <v>215</v>
      </c>
      <c r="G35" s="503">
        <v>10.75</v>
      </c>
      <c r="H35" s="503">
        <f t="shared" si="6"/>
        <v>3786932.03</v>
      </c>
      <c r="J35" s="98" t="s">
        <v>1399</v>
      </c>
      <c r="K35" s="503">
        <v>37555102.710000001</v>
      </c>
      <c r="L35" s="503">
        <v>53864.34</v>
      </c>
      <c r="M35" s="503">
        <v>12802.69</v>
      </c>
      <c r="N35" s="503">
        <v>3338.94</v>
      </c>
      <c r="O35" s="503">
        <v>3079.91</v>
      </c>
      <c r="P35" s="503">
        <v>13.85</v>
      </c>
      <c r="Q35" s="503">
        <f t="shared" si="7"/>
        <v>37628202.439999998</v>
      </c>
      <c r="S35" s="25"/>
      <c r="T35" s="25"/>
    </row>
    <row r="36" spans="1:21" ht="14.25">
      <c r="A36" s="98" t="s">
        <v>1400</v>
      </c>
      <c r="B36" s="672">
        <v>3774820.42</v>
      </c>
      <c r="C36" s="672">
        <v>0</v>
      </c>
      <c r="D36" s="672">
        <v>1458.19</v>
      </c>
      <c r="E36" s="672">
        <v>64.5</v>
      </c>
      <c r="F36" s="672">
        <v>204.25</v>
      </c>
      <c r="G36" s="672">
        <v>10.75</v>
      </c>
      <c r="H36" s="672">
        <f t="shared" si="6"/>
        <v>3776558.11</v>
      </c>
      <c r="J36" s="98" t="s">
        <v>1400</v>
      </c>
      <c r="K36" s="672">
        <v>32133013.039999999</v>
      </c>
      <c r="L36" s="672">
        <v>48001.3</v>
      </c>
      <c r="M36" s="672">
        <v>11143.35</v>
      </c>
      <c r="N36" s="672">
        <v>2825.48</v>
      </c>
      <c r="O36" s="672">
        <v>2477.12</v>
      </c>
      <c r="P36" s="672">
        <v>9.25</v>
      </c>
      <c r="Q36" s="672">
        <f t="shared" si="7"/>
        <v>32197469.540000003</v>
      </c>
      <c r="R36" s="25"/>
      <c r="S36" s="25"/>
      <c r="T36" s="25"/>
      <c r="U36" s="123"/>
    </row>
    <row r="37" spans="1:21">
      <c r="B37" s="503">
        <f>SUM(B25:B36)</f>
        <v>45253727.769999996</v>
      </c>
      <c r="C37" s="503">
        <f t="shared" ref="C37:H37" si="8">SUM(C25:C36)</f>
        <v>0</v>
      </c>
      <c r="D37" s="503">
        <f t="shared" si="8"/>
        <v>16122.65</v>
      </c>
      <c r="E37" s="503">
        <f t="shared" si="8"/>
        <v>731</v>
      </c>
      <c r="F37" s="503">
        <f t="shared" si="8"/>
        <v>1899.8799999999999</v>
      </c>
      <c r="G37" s="503">
        <f t="shared" si="8"/>
        <v>118.25</v>
      </c>
      <c r="H37" s="503">
        <f t="shared" si="8"/>
        <v>45272599.549999997</v>
      </c>
      <c r="K37" s="503">
        <f>SUM(K25:K36)</f>
        <v>340570033.84999996</v>
      </c>
      <c r="L37" s="503">
        <f t="shared" ref="L37:Q37" si="9">SUM(L25:L36)</f>
        <v>751900.08000000007</v>
      </c>
      <c r="M37" s="503">
        <f t="shared" si="9"/>
        <v>126729.56</v>
      </c>
      <c r="N37" s="503">
        <f t="shared" si="9"/>
        <v>32861.270000000004</v>
      </c>
      <c r="O37" s="503">
        <f t="shared" si="9"/>
        <v>23647.919999999998</v>
      </c>
      <c r="P37" s="503">
        <f t="shared" si="9"/>
        <v>107.38999999999999</v>
      </c>
      <c r="Q37" s="503">
        <f t="shared" si="9"/>
        <v>341505280.06999999</v>
      </c>
      <c r="R37" s="25"/>
      <c r="S37" s="25"/>
      <c r="T37" s="25"/>
      <c r="U37" s="123"/>
    </row>
    <row r="38" spans="1:21">
      <c r="E38" s="98" t="s">
        <v>1404</v>
      </c>
      <c r="G38" s="503">
        <f>G37+F37</f>
        <v>2018.1299999999999</v>
      </c>
      <c r="N38" s="98" t="s">
        <v>1404</v>
      </c>
      <c r="P38" s="503">
        <f>P37+O37</f>
        <v>23755.309999999998</v>
      </c>
      <c r="Q38" s="25"/>
      <c r="R38" s="25"/>
      <c r="S38" s="25"/>
      <c r="T38" s="123"/>
    </row>
    <row r="39" spans="1:21">
      <c r="E39" s="98" t="s">
        <v>1405</v>
      </c>
      <c r="G39" s="674">
        <f>G38/H37</f>
        <v>4.4577294435481561E-5</v>
      </c>
      <c r="N39" s="98" t="s">
        <v>1405</v>
      </c>
      <c r="P39" s="674">
        <f>P38/Q37</f>
        <v>6.9560593602332468E-5</v>
      </c>
    </row>
    <row r="42" spans="1:21">
      <c r="A42" s="98" t="s">
        <v>1406</v>
      </c>
      <c r="F42" s="502">
        <f>SUMIF(L_1022_Rate_Category,"LGRSE511",L_1022_Count)</f>
        <v>4337986</v>
      </c>
      <c r="J42" s="134" t="s">
        <v>1412</v>
      </c>
      <c r="O42" s="502">
        <f>SUMIF(L_1022_Rate_Category,"LGRSE511",L_1022_KWH_Total)</f>
        <v>4266714109</v>
      </c>
    </row>
    <row r="43" spans="1:21">
      <c r="A43" s="98" t="s">
        <v>1407</v>
      </c>
      <c r="F43" s="675">
        <f>G21</f>
        <v>5.6000761610357902E-5</v>
      </c>
      <c r="J43" s="98" t="s">
        <v>1407</v>
      </c>
      <c r="O43" s="675">
        <f>P21</f>
        <v>7.7653503995162292E-5</v>
      </c>
    </row>
    <row r="44" spans="1:21">
      <c r="B44" s="134" t="s">
        <v>1410</v>
      </c>
      <c r="F44" s="130">
        <f>ROUND(F42*F43,0)</f>
        <v>243</v>
      </c>
      <c r="K44" s="134" t="s">
        <v>1410</v>
      </c>
      <c r="O44" s="130">
        <f>ROUND(O42*O43,0)</f>
        <v>331325</v>
      </c>
    </row>
    <row r="46" spans="1:21">
      <c r="B46" s="98" t="s">
        <v>1411</v>
      </c>
      <c r="F46" s="503">
        <f>F44*10.75</f>
        <v>2612.25</v>
      </c>
      <c r="O46" s="503"/>
    </row>
    <row r="47" spans="1:21">
      <c r="J47" s="98" t="s">
        <v>1413</v>
      </c>
      <c r="P47" s="98" t="s">
        <v>1424</v>
      </c>
    </row>
    <row r="48" spans="1:21">
      <c r="A48" s="98" t="s">
        <v>1414</v>
      </c>
      <c r="F48" s="130">
        <f>F42-F44</f>
        <v>4337743</v>
      </c>
      <c r="K48" s="98" t="s">
        <v>1325</v>
      </c>
      <c r="L48" s="98" t="s">
        <v>432</v>
      </c>
      <c r="M48" s="98" t="s">
        <v>433</v>
      </c>
      <c r="N48" s="98" t="s">
        <v>56</v>
      </c>
      <c r="P48" s="98" t="s">
        <v>1325</v>
      </c>
      <c r="Q48" s="98" t="s">
        <v>432</v>
      </c>
      <c r="R48" s="98" t="s">
        <v>433</v>
      </c>
    </row>
    <row r="49" spans="10:18">
      <c r="J49" s="98" t="s">
        <v>1389</v>
      </c>
      <c r="K49" s="502">
        <v>9234</v>
      </c>
      <c r="L49" s="502">
        <v>3190</v>
      </c>
      <c r="M49" s="502">
        <v>3230</v>
      </c>
      <c r="N49" s="130">
        <f>SUM(K49:M49)</f>
        <v>15654</v>
      </c>
      <c r="O49" s="130"/>
      <c r="P49" s="677">
        <f>K49/N49</f>
        <v>0.58988118052893834</v>
      </c>
      <c r="Q49" s="677">
        <f>L49/N49</f>
        <v>0.2037817810144372</v>
      </c>
      <c r="R49" s="677">
        <f>M49/N49</f>
        <v>0.20633703845662452</v>
      </c>
    </row>
    <row r="50" spans="10:18">
      <c r="J50" s="98" t="s">
        <v>1390</v>
      </c>
      <c r="K50" s="502">
        <v>6190</v>
      </c>
      <c r="L50" s="502">
        <v>2890</v>
      </c>
      <c r="M50" s="502">
        <v>1977</v>
      </c>
      <c r="N50" s="130">
        <f t="shared" ref="N50:N60" si="10">SUM(K50:M50)</f>
        <v>11057</v>
      </c>
      <c r="O50" s="130"/>
      <c r="P50" s="677">
        <f t="shared" ref="P50:P60" si="11">K50/N50</f>
        <v>0.55982635434566341</v>
      </c>
      <c r="Q50" s="677">
        <f t="shared" ref="Q50:Q60" si="12">L50/N50</f>
        <v>0.2613728859545989</v>
      </c>
      <c r="R50" s="677">
        <f t="shared" ref="R50:R60" si="13">M50/N50</f>
        <v>0.17880075969973772</v>
      </c>
    </row>
    <row r="51" spans="10:18">
      <c r="J51" s="98" t="s">
        <v>1391</v>
      </c>
      <c r="K51" s="502">
        <v>7211</v>
      </c>
      <c r="L51" s="502">
        <v>3567</v>
      </c>
      <c r="M51" s="502">
        <v>2100</v>
      </c>
      <c r="N51" s="130">
        <f t="shared" si="10"/>
        <v>12878</v>
      </c>
      <c r="O51" s="130"/>
      <c r="P51" s="677">
        <f t="shared" si="11"/>
        <v>0.55994719676968474</v>
      </c>
      <c r="Q51" s="677">
        <f t="shared" si="12"/>
        <v>0.27698400372728682</v>
      </c>
      <c r="R51" s="677">
        <f t="shared" si="13"/>
        <v>0.16306879950302841</v>
      </c>
    </row>
    <row r="52" spans="10:18">
      <c r="J52" s="98" t="s">
        <v>1392</v>
      </c>
      <c r="K52" s="502">
        <v>11596</v>
      </c>
      <c r="L52" s="502">
        <v>6068</v>
      </c>
      <c r="M52" s="502">
        <v>3701</v>
      </c>
      <c r="N52" s="130">
        <f t="shared" si="10"/>
        <v>21365</v>
      </c>
      <c r="O52" s="130"/>
      <c r="P52" s="677">
        <f t="shared" si="11"/>
        <v>0.54275684530774626</v>
      </c>
      <c r="Q52" s="677">
        <f t="shared" si="12"/>
        <v>0.28401591387783759</v>
      </c>
      <c r="R52" s="677">
        <f t="shared" si="13"/>
        <v>0.17322724081441609</v>
      </c>
    </row>
    <row r="53" spans="10:18">
      <c r="J53" s="98" t="s">
        <v>1393</v>
      </c>
      <c r="K53" s="502">
        <v>16825</v>
      </c>
      <c r="L53" s="502">
        <v>9781</v>
      </c>
      <c r="M53" s="502">
        <v>6128</v>
      </c>
      <c r="N53" s="130">
        <f t="shared" si="10"/>
        <v>32734</v>
      </c>
      <c r="O53" s="130"/>
      <c r="P53" s="677">
        <f t="shared" si="11"/>
        <v>0.51399156839982896</v>
      </c>
      <c r="Q53" s="677">
        <f t="shared" si="12"/>
        <v>0.29880246838149938</v>
      </c>
      <c r="R53" s="677">
        <f t="shared" si="13"/>
        <v>0.18720596321867172</v>
      </c>
    </row>
    <row r="54" spans="10:18">
      <c r="J54" s="98" t="s">
        <v>1394</v>
      </c>
      <c r="K54" s="502">
        <v>17494</v>
      </c>
      <c r="L54" s="502">
        <v>10384</v>
      </c>
      <c r="M54" s="502">
        <v>6872</v>
      </c>
      <c r="N54" s="130">
        <f t="shared" si="10"/>
        <v>34750</v>
      </c>
      <c r="O54" s="130"/>
      <c r="P54" s="677">
        <f t="shared" si="11"/>
        <v>0.50342446043165467</v>
      </c>
      <c r="Q54" s="677">
        <f t="shared" si="12"/>
        <v>0.29882014388489209</v>
      </c>
      <c r="R54" s="677">
        <f t="shared" si="13"/>
        <v>0.19775539568345324</v>
      </c>
    </row>
    <row r="55" spans="10:18">
      <c r="J55" s="98" t="s">
        <v>1395</v>
      </c>
      <c r="K55" s="502">
        <v>15327</v>
      </c>
      <c r="L55" s="502">
        <v>7392</v>
      </c>
      <c r="M55" s="502">
        <v>5213</v>
      </c>
      <c r="N55" s="130">
        <f t="shared" si="10"/>
        <v>27932</v>
      </c>
      <c r="O55" s="130"/>
      <c r="P55" s="677">
        <f t="shared" si="11"/>
        <v>0.54872547615637979</v>
      </c>
      <c r="Q55" s="677">
        <f t="shared" si="12"/>
        <v>0.26464270370900761</v>
      </c>
      <c r="R55" s="677">
        <f t="shared" si="13"/>
        <v>0.18663182013461263</v>
      </c>
    </row>
    <row r="56" spans="10:18">
      <c r="J56" s="98" t="s">
        <v>1396</v>
      </c>
      <c r="K56" s="502">
        <v>11898</v>
      </c>
      <c r="L56" s="502">
        <v>6179</v>
      </c>
      <c r="M56" s="502">
        <v>3689</v>
      </c>
      <c r="N56" s="130">
        <f t="shared" si="10"/>
        <v>21766</v>
      </c>
      <c r="O56" s="130"/>
      <c r="P56" s="677">
        <f t="shared" si="11"/>
        <v>0.54663236240007351</v>
      </c>
      <c r="Q56" s="677">
        <f t="shared" si="12"/>
        <v>0.2838831204631076</v>
      </c>
      <c r="R56" s="677">
        <f t="shared" si="13"/>
        <v>0.16948451713681889</v>
      </c>
    </row>
    <row r="57" spans="10:18">
      <c r="J57" s="98" t="s">
        <v>1397</v>
      </c>
      <c r="K57" s="502">
        <v>12066</v>
      </c>
      <c r="L57" s="502">
        <v>5858</v>
      </c>
      <c r="M57" s="502">
        <v>3658</v>
      </c>
      <c r="N57" s="130">
        <f t="shared" si="10"/>
        <v>21582</v>
      </c>
      <c r="O57" s="130"/>
      <c r="P57" s="677">
        <f t="shared" si="11"/>
        <v>0.55907700861829301</v>
      </c>
      <c r="Q57" s="677">
        <f t="shared" si="12"/>
        <v>0.27142989528310629</v>
      </c>
      <c r="R57" s="677">
        <f t="shared" si="13"/>
        <v>0.16949309609860069</v>
      </c>
    </row>
    <row r="58" spans="10:18">
      <c r="J58" s="98" t="s">
        <v>1398</v>
      </c>
      <c r="K58" s="502">
        <v>16876</v>
      </c>
      <c r="L58" s="502">
        <v>6254</v>
      </c>
      <c r="M58" s="502">
        <v>5862</v>
      </c>
      <c r="N58" s="130">
        <f t="shared" si="10"/>
        <v>28992</v>
      </c>
      <c r="O58" s="130"/>
      <c r="P58" s="677">
        <f t="shared" si="11"/>
        <v>0.58209161147902866</v>
      </c>
      <c r="Q58" s="677">
        <f t="shared" si="12"/>
        <v>0.21571467991169979</v>
      </c>
      <c r="R58" s="677">
        <f t="shared" si="13"/>
        <v>0.20219370860927152</v>
      </c>
    </row>
    <row r="59" spans="10:18">
      <c r="J59" s="98" t="s">
        <v>1399</v>
      </c>
      <c r="K59" s="502">
        <v>22339</v>
      </c>
      <c r="L59" s="502">
        <v>7822</v>
      </c>
      <c r="M59" s="502">
        <v>8136</v>
      </c>
      <c r="N59" s="130">
        <f t="shared" si="10"/>
        <v>38297</v>
      </c>
      <c r="O59" s="130"/>
      <c r="P59" s="677">
        <f t="shared" si="11"/>
        <v>0.58330939760294542</v>
      </c>
      <c r="Q59" s="677">
        <f t="shared" si="12"/>
        <v>0.20424576337572134</v>
      </c>
      <c r="R59" s="677">
        <f t="shared" si="13"/>
        <v>0.21244483902133326</v>
      </c>
    </row>
    <row r="60" spans="10:18">
      <c r="J60" s="98" t="s">
        <v>1400</v>
      </c>
      <c r="K60" s="502">
        <v>17970</v>
      </c>
      <c r="L60" s="502">
        <v>6663</v>
      </c>
      <c r="M60" s="502">
        <v>6326</v>
      </c>
      <c r="N60" s="130">
        <f t="shared" si="10"/>
        <v>30959</v>
      </c>
      <c r="O60" s="130"/>
      <c r="P60" s="677">
        <f t="shared" si="11"/>
        <v>0.58044510481604705</v>
      </c>
      <c r="Q60" s="677">
        <f t="shared" si="12"/>
        <v>0.21522012984915534</v>
      </c>
      <c r="R60" s="677">
        <f t="shared" si="13"/>
        <v>0.20433476533479764</v>
      </c>
    </row>
    <row r="61" spans="10:18">
      <c r="K61" s="130">
        <f t="shared" ref="K61:M61" si="14">SUM(K49:K60)</f>
        <v>165026</v>
      </c>
      <c r="L61" s="130">
        <f t="shared" si="14"/>
        <v>76048</v>
      </c>
      <c r="M61" s="130">
        <f t="shared" si="14"/>
        <v>56892</v>
      </c>
      <c r="N61" s="130">
        <f>SUM(N49:N60)</f>
        <v>297966</v>
      </c>
      <c r="O61" s="130"/>
      <c r="P61" s="677">
        <f>K61/N61</f>
        <v>0.55384171348408884</v>
      </c>
      <c r="Q61" s="677">
        <f>L61/N61</f>
        <v>0.25522375036077943</v>
      </c>
      <c r="R61" s="677">
        <f>M61/N61</f>
        <v>0.19093453615513178</v>
      </c>
    </row>
    <row r="63" spans="10:18">
      <c r="J63" s="134"/>
    </row>
    <row r="64" spans="10:18">
      <c r="L64" s="134" t="s">
        <v>1422</v>
      </c>
      <c r="P64" s="98" t="s">
        <v>1423</v>
      </c>
    </row>
    <row r="65" spans="10:20">
      <c r="K65" s="98" t="s">
        <v>1418</v>
      </c>
      <c r="L65" s="98" t="s">
        <v>1419</v>
      </c>
      <c r="M65" s="98" t="s">
        <v>1420</v>
      </c>
      <c r="N65" s="98" t="s">
        <v>1421</v>
      </c>
      <c r="P65" s="98" t="s">
        <v>1325</v>
      </c>
      <c r="Q65" s="98" t="s">
        <v>432</v>
      </c>
      <c r="R65" s="98" t="s">
        <v>433</v>
      </c>
      <c r="S65" s="98" t="s">
        <v>56</v>
      </c>
    </row>
    <row r="66" spans="10:20">
      <c r="J66" s="561">
        <v>42248</v>
      </c>
      <c r="K66" s="502">
        <v>387432170</v>
      </c>
      <c r="L66" s="675">
        <f>$P$21</f>
        <v>7.7653503995162292E-5</v>
      </c>
      <c r="M66" s="502">
        <f>ROUND(K66*L66,0)</f>
        <v>30085</v>
      </c>
      <c r="N66" s="130">
        <f>K66-M66</f>
        <v>387402085</v>
      </c>
      <c r="P66" s="334">
        <f>ROUND(M66*P49,0)</f>
        <v>17747</v>
      </c>
      <c r="Q66" s="13">
        <f>ROUND(M66*Q49,0)</f>
        <v>6131</v>
      </c>
      <c r="R66" s="13">
        <f>ROUND(M66*R49,0)</f>
        <v>6208</v>
      </c>
      <c r="S66" s="334">
        <f>SUM(P66:R66)</f>
        <v>30086</v>
      </c>
      <c r="T66" s="334">
        <f>M66-S66</f>
        <v>-1</v>
      </c>
    </row>
    <row r="67" spans="10:20">
      <c r="J67" s="561">
        <v>42278</v>
      </c>
      <c r="K67" s="502">
        <v>275120005</v>
      </c>
      <c r="L67" s="675">
        <f t="shared" ref="L67:L77" si="15">$P$21</f>
        <v>7.7653503995162292E-5</v>
      </c>
      <c r="M67" s="502">
        <f t="shared" ref="M67:M77" si="16">ROUND(K67*L67,0)</f>
        <v>21364</v>
      </c>
      <c r="N67" s="130">
        <f t="shared" ref="N67:N77" si="17">K67-M67</f>
        <v>275098641</v>
      </c>
      <c r="P67" s="334">
        <f t="shared" ref="P67:P77" si="18">ROUND(M67*P50,0)</f>
        <v>11960</v>
      </c>
      <c r="Q67" s="13">
        <f t="shared" ref="Q67:Q77" si="19">ROUND(M67*Q50,0)</f>
        <v>5584</v>
      </c>
      <c r="R67" s="13">
        <f t="shared" ref="R67:R77" si="20">ROUND(M67*R50,0)</f>
        <v>3820</v>
      </c>
      <c r="S67" s="334">
        <f t="shared" ref="S67:S77" si="21">SUM(P67:R67)</f>
        <v>21364</v>
      </c>
      <c r="T67" s="334">
        <f t="shared" ref="T67:T77" si="22">M67-S67</f>
        <v>0</v>
      </c>
    </row>
    <row r="68" spans="10:20">
      <c r="J68" s="561">
        <v>42309</v>
      </c>
      <c r="K68" s="502">
        <v>257476677</v>
      </c>
      <c r="L68" s="675">
        <f t="shared" si="15"/>
        <v>7.7653503995162292E-5</v>
      </c>
      <c r="M68" s="502">
        <f t="shared" si="16"/>
        <v>19994</v>
      </c>
      <c r="N68" s="130">
        <f t="shared" si="17"/>
        <v>257456683</v>
      </c>
      <c r="P68" s="334">
        <f t="shared" si="18"/>
        <v>11196</v>
      </c>
      <c r="Q68" s="13">
        <f t="shared" si="19"/>
        <v>5538</v>
      </c>
      <c r="R68" s="13">
        <f t="shared" si="20"/>
        <v>3260</v>
      </c>
      <c r="S68" s="334">
        <f t="shared" si="21"/>
        <v>19994</v>
      </c>
      <c r="T68" s="334">
        <f t="shared" si="22"/>
        <v>0</v>
      </c>
    </row>
    <row r="69" spans="10:20">
      <c r="J69" s="561">
        <v>42339</v>
      </c>
      <c r="K69" s="502">
        <v>335495731</v>
      </c>
      <c r="L69" s="675">
        <f t="shared" si="15"/>
        <v>7.7653503995162292E-5</v>
      </c>
      <c r="M69" s="502">
        <f t="shared" si="16"/>
        <v>26052</v>
      </c>
      <c r="N69" s="130">
        <f t="shared" si="17"/>
        <v>335469679</v>
      </c>
      <c r="O69" s="130"/>
      <c r="P69" s="334">
        <f t="shared" si="18"/>
        <v>14140</v>
      </c>
      <c r="Q69" s="13">
        <f t="shared" si="19"/>
        <v>7399</v>
      </c>
      <c r="R69" s="13">
        <f t="shared" si="20"/>
        <v>4513</v>
      </c>
      <c r="S69" s="334">
        <f t="shared" si="21"/>
        <v>26052</v>
      </c>
      <c r="T69" s="334">
        <f t="shared" si="22"/>
        <v>0</v>
      </c>
    </row>
    <row r="70" spans="10:20">
      <c r="J70" s="561">
        <v>42370</v>
      </c>
      <c r="K70" s="502">
        <v>375149152</v>
      </c>
      <c r="L70" s="675">
        <f t="shared" si="15"/>
        <v>7.7653503995162292E-5</v>
      </c>
      <c r="M70" s="502">
        <f t="shared" si="16"/>
        <v>29132</v>
      </c>
      <c r="N70" s="130">
        <f t="shared" si="17"/>
        <v>375120020</v>
      </c>
      <c r="P70" s="334">
        <f t="shared" si="18"/>
        <v>14974</v>
      </c>
      <c r="Q70" s="13">
        <f t="shared" si="19"/>
        <v>8705</v>
      </c>
      <c r="R70" s="13">
        <f t="shared" si="20"/>
        <v>5454</v>
      </c>
      <c r="S70" s="334">
        <f t="shared" si="21"/>
        <v>29133</v>
      </c>
      <c r="T70" s="334">
        <f t="shared" si="22"/>
        <v>-1</v>
      </c>
    </row>
    <row r="71" spans="10:20">
      <c r="J71" s="561">
        <v>42401</v>
      </c>
      <c r="K71" s="502">
        <v>328329893</v>
      </c>
      <c r="L71" s="675">
        <f t="shared" si="15"/>
        <v>7.7653503995162292E-5</v>
      </c>
      <c r="M71" s="502">
        <f t="shared" si="16"/>
        <v>25496</v>
      </c>
      <c r="N71" s="130">
        <f t="shared" si="17"/>
        <v>328304397</v>
      </c>
      <c r="P71" s="334">
        <f t="shared" si="18"/>
        <v>12835</v>
      </c>
      <c r="Q71" s="13">
        <f t="shared" si="19"/>
        <v>7619</v>
      </c>
      <c r="R71" s="13">
        <f t="shared" si="20"/>
        <v>5042</v>
      </c>
      <c r="S71" s="334">
        <f t="shared" si="21"/>
        <v>25496</v>
      </c>
      <c r="T71" s="334">
        <f t="shared" si="22"/>
        <v>0</v>
      </c>
    </row>
    <row r="72" spans="10:20">
      <c r="J72" s="561">
        <v>42430</v>
      </c>
      <c r="K72" s="502">
        <v>309085717</v>
      </c>
      <c r="L72" s="675">
        <f t="shared" si="15"/>
        <v>7.7653503995162292E-5</v>
      </c>
      <c r="M72" s="502">
        <f t="shared" si="16"/>
        <v>24002</v>
      </c>
      <c r="N72" s="130">
        <f t="shared" si="17"/>
        <v>309061715</v>
      </c>
      <c r="P72" s="334">
        <f t="shared" si="18"/>
        <v>13171</v>
      </c>
      <c r="Q72" s="13">
        <f t="shared" si="19"/>
        <v>6352</v>
      </c>
      <c r="R72" s="13">
        <f t="shared" si="20"/>
        <v>4480</v>
      </c>
      <c r="S72" s="334">
        <f t="shared" si="21"/>
        <v>24003</v>
      </c>
      <c r="T72" s="334">
        <f t="shared" si="22"/>
        <v>-1</v>
      </c>
    </row>
    <row r="73" spans="10:20">
      <c r="J73" s="561">
        <v>42461</v>
      </c>
      <c r="K73" s="502">
        <v>258348857</v>
      </c>
      <c r="L73" s="675">
        <f t="shared" si="15"/>
        <v>7.7653503995162292E-5</v>
      </c>
      <c r="M73" s="502">
        <f t="shared" si="16"/>
        <v>20062</v>
      </c>
      <c r="N73" s="130">
        <f t="shared" si="17"/>
        <v>258328795</v>
      </c>
      <c r="P73" s="334">
        <f t="shared" si="18"/>
        <v>10967</v>
      </c>
      <c r="Q73" s="13">
        <f t="shared" si="19"/>
        <v>5695</v>
      </c>
      <c r="R73" s="13">
        <f t="shared" si="20"/>
        <v>3400</v>
      </c>
      <c r="S73" s="334">
        <f t="shared" si="21"/>
        <v>20062</v>
      </c>
      <c r="T73" s="334">
        <f t="shared" si="22"/>
        <v>0</v>
      </c>
    </row>
    <row r="74" spans="10:20">
      <c r="J74" s="561">
        <v>42491</v>
      </c>
      <c r="K74" s="502">
        <v>295395538</v>
      </c>
      <c r="L74" s="675">
        <f t="shared" si="15"/>
        <v>7.7653503995162292E-5</v>
      </c>
      <c r="M74" s="502">
        <f t="shared" si="16"/>
        <v>22938</v>
      </c>
      <c r="N74" s="130">
        <f t="shared" si="17"/>
        <v>295372600</v>
      </c>
      <c r="P74" s="334">
        <f t="shared" si="18"/>
        <v>12824</v>
      </c>
      <c r="Q74" s="13">
        <f t="shared" si="19"/>
        <v>6226</v>
      </c>
      <c r="R74" s="13">
        <f t="shared" si="20"/>
        <v>3888</v>
      </c>
      <c r="S74" s="334">
        <f t="shared" si="21"/>
        <v>22938</v>
      </c>
      <c r="T74" s="334">
        <f t="shared" si="22"/>
        <v>0</v>
      </c>
    </row>
    <row r="75" spans="10:20">
      <c r="J75" s="561">
        <v>42522</v>
      </c>
      <c r="K75" s="502">
        <v>411112753</v>
      </c>
      <c r="L75" s="675">
        <f t="shared" si="15"/>
        <v>7.7653503995162292E-5</v>
      </c>
      <c r="M75" s="502">
        <f t="shared" si="16"/>
        <v>31924</v>
      </c>
      <c r="N75" s="130">
        <f t="shared" si="17"/>
        <v>411080829</v>
      </c>
      <c r="P75" s="334">
        <f t="shared" si="18"/>
        <v>18583</v>
      </c>
      <c r="Q75" s="13">
        <f t="shared" si="19"/>
        <v>6886</v>
      </c>
      <c r="R75" s="13">
        <f t="shared" si="20"/>
        <v>6455</v>
      </c>
      <c r="S75" s="334">
        <f t="shared" si="21"/>
        <v>31924</v>
      </c>
      <c r="T75" s="334">
        <f t="shared" si="22"/>
        <v>0</v>
      </c>
    </row>
    <row r="76" spans="10:20">
      <c r="J76" s="561">
        <v>42186</v>
      </c>
      <c r="K76" s="502">
        <v>517311366</v>
      </c>
      <c r="L76" s="675">
        <f t="shared" si="15"/>
        <v>7.7653503995162292E-5</v>
      </c>
      <c r="M76" s="502">
        <f t="shared" si="16"/>
        <v>40171</v>
      </c>
      <c r="N76" s="130">
        <f t="shared" si="17"/>
        <v>517271195</v>
      </c>
      <c r="P76" s="334">
        <f t="shared" si="18"/>
        <v>23432</v>
      </c>
      <c r="Q76" s="13">
        <f t="shared" si="19"/>
        <v>8205</v>
      </c>
      <c r="R76" s="13">
        <f t="shared" si="20"/>
        <v>8534</v>
      </c>
      <c r="S76" s="334">
        <f t="shared" si="21"/>
        <v>40171</v>
      </c>
      <c r="T76" s="334">
        <f t="shared" si="22"/>
        <v>0</v>
      </c>
    </row>
    <row r="77" spans="10:20">
      <c r="J77" s="561">
        <v>42217</v>
      </c>
      <c r="K77" s="502">
        <v>516787603</v>
      </c>
      <c r="L77" s="675">
        <f t="shared" si="15"/>
        <v>7.7653503995162292E-5</v>
      </c>
      <c r="M77" s="502">
        <f t="shared" si="16"/>
        <v>40130</v>
      </c>
      <c r="N77" s="130">
        <f t="shared" si="17"/>
        <v>516747473</v>
      </c>
      <c r="P77" s="334">
        <f t="shared" si="18"/>
        <v>23293</v>
      </c>
      <c r="Q77" s="13">
        <f t="shared" si="19"/>
        <v>8637</v>
      </c>
      <c r="R77" s="13">
        <f t="shared" si="20"/>
        <v>8200</v>
      </c>
      <c r="S77" s="334">
        <f t="shared" si="21"/>
        <v>40130</v>
      </c>
      <c r="T77" s="334">
        <f t="shared" si="22"/>
        <v>0</v>
      </c>
    </row>
    <row r="78" spans="10:20">
      <c r="K78" s="130">
        <f>SUM(K66:K77)</f>
        <v>4267045462</v>
      </c>
      <c r="M78" s="130">
        <f>SUM(M66:M77)</f>
        <v>331350</v>
      </c>
      <c r="N78" s="130">
        <f>K78-M78</f>
        <v>4266714112</v>
      </c>
      <c r="P78" s="334">
        <f>SUM(P66:P77)</f>
        <v>185122</v>
      </c>
      <c r="Q78" s="334">
        <f>SUM(Q66:Q77)</f>
        <v>82977</v>
      </c>
      <c r="R78" s="334">
        <f>SUM(R66:R77)</f>
        <v>63254</v>
      </c>
      <c r="S78" s="334">
        <f>SUM(S66:S77)</f>
        <v>331353</v>
      </c>
    </row>
    <row r="81" spans="1:16">
      <c r="B81" s="134" t="s">
        <v>1436</v>
      </c>
      <c r="F81" s="134" t="s">
        <v>1437</v>
      </c>
      <c r="J81" s="98" t="s">
        <v>1438</v>
      </c>
      <c r="N81" s="134" t="s">
        <v>1439</v>
      </c>
    </row>
    <row r="82" spans="1:16">
      <c r="B82" s="599" t="s">
        <v>811</v>
      </c>
      <c r="C82" s="599" t="s">
        <v>1440</v>
      </c>
      <c r="D82" s="599" t="s">
        <v>1441</v>
      </c>
      <c r="E82" s="599"/>
      <c r="F82" s="599" t="s">
        <v>57</v>
      </c>
      <c r="G82" s="599" t="s">
        <v>788</v>
      </c>
      <c r="H82" s="599" t="s">
        <v>58</v>
      </c>
      <c r="J82" s="599" t="s">
        <v>57</v>
      </c>
      <c r="K82" s="599" t="s">
        <v>788</v>
      </c>
      <c r="L82" s="599" t="s">
        <v>58</v>
      </c>
      <c r="N82" s="599" t="s">
        <v>57</v>
      </c>
      <c r="O82" s="599" t="s">
        <v>788</v>
      </c>
      <c r="P82" s="599" t="s">
        <v>58</v>
      </c>
    </row>
    <row r="83" spans="1:16">
      <c r="A83" s="561">
        <v>42248</v>
      </c>
      <c r="B83" s="98">
        <v>1.58635242448738E-3</v>
      </c>
      <c r="C83" s="98">
        <v>1.2829590671443E-2</v>
      </c>
      <c r="D83" s="98">
        <v>5.0606884383253503E-2</v>
      </c>
      <c r="F83" s="98">
        <v>102.43399361771699</v>
      </c>
      <c r="G83" s="98">
        <v>828.43269167076801</v>
      </c>
      <c r="H83" s="98">
        <v>3267.0264161042401</v>
      </c>
      <c r="J83" s="25">
        <f>B83*$S66/10</f>
        <v>4.7726999043127316</v>
      </c>
      <c r="K83" s="25">
        <f>C83*$S66/10</f>
        <v>38.59910649410341</v>
      </c>
      <c r="L83" s="25">
        <f>D83*$S66/10</f>
        <v>152.25587235545649</v>
      </c>
      <c r="N83" s="123">
        <f>F83*1000-J83</f>
        <v>102429.22091781268</v>
      </c>
      <c r="O83" s="123">
        <f t="shared" ref="O83:P94" si="23">G83*1000-K83</f>
        <v>828394.09256427386</v>
      </c>
      <c r="P83" s="123">
        <f t="shared" si="23"/>
        <v>3266874.1602318846</v>
      </c>
    </row>
    <row r="84" spans="1:16">
      <c r="A84" s="561">
        <v>42278</v>
      </c>
      <c r="B84" s="98">
        <v>-1.3013906089847801E-3</v>
      </c>
      <c r="C84" s="98">
        <v>1.3941652758158099E-2</v>
      </c>
      <c r="D84" s="98">
        <v>5.7286364587281598E-2</v>
      </c>
      <c r="F84" s="98">
        <v>-59.673098494724698</v>
      </c>
      <c r="G84" s="98">
        <v>639.27126296525</v>
      </c>
      <c r="H84" s="98">
        <v>3311.7724313153099</v>
      </c>
      <c r="J84" s="25">
        <f t="shared" ref="J84:J94" si="24">B84*$S67/10</f>
        <v>-2.7802908970350844</v>
      </c>
      <c r="K84" s="25">
        <f t="shared" ref="K84:K94" si="25">C84*$S67/10</f>
        <v>29.784946952528962</v>
      </c>
      <c r="L84" s="25">
        <f t="shared" ref="L84:L94" si="26">D84*$S67/10</f>
        <v>122.38658930426841</v>
      </c>
      <c r="N84" s="123">
        <f t="shared" ref="N84:N94" si="27">F84*1000-J84</f>
        <v>-59670.318203827665</v>
      </c>
      <c r="O84" s="123">
        <f t="shared" si="23"/>
        <v>639241.47801829746</v>
      </c>
      <c r="P84" s="123">
        <f t="shared" si="23"/>
        <v>3311650.0447260058</v>
      </c>
    </row>
    <row r="85" spans="1:16">
      <c r="A85" s="561">
        <v>42309</v>
      </c>
      <c r="B85" s="98">
        <v>-1.3347911943979601E-3</v>
      </c>
      <c r="C85" s="98">
        <v>1.44079728557884E-2</v>
      </c>
      <c r="D85" s="98">
        <v>6.1860198420512401E-2</v>
      </c>
      <c r="F85" s="98">
        <v>-57.279600201719298</v>
      </c>
      <c r="G85" s="98">
        <v>618.28616218060995</v>
      </c>
      <c r="H85" s="98">
        <v>3267.7891696114698</v>
      </c>
      <c r="J85" s="25">
        <f t="shared" si="24"/>
        <v>-2.6687815140792814</v>
      </c>
      <c r="K85" s="25">
        <f t="shared" si="25"/>
        <v>28.807300927863327</v>
      </c>
      <c r="L85" s="25">
        <f t="shared" si="26"/>
        <v>123.68328072197251</v>
      </c>
      <c r="N85" s="123">
        <f t="shared" si="27"/>
        <v>-57276.931420205219</v>
      </c>
      <c r="O85" s="123">
        <f t="shared" si="23"/>
        <v>618257.35487968219</v>
      </c>
      <c r="P85" s="123">
        <f t="shared" si="23"/>
        <v>3267665.4863307481</v>
      </c>
    </row>
    <row r="86" spans="1:16">
      <c r="A86" s="561">
        <v>42339</v>
      </c>
      <c r="B86" s="98">
        <v>-4.7061368582064899E-3</v>
      </c>
      <c r="C86" s="98">
        <v>1.34403580037463E-2</v>
      </c>
      <c r="D86" s="98">
        <v>5.5596127422796397E-2</v>
      </c>
      <c r="F86" s="98">
        <v>-263.14813787612502</v>
      </c>
      <c r="G86" s="98">
        <v>751.530456430924</v>
      </c>
      <c r="H86" s="98">
        <v>2626.7708194761699</v>
      </c>
      <c r="J86" s="25">
        <f t="shared" si="24"/>
        <v>-12.260427742999548</v>
      </c>
      <c r="K86" s="25">
        <f t="shared" si="25"/>
        <v>35.014820671359857</v>
      </c>
      <c r="L86" s="25">
        <f t="shared" si="26"/>
        <v>144.83903116186917</v>
      </c>
      <c r="N86" s="123">
        <f t="shared" si="27"/>
        <v>-263135.87744838197</v>
      </c>
      <c r="O86" s="123">
        <f t="shared" si="23"/>
        <v>751495.4416102526</v>
      </c>
      <c r="P86" s="123">
        <f t="shared" si="23"/>
        <v>2626625.9804450083</v>
      </c>
    </row>
    <row r="87" spans="1:16">
      <c r="A87" s="561">
        <v>42370</v>
      </c>
      <c r="B87" s="98">
        <v>-1.5283108704877001E-2</v>
      </c>
      <c r="C87" s="98">
        <v>7.8306377197624403E-3</v>
      </c>
      <c r="D87" s="98">
        <v>5.3854794570280397E-2</v>
      </c>
      <c r="F87" s="98">
        <v>-955.57421198072495</v>
      </c>
      <c r="G87" s="98">
        <v>489.609516811243</v>
      </c>
      <c r="H87" s="98">
        <v>2654.59305455199</v>
      </c>
      <c r="J87" s="25">
        <f t="shared" si="24"/>
        <v>-44.524280589918163</v>
      </c>
      <c r="K87" s="25">
        <f t="shared" si="25"/>
        <v>22.812996868983916</v>
      </c>
      <c r="L87" s="25">
        <f t="shared" si="26"/>
        <v>156.89517302159788</v>
      </c>
      <c r="N87" s="123">
        <f t="shared" si="27"/>
        <v>-955529.68770013505</v>
      </c>
      <c r="O87" s="123">
        <f t="shared" si="23"/>
        <v>489586.70381437405</v>
      </c>
      <c r="P87" s="123">
        <f t="shared" si="23"/>
        <v>2654436.1593789686</v>
      </c>
    </row>
    <row r="88" spans="1:16">
      <c r="A88" s="561">
        <v>42401</v>
      </c>
      <c r="B88" s="98">
        <v>-3.1766572538630397E-2</v>
      </c>
      <c r="C88" s="98">
        <v>8.5509727115502306E-3</v>
      </c>
      <c r="D88" s="98">
        <v>5.7483008114382401E-2</v>
      </c>
      <c r="F88" s="98">
        <v>-1738.3192270361801</v>
      </c>
      <c r="G88" s="98">
        <v>467.92332588835001</v>
      </c>
      <c r="H88" s="98">
        <v>3108.7105720100399</v>
      </c>
      <c r="J88" s="25">
        <f t="shared" si="24"/>
        <v>-80.992053344492064</v>
      </c>
      <c r="K88" s="25">
        <f t="shared" si="25"/>
        <v>21.801560025368467</v>
      </c>
      <c r="L88" s="25">
        <f t="shared" si="26"/>
        <v>146.55867748842937</v>
      </c>
      <c r="N88" s="123">
        <f t="shared" si="27"/>
        <v>-1738238.2349828358</v>
      </c>
      <c r="O88" s="123">
        <f t="shared" si="23"/>
        <v>467901.52432832465</v>
      </c>
      <c r="P88" s="123">
        <f t="shared" si="23"/>
        <v>3108564.0133325513</v>
      </c>
    </row>
    <row r="89" spans="1:16">
      <c r="A89" s="561">
        <v>42430</v>
      </c>
      <c r="B89" s="98">
        <v>-8.4611276047803809E-3</v>
      </c>
      <c r="C89" s="98">
        <v>1.0118928313919799E-2</v>
      </c>
      <c r="D89" s="98">
        <v>6.2213187423472101E-2</v>
      </c>
      <c r="F89" s="98">
        <v>-435.86894814587703</v>
      </c>
      <c r="G89" s="98">
        <v>521.26936817025603</v>
      </c>
      <c r="H89" s="98">
        <v>3367.2634198078599</v>
      </c>
      <c r="J89" s="25">
        <f t="shared" si="24"/>
        <v>-20.30924458975435</v>
      </c>
      <c r="K89" s="25">
        <f t="shared" si="25"/>
        <v>24.288463631901696</v>
      </c>
      <c r="L89" s="25">
        <f t="shared" si="26"/>
        <v>149.33031377256009</v>
      </c>
      <c r="N89" s="123">
        <f t="shared" si="27"/>
        <v>-435848.63890128728</v>
      </c>
      <c r="O89" s="123">
        <f t="shared" si="23"/>
        <v>521245.07970662415</v>
      </c>
      <c r="P89" s="123">
        <f t="shared" si="23"/>
        <v>3367114.0894940873</v>
      </c>
    </row>
    <row r="90" spans="1:16">
      <c r="A90" s="561">
        <v>42461</v>
      </c>
      <c r="B90" s="98">
        <v>-5.2272836884575697E-3</v>
      </c>
      <c r="C90" s="98">
        <v>1.0069925805162101E-2</v>
      </c>
      <c r="D90" s="98">
        <v>6.6420844618385197E-2</v>
      </c>
      <c r="F90" s="98">
        <v>-225.077127680014</v>
      </c>
      <c r="G90" s="98">
        <v>433.592303624436</v>
      </c>
      <c r="H90" s="98">
        <v>3145.5649838078498</v>
      </c>
      <c r="J90" s="25">
        <f t="shared" si="24"/>
        <v>-10.486976535783576</v>
      </c>
      <c r="K90" s="25">
        <f t="shared" si="25"/>
        <v>20.202285150316207</v>
      </c>
      <c r="L90" s="25">
        <f t="shared" si="26"/>
        <v>133.25349847340436</v>
      </c>
      <c r="N90" s="123">
        <f t="shared" si="27"/>
        <v>-225066.64070347822</v>
      </c>
      <c r="O90" s="123">
        <f t="shared" si="23"/>
        <v>433572.10133928573</v>
      </c>
      <c r="P90" s="123">
        <f t="shared" si="23"/>
        <v>3145431.7303093765</v>
      </c>
    </row>
    <row r="91" spans="1:16">
      <c r="A91" s="561">
        <v>42491</v>
      </c>
      <c r="B91" s="98">
        <v>1.1574811450060301E-3</v>
      </c>
      <c r="C91" s="98">
        <v>1.2559150954996099E-2</v>
      </c>
      <c r="D91" s="98">
        <v>6.2804887176689195E-2</v>
      </c>
      <c r="F91" s="98">
        <v>56.9857941798086</v>
      </c>
      <c r="G91" s="98">
        <v>618.31952466994403</v>
      </c>
      <c r="H91" s="98">
        <v>3204.8679360125302</v>
      </c>
      <c r="J91" s="25">
        <f t="shared" si="24"/>
        <v>2.655030250414832</v>
      </c>
      <c r="K91" s="25">
        <f t="shared" si="25"/>
        <v>28.808180460570053</v>
      </c>
      <c r="L91" s="25">
        <f t="shared" si="26"/>
        <v>144.06185020588967</v>
      </c>
      <c r="N91" s="123">
        <f t="shared" si="27"/>
        <v>56983.139149558185</v>
      </c>
      <c r="O91" s="123">
        <f t="shared" si="23"/>
        <v>618290.71648948349</v>
      </c>
      <c r="P91" s="123">
        <f t="shared" si="23"/>
        <v>3204723.8741623242</v>
      </c>
    </row>
    <row r="92" spans="1:16">
      <c r="A92" s="561">
        <v>42522</v>
      </c>
      <c r="B92" s="98">
        <v>9.0899400438176105E-3</v>
      </c>
      <c r="C92" s="98">
        <v>9.8648213412920304E-3</v>
      </c>
      <c r="D92" s="98">
        <v>5.5375694560580599E-2</v>
      </c>
      <c r="F92" s="98">
        <v>622.83171295081195</v>
      </c>
      <c r="G92" s="98">
        <v>675.92564355025297</v>
      </c>
      <c r="H92" s="98">
        <v>2859.95821458811</v>
      </c>
      <c r="J92" s="25">
        <f t="shared" si="24"/>
        <v>29.018724595883338</v>
      </c>
      <c r="K92" s="25">
        <f t="shared" si="25"/>
        <v>31.492455649940677</v>
      </c>
      <c r="L92" s="25">
        <f t="shared" si="26"/>
        <v>176.78136731519751</v>
      </c>
      <c r="N92" s="123">
        <f t="shared" si="27"/>
        <v>622802.69422621606</v>
      </c>
      <c r="O92" s="123">
        <f t="shared" si="23"/>
        <v>675894.15109460312</v>
      </c>
      <c r="P92" s="123">
        <f t="shared" si="23"/>
        <v>2859781.4332207949</v>
      </c>
    </row>
    <row r="93" spans="1:16">
      <c r="A93" s="561">
        <v>42186</v>
      </c>
      <c r="B93" s="98">
        <v>1.1752476815165501E-2</v>
      </c>
      <c r="C93" s="98">
        <v>9.8812838799753194E-3</v>
      </c>
      <c r="D93" s="98">
        <v>3.7892379279270798E-2</v>
      </c>
      <c r="F93" s="98">
        <v>1013.28163974129</v>
      </c>
      <c r="G93" s="98">
        <v>851.95007742795895</v>
      </c>
      <c r="H93" s="98">
        <v>3092.04723513509</v>
      </c>
      <c r="J93" s="25">
        <f t="shared" si="24"/>
        <v>47.21087461420133</v>
      </c>
      <c r="K93" s="25">
        <f t="shared" si="25"/>
        <v>39.694105474248857</v>
      </c>
      <c r="L93" s="25">
        <f t="shared" si="26"/>
        <v>152.21747680275871</v>
      </c>
      <c r="N93" s="123">
        <f t="shared" si="27"/>
        <v>1013234.4288666757</v>
      </c>
      <c r="O93" s="123">
        <f t="shared" si="23"/>
        <v>851910.38332248467</v>
      </c>
      <c r="P93" s="123">
        <f t="shared" si="23"/>
        <v>3091895.0176582872</v>
      </c>
    </row>
    <row r="94" spans="1:16">
      <c r="A94" s="561">
        <v>42217</v>
      </c>
      <c r="B94" s="98">
        <v>1.29033738995846E-2</v>
      </c>
      <c r="C94" s="98">
        <v>1.21547152395275E-2</v>
      </c>
      <c r="D94" s="98">
        <v>3.84502927020259E-2</v>
      </c>
      <c r="F94" s="98">
        <v>1111.3839440121201</v>
      </c>
      <c r="G94" s="98">
        <v>1046.90102498581</v>
      </c>
      <c r="H94" s="98">
        <v>3794.2757083931501</v>
      </c>
      <c r="J94" s="25">
        <f t="shared" si="24"/>
        <v>51.781239459032996</v>
      </c>
      <c r="K94" s="25">
        <f t="shared" si="25"/>
        <v>48.776872256223854</v>
      </c>
      <c r="L94" s="25">
        <f t="shared" si="26"/>
        <v>154.30102461322991</v>
      </c>
      <c r="N94" s="123">
        <f t="shared" si="27"/>
        <v>1111332.1627726611</v>
      </c>
      <c r="O94" s="123">
        <f t="shared" si="23"/>
        <v>1046852.2481135537</v>
      </c>
      <c r="P94" s="123">
        <f t="shared" si="23"/>
        <v>3794121.4073685366</v>
      </c>
    </row>
    <row r="96" spans="1:16">
      <c r="F96" s="98">
        <f>SUM(F83:F94)</f>
        <v>-828.02326691361759</v>
      </c>
      <c r="G96" s="98">
        <f t="shared" ref="G96:H96" si="28">SUM(G83:G94)</f>
        <v>7943.011358375803</v>
      </c>
      <c r="H96" s="98">
        <f t="shared" si="28"/>
        <v>37700.639960813809</v>
      </c>
      <c r="J96" s="123">
        <f>SUM(J83:J94)</f>
        <v>-38.583486390216869</v>
      </c>
      <c r="K96" s="123">
        <f t="shared" ref="K96:L96" si="29">SUM(K83:K94)</f>
        <v>370.08309456340925</v>
      </c>
      <c r="L96" s="123">
        <f t="shared" si="29"/>
        <v>1756.564155236634</v>
      </c>
      <c r="N96" s="123">
        <f>SUM(N83:N94)</f>
        <v>-827984.68342722766</v>
      </c>
      <c r="O96" s="123">
        <f t="shared" ref="O96:P96" si="30">SUM(O83:O94)</f>
        <v>7942641.2752812412</v>
      </c>
      <c r="P96" s="123">
        <f t="shared" si="30"/>
        <v>37698883.39665857</v>
      </c>
    </row>
    <row r="100" spans="2:9">
      <c r="B100" s="98" t="s">
        <v>1442</v>
      </c>
      <c r="G100" s="98" t="s">
        <v>1443</v>
      </c>
      <c r="I100" s="98" t="s">
        <v>1444</v>
      </c>
    </row>
    <row r="101" spans="2:9">
      <c r="C101" s="599" t="s">
        <v>1445</v>
      </c>
      <c r="D101" s="599" t="s">
        <v>125</v>
      </c>
      <c r="E101" s="599" t="s">
        <v>109</v>
      </c>
    </row>
    <row r="102" spans="2:9">
      <c r="B102" s="98" t="s">
        <v>75</v>
      </c>
      <c r="C102" s="130">
        <f>F44</f>
        <v>243</v>
      </c>
      <c r="D102" s="98">
        <v>10.75</v>
      </c>
      <c r="E102" s="25">
        <f>C102*D102</f>
        <v>2612.25</v>
      </c>
      <c r="G102" s="25">
        <f>SUMIF(L_SBR_Rate_Category,"LGRSE511",L_SBR_BSC_Revenue)</f>
        <v>46635963</v>
      </c>
      <c r="I102" s="123">
        <f>G102-E102</f>
        <v>46633350.75</v>
      </c>
    </row>
    <row r="103" spans="2:9">
      <c r="B103" s="98" t="s">
        <v>1446</v>
      </c>
      <c r="C103" s="334">
        <f>$P$78</f>
        <v>185122</v>
      </c>
      <c r="D103" s="98">
        <f>Rates!$G$277</f>
        <v>5.8200000000000002E-2</v>
      </c>
      <c r="E103" s="25">
        <f>ROUND(C103*D103,2)</f>
        <v>10774.1</v>
      </c>
      <c r="G103" s="25">
        <f>SUMIF(L_SBR_Rate_Category,"LGRSE511",L_SBR_Energy_Revenue)</f>
        <v>344606590</v>
      </c>
      <c r="I103" s="123">
        <f>G103-SUM(E103:E105)</f>
        <v>344580120.70999998</v>
      </c>
    </row>
    <row r="104" spans="2:9">
      <c r="B104" s="98" t="s">
        <v>1447</v>
      </c>
      <c r="C104" s="334">
        <f>$Q$78</f>
        <v>82977</v>
      </c>
      <c r="D104" s="98">
        <f>Rates!$H$277</f>
        <v>7.8990000000000005E-2</v>
      </c>
      <c r="E104" s="25">
        <f t="shared" ref="E104:E105" si="31">ROUND(C104*D104,2)</f>
        <v>6554.35</v>
      </c>
    </row>
    <row r="105" spans="2:9">
      <c r="B105" s="98" t="s">
        <v>1448</v>
      </c>
      <c r="C105" s="334">
        <f>$R$78</f>
        <v>63254</v>
      </c>
      <c r="D105" s="98">
        <f>Rates!$I$277</f>
        <v>0.14451000000000003</v>
      </c>
      <c r="E105" s="25">
        <f t="shared" si="31"/>
        <v>9140.84</v>
      </c>
    </row>
    <row r="107" spans="2:9">
      <c r="B107" s="98" t="s">
        <v>57</v>
      </c>
      <c r="E107" s="123">
        <f>J96</f>
        <v>-38.583486390216869</v>
      </c>
      <c r="G107" s="25">
        <f>SUMIF(L_SBR_Rate_Category,"LGRSE511",L_SBR_FAC)</f>
        <v>-828022</v>
      </c>
      <c r="I107" s="123">
        <f t="shared" ref="I107:I109" si="32">G107-E107</f>
        <v>-827983.41651360982</v>
      </c>
    </row>
    <row r="108" spans="2:9">
      <c r="B108" s="98" t="s">
        <v>788</v>
      </c>
      <c r="E108" s="123">
        <f>K96</f>
        <v>370.08309456340925</v>
      </c>
      <c r="G108" s="25">
        <f>SUMIF(L_SBR_Rate_Category,"LGRSE511",L_SBR_DSM)</f>
        <v>7943011</v>
      </c>
      <c r="I108" s="123">
        <f t="shared" si="32"/>
        <v>7942640.9169054367</v>
      </c>
    </row>
    <row r="109" spans="2:9">
      <c r="B109" s="98" t="s">
        <v>58</v>
      </c>
      <c r="E109" s="123">
        <f>L96</f>
        <v>1756.564155236634</v>
      </c>
      <c r="G109" s="25">
        <f>SUMIF(L_SBR_Rate_Category,"LGRSE511",L_SBR_ECR)</f>
        <v>37700639</v>
      </c>
      <c r="I109" s="123">
        <f t="shared" si="32"/>
        <v>37698882.435844764</v>
      </c>
    </row>
    <row r="111" spans="2:9">
      <c r="C111" s="98" t="s">
        <v>56</v>
      </c>
      <c r="E111" s="123">
        <f>SUM(E102:E109)</f>
        <v>31169.603763409825</v>
      </c>
      <c r="G111" s="123">
        <f>SUM(G102:G109)</f>
        <v>436058181</v>
      </c>
      <c r="I111" s="123">
        <f>SUM(I102:I109)</f>
        <v>436027011.3962366</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sheetViews>
  <sheetFormatPr defaultRowHeight="12"/>
  <cols>
    <col min="1" max="1" width="18.6640625" style="98" customWidth="1"/>
    <col min="2" max="2" width="17" style="98" customWidth="1"/>
    <col min="3" max="3" width="13.33203125" style="98" bestFit="1" customWidth="1"/>
    <col min="4" max="4" width="14.1640625" style="98" bestFit="1" customWidth="1"/>
    <col min="5" max="5" width="15.1640625" style="98" bestFit="1" customWidth="1"/>
    <col min="6" max="6" width="19.6640625" style="98" customWidth="1"/>
    <col min="7" max="8" width="12.5" style="98" bestFit="1" customWidth="1"/>
    <col min="9" max="9" width="9.33203125" style="98"/>
    <col min="10" max="10" width="13.1640625" style="98" customWidth="1"/>
    <col min="11" max="11" width="10.1640625" style="98" bestFit="1" customWidth="1"/>
    <col min="12" max="12" width="13" style="98" customWidth="1"/>
    <col min="13" max="14" width="9.33203125" style="98"/>
    <col min="15" max="15" width="13" style="98" bestFit="1" customWidth="1"/>
    <col min="16" max="16" width="9.33203125" style="98"/>
    <col min="17" max="17" width="13.33203125" style="98" customWidth="1"/>
    <col min="18" max="18" width="12.1640625" style="98" customWidth="1"/>
    <col min="19" max="19" width="9.33203125" style="98"/>
    <col min="20" max="20" width="14.6640625" style="98" customWidth="1"/>
    <col min="21" max="21" width="12.5" style="98" bestFit="1" customWidth="1"/>
    <col min="22" max="16384" width="9.33203125" style="98"/>
  </cols>
  <sheetData>
    <row r="1" spans="1:21">
      <c r="B1" s="134" t="s">
        <v>1471</v>
      </c>
      <c r="F1" s="134" t="s">
        <v>1449</v>
      </c>
      <c r="J1" s="98" t="s">
        <v>1450</v>
      </c>
      <c r="N1" s="98" t="s">
        <v>1473</v>
      </c>
      <c r="Q1" s="134" t="s">
        <v>1451</v>
      </c>
      <c r="T1" s="134" t="s">
        <v>1452</v>
      </c>
    </row>
    <row r="2" spans="1:21">
      <c r="B2" s="98" t="s">
        <v>793</v>
      </c>
      <c r="F2" s="98" t="s">
        <v>793</v>
      </c>
      <c r="G2" s="134" t="s">
        <v>395</v>
      </c>
      <c r="H2" s="134" t="s">
        <v>397</v>
      </c>
      <c r="J2" s="134" t="s">
        <v>395</v>
      </c>
      <c r="K2" s="134" t="s">
        <v>397</v>
      </c>
      <c r="L2" s="134" t="s">
        <v>793</v>
      </c>
      <c r="N2" s="98" t="s">
        <v>1453</v>
      </c>
      <c r="O2" s="98" t="s">
        <v>1454</v>
      </c>
      <c r="Q2" s="134" t="s">
        <v>395</v>
      </c>
      <c r="R2" s="134" t="s">
        <v>397</v>
      </c>
      <c r="T2" s="134" t="s">
        <v>395</v>
      </c>
      <c r="U2" s="134" t="s">
        <v>397</v>
      </c>
    </row>
    <row r="3" spans="1:21">
      <c r="B3" s="98" t="s">
        <v>831</v>
      </c>
      <c r="C3" s="98" t="s">
        <v>57</v>
      </c>
      <c r="D3" s="98" t="s">
        <v>58</v>
      </c>
      <c r="E3" s="98" t="s">
        <v>77</v>
      </c>
      <c r="F3" s="98" t="s">
        <v>1472</v>
      </c>
      <c r="G3" s="134"/>
      <c r="H3" s="134"/>
      <c r="Q3" s="98" t="s">
        <v>17</v>
      </c>
      <c r="R3" s="98" t="s">
        <v>18</v>
      </c>
      <c r="T3" s="98" t="s">
        <v>17</v>
      </c>
      <c r="U3" s="98" t="s">
        <v>18</v>
      </c>
    </row>
    <row r="4" spans="1:21">
      <c r="A4" s="682" t="s">
        <v>1455</v>
      </c>
      <c r="B4" s="25">
        <f t="shared" ref="B4:B15" si="0">SUMIFS(L_SBR_Revenue_Total,L_SBR_Rate_Category,$B$2,L_SBR_Revenue_Month,$A4)</f>
        <v>1613472</v>
      </c>
      <c r="C4" s="25">
        <f t="shared" ref="C4:C15" si="1">SUMIFS(L_SBR_FAC,L_SBR_Rate_Category,$B$2,L_SBR_Revenue_Month,$A4)</f>
        <v>14702</v>
      </c>
      <c r="D4" s="25">
        <f t="shared" ref="D4:D15" si="2">SUMIFS(L_SBR_ECR,L_SBR_Rate_Category,$B$2,L_SBR_Revenue_Month,$A4)</f>
        <v>47403</v>
      </c>
      <c r="E4" s="25">
        <f>B4-C4-D4</f>
        <v>1551367</v>
      </c>
      <c r="F4" s="25">
        <f t="shared" ref="F4:F15" si="3">SUMIFS(L_12MonLights_Revenue_Total_Calc,L_12MonLights_Revenue_Month,A4)</f>
        <v>1483841.5699999998</v>
      </c>
      <c r="G4" s="25">
        <f t="shared" ref="G4:G15" si="4">SUMIFS(L_12MonResults_Revenue_Base_Calculated,L_12MonResults_RateCategory,$G$2,L_12MonResults_Revenue_Month,$A4)</f>
        <v>17075.650000000001</v>
      </c>
      <c r="H4" s="25">
        <f t="shared" ref="H4:H15" si="5">SUMIFS(L_12MonResults_Revenue_Base_Calculated,L_12MonResults_RateCategory,$H$2,L_12MonResults_Revenue_Month,$A4)</f>
        <v>22617.41</v>
      </c>
      <c r="J4" s="502">
        <f t="shared" ref="J4:J15" si="6">SUMIFS(L_12MonResults_KWH_Total,L_12MonResults_RateCategory,$J$2,L_12MonResults_Revenue_Month,$A4)</f>
        <v>264288</v>
      </c>
      <c r="K4" s="502">
        <f t="shared" ref="K4:K15" si="7">SUMIFS(L_12MonResults_KWH_Total,L_12MonResults_RateCategory,$K$2,L_12MonResults_Revenue_Month,$A4)</f>
        <v>256936</v>
      </c>
      <c r="L4" s="502">
        <f t="shared" ref="L4:L15" si="8">SUMIFS(L_SBR_KWH,L_SBR_Rate_Category,$L$2,L_SBR_Revenue_Month,A4)</f>
        <v>7505864</v>
      </c>
      <c r="M4" s="98">
        <f>J4/L4</f>
        <v>3.5210869794603257E-2</v>
      </c>
      <c r="N4" s="98">
        <f>C4/L4</f>
        <v>1.9587351969073781E-3</v>
      </c>
      <c r="O4" s="9">
        <f>D4/L4</f>
        <v>6.3154621506598041E-3</v>
      </c>
      <c r="Q4" s="25">
        <f t="shared" ref="Q4:Q15" si="9">J4*N4</f>
        <v>517.67020772025717</v>
      </c>
      <c r="R4" s="25">
        <f t="shared" ref="R4:R15" si="10">K4*N4</f>
        <v>503.26958655259409</v>
      </c>
      <c r="T4" s="25">
        <f>J4*O4</f>
        <v>1669.1008608735783</v>
      </c>
      <c r="U4" s="25">
        <f>K4*O4</f>
        <v>1622.6695831419274</v>
      </c>
    </row>
    <row r="5" spans="1:21">
      <c r="A5" s="682" t="s">
        <v>1456</v>
      </c>
      <c r="B5" s="25">
        <f t="shared" si="0"/>
        <v>1615568</v>
      </c>
      <c r="C5" s="25">
        <f t="shared" si="1"/>
        <v>17133</v>
      </c>
      <c r="D5" s="25">
        <f t="shared" si="2"/>
        <v>51055</v>
      </c>
      <c r="E5" s="25">
        <f t="shared" ref="E5:E15" si="11">B5-C5-D5</f>
        <v>1547380</v>
      </c>
      <c r="F5" s="25">
        <f t="shared" si="3"/>
        <v>1480635.49</v>
      </c>
      <c r="G5" s="25">
        <f t="shared" si="4"/>
        <v>16727.27</v>
      </c>
      <c r="H5" s="25">
        <f t="shared" si="5"/>
        <v>22484.54</v>
      </c>
      <c r="J5" s="502">
        <f t="shared" si="6"/>
        <v>258896</v>
      </c>
      <c r="K5" s="502">
        <f t="shared" si="7"/>
        <v>255201</v>
      </c>
      <c r="L5" s="502">
        <f t="shared" si="8"/>
        <v>7966910</v>
      </c>
      <c r="M5" s="98">
        <f t="shared" ref="M5:M15" si="12">J5/L5</f>
        <v>3.2496413289468562E-2</v>
      </c>
      <c r="N5" s="98">
        <f t="shared" ref="N5:N15" si="13">C5/L5</f>
        <v>2.1505200887169556E-3</v>
      </c>
      <c r="O5" s="9">
        <f t="shared" ref="O5:O15" si="14">D5/L5</f>
        <v>6.4083816686770654E-3</v>
      </c>
      <c r="Q5" s="25">
        <f t="shared" si="9"/>
        <v>556.76104888846498</v>
      </c>
      <c r="R5" s="25">
        <f t="shared" si="10"/>
        <v>548.81487716065578</v>
      </c>
      <c r="T5" s="25">
        <f>J5*O5</f>
        <v>1659.1043804938176</v>
      </c>
      <c r="U5" s="25">
        <f t="shared" ref="U5:U15" si="15">K5*O5</f>
        <v>1635.4254102280559</v>
      </c>
    </row>
    <row r="6" spans="1:21">
      <c r="A6" s="682" t="s">
        <v>1457</v>
      </c>
      <c r="B6" s="25">
        <f t="shared" si="0"/>
        <v>1586353</v>
      </c>
      <c r="C6" s="25">
        <f t="shared" si="1"/>
        <v>1990</v>
      </c>
      <c r="D6" s="25">
        <f t="shared" si="2"/>
        <v>63496</v>
      </c>
      <c r="E6" s="25">
        <f t="shared" si="11"/>
        <v>1520867</v>
      </c>
      <c r="F6" s="25">
        <f t="shared" si="3"/>
        <v>1457246.4400000002</v>
      </c>
      <c r="G6" s="25">
        <f t="shared" si="4"/>
        <v>15391.52</v>
      </c>
      <c r="H6" s="25">
        <f t="shared" si="5"/>
        <v>20050.45</v>
      </c>
      <c r="J6" s="502">
        <f t="shared" si="6"/>
        <v>238222</v>
      </c>
      <c r="K6" s="502">
        <f t="shared" si="7"/>
        <v>223416</v>
      </c>
      <c r="L6" s="502">
        <f t="shared" si="8"/>
        <v>7528109</v>
      </c>
      <c r="M6" s="98">
        <f t="shared" si="12"/>
        <v>3.1644334586547564E-2</v>
      </c>
      <c r="N6" s="98">
        <f t="shared" si="13"/>
        <v>2.6434261246748687E-4</v>
      </c>
      <c r="O6" s="9">
        <f t="shared" si="14"/>
        <v>8.4345218699676105E-3</v>
      </c>
      <c r="Q6" s="25">
        <f t="shared" si="9"/>
        <v>62.972225827229657</v>
      </c>
      <c r="R6" s="25">
        <f t="shared" si="10"/>
        <v>59.058369107036043</v>
      </c>
      <c r="T6" s="25">
        <f>J6*O6</f>
        <v>2009.2886689074242</v>
      </c>
      <c r="U6" s="25">
        <f t="shared" si="15"/>
        <v>1884.4071381006836</v>
      </c>
    </row>
    <row r="7" spans="1:21">
      <c r="A7" s="682" t="s">
        <v>1458</v>
      </c>
      <c r="B7" s="25">
        <f t="shared" si="0"/>
        <v>1615581</v>
      </c>
      <c r="C7" s="25">
        <f t="shared" si="1"/>
        <v>-1915</v>
      </c>
      <c r="D7" s="25">
        <f t="shared" si="2"/>
        <v>84314</v>
      </c>
      <c r="E7" s="25">
        <f t="shared" si="11"/>
        <v>1533182</v>
      </c>
      <c r="F7" s="25">
        <f t="shared" si="3"/>
        <v>1464552.4200000004</v>
      </c>
      <c r="G7" s="25">
        <f t="shared" si="4"/>
        <v>17662.560000000001</v>
      </c>
      <c r="H7" s="25">
        <f t="shared" si="5"/>
        <v>22102.87</v>
      </c>
      <c r="J7" s="502">
        <f t="shared" si="6"/>
        <v>273372</v>
      </c>
      <c r="K7" s="502">
        <f t="shared" si="7"/>
        <v>250217</v>
      </c>
      <c r="L7" s="502">
        <f t="shared" si="8"/>
        <v>8830823</v>
      </c>
      <c r="M7" s="98">
        <f t="shared" si="12"/>
        <v>3.0956571091958245E-2</v>
      </c>
      <c r="N7" s="98">
        <f t="shared" si="13"/>
        <v>-2.1685408030485946E-4</v>
      </c>
      <c r="O7" s="9">
        <f t="shared" si="14"/>
        <v>9.5476944787592274E-3</v>
      </c>
      <c r="Q7" s="25">
        <f t="shared" si="9"/>
        <v>-59.281833641100043</v>
      </c>
      <c r="R7" s="25">
        <f t="shared" si="10"/>
        <v>-54.260577411641023</v>
      </c>
      <c r="T7" s="25">
        <f>J7*O7</f>
        <v>2610.0723350473677</v>
      </c>
      <c r="U7" s="25">
        <f>K7*O7</f>
        <v>2388.9954693916975</v>
      </c>
    </row>
    <row r="8" spans="1:21">
      <c r="A8" s="682" t="s">
        <v>1459</v>
      </c>
      <c r="B8" s="25">
        <f t="shared" si="0"/>
        <v>1621901</v>
      </c>
      <c r="C8" s="25">
        <f t="shared" si="1"/>
        <v>-2250</v>
      </c>
      <c r="D8" s="25">
        <f t="shared" si="2"/>
        <v>104288</v>
      </c>
      <c r="E8" s="25">
        <f t="shared" si="11"/>
        <v>1519863</v>
      </c>
      <c r="F8" s="25">
        <f t="shared" si="3"/>
        <v>1448018.1600000006</v>
      </c>
      <c r="G8" s="25">
        <f t="shared" si="4"/>
        <v>20320.939999999999</v>
      </c>
      <c r="H8" s="25">
        <f t="shared" si="5"/>
        <v>23611.57</v>
      </c>
      <c r="J8" s="502">
        <f t="shared" si="6"/>
        <v>314517</v>
      </c>
      <c r="K8" s="502">
        <f t="shared" si="7"/>
        <v>269918</v>
      </c>
      <c r="L8" s="502">
        <f t="shared" si="8"/>
        <v>10115161</v>
      </c>
      <c r="M8" s="98">
        <f t="shared" si="12"/>
        <v>3.1093622731264484E-2</v>
      </c>
      <c r="N8" s="98">
        <f t="shared" si="13"/>
        <v>-2.2243837740200081E-4</v>
      </c>
      <c r="O8" s="9">
        <f t="shared" si="14"/>
        <v>1.0310068223333272E-2</v>
      </c>
      <c r="Q8" s="25">
        <f t="shared" si="9"/>
        <v>-69.960651145345082</v>
      </c>
      <c r="R8" s="25">
        <f t="shared" si="10"/>
        <v>-60.040121951593257</v>
      </c>
      <c r="T8" s="25">
        <f t="shared" ref="T8:T15" si="16">J8*O8</f>
        <v>3242.6917273981107</v>
      </c>
      <c r="U8" s="25">
        <f t="shared" si="15"/>
        <v>2782.8729947056704</v>
      </c>
    </row>
    <row r="9" spans="1:21">
      <c r="A9" s="682" t="s">
        <v>1460</v>
      </c>
      <c r="B9" s="25">
        <f t="shared" si="0"/>
        <v>1658158</v>
      </c>
      <c r="C9" s="25">
        <f t="shared" si="1"/>
        <v>-11458</v>
      </c>
      <c r="D9" s="25">
        <f t="shared" si="2"/>
        <v>135363</v>
      </c>
      <c r="E9" s="25">
        <f t="shared" si="11"/>
        <v>1534253</v>
      </c>
      <c r="F9" s="25">
        <f t="shared" si="3"/>
        <v>1457317.3400000005</v>
      </c>
      <c r="G9" s="25">
        <f t="shared" si="4"/>
        <v>23224.58</v>
      </c>
      <c r="H9" s="25">
        <f t="shared" si="5"/>
        <v>25608.240000000002</v>
      </c>
      <c r="J9" s="502">
        <f t="shared" si="6"/>
        <v>359458</v>
      </c>
      <c r="K9" s="502">
        <f t="shared" si="7"/>
        <v>295991</v>
      </c>
      <c r="L9" s="502">
        <f t="shared" si="8"/>
        <v>14608576</v>
      </c>
      <c r="M9" s="98">
        <f t="shared" si="12"/>
        <v>2.4605957486889894E-2</v>
      </c>
      <c r="N9" s="98">
        <f t="shared" si="13"/>
        <v>-7.8433380501973632E-4</v>
      </c>
      <c r="O9" s="9">
        <f t="shared" si="14"/>
        <v>9.2659955357729598E-3</v>
      </c>
      <c r="Q9" s="25">
        <f t="shared" si="9"/>
        <v>-281.93506088478438</v>
      </c>
      <c r="R9" s="25">
        <f t="shared" si="10"/>
        <v>-232.15574728159677</v>
      </c>
      <c r="T9" s="25">
        <f t="shared" si="16"/>
        <v>3330.7362232978767</v>
      </c>
      <c r="U9" s="25">
        <f t="shared" si="15"/>
        <v>2742.6512846289743</v>
      </c>
    </row>
    <row r="10" spans="1:21">
      <c r="A10" s="682" t="s">
        <v>1461</v>
      </c>
      <c r="B10" s="25">
        <f t="shared" si="0"/>
        <v>1664945</v>
      </c>
      <c r="C10" s="25">
        <f t="shared" si="1"/>
        <v>-41465</v>
      </c>
      <c r="D10" s="25">
        <f t="shared" si="2"/>
        <v>146115</v>
      </c>
      <c r="E10" s="25">
        <f t="shared" si="11"/>
        <v>1560295</v>
      </c>
      <c r="F10" s="25">
        <f t="shared" si="3"/>
        <v>1483980.8299999996</v>
      </c>
      <c r="G10" s="25">
        <f t="shared" si="4"/>
        <v>23148.41</v>
      </c>
      <c r="H10" s="25">
        <f t="shared" si="5"/>
        <v>25090.18</v>
      </c>
      <c r="J10" s="502">
        <f t="shared" si="6"/>
        <v>358279</v>
      </c>
      <c r="K10" s="502">
        <f t="shared" si="7"/>
        <v>289226</v>
      </c>
      <c r="L10" s="502">
        <f t="shared" si="8"/>
        <v>16278824</v>
      </c>
      <c r="M10" s="98">
        <f t="shared" si="12"/>
        <v>2.2008899414355729E-2</v>
      </c>
      <c r="N10" s="98">
        <f t="shared" si="13"/>
        <v>-2.5471741693380307E-3</v>
      </c>
      <c r="O10" s="9">
        <f t="shared" si="14"/>
        <v>8.9757712227861181E-3</v>
      </c>
      <c r="Q10" s="25">
        <f t="shared" si="9"/>
        <v>-912.59901421626034</v>
      </c>
      <c r="R10" s="25">
        <f t="shared" si="10"/>
        <v>-736.7089963009613</v>
      </c>
      <c r="T10" s="25">
        <f t="shared" si="16"/>
        <v>3215.8303379285876</v>
      </c>
      <c r="U10" s="25">
        <f t="shared" si="15"/>
        <v>2596.0264076815379</v>
      </c>
    </row>
    <row r="11" spans="1:21">
      <c r="A11" s="682" t="s">
        <v>1462</v>
      </c>
      <c r="B11" s="25">
        <f t="shared" si="0"/>
        <v>1600624</v>
      </c>
      <c r="C11" s="25">
        <f t="shared" si="1"/>
        <v>-70730</v>
      </c>
      <c r="D11" s="25">
        <f t="shared" si="2"/>
        <v>127989</v>
      </c>
      <c r="E11" s="25">
        <f t="shared" si="11"/>
        <v>1543365</v>
      </c>
      <c r="F11" s="25">
        <f t="shared" si="3"/>
        <v>1477498.8699999999</v>
      </c>
      <c r="G11" s="25">
        <f t="shared" si="4"/>
        <v>17334.02</v>
      </c>
      <c r="H11" s="25">
        <f t="shared" si="5"/>
        <v>20668.45</v>
      </c>
      <c r="J11" s="502">
        <f t="shared" si="6"/>
        <v>268287</v>
      </c>
      <c r="K11" s="502">
        <f t="shared" si="7"/>
        <v>231486</v>
      </c>
      <c r="L11" s="502">
        <f t="shared" si="8"/>
        <v>13359321</v>
      </c>
      <c r="M11" s="98">
        <f t="shared" si="12"/>
        <v>2.0082382929491702E-2</v>
      </c>
      <c r="N11" s="98">
        <f t="shared" si="13"/>
        <v>-5.2944307573715762E-3</v>
      </c>
      <c r="O11" s="9">
        <f t="shared" si="14"/>
        <v>9.5805018832918233E-3</v>
      </c>
      <c r="Q11" s="25">
        <f t="shared" si="9"/>
        <v>-1420.426944602948</v>
      </c>
      <c r="R11" s="25">
        <f t="shared" si="10"/>
        <v>-1225.5865983009166</v>
      </c>
      <c r="T11" s="25">
        <f t="shared" si="16"/>
        <v>2570.3241087627134</v>
      </c>
      <c r="U11" s="25">
        <f t="shared" si="15"/>
        <v>2217.7520589556912</v>
      </c>
    </row>
    <row r="12" spans="1:21">
      <c r="A12" s="682" t="s">
        <v>1463</v>
      </c>
      <c r="B12" s="25">
        <f t="shared" si="0"/>
        <v>1639553</v>
      </c>
      <c r="C12" s="25">
        <f t="shared" si="1"/>
        <v>-17056</v>
      </c>
      <c r="D12" s="25">
        <f t="shared" si="2"/>
        <v>125413</v>
      </c>
      <c r="E12" s="25">
        <f t="shared" si="11"/>
        <v>1531196</v>
      </c>
      <c r="F12" s="25">
        <f t="shared" si="3"/>
        <v>1466251.0000000002</v>
      </c>
      <c r="G12" s="25">
        <f t="shared" si="4"/>
        <v>15947.04</v>
      </c>
      <c r="H12" s="25">
        <f t="shared" si="5"/>
        <v>21148.3</v>
      </c>
      <c r="J12" s="502">
        <f t="shared" si="6"/>
        <v>246820</v>
      </c>
      <c r="K12" s="502">
        <f t="shared" si="7"/>
        <v>237752</v>
      </c>
      <c r="L12" s="502">
        <f t="shared" si="8"/>
        <v>12095163</v>
      </c>
      <c r="M12" s="98">
        <f t="shared" si="12"/>
        <v>2.0406504649833988E-2</v>
      </c>
      <c r="N12" s="98">
        <f t="shared" si="13"/>
        <v>-1.4101504874303886E-3</v>
      </c>
      <c r="O12" s="9">
        <f t="shared" si="14"/>
        <v>1.0368855715297099E-2</v>
      </c>
      <c r="Q12" s="25">
        <f t="shared" si="9"/>
        <v>-348.05334330756853</v>
      </c>
      <c r="R12" s="25">
        <f t="shared" si="10"/>
        <v>-335.26609868754974</v>
      </c>
      <c r="T12" s="25">
        <f t="shared" si="16"/>
        <v>2559.24096764963</v>
      </c>
      <c r="U12" s="25">
        <f t="shared" si="15"/>
        <v>2465.2161840233157</v>
      </c>
    </row>
    <row r="13" spans="1:21">
      <c r="A13" s="682" t="s">
        <v>1464</v>
      </c>
      <c r="B13" s="25">
        <f t="shared" si="0"/>
        <v>1630094</v>
      </c>
      <c r="C13" s="25">
        <f t="shared" si="1"/>
        <v>-7038</v>
      </c>
      <c r="D13" s="25">
        <f t="shared" si="2"/>
        <v>89427</v>
      </c>
      <c r="E13" s="25">
        <f t="shared" si="11"/>
        <v>1547705</v>
      </c>
      <c r="F13" s="25">
        <f t="shared" si="3"/>
        <v>1481008.41</v>
      </c>
      <c r="G13" s="25">
        <f t="shared" si="4"/>
        <v>17593.560000000001</v>
      </c>
      <c r="H13" s="25">
        <f t="shared" si="5"/>
        <v>21447.65</v>
      </c>
      <c r="J13" s="502">
        <f t="shared" si="6"/>
        <v>272304</v>
      </c>
      <c r="K13" s="502">
        <f t="shared" si="7"/>
        <v>241661</v>
      </c>
      <c r="L13" s="502">
        <f t="shared" si="8"/>
        <v>8078182</v>
      </c>
      <c r="M13" s="98">
        <f t="shared" si="12"/>
        <v>3.3708574528278766E-2</v>
      </c>
      <c r="N13" s="98">
        <f t="shared" si="13"/>
        <v>-8.7123563197759096E-4</v>
      </c>
      <c r="O13" s="9">
        <f t="shared" si="14"/>
        <v>1.1070188812284745E-2</v>
      </c>
      <c r="Q13" s="25">
        <f t="shared" si="9"/>
        <v>-237.24094753002592</v>
      </c>
      <c r="R13" s="25">
        <f t="shared" si="10"/>
        <v>-210.54367405933661</v>
      </c>
      <c r="T13" s="25">
        <f t="shared" si="16"/>
        <v>3014.4566943403852</v>
      </c>
      <c r="U13" s="25">
        <f t="shared" si="15"/>
        <v>2675.2328985655436</v>
      </c>
    </row>
    <row r="14" spans="1:21">
      <c r="A14" s="682" t="s">
        <v>1465</v>
      </c>
      <c r="B14" s="25">
        <f t="shared" si="0"/>
        <v>1284816</v>
      </c>
      <c r="C14" s="25">
        <f t="shared" si="1"/>
        <v>1711</v>
      </c>
      <c r="D14" s="25">
        <f t="shared" si="2"/>
        <v>92840</v>
      </c>
      <c r="E14" s="25">
        <f t="shared" si="11"/>
        <v>1190265</v>
      </c>
      <c r="F14" s="25">
        <f t="shared" si="3"/>
        <v>1118566.3900000006</v>
      </c>
      <c r="G14" s="25">
        <f t="shared" si="4"/>
        <v>19834.3</v>
      </c>
      <c r="H14" s="25">
        <f t="shared" si="5"/>
        <v>23944.080000000002</v>
      </c>
      <c r="J14" s="502">
        <f t="shared" si="6"/>
        <v>306985</v>
      </c>
      <c r="K14" s="502">
        <f t="shared" si="7"/>
        <v>274260</v>
      </c>
      <c r="L14" s="502">
        <f t="shared" si="8"/>
        <v>8869365</v>
      </c>
      <c r="M14" s="98">
        <f t="shared" si="12"/>
        <v>3.4611835232849254E-2</v>
      </c>
      <c r="N14" s="98">
        <f t="shared" si="13"/>
        <v>1.929112174321386E-4</v>
      </c>
      <c r="O14" s="9">
        <f t="shared" si="14"/>
        <v>1.0467491190181033E-2</v>
      </c>
      <c r="Q14" s="25">
        <f t="shared" si="9"/>
        <v>59.220850083405068</v>
      </c>
      <c r="R14" s="25">
        <f t="shared" si="10"/>
        <v>52.907830492938331</v>
      </c>
      <c r="T14" s="25">
        <f t="shared" si="16"/>
        <v>3213.3627830177243</v>
      </c>
      <c r="U14" s="25">
        <f t="shared" si="15"/>
        <v>2870.8141338190503</v>
      </c>
    </row>
    <row r="15" spans="1:21">
      <c r="A15" s="682" t="s">
        <v>1466</v>
      </c>
      <c r="B15" s="25">
        <f t="shared" si="0"/>
        <v>2016258</v>
      </c>
      <c r="C15" s="25">
        <f t="shared" si="1"/>
        <v>11986</v>
      </c>
      <c r="D15" s="25">
        <f t="shared" si="2"/>
        <v>73018</v>
      </c>
      <c r="E15" s="25">
        <f t="shared" si="11"/>
        <v>1931254</v>
      </c>
      <c r="F15" s="25">
        <f t="shared" si="3"/>
        <v>1861130.3100000003</v>
      </c>
      <c r="G15" s="25">
        <f t="shared" si="4"/>
        <v>18175.439999999999</v>
      </c>
      <c r="H15" s="25">
        <f t="shared" si="5"/>
        <v>24204.38</v>
      </c>
      <c r="J15" s="502">
        <f t="shared" si="6"/>
        <v>281310</v>
      </c>
      <c r="K15" s="502">
        <f t="shared" si="7"/>
        <v>277659</v>
      </c>
      <c r="L15" s="502">
        <f t="shared" si="8"/>
        <v>7911510</v>
      </c>
      <c r="M15" s="98">
        <f t="shared" si="12"/>
        <v>3.5557055479927345E-2</v>
      </c>
      <c r="N15" s="98">
        <f t="shared" si="13"/>
        <v>1.515007880922858E-3</v>
      </c>
      <c r="O15" s="9">
        <f t="shared" si="14"/>
        <v>9.2293380151197441E-3</v>
      </c>
      <c r="Q15" s="25">
        <f t="shared" si="9"/>
        <v>426.18686698240919</v>
      </c>
      <c r="R15" s="25">
        <f t="shared" si="10"/>
        <v>420.6555732091598</v>
      </c>
      <c r="T15" s="25">
        <f t="shared" si="16"/>
        <v>2596.3050770333352</v>
      </c>
      <c r="U15" s="25">
        <f t="shared" si="15"/>
        <v>2562.608763940133</v>
      </c>
    </row>
    <row r="16" spans="1:21">
      <c r="A16" s="561"/>
    </row>
    <row r="17" spans="1:21">
      <c r="A17" s="561"/>
      <c r="B17" s="123">
        <f>SUM(B4:B15)</f>
        <v>19547323</v>
      </c>
      <c r="C17" s="123">
        <f t="shared" ref="C17:E17" si="17">SUM(C4:C15)</f>
        <v>-104390</v>
      </c>
      <c r="D17" s="123">
        <f t="shared" si="17"/>
        <v>1140721</v>
      </c>
      <c r="E17" s="123">
        <f t="shared" si="17"/>
        <v>18510992</v>
      </c>
      <c r="F17" s="123">
        <f>SUM(F4:F15)</f>
        <v>17680047.23</v>
      </c>
      <c r="G17" s="123">
        <f>SUM(G4:G15)</f>
        <v>222435.28999999998</v>
      </c>
      <c r="H17" s="123">
        <f>SUM(H4:H15)</f>
        <v>272978.12</v>
      </c>
      <c r="J17" s="130">
        <f>SUM(J4:J15)</f>
        <v>3442738</v>
      </c>
      <c r="K17" s="130">
        <f>SUM(K4:K15)</f>
        <v>3103723</v>
      </c>
      <c r="L17" s="130">
        <f>SUM(L4:L15)</f>
        <v>123147808</v>
      </c>
      <c r="Q17" s="123">
        <f>SUM(Q4:Q15)</f>
        <v>-1706.6865958262663</v>
      </c>
      <c r="R17" s="123">
        <f>SUM(R4:R15)</f>
        <v>-1269.8555774712113</v>
      </c>
      <c r="T17" s="123">
        <f>SUM(T4:T15)</f>
        <v>31690.514164750548</v>
      </c>
      <c r="U17" s="123">
        <f>SUM(U4:U15)</f>
        <v>28444.672327182281</v>
      </c>
    </row>
    <row r="18" spans="1:21">
      <c r="A18" s="561"/>
    </row>
    <row r="19" spans="1:21">
      <c r="A19" s="561"/>
      <c r="B19" s="98" t="s">
        <v>1467</v>
      </c>
      <c r="L19" s="9"/>
    </row>
    <row r="20" spans="1:21">
      <c r="A20" s="561"/>
    </row>
    <row r="21" spans="1:21">
      <c r="A21" s="561"/>
      <c r="B21" s="98" t="s">
        <v>831</v>
      </c>
      <c r="C21" s="98" t="s">
        <v>1468</v>
      </c>
      <c r="D21" s="98" t="s">
        <v>1469</v>
      </c>
      <c r="E21" s="98" t="s">
        <v>77</v>
      </c>
    </row>
    <row r="22" spans="1:21">
      <c r="A22" s="561"/>
    </row>
    <row r="23" spans="1:21">
      <c r="A23" s="561" t="s">
        <v>72</v>
      </c>
      <c r="B23" s="123">
        <f>SUM(C23:E23)</f>
        <v>252419.11756892427</v>
      </c>
      <c r="C23" s="123">
        <f>Q17</f>
        <v>-1706.6865958262663</v>
      </c>
      <c r="D23" s="123">
        <f>T17</f>
        <v>31690.514164750548</v>
      </c>
      <c r="E23" s="123">
        <f>G17</f>
        <v>222435.28999999998</v>
      </c>
    </row>
    <row r="24" spans="1:21">
      <c r="A24" s="561" t="s">
        <v>70</v>
      </c>
      <c r="B24" s="123">
        <f>SUM(C24:E24)</f>
        <v>300152.93674971105</v>
      </c>
      <c r="C24" s="123">
        <f>R17</f>
        <v>-1269.8555774712113</v>
      </c>
      <c r="D24" s="123">
        <f>U17</f>
        <v>28444.672327182281</v>
      </c>
      <c r="E24" s="123">
        <f>H17</f>
        <v>272978.12</v>
      </c>
    </row>
    <row r="25" spans="1:21">
      <c r="A25" s="561" t="s">
        <v>1470</v>
      </c>
      <c r="B25" s="123">
        <f>SUM(C25:E25)</f>
        <v>18994750.945681363</v>
      </c>
      <c r="C25" s="123">
        <f>C17-Q17-R17</f>
        <v>-101413.45782670252</v>
      </c>
      <c r="D25" s="123">
        <f>D17-T17-U17</f>
        <v>1080585.8135080673</v>
      </c>
      <c r="E25" s="123">
        <f>E17-G17-H17</f>
        <v>18015578.59</v>
      </c>
    </row>
    <row r="26" spans="1:21">
      <c r="A26" s="561"/>
    </row>
    <row r="27" spans="1:21">
      <c r="A27" s="561" t="s">
        <v>56</v>
      </c>
      <c r="B27" s="123">
        <f>SUM(B23:B25)</f>
        <v>19547323</v>
      </c>
      <c r="C27" s="123">
        <f t="shared" ref="C27" si="18">SUM(C23:C25)</f>
        <v>-104390</v>
      </c>
      <c r="D27" s="123">
        <f>SUM(D23:D25)</f>
        <v>1140721</v>
      </c>
      <c r="E27" s="123">
        <f>SUM(E23:E25)</f>
        <v>18510992</v>
      </c>
    </row>
    <row r="28" spans="1:21">
      <c r="A28" s="561" t="s">
        <v>61</v>
      </c>
      <c r="B28" s="123">
        <f>B17-B27</f>
        <v>0</v>
      </c>
      <c r="C28" s="123">
        <f t="shared" ref="C28:E28" si="19">C17-C27</f>
        <v>0</v>
      </c>
      <c r="D28" s="123">
        <f t="shared" si="19"/>
        <v>0</v>
      </c>
      <c r="E28" s="123">
        <f t="shared" si="19"/>
        <v>0</v>
      </c>
    </row>
    <row r="29" spans="1:21">
      <c r="A29" s="561"/>
    </row>
    <row r="30" spans="1:21">
      <c r="A30" s="561"/>
      <c r="O30" s="13"/>
    </row>
    <row r="31" spans="1:21">
      <c r="A31" s="561"/>
    </row>
    <row r="32" spans="1:21">
      <c r="A32" s="561"/>
    </row>
    <row r="33" spans="1:1">
      <c r="A33" s="56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P113"/>
  <sheetViews>
    <sheetView zoomScaleNormal="100" workbookViewId="0">
      <selection activeCell="J22" sqref="J22"/>
    </sheetView>
  </sheetViews>
  <sheetFormatPr defaultRowHeight="12.75"/>
  <cols>
    <col min="1" max="1" width="48.83203125" style="164" customWidth="1"/>
    <col min="2" max="2" width="18.6640625" style="164" customWidth="1"/>
    <col min="3" max="3" width="16.1640625" style="164" customWidth="1"/>
    <col min="4" max="5" width="14.83203125" style="164" customWidth="1"/>
    <col min="6" max="6" width="14.1640625" style="164" customWidth="1"/>
    <col min="7" max="7" width="14.33203125" style="164" customWidth="1"/>
    <col min="8" max="8" width="15.1640625" style="164" customWidth="1"/>
    <col min="9" max="9" width="15.5" style="185" customWidth="1"/>
    <col min="10" max="10" width="13.6640625" style="164" customWidth="1"/>
    <col min="11" max="11" width="11.5" style="164" bestFit="1" customWidth="1"/>
    <col min="12" max="12" width="11.33203125" style="164" bestFit="1" customWidth="1"/>
    <col min="13" max="13" width="18.5" style="164" bestFit="1" customWidth="1"/>
    <col min="14" max="14" width="14.5" style="164" bestFit="1" customWidth="1"/>
    <col min="15" max="15" width="12.33203125" style="164" bestFit="1" customWidth="1"/>
    <col min="16" max="16384" width="9.33203125" style="164"/>
  </cols>
  <sheetData>
    <row r="1" spans="1:16">
      <c r="A1" s="416" t="s">
        <v>1283</v>
      </c>
      <c r="K1" s="165" t="s">
        <v>1529</v>
      </c>
    </row>
    <row r="2" spans="1:16">
      <c r="A2" s="166" t="s">
        <v>1251</v>
      </c>
      <c r="K2" s="165" t="s">
        <v>1509</v>
      </c>
    </row>
    <row r="3" spans="1:16">
      <c r="A3" s="166" t="s">
        <v>1248</v>
      </c>
      <c r="K3" s="165" t="s">
        <v>1531</v>
      </c>
    </row>
    <row r="4" spans="1:16">
      <c r="A4" s="69"/>
    </row>
    <row r="5" spans="1:16" ht="39.75" customHeight="1">
      <c r="B5" s="167" t="s">
        <v>75</v>
      </c>
      <c r="C5" s="167" t="s">
        <v>1502</v>
      </c>
      <c r="D5" s="167" t="s">
        <v>1534</v>
      </c>
      <c r="E5" s="167" t="s">
        <v>1503</v>
      </c>
      <c r="F5" s="711" t="s">
        <v>1507</v>
      </c>
      <c r="G5" s="711" t="s">
        <v>1539</v>
      </c>
      <c r="H5" s="167" t="s">
        <v>1504</v>
      </c>
      <c r="I5" s="750" t="s">
        <v>1505</v>
      </c>
      <c r="J5" s="167" t="s">
        <v>1506</v>
      </c>
      <c r="K5" s="167" t="s">
        <v>1561</v>
      </c>
      <c r="L5" s="164" t="s">
        <v>1638</v>
      </c>
    </row>
    <row r="6" spans="1:16">
      <c r="B6" s="167"/>
      <c r="C6" s="167"/>
      <c r="D6" s="167"/>
      <c r="E6" s="168"/>
      <c r="G6" s="168"/>
      <c r="H6" s="168"/>
      <c r="I6" s="751"/>
      <c r="J6" s="168"/>
    </row>
    <row r="7" spans="1:16">
      <c r="A7" s="59" t="s">
        <v>1545</v>
      </c>
      <c r="B7" s="130">
        <f>'Settlement Exhibit 2 pgs 2-17'!$C$10</f>
        <v>4337986</v>
      </c>
      <c r="C7" s="130">
        <f>'Settlement Exhibit 2 pgs 2-17'!$E$11</f>
        <v>4266714109</v>
      </c>
      <c r="D7" s="130">
        <f>ROUND(C7/B7,0)</f>
        <v>984</v>
      </c>
      <c r="E7" s="722">
        <f>'Settlement Exhibit 2 pgs 2-17'!$G$28</f>
        <v>436027011</v>
      </c>
      <c r="F7" s="25">
        <f>ROUND(E7/B7,4)</f>
        <v>100.5137</v>
      </c>
      <c r="G7" s="729">
        <f>'Sch M-2.3-E pg 1-2'!V12</f>
        <v>256003</v>
      </c>
      <c r="H7" s="503">
        <f>'Settlement Exhibit 2 pgs 2-17'!$J$28</f>
        <v>436283014</v>
      </c>
      <c r="I7" s="752">
        <f>ROUND(H7/B7,4)</f>
        <v>100.5727</v>
      </c>
      <c r="J7" s="724">
        <f>I7-F7</f>
        <v>5.8999999999997499E-2</v>
      </c>
      <c r="K7" s="762">
        <f>J7/F7</f>
        <v>5.8698465980256916E-4</v>
      </c>
      <c r="L7" s="837">
        <v>1.5E-3</v>
      </c>
      <c r="M7" s="838">
        <f>L7*I7</f>
        <v>0.15085904999999999</v>
      </c>
      <c r="N7" s="838">
        <f>I7-M7</f>
        <v>100.42184095</v>
      </c>
      <c r="O7" s="838">
        <f>N7-F7</f>
        <v>-9.18590499999965E-2</v>
      </c>
      <c r="P7" s="837">
        <f>O7/F7</f>
        <v>-9.1389581718707502E-4</v>
      </c>
    </row>
    <row r="8" spans="1:16">
      <c r="A8" s="59" t="s">
        <v>1547</v>
      </c>
      <c r="B8" s="130">
        <f>'Settlement Exhibit 2 pgs 2-17'!$C$43</f>
        <v>243</v>
      </c>
      <c r="C8" s="130">
        <f>SUM('Settlement Exhibit 2 pgs 2-17'!$E$44:$E$46)</f>
        <v>331353</v>
      </c>
      <c r="D8" s="130">
        <f>ROUND(C8/B8,0)</f>
        <v>1364</v>
      </c>
      <c r="E8" s="725">
        <f>'Settlement Exhibit 2 pgs 2-17'!$G$62</f>
        <v>31170</v>
      </c>
      <c r="F8" s="764">
        <f>ROUND(E8/B8,4)</f>
        <v>128.27160000000001</v>
      </c>
      <c r="G8" s="729">
        <f>'Sch M-2.3-E pg 1-2'!V13</f>
        <v>2828</v>
      </c>
      <c r="H8" s="503">
        <f>'Settlement Exhibit 2 pgs 2-17'!$J$62</f>
        <v>33998</v>
      </c>
      <c r="I8" s="763">
        <f>ROUND(H8/B8,4)</f>
        <v>139.90950000000001</v>
      </c>
      <c r="J8" s="724">
        <f>I8-F8</f>
        <v>11.637900000000002</v>
      </c>
      <c r="K8" s="762">
        <f>J8/F8</f>
        <v>9.0728579046336064E-2</v>
      </c>
      <c r="L8" s="837">
        <v>1.5E-3</v>
      </c>
      <c r="M8" s="838">
        <f t="shared" ref="M8:M34" si="0">L8*I8</f>
        <v>0.20986425000000003</v>
      </c>
      <c r="N8" s="838">
        <f t="shared" ref="N8:N34" si="1">I8-M8</f>
        <v>139.69963575</v>
      </c>
      <c r="O8" s="838">
        <f t="shared" ref="O8:O34" si="2">N8-F8</f>
        <v>11.428035749999992</v>
      </c>
      <c r="P8" s="837">
        <f t="shared" ref="P8:P34" si="3">O8/F8</f>
        <v>8.9092486177766481E-2</v>
      </c>
    </row>
    <row r="9" spans="1:16">
      <c r="A9" s="59" t="s">
        <v>1546</v>
      </c>
      <c r="B9" s="130">
        <v>0</v>
      </c>
      <c r="C9" s="130">
        <v>0</v>
      </c>
      <c r="D9" s="130"/>
      <c r="E9" s="726">
        <v>0</v>
      </c>
      <c r="F9" s="502">
        <v>0</v>
      </c>
      <c r="G9" s="729">
        <v>0</v>
      </c>
      <c r="H9" s="502">
        <v>0</v>
      </c>
      <c r="I9" s="131">
        <v>0</v>
      </c>
      <c r="J9" s="502">
        <v>0</v>
      </c>
      <c r="K9" s="762">
        <v>0</v>
      </c>
      <c r="L9" s="837">
        <v>1.5E-3</v>
      </c>
      <c r="M9" s="838"/>
      <c r="N9" s="838"/>
      <c r="O9" s="838"/>
      <c r="P9" s="837"/>
    </row>
    <row r="10" spans="1:16">
      <c r="A10" s="58"/>
      <c r="B10" s="502"/>
      <c r="C10" s="502"/>
      <c r="D10" s="502"/>
      <c r="E10" s="606"/>
      <c r="F10" s="606"/>
      <c r="G10" s="606"/>
      <c r="H10" s="606"/>
      <c r="I10" s="753"/>
      <c r="J10" s="606"/>
      <c r="L10" s="837"/>
      <c r="M10" s="838"/>
      <c r="N10" s="838"/>
      <c r="O10" s="838"/>
      <c r="P10" s="837"/>
    </row>
    <row r="11" spans="1:16" hidden="1">
      <c r="A11" s="333" t="s">
        <v>1262</v>
      </c>
      <c r="B11" s="603">
        <v>338578</v>
      </c>
      <c r="C11" s="603">
        <v>389930533</v>
      </c>
      <c r="D11" s="603"/>
      <c r="E11" s="503">
        <f>'12MonResults'!$AL$468</f>
        <v>46530479</v>
      </c>
      <c r="F11" s="25">
        <f t="shared" ref="F11:F12" si="4">ROUND(E11/B11,2)</f>
        <v>137.43</v>
      </c>
      <c r="G11" s="723"/>
      <c r="H11" s="503">
        <f>E11-SUM('Settlement Exhibit 2 pgs 2-17'!G111:G112)+SUM('Settlement Exhibit 2 pgs 2-17'!J111:J112)</f>
        <v>47498098</v>
      </c>
      <c r="I11" s="752">
        <f t="shared" ref="I11:I12" si="5">ROUND(H11/B11,2)</f>
        <v>140.29</v>
      </c>
      <c r="J11" s="724">
        <f>I11-F11</f>
        <v>2.8599999999999852</v>
      </c>
      <c r="L11" s="837">
        <v>1.5E-3</v>
      </c>
      <c r="M11" s="838">
        <f t="shared" si="0"/>
        <v>0.21043499999999998</v>
      </c>
      <c r="N11" s="838">
        <f t="shared" si="1"/>
        <v>140.079565</v>
      </c>
      <c r="O11" s="838">
        <f t="shared" si="2"/>
        <v>2.6495649999999955</v>
      </c>
      <c r="P11" s="837">
        <f t="shared" si="3"/>
        <v>1.9279378592738088E-2</v>
      </c>
    </row>
    <row r="12" spans="1:16" ht="15" hidden="1">
      <c r="A12" s="733"/>
      <c r="B12" s="603"/>
      <c r="C12" s="603"/>
      <c r="D12" s="605"/>
      <c r="E12" s="672">
        <f>'12MonResults'!$AL$473</f>
        <v>108326123</v>
      </c>
      <c r="F12" s="25" t="e">
        <f t="shared" si="4"/>
        <v>#DIV/0!</v>
      </c>
      <c r="G12" s="723"/>
      <c r="H12" s="672">
        <f>E12-SUM('Settlement Exhibit 2 pgs 2-17'!G114:G115)+SUM('Settlement Exhibit 2 pgs 2-17'!J114:J115)</f>
        <v>107458546</v>
      </c>
      <c r="I12" s="752" t="e">
        <f t="shared" si="5"/>
        <v>#DIV/0!</v>
      </c>
      <c r="J12" s="724" t="e">
        <f>I12-F12</f>
        <v>#DIV/0!</v>
      </c>
      <c r="L12" s="837">
        <v>1.5E-3</v>
      </c>
      <c r="M12" s="838" t="e">
        <f t="shared" si="0"/>
        <v>#DIV/0!</v>
      </c>
      <c r="N12" s="838" t="e">
        <f t="shared" si="1"/>
        <v>#DIV/0!</v>
      </c>
      <c r="O12" s="838" t="e">
        <f t="shared" si="2"/>
        <v>#DIV/0!</v>
      </c>
      <c r="P12" s="837" t="e">
        <f t="shared" si="3"/>
        <v>#DIV/0!</v>
      </c>
    </row>
    <row r="13" spans="1:16">
      <c r="A13" s="59" t="s">
        <v>1544</v>
      </c>
      <c r="B13" s="603">
        <f>'Settlement Exhibit 2 pgs 2-17'!C111+'Settlement Exhibit 2 pgs 2-17'!C114</f>
        <v>535170</v>
      </c>
      <c r="C13" s="603">
        <f>'Settlement Exhibit 2 pgs 2-17'!E112+'Settlement Exhibit 2 pgs 2-17'!E115</f>
        <v>1384842707</v>
      </c>
      <c r="D13" s="130">
        <f>ROUND(C13/B13,0)</f>
        <v>2588</v>
      </c>
      <c r="E13" s="503">
        <f>'Settlement Exhibit 2 pgs 2-17'!$G$130</f>
        <v>154856602</v>
      </c>
      <c r="F13" s="25">
        <f>ROUND(E13/B13,2)</f>
        <v>289.36</v>
      </c>
      <c r="G13" s="729">
        <f>'Sch M-2.3-E pg 1-2'!V19</f>
        <v>100042</v>
      </c>
      <c r="H13" s="503">
        <f>'Settlement Exhibit 2 pgs 2-17'!$J$130</f>
        <v>154956644</v>
      </c>
      <c r="I13" s="752">
        <f>ROUND(H13/B13,2)</f>
        <v>289.55</v>
      </c>
      <c r="J13" s="724">
        <f>I13-F13</f>
        <v>0.18999999999999773</v>
      </c>
      <c r="K13" s="762">
        <f>J13/F13</f>
        <v>6.5662150953828356E-4</v>
      </c>
      <c r="L13" s="837">
        <v>1.5E-3</v>
      </c>
      <c r="M13" s="838">
        <f t="shared" si="0"/>
        <v>0.43432500000000002</v>
      </c>
      <c r="N13" s="838">
        <f t="shared" si="1"/>
        <v>289.11567500000001</v>
      </c>
      <c r="O13" s="838">
        <f t="shared" si="2"/>
        <v>-0.24432500000000346</v>
      </c>
      <c r="P13" s="837">
        <f t="shared" si="3"/>
        <v>-8.4436342272602789E-4</v>
      </c>
    </row>
    <row r="14" spans="1:16" ht="15">
      <c r="A14" s="58"/>
      <c r="B14" s="604"/>
      <c r="C14" s="604"/>
      <c r="D14" s="604"/>
      <c r="E14" s="604"/>
      <c r="F14" s="604"/>
      <c r="G14" s="604"/>
      <c r="H14" s="604"/>
      <c r="I14" s="754"/>
      <c r="J14" s="604"/>
      <c r="L14" s="837"/>
      <c r="M14" s="838"/>
      <c r="N14" s="838"/>
      <c r="O14" s="838"/>
      <c r="P14" s="837"/>
    </row>
    <row r="15" spans="1:16">
      <c r="A15" s="67" t="s">
        <v>1559</v>
      </c>
      <c r="B15" s="603">
        <f>'Settlement Exhibit 2 pgs 2-17'!$C$146</f>
        <v>33546</v>
      </c>
      <c r="C15" s="603">
        <f>'Settlement Exhibit 2 pgs 2-17'!$E$147</f>
        <v>1965916065</v>
      </c>
      <c r="D15" s="130">
        <f t="shared" ref="D15:D17" si="6">ROUND(C15/B15,0)</f>
        <v>58604</v>
      </c>
      <c r="E15" s="503">
        <f>'Settlement Exhibit 2 pgs 2-17'!$G$167</f>
        <v>179920400</v>
      </c>
      <c r="F15" s="25">
        <f>ROUND(E15/B15,2)</f>
        <v>5363.39</v>
      </c>
      <c r="G15" s="729">
        <f>'Sch M-2.3-E pg 1-2'!V22</f>
        <v>110754</v>
      </c>
      <c r="H15" s="503">
        <f>'Settlement Exhibit 2 pgs 2-17'!$J$167</f>
        <v>180031154</v>
      </c>
      <c r="I15" s="752">
        <f t="shared" ref="I15:I16" si="7">ROUND(H15/B15,2)</f>
        <v>5366.7</v>
      </c>
      <c r="J15" s="724">
        <f t="shared" ref="J15:J16" si="8">I15-F15</f>
        <v>3.3099999999994907</v>
      </c>
      <c r="K15" s="762">
        <f t="shared" ref="K15:K17" si="9">J15/F15</f>
        <v>6.1714699098881309E-4</v>
      </c>
      <c r="L15" s="837">
        <v>1.5E-3</v>
      </c>
      <c r="M15" s="838">
        <f t="shared" si="0"/>
        <v>8.0500500000000006</v>
      </c>
      <c r="N15" s="838">
        <f t="shared" si="1"/>
        <v>5358.64995</v>
      </c>
      <c r="O15" s="838">
        <f t="shared" si="2"/>
        <v>-4.7400500000003376</v>
      </c>
      <c r="P15" s="837">
        <f t="shared" si="3"/>
        <v>-8.8377872949763807E-4</v>
      </c>
    </row>
    <row r="16" spans="1:16" ht="15">
      <c r="A16" s="67" t="s">
        <v>1560</v>
      </c>
      <c r="B16" s="605">
        <f>'Settlement Exhibit 2 pgs 2-17'!$C$183</f>
        <v>876</v>
      </c>
      <c r="C16" s="605">
        <f>'Settlement Exhibit 2 pgs 2-17'!$E$184</f>
        <v>162948372</v>
      </c>
      <c r="D16" s="130">
        <f t="shared" si="6"/>
        <v>186014</v>
      </c>
      <c r="E16" s="672">
        <f>'Settlement Exhibit 2 pgs 2-17'!$G$204</f>
        <v>13517486</v>
      </c>
      <c r="F16" s="25">
        <f>ROUND(E16/B16,2)</f>
        <v>15430.92</v>
      </c>
      <c r="G16" s="730">
        <f>'Sch M-2.3-E pg 1-2'!V23</f>
        <v>8197</v>
      </c>
      <c r="H16" s="672">
        <f>'Settlement Exhibit 2 pgs 2-17'!$J$204</f>
        <v>13525683</v>
      </c>
      <c r="I16" s="752">
        <f t="shared" si="7"/>
        <v>15440.28</v>
      </c>
      <c r="J16" s="724">
        <f t="shared" si="8"/>
        <v>9.3600000000005821</v>
      </c>
      <c r="K16" s="762">
        <f t="shared" si="9"/>
        <v>6.0657433257385704E-4</v>
      </c>
      <c r="L16" s="837">
        <v>1.5E-3</v>
      </c>
      <c r="M16" s="838">
        <f t="shared" si="0"/>
        <v>23.160420000000002</v>
      </c>
      <c r="N16" s="838">
        <f t="shared" si="1"/>
        <v>15417.11958</v>
      </c>
      <c r="O16" s="838">
        <f t="shared" si="2"/>
        <v>-13.800419999999576</v>
      </c>
      <c r="P16" s="837">
        <f t="shared" si="3"/>
        <v>-8.9433552892501393E-4</v>
      </c>
    </row>
    <row r="17" spans="1:16">
      <c r="A17" s="59" t="s">
        <v>1558</v>
      </c>
      <c r="B17" s="603">
        <f>B15+B16</f>
        <v>34422</v>
      </c>
      <c r="C17" s="603">
        <f>C15+C16</f>
        <v>2128864437</v>
      </c>
      <c r="D17" s="130">
        <f t="shared" si="6"/>
        <v>61846</v>
      </c>
      <c r="E17" s="725">
        <f>E15+E16</f>
        <v>193437886</v>
      </c>
      <c r="F17" s="25">
        <f>ROUND(E17/B17,2)</f>
        <v>5619.6</v>
      </c>
      <c r="G17" s="725">
        <f>'Sch M-2.3-E pg 1-2'!V24</f>
        <v>118951</v>
      </c>
      <c r="H17" s="725">
        <f>H15+H16</f>
        <v>193556837</v>
      </c>
      <c r="I17" s="752">
        <f>ROUND(H17/B17,2)</f>
        <v>5623.06</v>
      </c>
      <c r="J17" s="724">
        <f>I17-F17</f>
        <v>3.4600000000000364</v>
      </c>
      <c r="K17" s="762">
        <f t="shared" si="9"/>
        <v>6.1570218520891806E-4</v>
      </c>
      <c r="L17" s="837">
        <v>1.5E-3</v>
      </c>
      <c r="M17" s="838">
        <f t="shared" si="0"/>
        <v>8.43459</v>
      </c>
      <c r="N17" s="838">
        <f t="shared" si="1"/>
        <v>5614.6254100000006</v>
      </c>
      <c r="O17" s="838">
        <f t="shared" si="2"/>
        <v>-4.9745899999998073</v>
      </c>
      <c r="P17" s="837">
        <f t="shared" si="3"/>
        <v>-8.8522136806886732E-4</v>
      </c>
    </row>
    <row r="18" spans="1:16" ht="15">
      <c r="A18" s="69"/>
      <c r="B18" s="604"/>
      <c r="C18" s="604"/>
      <c r="D18" s="604"/>
      <c r="E18" s="604"/>
      <c r="F18" s="604"/>
      <c r="G18" s="604"/>
      <c r="H18" s="604"/>
      <c r="I18" s="754"/>
      <c r="J18" s="604"/>
      <c r="L18" s="837"/>
      <c r="M18" s="838"/>
      <c r="N18" s="838"/>
      <c r="O18" s="838"/>
      <c r="P18" s="837"/>
    </row>
    <row r="19" spans="1:16">
      <c r="A19" s="59" t="s">
        <v>1548</v>
      </c>
      <c r="B19" s="603">
        <f>'Settlement Exhibit 2 pgs 2-17'!$C$220</f>
        <v>3830</v>
      </c>
      <c r="C19" s="603">
        <f>'Settlement Exhibit 2 pgs 2-17'!$E$221</f>
        <v>1040406894</v>
      </c>
      <c r="D19" s="130">
        <f>ROUND(C19/B19,0)</f>
        <v>271647</v>
      </c>
      <c r="E19" s="503">
        <f>'Settlement Exhibit 2 pgs 2-17'!$G$244</f>
        <v>86270519</v>
      </c>
      <c r="F19" s="25">
        <f>ROUND(E19/B19,2)</f>
        <v>22524.94</v>
      </c>
      <c r="G19" s="729">
        <f>'Sch M-2.3-E pg 1-2'!V26</f>
        <v>51810</v>
      </c>
      <c r="H19" s="503">
        <f>'Settlement Exhibit 2 pgs 2-17'!$J$244</f>
        <v>86322329</v>
      </c>
      <c r="I19" s="752">
        <f>ROUND(H19/B19,2)</f>
        <v>22538.47</v>
      </c>
      <c r="J19" s="724">
        <f>I19-F19</f>
        <v>13.530000000002474</v>
      </c>
      <c r="K19" s="762">
        <f>J19/F19</f>
        <v>6.0066752675045861E-4</v>
      </c>
      <c r="L19" s="837">
        <v>1.5E-3</v>
      </c>
      <c r="M19" s="838">
        <f t="shared" si="0"/>
        <v>33.807705000000006</v>
      </c>
      <c r="N19" s="838">
        <f t="shared" si="1"/>
        <v>22504.662295000002</v>
      </c>
      <c r="O19" s="838">
        <f t="shared" si="2"/>
        <v>-20.277704999996786</v>
      </c>
      <c r="P19" s="837">
        <f t="shared" si="3"/>
        <v>-9.0023347453963411E-4</v>
      </c>
    </row>
    <row r="20" spans="1:16">
      <c r="A20" s="58"/>
      <c r="B20" s="502"/>
      <c r="C20" s="502"/>
      <c r="D20" s="502"/>
      <c r="E20" s="502"/>
      <c r="F20" s="502"/>
      <c r="G20" s="502"/>
      <c r="H20" s="502"/>
      <c r="I20" s="131"/>
      <c r="J20" s="502"/>
      <c r="L20" s="837"/>
      <c r="M20" s="838"/>
      <c r="N20" s="838"/>
      <c r="O20" s="838"/>
      <c r="P20" s="837"/>
    </row>
    <row r="21" spans="1:16">
      <c r="A21" s="67" t="s">
        <v>915</v>
      </c>
      <c r="B21" s="603">
        <f>'Settlement Exhibit 2 pgs 2-17'!$C$261</f>
        <v>474</v>
      </c>
      <c r="C21" s="603">
        <f>'Settlement Exhibit 2 pgs 2-17'!$E$262</f>
        <v>372651050</v>
      </c>
      <c r="D21" s="130">
        <f>ROUND(C21/B21,2)</f>
        <v>786183.65</v>
      </c>
      <c r="E21" s="503">
        <f>'Settlement Exhibit 2 pgs 2-17'!$G$281</f>
        <v>29938183</v>
      </c>
      <c r="F21" s="764">
        <f>ROUND(E21/B21,2)</f>
        <v>63160.72</v>
      </c>
      <c r="G21" s="729">
        <f>'Sch M-2.3-E pg 1-2'!V29</f>
        <v>-2072748</v>
      </c>
      <c r="H21" s="503">
        <f>'Settlement Exhibit 2 pgs 2-17'!$L$281</f>
        <v>27865435</v>
      </c>
      <c r="I21" s="763">
        <f>ROUND(H21/B21,6)</f>
        <v>58787.837552999998</v>
      </c>
      <c r="J21" s="765">
        <f>I21-F21+0.01</f>
        <v>-4372.8724470000034</v>
      </c>
      <c r="K21" s="762">
        <f t="shared" ref="K21:K23" si="10">J21/F21</f>
        <v>-6.9234050007663042E-2</v>
      </c>
      <c r="L21" s="837">
        <v>1.5E-3</v>
      </c>
      <c r="M21" s="838">
        <f t="shared" si="0"/>
        <v>88.181756329500004</v>
      </c>
      <c r="N21" s="838">
        <f t="shared" si="1"/>
        <v>58699.6557966705</v>
      </c>
      <c r="O21" s="838">
        <f t="shared" si="2"/>
        <v>-4461.0642033295007</v>
      </c>
      <c r="P21" s="837">
        <f t="shared" si="3"/>
        <v>-7.0630357021413001E-2</v>
      </c>
    </row>
    <row r="22" spans="1:16" s="863" customFormat="1" ht="14.25">
      <c r="A22" s="853" t="s">
        <v>916</v>
      </c>
      <c r="B22" s="854">
        <f>'Settlement Exhibit 2 pgs 2-17'!$C$298</f>
        <v>842</v>
      </c>
      <c r="C22" s="854">
        <f>'Settlement Exhibit 2 pgs 2-17'!$E$299</f>
        <v>1670443749</v>
      </c>
      <c r="D22" s="855">
        <f t="shared" ref="D22:D23" si="11">ROUND(C22/B22,0)</f>
        <v>1983900</v>
      </c>
      <c r="E22" s="856">
        <f>'Settlement Exhibit 2 pgs 2-17'!$G$318</f>
        <v>123267260</v>
      </c>
      <c r="F22" s="857">
        <f t="shared" ref="F22:F31" si="12">ROUND(E22/B22,2)</f>
        <v>146398.17000000001</v>
      </c>
      <c r="G22" s="858">
        <f>'Sch M-2.3-E pg 1-2'!V30</f>
        <v>2164921</v>
      </c>
      <c r="H22" s="856">
        <f>'Settlement Exhibit 2 pgs 2-17'!$L$318</f>
        <v>125432181</v>
      </c>
      <c r="I22" s="859">
        <f>ROUND(H22/B22,2)</f>
        <v>148969.34</v>
      </c>
      <c r="J22" s="852">
        <f t="shared" ref="J22" si="13">I22-F22</f>
        <v>2571.1699999999837</v>
      </c>
      <c r="K22" s="860">
        <f t="shared" si="10"/>
        <v>1.7562856147723592E-2</v>
      </c>
      <c r="L22" s="861">
        <v>1.5E-3</v>
      </c>
      <c r="M22" s="862">
        <f t="shared" si="0"/>
        <v>223.45401000000001</v>
      </c>
      <c r="N22" s="862">
        <f t="shared" si="1"/>
        <v>148745.88599000001</v>
      </c>
      <c r="O22" s="862">
        <f t="shared" si="2"/>
        <v>2347.715989999997</v>
      </c>
      <c r="P22" s="861">
        <f t="shared" si="3"/>
        <v>1.6036511863502096E-2</v>
      </c>
    </row>
    <row r="23" spans="1:16">
      <c r="A23" s="59" t="s">
        <v>1549</v>
      </c>
      <c r="B23" s="603">
        <f>B21+B22</f>
        <v>1316</v>
      </c>
      <c r="C23" s="603">
        <f>C21+C22</f>
        <v>2043094799</v>
      </c>
      <c r="D23" s="130">
        <f t="shared" si="11"/>
        <v>1552504</v>
      </c>
      <c r="E23" s="503">
        <f>E21+E22</f>
        <v>153205443</v>
      </c>
      <c r="F23" s="25">
        <f t="shared" si="12"/>
        <v>116417.51</v>
      </c>
      <c r="G23" s="729">
        <f>'Sch M-2.3-E pg 1-2'!V31</f>
        <v>92175</v>
      </c>
      <c r="H23" s="503">
        <f>H21+H22</f>
        <v>153297616</v>
      </c>
      <c r="I23" s="752">
        <f>ROUND(H23/B23,2)</f>
        <v>116487.55</v>
      </c>
      <c r="J23" s="724">
        <f>I23-F23</f>
        <v>70.040000000008149</v>
      </c>
      <c r="K23" s="762">
        <f t="shared" si="10"/>
        <v>6.016277104707716E-4</v>
      </c>
      <c r="L23" s="837">
        <v>1.5E-3</v>
      </c>
      <c r="M23" s="838">
        <f t="shared" si="0"/>
        <v>174.731325</v>
      </c>
      <c r="N23" s="838">
        <f t="shared" si="1"/>
        <v>116312.818675</v>
      </c>
      <c r="O23" s="838">
        <f t="shared" si="2"/>
        <v>-104.6913249999925</v>
      </c>
      <c r="P23" s="837">
        <f t="shared" si="3"/>
        <v>-8.9927473109494016E-4</v>
      </c>
    </row>
    <row r="24" spans="1:16" ht="15">
      <c r="A24" s="58"/>
      <c r="B24" s="604"/>
      <c r="C24" s="604"/>
      <c r="D24" s="604"/>
      <c r="E24" s="604"/>
      <c r="F24" s="604"/>
      <c r="G24" s="604"/>
      <c r="H24" s="604"/>
      <c r="I24" s="754"/>
      <c r="J24" s="604"/>
      <c r="L24" s="837"/>
      <c r="M24" s="838"/>
      <c r="N24" s="838"/>
      <c r="O24" s="838"/>
      <c r="P24" s="837"/>
    </row>
    <row r="25" spans="1:16">
      <c r="A25" s="59" t="s">
        <v>1550</v>
      </c>
      <c r="B25" s="603">
        <f>'Settlement Exhibit 2 pgs 2-17'!$C$372</f>
        <v>144</v>
      </c>
      <c r="C25" s="603">
        <f>'Settlement Exhibit 2 pgs 2-17'!$E$373</f>
        <v>876840985</v>
      </c>
      <c r="D25" s="130">
        <f>ROUND(C25/B25,0)</f>
        <v>6089174</v>
      </c>
      <c r="E25" s="503">
        <f>'Settlement Exhibit 2 pgs 2-17'!$G$392</f>
        <v>55631555</v>
      </c>
      <c r="F25" s="25">
        <f t="shared" si="12"/>
        <v>386330.24</v>
      </c>
      <c r="G25" s="729">
        <f>'Sch M-2.3-E pg 1-2'!V33</f>
        <v>35966</v>
      </c>
      <c r="H25" s="503">
        <f>'Settlement Exhibit 2 pgs 2-17'!$J$392</f>
        <v>55667521</v>
      </c>
      <c r="I25" s="752">
        <f>ROUND(H25/B25,2)</f>
        <v>386580.01</v>
      </c>
      <c r="J25" s="724">
        <f>I25-F25</f>
        <v>249.77000000001863</v>
      </c>
      <c r="K25" s="762">
        <f>J25/F25</f>
        <v>6.4651941302865297E-4</v>
      </c>
      <c r="L25" s="837">
        <v>1.5E-3</v>
      </c>
      <c r="M25" s="838">
        <f t="shared" si="0"/>
        <v>579.87001500000008</v>
      </c>
      <c r="N25" s="838">
        <f t="shared" si="1"/>
        <v>386000.13998500002</v>
      </c>
      <c r="O25" s="838">
        <f t="shared" si="2"/>
        <v>-330.10001499997452</v>
      </c>
      <c r="P25" s="837">
        <f t="shared" si="3"/>
        <v>-8.5445036609087222E-4</v>
      </c>
    </row>
    <row r="26" spans="1:16">
      <c r="A26" s="58"/>
      <c r="B26" s="502"/>
      <c r="C26" s="502"/>
      <c r="D26" s="502"/>
      <c r="E26" s="502"/>
      <c r="F26" s="502"/>
      <c r="G26" s="502"/>
      <c r="H26" s="502"/>
      <c r="I26" s="131"/>
      <c r="J26" s="502"/>
      <c r="L26" s="837"/>
      <c r="M26" s="838"/>
      <c r="N26" s="838"/>
      <c r="O26" s="838"/>
      <c r="P26" s="837"/>
    </row>
    <row r="27" spans="1:16">
      <c r="A27" s="71" t="s">
        <v>1551</v>
      </c>
      <c r="B27" s="131">
        <v>24</v>
      </c>
      <c r="C27" s="131">
        <v>0</v>
      </c>
      <c r="D27" s="131"/>
      <c r="E27" s="725">
        <f>'12MonResults'!$AK$475</f>
        <v>-3438312</v>
      </c>
      <c r="F27" s="25">
        <f t="shared" si="12"/>
        <v>-143263</v>
      </c>
      <c r="G27" s="729">
        <v>0</v>
      </c>
      <c r="H27" s="725">
        <f>'12MonResults'!$AK$475</f>
        <v>-3438312</v>
      </c>
      <c r="I27" s="752">
        <f>ROUND(H27/B27,2)</f>
        <v>-143263</v>
      </c>
      <c r="J27" s="724">
        <f>I27-F27</f>
        <v>0</v>
      </c>
      <c r="L27" s="837">
        <v>1.5E-3</v>
      </c>
      <c r="M27" s="838">
        <f t="shared" si="0"/>
        <v>-214.89449999999999</v>
      </c>
      <c r="N27" s="838">
        <f t="shared" si="1"/>
        <v>-143048.10550000001</v>
      </c>
      <c r="O27" s="838">
        <f t="shared" si="2"/>
        <v>214.89449999999488</v>
      </c>
      <c r="P27" s="837">
        <f t="shared" si="3"/>
        <v>-1.4999999999999643E-3</v>
      </c>
    </row>
    <row r="28" spans="1:16">
      <c r="A28" s="73"/>
      <c r="B28" s="502"/>
      <c r="C28" s="502"/>
      <c r="D28" s="502"/>
      <c r="E28" s="502"/>
      <c r="F28" s="502"/>
      <c r="G28" s="502"/>
      <c r="H28" s="502"/>
      <c r="I28" s="131"/>
      <c r="J28" s="502"/>
      <c r="L28" s="837"/>
      <c r="M28" s="838"/>
      <c r="N28" s="838"/>
      <c r="O28" s="838"/>
      <c r="P28" s="837"/>
    </row>
    <row r="29" spans="1:16">
      <c r="A29" s="71" t="s">
        <v>904</v>
      </c>
      <c r="B29" s="131">
        <f>'Settlement Exhibit 2 pgs 2-17'!$C$448+'Settlement Exhibit 2 pgs 2-17'!$C$487</f>
        <v>36</v>
      </c>
      <c r="C29" s="131">
        <f>'Settlement Exhibit 2 pgs 2-17'!$E$449+'Settlement Exhibit 2 pgs 2-17'!$E$488</f>
        <v>167447000</v>
      </c>
      <c r="D29" s="130">
        <f>ROUND(C29/B29,0)</f>
        <v>4651306</v>
      </c>
      <c r="E29" s="725">
        <f>'Settlement Exhibit 2 pgs 2-17'!$G$469+'Settlement Exhibit 2 pgs 2-17'!$G$505</f>
        <v>10889812</v>
      </c>
      <c r="F29" s="25">
        <f t="shared" ref="F29" si="14">ROUND(E29/B29,2)</f>
        <v>302494.78000000003</v>
      </c>
      <c r="G29" s="729">
        <f>'Sch M-2.3-E pg 1-2'!V37+'Sch M-2.3-E pg 1-2'!V38</f>
        <v>7221.7879999997094</v>
      </c>
      <c r="H29" s="725">
        <f>'Settlement Exhibit 2 pgs 2-17'!$J$469+'Settlement Exhibit 2 pgs 2-17'!$J$505</f>
        <v>10897033.787999999</v>
      </c>
      <c r="I29" s="752">
        <f>ROUND(H29/B29,2)</f>
        <v>302695.38</v>
      </c>
      <c r="J29" s="724">
        <f>I29-F29</f>
        <v>200.59999999997672</v>
      </c>
      <c r="K29" s="762">
        <f>J29/F29</f>
        <v>6.6315193934909119E-4</v>
      </c>
      <c r="L29" s="837">
        <v>1.5E-3</v>
      </c>
      <c r="M29" s="838">
        <f t="shared" si="0"/>
        <v>454.04307</v>
      </c>
      <c r="N29" s="838">
        <f t="shared" si="1"/>
        <v>302241.33692999999</v>
      </c>
      <c r="O29" s="838">
        <f t="shared" si="2"/>
        <v>-253.44307000003755</v>
      </c>
      <c r="P29" s="837">
        <f t="shared" si="3"/>
        <v>-8.3784278855997957E-4</v>
      </c>
    </row>
    <row r="30" spans="1:16">
      <c r="A30" s="73"/>
      <c r="B30" s="502"/>
      <c r="C30" s="502"/>
      <c r="D30" s="502"/>
      <c r="E30" s="502"/>
      <c r="F30" s="502"/>
      <c r="G30" s="502"/>
      <c r="H30" s="502"/>
      <c r="I30" s="131"/>
      <c r="J30" s="502"/>
      <c r="L30" s="837"/>
      <c r="M30" s="838"/>
      <c r="N30" s="838"/>
      <c r="O30" s="838"/>
      <c r="P30" s="837"/>
    </row>
    <row r="31" spans="1:16">
      <c r="A31" s="59" t="s">
        <v>1552</v>
      </c>
      <c r="B31" s="603">
        <f>'Settlement Exhibit 2 pgs 2-17'!$C$522</f>
        <v>1872</v>
      </c>
      <c r="C31" s="603">
        <f>'Settlement Exhibit 2 pgs 2-17'!$E$523</f>
        <v>3442738</v>
      </c>
      <c r="D31" s="130">
        <f t="shared" ref="D31:D32" si="15">ROUND(C31/B31,0)</f>
        <v>1839</v>
      </c>
      <c r="E31" s="502">
        <f>'Settlement Exhibit 2 pgs 2-17'!$G$538</f>
        <v>252419</v>
      </c>
      <c r="F31" s="25">
        <f t="shared" si="12"/>
        <v>134.84</v>
      </c>
      <c r="G31" s="729">
        <f>'Sch M-2.3-E pg 1-2'!V40</f>
        <v>138</v>
      </c>
      <c r="H31" s="502">
        <f>'Settlement Exhibit 2 pgs 2-17'!$J$538</f>
        <v>252557</v>
      </c>
      <c r="I31" s="752">
        <f>ROUND(H31/B31,2)</f>
        <v>134.91</v>
      </c>
      <c r="J31" s="724">
        <f>I31-F31</f>
        <v>6.9999999999993179E-2</v>
      </c>
      <c r="K31" s="762">
        <f t="shared" ref="K31:K32" si="16">J31/F31</f>
        <v>5.1913378819336384E-4</v>
      </c>
      <c r="L31" s="837">
        <v>1.5E-3</v>
      </c>
      <c r="M31" s="838">
        <f t="shared" si="0"/>
        <v>0.20236499999999999</v>
      </c>
      <c r="N31" s="838">
        <f t="shared" si="1"/>
        <v>134.70763500000001</v>
      </c>
      <c r="O31" s="838">
        <f t="shared" si="2"/>
        <v>-0.13236499999999296</v>
      </c>
      <c r="P31" s="837">
        <f t="shared" si="3"/>
        <v>-9.8164491248882348E-4</v>
      </c>
    </row>
    <row r="32" spans="1:16">
      <c r="A32" s="59" t="s">
        <v>1553</v>
      </c>
      <c r="B32" s="603">
        <f>'Settlement Exhibit 2 pgs 2-17'!$C$556</f>
        <v>10860</v>
      </c>
      <c r="C32" s="603">
        <f>'Settlement Exhibit 2 pgs 2-17'!$E$557</f>
        <v>3103723</v>
      </c>
      <c r="D32" s="130">
        <f t="shared" si="15"/>
        <v>286</v>
      </c>
      <c r="E32" s="502">
        <f>'Settlement Exhibit 2 pgs 2-17'!$G$573</f>
        <v>300152</v>
      </c>
      <c r="F32" s="25">
        <f>ROUND(E32/B32,4)</f>
        <v>27.638300000000001</v>
      </c>
      <c r="G32" s="729">
        <f>'Sch M-2.3-E pg 1-2'!V41</f>
        <v>200</v>
      </c>
      <c r="H32" s="502">
        <f>'Settlement Exhibit 2 pgs 2-17'!$J$573</f>
        <v>300352</v>
      </c>
      <c r="I32" s="752">
        <f>ROUND(H32/B32,2)</f>
        <v>27.66</v>
      </c>
      <c r="J32" s="724">
        <f>I32-F32</f>
        <v>2.1699999999999164E-2</v>
      </c>
      <c r="K32" s="762">
        <f t="shared" si="16"/>
        <v>7.8514235680194385E-4</v>
      </c>
      <c r="L32" s="837">
        <v>1.5E-3</v>
      </c>
      <c r="M32" s="838">
        <f t="shared" si="0"/>
        <v>4.1489999999999999E-2</v>
      </c>
      <c r="N32" s="838">
        <f t="shared" si="1"/>
        <v>27.618510000000001</v>
      </c>
      <c r="O32" s="838">
        <f t="shared" si="2"/>
        <v>-1.9790000000000418E-2</v>
      </c>
      <c r="P32" s="837">
        <f t="shared" si="3"/>
        <v>-7.1603535673324403E-4</v>
      </c>
    </row>
    <row r="33" spans="1:16">
      <c r="A33" s="58"/>
      <c r="B33" s="131"/>
      <c r="C33" s="131"/>
      <c r="D33" s="131"/>
      <c r="E33" s="725"/>
      <c r="F33" s="725"/>
      <c r="G33" s="725"/>
      <c r="H33" s="725"/>
      <c r="I33" s="725"/>
      <c r="J33" s="725"/>
      <c r="L33" s="837"/>
      <c r="M33" s="838"/>
      <c r="N33" s="838"/>
      <c r="O33" s="838"/>
      <c r="P33" s="837"/>
    </row>
    <row r="34" spans="1:16">
      <c r="A34" s="59" t="s">
        <v>1554</v>
      </c>
      <c r="B34" s="502">
        <f>'12MonLights'!E892</f>
        <v>1024556</v>
      </c>
      <c r="C34" s="502">
        <f>'12MonLights'!F892</f>
        <v>123147808</v>
      </c>
      <c r="D34" s="130">
        <f>ROUND(C34/B34,0)</f>
        <v>120</v>
      </c>
      <c r="E34" s="502">
        <f>'Settlement Exhibit 2 pgs 18-24'!$G$211</f>
        <v>18994751</v>
      </c>
      <c r="F34" s="764">
        <f>ROUND(E34/B34,6)</f>
        <v>18.539494999999999</v>
      </c>
      <c r="G34" s="729">
        <f>'Sch M-2.3-E pg 1-2'!V43</f>
        <v>10639</v>
      </c>
      <c r="H34" s="502">
        <f>'Settlement Exhibit 2 pgs 18-24'!$I$211</f>
        <v>19005390</v>
      </c>
      <c r="I34" s="763">
        <f>ROUND(H34/B34,5)</f>
        <v>18.549880000000002</v>
      </c>
      <c r="J34" s="765">
        <f>I34-F34-0.001</f>
        <v>9.3850000000029743E-3</v>
      </c>
      <c r="K34" s="762">
        <f>J34/F34+0.0001</f>
        <v>6.0621659327845634E-4</v>
      </c>
      <c r="L34" s="837">
        <v>1.5E-3</v>
      </c>
      <c r="M34" s="838">
        <f t="shared" si="0"/>
        <v>2.7824820000000004E-2</v>
      </c>
      <c r="N34" s="838">
        <f t="shared" si="1"/>
        <v>18.522055180000002</v>
      </c>
      <c r="O34" s="838">
        <f t="shared" si="2"/>
        <v>-1.7439819999996331E-2</v>
      </c>
      <c r="P34" s="837">
        <f t="shared" si="3"/>
        <v>-9.4068473817632747E-4</v>
      </c>
    </row>
    <row r="35" spans="1:16">
      <c r="A35" s="58"/>
      <c r="B35" s="182"/>
      <c r="C35" s="182"/>
      <c r="D35" s="182"/>
      <c r="E35" s="170"/>
      <c r="F35" s="170"/>
      <c r="G35" s="170"/>
      <c r="H35" s="170"/>
      <c r="I35" s="170"/>
      <c r="J35" s="170"/>
      <c r="M35" s="172"/>
      <c r="N35" s="172"/>
    </row>
    <row r="36" spans="1:16">
      <c r="A36" s="56"/>
      <c r="B36" s="177"/>
      <c r="C36" s="177"/>
      <c r="D36" s="177"/>
      <c r="E36" s="177"/>
      <c r="F36" s="177"/>
      <c r="G36" s="177"/>
      <c r="H36" s="177"/>
      <c r="I36" s="182"/>
      <c r="J36" s="177"/>
    </row>
    <row r="37" spans="1:16">
      <c r="B37" s="177"/>
      <c r="C37" s="177"/>
      <c r="D37" s="177"/>
      <c r="E37" s="177"/>
      <c r="F37" s="177"/>
      <c r="G37" s="177"/>
      <c r="H37" s="177"/>
      <c r="I37" s="182"/>
      <c r="J37" s="177"/>
    </row>
    <row r="38" spans="1:16">
      <c r="A38" s="169"/>
      <c r="B38" s="182"/>
      <c r="C38" s="182"/>
      <c r="D38" s="182"/>
      <c r="E38" s="170"/>
      <c r="F38" s="170"/>
      <c r="G38" s="170"/>
      <c r="H38" s="170"/>
      <c r="I38" s="170"/>
      <c r="J38" s="170"/>
      <c r="M38" s="172"/>
      <c r="N38" s="172"/>
    </row>
    <row r="39" spans="1:16" ht="15">
      <c r="A39" s="169"/>
      <c r="B39" s="174"/>
      <c r="C39" s="174"/>
      <c r="D39" s="174"/>
      <c r="E39" s="174"/>
      <c r="F39" s="174"/>
      <c r="G39" s="174"/>
      <c r="H39" s="174"/>
      <c r="I39" s="755"/>
      <c r="J39" s="174"/>
      <c r="M39" s="172"/>
      <c r="N39" s="172"/>
    </row>
    <row r="40" spans="1:16">
      <c r="A40" s="178"/>
      <c r="B40" s="177"/>
      <c r="C40" s="177"/>
      <c r="D40" s="177"/>
      <c r="E40" s="171"/>
      <c r="F40" s="171"/>
      <c r="G40" s="171"/>
      <c r="H40" s="171"/>
      <c r="I40" s="170"/>
      <c r="J40" s="171"/>
    </row>
    <row r="41" spans="1:16">
      <c r="B41" s="177"/>
      <c r="C41" s="177"/>
      <c r="D41" s="177"/>
      <c r="E41" s="177"/>
      <c r="F41" s="177"/>
      <c r="G41" s="177"/>
      <c r="H41" s="177"/>
      <c r="I41" s="182"/>
      <c r="J41" s="177"/>
    </row>
    <row r="42" spans="1:16">
      <c r="B42" s="182"/>
      <c r="C42" s="182"/>
      <c r="D42" s="182"/>
      <c r="E42" s="170"/>
      <c r="F42" s="170"/>
      <c r="G42" s="170"/>
      <c r="H42" s="170"/>
      <c r="I42" s="170"/>
      <c r="J42" s="170"/>
      <c r="M42" s="172"/>
      <c r="N42" s="172"/>
    </row>
    <row r="43" spans="1:16">
      <c r="B43" s="177"/>
      <c r="C43" s="177"/>
      <c r="D43" s="177"/>
      <c r="E43" s="171"/>
      <c r="F43" s="171"/>
      <c r="G43" s="171"/>
      <c r="H43" s="171"/>
      <c r="I43" s="170"/>
      <c r="J43" s="171"/>
      <c r="N43" s="172"/>
    </row>
    <row r="44" spans="1:16">
      <c r="B44" s="182"/>
      <c r="C44" s="182"/>
      <c r="D44" s="182"/>
      <c r="E44" s="170"/>
      <c r="F44" s="170"/>
      <c r="G44" s="170"/>
      <c r="H44" s="170"/>
      <c r="I44" s="170"/>
      <c r="J44" s="170"/>
      <c r="M44" s="172"/>
      <c r="N44" s="172"/>
    </row>
    <row r="45" spans="1:16">
      <c r="B45" s="177"/>
      <c r="C45" s="177"/>
      <c r="D45" s="177"/>
      <c r="E45" s="171"/>
      <c r="F45" s="171"/>
      <c r="G45" s="171"/>
      <c r="H45" s="171"/>
      <c r="I45" s="170"/>
      <c r="J45" s="171"/>
      <c r="N45" s="172"/>
    </row>
    <row r="46" spans="1:16">
      <c r="B46" s="182"/>
      <c r="C46" s="182"/>
      <c r="D46" s="182"/>
      <c r="E46" s="170"/>
      <c r="F46" s="170"/>
      <c r="G46" s="170"/>
      <c r="H46" s="170"/>
      <c r="I46" s="170"/>
      <c r="J46" s="170"/>
      <c r="M46" s="171"/>
      <c r="N46" s="172"/>
    </row>
    <row r="47" spans="1:16">
      <c r="B47" s="182"/>
      <c r="C47" s="182"/>
      <c r="D47" s="182"/>
      <c r="E47" s="170"/>
      <c r="F47" s="170"/>
      <c r="G47" s="170"/>
      <c r="H47" s="170"/>
      <c r="I47" s="170"/>
      <c r="J47" s="170"/>
      <c r="M47" s="171"/>
      <c r="N47" s="171"/>
    </row>
    <row r="48" spans="1:16">
      <c r="B48" s="180"/>
      <c r="C48" s="180"/>
      <c r="D48" s="180"/>
      <c r="E48" s="180"/>
      <c r="F48" s="180"/>
      <c r="G48" s="180"/>
      <c r="H48" s="180"/>
      <c r="I48" s="756"/>
      <c r="J48" s="180"/>
      <c r="M48" s="172"/>
      <c r="N48" s="172"/>
    </row>
    <row r="49" spans="2:13">
      <c r="B49" s="177"/>
      <c r="C49" s="177"/>
      <c r="D49" s="177"/>
      <c r="E49" s="171"/>
      <c r="F49" s="171"/>
      <c r="G49" s="171"/>
      <c r="H49" s="171"/>
      <c r="I49" s="170"/>
      <c r="J49" s="171"/>
    </row>
    <row r="50" spans="2:13">
      <c r="B50" s="177"/>
      <c r="C50" s="177"/>
      <c r="D50" s="177"/>
    </row>
    <row r="51" spans="2:13" ht="15">
      <c r="B51" s="712"/>
      <c r="C51" s="712"/>
      <c r="D51" s="712"/>
      <c r="E51" s="181"/>
      <c r="F51" s="181"/>
      <c r="G51" s="181"/>
      <c r="H51" s="181"/>
      <c r="I51" s="757"/>
      <c r="J51" s="181"/>
      <c r="M51" s="172"/>
    </row>
    <row r="53" spans="2:13">
      <c r="B53" s="172"/>
    </row>
    <row r="56" spans="2:13">
      <c r="B56" s="177"/>
      <c r="C56" s="177"/>
      <c r="D56" s="177"/>
      <c r="E56" s="177"/>
      <c r="F56" s="177"/>
      <c r="G56" s="177"/>
      <c r="H56" s="177"/>
      <c r="I56" s="182"/>
      <c r="J56" s="177"/>
      <c r="K56" s="176"/>
    </row>
    <row r="57" spans="2:13">
      <c r="B57" s="177"/>
      <c r="C57" s="177"/>
      <c r="D57" s="177"/>
      <c r="E57" s="177"/>
      <c r="F57" s="177"/>
      <c r="G57" s="177"/>
      <c r="H57" s="177"/>
      <c r="I57" s="182"/>
      <c r="J57" s="177"/>
      <c r="K57" s="176"/>
    </row>
    <row r="58" spans="2:13">
      <c r="B58" s="177"/>
      <c r="C58" s="177"/>
      <c r="D58" s="177"/>
      <c r="E58" s="177"/>
      <c r="F58" s="177"/>
      <c r="G58" s="177"/>
      <c r="H58" s="177"/>
      <c r="I58" s="182"/>
      <c r="J58" s="177"/>
    </row>
    <row r="59" spans="2:13">
      <c r="B59" s="177"/>
      <c r="C59" s="177"/>
      <c r="D59" s="177"/>
      <c r="E59" s="177"/>
      <c r="F59" s="177"/>
      <c r="G59" s="177"/>
      <c r="H59" s="177"/>
      <c r="I59" s="182"/>
      <c r="J59" s="177"/>
    </row>
    <row r="60" spans="2:13">
      <c r="B60" s="182"/>
      <c r="C60" s="182"/>
      <c r="D60" s="182"/>
      <c r="E60" s="177"/>
      <c r="F60" s="177"/>
      <c r="G60" s="177"/>
      <c r="H60" s="177"/>
      <c r="I60" s="182"/>
      <c r="J60" s="177"/>
    </row>
    <row r="61" spans="2:13">
      <c r="B61" s="176"/>
      <c r="C61" s="176"/>
      <c r="D61" s="176"/>
      <c r="E61" s="176"/>
      <c r="F61" s="176"/>
    </row>
    <row r="62" spans="2:13" ht="24" customHeight="1">
      <c r="B62" s="176"/>
      <c r="C62" s="176"/>
      <c r="D62" s="176"/>
      <c r="E62" s="176"/>
      <c r="F62" s="176"/>
    </row>
    <row r="63" spans="2:13" s="183" customFormat="1">
      <c r="B63" s="184"/>
      <c r="C63" s="184"/>
      <c r="D63" s="184"/>
      <c r="E63" s="184"/>
      <c r="F63" s="184"/>
      <c r="I63" s="185"/>
    </row>
    <row r="64" spans="2:13" s="185" customFormat="1">
      <c r="B64" s="186"/>
      <c r="C64" s="186"/>
      <c r="D64" s="186"/>
      <c r="E64" s="186"/>
      <c r="F64" s="186"/>
    </row>
    <row r="65" spans="1:11" s="185" customFormat="1">
      <c r="B65" s="186"/>
      <c r="C65" s="186"/>
      <c r="D65" s="186"/>
      <c r="E65" s="186"/>
      <c r="F65" s="186"/>
    </row>
    <row r="66" spans="1:11" s="185" customFormat="1">
      <c r="B66" s="186"/>
      <c r="C66" s="186"/>
      <c r="D66" s="186"/>
      <c r="E66" s="186"/>
      <c r="F66" s="186"/>
    </row>
    <row r="67" spans="1:11" s="185" customFormat="1">
      <c r="B67" s="186"/>
      <c r="C67" s="186"/>
      <c r="D67" s="186"/>
      <c r="E67" s="186"/>
      <c r="F67" s="186"/>
    </row>
    <row r="68" spans="1:11" s="185" customFormat="1">
      <c r="B68" s="186"/>
      <c r="C68" s="186"/>
      <c r="D68" s="186"/>
      <c r="E68" s="186"/>
      <c r="F68" s="186"/>
    </row>
    <row r="69" spans="1:11" s="185" customFormat="1">
      <c r="B69" s="186"/>
      <c r="C69" s="186"/>
      <c r="D69" s="186"/>
      <c r="E69" s="186"/>
      <c r="F69" s="186"/>
    </row>
    <row r="70" spans="1:11" s="185" customFormat="1">
      <c r="A70" s="169"/>
      <c r="B70" s="171"/>
      <c r="C70" s="171"/>
      <c r="D70" s="171"/>
      <c r="E70" s="171"/>
      <c r="F70" s="171"/>
      <c r="G70" s="171"/>
      <c r="H70" s="171"/>
      <c r="I70" s="170"/>
      <c r="J70" s="171"/>
      <c r="K70" s="187"/>
    </row>
    <row r="71" spans="1:11" ht="15">
      <c r="A71" s="169"/>
      <c r="B71" s="175"/>
      <c r="C71" s="175"/>
      <c r="D71" s="175"/>
      <c r="E71" s="175"/>
      <c r="F71" s="175"/>
      <c r="G71" s="175"/>
      <c r="H71" s="175"/>
      <c r="I71" s="746"/>
      <c r="J71" s="175"/>
      <c r="K71" s="187"/>
    </row>
    <row r="72" spans="1:11">
      <c r="B72" s="171"/>
      <c r="C72" s="171"/>
      <c r="D72" s="171"/>
      <c r="E72" s="171"/>
      <c r="F72" s="171"/>
      <c r="G72" s="171"/>
      <c r="H72" s="171"/>
      <c r="I72" s="170"/>
      <c r="J72" s="171"/>
      <c r="K72" s="187"/>
    </row>
    <row r="73" spans="1:11">
      <c r="B73" s="176"/>
      <c r="C73" s="176"/>
      <c r="D73" s="176"/>
      <c r="E73" s="176"/>
      <c r="F73" s="176"/>
    </row>
    <row r="74" spans="1:11">
      <c r="A74" s="173"/>
      <c r="B74" s="176"/>
      <c r="C74" s="176"/>
      <c r="D74" s="176"/>
      <c r="E74" s="176"/>
      <c r="F74" s="176"/>
    </row>
    <row r="75" spans="1:11" ht="11.25" customHeight="1">
      <c r="A75" s="169"/>
      <c r="B75" s="171"/>
      <c r="C75" s="171"/>
      <c r="D75" s="171"/>
      <c r="E75" s="171"/>
      <c r="F75" s="171"/>
      <c r="G75" s="171"/>
      <c r="H75" s="171"/>
      <c r="I75" s="170"/>
      <c r="J75" s="171"/>
      <c r="K75" s="187"/>
    </row>
    <row r="76" spans="1:11" ht="15">
      <c r="A76" s="169"/>
      <c r="B76" s="175"/>
      <c r="C76" s="175"/>
      <c r="D76" s="175"/>
      <c r="E76" s="175"/>
      <c r="F76" s="175"/>
      <c r="G76" s="175"/>
      <c r="H76" s="175"/>
      <c r="I76" s="746"/>
      <c r="J76" s="175"/>
      <c r="K76" s="187"/>
    </row>
    <row r="77" spans="1:11">
      <c r="B77" s="171"/>
      <c r="C77" s="171"/>
      <c r="D77" s="171"/>
      <c r="E77" s="171"/>
      <c r="F77" s="171"/>
      <c r="G77" s="171"/>
      <c r="H77" s="171"/>
      <c r="I77" s="170"/>
      <c r="J77" s="171"/>
      <c r="K77" s="187"/>
    </row>
    <row r="78" spans="1:11">
      <c r="B78" s="176"/>
      <c r="C78" s="176"/>
      <c r="D78" s="176"/>
      <c r="E78" s="176"/>
      <c r="F78" s="176"/>
    </row>
    <row r="79" spans="1:11">
      <c r="B79" s="171"/>
      <c r="C79" s="171"/>
      <c r="D79" s="171"/>
      <c r="E79" s="171"/>
      <c r="F79" s="171"/>
      <c r="G79" s="171"/>
      <c r="H79" s="171"/>
      <c r="I79" s="170"/>
      <c r="J79" s="171"/>
      <c r="K79" s="187"/>
    </row>
    <row r="80" spans="1:11">
      <c r="B80" s="171"/>
      <c r="C80" s="171"/>
      <c r="D80" s="171"/>
      <c r="E80" s="171"/>
      <c r="F80" s="171"/>
      <c r="G80" s="171"/>
      <c r="H80" s="171"/>
      <c r="I80" s="170"/>
      <c r="J80" s="171"/>
      <c r="K80" s="187"/>
    </row>
    <row r="81" spans="1:11" ht="15">
      <c r="B81" s="175"/>
      <c r="C81" s="175"/>
      <c r="D81" s="175"/>
      <c r="E81" s="175"/>
      <c r="F81" s="175"/>
      <c r="G81" s="175"/>
      <c r="H81" s="175"/>
      <c r="I81" s="746"/>
      <c r="J81" s="175"/>
      <c r="K81" s="187"/>
    </row>
    <row r="82" spans="1:11">
      <c r="B82" s="171"/>
      <c r="C82" s="171"/>
      <c r="D82" s="171"/>
      <c r="E82" s="171"/>
      <c r="F82" s="171"/>
      <c r="G82" s="171"/>
      <c r="H82" s="171"/>
      <c r="I82" s="170"/>
      <c r="J82" s="171"/>
      <c r="K82" s="187"/>
    </row>
    <row r="83" spans="1:11">
      <c r="B83" s="176"/>
      <c r="C83" s="176"/>
      <c r="D83" s="176"/>
      <c r="E83" s="176"/>
      <c r="F83" s="176"/>
    </row>
    <row r="84" spans="1:11">
      <c r="B84" s="171"/>
      <c r="C84" s="171"/>
      <c r="D84" s="171"/>
      <c r="E84" s="171"/>
      <c r="F84" s="171"/>
      <c r="G84" s="171"/>
      <c r="H84" s="171"/>
      <c r="I84" s="170"/>
      <c r="J84" s="171"/>
      <c r="K84" s="187"/>
    </row>
    <row r="85" spans="1:11">
      <c r="B85" s="171"/>
      <c r="C85" s="171"/>
      <c r="D85" s="171"/>
      <c r="E85" s="171"/>
      <c r="F85" s="171"/>
      <c r="G85" s="171"/>
      <c r="H85" s="171"/>
      <c r="I85" s="170"/>
      <c r="J85" s="171"/>
      <c r="K85" s="187"/>
    </row>
    <row r="86" spans="1:11">
      <c r="B86" s="177"/>
      <c r="C86" s="177"/>
      <c r="D86" s="177"/>
      <c r="E86" s="177"/>
      <c r="F86" s="177"/>
      <c r="G86" s="177"/>
      <c r="H86" s="177"/>
      <c r="I86" s="182"/>
      <c r="J86" s="177"/>
      <c r="K86" s="187"/>
    </row>
    <row r="87" spans="1:11" ht="15">
      <c r="B87" s="174"/>
      <c r="C87" s="174"/>
      <c r="D87" s="174"/>
      <c r="E87" s="174"/>
      <c r="F87" s="174"/>
      <c r="G87" s="174"/>
      <c r="H87" s="174"/>
      <c r="I87" s="755"/>
      <c r="J87" s="174"/>
      <c r="K87" s="187"/>
    </row>
    <row r="88" spans="1:11">
      <c r="B88" s="171"/>
      <c r="C88" s="171"/>
      <c r="D88" s="171"/>
      <c r="E88" s="171"/>
      <c r="F88" s="171"/>
      <c r="G88" s="171"/>
      <c r="H88" s="171"/>
      <c r="I88" s="170"/>
      <c r="J88" s="171"/>
      <c r="K88" s="187"/>
    </row>
    <row r="89" spans="1:11">
      <c r="B89" s="176"/>
      <c r="C89" s="176"/>
      <c r="D89" s="176"/>
      <c r="E89" s="176"/>
      <c r="F89" s="176"/>
    </row>
    <row r="90" spans="1:11">
      <c r="B90" s="171"/>
      <c r="C90" s="171"/>
      <c r="D90" s="171"/>
      <c r="E90" s="171"/>
      <c r="F90" s="171"/>
      <c r="G90" s="171"/>
      <c r="H90" s="171"/>
      <c r="I90" s="170"/>
      <c r="J90" s="171"/>
      <c r="K90" s="187"/>
    </row>
    <row r="91" spans="1:11">
      <c r="B91" s="176"/>
      <c r="C91" s="176"/>
      <c r="D91" s="176"/>
      <c r="E91" s="176"/>
      <c r="F91" s="176"/>
    </row>
    <row r="92" spans="1:11">
      <c r="B92" s="171"/>
      <c r="C92" s="171"/>
      <c r="D92" s="171"/>
      <c r="E92" s="171"/>
      <c r="F92" s="171"/>
      <c r="G92" s="171"/>
      <c r="H92" s="171"/>
      <c r="I92" s="170"/>
      <c r="J92" s="171"/>
      <c r="K92" s="187"/>
    </row>
    <row r="94" spans="1:11">
      <c r="B94" s="171"/>
      <c r="C94" s="171"/>
      <c r="D94" s="171"/>
      <c r="E94" s="171"/>
      <c r="F94" s="171"/>
      <c r="G94" s="171"/>
      <c r="H94" s="171"/>
      <c r="I94" s="170"/>
      <c r="J94" s="171"/>
      <c r="K94" s="187"/>
    </row>
    <row r="95" spans="1:11">
      <c r="A95" s="169"/>
      <c r="B95" s="171"/>
      <c r="C95" s="171"/>
      <c r="D95" s="171"/>
      <c r="E95" s="171"/>
      <c r="F95" s="171"/>
      <c r="G95" s="171"/>
      <c r="H95" s="171"/>
      <c r="I95" s="170"/>
      <c r="J95" s="171"/>
      <c r="K95" s="187"/>
    </row>
    <row r="96" spans="1:11" ht="15">
      <c r="A96" s="169"/>
      <c r="B96" s="175"/>
      <c r="C96" s="175"/>
      <c r="D96" s="175"/>
      <c r="E96" s="175"/>
      <c r="F96" s="175"/>
      <c r="G96" s="175"/>
      <c r="H96" s="175"/>
      <c r="I96" s="746"/>
      <c r="J96" s="175"/>
      <c r="K96" s="187"/>
    </row>
    <row r="97" spans="2:11">
      <c r="B97" s="171"/>
      <c r="C97" s="171"/>
      <c r="D97" s="171"/>
      <c r="E97" s="171"/>
      <c r="F97" s="171"/>
      <c r="G97" s="171"/>
      <c r="H97" s="171"/>
      <c r="I97" s="170"/>
      <c r="J97" s="171"/>
      <c r="K97" s="187"/>
    </row>
    <row r="99" spans="2:11">
      <c r="B99" s="172"/>
      <c r="C99" s="172"/>
      <c r="D99" s="172"/>
      <c r="E99" s="172"/>
      <c r="F99" s="172"/>
      <c r="G99" s="172"/>
      <c r="H99" s="172"/>
      <c r="I99" s="758"/>
      <c r="J99" s="172"/>
      <c r="K99" s="187"/>
    </row>
    <row r="101" spans="2:11">
      <c r="B101" s="171"/>
      <c r="C101" s="171"/>
      <c r="D101" s="171"/>
      <c r="E101" s="171"/>
      <c r="F101" s="171"/>
      <c r="G101" s="171"/>
      <c r="H101" s="171"/>
      <c r="I101" s="170"/>
      <c r="J101" s="171"/>
      <c r="K101" s="187"/>
    </row>
    <row r="103" spans="2:11">
      <c r="B103" s="171"/>
      <c r="C103" s="171"/>
      <c r="D103" s="171"/>
      <c r="E103" s="171"/>
      <c r="F103" s="171"/>
      <c r="G103" s="171"/>
      <c r="H103" s="171"/>
      <c r="I103" s="170"/>
      <c r="J103" s="171"/>
      <c r="K103" s="187"/>
    </row>
    <row r="105" spans="2:11">
      <c r="B105" s="171"/>
      <c r="C105" s="171"/>
      <c r="D105" s="171"/>
      <c r="E105" s="171"/>
      <c r="F105" s="171"/>
      <c r="G105" s="171"/>
      <c r="H105" s="171"/>
      <c r="I105" s="170"/>
      <c r="J105" s="171"/>
      <c r="K105" s="187"/>
    </row>
    <row r="107" spans="2:11" ht="15">
      <c r="B107" s="188"/>
      <c r="C107" s="188"/>
      <c r="D107" s="188"/>
      <c r="E107" s="188"/>
      <c r="F107" s="188"/>
      <c r="G107" s="188"/>
      <c r="H107" s="188"/>
      <c r="I107" s="759"/>
      <c r="J107" s="188"/>
      <c r="K107" s="187"/>
    </row>
    <row r="112" spans="2:11">
      <c r="B112" s="172"/>
      <c r="C112" s="172"/>
      <c r="D112" s="172"/>
      <c r="E112" s="172"/>
      <c r="F112" s="172"/>
      <c r="G112" s="172"/>
      <c r="H112" s="172"/>
      <c r="I112" s="758"/>
      <c r="J112" s="172"/>
    </row>
    <row r="113" spans="2:10">
      <c r="B113" s="172"/>
      <c r="C113" s="172"/>
      <c r="D113" s="172"/>
      <c r="E113" s="172"/>
      <c r="F113" s="172"/>
      <c r="G113" s="172"/>
      <c r="H113" s="172"/>
      <c r="I113" s="758"/>
      <c r="J113" s="172"/>
    </row>
  </sheetData>
  <printOptions horizontalCentered="1"/>
  <pageMargins left="0.5" right="0.22" top="1.82" bottom="0.4" header="0.92" footer="0.3"/>
  <pageSetup scale="80" orientation="landscape" r:id="rId1"/>
  <headerFooter scaleWithDoc="0">
    <oddHeader>&amp;C&amp;"Calibri,Bold"LOUISVILLE GAS AND ELECTRIC COMPANY
Case No. 2014-00372
Average Bill Comparison by Rate Class
Current vs. Proposed Rates
Electric Operations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C000"/>
  </sheetPr>
  <dimension ref="A1:BF75"/>
  <sheetViews>
    <sheetView zoomScale="90" zoomScaleNormal="90" workbookViewId="0">
      <pane xSplit="2" ySplit="10" topLeftCell="W29" activePane="bottomRight" state="frozen"/>
      <selection pane="topRight" activeCell="C1" sqref="C1"/>
      <selection pane="bottomLeft" activeCell="A11" sqref="A11"/>
      <selection pane="bottomRight" activeCell="B37" sqref="B37"/>
    </sheetView>
  </sheetViews>
  <sheetFormatPr defaultColWidth="9.33203125" defaultRowHeight="12.75"/>
  <cols>
    <col min="1" max="1" width="62.6640625" style="58" bestFit="1" customWidth="1"/>
    <col min="2" max="2" width="8" style="58" customWidth="1"/>
    <col min="3" max="3" width="20.83203125" style="57" customWidth="1"/>
    <col min="4" max="4" width="19.6640625" style="57" bestFit="1" customWidth="1"/>
    <col min="5" max="5" width="15.5" style="57" bestFit="1" customWidth="1"/>
    <col min="6" max="6" width="17.83203125" style="57" bestFit="1" customWidth="1"/>
    <col min="7" max="7" width="16.33203125" style="57" customWidth="1"/>
    <col min="8" max="8" width="16.83203125" style="57" bestFit="1" customWidth="1"/>
    <col min="9" max="9" width="16.83203125" style="58" bestFit="1" customWidth="1"/>
    <col min="10" max="10" width="16.83203125" style="57" bestFit="1" customWidth="1"/>
    <col min="11" max="11" width="20.33203125" style="57" bestFit="1" customWidth="1"/>
    <col min="12" max="12" width="17.83203125" style="57" customWidth="1"/>
    <col min="13" max="13" width="14.33203125" style="57" customWidth="1"/>
    <col min="14" max="14" width="3.83203125" style="57" customWidth="1"/>
    <col min="15" max="20" width="19.83203125" style="57" customWidth="1"/>
    <col min="21" max="21" width="2.6640625" style="57" customWidth="1"/>
    <col min="22" max="22" width="17.1640625" style="57" customWidth="1"/>
    <col min="23" max="23" width="12" style="57" customWidth="1"/>
    <col min="24" max="24" width="19.6640625" style="57" customWidth="1"/>
    <col min="25" max="25" width="16.5" style="57" customWidth="1"/>
    <col min="26" max="26" width="24" style="57" customWidth="1"/>
    <col min="27" max="27" width="22.6640625" style="57" customWidth="1"/>
    <col min="28" max="28" width="24.33203125" style="57" customWidth="1"/>
    <col min="29" max="29" width="21.33203125" style="57" customWidth="1"/>
    <col min="30" max="30" width="16.6640625" style="57" customWidth="1"/>
    <col min="31" max="31" width="17.83203125" style="57" customWidth="1"/>
    <col min="32" max="32" width="16.5" style="57" customWidth="1"/>
    <col min="33" max="33" width="23.6640625" style="57" customWidth="1"/>
    <col min="34" max="34" width="19.5" style="57" bestFit="1" customWidth="1"/>
    <col min="35" max="35" width="16.6640625" style="57" bestFit="1" customWidth="1"/>
    <col min="36" max="36" width="15.33203125" style="57" bestFit="1" customWidth="1"/>
    <col min="37" max="37" width="15.83203125" style="57" customWidth="1"/>
    <col min="38" max="38" width="15.33203125" style="57" bestFit="1" customWidth="1"/>
    <col min="39" max="39" width="15.33203125" style="57" customWidth="1"/>
    <col min="40" max="40" width="12.1640625" style="57" bestFit="1" customWidth="1"/>
    <col min="41" max="41" width="10.83203125" style="57" customWidth="1"/>
    <col min="42" max="42" width="28.83203125" style="57" bestFit="1" customWidth="1"/>
    <col min="43" max="46" width="13.83203125" style="57" bestFit="1" customWidth="1"/>
    <col min="47" max="48" width="14.33203125" style="57" customWidth="1"/>
    <col min="49" max="49" width="8.6640625" style="57" bestFit="1" customWidth="1"/>
    <col min="50" max="50" width="13.83203125" style="57" bestFit="1" customWidth="1"/>
    <col min="51" max="51" width="13.6640625" style="57" bestFit="1" customWidth="1"/>
    <col min="52" max="52" width="9.33203125" style="57"/>
    <col min="53" max="53" width="15.83203125" style="57" bestFit="1" customWidth="1"/>
    <col min="54" max="16384" width="9.33203125" style="57"/>
  </cols>
  <sheetData>
    <row r="1" spans="1:58" ht="15.75">
      <c r="A1" s="685" t="s">
        <v>1283</v>
      </c>
      <c r="B1" s="685"/>
      <c r="K1" s="346" t="s">
        <v>1538</v>
      </c>
      <c r="W1" s="346" t="str">
        <f>$K$1</f>
        <v>Schedule M-2.3-E</v>
      </c>
      <c r="AA1" s="767"/>
      <c r="AB1" s="767"/>
      <c r="AC1" s="767"/>
      <c r="AD1" s="767"/>
      <c r="AE1" s="767"/>
      <c r="AF1" s="767"/>
      <c r="AG1" s="767"/>
      <c r="AH1" s="766"/>
      <c r="AI1" s="766"/>
      <c r="AJ1" s="766"/>
      <c r="AK1" s="766"/>
      <c r="AL1" s="766"/>
      <c r="AM1" s="766"/>
      <c r="AN1" s="766"/>
      <c r="AO1" s="766"/>
      <c r="AP1" s="767"/>
      <c r="AQ1" s="767"/>
      <c r="AR1" s="767"/>
      <c r="AS1" s="767"/>
      <c r="AT1" s="767"/>
      <c r="AU1" s="767"/>
      <c r="AV1" s="767"/>
      <c r="AW1" s="767"/>
      <c r="AX1" s="767"/>
      <c r="AY1" s="767"/>
      <c r="AZ1" s="767"/>
      <c r="BA1" s="767"/>
      <c r="BB1" s="767"/>
      <c r="BC1" s="767"/>
      <c r="BD1" s="767"/>
      <c r="BE1" s="767"/>
      <c r="BF1" s="767"/>
    </row>
    <row r="2" spans="1:58" ht="15.75" customHeight="1">
      <c r="A2" s="347" t="s">
        <v>1251</v>
      </c>
      <c r="B2" s="347"/>
      <c r="K2" s="346" t="s">
        <v>1536</v>
      </c>
      <c r="W2" s="346" t="s">
        <v>1537</v>
      </c>
      <c r="AA2" s="767"/>
      <c r="AB2" s="767"/>
      <c r="AC2" s="767"/>
      <c r="AD2" s="767"/>
      <c r="AE2" s="767"/>
      <c r="AF2" s="767"/>
      <c r="AG2" s="767"/>
      <c r="AH2" s="766"/>
      <c r="AI2" s="766"/>
      <c r="AJ2" s="766"/>
      <c r="AK2" s="766"/>
      <c r="AL2" s="766"/>
      <c r="AM2" s="766"/>
      <c r="AN2" s="766"/>
      <c r="AO2" s="766"/>
      <c r="AP2" s="767"/>
      <c r="AQ2" s="767"/>
      <c r="AR2" s="767"/>
      <c r="AS2" s="767"/>
      <c r="AT2" s="767"/>
      <c r="AU2" s="767"/>
      <c r="AV2" s="767"/>
      <c r="AW2" s="767"/>
      <c r="AX2" s="767"/>
      <c r="AY2" s="767"/>
      <c r="AZ2" s="767"/>
      <c r="BA2" s="767"/>
      <c r="BB2" s="767"/>
      <c r="BC2" s="767"/>
      <c r="BD2" s="767"/>
      <c r="BE2" s="767"/>
      <c r="BF2" s="767"/>
    </row>
    <row r="3" spans="1:58" ht="16.5" thickBot="1">
      <c r="A3" s="347" t="s">
        <v>1248</v>
      </c>
      <c r="B3" s="347"/>
      <c r="K3" s="346"/>
      <c r="W3" s="346"/>
      <c r="AA3" s="792" t="s">
        <v>1601</v>
      </c>
      <c r="AB3" s="767"/>
      <c r="AC3" s="767"/>
      <c r="AD3" s="767"/>
      <c r="AE3" s="767"/>
      <c r="AF3" s="767"/>
      <c r="AG3" s="767"/>
      <c r="AH3" s="766"/>
      <c r="AI3" s="766"/>
      <c r="AJ3" s="766"/>
      <c r="AK3" s="766"/>
      <c r="AL3" s="766"/>
      <c r="AM3" s="766"/>
      <c r="AN3" s="766"/>
      <c r="AO3" s="766"/>
      <c r="AP3" s="767"/>
      <c r="AQ3" s="767"/>
      <c r="AR3" s="767"/>
      <c r="AS3" s="767"/>
      <c r="AT3" s="767"/>
      <c r="AU3" s="767"/>
      <c r="AV3" s="767"/>
      <c r="AW3" s="767"/>
      <c r="AX3" s="767"/>
      <c r="AY3" s="767"/>
      <c r="AZ3" s="767"/>
      <c r="BA3" s="767"/>
      <c r="BB3" s="767"/>
      <c r="BC3" s="767"/>
      <c r="BD3" s="767"/>
      <c r="BE3" s="767"/>
      <c r="BF3" s="767"/>
    </row>
    <row r="4" spans="1:58" ht="15.75">
      <c r="A4" s="348"/>
      <c r="B4" s="348"/>
      <c r="X4" s="57">
        <f>V12+V13</f>
        <v>258831</v>
      </c>
      <c r="AA4" s="793"/>
      <c r="AB4" s="768"/>
      <c r="AC4" s="768"/>
      <c r="AD4" s="768"/>
      <c r="AE4" s="768"/>
      <c r="AF4" s="768"/>
      <c r="AG4" s="768"/>
      <c r="AH4" s="768"/>
      <c r="AI4" s="768"/>
      <c r="AJ4" s="768"/>
      <c r="AK4" s="768"/>
      <c r="AL4" s="768"/>
      <c r="AM4" s="768"/>
      <c r="AN4" s="768"/>
      <c r="AO4" s="769"/>
      <c r="AP4" s="770"/>
      <c r="AQ4" s="770" t="s">
        <v>1627</v>
      </c>
      <c r="AR4" s="770"/>
      <c r="AS4" s="770"/>
      <c r="AT4" s="770"/>
      <c r="AU4" s="770"/>
      <c r="AV4" s="770"/>
      <c r="AW4" s="770"/>
      <c r="AX4" s="770"/>
      <c r="AY4" s="770"/>
      <c r="AZ4" s="770"/>
      <c r="BA4" s="767"/>
      <c r="BB4" s="767"/>
      <c r="BC4" s="767"/>
      <c r="BD4" s="767"/>
      <c r="BE4" s="767"/>
      <c r="BF4" s="767"/>
    </row>
    <row r="5" spans="1:58" s="58" customFormat="1" ht="15.75">
      <c r="A5" s="335"/>
      <c r="B5" s="335"/>
      <c r="C5" s="376"/>
      <c r="D5" s="376"/>
      <c r="E5" s="376"/>
      <c r="F5" s="376"/>
      <c r="G5" s="376"/>
      <c r="H5" s="376" t="s">
        <v>836</v>
      </c>
      <c r="I5" s="376" t="s">
        <v>836</v>
      </c>
      <c r="J5" s="376" t="s">
        <v>836</v>
      </c>
      <c r="K5" s="376"/>
      <c r="L5" s="376"/>
      <c r="M5" s="376"/>
      <c r="N5" s="376"/>
      <c r="O5" s="376"/>
      <c r="P5" s="376"/>
      <c r="Q5" s="376"/>
      <c r="R5" s="376"/>
      <c r="S5" s="376"/>
      <c r="T5" s="376"/>
      <c r="U5" s="376"/>
      <c r="V5" s="376"/>
      <c r="W5" s="377"/>
      <c r="Z5" s="57"/>
      <c r="AA5" s="794"/>
      <c r="AB5" s="771"/>
      <c r="AC5" s="771"/>
      <c r="AD5" s="771"/>
      <c r="AE5" s="771"/>
      <c r="AF5" s="771"/>
      <c r="AG5" s="771"/>
      <c r="AH5" s="771"/>
      <c r="AI5" s="771"/>
      <c r="AJ5" s="771"/>
      <c r="AK5" s="771"/>
      <c r="AL5" s="771"/>
      <c r="AM5" s="771"/>
      <c r="AN5" s="771"/>
      <c r="AO5" s="772"/>
      <c r="AP5" s="770"/>
      <c r="AQ5" s="770"/>
      <c r="AR5" s="770" t="s">
        <v>1622</v>
      </c>
      <c r="AS5" s="773"/>
      <c r="AT5" s="770" t="s">
        <v>1625</v>
      </c>
      <c r="AU5" s="770"/>
      <c r="AV5" s="770"/>
      <c r="AW5" s="770"/>
      <c r="AX5" s="770"/>
      <c r="AY5" s="770"/>
      <c r="AZ5" s="770"/>
      <c r="BA5" s="770"/>
      <c r="BB5" s="770"/>
      <c r="BC5" s="770"/>
      <c r="BD5" s="767"/>
      <c r="BE5" s="767"/>
      <c r="BF5" s="767"/>
    </row>
    <row r="6" spans="1:58" s="58" customFormat="1">
      <c r="C6" s="63"/>
      <c r="D6" s="63" t="s">
        <v>836</v>
      </c>
      <c r="E6" s="63"/>
      <c r="F6" s="63"/>
      <c r="G6" s="63" t="s">
        <v>837</v>
      </c>
      <c r="H6" s="63" t="s">
        <v>838</v>
      </c>
      <c r="I6" s="63" t="s">
        <v>838</v>
      </c>
      <c r="J6" s="63" t="s">
        <v>838</v>
      </c>
      <c r="K6" s="63"/>
      <c r="L6" s="63"/>
      <c r="M6" s="63"/>
      <c r="N6" s="63"/>
      <c r="O6" s="63"/>
      <c r="P6" s="63"/>
      <c r="Q6" s="63"/>
      <c r="R6" s="63"/>
      <c r="S6" s="63"/>
      <c r="T6" s="63"/>
      <c r="U6" s="63"/>
      <c r="V6" s="63"/>
      <c r="W6" s="62"/>
      <c r="Y6" s="61"/>
      <c r="Z6" s="57"/>
      <c r="AA6" s="795"/>
      <c r="AB6" s="773" t="s">
        <v>109</v>
      </c>
      <c r="AC6" s="773" t="s">
        <v>1608</v>
      </c>
      <c r="AD6" s="796" t="s">
        <v>1608</v>
      </c>
      <c r="AE6" s="773"/>
      <c r="AF6" s="773"/>
      <c r="AG6" s="773"/>
      <c r="AH6" s="773"/>
      <c r="AI6" s="773"/>
      <c r="AJ6" s="773" t="s">
        <v>1563</v>
      </c>
      <c r="AK6" s="773" t="s">
        <v>1562</v>
      </c>
      <c r="AL6" s="58" t="s">
        <v>1562</v>
      </c>
      <c r="AM6" s="773" t="s">
        <v>1562</v>
      </c>
      <c r="AN6" s="773" t="s">
        <v>1563</v>
      </c>
      <c r="AO6" s="774" t="s">
        <v>1562</v>
      </c>
      <c r="AP6" s="775"/>
      <c r="AQ6" s="775"/>
      <c r="AR6" s="775"/>
      <c r="AS6" s="775" t="s">
        <v>1626</v>
      </c>
      <c r="AT6" s="775" t="s">
        <v>1626</v>
      </c>
      <c r="AU6" s="775"/>
      <c r="AV6" s="775"/>
      <c r="AW6" s="775"/>
      <c r="AX6" s="775"/>
      <c r="AY6" s="775"/>
      <c r="AZ6" s="775"/>
      <c r="BA6" s="770"/>
      <c r="BB6" s="770"/>
      <c r="BC6" s="770"/>
      <c r="BD6" s="770"/>
      <c r="BE6" s="770"/>
      <c r="BF6" s="770"/>
    </row>
    <row r="7" spans="1:58" s="61" customFormat="1">
      <c r="C7" s="63" t="s">
        <v>705</v>
      </c>
      <c r="D7" s="63" t="s">
        <v>839</v>
      </c>
      <c r="E7" s="63" t="s">
        <v>836</v>
      </c>
      <c r="F7" s="63" t="s">
        <v>836</v>
      </c>
      <c r="G7" s="63" t="s">
        <v>840</v>
      </c>
      <c r="H7" s="63" t="s">
        <v>841</v>
      </c>
      <c r="I7" s="63" t="s">
        <v>1427</v>
      </c>
      <c r="J7" s="63" t="s">
        <v>1430</v>
      </c>
      <c r="K7" s="63" t="s">
        <v>842</v>
      </c>
      <c r="L7" s="63"/>
      <c r="M7" s="63"/>
      <c r="N7" s="63"/>
      <c r="O7" s="63" t="s">
        <v>842</v>
      </c>
      <c r="P7" s="63"/>
      <c r="Q7" s="63"/>
      <c r="R7" s="63"/>
      <c r="S7" s="63"/>
      <c r="T7" s="63" t="s">
        <v>843</v>
      </c>
      <c r="U7" s="63"/>
      <c r="V7" s="63"/>
      <c r="W7" s="63"/>
      <c r="Z7" s="57"/>
      <c r="AA7" s="795"/>
      <c r="AB7" s="791" t="s">
        <v>1600</v>
      </c>
      <c r="AC7" s="773" t="s">
        <v>1609</v>
      </c>
      <c r="AD7" s="773" t="s">
        <v>1614</v>
      </c>
      <c r="AE7" s="773"/>
      <c r="AF7" s="773" t="s">
        <v>852</v>
      </c>
      <c r="AG7" s="773"/>
      <c r="AH7" s="773"/>
      <c r="AI7" s="773"/>
      <c r="AJ7" s="819" t="s">
        <v>1607</v>
      </c>
      <c r="AK7" s="819" t="s">
        <v>1613</v>
      </c>
      <c r="AL7" s="819" t="s">
        <v>1616</v>
      </c>
      <c r="AM7" s="819" t="s">
        <v>1603</v>
      </c>
      <c r="AN7" s="773">
        <v>921</v>
      </c>
      <c r="AO7" s="774" t="s">
        <v>1618</v>
      </c>
      <c r="AP7" s="775"/>
      <c r="AQ7" s="775"/>
      <c r="AR7" s="775"/>
      <c r="AS7" s="775"/>
      <c r="AT7" s="775" t="s">
        <v>1629</v>
      </c>
      <c r="AU7" s="775"/>
      <c r="AV7" s="775"/>
      <c r="AW7" s="775"/>
      <c r="AX7" s="775"/>
      <c r="AY7" s="775"/>
      <c r="AZ7" s="775"/>
      <c r="BA7" s="775"/>
      <c r="BB7" s="775"/>
      <c r="BC7" s="775"/>
      <c r="BD7" s="770"/>
      <c r="BE7" s="770"/>
      <c r="BF7" s="770"/>
    </row>
    <row r="8" spans="1:58" s="61" customFormat="1">
      <c r="C8" s="63" t="s">
        <v>844</v>
      </c>
      <c r="D8" s="63" t="s">
        <v>845</v>
      </c>
      <c r="E8" s="63" t="s">
        <v>839</v>
      </c>
      <c r="F8" s="63" t="s">
        <v>839</v>
      </c>
      <c r="G8" s="63" t="s">
        <v>846</v>
      </c>
      <c r="H8" s="63" t="s">
        <v>847</v>
      </c>
      <c r="I8" s="63" t="s">
        <v>1428</v>
      </c>
      <c r="J8" s="63" t="s">
        <v>109</v>
      </c>
      <c r="K8" s="296" t="s">
        <v>848</v>
      </c>
      <c r="L8" s="63" t="s">
        <v>849</v>
      </c>
      <c r="M8" s="63" t="s">
        <v>61</v>
      </c>
      <c r="N8" s="63"/>
      <c r="O8" s="296" t="s">
        <v>848</v>
      </c>
      <c r="P8" s="63" t="s">
        <v>845</v>
      </c>
      <c r="Q8" s="63"/>
      <c r="R8" s="63"/>
      <c r="S8" s="63" t="s">
        <v>850</v>
      </c>
      <c r="T8" s="63" t="s">
        <v>851</v>
      </c>
      <c r="U8" s="63"/>
      <c r="V8" s="63"/>
      <c r="W8" s="63"/>
      <c r="X8" s="61" t="s">
        <v>852</v>
      </c>
      <c r="Y8" s="61" t="s">
        <v>1019</v>
      </c>
      <c r="Z8" s="57"/>
      <c r="AA8" s="795"/>
      <c r="AB8" s="773" t="s">
        <v>1574</v>
      </c>
      <c r="AC8" s="773" t="s">
        <v>1610</v>
      </c>
      <c r="AD8" s="773" t="s">
        <v>1615</v>
      </c>
      <c r="AE8" s="773" t="s">
        <v>852</v>
      </c>
      <c r="AF8" s="773" t="s">
        <v>860</v>
      </c>
      <c r="AG8" s="773"/>
      <c r="AH8" s="773"/>
      <c r="AI8" s="773"/>
      <c r="AJ8" s="773"/>
      <c r="AK8" s="773"/>
      <c r="AM8" s="773"/>
      <c r="AN8" s="773"/>
      <c r="AO8" s="774"/>
      <c r="AP8" s="775"/>
      <c r="AQ8" s="775"/>
      <c r="AR8" s="775"/>
      <c r="AS8" s="775"/>
      <c r="AT8" s="775" t="s">
        <v>1624</v>
      </c>
      <c r="AU8" s="775"/>
      <c r="AV8" s="775"/>
      <c r="AW8" s="775"/>
      <c r="AX8" s="775"/>
      <c r="AY8" s="775"/>
      <c r="AZ8" s="775"/>
      <c r="BA8" s="775"/>
      <c r="BB8" s="775"/>
      <c r="BC8" s="775"/>
      <c r="BD8" s="775"/>
      <c r="BE8" s="775"/>
      <c r="BF8" s="775"/>
    </row>
    <row r="9" spans="1:58" s="61" customFormat="1" ht="13.5" thickBot="1">
      <c r="C9" s="296" t="s">
        <v>853</v>
      </c>
      <c r="D9" s="63" t="s">
        <v>854</v>
      </c>
      <c r="E9" s="63" t="s">
        <v>89</v>
      </c>
      <c r="F9" s="63" t="s">
        <v>58</v>
      </c>
      <c r="G9" s="63"/>
      <c r="H9" s="63" t="s">
        <v>58</v>
      </c>
      <c r="I9" s="63" t="s">
        <v>1429</v>
      </c>
      <c r="J9" s="63" t="s">
        <v>1431</v>
      </c>
      <c r="K9" s="63" t="s">
        <v>855</v>
      </c>
      <c r="L9" s="63" t="s">
        <v>856</v>
      </c>
      <c r="M9" s="63" t="s">
        <v>857</v>
      </c>
      <c r="N9" s="63"/>
      <c r="O9" s="63" t="s">
        <v>855</v>
      </c>
      <c r="P9" s="63" t="s">
        <v>854</v>
      </c>
      <c r="Q9" s="63" t="s">
        <v>89</v>
      </c>
      <c r="R9" s="63" t="s">
        <v>58</v>
      </c>
      <c r="S9" s="63" t="s">
        <v>858</v>
      </c>
      <c r="T9" s="63" t="s">
        <v>859</v>
      </c>
      <c r="U9" s="63"/>
      <c r="V9" s="63"/>
      <c r="W9" s="63" t="s">
        <v>860</v>
      </c>
      <c r="X9" s="61" t="s">
        <v>1495</v>
      </c>
      <c r="Y9" s="61" t="s">
        <v>1020</v>
      </c>
      <c r="Z9" s="57"/>
      <c r="AA9" s="795"/>
      <c r="AB9" s="773" t="s">
        <v>1631</v>
      </c>
      <c r="AC9" s="773" t="s">
        <v>109</v>
      </c>
      <c r="AD9" s="773" t="s">
        <v>1431</v>
      </c>
      <c r="AE9" s="773" t="s">
        <v>866</v>
      </c>
      <c r="AF9" s="773" t="s">
        <v>866</v>
      </c>
      <c r="AG9" s="773" t="s">
        <v>63</v>
      </c>
      <c r="AH9" s="773"/>
      <c r="AI9" s="773"/>
      <c r="AJ9" s="773" t="s">
        <v>109</v>
      </c>
      <c r="AK9" s="773" t="s">
        <v>1611</v>
      </c>
      <c r="AL9" s="61" t="s">
        <v>1617</v>
      </c>
      <c r="AM9" s="773"/>
      <c r="AN9" s="773" t="s">
        <v>866</v>
      </c>
      <c r="AO9" s="774"/>
      <c r="AP9" s="775"/>
      <c r="AQ9" s="776" t="s">
        <v>1564</v>
      </c>
      <c r="AR9" s="776"/>
      <c r="AS9" s="834">
        <v>0</v>
      </c>
      <c r="AT9" s="776" t="s">
        <v>1565</v>
      </c>
      <c r="AU9" s="777"/>
      <c r="AV9" s="776"/>
      <c r="AW9" s="776"/>
      <c r="AX9" s="777" t="s">
        <v>1628</v>
      </c>
      <c r="AZ9" s="775"/>
      <c r="BA9" s="775"/>
      <c r="BB9" s="775"/>
      <c r="BC9" s="775"/>
      <c r="BD9" s="775"/>
      <c r="BE9" s="775"/>
      <c r="BF9" s="775"/>
    </row>
    <row r="10" spans="1:58" s="61" customFormat="1" ht="16.5" thickBot="1">
      <c r="C10" s="380"/>
      <c r="D10" s="380" t="s">
        <v>861</v>
      </c>
      <c r="E10" s="380"/>
      <c r="F10" s="380" t="s">
        <v>861</v>
      </c>
      <c r="G10" s="380"/>
      <c r="H10" s="380" t="s">
        <v>858</v>
      </c>
      <c r="I10" s="380" t="s">
        <v>858</v>
      </c>
      <c r="J10" s="380"/>
      <c r="K10" s="380" t="s">
        <v>862</v>
      </c>
      <c r="L10" s="705" t="s">
        <v>863</v>
      </c>
      <c r="M10" s="380" t="s">
        <v>864</v>
      </c>
      <c r="N10" s="380"/>
      <c r="O10" s="380" t="s">
        <v>862</v>
      </c>
      <c r="P10" s="380" t="s">
        <v>861</v>
      </c>
      <c r="Q10" s="380"/>
      <c r="R10" s="380" t="s">
        <v>861</v>
      </c>
      <c r="S10" s="380"/>
      <c r="T10" s="380" t="s">
        <v>865</v>
      </c>
      <c r="U10" s="380"/>
      <c r="V10" s="380" t="s">
        <v>866</v>
      </c>
      <c r="W10" s="380" t="s">
        <v>866</v>
      </c>
      <c r="X10" s="61" t="s">
        <v>866</v>
      </c>
      <c r="Y10" s="61" t="s">
        <v>1021</v>
      </c>
      <c r="Z10" s="57"/>
      <c r="AA10" s="797"/>
      <c r="AB10" s="798">
        <v>6.1258009005969347E-4</v>
      </c>
      <c r="AC10" s="788"/>
      <c r="AD10" s="788"/>
      <c r="AE10" s="788"/>
      <c r="AF10" s="788"/>
      <c r="AG10" s="788"/>
      <c r="AH10" s="778" t="s">
        <v>1566</v>
      </c>
      <c r="AI10" s="778"/>
      <c r="AJ10" s="773" t="s">
        <v>1567</v>
      </c>
      <c r="AK10" s="779" t="s">
        <v>1612</v>
      </c>
      <c r="AL10" s="61" t="s">
        <v>63</v>
      </c>
      <c r="AM10" s="779" t="s">
        <v>1568</v>
      </c>
      <c r="AN10" s="778" t="s">
        <v>1569</v>
      </c>
      <c r="AO10" s="780" t="s">
        <v>1570</v>
      </c>
      <c r="AP10" s="767"/>
      <c r="AQ10" s="781"/>
      <c r="AR10" s="782" t="s">
        <v>1619</v>
      </c>
      <c r="AS10" s="782" t="s">
        <v>1611</v>
      </c>
      <c r="AT10" s="776" t="s">
        <v>1572</v>
      </c>
      <c r="AU10" s="776" t="s">
        <v>1571</v>
      </c>
      <c r="AV10" s="782"/>
      <c r="AW10" s="782"/>
      <c r="AX10" s="776" t="s">
        <v>1572</v>
      </c>
      <c r="AZ10" s="767"/>
      <c r="BA10" s="775"/>
      <c r="BB10" s="775"/>
      <c r="BC10" s="775"/>
      <c r="BD10" s="775"/>
      <c r="BE10" s="775"/>
      <c r="BF10" s="775"/>
    </row>
    <row r="11" spans="1:58" ht="15.75">
      <c r="A11" s="61"/>
      <c r="B11" s="61"/>
      <c r="L11" s="160" t="s">
        <v>867</v>
      </c>
      <c r="M11" s="160" t="s">
        <v>867</v>
      </c>
      <c r="AA11" s="797"/>
      <c r="AB11" s="788"/>
      <c r="AC11" s="788"/>
      <c r="AD11" s="788"/>
      <c r="AE11" s="788"/>
      <c r="AF11" s="788"/>
      <c r="AG11" s="788"/>
      <c r="AH11" s="783" t="s">
        <v>1573</v>
      </c>
      <c r="AI11" s="778"/>
      <c r="AJ11" s="773" t="s">
        <v>1574</v>
      </c>
      <c r="AK11" s="779" t="s">
        <v>1575</v>
      </c>
      <c r="AL11" s="779" t="s">
        <v>1575</v>
      </c>
      <c r="AM11" s="779" t="s">
        <v>1576</v>
      </c>
      <c r="AN11" s="778" t="s">
        <v>1577</v>
      </c>
      <c r="AO11" s="780" t="s">
        <v>1576</v>
      </c>
      <c r="AP11" s="767"/>
      <c r="AQ11" s="784" t="s">
        <v>1566</v>
      </c>
      <c r="AR11" s="782" t="s">
        <v>1620</v>
      </c>
      <c r="AS11" s="782" t="s">
        <v>1619</v>
      </c>
      <c r="AT11" s="776"/>
      <c r="AU11" s="776" t="s">
        <v>1576</v>
      </c>
      <c r="AV11" s="782"/>
      <c r="AW11" s="782"/>
      <c r="AX11" s="776" t="s">
        <v>1578</v>
      </c>
      <c r="AZ11" s="767"/>
      <c r="BA11" s="767"/>
      <c r="BB11" s="767"/>
      <c r="BC11" s="767"/>
      <c r="BD11" s="775"/>
      <c r="BE11" s="775"/>
      <c r="BF11" s="775"/>
    </row>
    <row r="12" spans="1:58" ht="15.75">
      <c r="A12" s="59" t="s">
        <v>1543</v>
      </c>
      <c r="B12" s="61"/>
      <c r="C12" s="170">
        <f>ROUND(LEV!$I$111,0)</f>
        <v>436027011</v>
      </c>
      <c r="D12" s="170">
        <f>ROUND(LEV!$I$107,0)</f>
        <v>-827983</v>
      </c>
      <c r="E12" s="170">
        <f>ROUND(LEV!$I$108,0)</f>
        <v>7942641</v>
      </c>
      <c r="F12" s="170">
        <f>ROUND(LEV!$I$109,0)</f>
        <v>37698882</v>
      </c>
      <c r="G12" s="171">
        <f>C12-SUM(D12:F12)</f>
        <v>391213471</v>
      </c>
      <c r="H12" s="171">
        <f>'ECR in Base Rates'!G5*-1</f>
        <v>-5717397</v>
      </c>
      <c r="I12" s="170">
        <v>0</v>
      </c>
      <c r="J12" s="171">
        <v>0</v>
      </c>
      <c r="K12" s="171">
        <f>SUM(G12:J12)</f>
        <v>385496074</v>
      </c>
      <c r="L12" s="66">
        <f>'Settlement Exhibit 2 pgs 2-17'!G21</f>
        <v>385496074</v>
      </c>
      <c r="M12" s="66">
        <f>L12-K12</f>
        <v>0</v>
      </c>
      <c r="N12" s="66"/>
      <c r="O12" s="66">
        <f>K12</f>
        <v>385496074</v>
      </c>
      <c r="P12" s="66">
        <f t="shared" ref="P12:R14" si="0">D12</f>
        <v>-827983</v>
      </c>
      <c r="Q12" s="66">
        <f t="shared" si="0"/>
        <v>7942641</v>
      </c>
      <c r="R12" s="66">
        <f t="shared" si="0"/>
        <v>37698882</v>
      </c>
      <c r="S12" s="66">
        <f>-H12</f>
        <v>5717397</v>
      </c>
      <c r="T12" s="66">
        <f>SUM(O12:S12)</f>
        <v>436027011</v>
      </c>
      <c r="U12" s="66"/>
      <c r="V12" s="66">
        <f>'Settlement Exhibit 2 pgs 2-17'!J30</f>
        <v>256003</v>
      </c>
      <c r="W12" s="336">
        <f>V12/T12</f>
        <v>5.8712647047455503E-4</v>
      </c>
      <c r="X12" s="268">
        <f>T12*$X$61</f>
        <v>267101.4656668838</v>
      </c>
      <c r="Y12" s="57">
        <f>X12-V12</f>
        <v>11098.4656668838</v>
      </c>
      <c r="AA12" s="815">
        <f>T12*(1+$AB$10)</f>
        <v>436294112.46566677</v>
      </c>
      <c r="AB12" s="800">
        <f>AA12-T12</f>
        <v>267101.46566677094</v>
      </c>
      <c r="AC12" s="820">
        <f>AK13*-1</f>
        <v>0</v>
      </c>
      <c r="AD12" s="820">
        <f>AL13*-1</f>
        <v>0</v>
      </c>
      <c r="AE12" s="800">
        <f>AB12+AC12+AD12</f>
        <v>267101.46566677094</v>
      </c>
      <c r="AF12" s="801">
        <f>AE12/T12</f>
        <v>6.1258009005953746E-4</v>
      </c>
      <c r="AG12" s="801"/>
      <c r="AH12" s="778"/>
      <c r="AI12" s="778"/>
      <c r="AJ12" s="773" t="s">
        <v>866</v>
      </c>
      <c r="AK12" s="779" t="s">
        <v>1579</v>
      </c>
      <c r="AL12" s="779" t="s">
        <v>1579</v>
      </c>
      <c r="AM12" s="818">
        <v>6.1806293060056451E-2</v>
      </c>
      <c r="AN12" s="779">
        <f>SUM(AN13:AN25)</f>
        <v>679900.99999975529</v>
      </c>
      <c r="AO12" s="785">
        <v>7.0279769648096721E-2</v>
      </c>
      <c r="AP12" s="767"/>
      <c r="AQ12" s="781"/>
      <c r="AR12" s="782" t="s">
        <v>1621</v>
      </c>
      <c r="AS12" s="782">
        <f>SUM(AS13:AS25)</f>
        <v>0</v>
      </c>
      <c r="AT12" s="782">
        <f>SUM(AT13:AT25)</f>
        <v>679900.99999975529</v>
      </c>
      <c r="AU12" s="782">
        <f>SUM(AU13:AU25)</f>
        <v>-1.291518856305629E-7</v>
      </c>
      <c r="AV12" s="782"/>
      <c r="AW12" s="782"/>
      <c r="AX12" s="782">
        <f>SUM(AX13:AX25)</f>
        <v>675973.78799999971</v>
      </c>
      <c r="AY12" s="57">
        <f>AT12-AX12</f>
        <v>3927.2119997555856</v>
      </c>
      <c r="AZ12" s="766"/>
      <c r="BA12" s="767"/>
      <c r="BB12" s="767"/>
      <c r="BC12" s="767"/>
      <c r="BD12" s="767"/>
      <c r="BE12" s="767"/>
      <c r="BF12" s="767"/>
    </row>
    <row r="13" spans="1:58" ht="15.75">
      <c r="A13" s="59" t="s">
        <v>1434</v>
      </c>
      <c r="B13" s="61"/>
      <c r="C13" s="57">
        <f>LEV!$E$111</f>
        <v>31169.603763409825</v>
      </c>
      <c r="D13" s="177">
        <f>ROUND(LEV!$E$107,0)</f>
        <v>-39</v>
      </c>
      <c r="E13" s="177">
        <f>ROUND(LEV!$E$108,0)</f>
        <v>370</v>
      </c>
      <c r="F13" s="177">
        <f>ROUND(LEV!$E$109,0)</f>
        <v>1757</v>
      </c>
      <c r="G13" s="171">
        <f>C13-SUM(D13:F13)</f>
        <v>29081.603763409825</v>
      </c>
      <c r="H13" s="171">
        <f>'ECR in Base Rates'!G6*-1</f>
        <v>-444</v>
      </c>
      <c r="I13" s="170">
        <v>0</v>
      </c>
      <c r="J13" s="171">
        <v>0</v>
      </c>
      <c r="K13" s="171">
        <f>SUM(G13:J13)</f>
        <v>28637.603763409825</v>
      </c>
      <c r="L13" s="66">
        <f>'Settlement Exhibit 2 pgs 2-17'!G55</f>
        <v>28638</v>
      </c>
      <c r="M13" s="66">
        <f>L13-K13</f>
        <v>0.39623659017524915</v>
      </c>
      <c r="N13" s="66"/>
      <c r="O13" s="66">
        <f>K13</f>
        <v>28637.603763409825</v>
      </c>
      <c r="P13" s="66">
        <f t="shared" si="0"/>
        <v>-39</v>
      </c>
      <c r="Q13" s="66">
        <f t="shared" si="0"/>
        <v>370</v>
      </c>
      <c r="R13" s="66">
        <f t="shared" si="0"/>
        <v>1757</v>
      </c>
      <c r="S13" s="66">
        <f>-H13</f>
        <v>444</v>
      </c>
      <c r="T13" s="66">
        <f>SUM(O13:S13)</f>
        <v>31169.603763409825</v>
      </c>
      <c r="U13" s="66"/>
      <c r="V13" s="66">
        <f>'Settlement Exhibit 2 pgs 2-17'!J64</f>
        <v>2828</v>
      </c>
      <c r="W13" s="336">
        <f>V13/T13</f>
        <v>9.0729417719445163E-2</v>
      </c>
      <c r="X13" s="268">
        <f>T13*$X$61</f>
        <v>19.093878680517754</v>
      </c>
      <c r="Y13" s="57">
        <f t="shared" ref="Y13:Y45" si="1">X13-V13</f>
        <v>-2808.9061213194823</v>
      </c>
      <c r="AA13" s="815">
        <f>T13*(1+$AB$10)</f>
        <v>31188.697642090337</v>
      </c>
      <c r="AB13" s="800">
        <f>AA13-T13</f>
        <v>19.093878680512717</v>
      </c>
      <c r="AC13" s="800"/>
      <c r="AD13" s="800"/>
      <c r="AE13" s="800">
        <f>AB13+AC13+AD13</f>
        <v>19.093878680512717</v>
      </c>
      <c r="AF13" s="801">
        <f>AE13/T13</f>
        <v>6.125800900596346E-4</v>
      </c>
      <c r="AG13" s="800"/>
      <c r="AH13" s="778" t="s">
        <v>1580</v>
      </c>
      <c r="AI13" s="778" t="s">
        <v>13</v>
      </c>
      <c r="AJ13" s="816">
        <f>AB12</f>
        <v>267101.46566677094</v>
      </c>
      <c r="AK13" s="816"/>
      <c r="AL13" s="830"/>
      <c r="AM13" s="818">
        <v>3.8718629449174646E-2</v>
      </c>
      <c r="AN13" s="779">
        <f>AE12</f>
        <v>267101.46566677094</v>
      </c>
      <c r="AO13" s="785">
        <v>4.5312852862124574E-2</v>
      </c>
      <c r="AP13" s="767"/>
      <c r="AQ13" s="781" t="s">
        <v>1580</v>
      </c>
      <c r="AR13" s="782">
        <v>42159772.229842037</v>
      </c>
      <c r="AS13" s="833">
        <f>AR13*$AS$9</f>
        <v>0</v>
      </c>
      <c r="AT13" s="782">
        <f>AN13+AS13</f>
        <v>267101.46566677094</v>
      </c>
      <c r="AU13" s="782">
        <f>AR13</f>
        <v>42159772.229842037</v>
      </c>
      <c r="AV13" s="782"/>
      <c r="AW13" s="782"/>
      <c r="AX13" s="782">
        <f>V12</f>
        <v>256003</v>
      </c>
      <c r="AY13" s="57">
        <f t="shared" ref="AY13:AY25" si="2">AT13-AX13</f>
        <v>11098.465666770935</v>
      </c>
      <c r="AZ13" s="766"/>
      <c r="BA13" s="767"/>
      <c r="BB13" s="767"/>
      <c r="BC13" s="767"/>
      <c r="BD13" s="767"/>
      <c r="BE13" s="767"/>
      <c r="BF13" s="767"/>
    </row>
    <row r="14" spans="1:58" ht="15.75">
      <c r="A14" s="58" t="s">
        <v>1435</v>
      </c>
      <c r="C14" s="171">
        <v>0</v>
      </c>
      <c r="D14" s="171">
        <v>0</v>
      </c>
      <c r="E14" s="171">
        <v>0</v>
      </c>
      <c r="F14" s="171">
        <v>0</v>
      </c>
      <c r="G14" s="171">
        <f>C14-SUM(D14:F14)</f>
        <v>0</v>
      </c>
      <c r="H14" s="171">
        <v>0</v>
      </c>
      <c r="I14" s="170">
        <v>0</v>
      </c>
      <c r="J14" s="171">
        <v>0</v>
      </c>
      <c r="K14" s="171">
        <f>SUM(G14:J14)</f>
        <v>0</v>
      </c>
      <c r="L14" s="66">
        <v>0</v>
      </c>
      <c r="M14" s="66">
        <f>L14-K14</f>
        <v>0</v>
      </c>
      <c r="N14" s="66"/>
      <c r="O14" s="66">
        <f>K14</f>
        <v>0</v>
      </c>
      <c r="P14" s="66">
        <f t="shared" si="0"/>
        <v>0</v>
      </c>
      <c r="Q14" s="66">
        <f t="shared" si="0"/>
        <v>0</v>
      </c>
      <c r="R14" s="66">
        <f t="shared" si="0"/>
        <v>0</v>
      </c>
      <c r="S14" s="66">
        <f>-H14</f>
        <v>0</v>
      </c>
      <c r="T14" s="66">
        <f>SUM(O14:S14)</f>
        <v>0</v>
      </c>
      <c r="U14" s="66"/>
      <c r="V14" s="66">
        <f>T14*0.0272873</f>
        <v>0</v>
      </c>
      <c r="W14" s="336">
        <v>0</v>
      </c>
      <c r="X14" s="268">
        <v>0</v>
      </c>
      <c r="Y14" s="57">
        <f t="shared" si="1"/>
        <v>0</v>
      </c>
      <c r="AA14" s="799"/>
      <c r="AB14" s="800"/>
      <c r="AC14" s="800"/>
      <c r="AD14" s="800"/>
      <c r="AE14" s="800"/>
      <c r="AF14" s="800"/>
      <c r="AG14" s="800"/>
      <c r="AH14" s="778" t="s">
        <v>1580</v>
      </c>
      <c r="AI14" s="778" t="s">
        <v>1630</v>
      </c>
      <c r="AJ14" s="816">
        <f>AB13</f>
        <v>19.093878680512717</v>
      </c>
      <c r="AK14" s="816"/>
      <c r="AL14" s="830"/>
      <c r="AM14" s="818">
        <v>0</v>
      </c>
      <c r="AN14" s="779">
        <f>AE13+AE14</f>
        <v>19.093878680512717</v>
      </c>
      <c r="AO14" s="785"/>
      <c r="AP14" s="767"/>
      <c r="AQ14" s="781" t="s">
        <v>1630</v>
      </c>
      <c r="AR14" s="782"/>
      <c r="AS14" s="833">
        <v>0</v>
      </c>
      <c r="AT14" s="782">
        <f t="shared" ref="AT14:AT25" si="3">AN14+AS14</f>
        <v>19.093878680512717</v>
      </c>
      <c r="AU14" s="782">
        <f>AR14</f>
        <v>0</v>
      </c>
      <c r="AV14" s="782"/>
      <c r="AW14" s="782"/>
      <c r="AX14" s="782">
        <f>V13</f>
        <v>2828</v>
      </c>
      <c r="AY14" s="57">
        <f t="shared" si="2"/>
        <v>-2808.9061213194873</v>
      </c>
      <c r="AZ14" s="766"/>
      <c r="BA14" s="767"/>
      <c r="BB14" s="767"/>
      <c r="BC14" s="767"/>
      <c r="BD14" s="767"/>
      <c r="BE14" s="767"/>
      <c r="BF14" s="767"/>
    </row>
    <row r="15" spans="1:58" ht="15.75">
      <c r="X15" s="268"/>
      <c r="Y15" s="57">
        <f t="shared" si="1"/>
        <v>0</v>
      </c>
      <c r="AA15" s="799"/>
      <c r="AB15" s="800"/>
      <c r="AC15" s="800"/>
      <c r="AD15" s="800"/>
      <c r="AE15" s="800"/>
      <c r="AF15" s="800"/>
      <c r="AG15" s="800"/>
      <c r="AH15" s="778" t="s">
        <v>85</v>
      </c>
      <c r="AI15" s="778" t="s">
        <v>1581</v>
      </c>
      <c r="AJ15" s="816">
        <f>AB19</f>
        <v>94862.071199476719</v>
      </c>
      <c r="AK15" s="816"/>
      <c r="AL15" s="830"/>
      <c r="AM15" s="818">
        <v>0.12059377744224245</v>
      </c>
      <c r="AN15" s="779">
        <f>AE19</f>
        <v>94862.071199476719</v>
      </c>
      <c r="AO15" s="785">
        <v>0.13124600209710657</v>
      </c>
      <c r="AP15" s="767"/>
      <c r="AQ15" s="781" t="s">
        <v>85</v>
      </c>
      <c r="AR15" s="782">
        <v>-23561996.690910555</v>
      </c>
      <c r="AS15" s="833">
        <f t="shared" ref="AS15:AS25" si="4">AR15*$AS$9</f>
        <v>0</v>
      </c>
      <c r="AT15" s="782">
        <f t="shared" si="3"/>
        <v>94862.071199476719</v>
      </c>
      <c r="AU15" s="782">
        <f t="shared" ref="AU15:AU25" si="5">AR15</f>
        <v>-23561996.690910555</v>
      </c>
      <c r="AV15" s="782"/>
      <c r="AW15" s="782"/>
      <c r="AX15" s="782">
        <f>V19</f>
        <v>100042</v>
      </c>
      <c r="AY15" s="57">
        <f t="shared" si="2"/>
        <v>-5179.9288005232811</v>
      </c>
      <c r="AZ15" s="766"/>
      <c r="BA15" s="767"/>
      <c r="BB15" s="767"/>
      <c r="BC15" s="767"/>
      <c r="BD15" s="767"/>
      <c r="BE15" s="767"/>
      <c r="BF15" s="767"/>
    </row>
    <row r="16" spans="1:58" ht="15.75">
      <c r="X16" s="268"/>
      <c r="Y16" s="57">
        <f t="shared" si="1"/>
        <v>0</v>
      </c>
      <c r="AA16" s="799"/>
      <c r="AB16" s="800"/>
      <c r="AC16" s="800"/>
      <c r="AD16" s="800"/>
      <c r="AE16" s="800"/>
      <c r="AF16" s="800"/>
      <c r="AG16" s="800"/>
      <c r="AH16" s="778" t="s">
        <v>1582</v>
      </c>
      <c r="AI16" s="778" t="s">
        <v>68</v>
      </c>
      <c r="AJ16" s="816">
        <f>AB23</f>
        <v>8280.5427912585437</v>
      </c>
      <c r="AK16" s="816"/>
      <c r="AL16" s="830"/>
      <c r="AM16" s="818">
        <v>8.7602372404961368E-2</v>
      </c>
      <c r="AN16" s="779">
        <f>AE23</f>
        <v>8280.5427912585437</v>
      </c>
      <c r="AO16" s="785">
        <v>0.10039403558720372</v>
      </c>
      <c r="AP16" s="767"/>
      <c r="AQ16" s="781" t="s">
        <v>1583</v>
      </c>
      <c r="AR16" s="782">
        <v>-852612.52804219979</v>
      </c>
      <c r="AS16" s="833">
        <f t="shared" si="4"/>
        <v>0</v>
      </c>
      <c r="AT16" s="782">
        <f t="shared" si="3"/>
        <v>8280.5427912585437</v>
      </c>
      <c r="AU16" s="782">
        <f t="shared" si="5"/>
        <v>-852612.52804219979</v>
      </c>
      <c r="AV16" s="782"/>
      <c r="AW16" s="782"/>
      <c r="AX16" s="782">
        <f>V23</f>
        <v>8197</v>
      </c>
      <c r="AY16" s="57">
        <f t="shared" si="2"/>
        <v>83.54279125854373</v>
      </c>
      <c r="AZ16" s="766"/>
      <c r="BA16" s="767"/>
      <c r="BB16" s="767"/>
      <c r="BC16" s="767"/>
      <c r="BD16" s="767"/>
      <c r="BE16" s="767"/>
      <c r="BF16" s="767"/>
    </row>
    <row r="17" spans="1:58" ht="15.75">
      <c r="A17" s="333" t="s">
        <v>1262</v>
      </c>
      <c r="B17" s="333" t="s">
        <v>902</v>
      </c>
      <c r="C17" s="170">
        <f>ROUND(SUMIF(L_12MonResults_RateClass,$B17,L_12MonResults_Revenue_Total),0)</f>
        <v>46530479</v>
      </c>
      <c r="D17" s="170">
        <f>ROUND(SUMIF(L_12MonResults_RateClass,$B17,L_12MonResults_Revenue_FAC),0)</f>
        <v>-102020</v>
      </c>
      <c r="E17" s="170">
        <f>ROUND(SUMIF(L_12MonResults_RateClass,$B17,L_12MonResults_Revenue_DSM),0)</f>
        <v>733097</v>
      </c>
      <c r="F17" s="170">
        <f>ROUND(SUMIF(L_12MonResults_RateClass,$B17,L_12MonResults_Revenue_ECR),0)</f>
        <v>3511579</v>
      </c>
      <c r="G17" s="171">
        <f>C17-SUM(D17:F17)</f>
        <v>42387823</v>
      </c>
      <c r="H17" s="171">
        <f>'ECR in Base Rates'!G10*-1</f>
        <v>-651184</v>
      </c>
      <c r="I17" s="170">
        <v>0</v>
      </c>
      <c r="J17" s="171">
        <v>0</v>
      </c>
      <c r="K17" s="171">
        <f>SUM(G17:J17)</f>
        <v>41736639</v>
      </c>
      <c r="L17" s="66"/>
      <c r="M17" s="66"/>
      <c r="N17" s="66"/>
      <c r="O17" s="66">
        <f t="shared" ref="O17:O19" si="6">K17</f>
        <v>41736639</v>
      </c>
      <c r="P17" s="66">
        <f t="shared" ref="P17:P19" si="7">D17</f>
        <v>-102020</v>
      </c>
      <c r="Q17" s="66">
        <f t="shared" ref="Q17:Q19" si="8">E17</f>
        <v>733097</v>
      </c>
      <c r="R17" s="66">
        <f t="shared" ref="R17:R19" si="9">F17</f>
        <v>3511579</v>
      </c>
      <c r="S17" s="66">
        <f t="shared" ref="S17:S18" si="10">-H17</f>
        <v>651184</v>
      </c>
      <c r="T17" s="66">
        <f t="shared" ref="T17:T18" si="11">SUM(O17:S17)</f>
        <v>46530479</v>
      </c>
      <c r="U17" s="66"/>
      <c r="V17" s="66">
        <f>'Settlement Exhibit 2 pgs 2-17'!K112</f>
        <v>967619</v>
      </c>
      <c r="W17" s="336">
        <f>V17/T17</f>
        <v>2.0795380163612757E-2</v>
      </c>
      <c r="X17" s="268">
        <f>T17*$X$61</f>
        <v>28503.645016345457</v>
      </c>
      <c r="Y17" s="57">
        <f t="shared" si="1"/>
        <v>-939115.35498365457</v>
      </c>
      <c r="AA17" s="799"/>
      <c r="AB17" s="800"/>
      <c r="AC17" s="800"/>
      <c r="AD17" s="800"/>
      <c r="AE17" s="800"/>
      <c r="AF17" s="800"/>
      <c r="AG17" s="800"/>
      <c r="AH17" s="778" t="s">
        <v>1582</v>
      </c>
      <c r="AI17" s="778" t="s">
        <v>67</v>
      </c>
      <c r="AJ17" s="816">
        <f>AB22</f>
        <v>110215.65483555198</v>
      </c>
      <c r="AK17" s="816"/>
      <c r="AL17" s="830"/>
      <c r="AM17" s="818">
        <v>0.11514060040025803</v>
      </c>
      <c r="AN17" s="779">
        <f>AE22</f>
        <v>110215.65483555198</v>
      </c>
      <c r="AO17" s="785">
        <v>0.12676608445525009</v>
      </c>
      <c r="AP17" s="767"/>
      <c r="AQ17" s="786" t="s">
        <v>1584</v>
      </c>
      <c r="AR17" s="782">
        <v>-22532050.885912925</v>
      </c>
      <c r="AS17" s="833">
        <f t="shared" si="4"/>
        <v>0</v>
      </c>
      <c r="AT17" s="782">
        <f t="shared" si="3"/>
        <v>110215.65483555198</v>
      </c>
      <c r="AU17" s="782">
        <f t="shared" si="5"/>
        <v>-22532050.885912925</v>
      </c>
      <c r="AV17" s="782"/>
      <c r="AW17" s="782"/>
      <c r="AX17" s="782">
        <f>V22</f>
        <v>110754</v>
      </c>
      <c r="AY17" s="57">
        <f t="shared" si="2"/>
        <v>-538.34516444802284</v>
      </c>
      <c r="AZ17" s="766"/>
      <c r="BA17" s="767"/>
      <c r="BB17" s="767"/>
      <c r="BC17" s="767"/>
      <c r="BD17" s="767"/>
      <c r="BE17" s="767"/>
      <c r="BF17" s="767"/>
    </row>
    <row r="18" spans="1:58" ht="17.25">
      <c r="A18" s="333" t="s">
        <v>1263</v>
      </c>
      <c r="B18" s="333" t="s">
        <v>14</v>
      </c>
      <c r="C18" s="174">
        <f>ROUND(SUMIF(L_12MonResults_RateClass,$B18,L_12MonResults_Revenue_Total),0)</f>
        <v>108326123</v>
      </c>
      <c r="D18" s="174">
        <f>ROUND(SUMIF(L_12MonResults_RateClass,$B18,L_12MonResults_Revenue_FAC),0)</f>
        <v>-258931</v>
      </c>
      <c r="E18" s="174">
        <f>ROUND(SUMIF(L_12MonResults_RateClass,$B18,L_12MonResults_Revenue_DSM),0)</f>
        <v>1870474</v>
      </c>
      <c r="F18" s="174">
        <f>ROUND(SUMIF(L_12MonResults_RateClass,$B18,L_12MonResults_Revenue_ECR),0)</f>
        <v>8958596</v>
      </c>
      <c r="G18" s="175">
        <f>C18-SUM(D18:F18)</f>
        <v>97755984</v>
      </c>
      <c r="H18" s="175">
        <f>'ECR in Base Rates'!G11*-1</f>
        <v>-1661503</v>
      </c>
      <c r="I18" s="746">
        <v>0</v>
      </c>
      <c r="J18" s="175">
        <v>0</v>
      </c>
      <c r="K18" s="175">
        <f>SUM(G18:J18)</f>
        <v>96094481</v>
      </c>
      <c r="L18" s="66"/>
      <c r="M18" s="66"/>
      <c r="N18" s="66"/>
      <c r="O18" s="68">
        <f t="shared" si="6"/>
        <v>96094481</v>
      </c>
      <c r="P18" s="68">
        <f t="shared" si="7"/>
        <v>-258931</v>
      </c>
      <c r="Q18" s="68">
        <f t="shared" si="8"/>
        <v>1870474</v>
      </c>
      <c r="R18" s="68">
        <f t="shared" si="9"/>
        <v>8958596</v>
      </c>
      <c r="S18" s="68">
        <f t="shared" si="10"/>
        <v>1661503</v>
      </c>
      <c r="T18" s="68">
        <f t="shared" si="11"/>
        <v>108326123</v>
      </c>
      <c r="U18" s="66"/>
      <c r="V18" s="68">
        <f>'Settlement Exhibit 2 pgs 2-17'!K115</f>
        <v>-867577</v>
      </c>
      <c r="W18" s="336">
        <f>V18/T18</f>
        <v>-8.008936127068815E-3</v>
      </c>
      <c r="X18" s="710">
        <f>T18*$X$61</f>
        <v>66358.426183168573</v>
      </c>
      <c r="Y18" s="57">
        <f t="shared" si="1"/>
        <v>933935.42618316854</v>
      </c>
      <c r="AA18" s="799"/>
      <c r="AB18" s="800"/>
      <c r="AC18" s="800"/>
      <c r="AD18" s="800"/>
      <c r="AE18" s="800"/>
      <c r="AF18" s="800"/>
      <c r="AG18" s="800"/>
      <c r="AH18" s="778" t="s">
        <v>1602</v>
      </c>
      <c r="AI18" s="778" t="s">
        <v>68</v>
      </c>
      <c r="AJ18" s="816">
        <f>AB31</f>
        <v>93850.604070574045</v>
      </c>
      <c r="AK18" s="817"/>
      <c r="AL18" s="830"/>
      <c r="AM18" s="818">
        <v>6.2622330527126305E-2</v>
      </c>
      <c r="AN18" s="779">
        <f>AE31</f>
        <v>93850.604070574045</v>
      </c>
      <c r="AO18" s="785">
        <v>7.3758771803271131E-2</v>
      </c>
      <c r="AP18" s="767"/>
      <c r="AQ18" s="832" t="s">
        <v>1623</v>
      </c>
      <c r="AR18" s="782">
        <v>-309570.10323488002</v>
      </c>
      <c r="AS18" s="833">
        <f t="shared" si="4"/>
        <v>0</v>
      </c>
      <c r="AT18" s="782">
        <f t="shared" si="3"/>
        <v>93850.604070574045</v>
      </c>
      <c r="AU18" s="782">
        <f t="shared" si="5"/>
        <v>-309570.10323488002</v>
      </c>
      <c r="AV18" s="782"/>
      <c r="AW18" s="782"/>
      <c r="AX18" s="782">
        <f>V31</f>
        <v>92175</v>
      </c>
      <c r="AY18" s="57">
        <f t="shared" si="2"/>
        <v>1675.6040705740452</v>
      </c>
      <c r="AZ18" s="766"/>
      <c r="BA18" s="767"/>
      <c r="BB18" s="767"/>
      <c r="BC18" s="767"/>
      <c r="BD18" s="767"/>
      <c r="BE18" s="767"/>
      <c r="BF18" s="767"/>
    </row>
    <row r="19" spans="1:58" ht="15.75">
      <c r="A19" s="59" t="s">
        <v>84</v>
      </c>
      <c r="B19" s="59"/>
      <c r="C19" s="171">
        <f>SUM(C17:C18)</f>
        <v>154856602</v>
      </c>
      <c r="D19" s="171">
        <f t="shared" ref="D19:K19" si="12">SUM(D17:D18)</f>
        <v>-360951</v>
      </c>
      <c r="E19" s="171">
        <f t="shared" si="12"/>
        <v>2603571</v>
      </c>
      <c r="F19" s="171">
        <f t="shared" si="12"/>
        <v>12470175</v>
      </c>
      <c r="G19" s="171">
        <f t="shared" si="12"/>
        <v>140143807</v>
      </c>
      <c r="H19" s="171">
        <f t="shared" ref="H19:I19" si="13">SUM(H17:H18)</f>
        <v>-2312687</v>
      </c>
      <c r="I19" s="170">
        <f t="shared" si="13"/>
        <v>0</v>
      </c>
      <c r="J19" s="171">
        <f t="shared" si="12"/>
        <v>0</v>
      </c>
      <c r="K19" s="171">
        <f t="shared" si="12"/>
        <v>137831120</v>
      </c>
      <c r="L19" s="66">
        <f>'Settlement Exhibit 2 pgs 2-17'!$G$123</f>
        <v>137831120</v>
      </c>
      <c r="M19" s="66">
        <f t="shared" ref="M19" si="14">L19-K19</f>
        <v>0</v>
      </c>
      <c r="N19" s="66"/>
      <c r="O19" s="66">
        <f t="shared" si="6"/>
        <v>137831120</v>
      </c>
      <c r="P19" s="66">
        <f t="shared" si="7"/>
        <v>-360951</v>
      </c>
      <c r="Q19" s="66">
        <f t="shared" si="8"/>
        <v>2603571</v>
      </c>
      <c r="R19" s="66">
        <f t="shared" si="9"/>
        <v>12470175</v>
      </c>
      <c r="S19" s="66">
        <f t="shared" ref="S19:T19" si="15">SUM(S17:S18)</f>
        <v>2312687</v>
      </c>
      <c r="T19" s="66">
        <f t="shared" si="15"/>
        <v>154856602</v>
      </c>
      <c r="V19" s="57">
        <f>'Settlement Exhibit 2 pgs 2-17'!J132</f>
        <v>100042</v>
      </c>
      <c r="W19" s="336">
        <f>V19/T19</f>
        <v>6.4602993161376487E-4</v>
      </c>
      <c r="X19" s="268">
        <v>4225618.5557546001</v>
      </c>
      <c r="Y19" s="57">
        <f t="shared" si="1"/>
        <v>4125576.5557546001</v>
      </c>
      <c r="AA19" s="815">
        <f>T19*(1+$AB$10)</f>
        <v>154951464.07119948</v>
      </c>
      <c r="AB19" s="800">
        <f>AA19-T19</f>
        <v>94862.071199476719</v>
      </c>
      <c r="AC19" s="820">
        <f>AK15*-1</f>
        <v>0</v>
      </c>
      <c r="AD19" s="820">
        <f>AL15*-1</f>
        <v>0</v>
      </c>
      <c r="AE19" s="800">
        <f>AB19+AC19+AD19</f>
        <v>94862.071199476719</v>
      </c>
      <c r="AF19" s="801">
        <f>AE19/T19</f>
        <v>6.1258009005955535E-4</v>
      </c>
      <c r="AG19" s="801"/>
      <c r="AH19" s="778" t="s">
        <v>1602</v>
      </c>
      <c r="AI19" s="778" t="s">
        <v>67</v>
      </c>
      <c r="AJ19" s="816">
        <f>AB26</f>
        <v>52847.602298513055</v>
      </c>
      <c r="AK19" s="816"/>
      <c r="AL19" s="830"/>
      <c r="AM19" s="818">
        <v>8.5424090318222914E-2</v>
      </c>
      <c r="AN19" s="779">
        <f>AE26</f>
        <v>52847.602298513055</v>
      </c>
      <c r="AO19" s="785">
        <v>9.6669696267403946E-2</v>
      </c>
      <c r="AP19" s="767"/>
      <c r="AQ19" s="781" t="s">
        <v>1585</v>
      </c>
      <c r="AR19" s="782">
        <v>-4996448.4054592652</v>
      </c>
      <c r="AS19" s="833">
        <f t="shared" si="4"/>
        <v>0</v>
      </c>
      <c r="AT19" s="782">
        <f t="shared" si="3"/>
        <v>52847.602298513055</v>
      </c>
      <c r="AU19" s="782">
        <f t="shared" si="5"/>
        <v>-4996448.4054592652</v>
      </c>
      <c r="AV19" s="782"/>
      <c r="AW19" s="782"/>
      <c r="AX19" s="782">
        <f>V26</f>
        <v>51810</v>
      </c>
      <c r="AY19" s="57">
        <f t="shared" si="2"/>
        <v>1037.6022985130548</v>
      </c>
      <c r="AZ19" s="766"/>
      <c r="BA19" s="767"/>
      <c r="BB19" s="767"/>
      <c r="BC19" s="767"/>
      <c r="BD19" s="767"/>
      <c r="BE19" s="767"/>
      <c r="BF19" s="767"/>
    </row>
    <row r="20" spans="1:58" ht="15.75">
      <c r="W20" s="336"/>
      <c r="X20" s="268"/>
      <c r="AA20" s="799"/>
      <c r="AB20" s="800"/>
      <c r="AC20" s="800"/>
      <c r="AD20" s="800"/>
      <c r="AE20" s="800"/>
      <c r="AF20" s="801"/>
      <c r="AG20" s="801"/>
      <c r="AH20" s="778" t="s">
        <v>1586</v>
      </c>
      <c r="AI20" s="778" t="s">
        <v>679</v>
      </c>
      <c r="AJ20" s="816">
        <f>AB33</f>
        <v>34078.782972052693</v>
      </c>
      <c r="AK20" s="816"/>
      <c r="AL20" s="830"/>
      <c r="AM20" s="818">
        <v>2.2544928584161621E-2</v>
      </c>
      <c r="AN20" s="779">
        <f>AE33</f>
        <v>34078.782972052693</v>
      </c>
      <c r="AO20" s="785">
        <v>3.2715348095719118E-2</v>
      </c>
      <c r="AP20" s="767"/>
      <c r="AQ20" s="781" t="s">
        <v>1586</v>
      </c>
      <c r="AR20" s="782">
        <v>5876119.6167270672</v>
      </c>
      <c r="AS20" s="833">
        <f t="shared" si="4"/>
        <v>0</v>
      </c>
      <c r="AT20" s="782">
        <f t="shared" si="3"/>
        <v>34078.782972052693</v>
      </c>
      <c r="AU20" s="782">
        <f t="shared" si="5"/>
        <v>5876119.6167270672</v>
      </c>
      <c r="AV20" s="782"/>
      <c r="AW20" s="782"/>
      <c r="AX20" s="782">
        <f>V33</f>
        <v>35966</v>
      </c>
      <c r="AY20" s="57">
        <f t="shared" si="2"/>
        <v>-1887.2170279473066</v>
      </c>
      <c r="AZ20" s="766"/>
      <c r="BA20" s="767"/>
      <c r="BB20" s="767"/>
      <c r="BC20" s="767"/>
      <c r="BD20" s="767"/>
      <c r="BE20" s="767"/>
      <c r="BF20" s="767"/>
    </row>
    <row r="21" spans="1:58" ht="15.75">
      <c r="A21" s="59" t="s">
        <v>86</v>
      </c>
      <c r="B21" s="59"/>
      <c r="C21" s="265"/>
      <c r="D21" s="265"/>
      <c r="E21" s="265"/>
      <c r="F21" s="265"/>
      <c r="G21" s="265"/>
      <c r="X21" s="268"/>
      <c r="AA21" s="799"/>
      <c r="AB21" s="800"/>
      <c r="AC21" s="800"/>
      <c r="AD21" s="800"/>
      <c r="AE21" s="800"/>
      <c r="AF21" s="800"/>
      <c r="AG21" s="800"/>
      <c r="AH21" s="778" t="s">
        <v>1587</v>
      </c>
      <c r="AI21" s="778" t="s">
        <v>1588</v>
      </c>
      <c r="AJ21" s="816">
        <f>AB37</f>
        <v>4344.5558292232454</v>
      </c>
      <c r="AK21" s="817"/>
      <c r="AL21" s="830"/>
      <c r="AM21" s="818">
        <v>1.2759636693601516E-2</v>
      </c>
      <c r="AN21" s="779">
        <f>AE37</f>
        <v>4344.5558292232454</v>
      </c>
      <c r="AO21" s="785">
        <v>2.168142962488661E-2</v>
      </c>
      <c r="AP21" s="767"/>
      <c r="AQ21" s="781" t="s">
        <v>1589</v>
      </c>
      <c r="AR21" s="782">
        <v>1076090.6204400742</v>
      </c>
      <c r="AS21" s="833">
        <f t="shared" si="4"/>
        <v>0</v>
      </c>
      <c r="AT21" s="782">
        <f t="shared" si="3"/>
        <v>4344.5558292232454</v>
      </c>
      <c r="AU21" s="782">
        <f t="shared" si="5"/>
        <v>1076090.6204400742</v>
      </c>
      <c r="AV21" s="782"/>
      <c r="AW21" s="782"/>
      <c r="AX21" s="782">
        <f>V37</f>
        <v>5240.7879999997094</v>
      </c>
      <c r="AY21" s="57">
        <f t="shared" si="2"/>
        <v>-896.23217077646405</v>
      </c>
      <c r="AZ21" s="766"/>
      <c r="BA21" s="767"/>
      <c r="BB21" s="767"/>
      <c r="BC21" s="767"/>
      <c r="BD21" s="767"/>
      <c r="BE21" s="767"/>
      <c r="BF21" s="767"/>
    </row>
    <row r="22" spans="1:58" ht="15.75">
      <c r="A22" s="67" t="s">
        <v>868</v>
      </c>
      <c r="B22" s="176" t="s">
        <v>20</v>
      </c>
      <c r="C22" s="170">
        <f>ROUND(SUMIF(L_12MonResults_RateClass,$B22,L_12MonResults_Revenue_Total),0)</f>
        <v>179920400</v>
      </c>
      <c r="D22" s="170">
        <f>ROUND(SUMIF(L_12MonResults_RateClass,$B22,L_12MonResults_Revenue_FAC),0)</f>
        <v>-521202</v>
      </c>
      <c r="E22" s="170">
        <f>ROUND(SUMIF(L_12MonResults_RateClass,$B22,L_12MonResults_Revenue_DSM),0)</f>
        <v>3703933</v>
      </c>
      <c r="F22" s="170">
        <f>ROUND(SUMIF(L_12MonResults_RateClass,$B22,L_12MonResults_Revenue_ECR),0)</f>
        <v>17790883</v>
      </c>
      <c r="G22" s="171">
        <f>C22-SUM(D22:F22)</f>
        <v>158946786</v>
      </c>
      <c r="H22" s="171">
        <f>'ECR in Base Rates'!$G$19*-1</f>
        <v>-2420274</v>
      </c>
      <c r="I22" s="170">
        <v>0</v>
      </c>
      <c r="J22" s="171">
        <v>0</v>
      </c>
      <c r="K22" s="171">
        <f t="shared" ref="K22:K23" si="16">SUM(G22:J22)</f>
        <v>156526512</v>
      </c>
      <c r="L22" s="66">
        <f>'Settlement Exhibit 2 pgs 2-17'!$G$160</f>
        <v>156526512</v>
      </c>
      <c r="M22" s="66">
        <f>L22-K22</f>
        <v>0</v>
      </c>
      <c r="N22" s="66"/>
      <c r="O22" s="66">
        <f t="shared" ref="O22:O24" si="17">K22</f>
        <v>156526512</v>
      </c>
      <c r="P22" s="66">
        <f t="shared" ref="P22:P24" si="18">D22</f>
        <v>-521202</v>
      </c>
      <c r="Q22" s="66">
        <f t="shared" ref="Q22:Q24" si="19">E22</f>
        <v>3703933</v>
      </c>
      <c r="R22" s="66">
        <f t="shared" ref="R22:R24" si="20">F22</f>
        <v>17790883</v>
      </c>
      <c r="S22" s="66">
        <f t="shared" ref="S22:S23" si="21">-H22</f>
        <v>2420274</v>
      </c>
      <c r="T22" s="66">
        <f t="shared" ref="T22:T23" si="22">SUM(O22:S22)</f>
        <v>179920400</v>
      </c>
      <c r="V22" s="66">
        <f>'Settlement Exhibit 2 pgs 2-17'!J169</f>
        <v>110754</v>
      </c>
      <c r="W22" s="336">
        <f>V22/T22</f>
        <v>6.1557221971494057E-4</v>
      </c>
      <c r="X22" s="268">
        <f>T22*$X$61</f>
        <v>110215.65483559457</v>
      </c>
      <c r="Y22" s="57">
        <f t="shared" si="1"/>
        <v>-538.34516440542939</v>
      </c>
      <c r="AA22" s="815">
        <f>T22*(1+$AB$10)</f>
        <v>180030615.65483555</v>
      </c>
      <c r="AB22" s="800">
        <f t="shared" ref="AB22:AB23" si="23">AA22-T22</f>
        <v>110215.65483555198</v>
      </c>
      <c r="AC22" s="820">
        <f>AK16*-1</f>
        <v>0</v>
      </c>
      <c r="AD22" s="820">
        <f>AL16*-1</f>
        <v>0</v>
      </c>
      <c r="AE22" s="800">
        <f t="shared" ref="AE22:AE23" si="24">AB22+AC22+AD22</f>
        <v>110215.65483555198</v>
      </c>
      <c r="AF22" s="801"/>
      <c r="AG22" s="801"/>
      <c r="AH22" s="778" t="s">
        <v>1587</v>
      </c>
      <c r="AI22" s="778" t="s">
        <v>1590</v>
      </c>
      <c r="AJ22" s="816">
        <f>AB38</f>
        <v>2326.3261864692904</v>
      </c>
      <c r="AK22" s="817"/>
      <c r="AL22" s="830"/>
      <c r="AM22" s="818">
        <v>1.4869264460538992E-2</v>
      </c>
      <c r="AN22" s="779">
        <f>AE38</f>
        <v>2326.3261864692904</v>
      </c>
      <c r="AO22" s="785">
        <v>1.4807691440308175E-2</v>
      </c>
      <c r="AP22" s="767"/>
      <c r="AQ22" s="781" t="s">
        <v>1591</v>
      </c>
      <c r="AR22" s="782">
        <v>613129.06995477667</v>
      </c>
      <c r="AS22" s="833">
        <f t="shared" si="4"/>
        <v>0</v>
      </c>
      <c r="AT22" s="782">
        <f t="shared" si="3"/>
        <v>2326.3261864692904</v>
      </c>
      <c r="AU22" s="782">
        <f t="shared" si="5"/>
        <v>613129.06995477667</v>
      </c>
      <c r="AV22" s="782"/>
      <c r="AW22" s="782"/>
      <c r="AX22" s="782">
        <f>V38</f>
        <v>1981</v>
      </c>
      <c r="AY22" s="57">
        <f t="shared" si="2"/>
        <v>345.32618646929041</v>
      </c>
      <c r="AZ22" s="766"/>
      <c r="BA22" s="767"/>
      <c r="BB22" s="767"/>
      <c r="BC22" s="767"/>
      <c r="BD22" s="767"/>
      <c r="BE22" s="767"/>
      <c r="BF22" s="767"/>
    </row>
    <row r="23" spans="1:58" ht="18">
      <c r="A23" s="67" t="s">
        <v>834</v>
      </c>
      <c r="B23" s="176" t="s">
        <v>21</v>
      </c>
      <c r="C23" s="174">
        <f>ROUND(SUMIF(L_12MonResults_RateClass,$B23,L_12MonResults_Revenue_Total),0)</f>
        <v>13517486</v>
      </c>
      <c r="D23" s="174">
        <f>ROUND(SUMIF(L_12MonResults_RateClass,$B23,L_12MonResults_Revenue_FAC),0)</f>
        <v>-37281</v>
      </c>
      <c r="E23" s="174">
        <f>ROUND(SUMIF(L_12MonResults_RateClass,$B23,L_12MonResults_Revenue_DSM),0)</f>
        <v>307902</v>
      </c>
      <c r="F23" s="174">
        <f>ROUND(SUMIF(L_12MonResults_RateClass,$B23,L_12MonResults_Revenue_ECR),0)</f>
        <v>1472676</v>
      </c>
      <c r="G23" s="175">
        <f>C23-SUM(D23:F23)</f>
        <v>11774189</v>
      </c>
      <c r="H23" s="175">
        <f>'ECR in Base Rates'!$G$24*-1</f>
        <v>-197438</v>
      </c>
      <c r="I23" s="746">
        <v>0</v>
      </c>
      <c r="J23" s="175">
        <v>0</v>
      </c>
      <c r="K23" s="175">
        <f t="shared" si="16"/>
        <v>11576751</v>
      </c>
      <c r="L23" s="68">
        <f>'Settlement Exhibit 2 pgs 2-17'!$G$197</f>
        <v>11576751</v>
      </c>
      <c r="M23" s="68">
        <f>L23-K23</f>
        <v>0</v>
      </c>
      <c r="N23" s="68"/>
      <c r="O23" s="68">
        <f t="shared" si="17"/>
        <v>11576751</v>
      </c>
      <c r="P23" s="68">
        <f t="shared" si="18"/>
        <v>-37281</v>
      </c>
      <c r="Q23" s="68">
        <f t="shared" si="19"/>
        <v>307902</v>
      </c>
      <c r="R23" s="68">
        <f t="shared" si="20"/>
        <v>1472676</v>
      </c>
      <c r="S23" s="68">
        <f t="shared" si="21"/>
        <v>197438</v>
      </c>
      <c r="T23" s="68">
        <f t="shared" si="22"/>
        <v>13517486</v>
      </c>
      <c r="U23" s="254"/>
      <c r="V23" s="68">
        <f>'Settlement Exhibit 2 pgs 2-17'!J206</f>
        <v>8197</v>
      </c>
      <c r="W23" s="337">
        <f>V23/T23</f>
        <v>6.0639974030674048E-4</v>
      </c>
      <c r="X23" s="707">
        <f>T23*$X$61</f>
        <v>8280.5427912620344</v>
      </c>
      <c r="Y23" s="57">
        <f t="shared" si="1"/>
        <v>83.54279126203437</v>
      </c>
      <c r="AA23" s="815">
        <f>T23*(1+$AB$10)</f>
        <v>13525766.542791259</v>
      </c>
      <c r="AB23" s="800">
        <f t="shared" si="23"/>
        <v>8280.5427912585437</v>
      </c>
      <c r="AC23" s="820">
        <f>AK17*-1</f>
        <v>0</v>
      </c>
      <c r="AD23" s="820">
        <f>AL17*-1</f>
        <v>0</v>
      </c>
      <c r="AE23" s="800">
        <f t="shared" si="24"/>
        <v>8280.5427912585437</v>
      </c>
      <c r="AF23" s="810"/>
      <c r="AG23" s="801"/>
      <c r="AH23" s="778" t="s">
        <v>1592</v>
      </c>
      <c r="AI23" s="778" t="s">
        <v>1593</v>
      </c>
      <c r="AJ23" s="816">
        <f>AB43</f>
        <v>11635.806278239936</v>
      </c>
      <c r="AK23" s="816"/>
      <c r="AL23" s="830"/>
      <c r="AM23" s="818">
        <v>4.2380405005393376E-2</v>
      </c>
      <c r="AN23" s="779">
        <f>AE43</f>
        <v>11635.806278239936</v>
      </c>
      <c r="AO23" s="785">
        <v>4.640778304470744E-2</v>
      </c>
      <c r="AP23" s="767"/>
      <c r="AQ23" s="781" t="s">
        <v>1594</v>
      </c>
      <c r="AR23" s="782">
        <v>2524544.1518905768</v>
      </c>
      <c r="AS23" s="833">
        <f t="shared" si="4"/>
        <v>0</v>
      </c>
      <c r="AT23" s="782">
        <f t="shared" si="3"/>
        <v>11635.806278239936</v>
      </c>
      <c r="AU23" s="782">
        <f t="shared" si="5"/>
        <v>2524544.1518905768</v>
      </c>
      <c r="AV23" s="782"/>
      <c r="AW23" s="782"/>
      <c r="AX23" s="782">
        <f>V43</f>
        <v>10639</v>
      </c>
      <c r="AY23" s="57">
        <f t="shared" si="2"/>
        <v>996.80627823993564</v>
      </c>
      <c r="AZ23" s="766"/>
      <c r="BA23" s="767"/>
      <c r="BB23" s="767"/>
      <c r="BC23" s="767"/>
      <c r="BD23" s="767"/>
      <c r="BE23" s="767"/>
      <c r="BF23" s="767"/>
    </row>
    <row r="24" spans="1:58" ht="18">
      <c r="A24" s="58" t="s">
        <v>87</v>
      </c>
      <c r="C24" s="171">
        <f>SUM(C22:C23)</f>
        <v>193437886</v>
      </c>
      <c r="D24" s="171">
        <f t="shared" ref="D24:L24" si="25">SUM(D22:D23)</f>
        <v>-558483</v>
      </c>
      <c r="E24" s="171">
        <f t="shared" si="25"/>
        <v>4011835</v>
      </c>
      <c r="F24" s="171">
        <f t="shared" si="25"/>
        <v>19263559</v>
      </c>
      <c r="G24" s="171">
        <f t="shared" si="25"/>
        <v>170720975</v>
      </c>
      <c r="H24" s="171">
        <f t="shared" ref="H24:I24" si="26">SUM(H22:H23)</f>
        <v>-2617712</v>
      </c>
      <c r="I24" s="170">
        <f t="shared" si="26"/>
        <v>0</v>
      </c>
      <c r="J24" s="171">
        <f t="shared" si="25"/>
        <v>0</v>
      </c>
      <c r="K24" s="171">
        <f t="shared" si="25"/>
        <v>168103263</v>
      </c>
      <c r="L24" s="66">
        <f t="shared" si="25"/>
        <v>168103263</v>
      </c>
      <c r="M24" s="66">
        <f>L24-K24</f>
        <v>0</v>
      </c>
      <c r="N24" s="66"/>
      <c r="O24" s="66">
        <f t="shared" si="17"/>
        <v>168103263</v>
      </c>
      <c r="P24" s="66">
        <f t="shared" si="18"/>
        <v>-558483</v>
      </c>
      <c r="Q24" s="66">
        <f t="shared" si="19"/>
        <v>4011835</v>
      </c>
      <c r="R24" s="66">
        <f t="shared" si="20"/>
        <v>19263559</v>
      </c>
      <c r="S24" s="66">
        <f t="shared" ref="S24:T24" si="27">SUM(S22:S23)</f>
        <v>2617712</v>
      </c>
      <c r="T24" s="66">
        <f t="shared" si="27"/>
        <v>193437886</v>
      </c>
      <c r="V24" s="57">
        <f t="shared" ref="V24" si="28">SUM(V22:V23)</f>
        <v>118951</v>
      </c>
      <c r="W24" s="336">
        <f>V24/T24</f>
        <v>6.1493124464770052E-4</v>
      </c>
      <c r="X24" s="268">
        <v>5278397.6266478002</v>
      </c>
      <c r="Y24" s="57">
        <f t="shared" si="1"/>
        <v>5159446.6266478002</v>
      </c>
      <c r="AA24" s="802"/>
      <c r="AB24" s="803"/>
      <c r="AC24" s="803"/>
      <c r="AD24" s="803"/>
      <c r="AE24" s="800"/>
      <c r="AF24" s="810">
        <f t="shared" ref="AF24" si="29">AE24/T24</f>
        <v>0</v>
      </c>
      <c r="AG24" s="801"/>
      <c r="AH24" s="778" t="s">
        <v>1592</v>
      </c>
      <c r="AI24" s="778" t="s">
        <v>1595</v>
      </c>
      <c r="AJ24" s="816">
        <f>AB40</f>
        <v>154.62685375276487</v>
      </c>
      <c r="AK24" s="816"/>
      <c r="AL24" s="830"/>
      <c r="AM24" s="818">
        <v>3.7192705017966295E-2</v>
      </c>
      <c r="AN24" s="779">
        <f>AE40</f>
        <v>154.62685375276487</v>
      </c>
      <c r="AO24" s="785">
        <v>4.5746770623311568E-2</v>
      </c>
      <c r="AP24" s="787"/>
      <c r="AQ24" s="781" t="s">
        <v>1596</v>
      </c>
      <c r="AR24" s="782">
        <v>20041.815729861577</v>
      </c>
      <c r="AS24" s="833">
        <f t="shared" si="4"/>
        <v>0</v>
      </c>
      <c r="AT24" s="782">
        <f t="shared" si="3"/>
        <v>154.62685375276487</v>
      </c>
      <c r="AU24" s="782">
        <f t="shared" si="5"/>
        <v>20041.815729861577</v>
      </c>
      <c r="AV24" s="782"/>
      <c r="AW24" s="782"/>
      <c r="AX24" s="782">
        <f>V40</f>
        <v>138</v>
      </c>
      <c r="AY24" s="57">
        <f t="shared" si="2"/>
        <v>16.626853752764873</v>
      </c>
      <c r="AZ24" s="766"/>
      <c r="BA24" s="787"/>
      <c r="BB24" s="767"/>
      <c r="BC24" s="767"/>
      <c r="BD24" s="767"/>
      <c r="BE24" s="767"/>
      <c r="BF24" s="767"/>
    </row>
    <row r="25" spans="1:58" ht="15.75">
      <c r="A25" s="69"/>
      <c r="B25" s="69"/>
      <c r="X25" s="268"/>
      <c r="Y25" s="57">
        <f t="shared" si="1"/>
        <v>0</v>
      </c>
      <c r="AA25" s="799"/>
      <c r="AB25" s="800"/>
      <c r="AC25" s="800"/>
      <c r="AD25" s="800"/>
      <c r="AE25" s="800"/>
      <c r="AF25" s="800"/>
      <c r="AG25" s="800"/>
      <c r="AH25" s="778" t="s">
        <v>1597</v>
      </c>
      <c r="AI25" s="778" t="s">
        <v>1598</v>
      </c>
      <c r="AJ25" s="816">
        <f>AB41</f>
        <v>183.86713919154136</v>
      </c>
      <c r="AK25" s="816"/>
      <c r="AL25" s="830"/>
      <c r="AM25" s="818">
        <v>8.1556744742447146E-2</v>
      </c>
      <c r="AN25" s="779">
        <f>AE41</f>
        <v>183.86713919154136</v>
      </c>
      <c r="AO25" s="785">
        <v>9.1164130048526137E-2</v>
      </c>
      <c r="AP25" s="787"/>
      <c r="AQ25" s="781" t="s">
        <v>1599</v>
      </c>
      <c r="AR25" s="782">
        <v>-17018.891024695371</v>
      </c>
      <c r="AS25" s="833">
        <f t="shared" si="4"/>
        <v>0</v>
      </c>
      <c r="AT25" s="782">
        <f t="shared" si="3"/>
        <v>183.86713919154136</v>
      </c>
      <c r="AU25" s="782">
        <f t="shared" si="5"/>
        <v>-17018.891024695371</v>
      </c>
      <c r="AV25" s="782"/>
      <c r="AW25" s="782"/>
      <c r="AX25" s="782">
        <f>V41</f>
        <v>200</v>
      </c>
      <c r="AY25" s="57">
        <f t="shared" si="2"/>
        <v>-16.132860808458645</v>
      </c>
      <c r="AZ25" s="787"/>
      <c r="BA25" s="788"/>
      <c r="BB25" s="767"/>
      <c r="BC25" s="767"/>
      <c r="BD25" s="787"/>
      <c r="BE25" s="787"/>
      <c r="BF25" s="787"/>
    </row>
    <row r="26" spans="1:58" ht="15.75">
      <c r="A26" s="58" t="s">
        <v>869</v>
      </c>
      <c r="B26" s="179" t="s">
        <v>1006</v>
      </c>
      <c r="C26" s="170">
        <f>ROUND(SUMIF(L_12MonResults_RateClass,$B26,L_12MonResults_Revenue_Total),0)</f>
        <v>86249459</v>
      </c>
      <c r="D26" s="170">
        <f>ROUND(SUMIF(L_12MonResults_RateClass,$B26,L_12MonResults_Revenue_FAC),0)</f>
        <v>-270983</v>
      </c>
      <c r="E26" s="170">
        <f>ROUND(SUMIF(L_12MonResults_RateClass,$B26,L_12MonResults_Revenue_DSM),0)</f>
        <v>1965777</v>
      </c>
      <c r="F26" s="170">
        <f>ROUND(SUMIF(L_12MonResults_RateClass,$B26,L_12MonResults_Revenue_ECR),0)</f>
        <v>9427672</v>
      </c>
      <c r="G26" s="171">
        <f>C26-SUM(D26:F26)</f>
        <v>75126993</v>
      </c>
      <c r="H26" s="171">
        <f>'ECR in Base Rates'!$G$31*-1</f>
        <v>-1084253</v>
      </c>
      <c r="I26" s="170">
        <f>'Settlement Exhibit 2 pgs 2-17'!$G$235</f>
        <v>21060</v>
      </c>
      <c r="J26" s="171">
        <v>0</v>
      </c>
      <c r="K26" s="171">
        <f>SUM(G26:J26)</f>
        <v>74063800</v>
      </c>
      <c r="L26" s="66">
        <f>'Settlement Exhibit 2 pgs 2-17'!$G$237</f>
        <v>74063800</v>
      </c>
      <c r="M26" s="66">
        <f>L26-K26</f>
        <v>0</v>
      </c>
      <c r="N26" s="66"/>
      <c r="O26" s="66">
        <f t="shared" ref="O26" si="30">K26</f>
        <v>74063800</v>
      </c>
      <c r="P26" s="66">
        <f t="shared" ref="P26" si="31">D26</f>
        <v>-270983</v>
      </c>
      <c r="Q26" s="66">
        <f t="shared" ref="Q26" si="32">E26</f>
        <v>1965777</v>
      </c>
      <c r="R26" s="66">
        <f t="shared" ref="R26" si="33">F26</f>
        <v>9427672</v>
      </c>
      <c r="S26" s="66">
        <f t="shared" ref="S26" si="34">-H26</f>
        <v>1084253</v>
      </c>
      <c r="T26" s="66">
        <f t="shared" ref="T26" si="35">SUM(O26:S26)</f>
        <v>86270519</v>
      </c>
      <c r="V26" s="66">
        <f>'Settlement Exhibit 2 pgs 2-17'!J247</f>
        <v>51810</v>
      </c>
      <c r="W26" s="336">
        <f>V26/T26</f>
        <v>6.0055277979723294E-4</v>
      </c>
      <c r="X26" s="268">
        <f>T26*$X$61</f>
        <v>52847.602298525366</v>
      </c>
      <c r="Y26" s="57">
        <f t="shared" si="1"/>
        <v>1037.6022985253658</v>
      </c>
      <c r="AA26" s="815">
        <f>T26*(1+$AB$10)</f>
        <v>86323366.602298513</v>
      </c>
      <c r="AB26" s="800">
        <f t="shared" ref="AB26" si="36">AA26-T26</f>
        <v>52847.602298513055</v>
      </c>
      <c r="AC26" s="820">
        <f>AK19*-1</f>
        <v>0</v>
      </c>
      <c r="AD26" s="820">
        <f>AL19*-1</f>
        <v>0</v>
      </c>
      <c r="AE26" s="800">
        <f>AB26+AC26+AD26</f>
        <v>52847.602298513055</v>
      </c>
      <c r="AF26" s="801">
        <f t="shared" ref="AF26" si="37">AE26/T26</f>
        <v>6.1258009005965358E-4</v>
      </c>
      <c r="AG26" s="801"/>
      <c r="AH26" s="789"/>
      <c r="AI26" s="789"/>
      <c r="AJ26" s="789"/>
      <c r="AK26" s="789"/>
      <c r="AL26" s="789"/>
      <c r="AM26" s="789"/>
      <c r="AN26" s="789"/>
      <c r="AO26" s="789"/>
      <c r="AP26" s="787"/>
      <c r="AQ26" s="787"/>
      <c r="AR26" s="787"/>
      <c r="AS26" s="787"/>
      <c r="AT26" s="787"/>
      <c r="AU26" s="787"/>
      <c r="AV26" s="787"/>
      <c r="AW26" s="787"/>
      <c r="AX26" s="787"/>
      <c r="AY26" s="787"/>
      <c r="AZ26" s="788"/>
      <c r="BA26" s="788"/>
      <c r="BB26" s="767"/>
      <c r="BC26" s="767"/>
      <c r="BD26" s="788"/>
      <c r="BE26" s="788"/>
      <c r="BF26" s="788"/>
    </row>
    <row r="27" spans="1:58" s="58" customFormat="1" ht="15.75">
      <c r="C27" s="57"/>
      <c r="D27" s="57"/>
      <c r="E27" s="57"/>
      <c r="F27" s="57"/>
      <c r="G27" s="57"/>
      <c r="H27" s="57"/>
      <c r="J27" s="57"/>
      <c r="K27" s="57"/>
      <c r="L27" s="57"/>
      <c r="M27" s="57"/>
      <c r="N27" s="57"/>
      <c r="O27" s="57"/>
      <c r="P27" s="57"/>
      <c r="Q27" s="57"/>
      <c r="R27" s="57"/>
      <c r="S27" s="57"/>
      <c r="T27" s="57"/>
      <c r="U27" s="57"/>
      <c r="V27" s="57"/>
      <c r="W27" s="57"/>
      <c r="X27" s="268"/>
      <c r="Y27" s="57">
        <f t="shared" si="1"/>
        <v>0</v>
      </c>
      <c r="Z27" s="57"/>
      <c r="AA27" s="815"/>
      <c r="AB27" s="800"/>
      <c r="AC27" s="800"/>
      <c r="AD27" s="800"/>
      <c r="AE27" s="800"/>
      <c r="AF27" s="801"/>
      <c r="AG27" s="801"/>
      <c r="AH27" s="789"/>
      <c r="AI27" s="789"/>
      <c r="AJ27" s="789">
        <f>SUM(AJ13:AJ25)</f>
        <v>679900.99999975529</v>
      </c>
      <c r="AK27" s="789">
        <f>SUM(AK13:AK25)</f>
        <v>0</v>
      </c>
      <c r="AL27" s="789">
        <f>SUM(AL13:AL25)</f>
        <v>0</v>
      </c>
      <c r="AM27" s="789"/>
      <c r="AN27" s="789">
        <f>SUM(AN13:AN25)</f>
        <v>679900.99999975529</v>
      </c>
      <c r="AO27" s="789"/>
      <c r="AP27" s="767"/>
      <c r="AQ27" s="787"/>
      <c r="AR27" s="787"/>
      <c r="AS27" s="788"/>
      <c r="AT27" s="788"/>
      <c r="AU27" s="788"/>
      <c r="AV27" s="788"/>
      <c r="AW27" s="788"/>
      <c r="AX27" s="788"/>
      <c r="AY27" s="788"/>
      <c r="AZ27" s="788"/>
      <c r="BA27" s="767"/>
      <c r="BB27" s="767"/>
      <c r="BC27" s="767"/>
      <c r="BD27" s="788"/>
      <c r="BE27" s="788"/>
      <c r="BF27" s="788"/>
    </row>
    <row r="28" spans="1:58" s="64" customFormat="1" ht="15.75">
      <c r="A28" s="58" t="s">
        <v>870</v>
      </c>
      <c r="B28" s="58"/>
      <c r="C28" s="171"/>
      <c r="D28" s="171"/>
      <c r="E28" s="171"/>
      <c r="F28" s="171"/>
      <c r="G28" s="171"/>
      <c r="H28" s="171"/>
      <c r="I28" s="170"/>
      <c r="J28" s="171"/>
      <c r="K28" s="171"/>
      <c r="L28" s="66"/>
      <c r="M28" s="66"/>
      <c r="N28" s="66"/>
      <c r="O28" s="66"/>
      <c r="P28" s="66"/>
      <c r="Q28" s="66"/>
      <c r="R28" s="66"/>
      <c r="S28" s="66"/>
      <c r="T28" s="66"/>
      <c r="U28" s="57"/>
      <c r="V28" s="66"/>
      <c r="W28" s="336"/>
      <c r="X28" s="268"/>
      <c r="Y28" s="57">
        <f t="shared" si="1"/>
        <v>0</v>
      </c>
      <c r="Z28" s="57"/>
      <c r="AA28" s="815"/>
      <c r="AB28" s="800"/>
      <c r="AC28" s="800"/>
      <c r="AD28" s="800"/>
      <c r="AE28" s="800"/>
      <c r="AF28" s="801"/>
      <c r="AG28" s="801"/>
      <c r="AH28" s="789"/>
      <c r="AI28" s="789"/>
      <c r="AJ28" s="789"/>
      <c r="AK28" s="789"/>
      <c r="AL28" s="789"/>
      <c r="AM28" s="789"/>
      <c r="AN28" s="789"/>
      <c r="AO28" s="789"/>
      <c r="AP28" s="767"/>
      <c r="AQ28" s="787"/>
      <c r="AR28" s="787"/>
      <c r="AS28" s="788"/>
      <c r="AT28" s="788"/>
      <c r="AU28" s="788"/>
      <c r="AV28" s="788"/>
      <c r="AW28" s="788"/>
      <c r="AX28" s="788"/>
      <c r="AY28" s="788"/>
      <c r="AZ28" s="767"/>
      <c r="BA28" s="767"/>
      <c r="BB28" s="767"/>
      <c r="BC28" s="767"/>
      <c r="BD28" s="767"/>
      <c r="BE28" s="767"/>
      <c r="BF28" s="767"/>
    </row>
    <row r="29" spans="1:58" s="64" customFormat="1" ht="15.75">
      <c r="A29" s="67" t="s">
        <v>915</v>
      </c>
      <c r="B29" s="179" t="s">
        <v>409</v>
      </c>
      <c r="C29" s="189">
        <f>ROUND(SUMIF(L_12MonResults_RateClass,$B29,L_12MonResults_Revenue_Total),0)</f>
        <v>29938183</v>
      </c>
      <c r="D29" s="189">
        <f>ROUND(SUMIF(L_12MonResults_RateClass,$B29,L_12MonResults_Revenue_FAC),0)</f>
        <v>-88079</v>
      </c>
      <c r="E29" s="189">
        <f>ROUND(SUMIF(L_12MonResults_RateClass,$B29,L_12MonResults_Revenue_DSM),0)</f>
        <v>704109</v>
      </c>
      <c r="F29" s="189">
        <f>ROUND(SUMIF(L_12MonResults_RateClass,$B29,L_12MonResults_Revenue_ECR),0)</f>
        <v>3368651</v>
      </c>
      <c r="G29" s="171">
        <f>C29-SUM(D29:F29)</f>
        <v>25953502</v>
      </c>
      <c r="H29" s="171">
        <f>'ECR in Base Rates'!$G$38*-1</f>
        <v>-351843</v>
      </c>
      <c r="I29" s="170">
        <v>0</v>
      </c>
      <c r="J29" s="171">
        <v>0</v>
      </c>
      <c r="K29" s="171">
        <f t="shared" ref="K29:K30" si="38">SUM(G29:J29)</f>
        <v>25601659</v>
      </c>
      <c r="L29" s="66">
        <f>'Settlement Exhibit 2 pgs 2-17'!G274</f>
        <v>25601659</v>
      </c>
      <c r="M29" s="66">
        <f>L29-K29</f>
        <v>0</v>
      </c>
      <c r="N29" s="66"/>
      <c r="O29" s="66">
        <f t="shared" ref="O29:O31" si="39">K29</f>
        <v>25601659</v>
      </c>
      <c r="P29" s="66">
        <f t="shared" ref="P29:P31" si="40">D29</f>
        <v>-88079</v>
      </c>
      <c r="Q29" s="66">
        <f t="shared" ref="Q29:Q31" si="41">E29</f>
        <v>704109</v>
      </c>
      <c r="R29" s="66">
        <f t="shared" ref="R29:R31" si="42">F29</f>
        <v>3368651</v>
      </c>
      <c r="S29" s="66">
        <f t="shared" ref="S29:S30" si="43">-H29</f>
        <v>351843</v>
      </c>
      <c r="T29" s="66">
        <f t="shared" ref="T29:T30" si="44">SUM(O29:S29)</f>
        <v>29938183</v>
      </c>
      <c r="U29" s="57"/>
      <c r="V29" s="66">
        <f>'Settlement Exhibit 2 pgs 2-17'!L283</f>
        <v>-2072748</v>
      </c>
      <c r="W29" s="336">
        <f t="shared" ref="W29:W30" si="45">V29/T29</f>
        <v>-6.9234261812081241E-2</v>
      </c>
      <c r="X29" s="268">
        <f>T29*$X$61</f>
        <v>18339.534838366661</v>
      </c>
      <c r="Y29" s="57">
        <f t="shared" si="1"/>
        <v>2091087.5348383666</v>
      </c>
      <c r="Z29" s="57"/>
      <c r="AA29" s="815"/>
      <c r="AB29" s="800"/>
      <c r="AC29" s="800"/>
      <c r="AD29" s="800"/>
      <c r="AE29" s="800"/>
      <c r="AF29" s="801"/>
      <c r="AG29" s="801"/>
      <c r="AH29" s="778"/>
      <c r="AI29" s="778"/>
      <c r="AJ29" s="778"/>
      <c r="AK29" s="778"/>
      <c r="AL29" s="778"/>
      <c r="AM29" s="778"/>
      <c r="AN29" s="779"/>
      <c r="AO29" s="790"/>
      <c r="AP29" s="787"/>
      <c r="AQ29" s="767"/>
      <c r="AR29" s="767"/>
      <c r="AS29" s="767"/>
      <c r="AT29" s="767"/>
      <c r="AU29" s="767"/>
      <c r="AV29" s="767"/>
      <c r="AW29" s="767"/>
      <c r="AX29" s="767"/>
      <c r="AY29" s="767"/>
      <c r="AZ29" s="767"/>
      <c r="BA29" s="787"/>
      <c r="BB29" s="767"/>
      <c r="BC29" s="767"/>
      <c r="BD29" s="767"/>
      <c r="BE29" s="767"/>
      <c r="BF29" s="767"/>
    </row>
    <row r="30" spans="1:58" ht="18">
      <c r="A30" s="70" t="s">
        <v>916</v>
      </c>
      <c r="B30" s="179" t="s">
        <v>421</v>
      </c>
      <c r="C30" s="174">
        <f>ROUND(SUMIF(L_12MonResults_RateClass,$B30,L_12MonResults_Revenue_Total),0)</f>
        <v>123267260</v>
      </c>
      <c r="D30" s="174">
        <f>ROUND(SUMIF(L_12MonResults_RateClass,$B30,L_12MonResults_Revenue_FAC),0)</f>
        <v>-495205</v>
      </c>
      <c r="E30" s="174">
        <f>ROUND(SUMIF(L_12MonResults_RateClass,$B30,L_12MonResults_Revenue_DSM),0)</f>
        <v>3151617</v>
      </c>
      <c r="F30" s="174">
        <f>ROUND(SUMIF(L_12MonResults_RateClass,$B30,L_12MonResults_Revenue_ECR),0)</f>
        <v>15216647</v>
      </c>
      <c r="G30" s="175">
        <f>C30-SUM(D30:F30)</f>
        <v>105394201</v>
      </c>
      <c r="H30" s="175">
        <f>'ECR in Base Rates'!$G$45*-1</f>
        <v>-1610913</v>
      </c>
      <c r="I30" s="746">
        <v>0</v>
      </c>
      <c r="J30" s="175">
        <v>0</v>
      </c>
      <c r="K30" s="175">
        <f t="shared" si="38"/>
        <v>103783288</v>
      </c>
      <c r="L30" s="68">
        <f>'Settlement Exhibit 2 pgs 2-17'!$G$311</f>
        <v>103783288</v>
      </c>
      <c r="M30" s="68">
        <f>L30-K30</f>
        <v>0</v>
      </c>
      <c r="N30" s="68"/>
      <c r="O30" s="68">
        <f t="shared" si="39"/>
        <v>103783288</v>
      </c>
      <c r="P30" s="68">
        <f t="shared" si="40"/>
        <v>-495205</v>
      </c>
      <c r="Q30" s="68">
        <f t="shared" si="41"/>
        <v>3151617</v>
      </c>
      <c r="R30" s="68">
        <f t="shared" si="42"/>
        <v>15216647</v>
      </c>
      <c r="S30" s="68">
        <f t="shared" si="43"/>
        <v>1610913</v>
      </c>
      <c r="T30" s="68">
        <f t="shared" si="44"/>
        <v>123267260</v>
      </c>
      <c r="U30" s="254"/>
      <c r="V30" s="68">
        <f>'Settlement Exhibit 2 pgs 2-17'!$L$320</f>
        <v>2164921</v>
      </c>
      <c r="W30" s="336">
        <f t="shared" si="45"/>
        <v>1.7562822439632388E-2</v>
      </c>
      <c r="X30" s="707">
        <f>T30*$X$61</f>
        <v>75511.069232224327</v>
      </c>
      <c r="Y30" s="57">
        <f t="shared" si="1"/>
        <v>-2089409.9307677757</v>
      </c>
      <c r="AA30" s="802"/>
      <c r="AB30" s="803"/>
      <c r="AC30" s="800"/>
      <c r="AD30" s="800"/>
      <c r="AE30" s="800"/>
      <c r="AF30" s="801"/>
      <c r="AG30" s="801"/>
      <c r="AH30" s="778"/>
      <c r="AI30" s="778"/>
      <c r="AJ30" s="778"/>
      <c r="AK30" s="778"/>
      <c r="AL30" s="778"/>
      <c r="AM30" s="778"/>
      <c r="AN30" s="779">
        <f>AN18+AN20</f>
        <v>127929.38704262674</v>
      </c>
      <c r="AO30" s="790"/>
      <c r="AP30" s="787"/>
      <c r="AQ30" s="767"/>
      <c r="AR30" s="767"/>
      <c r="AS30" s="767"/>
      <c r="AT30" s="767"/>
      <c r="AU30" s="767"/>
      <c r="AV30" s="767"/>
      <c r="AW30" s="767"/>
      <c r="AX30" s="767"/>
      <c r="AY30" s="767"/>
      <c r="AZ30" s="767"/>
      <c r="BA30" s="788"/>
      <c r="BB30" s="767"/>
      <c r="BC30" s="767"/>
      <c r="BD30" s="767"/>
      <c r="BE30" s="767"/>
      <c r="BF30" s="767"/>
    </row>
    <row r="31" spans="1:58" ht="15.75">
      <c r="A31" s="286" t="s">
        <v>1555</v>
      </c>
      <c r="B31" s="70"/>
      <c r="C31" s="171">
        <f t="shared" ref="C31:L31" si="46">SUM(C29:C30)</f>
        <v>153205443</v>
      </c>
      <c r="D31" s="171">
        <f t="shared" si="46"/>
        <v>-583284</v>
      </c>
      <c r="E31" s="171">
        <f t="shared" si="46"/>
        <v>3855726</v>
      </c>
      <c r="F31" s="171">
        <f t="shared" si="46"/>
        <v>18585298</v>
      </c>
      <c r="G31" s="171">
        <f t="shared" si="46"/>
        <v>131347703</v>
      </c>
      <c r="H31" s="171">
        <f t="shared" ref="H31:I31" si="47">SUM(H29:H30)</f>
        <v>-1962756</v>
      </c>
      <c r="I31" s="170">
        <f t="shared" si="47"/>
        <v>0</v>
      </c>
      <c r="J31" s="171">
        <f t="shared" si="46"/>
        <v>0</v>
      </c>
      <c r="K31" s="171">
        <f t="shared" si="46"/>
        <v>129384947</v>
      </c>
      <c r="L31" s="66">
        <f t="shared" si="46"/>
        <v>129384947</v>
      </c>
      <c r="M31" s="66">
        <f>L31-K31</f>
        <v>0</v>
      </c>
      <c r="N31" s="66"/>
      <c r="O31" s="66">
        <f t="shared" si="39"/>
        <v>129384947</v>
      </c>
      <c r="P31" s="66">
        <f t="shared" si="40"/>
        <v>-583284</v>
      </c>
      <c r="Q31" s="66">
        <f t="shared" si="41"/>
        <v>3855726</v>
      </c>
      <c r="R31" s="66">
        <f t="shared" si="42"/>
        <v>18585298</v>
      </c>
      <c r="S31" s="66">
        <f t="shared" ref="S31:T31" si="48">SUM(S29:S30)</f>
        <v>1962756</v>
      </c>
      <c r="T31" s="66">
        <f t="shared" si="48"/>
        <v>153205443</v>
      </c>
      <c r="V31" s="66">
        <f>'Settlement Exhibit 2 pgs 2-17'!J358</f>
        <v>92175</v>
      </c>
      <c r="W31" s="336">
        <f>V31/T31</f>
        <v>6.0164311525146008E-4</v>
      </c>
      <c r="X31" s="268">
        <v>4180562.8847739003</v>
      </c>
      <c r="Y31" s="57">
        <f t="shared" si="1"/>
        <v>4088387.8847739003</v>
      </c>
      <c r="AA31" s="799">
        <f t="shared" ref="AA31" si="49">T31*(1+$AB$10)</f>
        <v>153299293.60407057</v>
      </c>
      <c r="AB31" s="800">
        <f t="shared" ref="AB31" si="50">AA31-T31</f>
        <v>93850.604070574045</v>
      </c>
      <c r="AC31" s="820">
        <f>AK18*-1</f>
        <v>0</v>
      </c>
      <c r="AD31" s="820">
        <f>AL18*-1</f>
        <v>0</v>
      </c>
      <c r="AE31" s="800">
        <f>AB31+AC31+AD31</f>
        <v>93850.604070574045</v>
      </c>
      <c r="AF31" s="801">
        <f t="shared" ref="AF31" si="51">AE31/T31</f>
        <v>6.1258009005968567E-4</v>
      </c>
      <c r="AG31" s="801"/>
      <c r="AH31" s="778"/>
      <c r="AI31" s="778"/>
      <c r="AJ31" s="778"/>
      <c r="AK31" s="778"/>
      <c r="AL31" s="778"/>
      <c r="AM31" s="778"/>
      <c r="AN31" s="779">
        <f>AN19+AN21</f>
        <v>57192.1581277363</v>
      </c>
      <c r="AO31" s="790"/>
      <c r="AP31" s="787"/>
      <c r="AQ31" s="767"/>
      <c r="AR31" s="767"/>
      <c r="AS31" s="767"/>
      <c r="AT31" s="767"/>
      <c r="AU31" s="767"/>
      <c r="AV31" s="767"/>
      <c r="AW31" s="767"/>
      <c r="AX31" s="767"/>
      <c r="AY31" s="767"/>
      <c r="AZ31" s="767"/>
      <c r="BA31" s="788"/>
      <c r="BB31" s="767"/>
      <c r="BC31" s="767"/>
      <c r="BD31" s="767"/>
      <c r="BE31" s="767"/>
      <c r="BF31" s="767"/>
    </row>
    <row r="32" spans="1:58" ht="15.75">
      <c r="X32" s="268"/>
      <c r="Y32" s="57">
        <f t="shared" si="1"/>
        <v>0</v>
      </c>
      <c r="AA32" s="799"/>
      <c r="AB32" s="800"/>
      <c r="AC32" s="800"/>
      <c r="AD32" s="800"/>
      <c r="AE32" s="800"/>
      <c r="AF32" s="800"/>
      <c r="AG32" s="800"/>
      <c r="AH32" s="778"/>
      <c r="AI32" s="778"/>
      <c r="AJ32" s="778"/>
      <c r="AK32" s="778"/>
      <c r="AL32" s="778"/>
      <c r="AM32" s="778"/>
      <c r="AN32" s="778"/>
      <c r="AO32" s="790"/>
      <c r="AP32" s="767"/>
      <c r="AQ32" s="767"/>
      <c r="AR32" s="767"/>
      <c r="AS32" s="767"/>
      <c r="AT32" s="767"/>
      <c r="AU32" s="767"/>
      <c r="AV32" s="767"/>
      <c r="AW32" s="767"/>
      <c r="AX32" s="767"/>
      <c r="AY32" s="767"/>
      <c r="AZ32" s="767"/>
      <c r="BA32" s="767"/>
      <c r="BB32" s="767"/>
      <c r="BC32" s="767"/>
      <c r="BD32" s="767"/>
      <c r="BE32" s="767"/>
      <c r="BF32" s="767"/>
    </row>
    <row r="33" spans="1:58" ht="15.75">
      <c r="A33" s="58" t="s">
        <v>871</v>
      </c>
      <c r="B33" s="176" t="s">
        <v>15</v>
      </c>
      <c r="C33" s="170">
        <f>ROUND(SUMIF(L_12MonResults_RateClass,$B33,L_12MonResults_Revenue_Total),0)</f>
        <v>55631555</v>
      </c>
      <c r="D33" s="170">
        <f>ROUND(SUMIF(L_12MonResults_RateClass,$B33,L_12MonResults_Revenue_FAC),0)</f>
        <v>-258694</v>
      </c>
      <c r="E33" s="170">
        <f>ROUND(SUMIF(L_12MonResults_RateClass,$B33,L_12MonResults_Revenue_DSM),0)</f>
        <v>0</v>
      </c>
      <c r="F33" s="170">
        <f>ROUND(SUMIF(L_12MonResults_RateClass,$B33,L_12MonResults_Revenue_ECR),0)</f>
        <v>8051886</v>
      </c>
      <c r="G33" s="171">
        <f>C33-SUM(D33:F33)</f>
        <v>47838363</v>
      </c>
      <c r="H33" s="171">
        <f>'ECR in Base Rates'!$G$52*-1</f>
        <v>-541227</v>
      </c>
      <c r="I33" s="170">
        <v>0</v>
      </c>
      <c r="J33" s="171">
        <v>0</v>
      </c>
      <c r="K33" s="171">
        <f>SUM(G33:J33)</f>
        <v>47297136</v>
      </c>
      <c r="L33" s="66">
        <f>'Settlement Exhibit 2 pgs 2-17'!$G$385</f>
        <v>47297136</v>
      </c>
      <c r="M33" s="66">
        <f>L33-K33</f>
        <v>0</v>
      </c>
      <c r="N33" s="66"/>
      <c r="O33" s="66">
        <f t="shared" ref="O33" si="52">K33</f>
        <v>47297136</v>
      </c>
      <c r="P33" s="66">
        <f t="shared" ref="P33" si="53">D33</f>
        <v>-258694</v>
      </c>
      <c r="Q33" s="66">
        <f t="shared" ref="Q33" si="54">E33</f>
        <v>0</v>
      </c>
      <c r="R33" s="66">
        <f t="shared" ref="R33" si="55">F33</f>
        <v>8051886</v>
      </c>
      <c r="S33" s="66">
        <f t="shared" ref="S33" si="56">-H33</f>
        <v>541227</v>
      </c>
      <c r="T33" s="66">
        <f t="shared" ref="T33" si="57">SUM(O33:S33)</f>
        <v>55631555</v>
      </c>
      <c r="V33" s="66">
        <f>'Settlement Exhibit 2 pgs 2-17'!J394</f>
        <v>35966</v>
      </c>
      <c r="W33" s="336">
        <f>V33/T33</f>
        <v>6.465035895545253E-4</v>
      </c>
      <c r="X33" s="268">
        <f>T33*$X$61</f>
        <v>34078.78297206651</v>
      </c>
      <c r="Y33" s="57">
        <f t="shared" si="1"/>
        <v>-1887.2170279334896</v>
      </c>
      <c r="AA33" s="799">
        <f t="shared" ref="AA33" si="58">T33*(1+$AB$10)</f>
        <v>55665633.782972053</v>
      </c>
      <c r="AB33" s="800">
        <f t="shared" ref="AB33" si="59">AA33-T33</f>
        <v>34078.782972052693</v>
      </c>
      <c r="AC33" s="820">
        <f>AK20*-1</f>
        <v>0</v>
      </c>
      <c r="AD33" s="820">
        <f>AL20*-1</f>
        <v>0</v>
      </c>
      <c r="AE33" s="800">
        <f>AB33+AC33+AD33</f>
        <v>34078.782972052693</v>
      </c>
      <c r="AF33" s="801">
        <f t="shared" ref="AF33" si="60">AE33/T33</f>
        <v>6.1258009005954787E-4</v>
      </c>
      <c r="AG33" s="831">
        <f>AE35</f>
        <v>-516888</v>
      </c>
      <c r="AH33" s="778"/>
      <c r="AI33" s="778"/>
      <c r="AJ33" s="778"/>
      <c r="AK33" s="778"/>
      <c r="AL33" s="778"/>
      <c r="AM33" s="778"/>
      <c r="AN33" s="778"/>
      <c r="AO33" s="790"/>
      <c r="AP33" s="767"/>
      <c r="AQ33" s="767"/>
      <c r="AR33" s="767"/>
      <c r="AS33" s="767"/>
      <c r="AT33" s="767"/>
      <c r="AU33" s="767"/>
      <c r="AV33" s="767"/>
      <c r="AW33" s="767"/>
      <c r="AX33" s="767"/>
      <c r="AY33" s="767"/>
      <c r="AZ33" s="767"/>
      <c r="BA33" s="767"/>
      <c r="BB33" s="767"/>
      <c r="BC33" s="767"/>
      <c r="BD33" s="767"/>
      <c r="BE33" s="767"/>
      <c r="BF33" s="767"/>
    </row>
    <row r="34" spans="1:58" ht="15.75">
      <c r="X34" s="268"/>
      <c r="Y34" s="57">
        <f t="shared" si="1"/>
        <v>0</v>
      </c>
      <c r="AA34" s="799"/>
      <c r="AB34" s="800"/>
      <c r="AC34" s="800"/>
      <c r="AD34" s="800"/>
      <c r="AE34" s="800"/>
      <c r="AF34" s="800"/>
      <c r="AG34" s="800"/>
      <c r="AH34" s="778"/>
      <c r="AI34" s="778"/>
      <c r="AJ34" s="778"/>
      <c r="AK34" s="778"/>
      <c r="AL34" s="778"/>
      <c r="AM34" s="778"/>
      <c r="AN34" s="778"/>
      <c r="AO34" s="790"/>
      <c r="AP34" s="767"/>
      <c r="AQ34" s="767"/>
      <c r="AR34" s="767"/>
      <c r="AS34" s="767"/>
      <c r="AT34" s="767"/>
      <c r="AU34" s="767"/>
      <c r="AV34" s="767"/>
      <c r="AW34" s="767"/>
      <c r="AX34" s="767"/>
      <c r="AY34" s="767"/>
      <c r="AZ34" s="806"/>
      <c r="BA34" s="767"/>
      <c r="BB34" s="767"/>
      <c r="BC34" s="767"/>
      <c r="BD34" s="767"/>
      <c r="BE34" s="767"/>
      <c r="BF34" s="767"/>
    </row>
    <row r="35" spans="1:58" ht="15.75">
      <c r="A35" s="71" t="s">
        <v>1013</v>
      </c>
      <c r="B35" s="173" t="s">
        <v>1223</v>
      </c>
      <c r="C35" s="170">
        <f>ROUND(SUMIF(L_12MonResults_RateCategory,$B35,L_12MonResults_Revenue_Total),0)</f>
        <v>-3438312</v>
      </c>
      <c r="D35" s="170">
        <f>ROUND(SUMIF(L_12MonResults_RateCategory,$B35,L_12MonResults_Revenue_FAC),0)</f>
        <v>0</v>
      </c>
      <c r="E35" s="170">
        <f>ROUND(SUMIF(L_12MonResults_RateCategory,$B35,L_12MonResults_Revenue_DSM),0)</f>
        <v>0</v>
      </c>
      <c r="F35" s="170">
        <f>ROUND(SUMIF(L_12MonResults_RateCategory,$B35,L_12MonResults_Revenue_ECR),0)</f>
        <v>0</v>
      </c>
      <c r="G35" s="171">
        <f>C35-SUM(D35:F35)</f>
        <v>-3438312</v>
      </c>
      <c r="H35" s="171">
        <v>0</v>
      </c>
      <c r="I35" s="170">
        <v>0</v>
      </c>
      <c r="J35" s="171">
        <v>0</v>
      </c>
      <c r="K35" s="171">
        <f t="shared" ref="K35" si="61">SUM(G35:J35)</f>
        <v>-3438312</v>
      </c>
      <c r="L35" s="338">
        <v>0</v>
      </c>
      <c r="M35" s="66">
        <f>L35-K35</f>
        <v>3438312</v>
      </c>
      <c r="N35" s="338"/>
      <c r="O35" s="66">
        <f t="shared" ref="O35" si="62">K35</f>
        <v>-3438312</v>
      </c>
      <c r="P35" s="66">
        <f t="shared" ref="P35" si="63">D35</f>
        <v>0</v>
      </c>
      <c r="Q35" s="66">
        <f t="shared" ref="Q35" si="64">E35</f>
        <v>0</v>
      </c>
      <c r="R35" s="66">
        <f t="shared" ref="R35" si="65">F35</f>
        <v>0</v>
      </c>
      <c r="S35" s="66">
        <f t="shared" ref="S35" si="66">-H35</f>
        <v>0</v>
      </c>
      <c r="T35" s="66">
        <f t="shared" ref="T35" si="67">SUM(O35:S35)</f>
        <v>-3438312</v>
      </c>
      <c r="U35" s="338"/>
      <c r="V35" s="829">
        <v>-516888</v>
      </c>
      <c r="W35" s="336"/>
      <c r="X35" s="708">
        <v>0</v>
      </c>
      <c r="Y35" s="57">
        <f t="shared" si="1"/>
        <v>516888</v>
      </c>
      <c r="AA35" s="799">
        <f>T35*(1+$AB$10)</f>
        <v>-3440418.2414746131</v>
      </c>
      <c r="AB35" s="820">
        <v>0</v>
      </c>
      <c r="AC35" s="800">
        <v>0</v>
      </c>
      <c r="AD35" s="800">
        <f>V35</f>
        <v>-516888</v>
      </c>
      <c r="AE35" s="800">
        <f>AB35+AC35+AD35</f>
        <v>-516888</v>
      </c>
      <c r="AF35" s="801">
        <f>AE35/Q31</f>
        <v>-0.13405724369418368</v>
      </c>
      <c r="AG35" s="804"/>
      <c r="AH35" s="778"/>
      <c r="AI35" s="778"/>
      <c r="AJ35" s="778"/>
      <c r="AK35" s="778"/>
      <c r="AL35" s="778"/>
      <c r="AM35" s="778"/>
      <c r="AN35" s="778"/>
      <c r="AO35" s="790"/>
      <c r="AP35" s="767"/>
      <c r="AQ35" s="806"/>
      <c r="AR35" s="806"/>
      <c r="AS35" s="806"/>
      <c r="AT35" s="806"/>
      <c r="AU35" s="806"/>
      <c r="AV35" s="806"/>
      <c r="AW35" s="806"/>
      <c r="AX35" s="806"/>
      <c r="AY35" s="806"/>
      <c r="AZ35" s="806"/>
      <c r="BA35" s="767"/>
      <c r="BB35" s="767"/>
      <c r="BC35" s="767"/>
      <c r="BD35" s="767"/>
      <c r="BE35" s="767"/>
      <c r="BF35" s="767"/>
    </row>
    <row r="36" spans="1:58" s="338" customFormat="1" ht="15.75">
      <c r="A36" s="73"/>
      <c r="B36" s="73"/>
      <c r="I36" s="731"/>
      <c r="X36" s="709"/>
      <c r="Y36" s="57">
        <f t="shared" si="1"/>
        <v>0</v>
      </c>
      <c r="Z36" s="57"/>
      <c r="AA36" s="799"/>
      <c r="AB36" s="800"/>
      <c r="AC36" s="800"/>
      <c r="AD36" s="800"/>
      <c r="AE36" s="800"/>
      <c r="AF36" s="801"/>
      <c r="AG36" s="801"/>
      <c r="AH36" s="778"/>
      <c r="AI36" s="778"/>
      <c r="AJ36" s="778"/>
      <c r="AK36" s="778"/>
      <c r="AL36" s="778"/>
      <c r="AM36" s="778"/>
      <c r="AN36" s="778"/>
      <c r="AO36" s="790"/>
      <c r="AP36" s="767"/>
      <c r="AQ36" s="806"/>
      <c r="AR36" s="806"/>
      <c r="AS36" s="806"/>
      <c r="AT36" s="806"/>
      <c r="AU36" s="806"/>
      <c r="AV36" s="806"/>
      <c r="AW36" s="806"/>
      <c r="AX36" s="806"/>
      <c r="AY36" s="806"/>
      <c r="AZ36" s="806"/>
      <c r="BA36" s="767"/>
      <c r="BB36" s="767"/>
      <c r="BC36" s="767"/>
      <c r="BD36" s="767"/>
      <c r="BE36" s="767"/>
      <c r="BF36" s="767"/>
    </row>
    <row r="37" spans="1:58" ht="15.75">
      <c r="A37" s="59" t="s">
        <v>1022</v>
      </c>
      <c r="B37" s="164" t="s">
        <v>412</v>
      </c>
      <c r="C37" s="170">
        <f>ROUND(SUMIF(L_12MonResults_RateClass,$B37,L_12MonResults_Revenue_Total),0)</f>
        <v>7240873</v>
      </c>
      <c r="D37" s="170">
        <f>ROUND(SUMIF(L_12MonResults_RateClass,$B37,L_12MonResults_Revenue_FAC),0)</f>
        <v>-44645</v>
      </c>
      <c r="E37" s="170">
        <f>ROUND(SUMIF(L_12MonResults_RateClass,$B37,L_12MonResults_Revenue_DSM),0)</f>
        <v>0</v>
      </c>
      <c r="F37" s="170">
        <f>ROUND(SUMIF(L_12MonResults_RateClass,$B37,L_12MonResults_Revenue_ECR),0)</f>
        <v>990192</v>
      </c>
      <c r="G37" s="171">
        <f>C37-SUM(D37:F37)</f>
        <v>6295326</v>
      </c>
      <c r="H37" s="171">
        <f>'ECR in Base Rates'!$G$58*-1</f>
        <v>-62269</v>
      </c>
      <c r="I37" s="170">
        <v>0</v>
      </c>
      <c r="J37" s="171">
        <f>'Settlement Exhibit 2 pgs 2-17'!$G$460</f>
        <v>-148648</v>
      </c>
      <c r="K37" s="171">
        <f>SUM(G37:J37)</f>
        <v>6084409</v>
      </c>
      <c r="L37" s="66">
        <f>'Settlement Exhibit 2 pgs 2-17'!$G$462</f>
        <v>6084409</v>
      </c>
      <c r="M37" s="66">
        <f>L37-K37</f>
        <v>0</v>
      </c>
      <c r="N37" s="66"/>
      <c r="O37" s="66">
        <f t="shared" ref="O37:O38" si="68">K37</f>
        <v>6084409</v>
      </c>
      <c r="P37" s="66">
        <f t="shared" ref="P37:P38" si="69">D37</f>
        <v>-44645</v>
      </c>
      <c r="Q37" s="66">
        <f t="shared" ref="Q37:Q38" si="70">E37</f>
        <v>0</v>
      </c>
      <c r="R37" s="66">
        <f t="shared" ref="R37:R38" si="71">F37</f>
        <v>990192</v>
      </c>
      <c r="S37" s="66">
        <f t="shared" ref="S37:S38" si="72">-H37</f>
        <v>62269</v>
      </c>
      <c r="T37" s="66">
        <f t="shared" ref="T37:T38" si="73">SUM(O37:S37)</f>
        <v>7092225</v>
      </c>
      <c r="V37" s="66">
        <f>'Settlement Exhibit 2 pgs 2-17'!J471</f>
        <v>5240.7879999997094</v>
      </c>
      <c r="W37" s="336">
        <f>V37/T37</f>
        <v>7.3894835541733512E-4</v>
      </c>
      <c r="X37" s="268">
        <f>T37*$X$61</f>
        <v>4344.5558292243386</v>
      </c>
      <c r="Y37" s="57">
        <f t="shared" si="1"/>
        <v>-896.23217077537083</v>
      </c>
      <c r="AA37" s="799">
        <f t="shared" ref="AA37:AA38" si="74">T37*(1+$AB$10)</f>
        <v>7096569.5558292232</v>
      </c>
      <c r="AB37" s="800">
        <f t="shared" ref="AB37:AB38" si="75">AA37-T37</f>
        <v>4344.5558292232454</v>
      </c>
      <c r="AC37" s="820">
        <f>AK21*-1</f>
        <v>0</v>
      </c>
      <c r="AD37" s="820">
        <f>AL21*-1</f>
        <v>0</v>
      </c>
      <c r="AE37" s="800">
        <f>AB37+AC37+AD37</f>
        <v>4344.5558292232454</v>
      </c>
      <c r="AF37" s="801">
        <f t="shared" ref="AF37:AF38" si="76">AE37/T37</f>
        <v>6.1258009005964208E-4</v>
      </c>
      <c r="AG37" s="800"/>
      <c r="AH37" s="778"/>
      <c r="AI37" s="778"/>
      <c r="AJ37" s="778"/>
      <c r="AK37" s="778"/>
      <c r="AL37" s="778"/>
      <c r="AM37" s="778"/>
      <c r="AN37" s="778"/>
      <c r="AO37" s="790"/>
      <c r="AP37" s="767"/>
      <c r="AQ37" s="806"/>
      <c r="AR37" s="806"/>
      <c r="AS37" s="806"/>
      <c r="AT37" s="806"/>
      <c r="AU37" s="806"/>
      <c r="AV37" s="806"/>
      <c r="AW37" s="806"/>
      <c r="AX37" s="806"/>
      <c r="AY37" s="806"/>
      <c r="AZ37" s="806"/>
      <c r="BA37" s="767"/>
      <c r="BB37" s="767"/>
      <c r="BC37" s="767"/>
      <c r="BD37" s="767"/>
      <c r="BE37" s="767"/>
      <c r="BF37" s="767"/>
    </row>
    <row r="38" spans="1:58" ht="15.75">
      <c r="A38" s="59" t="s">
        <v>1023</v>
      </c>
      <c r="B38" s="164" t="s">
        <v>425</v>
      </c>
      <c r="C38" s="177">
        <f>ROUND(SUMIF(L_12MonResults_RateClass,$B38,L_12MonResults_Revenue_Total),0)</f>
        <v>3797587</v>
      </c>
      <c r="D38" s="177">
        <f>ROUND(SUMIF(L_12MonResults_RateClass,$B38,L_12MonResults_Revenue_FAC),0)</f>
        <v>-23805</v>
      </c>
      <c r="E38" s="177">
        <f>ROUND(SUMIF(L_12MonResults_RateClass,$B38,L_12MonResults_Revenue_DSM),0)</f>
        <v>0</v>
      </c>
      <c r="F38" s="177">
        <f>ROUND(SUMIF(L_12MonResults_RateClass,$B38,L_12MonResults_Revenue_ECR),0)</f>
        <v>522424</v>
      </c>
      <c r="G38" s="171">
        <f>C38-SUM(D38:F38)</f>
        <v>3298968</v>
      </c>
      <c r="H38" s="171">
        <f>'ECR in Base Rates'!$G$62*-1</f>
        <v>-17469</v>
      </c>
      <c r="I38" s="170">
        <v>0</v>
      </c>
      <c r="J38" s="171">
        <v>0</v>
      </c>
      <c r="K38" s="171">
        <f>SUM(G38:J38)</f>
        <v>3281499</v>
      </c>
      <c r="L38" s="66">
        <f>'Settlement Exhibit 2 pgs 2-17'!$G$498</f>
        <v>3281499</v>
      </c>
      <c r="M38" s="66">
        <f>L38-K38</f>
        <v>0</v>
      </c>
      <c r="N38" s="66"/>
      <c r="O38" s="66">
        <f t="shared" si="68"/>
        <v>3281499</v>
      </c>
      <c r="P38" s="66">
        <f t="shared" si="69"/>
        <v>-23805</v>
      </c>
      <c r="Q38" s="66">
        <f t="shared" si="70"/>
        <v>0</v>
      </c>
      <c r="R38" s="66">
        <f t="shared" si="71"/>
        <v>522424</v>
      </c>
      <c r="S38" s="66">
        <f t="shared" si="72"/>
        <v>17469</v>
      </c>
      <c r="T38" s="66">
        <f t="shared" si="73"/>
        <v>3797587</v>
      </c>
      <c r="V38" s="66">
        <f>'Settlement Exhibit 2 pgs 2-17'!J507</f>
        <v>1981</v>
      </c>
      <c r="W38" s="336">
        <f>V38/T38</f>
        <v>5.2164703534112583E-4</v>
      </c>
      <c r="X38" s="268">
        <f>T38*$X$61</f>
        <v>2326.3261864699116</v>
      </c>
      <c r="Y38" s="57">
        <f t="shared" si="1"/>
        <v>345.32618646991159</v>
      </c>
      <c r="AA38" s="799">
        <f t="shared" si="74"/>
        <v>3799913.3261864693</v>
      </c>
      <c r="AB38" s="800">
        <f t="shared" si="75"/>
        <v>2326.3261864692904</v>
      </c>
      <c r="AC38" s="820">
        <f>AK22*-1</f>
        <v>0</v>
      </c>
      <c r="AD38" s="820">
        <f>AL22*-1</f>
        <v>0</v>
      </c>
      <c r="AE38" s="800">
        <f>AB38+AC38+AD38</f>
        <v>2326.3261864692904</v>
      </c>
      <c r="AF38" s="801">
        <f t="shared" si="76"/>
        <v>6.1258009005963276E-4</v>
      </c>
      <c r="AG38" s="800"/>
      <c r="AH38" s="778"/>
      <c r="AI38" s="778"/>
      <c r="AJ38" s="778"/>
      <c r="AK38" s="778"/>
      <c r="AL38" s="778"/>
      <c r="AM38" s="778"/>
      <c r="AN38" s="778"/>
      <c r="AO38" s="790"/>
      <c r="AP38" s="806"/>
      <c r="AQ38" s="806"/>
      <c r="AR38" s="806"/>
      <c r="AS38" s="806"/>
      <c r="AT38" s="806"/>
      <c r="AU38" s="806"/>
      <c r="AV38" s="806"/>
      <c r="AW38" s="806"/>
      <c r="AX38" s="806"/>
      <c r="AY38" s="806"/>
      <c r="AZ38" s="767"/>
      <c r="BA38" s="806"/>
      <c r="BB38" s="806"/>
      <c r="BC38" s="806"/>
      <c r="BD38" s="767"/>
      <c r="BE38" s="767"/>
      <c r="BF38" s="767"/>
    </row>
    <row r="39" spans="1:58" ht="15.75">
      <c r="C39" s="171"/>
      <c r="D39" s="171"/>
      <c r="E39" s="171"/>
      <c r="F39" s="171"/>
      <c r="G39" s="171"/>
      <c r="H39" s="171"/>
      <c r="I39" s="170"/>
      <c r="J39" s="171"/>
      <c r="K39" s="171"/>
      <c r="L39" s="66"/>
      <c r="M39" s="66"/>
      <c r="N39" s="66"/>
      <c r="O39" s="66"/>
      <c r="P39" s="66"/>
      <c r="Q39" s="66"/>
      <c r="R39" s="66"/>
      <c r="S39" s="66"/>
      <c r="T39" s="66"/>
      <c r="V39" s="66"/>
      <c r="W39" s="336"/>
      <c r="X39" s="709"/>
      <c r="Y39" s="57">
        <f t="shared" si="1"/>
        <v>0</v>
      </c>
      <c r="AA39" s="799"/>
      <c r="AB39" s="800"/>
      <c r="AC39" s="800"/>
      <c r="AD39" s="800"/>
      <c r="AE39" s="800"/>
      <c r="AF39" s="800"/>
      <c r="AG39" s="800"/>
      <c r="AH39" s="778"/>
      <c r="AI39" s="778"/>
      <c r="AJ39" s="778"/>
      <c r="AK39" s="778"/>
      <c r="AL39" s="778"/>
      <c r="AM39" s="778"/>
      <c r="AN39" s="778"/>
      <c r="AO39" s="790"/>
      <c r="AP39" s="806"/>
      <c r="AQ39" s="767"/>
      <c r="AR39" s="767"/>
      <c r="AS39" s="767"/>
      <c r="AT39" s="767"/>
      <c r="AU39" s="767"/>
      <c r="AV39" s="767"/>
      <c r="AW39" s="767"/>
      <c r="AX39" s="767"/>
      <c r="AY39" s="767"/>
      <c r="AZ39" s="767"/>
      <c r="BA39" s="806"/>
      <c r="BB39" s="806"/>
      <c r="BC39" s="806"/>
      <c r="BD39" s="806"/>
      <c r="BE39" s="806"/>
      <c r="BF39" s="806"/>
    </row>
    <row r="40" spans="1:58" s="338" customFormat="1" ht="15.75">
      <c r="A40" s="59" t="s">
        <v>872</v>
      </c>
      <c r="B40" s="59"/>
      <c r="C40" s="170">
        <f>ROUND(Lighting!$B$23,0)</f>
        <v>252419</v>
      </c>
      <c r="D40" s="170">
        <f>ROUND(Lighting!$C$23,0)</f>
        <v>-1707</v>
      </c>
      <c r="E40" s="170">
        <v>0</v>
      </c>
      <c r="F40" s="170">
        <f>ROUND(Lighting!$D$23,0)</f>
        <v>31691</v>
      </c>
      <c r="G40" s="171">
        <f>C40-SUM(D40:F40)</f>
        <v>222435</v>
      </c>
      <c r="H40" s="171">
        <v>0</v>
      </c>
      <c r="I40" s="170">
        <v>0</v>
      </c>
      <c r="J40" s="171">
        <v>0</v>
      </c>
      <c r="K40" s="171">
        <f>SUM(G40:J40)</f>
        <v>222435</v>
      </c>
      <c r="L40" s="66">
        <f>'Settlement Exhibit 2 pgs 2-17'!$G$531</f>
        <v>222435</v>
      </c>
      <c r="M40" s="66">
        <f>L40-K40</f>
        <v>0</v>
      </c>
      <c r="N40" s="66"/>
      <c r="O40" s="66">
        <f t="shared" ref="O40:O41" si="77">K40</f>
        <v>222435</v>
      </c>
      <c r="P40" s="66">
        <f t="shared" ref="P40:P41" si="78">D40</f>
        <v>-1707</v>
      </c>
      <c r="Q40" s="66">
        <f t="shared" ref="Q40:Q41" si="79">E40</f>
        <v>0</v>
      </c>
      <c r="R40" s="66">
        <f t="shared" ref="R40:R41" si="80">F40</f>
        <v>31691</v>
      </c>
      <c r="S40" s="66">
        <f t="shared" ref="S40:S41" si="81">-H40</f>
        <v>0</v>
      </c>
      <c r="T40" s="66">
        <f t="shared" ref="T40:T41" si="82">SUM(O40:S40)</f>
        <v>252419</v>
      </c>
      <c r="U40" s="57"/>
      <c r="V40" s="66">
        <f>'Settlement Exhibit 2 pgs 2-17'!J540</f>
        <v>138</v>
      </c>
      <c r="W40" s="336">
        <f>V40/T40</f>
        <v>5.467100337137854E-4</v>
      </c>
      <c r="X40" s="268">
        <f>T40*$X$61</f>
        <v>154.6268537528037</v>
      </c>
      <c r="Y40" s="57">
        <f t="shared" si="1"/>
        <v>16.626853752803697</v>
      </c>
      <c r="Z40" s="57"/>
      <c r="AA40" s="799">
        <f t="shared" ref="AA40:AA43" si="83">T40*(1+$AB$10)</f>
        <v>252573.62685375276</v>
      </c>
      <c r="AB40" s="800">
        <f t="shared" ref="AB40:AB43" si="84">AA40-T40</f>
        <v>154.62685375276487</v>
      </c>
      <c r="AC40" s="820">
        <f>AK24*-1</f>
        <v>0</v>
      </c>
      <c r="AD40" s="820">
        <f>AL24*-1</f>
        <v>0</v>
      </c>
      <c r="AE40" s="800">
        <f>AB40+AC40+AD40</f>
        <v>154.62685375276487</v>
      </c>
      <c r="AF40" s="801">
        <f t="shared" ref="AF40:AF41" si="85">AE40/T40</f>
        <v>6.1258009005964241E-4</v>
      </c>
      <c r="AG40" s="801"/>
      <c r="AH40" s="778"/>
      <c r="AI40" s="778"/>
      <c r="AJ40" s="778"/>
      <c r="AK40" s="778"/>
      <c r="AL40" s="778"/>
      <c r="AM40" s="778"/>
      <c r="AN40" s="778"/>
      <c r="AO40" s="790"/>
      <c r="AP40" s="806"/>
      <c r="AQ40" s="767"/>
      <c r="AR40" s="767"/>
      <c r="AS40" s="767"/>
      <c r="AT40" s="767"/>
      <c r="AU40" s="767"/>
      <c r="AV40" s="767"/>
      <c r="AW40" s="767"/>
      <c r="AX40" s="767"/>
      <c r="AY40" s="767"/>
      <c r="AZ40" s="767"/>
      <c r="BA40" s="806"/>
      <c r="BB40" s="806"/>
      <c r="BC40" s="806"/>
      <c r="BD40" s="806"/>
      <c r="BE40" s="806"/>
      <c r="BF40" s="806"/>
    </row>
    <row r="41" spans="1:58" s="338" customFormat="1" ht="15.75">
      <c r="A41" s="59" t="s">
        <v>873</v>
      </c>
      <c r="B41" s="59"/>
      <c r="C41" s="170">
        <f>'Settlement Exhibit 2 pgs 2-17'!G573</f>
        <v>300152</v>
      </c>
      <c r="D41" s="170">
        <f>ROUND(Lighting!$C$24,0)</f>
        <v>-1270</v>
      </c>
      <c r="E41" s="170">
        <v>0</v>
      </c>
      <c r="F41" s="170">
        <f>ROUND(Lighting!$D$24,0)</f>
        <v>28445</v>
      </c>
      <c r="G41" s="171">
        <f>C41-SUM(D41:F41)</f>
        <v>272977</v>
      </c>
      <c r="H41" s="171">
        <v>0</v>
      </c>
      <c r="I41" s="170">
        <v>0</v>
      </c>
      <c r="J41" s="171">
        <v>0</v>
      </c>
      <c r="K41" s="171">
        <f>SUM(G41:J41)</f>
        <v>272977</v>
      </c>
      <c r="L41" s="66">
        <f>'Settlement Exhibit 2 pgs 2-17'!$G$566</f>
        <v>272977</v>
      </c>
      <c r="M41" s="66">
        <f>L41-K41</f>
        <v>0</v>
      </c>
      <c r="N41" s="66"/>
      <c r="O41" s="66">
        <f t="shared" si="77"/>
        <v>272977</v>
      </c>
      <c r="P41" s="66">
        <f t="shared" si="78"/>
        <v>-1270</v>
      </c>
      <c r="Q41" s="66">
        <f t="shared" si="79"/>
        <v>0</v>
      </c>
      <c r="R41" s="66">
        <f t="shared" si="80"/>
        <v>28445</v>
      </c>
      <c r="S41" s="66">
        <f t="shared" si="81"/>
        <v>0</v>
      </c>
      <c r="T41" s="66">
        <f t="shared" si="82"/>
        <v>300152</v>
      </c>
      <c r="U41" s="57"/>
      <c r="V41" s="66">
        <f>'Settlement Exhibit 2 pgs 2-17'!J575</f>
        <v>200</v>
      </c>
      <c r="W41" s="336">
        <f>V41/T41</f>
        <v>6.6632905994296228E-4</v>
      </c>
      <c r="X41" s="268">
        <f>T41*$X$61</f>
        <v>183.86713919162796</v>
      </c>
      <c r="Y41" s="57">
        <f t="shared" si="1"/>
        <v>-16.132860808372044</v>
      </c>
      <c r="Z41" s="57"/>
      <c r="AA41" s="799">
        <f t="shared" si="83"/>
        <v>300335.86713919154</v>
      </c>
      <c r="AB41" s="800">
        <f t="shared" si="84"/>
        <v>183.86713919154136</v>
      </c>
      <c r="AC41" s="820">
        <f>AK25*-1</f>
        <v>0</v>
      </c>
      <c r="AD41" s="820">
        <f>AL25*-1</f>
        <v>0</v>
      </c>
      <c r="AE41" s="800">
        <f>AB41+AC41+AD41</f>
        <v>183.86713919154136</v>
      </c>
      <c r="AF41" s="801">
        <f t="shared" si="85"/>
        <v>6.1258009005950775E-4</v>
      </c>
      <c r="AG41" s="801"/>
      <c r="AH41" s="778"/>
      <c r="AI41" s="778"/>
      <c r="AJ41" s="778"/>
      <c r="AK41" s="778"/>
      <c r="AL41" s="778"/>
      <c r="AM41" s="778"/>
      <c r="AN41" s="778"/>
      <c r="AO41" s="790"/>
      <c r="AP41" s="806"/>
      <c r="AQ41" s="767"/>
      <c r="AR41" s="767"/>
      <c r="AS41" s="767"/>
      <c r="AT41" s="767"/>
      <c r="AU41" s="767"/>
      <c r="AV41" s="767"/>
      <c r="AW41" s="767"/>
      <c r="AX41" s="767"/>
      <c r="AY41" s="767"/>
      <c r="AZ41" s="767"/>
      <c r="BA41" s="806"/>
      <c r="BB41" s="806"/>
      <c r="BC41" s="806"/>
      <c r="BD41" s="806"/>
      <c r="BE41" s="806"/>
      <c r="BF41" s="806"/>
    </row>
    <row r="42" spans="1:58" s="338" customFormat="1" ht="15.75">
      <c r="A42" s="58"/>
      <c r="B42" s="58"/>
      <c r="C42" s="57"/>
      <c r="D42" s="57"/>
      <c r="E42" s="57"/>
      <c r="F42" s="57"/>
      <c r="G42" s="57"/>
      <c r="H42" s="57"/>
      <c r="I42" s="58"/>
      <c r="J42" s="57"/>
      <c r="K42" s="57"/>
      <c r="L42" s="57"/>
      <c r="M42" s="57"/>
      <c r="N42" s="57"/>
      <c r="O42" s="57"/>
      <c r="P42" s="57"/>
      <c r="Q42" s="57"/>
      <c r="R42" s="57"/>
      <c r="S42" s="57"/>
      <c r="T42" s="57"/>
      <c r="U42" s="57"/>
      <c r="V42" s="57"/>
      <c r="W42" s="336"/>
      <c r="X42" s="268"/>
      <c r="Y42" s="57">
        <f t="shared" si="1"/>
        <v>0</v>
      </c>
      <c r="Z42" s="57"/>
      <c r="AA42" s="799"/>
      <c r="AB42" s="800"/>
      <c r="AC42" s="800"/>
      <c r="AD42" s="800"/>
      <c r="AE42" s="800"/>
      <c r="AF42" s="801"/>
      <c r="AG42" s="801"/>
      <c r="AH42" s="778"/>
      <c r="AI42" s="778"/>
      <c r="AJ42" s="778"/>
      <c r="AK42" s="778"/>
      <c r="AL42" s="778"/>
      <c r="AM42" s="778"/>
      <c r="AN42" s="778"/>
      <c r="AO42" s="790"/>
      <c r="AP42" s="767"/>
      <c r="AQ42" s="767"/>
      <c r="AR42" s="767"/>
      <c r="AS42" s="767"/>
      <c r="AT42" s="767"/>
      <c r="AU42" s="767"/>
      <c r="AV42" s="767"/>
      <c r="AW42" s="767"/>
      <c r="AX42" s="767"/>
      <c r="AY42" s="767"/>
      <c r="AZ42" s="767"/>
      <c r="BA42" s="767"/>
      <c r="BB42" s="767"/>
      <c r="BC42" s="767"/>
      <c r="BD42" s="806"/>
      <c r="BE42" s="806"/>
      <c r="BF42" s="806"/>
    </row>
    <row r="43" spans="1:58" ht="15.75">
      <c r="A43" s="58" t="s">
        <v>1490</v>
      </c>
      <c r="C43" s="341">
        <f>ROUND(Lighting!$B$25,0)</f>
        <v>18994751</v>
      </c>
      <c r="D43" s="341">
        <f>ROUND(Lighting!$C$25,0)-1</f>
        <v>-101414</v>
      </c>
      <c r="E43" s="341">
        <v>0</v>
      </c>
      <c r="F43" s="341">
        <f>ROUND(Lighting!D$25,0)</f>
        <v>1080586</v>
      </c>
      <c r="G43" s="341">
        <f>C43-SUM(D43:F43)</f>
        <v>18015579</v>
      </c>
      <c r="H43" s="341">
        <v>0</v>
      </c>
      <c r="I43" s="761">
        <v>0</v>
      </c>
      <c r="J43" s="341">
        <v>0</v>
      </c>
      <c r="K43" s="341">
        <f>G43+J43</f>
        <v>18015579</v>
      </c>
      <c r="L43" s="341">
        <f>'Settlement Exhibit 2 pgs 18-24'!$G$204</f>
        <v>18015579</v>
      </c>
      <c r="M43" s="341">
        <f>L43-K43</f>
        <v>0</v>
      </c>
      <c r="N43" s="341"/>
      <c r="O43" s="341">
        <f t="shared" ref="O43" si="86">K43</f>
        <v>18015579</v>
      </c>
      <c r="P43" s="341">
        <f t="shared" ref="P43" si="87">D43</f>
        <v>-101414</v>
      </c>
      <c r="Q43" s="341">
        <f t="shared" ref="Q43" si="88">E43</f>
        <v>0</v>
      </c>
      <c r="R43" s="341">
        <f t="shared" ref="R43" si="89">F43</f>
        <v>1080586</v>
      </c>
      <c r="S43" s="341">
        <f t="shared" ref="S43" si="90">-H43</f>
        <v>0</v>
      </c>
      <c r="T43" s="341">
        <f t="shared" ref="T43" si="91">SUM(O43:S43)</f>
        <v>18994751</v>
      </c>
      <c r="U43" s="341"/>
      <c r="V43" s="66">
        <f>'Settlement Exhibit 2 pgs 18-24'!I213</f>
        <v>10639</v>
      </c>
      <c r="W43" s="336">
        <f>V43/T43</f>
        <v>5.6010210399704637E-4</v>
      </c>
      <c r="X43" s="709">
        <f>T43*$X$61</f>
        <v>11635.806278243404</v>
      </c>
      <c r="Y43" s="57">
        <f t="shared" si="1"/>
        <v>996.80627824340445</v>
      </c>
      <c r="AA43" s="799">
        <f t="shared" si="83"/>
        <v>19006386.80627824</v>
      </c>
      <c r="AB43" s="800">
        <f t="shared" si="84"/>
        <v>11635.806278239936</v>
      </c>
      <c r="AC43" s="820">
        <f>AK23*-1</f>
        <v>0</v>
      </c>
      <c r="AD43" s="820">
        <f>AL23*-1</f>
        <v>0</v>
      </c>
      <c r="AE43" s="800">
        <f>AB43+AC43+AD43</f>
        <v>11635.806278239936</v>
      </c>
      <c r="AF43" s="801">
        <f t="shared" ref="AF43" si="92">AE43/T43</f>
        <v>6.1258009005961357E-4</v>
      </c>
      <c r="AG43" s="805"/>
      <c r="AH43" s="808"/>
      <c r="AI43" s="808"/>
      <c r="AJ43" s="778"/>
      <c r="AK43" s="808"/>
      <c r="AL43" s="808"/>
      <c r="AM43" s="808"/>
      <c r="AN43" s="808"/>
      <c r="AO43" s="809"/>
      <c r="AP43" s="767"/>
      <c r="AQ43" s="767"/>
      <c r="AR43" s="767"/>
      <c r="AS43" s="767"/>
      <c r="AT43" s="767"/>
      <c r="AU43" s="767"/>
      <c r="AV43" s="767"/>
      <c r="AW43" s="767"/>
      <c r="AX43" s="767"/>
      <c r="AY43" s="767"/>
      <c r="AZ43" s="767"/>
      <c r="BA43" s="767"/>
      <c r="BB43" s="767"/>
      <c r="BC43" s="767"/>
      <c r="BD43" s="767"/>
      <c r="BE43" s="767"/>
      <c r="BF43" s="767"/>
    </row>
    <row r="44" spans="1:58" ht="15.75">
      <c r="Y44" s="57">
        <f t="shared" si="1"/>
        <v>0</v>
      </c>
      <c r="AA44" s="807"/>
      <c r="AB44" s="805"/>
      <c r="AC44" s="805"/>
      <c r="AD44" s="805"/>
      <c r="AE44" s="805"/>
      <c r="AF44" s="805"/>
      <c r="AG44" s="805"/>
      <c r="AH44" s="808"/>
      <c r="AI44" s="808"/>
      <c r="AJ44" s="808"/>
      <c r="AK44" s="808"/>
      <c r="AL44" s="808"/>
      <c r="AM44" s="808"/>
      <c r="AN44" s="808"/>
      <c r="AO44" s="809"/>
      <c r="AP44" s="767"/>
      <c r="AQ44" s="767"/>
      <c r="AR44" s="767"/>
      <c r="AS44" s="767"/>
      <c r="AT44" s="767"/>
      <c r="AU44" s="767"/>
      <c r="AV44" s="767"/>
      <c r="AW44" s="767"/>
      <c r="AX44" s="767"/>
      <c r="AY44" s="767"/>
      <c r="AZ44" s="767"/>
      <c r="BA44" s="767"/>
      <c r="BB44" s="767"/>
      <c r="BC44" s="767"/>
      <c r="BD44" s="767"/>
      <c r="BE44" s="767"/>
      <c r="BF44" s="767"/>
    </row>
    <row r="45" spans="1:58" ht="17.25">
      <c r="A45" s="56" t="s">
        <v>874</v>
      </c>
      <c r="B45" s="56"/>
      <c r="C45" s="340">
        <f>C43+C41++C40+C38+C37+C35+C33+C31+C26+C24+C19+C14+C13+C12</f>
        <v>1106586595.6037636</v>
      </c>
      <c r="D45" s="340">
        <f t="shared" ref="D45:M45" si="93">D43+D41++D40+D38+D37+D35+D33+D31+D26+D24+D19+D14+D13+D12</f>
        <v>-3033258</v>
      </c>
      <c r="E45" s="340">
        <f t="shared" si="93"/>
        <v>20379920</v>
      </c>
      <c r="F45" s="340">
        <f t="shared" si="93"/>
        <v>108152567</v>
      </c>
      <c r="G45" s="340">
        <f t="shared" si="93"/>
        <v>981087366.60376346</v>
      </c>
      <c r="H45" s="340">
        <f t="shared" si="93"/>
        <v>-14316214</v>
      </c>
      <c r="I45" s="747">
        <f t="shared" si="93"/>
        <v>21060</v>
      </c>
      <c r="J45" s="340">
        <f t="shared" si="93"/>
        <v>-148648</v>
      </c>
      <c r="K45" s="340">
        <f t="shared" si="93"/>
        <v>966643564.60376346</v>
      </c>
      <c r="L45" s="340">
        <f t="shared" si="93"/>
        <v>970081877</v>
      </c>
      <c r="M45" s="340">
        <f t="shared" si="93"/>
        <v>3438312.3962365901</v>
      </c>
      <c r="N45" s="341"/>
      <c r="O45" s="340">
        <f t="shared" ref="O45:S45" si="94">O43+O41++O40+O38+O37+O35+O33+O31+O26+O24+O19+O14+O13+O12</f>
        <v>966643564.60376346</v>
      </c>
      <c r="P45" s="340">
        <f t="shared" si="94"/>
        <v>-3033258</v>
      </c>
      <c r="Q45" s="340">
        <f t="shared" si="94"/>
        <v>20379920</v>
      </c>
      <c r="R45" s="340">
        <f t="shared" si="94"/>
        <v>108152567</v>
      </c>
      <c r="S45" s="340">
        <f t="shared" si="94"/>
        <v>14316214</v>
      </c>
      <c r="T45" s="340">
        <f>T43+T41++T40+T38+T37+T35+T33+T31+T26+T24+T19+T14+T13+T12</f>
        <v>1106459007.6037636</v>
      </c>
      <c r="U45" s="340"/>
      <c r="V45" s="340">
        <f>V43+V41++V40+V38+V37+V35+V33+V31+V26+V24+V19+V14+V13+V12</f>
        <v>159085.78799999971</v>
      </c>
      <c r="W45" s="342">
        <f>V45/T45</f>
        <v>1.4377919733739495E-4</v>
      </c>
      <c r="X45" s="57">
        <f>X12+X13+X19+X24+X26+X31+X33+X37+X38+X40+X41+X43</f>
        <v>14057271.194279341</v>
      </c>
      <c r="Y45" s="57">
        <f t="shared" si="1"/>
        <v>13898185.40627934</v>
      </c>
      <c r="AA45" s="807">
        <f>SUM(AA12:AA43)</f>
        <v>1107136802.3622882</v>
      </c>
      <c r="AB45" s="805">
        <f>SUM(AB12:AB43)</f>
        <v>679900.99999975529</v>
      </c>
      <c r="AC45" s="805">
        <f t="shared" ref="AC45:AE45" si="95">SUM(AC12:AC43)</f>
        <v>0</v>
      </c>
      <c r="AD45" s="805">
        <f t="shared" ref="AD45" si="96">SUM(AD12:AD43)</f>
        <v>-516888</v>
      </c>
      <c r="AE45" s="805">
        <f t="shared" si="95"/>
        <v>163012.99999975524</v>
      </c>
      <c r="AF45" s="805"/>
      <c r="AG45" s="805"/>
      <c r="AH45" s="808"/>
      <c r="AI45" s="808"/>
      <c r="AJ45" s="808"/>
      <c r="AK45" s="808"/>
      <c r="AL45" s="808"/>
      <c r="AM45" s="808"/>
      <c r="AN45" s="808"/>
      <c r="AO45" s="809"/>
      <c r="AP45" s="767"/>
      <c r="AQ45" s="767"/>
      <c r="AR45" s="767"/>
      <c r="AS45" s="767"/>
      <c r="AT45" s="767"/>
      <c r="AU45" s="767"/>
      <c r="AV45" s="767"/>
      <c r="AW45" s="767"/>
      <c r="AX45" s="767"/>
      <c r="AY45" s="767"/>
      <c r="AZ45" s="767"/>
      <c r="BA45" s="767"/>
      <c r="BB45" s="767"/>
      <c r="BC45" s="767"/>
      <c r="BD45" s="767"/>
      <c r="BE45" s="767"/>
      <c r="BF45" s="767"/>
    </row>
    <row r="46" spans="1:58" ht="15.75">
      <c r="AA46" s="807"/>
      <c r="AB46" s="805"/>
      <c r="AC46" s="805"/>
      <c r="AD46" s="805"/>
      <c r="AE46" s="805"/>
      <c r="AF46" s="805"/>
      <c r="AG46" s="805"/>
      <c r="AH46" s="808"/>
      <c r="AI46" s="808"/>
      <c r="AJ46" s="808"/>
      <c r="AK46" s="808"/>
      <c r="AL46" s="808"/>
      <c r="AM46" s="808"/>
      <c r="AN46" s="808"/>
      <c r="AO46" s="809"/>
      <c r="AP46" s="767"/>
      <c r="AQ46" s="767"/>
      <c r="AR46" s="767"/>
      <c r="AS46" s="767"/>
      <c r="AT46" s="767"/>
      <c r="AU46" s="767"/>
      <c r="AV46" s="767"/>
      <c r="AW46" s="767"/>
      <c r="AX46" s="767"/>
      <c r="AY46" s="767"/>
      <c r="AZ46" s="767"/>
      <c r="BA46" s="767"/>
      <c r="BB46" s="767"/>
      <c r="BC46" s="767"/>
      <c r="BD46" s="767"/>
      <c r="BE46" s="767"/>
      <c r="BF46" s="767"/>
    </row>
    <row r="47" spans="1:58" ht="17.25">
      <c r="A47" s="58" t="s">
        <v>1522</v>
      </c>
      <c r="C47" s="72"/>
      <c r="G47" s="171"/>
      <c r="K47" s="66"/>
      <c r="O47" s="66"/>
      <c r="P47" s="684"/>
      <c r="Q47" s="684"/>
      <c r="R47" s="684"/>
      <c r="S47" s="684"/>
      <c r="T47" s="66"/>
      <c r="AA47" s="815"/>
      <c r="AB47" s="800"/>
      <c r="AC47" s="800"/>
      <c r="AD47" s="800"/>
      <c r="AE47" s="800"/>
      <c r="AF47" s="801"/>
      <c r="AG47" s="801"/>
      <c r="AH47" s="811"/>
      <c r="AI47" s="811"/>
      <c r="AJ47" s="811"/>
      <c r="AK47" s="808"/>
      <c r="AL47" s="808"/>
      <c r="AM47" s="808"/>
      <c r="AN47" s="808"/>
      <c r="AO47" s="809"/>
      <c r="AP47" s="767"/>
      <c r="AQ47" s="767"/>
      <c r="AR47" s="767"/>
      <c r="AS47" s="767"/>
      <c r="AT47" s="767"/>
      <c r="AU47" s="767"/>
      <c r="AV47" s="767"/>
      <c r="AW47" s="767"/>
      <c r="AX47" s="767"/>
      <c r="AY47" s="767"/>
      <c r="AZ47" s="767"/>
      <c r="BA47" s="767"/>
      <c r="BB47" s="767"/>
      <c r="BC47" s="767"/>
      <c r="BD47" s="767"/>
      <c r="BE47" s="767"/>
      <c r="BF47" s="767"/>
    </row>
    <row r="48" spans="1:58" ht="15.75">
      <c r="A48" s="333" t="s">
        <v>1432</v>
      </c>
      <c r="C48" s="72">
        <f>'Sch M-2.1-E'!C24</f>
        <v>2474607</v>
      </c>
      <c r="G48" s="171">
        <f t="shared" ref="G48:G49" si="97">C48-SUM(D48:F48)</f>
        <v>2474607</v>
      </c>
      <c r="K48" s="66">
        <f t="shared" ref="K48" si="98">SUM(G48:J48)</f>
        <v>2474607</v>
      </c>
      <c r="O48" s="66">
        <f t="shared" ref="O48:O51" si="99">K48</f>
        <v>2474607</v>
      </c>
      <c r="P48" s="684">
        <v>0</v>
      </c>
      <c r="Q48" s="684">
        <v>0</v>
      </c>
      <c r="R48" s="684">
        <v>0</v>
      </c>
      <c r="S48" s="684">
        <v>0</v>
      </c>
      <c r="T48" s="66">
        <f t="shared" ref="T48:T49" si="100">SUM(O48:S48)</f>
        <v>2474607</v>
      </c>
      <c r="AA48" s="815">
        <f>T48+V48</f>
        <v>2474607</v>
      </c>
      <c r="AB48" s="800">
        <f t="shared" ref="AB48:AB51" si="101">AA48-T48</f>
        <v>0</v>
      </c>
      <c r="AC48" s="800">
        <v>0</v>
      </c>
      <c r="AD48" s="800">
        <v>0</v>
      </c>
      <c r="AE48" s="800">
        <f t="shared" ref="AE48:AE51" si="102">AB48+AC48+AD48</f>
        <v>0</v>
      </c>
      <c r="AF48" s="801">
        <f>AE48/T48</f>
        <v>0</v>
      </c>
      <c r="AG48" s="801"/>
      <c r="AH48" s="778"/>
      <c r="AI48" s="778"/>
      <c r="AJ48" s="778"/>
      <c r="AK48" s="778"/>
      <c r="AL48" s="778"/>
      <c r="AM48" s="778"/>
      <c r="AN48" s="778"/>
      <c r="AO48" s="790"/>
      <c r="AP48" s="767"/>
      <c r="AQ48" s="767"/>
      <c r="AR48" s="767"/>
      <c r="AS48" s="767"/>
      <c r="AT48" s="767"/>
      <c r="AU48" s="767"/>
      <c r="AV48" s="767"/>
      <c r="AW48" s="767"/>
      <c r="AX48" s="767"/>
      <c r="AY48" s="767"/>
      <c r="BA48" s="767"/>
      <c r="BB48" s="767"/>
      <c r="BC48" s="767"/>
      <c r="BD48" s="767"/>
      <c r="BE48" s="767"/>
      <c r="BF48" s="767"/>
    </row>
    <row r="49" spans="1:58" ht="15.75">
      <c r="A49" s="333" t="s">
        <v>1535</v>
      </c>
      <c r="C49" s="72">
        <f>'Sch M-2.1-E'!C25</f>
        <v>2325202</v>
      </c>
      <c r="G49" s="171">
        <f t="shared" si="97"/>
        <v>2325202</v>
      </c>
      <c r="K49" s="66">
        <f t="shared" ref="K49:K51" si="103">SUM(G49:J49)</f>
        <v>2325202</v>
      </c>
      <c r="O49" s="66">
        <f t="shared" si="99"/>
        <v>2325202</v>
      </c>
      <c r="P49" s="684">
        <v>0</v>
      </c>
      <c r="Q49" s="684">
        <v>0</v>
      </c>
      <c r="R49" s="684">
        <v>0</v>
      </c>
      <c r="S49" s="684">
        <v>0</v>
      </c>
      <c r="T49" s="66">
        <f t="shared" si="100"/>
        <v>2325202</v>
      </c>
      <c r="AA49" s="815">
        <f t="shared" ref="AA49:AA51" si="104">T49+V49</f>
        <v>2325202</v>
      </c>
      <c r="AB49" s="800">
        <f t="shared" si="101"/>
        <v>0</v>
      </c>
      <c r="AC49" s="800">
        <v>0</v>
      </c>
      <c r="AD49" s="800">
        <v>0</v>
      </c>
      <c r="AE49" s="800">
        <f t="shared" si="102"/>
        <v>0</v>
      </c>
      <c r="AF49" s="801">
        <f t="shared" ref="AF49:AF53" si="105">AE49/T49</f>
        <v>0</v>
      </c>
      <c r="AG49" s="800"/>
      <c r="AH49" s="778"/>
      <c r="AI49" s="778"/>
      <c r="AJ49" s="778"/>
      <c r="AK49" s="778"/>
      <c r="AL49" s="778"/>
      <c r="AM49" s="778"/>
      <c r="AN49" s="778"/>
      <c r="AO49" s="790"/>
      <c r="AP49" s="767"/>
      <c r="BA49" s="767"/>
      <c r="BB49" s="767"/>
      <c r="BC49" s="767"/>
      <c r="BD49" s="767"/>
      <c r="BE49" s="767"/>
      <c r="BF49" s="767"/>
    </row>
    <row r="50" spans="1:58" ht="15.75">
      <c r="A50" s="333" t="s">
        <v>1476</v>
      </c>
      <c r="C50" s="72">
        <f>'Sch M-2.1-E'!C26</f>
        <v>3744845</v>
      </c>
      <c r="G50" s="171">
        <f t="shared" ref="G50:G51" si="106">C50-SUM(D50:F50)</f>
        <v>3744845</v>
      </c>
      <c r="K50" s="66">
        <f t="shared" si="103"/>
        <v>3744845</v>
      </c>
      <c r="O50" s="66">
        <f t="shared" si="99"/>
        <v>3744845</v>
      </c>
      <c r="P50" s="684">
        <v>0</v>
      </c>
      <c r="Q50" s="684">
        <v>0</v>
      </c>
      <c r="R50" s="684">
        <v>0</v>
      </c>
      <c r="S50" s="684">
        <v>0</v>
      </c>
      <c r="T50" s="66">
        <f t="shared" ref="T50:T51" si="107">SUM(O50:S50)</f>
        <v>3744845</v>
      </c>
      <c r="V50" s="829">
        <v>-163013</v>
      </c>
      <c r="W50" s="336">
        <f>V50/T50</f>
        <v>-4.3529972535578908E-2</v>
      </c>
      <c r="X50" s="57">
        <f>V50</f>
        <v>-163013</v>
      </c>
      <c r="Y50" s="57">
        <f t="shared" ref="Y50" si="108">X50-V50</f>
        <v>0</v>
      </c>
      <c r="AA50" s="815">
        <f t="shared" si="104"/>
        <v>3581832</v>
      </c>
      <c r="AB50" s="800">
        <v>0</v>
      </c>
      <c r="AC50" s="800">
        <f>V50</f>
        <v>-163013</v>
      </c>
      <c r="AD50" s="800">
        <v>0</v>
      </c>
      <c r="AE50" s="800">
        <f t="shared" si="102"/>
        <v>-163013</v>
      </c>
      <c r="AF50" s="801">
        <f t="shared" si="105"/>
        <v>-4.3529972535578908E-2</v>
      </c>
      <c r="AG50" s="801"/>
      <c r="AH50" s="778"/>
      <c r="AI50" s="778"/>
      <c r="AJ50" s="778"/>
      <c r="AK50" s="778"/>
      <c r="AL50" s="778"/>
      <c r="AM50" s="778"/>
      <c r="AN50" s="778"/>
      <c r="AO50" s="790"/>
      <c r="AP50" s="767"/>
      <c r="BA50" s="767"/>
      <c r="BB50" s="767"/>
      <c r="BC50" s="767"/>
      <c r="BD50" s="767"/>
      <c r="BE50" s="767"/>
      <c r="BF50" s="767"/>
    </row>
    <row r="51" spans="1:58" ht="15.75">
      <c r="A51" s="333" t="s">
        <v>1477</v>
      </c>
      <c r="C51" s="72">
        <f>'Sch M-2.1-E'!C27</f>
        <v>6625945</v>
      </c>
      <c r="G51" s="171">
        <f t="shared" si="106"/>
        <v>6625945</v>
      </c>
      <c r="K51" s="66">
        <f t="shared" si="103"/>
        <v>6625945</v>
      </c>
      <c r="O51" s="66">
        <f t="shared" si="99"/>
        <v>6625945</v>
      </c>
      <c r="P51" s="684">
        <v>0</v>
      </c>
      <c r="Q51" s="684">
        <v>0</v>
      </c>
      <c r="R51" s="684">
        <v>0</v>
      </c>
      <c r="S51" s="684">
        <v>0</v>
      </c>
      <c r="T51" s="66">
        <f t="shared" si="107"/>
        <v>6625945</v>
      </c>
      <c r="V51" s="66"/>
      <c r="W51" s="344"/>
      <c r="AA51" s="815">
        <f t="shared" si="104"/>
        <v>6625945</v>
      </c>
      <c r="AB51" s="800">
        <f t="shared" si="101"/>
        <v>0</v>
      </c>
      <c r="AC51" s="800">
        <v>0</v>
      </c>
      <c r="AD51" s="800">
        <v>0</v>
      </c>
      <c r="AE51" s="800">
        <f t="shared" si="102"/>
        <v>0</v>
      </c>
      <c r="AF51" s="801">
        <f t="shared" si="105"/>
        <v>0</v>
      </c>
      <c r="AG51" s="801"/>
      <c r="AH51" s="778"/>
      <c r="AI51" s="778"/>
      <c r="AJ51" s="778"/>
      <c r="AK51" s="778"/>
      <c r="AL51" s="778"/>
      <c r="AM51" s="778"/>
      <c r="AN51" s="778"/>
      <c r="AO51" s="790"/>
      <c r="AP51" s="767"/>
      <c r="BA51" s="767"/>
      <c r="BB51" s="767"/>
      <c r="BC51" s="767"/>
      <c r="BD51" s="767"/>
      <c r="BE51" s="767"/>
      <c r="BF51" s="767"/>
    </row>
    <row r="52" spans="1:58" ht="15.75">
      <c r="M52" s="336"/>
      <c r="N52" s="336"/>
      <c r="O52" s="336"/>
      <c r="P52" s="336"/>
      <c r="Q52" s="336"/>
      <c r="R52" s="336"/>
      <c r="AA52" s="815"/>
      <c r="AB52" s="800"/>
      <c r="AC52" s="800"/>
      <c r="AD52" s="800"/>
      <c r="AE52" s="800"/>
      <c r="AF52" s="801"/>
      <c r="AG52" s="801"/>
      <c r="BD52" s="767"/>
      <c r="BE52" s="767"/>
      <c r="BF52" s="767"/>
    </row>
    <row r="53" spans="1:58" ht="15">
      <c r="A53" s="56" t="s">
        <v>875</v>
      </c>
      <c r="B53" s="56"/>
      <c r="C53" s="343">
        <f t="shared" ref="C53:K53" si="109">SUM(C45:C52)</f>
        <v>1121757194.6037636</v>
      </c>
      <c r="D53" s="343">
        <f t="shared" si="109"/>
        <v>-3033258</v>
      </c>
      <c r="E53" s="343">
        <f t="shared" si="109"/>
        <v>20379920</v>
      </c>
      <c r="F53" s="343">
        <f t="shared" si="109"/>
        <v>108152567</v>
      </c>
      <c r="G53" s="343">
        <f t="shared" si="109"/>
        <v>996257965.60376346</v>
      </c>
      <c r="H53" s="343">
        <f t="shared" si="109"/>
        <v>-14316214</v>
      </c>
      <c r="I53" s="748">
        <f t="shared" si="109"/>
        <v>21060</v>
      </c>
      <c r="J53" s="343">
        <f t="shared" si="109"/>
        <v>-148648</v>
      </c>
      <c r="K53" s="343">
        <f t="shared" si="109"/>
        <v>981814163.60376346</v>
      </c>
      <c r="O53" s="343">
        <f t="shared" ref="O53:T53" si="110">SUM(O45:O52)</f>
        <v>981814163.60376346</v>
      </c>
      <c r="P53" s="343">
        <f t="shared" si="110"/>
        <v>-3033258</v>
      </c>
      <c r="Q53" s="343">
        <f t="shared" si="110"/>
        <v>20379920</v>
      </c>
      <c r="R53" s="343">
        <f t="shared" si="110"/>
        <v>108152567</v>
      </c>
      <c r="S53" s="343">
        <f t="shared" si="110"/>
        <v>14316214</v>
      </c>
      <c r="T53" s="343">
        <f t="shared" si="110"/>
        <v>1121629606.6037636</v>
      </c>
      <c r="U53" s="343"/>
      <c r="V53" s="343">
        <f>SUM(V45:V52)</f>
        <v>-3927.2120000002906</v>
      </c>
      <c r="W53" s="345">
        <f>V53/T53</f>
        <v>-3.5013448083736709E-6</v>
      </c>
      <c r="X53" s="343">
        <f>SUM(X45:X52)</f>
        <v>13894258.194279341</v>
      </c>
      <c r="Y53" s="57">
        <f>X59-V53</f>
        <v>683828.21200000029</v>
      </c>
      <c r="AA53" s="812">
        <f>SUM(AA45:AA51)</f>
        <v>1122144388.3622882</v>
      </c>
      <c r="AB53" s="813">
        <f t="shared" ref="AB53:AE53" si="111">SUM(AB45:AB51)</f>
        <v>679900.99999975529</v>
      </c>
      <c r="AC53" s="813">
        <f t="shared" si="111"/>
        <v>-163013</v>
      </c>
      <c r="AD53" s="813">
        <f t="shared" si="111"/>
        <v>-516888</v>
      </c>
      <c r="AE53" s="813">
        <f t="shared" si="111"/>
        <v>-2.4476321414113045E-7</v>
      </c>
      <c r="AF53" s="801">
        <f t="shared" si="105"/>
        <v>-2.1822107110943764E-16</v>
      </c>
      <c r="AG53" s="814">
        <f>SUM(AG10:AG52)</f>
        <v>-516888</v>
      </c>
    </row>
    <row r="55" spans="1:58" ht="15.75">
      <c r="V55" s="57">
        <v>30286058.016352255</v>
      </c>
      <c r="W55" s="706">
        <f>V55/(T45-T35)</f>
        <v>2.7287261155981943E-2</v>
      </c>
      <c r="AA55" s="797"/>
      <c r="AB55" s="788"/>
      <c r="AC55" s="788"/>
      <c r="AD55" s="788"/>
      <c r="AE55" s="788"/>
      <c r="AF55" s="788"/>
      <c r="AG55" s="788"/>
    </row>
    <row r="57" spans="1:58">
      <c r="V57" s="57">
        <f>V53-X59</f>
        <v>-683828.21200000029</v>
      </c>
      <c r="W57" s="57" t="str">
        <f>IF(V57&lt;0,"Under","Over")</f>
        <v>Under</v>
      </c>
    </row>
    <row r="58" spans="1:58" ht="13.5" thickBot="1">
      <c r="A58" s="58" t="s">
        <v>920</v>
      </c>
    </row>
    <row r="59" spans="1:58" ht="13.5" thickBot="1">
      <c r="C59" s="57">
        <f>C53-C58</f>
        <v>1121757194.6037636</v>
      </c>
      <c r="D59" s="57">
        <f t="shared" ref="D59:V59" si="112">D53-D58</f>
        <v>-3033258</v>
      </c>
      <c r="E59" s="57">
        <f t="shared" si="112"/>
        <v>20379920</v>
      </c>
      <c r="F59" s="57">
        <f t="shared" si="112"/>
        <v>108152567</v>
      </c>
      <c r="G59" s="57">
        <f t="shared" si="112"/>
        <v>996257965.60376346</v>
      </c>
      <c r="H59" s="57">
        <f t="shared" ref="H59:I59" si="113">H53-H58</f>
        <v>-14316214</v>
      </c>
      <c r="I59" s="58">
        <f t="shared" si="113"/>
        <v>21060</v>
      </c>
      <c r="J59" s="57">
        <f t="shared" si="112"/>
        <v>-148648</v>
      </c>
      <c r="K59" s="57">
        <f t="shared" si="112"/>
        <v>981814163.60376346</v>
      </c>
      <c r="O59" s="57">
        <f t="shared" si="112"/>
        <v>981814163.60376346</v>
      </c>
      <c r="P59" s="57">
        <f t="shared" si="112"/>
        <v>-3033258</v>
      </c>
      <c r="Q59" s="57">
        <f t="shared" si="112"/>
        <v>20379920</v>
      </c>
      <c r="R59" s="57">
        <f t="shared" si="112"/>
        <v>108152567</v>
      </c>
      <c r="S59" s="57">
        <f>S53-S58</f>
        <v>14316214</v>
      </c>
      <c r="T59" s="57">
        <f>T53-T58</f>
        <v>1121629606.6037636</v>
      </c>
      <c r="V59" s="57">
        <f t="shared" si="112"/>
        <v>-3927.2120000002906</v>
      </c>
      <c r="X59" s="75">
        <f>AB62</f>
        <v>679901</v>
      </c>
      <c r="AA59" s="162" t="s">
        <v>1604</v>
      </c>
      <c r="AB59" s="75">
        <v>0</v>
      </c>
      <c r="AC59" s="75">
        <f>30286058.0163523-AD59</f>
        <v>30286058.0163523</v>
      </c>
    </row>
    <row r="60" spans="1:58">
      <c r="S60" s="76"/>
      <c r="T60" s="76"/>
      <c r="U60" s="76"/>
      <c r="AA60" s="163" t="s">
        <v>1605</v>
      </c>
      <c r="AB60" s="57">
        <f>-V50</f>
        <v>163013</v>
      </c>
    </row>
    <row r="61" spans="1:58">
      <c r="V61" s="57">
        <f>V12+V13</f>
        <v>258831</v>
      </c>
      <c r="X61" s="339">
        <f>X59/(T45-T35)</f>
        <v>6.1258009005979626E-4</v>
      </c>
      <c r="AA61" s="163" t="s">
        <v>1632</v>
      </c>
      <c r="AB61" s="57">
        <f>-V35</f>
        <v>516888</v>
      </c>
    </row>
    <row r="62" spans="1:58">
      <c r="AA62" s="163" t="s">
        <v>1606</v>
      </c>
      <c r="AB62" s="57">
        <f>AB59+AB60+AB61</f>
        <v>679901</v>
      </c>
    </row>
    <row r="67" spans="1:11">
      <c r="A67" s="77"/>
      <c r="B67" s="77"/>
    </row>
    <row r="73" spans="1:11">
      <c r="C73" s="265"/>
      <c r="D73" s="265"/>
      <c r="E73" s="265"/>
      <c r="F73" s="265"/>
      <c r="G73" s="265"/>
      <c r="H73" s="265"/>
      <c r="I73" s="749"/>
      <c r="J73" s="265"/>
      <c r="K73" s="265"/>
    </row>
    <row r="74" spans="1:11">
      <c r="C74" s="265"/>
      <c r="D74" s="265"/>
      <c r="E74" s="265"/>
      <c r="F74" s="265"/>
      <c r="G74" s="265"/>
      <c r="H74" s="265"/>
      <c r="I74" s="749"/>
      <c r="J74" s="265"/>
      <c r="K74" s="265"/>
    </row>
    <row r="75" spans="1:11">
      <c r="C75" s="265"/>
      <c r="D75" s="265"/>
      <c r="E75" s="265"/>
      <c r="F75" s="265"/>
      <c r="G75" s="265"/>
      <c r="H75" s="265"/>
      <c r="I75" s="749"/>
      <c r="J75" s="265"/>
      <c r="K75" s="265"/>
    </row>
  </sheetData>
  <printOptions horizontalCentered="1"/>
  <pageMargins left="0.5" right="0.5" top="1.44" bottom="0.37" header="0.57999999999999996" footer="0.3"/>
  <pageSetup scale="68" fitToWidth="2" orientation="landscape" r:id="rId1"/>
  <headerFooter scaleWithDoc="0">
    <oddHeader>&amp;C&amp;"Calibri,Bold"&amp;10Louisville Gas and Electric Company&amp;12
&amp;9Case No. 2014-00372&amp;8
&amp;9Summary of Proposed Revenue Increase
Forecast Period Sales for the Twelve Months Ended June 30, 2016
Electric Operations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60"/>
  <sheetViews>
    <sheetView tabSelected="1" zoomScaleNormal="100" zoomScaleSheetLayoutView="110" workbookViewId="0">
      <pane xSplit="2" ySplit="10" topLeftCell="C12" activePane="bottomRight" state="frozen"/>
      <selection pane="topRight" activeCell="C1" sqref="C1"/>
      <selection pane="bottomLeft" activeCell="A11" sqref="A11"/>
      <selection pane="bottomRight" activeCell="A5" sqref="A5"/>
    </sheetView>
  </sheetViews>
  <sheetFormatPr defaultColWidth="9.33203125" defaultRowHeight="12.75"/>
  <cols>
    <col min="1" max="1" width="62.6640625" style="58" bestFit="1" customWidth="1"/>
    <col min="2" max="2" width="8" style="58" customWidth="1"/>
    <col min="3" max="3" width="19.83203125" style="57" customWidth="1"/>
    <col min="4" max="4" width="2.6640625" style="57" customWidth="1"/>
    <col min="5" max="5" width="17.1640625" style="57" customWidth="1"/>
    <col min="6" max="6" width="12" style="57" customWidth="1"/>
    <col min="7" max="16384" width="9.33203125" style="57"/>
  </cols>
  <sheetData>
    <row r="1" spans="1:6">
      <c r="A1" s="685" t="s">
        <v>1283</v>
      </c>
      <c r="B1" s="685"/>
      <c r="F1" s="849" t="s">
        <v>1538</v>
      </c>
    </row>
    <row r="2" spans="1:6" ht="15.75" customHeight="1">
      <c r="A2" s="347" t="s">
        <v>1251</v>
      </c>
      <c r="B2" s="347"/>
      <c r="F2" s="849" t="s">
        <v>1633</v>
      </c>
    </row>
    <row r="3" spans="1:6">
      <c r="A3" s="347" t="s">
        <v>1248</v>
      </c>
      <c r="B3" s="347"/>
      <c r="F3" s="849"/>
    </row>
    <row r="4" spans="1:6">
      <c r="A4" s="348"/>
      <c r="B4" s="348"/>
    </row>
    <row r="5" spans="1:6" s="58" customFormat="1">
      <c r="A5" s="335"/>
      <c r="B5" s="335"/>
      <c r="C5" s="376"/>
      <c r="D5" s="376"/>
      <c r="E5" s="376"/>
      <c r="F5" s="377"/>
    </row>
    <row r="6" spans="1:6" s="58" customFormat="1">
      <c r="C6" s="63"/>
      <c r="D6" s="63"/>
      <c r="E6" s="63"/>
      <c r="F6" s="62"/>
    </row>
    <row r="7" spans="1:6" s="61" customFormat="1">
      <c r="C7" s="63" t="s">
        <v>843</v>
      </c>
      <c r="D7" s="63"/>
      <c r="E7" s="63"/>
      <c r="F7" s="63"/>
    </row>
    <row r="8" spans="1:6" s="61" customFormat="1">
      <c r="C8" s="63" t="s">
        <v>851</v>
      </c>
      <c r="D8" s="63"/>
      <c r="E8" s="63"/>
      <c r="F8" s="63"/>
    </row>
    <row r="9" spans="1:6" s="61" customFormat="1">
      <c r="C9" s="63" t="s">
        <v>859</v>
      </c>
      <c r="D9" s="63"/>
      <c r="E9" s="63"/>
      <c r="F9" s="63" t="s">
        <v>860</v>
      </c>
    </row>
    <row r="10" spans="1:6" s="61" customFormat="1">
      <c r="C10" s="380" t="s">
        <v>865</v>
      </c>
      <c r="D10" s="380"/>
      <c r="E10" s="380" t="s">
        <v>866</v>
      </c>
      <c r="F10" s="380" t="s">
        <v>866</v>
      </c>
    </row>
    <row r="11" spans="1:6">
      <c r="A11" s="61"/>
      <c r="B11" s="61"/>
    </row>
    <row r="12" spans="1:6">
      <c r="A12" s="59" t="s">
        <v>1543</v>
      </c>
      <c r="B12" s="61"/>
      <c r="C12" s="66">
        <f>'Sch M-2.3-E pg 1-2'!T12</f>
        <v>436027011</v>
      </c>
      <c r="D12" s="66"/>
      <c r="E12" s="66">
        <f>'Sch M-2.3-E pg 1-2'!V12</f>
        <v>256003</v>
      </c>
      <c r="F12" s="336">
        <f>E12/C12</f>
        <v>5.8712647047455503E-4</v>
      </c>
    </row>
    <row r="13" spans="1:6">
      <c r="A13" s="59" t="s">
        <v>1434</v>
      </c>
      <c r="B13" s="61"/>
      <c r="C13" s="66">
        <f>'Sch M-2.3-E pg 1-2'!T13</f>
        <v>31169.603763409825</v>
      </c>
      <c r="D13" s="66"/>
      <c r="E13" s="66">
        <f>'Sch M-2.3-E pg 1-2'!V13</f>
        <v>2828</v>
      </c>
      <c r="F13" s="336">
        <f>E13/C13</f>
        <v>9.0729417719445163E-2</v>
      </c>
    </row>
    <row r="14" spans="1:6">
      <c r="A14" s="58" t="s">
        <v>1435</v>
      </c>
      <c r="C14" s="66">
        <f>'Sch M-2.3-E pg 1-2'!T14</f>
        <v>0</v>
      </c>
      <c r="D14" s="66"/>
      <c r="E14" s="66">
        <f>'Sch M-2.3-E pg 1-2'!V14</f>
        <v>0</v>
      </c>
      <c r="F14" s="336">
        <v>0</v>
      </c>
    </row>
    <row r="16" spans="1:6" hidden="1"/>
    <row r="17" spans="1:6" hidden="1">
      <c r="A17" s="333" t="s">
        <v>1262</v>
      </c>
      <c r="B17" s="333" t="s">
        <v>902</v>
      </c>
      <c r="C17" s="66">
        <f>'Sch M-2.3-E pg 1-2'!T17</f>
        <v>46530479</v>
      </c>
      <c r="D17" s="66"/>
      <c r="E17" s="66">
        <f>'Sch M-2.3-E pg 1-2'!V17</f>
        <v>967619</v>
      </c>
      <c r="F17" s="336">
        <f>E17/C17</f>
        <v>2.0795380163612757E-2</v>
      </c>
    </row>
    <row r="18" spans="1:6" ht="15" hidden="1">
      <c r="A18" s="333" t="s">
        <v>1263</v>
      </c>
      <c r="B18" s="333" t="s">
        <v>14</v>
      </c>
      <c r="C18" s="68">
        <f>'Sch M-2.3-E pg 1-2'!T18</f>
        <v>108326123</v>
      </c>
      <c r="D18" s="66"/>
      <c r="E18" s="68">
        <f>'Sch M-2.3-E pg 1-2'!V18</f>
        <v>-867577</v>
      </c>
      <c r="F18" s="336">
        <f>E18/C18</f>
        <v>-8.008936127068815E-3</v>
      </c>
    </row>
    <row r="19" spans="1:6">
      <c r="A19" s="59" t="s">
        <v>84</v>
      </c>
      <c r="B19" s="59"/>
      <c r="C19" s="66">
        <f>'Sch M-2.3-E pg 1-2'!T19</f>
        <v>154856602</v>
      </c>
      <c r="E19" s="57">
        <f>'Sch M-2.3-E pg 1-2'!V19</f>
        <v>100042</v>
      </c>
      <c r="F19" s="336">
        <f>E19/C19</f>
        <v>6.4602993161376487E-4</v>
      </c>
    </row>
    <row r="20" spans="1:6">
      <c r="F20" s="336"/>
    </row>
    <row r="21" spans="1:6">
      <c r="A21" s="59" t="s">
        <v>86</v>
      </c>
      <c r="B21" s="59"/>
    </row>
    <row r="22" spans="1:6">
      <c r="A22" s="67" t="s">
        <v>868</v>
      </c>
      <c r="B22" s="841" t="s">
        <v>20</v>
      </c>
      <c r="C22" s="66">
        <f>'Sch M-2.3-E pg 1-2'!T22</f>
        <v>179920400</v>
      </c>
      <c r="E22" s="66">
        <f>'Sch M-2.3-E pg 1-2'!V22</f>
        <v>110754</v>
      </c>
      <c r="F22" s="336">
        <f>E22/C22</f>
        <v>6.1557221971494057E-4</v>
      </c>
    </row>
    <row r="23" spans="1:6" ht="15">
      <c r="A23" s="67" t="s">
        <v>834</v>
      </c>
      <c r="B23" s="841" t="s">
        <v>21</v>
      </c>
      <c r="C23" s="68">
        <f>'Sch M-2.3-E pg 1-2'!T23</f>
        <v>13517486</v>
      </c>
      <c r="D23" s="254"/>
      <c r="E23" s="68">
        <f>'Sch M-2.3-E pg 1-2'!V23</f>
        <v>8197</v>
      </c>
      <c r="F23" s="337">
        <f>E23/C23</f>
        <v>6.0639974030674048E-4</v>
      </c>
    </row>
    <row r="24" spans="1:6">
      <c r="A24" s="58" t="s">
        <v>87</v>
      </c>
      <c r="B24" s="842"/>
      <c r="C24" s="66">
        <f>'Sch M-2.3-E pg 1-2'!T24</f>
        <v>193437886</v>
      </c>
      <c r="E24" s="57">
        <f>'Sch M-2.3-E pg 1-2'!V24</f>
        <v>118951</v>
      </c>
      <c r="F24" s="336">
        <f>E24/C24</f>
        <v>6.1493124464770052E-4</v>
      </c>
    </row>
    <row r="25" spans="1:6">
      <c r="A25" s="69"/>
      <c r="B25" s="843"/>
    </row>
    <row r="26" spans="1:6">
      <c r="A26" s="58" t="s">
        <v>869</v>
      </c>
      <c r="B26" s="844" t="s">
        <v>1006</v>
      </c>
      <c r="C26" s="66">
        <f>'Sch M-2.3-E pg 1-2'!T26</f>
        <v>86270519</v>
      </c>
      <c r="E26" s="66">
        <f>'Sch M-2.3-E pg 1-2'!V26</f>
        <v>51810</v>
      </c>
      <c r="F26" s="336">
        <f>E26/C26</f>
        <v>6.0055277979723294E-4</v>
      </c>
    </row>
    <row r="27" spans="1:6" s="58" customFormat="1">
      <c r="B27" s="842"/>
      <c r="C27" s="57"/>
      <c r="D27" s="57"/>
      <c r="E27" s="57"/>
      <c r="F27" s="57"/>
    </row>
    <row r="28" spans="1:6" s="64" customFormat="1">
      <c r="A28" s="58" t="s">
        <v>870</v>
      </c>
      <c r="B28" s="842"/>
      <c r="C28" s="66"/>
      <c r="D28" s="57"/>
      <c r="E28" s="66"/>
      <c r="F28" s="336"/>
    </row>
    <row r="29" spans="1:6" s="64" customFormat="1">
      <c r="A29" s="67" t="s">
        <v>915</v>
      </c>
      <c r="B29" s="844" t="s">
        <v>409</v>
      </c>
      <c r="C29" s="66">
        <f>'Sch M-2.3-E pg 1-2'!T29</f>
        <v>29938183</v>
      </c>
      <c r="D29" s="57"/>
      <c r="E29" s="66">
        <f>'Sch M-2.3-E pg 1-2'!V29</f>
        <v>-2072748</v>
      </c>
      <c r="F29" s="336">
        <f t="shared" ref="F29:F30" si="0">E29/C29</f>
        <v>-6.9234261812081241E-2</v>
      </c>
    </row>
    <row r="30" spans="1:6" ht="15">
      <c r="A30" s="70" t="s">
        <v>916</v>
      </c>
      <c r="B30" s="844" t="s">
        <v>421</v>
      </c>
      <c r="C30" s="68">
        <f>'Sch M-2.3-E pg 1-2'!T30</f>
        <v>123267260</v>
      </c>
      <c r="D30" s="254"/>
      <c r="E30" s="68">
        <f>'Sch M-2.3-E pg 1-2'!V30</f>
        <v>2164921</v>
      </c>
      <c r="F30" s="336">
        <f t="shared" si="0"/>
        <v>1.7562822439632388E-2</v>
      </c>
    </row>
    <row r="31" spans="1:6">
      <c r="A31" s="286" t="s">
        <v>1555</v>
      </c>
      <c r="B31" s="845"/>
      <c r="C31" s="66">
        <f>'Sch M-2.3-E pg 1-2'!T31</f>
        <v>153205443</v>
      </c>
      <c r="E31" s="66">
        <f>'Sch M-2.3-E pg 1-2'!V31</f>
        <v>92175</v>
      </c>
      <c r="F31" s="336">
        <f>E31/C31</f>
        <v>6.0164311525146008E-4</v>
      </c>
    </row>
    <row r="32" spans="1:6">
      <c r="B32" s="842"/>
    </row>
    <row r="33" spans="1:6">
      <c r="A33" s="58" t="s">
        <v>871</v>
      </c>
      <c r="B33" s="841" t="s">
        <v>15</v>
      </c>
      <c r="C33" s="66">
        <f>'Sch M-2.3-E pg 1-2'!T33</f>
        <v>55631555</v>
      </c>
      <c r="E33" s="66">
        <f>'Sch M-2.3-E pg 1-2'!V33</f>
        <v>35966</v>
      </c>
      <c r="F33" s="336">
        <f>E33/C33</f>
        <v>6.465035895545253E-4</v>
      </c>
    </row>
    <row r="34" spans="1:6">
      <c r="B34" s="842"/>
    </row>
    <row r="35" spans="1:6">
      <c r="A35" s="71" t="s">
        <v>1635</v>
      </c>
      <c r="B35" s="846" t="s">
        <v>1223</v>
      </c>
      <c r="C35" s="66">
        <f>'Sch M-2.3-E pg 1-2'!T35</f>
        <v>-3438312</v>
      </c>
      <c r="D35" s="338"/>
      <c r="E35" s="72">
        <f>'Sch M-2.3-E pg 1-2'!V35</f>
        <v>-516888</v>
      </c>
      <c r="F35" s="336"/>
    </row>
    <row r="36" spans="1:6" s="338" customFormat="1">
      <c r="A36" s="73"/>
      <c r="B36" s="847"/>
    </row>
    <row r="37" spans="1:6">
      <c r="A37" s="59" t="s">
        <v>1022</v>
      </c>
      <c r="B37" s="848" t="s">
        <v>412</v>
      </c>
      <c r="C37" s="66">
        <f>'Sch M-2.3-E pg 1-2'!T37</f>
        <v>7092225</v>
      </c>
      <c r="E37" s="66">
        <f>'Sch M-2.3-E pg 1-2'!V37</f>
        <v>5240.7879999997094</v>
      </c>
      <c r="F37" s="336">
        <f>E37/C37</f>
        <v>7.3894835541733512E-4</v>
      </c>
    </row>
    <row r="38" spans="1:6">
      <c r="A38" s="59" t="s">
        <v>1023</v>
      </c>
      <c r="B38" s="848" t="s">
        <v>425</v>
      </c>
      <c r="C38" s="66">
        <f>'Sch M-2.3-E pg 1-2'!T38</f>
        <v>3797587</v>
      </c>
      <c r="E38" s="66">
        <f>'Sch M-2.3-E pg 1-2'!V38</f>
        <v>1981</v>
      </c>
      <c r="F38" s="336">
        <f>E38/C38</f>
        <v>5.2164703534112583E-4</v>
      </c>
    </row>
    <row r="39" spans="1:6">
      <c r="B39" s="842"/>
      <c r="C39" s="66"/>
      <c r="E39" s="66"/>
      <c r="F39" s="336"/>
    </row>
    <row r="40" spans="1:6" s="338" customFormat="1">
      <c r="A40" s="59" t="s">
        <v>872</v>
      </c>
      <c r="B40" s="59"/>
      <c r="C40" s="66">
        <f>'Sch M-2.3-E pg 1-2'!T40</f>
        <v>252419</v>
      </c>
      <c r="D40" s="57"/>
      <c r="E40" s="66">
        <f>'Sch M-2.3-E pg 1-2'!V40</f>
        <v>138</v>
      </c>
      <c r="F40" s="336">
        <f>E40/C40</f>
        <v>5.467100337137854E-4</v>
      </c>
    </row>
    <row r="41" spans="1:6" s="338" customFormat="1">
      <c r="A41" s="59" t="s">
        <v>873</v>
      </c>
      <c r="B41" s="59"/>
      <c r="C41" s="66">
        <f>'Sch M-2.3-E pg 1-2'!T41</f>
        <v>300152</v>
      </c>
      <c r="D41" s="57"/>
      <c r="E41" s="66">
        <f>'Sch M-2.3-E pg 1-2'!V41</f>
        <v>200</v>
      </c>
      <c r="F41" s="336">
        <f>E41/C41</f>
        <v>6.6632905994296228E-4</v>
      </c>
    </row>
    <row r="42" spans="1:6" s="338" customFormat="1">
      <c r="A42" s="58"/>
      <c r="B42" s="58"/>
      <c r="C42" s="57"/>
      <c r="D42" s="57"/>
      <c r="E42" s="57"/>
      <c r="F42" s="336"/>
    </row>
    <row r="43" spans="1:6">
      <c r="A43" s="58" t="s">
        <v>1490</v>
      </c>
      <c r="C43" s="341">
        <f>'Sch M-2.3-E pg 1-2'!T43</f>
        <v>18994751</v>
      </c>
      <c r="D43" s="341"/>
      <c r="E43" s="66">
        <f>'Sch M-2.3-E pg 1-2'!V43</f>
        <v>10639</v>
      </c>
      <c r="F43" s="336">
        <f>E43/C43</f>
        <v>5.6010210399704637E-4</v>
      </c>
    </row>
    <row r="45" spans="1:6" ht="15">
      <c r="A45" s="56" t="s">
        <v>874</v>
      </c>
      <c r="B45" s="56"/>
      <c r="C45" s="340">
        <f>'Sch M-2.3-E pg 1-2'!T45</f>
        <v>1106459007.6037636</v>
      </c>
      <c r="D45" s="340"/>
      <c r="E45" s="340">
        <f>'Sch M-2.3-E pg 1-2'!V45</f>
        <v>159085.78799999971</v>
      </c>
      <c r="F45" s="342">
        <f>E45/C45</f>
        <v>1.4377919733739495E-4</v>
      </c>
    </row>
    <row r="47" spans="1:6">
      <c r="A47" s="58" t="s">
        <v>1522</v>
      </c>
      <c r="C47" s="66"/>
    </row>
    <row r="48" spans="1:6">
      <c r="A48" s="333" t="s">
        <v>1432</v>
      </c>
      <c r="C48" s="66">
        <f>'Sch M-2.3-E pg 1-2'!T48</f>
        <v>2474607</v>
      </c>
    </row>
    <row r="49" spans="1:6">
      <c r="A49" s="333" t="s">
        <v>1535</v>
      </c>
      <c r="C49" s="66">
        <f>'Sch M-2.3-E pg 1-2'!T49</f>
        <v>2325202</v>
      </c>
    </row>
    <row r="50" spans="1:6">
      <c r="A50" s="333" t="s">
        <v>1476</v>
      </c>
      <c r="C50" s="66">
        <f>'Sch M-2.3-E pg 1-2'!T50</f>
        <v>3744845</v>
      </c>
      <c r="E50" s="72">
        <f>'Sch M-2.3-E pg 1-2'!V50</f>
        <v>-163013</v>
      </c>
      <c r="F50" s="850" t="s">
        <v>1637</v>
      </c>
    </row>
    <row r="51" spans="1:6">
      <c r="A51" s="333" t="s">
        <v>1477</v>
      </c>
      <c r="C51" s="66">
        <f>'Sch M-2.3-E pg 1-2'!T51</f>
        <v>6625945</v>
      </c>
      <c r="E51" s="66"/>
      <c r="F51" s="344"/>
    </row>
    <row r="53" spans="1:6">
      <c r="A53" s="56" t="s">
        <v>875</v>
      </c>
      <c r="B53" s="56"/>
      <c r="C53" s="343">
        <f>'Sch M-2.3-E pg 1-2'!T53</f>
        <v>1121629606.6037636</v>
      </c>
      <c r="D53" s="343"/>
      <c r="E53" s="343">
        <f>'Sch M-2.3-E pg 1-2'!V53</f>
        <v>-3927.2120000002906</v>
      </c>
      <c r="F53" s="345">
        <f>E53/C53</f>
        <v>-3.5013448083736709E-6</v>
      </c>
    </row>
    <row r="55" spans="1:6">
      <c r="E55" s="851" t="s">
        <v>1636</v>
      </c>
    </row>
    <row r="60" spans="1:6">
      <c r="A60" s="77"/>
      <c r="B60" s="77"/>
    </row>
  </sheetData>
  <printOptions horizontalCentered="1"/>
  <pageMargins left="0.5" right="0.5" top="1.44" bottom="0.37" header="0.57999999999999996" footer="0.3"/>
  <pageSetup scale="90" fitToWidth="2" orientation="portrait" r:id="rId1"/>
  <headerFooter scaleWithDoc="0">
    <oddHeader>&amp;C&amp;"Calibri,Bold"&amp;10Louisville Gas and Electric Company&amp;12
&amp;9Case No. 2014-00372&amp;8
&amp;9Summary of Proposed Revenue Increase
Forecast Period Sales for the Twelve Months Ended June 30, 2016
Electric Operations&amp;R&amp;"Times New Roman,Bold"&amp;12Settlement Exhibit 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C000"/>
  </sheetPr>
  <dimension ref="A1:AL576"/>
  <sheetViews>
    <sheetView view="pageBreakPreview" zoomScale="110" zoomScaleNormal="80" zoomScaleSheetLayoutView="110" workbookViewId="0">
      <selection activeCell="A4" sqref="A4"/>
    </sheetView>
  </sheetViews>
  <sheetFormatPr defaultColWidth="9.33203125" defaultRowHeight="12.75"/>
  <cols>
    <col min="1" max="1" width="9.33203125" style="198"/>
    <col min="2" max="2" width="54.83203125" style="62" customWidth="1"/>
    <col min="3" max="3" width="19.33203125" style="62" customWidth="1"/>
    <col min="4" max="4" width="16.83203125" style="62" customWidth="1"/>
    <col min="5" max="5" width="20.6640625" style="62" bestFit="1" customWidth="1"/>
    <col min="6" max="6" width="17.33203125" style="62" customWidth="1"/>
    <col min="7" max="7" width="22.83203125" style="62" bestFit="1" customWidth="1"/>
    <col min="8" max="8" width="4.33203125" style="62" customWidth="1"/>
    <col min="9" max="9" width="13.6640625" style="62" bestFit="1" customWidth="1"/>
    <col min="10" max="10" width="23.1640625" style="62" bestFit="1" customWidth="1"/>
    <col min="11" max="11" width="18.5" style="62" bestFit="1" customWidth="1"/>
    <col min="12" max="12" width="24" style="823" customWidth="1"/>
    <col min="13" max="13" width="24" style="62" customWidth="1"/>
    <col min="14" max="14" width="18.5" style="686" bestFit="1" customWidth="1"/>
    <col min="15" max="15" width="14.83203125" style="686" bestFit="1" customWidth="1"/>
    <col min="16" max="16" width="13.83203125" style="62" bestFit="1" customWidth="1"/>
    <col min="17" max="17" width="21.33203125" style="62" customWidth="1"/>
    <col min="18" max="18" width="17.83203125" style="62" bestFit="1" customWidth="1"/>
    <col min="19" max="16384" width="9.33203125" style="62"/>
  </cols>
  <sheetData>
    <row r="1" spans="1:38" s="310" customFormat="1">
      <c r="A1" s="416" t="s">
        <v>1283</v>
      </c>
      <c r="I1" s="735"/>
      <c r="J1" s="346" t="str">
        <f>'Sch M-2.3-E pg 1-2'!$K$1</f>
        <v>Schedule M-2.3-E</v>
      </c>
      <c r="K1" s="312"/>
      <c r="L1" s="821"/>
      <c r="M1" s="312"/>
      <c r="N1" s="686" t="s">
        <v>1491</v>
      </c>
      <c r="O1" s="693"/>
      <c r="P1" s="312"/>
      <c r="Q1" s="312"/>
      <c r="R1" s="312"/>
      <c r="S1" s="312"/>
      <c r="T1" s="312"/>
      <c r="U1" s="312"/>
      <c r="V1" s="312"/>
      <c r="Y1" s="387"/>
      <c r="AA1" s="387"/>
      <c r="AB1" s="387"/>
      <c r="AC1" s="387"/>
      <c r="AD1" s="387"/>
      <c r="AE1" s="387"/>
      <c r="AF1" s="387"/>
      <c r="AG1" s="387"/>
      <c r="AH1" s="387"/>
      <c r="AI1" s="387"/>
      <c r="AJ1" s="387"/>
      <c r="AK1" s="387"/>
      <c r="AL1" s="387"/>
    </row>
    <row r="2" spans="1:38" s="310" customFormat="1">
      <c r="A2" s="347" t="s">
        <v>1251</v>
      </c>
      <c r="I2" s="735"/>
      <c r="J2" s="346" t="str">
        <f>"Page "&amp;N2&amp;" of "&amp;O2</f>
        <v>Page 2 of 24</v>
      </c>
      <c r="K2" s="312"/>
      <c r="L2" s="821"/>
      <c r="M2" s="312"/>
      <c r="N2" s="687">
        <v>2</v>
      </c>
      <c r="O2" s="687">
        <f>'Settlement Exhibit 2 pgs 18-24'!$M$189</f>
        <v>24</v>
      </c>
      <c r="P2" s="312"/>
      <c r="Q2" s="312"/>
      <c r="R2" s="312"/>
      <c r="S2" s="312"/>
      <c r="T2" s="312"/>
      <c r="U2" s="312"/>
      <c r="V2" s="312"/>
      <c r="Y2" s="387"/>
    </row>
    <row r="3" spans="1:38" s="310" customFormat="1">
      <c r="A3" s="347" t="s">
        <v>1248</v>
      </c>
      <c r="I3" s="735"/>
      <c r="J3" s="346">
        <f>'Sch M-2.3-E pg 1-2'!$K$3</f>
        <v>0</v>
      </c>
      <c r="K3" s="312"/>
      <c r="L3" s="821"/>
      <c r="M3" s="312"/>
      <c r="N3" s="693"/>
      <c r="O3" s="693"/>
      <c r="P3" s="312"/>
      <c r="Q3" s="312"/>
      <c r="R3" s="312"/>
      <c r="S3" s="312"/>
      <c r="T3" s="312"/>
      <c r="U3" s="312"/>
      <c r="V3" s="415"/>
      <c r="Y3" s="387"/>
      <c r="Z3" s="388"/>
    </row>
    <row r="4" spans="1:38" s="310" customFormat="1">
      <c r="A4" s="348"/>
      <c r="B4" s="191"/>
      <c r="C4" s="203"/>
      <c r="D4" s="215"/>
      <c r="E4" s="191"/>
      <c r="F4" s="191"/>
      <c r="G4" s="269"/>
      <c r="H4" s="269"/>
      <c r="I4" s="736"/>
      <c r="J4" s="203"/>
      <c r="K4" s="217"/>
      <c r="L4" s="822"/>
      <c r="M4" s="217"/>
      <c r="N4" s="693"/>
      <c r="O4" s="693"/>
      <c r="P4" s="312"/>
      <c r="Q4" s="312"/>
      <c r="R4" s="312"/>
      <c r="S4" s="312"/>
      <c r="T4" s="312"/>
      <c r="U4" s="312"/>
      <c r="V4" s="312"/>
      <c r="Y4" s="388"/>
      <c r="AA4" s="387"/>
      <c r="AB4" s="387"/>
      <c r="AC4" s="387"/>
      <c r="AD4" s="387"/>
      <c r="AE4" s="387"/>
    </row>
    <row r="5" spans="1:38">
      <c r="A5" s="405"/>
      <c r="B5" s="375"/>
      <c r="C5" s="406"/>
      <c r="D5" s="406"/>
      <c r="E5" s="406"/>
      <c r="F5" s="407" t="s">
        <v>862</v>
      </c>
      <c r="G5" s="408"/>
      <c r="H5" s="377"/>
      <c r="I5" s="377"/>
      <c r="J5" s="376" t="s">
        <v>876</v>
      </c>
    </row>
    <row r="6" spans="1:38">
      <c r="A6" s="390"/>
      <c r="C6" s="216"/>
      <c r="D6" s="211"/>
      <c r="E6" s="216"/>
      <c r="F6" s="216" t="s">
        <v>104</v>
      </c>
      <c r="G6" s="212" t="s">
        <v>105</v>
      </c>
      <c r="I6" s="62" t="s">
        <v>879</v>
      </c>
      <c r="J6" s="63" t="s">
        <v>878</v>
      </c>
    </row>
    <row r="7" spans="1:38">
      <c r="A7" s="409"/>
      <c r="B7" s="276"/>
      <c r="C7" s="410" t="s">
        <v>1255</v>
      </c>
      <c r="D7" s="411"/>
      <c r="E7" s="386" t="s">
        <v>107</v>
      </c>
      <c r="F7" s="386" t="s">
        <v>108</v>
      </c>
      <c r="G7" s="412" t="s">
        <v>109</v>
      </c>
      <c r="H7" s="276"/>
      <c r="I7" s="276" t="s">
        <v>93</v>
      </c>
      <c r="J7" s="380" t="s">
        <v>881</v>
      </c>
    </row>
    <row r="8" spans="1:38">
      <c r="A8" s="390"/>
      <c r="C8" s="213"/>
      <c r="D8" s="211"/>
      <c r="E8" s="216"/>
      <c r="F8" s="216"/>
      <c r="G8" s="212"/>
      <c r="J8" s="63"/>
    </row>
    <row r="9" spans="1:38">
      <c r="A9" s="303" t="s">
        <v>1206</v>
      </c>
    </row>
    <row r="10" spans="1:38">
      <c r="A10" s="62"/>
      <c r="B10" s="277" t="s">
        <v>998</v>
      </c>
      <c r="C10" s="192">
        <f>SUMIF(L_12MonResults_RateClass,MiscData!$Y$18,L_12MonResults_Contract_Cnt)</f>
        <v>4337986</v>
      </c>
      <c r="F10" s="193">
        <f>SUMIF(L_Rates_Tariff_Rate_Category,MiscData!$X$5&amp;MiscData!$AA$38,L_Rates_BSC)</f>
        <v>10.75</v>
      </c>
      <c r="G10" s="279">
        <f>ROUND(F10*C10,0)</f>
        <v>46633350</v>
      </c>
      <c r="I10" s="278">
        <v>10.75</v>
      </c>
      <c r="J10" s="279">
        <f>ROUND(I10*C10,0)</f>
        <v>46633350</v>
      </c>
      <c r="K10" s="302"/>
      <c r="L10" s="835">
        <f>(I10-F10)/F10</f>
        <v>0</v>
      </c>
    </row>
    <row r="11" spans="1:38">
      <c r="A11" s="62"/>
      <c r="B11" s="281" t="s">
        <v>882</v>
      </c>
      <c r="E11" s="192">
        <f>SUMIF(L_12MonResults_RateClass,MiscData!$Y$18,L_12MonResults_KWH_Total)</f>
        <v>4266714109</v>
      </c>
      <c r="F11" s="196">
        <f>SUMIF(L_Rates_Tariff_Rate_Category,MiscData!$X$5&amp;MiscData!$AA$38,L_Rates_Energy)</f>
        <v>8.0760000000000012E-2</v>
      </c>
      <c r="G11" s="279">
        <f>ROUND(F11*E11,0)</f>
        <v>344579831</v>
      </c>
      <c r="I11" s="282">
        <v>8.0820000000000003E-2</v>
      </c>
      <c r="J11" s="279">
        <f>ROUND(I11*E11,0)</f>
        <v>344835834</v>
      </c>
      <c r="K11" s="302"/>
      <c r="L11" s="835">
        <f>(I11-F11)/F11</f>
        <v>7.4294205051994317E-4</v>
      </c>
      <c r="O11" s="694"/>
      <c r="P11" s="392"/>
      <c r="R11" s="393"/>
    </row>
    <row r="12" spans="1:38" ht="15">
      <c r="A12" s="296"/>
      <c r="B12" s="281"/>
      <c r="G12" s="285"/>
      <c r="J12" s="285"/>
      <c r="R12" s="394"/>
    </row>
    <row r="13" spans="1:38" ht="15">
      <c r="A13" s="296"/>
      <c r="B13" s="281" t="s">
        <v>882</v>
      </c>
      <c r="G13" s="285"/>
      <c r="J13" s="285"/>
    </row>
    <row r="14" spans="1:38">
      <c r="A14" s="62"/>
      <c r="B14" s="281"/>
      <c r="F14" s="282"/>
      <c r="G14" s="279"/>
      <c r="J14" s="279"/>
      <c r="K14" s="302"/>
      <c r="O14" s="695"/>
      <c r="P14" s="395"/>
    </row>
    <row r="15" spans="1:38">
      <c r="A15" s="307"/>
      <c r="E15" s="287" t="s">
        <v>883</v>
      </c>
      <c r="G15" s="288">
        <f>SUM(G10:G13)</f>
        <v>391213181</v>
      </c>
      <c r="J15" s="288">
        <f>SUM(J10:J13)</f>
        <v>391469184</v>
      </c>
      <c r="M15" s="302"/>
    </row>
    <row r="16" spans="1:38">
      <c r="A16" s="307"/>
      <c r="E16" s="281" t="s">
        <v>884</v>
      </c>
      <c r="G16" s="289">
        <f>'12MonResults'!$AF$481</f>
        <v>0.99999925871673268</v>
      </c>
      <c r="J16" s="289">
        <f>G16</f>
        <v>0.99999925871673268</v>
      </c>
    </row>
    <row r="17" spans="1:12">
      <c r="A17" s="307"/>
      <c r="E17" s="287" t="s">
        <v>885</v>
      </c>
      <c r="G17" s="288">
        <f>+ROUND(G15/G16,0)</f>
        <v>391213471</v>
      </c>
      <c r="J17" s="288">
        <f>+ROUND(J15/J16,0)</f>
        <v>391469474</v>
      </c>
      <c r="K17" s="302"/>
    </row>
    <row r="18" spans="1:12">
      <c r="A18" s="307"/>
      <c r="E18" s="287"/>
      <c r="G18" s="279"/>
    </row>
    <row r="19" spans="1:12">
      <c r="A19" s="396"/>
      <c r="B19" s="62" t="s">
        <v>886</v>
      </c>
      <c r="G19" s="279">
        <f>'ECR in Base Rates'!$G$5*-1</f>
        <v>-5717397</v>
      </c>
      <c r="J19" s="279">
        <f>G19</f>
        <v>-5717397</v>
      </c>
    </row>
    <row r="20" spans="1:12">
      <c r="A20" s="396"/>
      <c r="B20" s="286"/>
      <c r="G20" s="275"/>
    </row>
    <row r="21" spans="1:12" ht="15">
      <c r="B21" s="274" t="s">
        <v>887</v>
      </c>
      <c r="G21" s="290">
        <f>SUM(G17:G19)</f>
        <v>385496074</v>
      </c>
      <c r="J21" s="290">
        <f>SUM(J19:J19)+J17</f>
        <v>385752077</v>
      </c>
    </row>
    <row r="22" spans="1:12">
      <c r="B22" s="286"/>
      <c r="G22" s="279"/>
      <c r="J22" s="279"/>
    </row>
    <row r="23" spans="1:12">
      <c r="B23" s="286" t="s">
        <v>1483</v>
      </c>
      <c r="G23" s="279">
        <f>'Sch M-2.3-E pg 1-2'!P12</f>
        <v>-827983</v>
      </c>
      <c r="J23" s="279">
        <f>G23</f>
        <v>-827983</v>
      </c>
    </row>
    <row r="24" spans="1:12">
      <c r="B24" s="286" t="s">
        <v>1484</v>
      </c>
      <c r="G24" s="279">
        <f>'Sch M-2.3-E pg 1-2'!Q12</f>
        <v>7942641</v>
      </c>
      <c r="J24" s="279">
        <f>G24</f>
        <v>7942641</v>
      </c>
    </row>
    <row r="25" spans="1:12">
      <c r="B25" s="286" t="s">
        <v>1485</v>
      </c>
      <c r="G25" s="279">
        <f>'Sch M-2.3-E pg 1-2'!R12</f>
        <v>37698882</v>
      </c>
      <c r="J25" s="279">
        <f>G25</f>
        <v>37698882</v>
      </c>
    </row>
    <row r="26" spans="1:12">
      <c r="B26" s="284" t="s">
        <v>888</v>
      </c>
      <c r="G26" s="279">
        <f>-G19</f>
        <v>5717397</v>
      </c>
      <c r="J26" s="279">
        <f>G26</f>
        <v>5717397</v>
      </c>
    </row>
    <row r="27" spans="1:12">
      <c r="B27" s="284"/>
      <c r="G27" s="279"/>
      <c r="J27" s="279"/>
    </row>
    <row r="28" spans="1:12" ht="15">
      <c r="B28" s="274" t="s">
        <v>889</v>
      </c>
      <c r="G28" s="290">
        <f>SUM(G21:G26)</f>
        <v>436027011</v>
      </c>
      <c r="J28" s="290">
        <f>SUM(J21:J26)</f>
        <v>436283014</v>
      </c>
    </row>
    <row r="29" spans="1:12" ht="15">
      <c r="B29" s="274"/>
      <c r="G29" s="291"/>
      <c r="J29" s="291"/>
    </row>
    <row r="30" spans="1:12">
      <c r="A30" s="350"/>
      <c r="B30" s="227" t="s">
        <v>890</v>
      </c>
      <c r="J30" s="301">
        <f>J28-G28</f>
        <v>256003</v>
      </c>
      <c r="K30" s="839">
        <v>270336.74682</v>
      </c>
      <c r="L30" s="62">
        <f>'Sch M-2.3-E pg 1-2'!AT13</f>
        <v>267101.46566677094</v>
      </c>
    </row>
    <row r="31" spans="1:12">
      <c r="C31" s="284" t="s">
        <v>891</v>
      </c>
      <c r="D31" s="284"/>
      <c r="J31" s="302">
        <f>J30/G28</f>
        <v>5.8712647047455503E-4</v>
      </c>
      <c r="K31" s="840">
        <f>K30-J30</f>
        <v>14333.74682</v>
      </c>
      <c r="L31" s="62">
        <f>L30-J30</f>
        <v>11098.465666770935</v>
      </c>
    </row>
    <row r="32" spans="1:12">
      <c r="A32" s="200"/>
      <c r="B32" s="200"/>
      <c r="C32" s="200"/>
      <c r="D32" s="200"/>
      <c r="E32" s="200"/>
      <c r="F32" s="200"/>
      <c r="G32" s="200"/>
      <c r="H32" s="200"/>
      <c r="I32" s="200"/>
      <c r="J32" s="200"/>
      <c r="K32" s="397"/>
    </row>
    <row r="34" spans="1:38" s="310" customFormat="1">
      <c r="A34" s="416" t="s">
        <v>1283</v>
      </c>
      <c r="I34" s="735"/>
      <c r="J34" s="346" t="str">
        <f>'Sch M-2.3-E pg 1-2'!$K$1</f>
        <v>Schedule M-2.3-E</v>
      </c>
      <c r="K34" s="312"/>
      <c r="L34" s="821"/>
      <c r="M34" s="312"/>
      <c r="N34" s="693"/>
      <c r="O34" s="693"/>
      <c r="P34" s="312"/>
      <c r="Q34" s="312"/>
      <c r="R34" s="312"/>
      <c r="S34" s="312"/>
      <c r="T34" s="312"/>
      <c r="U34" s="312"/>
      <c r="V34" s="312"/>
      <c r="Y34" s="387"/>
      <c r="AA34" s="387"/>
      <c r="AB34" s="387"/>
      <c r="AC34" s="387"/>
      <c r="AD34" s="387"/>
      <c r="AE34" s="387"/>
      <c r="AF34" s="387"/>
      <c r="AG34" s="387"/>
      <c r="AH34" s="387"/>
      <c r="AI34" s="387"/>
      <c r="AJ34" s="387"/>
      <c r="AK34" s="387"/>
      <c r="AL34" s="387"/>
    </row>
    <row r="35" spans="1:38" s="310" customFormat="1">
      <c r="A35" s="347" t="s">
        <v>1251</v>
      </c>
      <c r="I35" s="735"/>
      <c r="J35" s="346" t="str">
        <f>"Page "&amp;N35&amp;" of "&amp;O35</f>
        <v>Page 3 of 24</v>
      </c>
      <c r="K35" s="312"/>
      <c r="L35" s="821"/>
      <c r="M35" s="312"/>
      <c r="N35" s="687">
        <f>N2+1</f>
        <v>3</v>
      </c>
      <c r="O35" s="687">
        <f>'Settlement Exhibit 2 pgs 18-24'!$M$189</f>
        <v>24</v>
      </c>
      <c r="P35" s="312"/>
      <c r="Q35" s="312"/>
      <c r="R35" s="312"/>
      <c r="S35" s="312"/>
      <c r="T35" s="312"/>
      <c r="U35" s="312"/>
      <c r="V35" s="312"/>
      <c r="Y35" s="387"/>
    </row>
    <row r="36" spans="1:38" s="310" customFormat="1">
      <c r="A36" s="347" t="s">
        <v>1248</v>
      </c>
      <c r="I36" s="735"/>
      <c r="J36" s="346">
        <f>'Sch M-2.3-E pg 1-2'!$K$3</f>
        <v>0</v>
      </c>
      <c r="K36" s="312"/>
      <c r="L36" s="821"/>
      <c r="M36" s="312"/>
      <c r="N36" s="693"/>
      <c r="O36" s="693"/>
      <c r="P36" s="312"/>
      <c r="Q36" s="312"/>
      <c r="R36" s="312"/>
      <c r="S36" s="312"/>
      <c r="T36" s="312"/>
      <c r="U36" s="312"/>
      <c r="V36" s="415"/>
      <c r="Y36" s="387"/>
      <c r="Z36" s="388"/>
    </row>
    <row r="37" spans="1:38" s="310" customFormat="1">
      <c r="A37" s="348"/>
      <c r="B37" s="191"/>
      <c r="C37" s="203"/>
      <c r="D37" s="215"/>
      <c r="E37" s="191"/>
      <c r="F37" s="191"/>
      <c r="G37" s="269"/>
      <c r="H37" s="269"/>
      <c r="I37" s="736"/>
      <c r="J37" s="203"/>
      <c r="K37" s="217"/>
      <c r="L37" s="822"/>
      <c r="M37" s="217"/>
      <c r="N37" s="693"/>
      <c r="O37" s="693"/>
      <c r="P37" s="312"/>
      <c r="Q37" s="312"/>
      <c r="R37" s="312"/>
      <c r="S37" s="312"/>
      <c r="T37" s="312"/>
      <c r="U37" s="312"/>
      <c r="V37" s="312"/>
      <c r="Y37" s="388"/>
      <c r="AA37" s="387"/>
      <c r="AB37" s="387"/>
      <c r="AC37" s="387"/>
      <c r="AD37" s="387"/>
      <c r="AE37" s="387"/>
    </row>
    <row r="38" spans="1:38">
      <c r="A38" s="405"/>
      <c r="B38" s="375"/>
      <c r="C38" s="406"/>
      <c r="D38" s="406"/>
      <c r="E38" s="406"/>
      <c r="F38" s="407" t="s">
        <v>862</v>
      </c>
      <c r="G38" s="408"/>
      <c r="H38" s="377"/>
      <c r="I38" s="377"/>
      <c r="J38" s="376" t="s">
        <v>876</v>
      </c>
    </row>
    <row r="39" spans="1:38">
      <c r="A39" s="390"/>
      <c r="C39" s="224"/>
      <c r="D39" s="211"/>
      <c r="E39" s="224"/>
      <c r="F39" s="224" t="s">
        <v>104</v>
      </c>
      <c r="G39" s="212" t="s">
        <v>105</v>
      </c>
      <c r="I39" s="62" t="s">
        <v>879</v>
      </c>
      <c r="J39" s="63" t="s">
        <v>878</v>
      </c>
    </row>
    <row r="40" spans="1:38">
      <c r="A40" s="409"/>
      <c r="B40" s="276"/>
      <c r="C40" s="410" t="s">
        <v>1255</v>
      </c>
      <c r="D40" s="411"/>
      <c r="E40" s="386" t="s">
        <v>107</v>
      </c>
      <c r="F40" s="386" t="s">
        <v>108</v>
      </c>
      <c r="G40" s="412" t="s">
        <v>109</v>
      </c>
      <c r="H40" s="276"/>
      <c r="I40" s="276" t="s">
        <v>93</v>
      </c>
      <c r="J40" s="380" t="s">
        <v>881</v>
      </c>
    </row>
    <row r="41" spans="1:38">
      <c r="A41" s="390"/>
      <c r="C41" s="213"/>
      <c r="D41" s="211"/>
      <c r="E41" s="224"/>
      <c r="F41" s="224"/>
      <c r="G41" s="212"/>
      <c r="J41" s="63"/>
    </row>
    <row r="42" spans="1:38">
      <c r="A42" s="303" t="s">
        <v>1497</v>
      </c>
    </row>
    <row r="43" spans="1:38">
      <c r="A43" s="62"/>
      <c r="B43" s="277" t="s">
        <v>998</v>
      </c>
      <c r="C43" s="192">
        <f>SUMIF(L_12MonResults_RateClass,MiscData!$Y$14,L_12MonResults_Contract_Cnt)</f>
        <v>243</v>
      </c>
      <c r="F43" s="193">
        <f>SUMIF(L_Rates_Tariff_Rate_Category,MiscData!$X$5&amp;MiscData!$AA$41,L_Rates_BSC)</f>
        <v>10.75</v>
      </c>
      <c r="G43" s="279">
        <f>ROUND(F43*C43,0)</f>
        <v>2612</v>
      </c>
      <c r="I43" s="278">
        <v>10.75</v>
      </c>
      <c r="J43" s="279">
        <f>ROUND(I43*C43,0)</f>
        <v>2612</v>
      </c>
    </row>
    <row r="44" spans="1:38">
      <c r="A44" s="62"/>
      <c r="B44" s="281" t="s">
        <v>1486</v>
      </c>
      <c r="E44" s="192">
        <f>SUMIF(L_12MonResults_RateClass,MiscData!$Y$14,L_12MonResults_KWH_P1)</f>
        <v>185122</v>
      </c>
      <c r="F44" s="196">
        <f>SUMIF(L_Rates_Tariff_Rate_Category,MiscData!$X$5&amp;MiscData!$AA$41,L_Rates_Energy)</f>
        <v>5.8200000000000002E-2</v>
      </c>
      <c r="G44" s="279">
        <f>ROUND(F44*E44,0)</f>
        <v>10774</v>
      </c>
      <c r="I44" s="282">
        <v>5.5710000000000003E-2</v>
      </c>
      <c r="J44" s="279">
        <f>ROUND(I44*(E44+E45),0)</f>
        <v>14936</v>
      </c>
      <c r="K44" s="302"/>
      <c r="L44" s="823">
        <f>L65/(J44+J46)</f>
        <v>-9.5873647392978614E-2</v>
      </c>
      <c r="N44" s="696"/>
      <c r="O44" s="695"/>
      <c r="P44" s="395"/>
    </row>
    <row r="45" spans="1:38">
      <c r="A45" s="62"/>
      <c r="B45" s="281" t="s">
        <v>1487</v>
      </c>
      <c r="C45" s="62" t="s">
        <v>1488</v>
      </c>
      <c r="E45" s="192">
        <f>SUMIF(L_12MonResults_RateClass,MiscData!$Y$14,L_12MonResults_KWH_P2)</f>
        <v>82977</v>
      </c>
      <c r="F45" s="196">
        <f>SUMIF(L_Rates_Tariff_Rate_Category,MiscData!$X$5&amp;MiscData!$AA$41,L_Rates_Energy_P2)</f>
        <v>7.8990000000000005E-2</v>
      </c>
      <c r="G45" s="279">
        <f>ROUND(F45*E45,0)+1</f>
        <v>6555</v>
      </c>
      <c r="I45" s="282"/>
      <c r="J45" s="279"/>
      <c r="K45" s="302"/>
      <c r="L45" s="823">
        <v>4.861328818909539E-2</v>
      </c>
      <c r="O45" s="695"/>
      <c r="P45" s="395"/>
    </row>
    <row r="46" spans="1:38">
      <c r="A46" s="62"/>
      <c r="B46" s="281" t="s">
        <v>1489</v>
      </c>
      <c r="E46" s="192">
        <f>SUMIF(L_12MonResults_RateClass,MiscData!$Y$14,L_12MonResults_KWH_P3)</f>
        <v>63254</v>
      </c>
      <c r="F46" s="196">
        <f>SUMIF(L_Rates_Tariff_Rate_Category,MiscData!$X$5&amp;MiscData!$AA$41,L_Rates_Energy_P3)</f>
        <v>0.14451000000000003</v>
      </c>
      <c r="G46" s="279">
        <f>ROUND(F46*E46,0)</f>
        <v>9141</v>
      </c>
      <c r="I46" s="282">
        <v>0.22706000000000001</v>
      </c>
      <c r="J46" s="279">
        <f>ROUND(I46*E46,0)</f>
        <v>14362</v>
      </c>
      <c r="K46" s="302"/>
      <c r="L46" s="823">
        <v>0.19813304309738877</v>
      </c>
      <c r="O46" s="695"/>
      <c r="P46" s="395"/>
    </row>
    <row r="47" spans="1:38">
      <c r="A47" s="62"/>
      <c r="B47" s="281"/>
      <c r="F47" s="282"/>
      <c r="G47" s="279"/>
      <c r="J47" s="279"/>
      <c r="K47" s="302"/>
      <c r="O47" s="695"/>
      <c r="P47" s="395"/>
    </row>
    <row r="48" spans="1:38">
      <c r="A48" s="62"/>
      <c r="B48" s="281"/>
      <c r="F48" s="282"/>
      <c r="G48" s="279"/>
      <c r="J48" s="279"/>
      <c r="K48" s="302"/>
      <c r="O48" s="695"/>
      <c r="P48" s="395"/>
    </row>
    <row r="49" spans="1:13">
      <c r="A49" s="307"/>
      <c r="E49" s="287" t="s">
        <v>883</v>
      </c>
      <c r="G49" s="288">
        <f>SUM(G43:G47)</f>
        <v>29082</v>
      </c>
      <c r="J49" s="288">
        <f>SUM(J43:J47)</f>
        <v>31910</v>
      </c>
      <c r="M49" s="302"/>
    </row>
    <row r="50" spans="1:13">
      <c r="A50" s="307"/>
      <c r="E50" s="281" t="s">
        <v>884</v>
      </c>
      <c r="G50" s="289">
        <f>'12MonResults'!$AF$482</f>
        <v>1</v>
      </c>
      <c r="J50" s="289">
        <f>G50</f>
        <v>1</v>
      </c>
    </row>
    <row r="51" spans="1:13">
      <c r="A51" s="307"/>
      <c r="E51" s="287" t="s">
        <v>885</v>
      </c>
      <c r="G51" s="288">
        <f>+ROUND(G49/G50,0)</f>
        <v>29082</v>
      </c>
      <c r="J51" s="288">
        <f>+ROUND(J49/J50,0)</f>
        <v>31910</v>
      </c>
      <c r="K51" s="302"/>
    </row>
    <row r="52" spans="1:13">
      <c r="A52" s="307"/>
      <c r="E52" s="287"/>
      <c r="G52" s="279"/>
    </row>
    <row r="53" spans="1:13">
      <c r="A53" s="396"/>
      <c r="B53" s="62" t="s">
        <v>886</v>
      </c>
      <c r="G53" s="279">
        <f>'ECR in Base Rates'!$G$6*-1</f>
        <v>-444</v>
      </c>
      <c r="J53" s="279">
        <f>G53</f>
        <v>-444</v>
      </c>
    </row>
    <row r="54" spans="1:13">
      <c r="A54" s="396"/>
      <c r="B54" s="286"/>
      <c r="G54" s="275"/>
    </row>
    <row r="55" spans="1:13" ht="15">
      <c r="B55" s="274" t="s">
        <v>887</v>
      </c>
      <c r="G55" s="290">
        <f>SUM(G51:G53)</f>
        <v>28638</v>
      </c>
      <c r="J55" s="290">
        <f>SUM(J53:J53)+J51</f>
        <v>31466</v>
      </c>
    </row>
    <row r="56" spans="1:13">
      <c r="B56" s="286"/>
      <c r="G56" s="279"/>
      <c r="J56" s="279"/>
    </row>
    <row r="57" spans="1:13">
      <c r="B57" s="286" t="s">
        <v>1483</v>
      </c>
      <c r="G57" s="279">
        <f>'Sch M-2.3-E pg 1-2'!$P$13</f>
        <v>-39</v>
      </c>
      <c r="J57" s="279">
        <f>G57</f>
        <v>-39</v>
      </c>
    </row>
    <row r="58" spans="1:13">
      <c r="B58" s="286" t="s">
        <v>1484</v>
      </c>
      <c r="G58" s="279">
        <f>'Sch M-2.3-E pg 1-2'!$Q$13</f>
        <v>370</v>
      </c>
      <c r="J58" s="279">
        <f>G58</f>
        <v>370</v>
      </c>
    </row>
    <row r="59" spans="1:13">
      <c r="B59" s="286" t="s">
        <v>1485</v>
      </c>
      <c r="G59" s="279">
        <f>'Sch M-2.3-E pg 1-2'!$R$13</f>
        <v>1757</v>
      </c>
      <c r="J59" s="279">
        <f>G59</f>
        <v>1757</v>
      </c>
    </row>
    <row r="60" spans="1:13">
      <c r="B60" s="284" t="s">
        <v>888</v>
      </c>
      <c r="G60" s="279">
        <f>-G53</f>
        <v>444</v>
      </c>
      <c r="J60" s="279">
        <f>G60</f>
        <v>444</v>
      </c>
    </row>
    <row r="61" spans="1:13">
      <c r="B61" s="284"/>
      <c r="G61" s="279"/>
      <c r="J61" s="279"/>
    </row>
    <row r="62" spans="1:13" ht="15">
      <c r="B62" s="274" t="s">
        <v>889</v>
      </c>
      <c r="G62" s="290">
        <f>SUM(G55:G60)</f>
        <v>31170</v>
      </c>
      <c r="J62" s="290">
        <f>SUM(J55:J60)</f>
        <v>33998</v>
      </c>
    </row>
    <row r="63" spans="1:13" ht="15">
      <c r="B63" s="274"/>
      <c r="G63" s="291"/>
      <c r="J63" s="291"/>
    </row>
    <row r="64" spans="1:13">
      <c r="A64" s="350"/>
      <c r="B64" s="227" t="s">
        <v>890</v>
      </c>
      <c r="J64" s="301">
        <f>J62-G62</f>
        <v>2828</v>
      </c>
      <c r="K64" s="686">
        <v>19</v>
      </c>
      <c r="L64" s="62">
        <f>'Sch M-2.3-E pg 1-2'!AT14</f>
        <v>19.093878680512717</v>
      </c>
    </row>
    <row r="65" spans="1:38">
      <c r="C65" s="284" t="s">
        <v>891</v>
      </c>
      <c r="D65" s="284"/>
      <c r="J65" s="302">
        <f>J64/G62</f>
        <v>9.0728264356753283E-2</v>
      </c>
      <c r="K65" s="840">
        <f>K64-J64</f>
        <v>-2809</v>
      </c>
      <c r="L65" s="62">
        <f>L64-J64</f>
        <v>-2808.9061213194873</v>
      </c>
    </row>
    <row r="68" spans="1:38" s="310" customFormat="1">
      <c r="A68" s="416" t="s">
        <v>1283</v>
      </c>
      <c r="I68" s="735"/>
      <c r="J68" s="346" t="str">
        <f>'Sch M-2.3-E pg 1-2'!$K$1</f>
        <v>Schedule M-2.3-E</v>
      </c>
      <c r="K68" s="312"/>
      <c r="L68" s="821"/>
      <c r="M68" s="312"/>
      <c r="N68" s="693"/>
      <c r="O68" s="693"/>
      <c r="P68" s="312"/>
      <c r="Q68" s="312"/>
      <c r="R68" s="312"/>
      <c r="S68" s="312"/>
      <c r="T68" s="312"/>
      <c r="U68" s="312"/>
      <c r="V68" s="312"/>
      <c r="Y68" s="387"/>
      <c r="AA68" s="387"/>
      <c r="AB68" s="387"/>
      <c r="AC68" s="387"/>
      <c r="AD68" s="387"/>
      <c r="AE68" s="387"/>
      <c r="AF68" s="387"/>
      <c r="AG68" s="387"/>
      <c r="AH68" s="387"/>
      <c r="AI68" s="387"/>
      <c r="AJ68" s="387"/>
      <c r="AK68" s="387"/>
      <c r="AL68" s="387"/>
    </row>
    <row r="69" spans="1:38" s="310" customFormat="1">
      <c r="A69" s="347" t="s">
        <v>1251</v>
      </c>
      <c r="I69" s="735"/>
      <c r="J69" s="346" t="str">
        <f>"Page "&amp;N69&amp;" of "&amp;O69</f>
        <v>Page 4 of 24</v>
      </c>
      <c r="K69" s="312"/>
      <c r="L69" s="821"/>
      <c r="M69" s="312"/>
      <c r="N69" s="687">
        <f>N35+1</f>
        <v>4</v>
      </c>
      <c r="O69" s="687">
        <f>'Settlement Exhibit 2 pgs 18-24'!$M$189</f>
        <v>24</v>
      </c>
      <c r="P69" s="312"/>
      <c r="Q69" s="312"/>
      <c r="R69" s="312"/>
      <c r="S69" s="312"/>
      <c r="T69" s="312"/>
      <c r="U69" s="312"/>
      <c r="V69" s="312"/>
      <c r="Y69" s="387"/>
    </row>
    <row r="70" spans="1:38" s="310" customFormat="1">
      <c r="A70" s="347" t="s">
        <v>1248</v>
      </c>
      <c r="I70" s="735"/>
      <c r="J70" s="346">
        <f>'Sch M-2.3-E pg 1-2'!$K$3</f>
        <v>0</v>
      </c>
      <c r="K70" s="312"/>
      <c r="L70" s="821"/>
      <c r="M70" s="312"/>
      <c r="N70" s="693"/>
      <c r="O70" s="693"/>
      <c r="P70" s="312"/>
      <c r="Q70" s="312"/>
      <c r="R70" s="312"/>
      <c r="S70" s="312"/>
      <c r="T70" s="312"/>
      <c r="U70" s="312"/>
      <c r="V70" s="415"/>
      <c r="Y70" s="387"/>
      <c r="Z70" s="388"/>
    </row>
    <row r="71" spans="1:38" s="310" customFormat="1">
      <c r="A71" s="348"/>
      <c r="B71" s="191"/>
      <c r="C71" s="203"/>
      <c r="D71" s="215"/>
      <c r="E71" s="191"/>
      <c r="F71" s="191"/>
      <c r="G71" s="269"/>
      <c r="H71" s="269"/>
      <c r="I71" s="736"/>
      <c r="J71" s="203"/>
      <c r="K71" s="217"/>
      <c r="L71" s="822"/>
      <c r="M71" s="217"/>
      <c r="N71" s="693"/>
      <c r="O71" s="693"/>
      <c r="P71" s="312"/>
      <c r="Q71" s="312"/>
      <c r="R71" s="312"/>
      <c r="S71" s="312"/>
      <c r="T71" s="312"/>
      <c r="U71" s="312"/>
      <c r="V71" s="312"/>
      <c r="Y71" s="388"/>
      <c r="AA71" s="387"/>
      <c r="AB71" s="387"/>
      <c r="AC71" s="387"/>
      <c r="AD71" s="387"/>
      <c r="AE71" s="387"/>
    </row>
    <row r="72" spans="1:38">
      <c r="A72" s="405"/>
      <c r="B72" s="375"/>
      <c r="C72" s="406"/>
      <c r="D72" s="406"/>
      <c r="E72" s="406"/>
      <c r="F72" s="407" t="s">
        <v>862</v>
      </c>
      <c r="G72" s="408"/>
      <c r="H72" s="377"/>
      <c r="I72" s="377"/>
      <c r="J72" s="376" t="s">
        <v>876</v>
      </c>
    </row>
    <row r="73" spans="1:38">
      <c r="A73" s="390"/>
      <c r="C73" s="224"/>
      <c r="D73" s="211"/>
      <c r="E73" s="224"/>
      <c r="F73" s="224" t="s">
        <v>104</v>
      </c>
      <c r="G73" s="212" t="s">
        <v>105</v>
      </c>
      <c r="I73" s="62" t="s">
        <v>879</v>
      </c>
      <c r="J73" s="63" t="s">
        <v>878</v>
      </c>
    </row>
    <row r="74" spans="1:38">
      <c r="A74" s="409"/>
      <c r="B74" s="276"/>
      <c r="C74" s="410" t="s">
        <v>1255</v>
      </c>
      <c r="D74" s="411" t="s">
        <v>106</v>
      </c>
      <c r="E74" s="386" t="s">
        <v>107</v>
      </c>
      <c r="F74" s="386" t="s">
        <v>108</v>
      </c>
      <c r="G74" s="412" t="s">
        <v>109</v>
      </c>
      <c r="H74" s="276"/>
      <c r="I74" s="276" t="s">
        <v>93</v>
      </c>
      <c r="J74" s="380" t="s">
        <v>881</v>
      </c>
    </row>
    <row r="75" spans="1:38">
      <c r="A75" s="390"/>
      <c r="C75" s="213"/>
      <c r="D75" s="211"/>
      <c r="E75" s="224"/>
      <c r="F75" s="224"/>
      <c r="G75" s="212"/>
      <c r="J75" s="63"/>
    </row>
    <row r="76" spans="1:38">
      <c r="A76" s="303" t="s">
        <v>1498</v>
      </c>
    </row>
    <row r="77" spans="1:38">
      <c r="A77" s="62"/>
      <c r="B77" s="277" t="s">
        <v>998</v>
      </c>
      <c r="C77" s="62">
        <v>0</v>
      </c>
      <c r="F77" s="278">
        <v>10.75</v>
      </c>
      <c r="G77" s="279">
        <f>ROUND(F77*C77,0)</f>
        <v>0</v>
      </c>
      <c r="I77" s="278">
        <v>10.75</v>
      </c>
      <c r="J77" s="279">
        <f>ROUND(I77*C77,0)</f>
        <v>0</v>
      </c>
    </row>
    <row r="78" spans="1:38">
      <c r="A78" s="62"/>
      <c r="B78" s="281" t="s">
        <v>906</v>
      </c>
      <c r="E78" s="62">
        <v>0</v>
      </c>
      <c r="F78" s="282">
        <v>8.0760000000000012E-2</v>
      </c>
      <c r="G78" s="279">
        <f>ROUND(F78*E78,0)</f>
        <v>0</v>
      </c>
      <c r="I78" s="282">
        <v>4.0079999999999998E-2</v>
      </c>
      <c r="J78" s="279">
        <f>ROUND(I78*E78,0)</f>
        <v>0</v>
      </c>
      <c r="K78" s="302"/>
      <c r="N78" s="696"/>
      <c r="O78" s="695"/>
      <c r="P78" s="395"/>
    </row>
    <row r="79" spans="1:38">
      <c r="A79" s="62"/>
      <c r="B79" s="281" t="s">
        <v>1493</v>
      </c>
      <c r="D79" s="62">
        <v>0</v>
      </c>
      <c r="F79" s="282">
        <v>0</v>
      </c>
      <c r="G79" s="279"/>
      <c r="I79" s="737">
        <v>3.25</v>
      </c>
      <c r="J79" s="279">
        <f>ROUND(D79*I79,0)</f>
        <v>0</v>
      </c>
      <c r="K79" s="302"/>
      <c r="N79" s="696"/>
      <c r="O79" s="695"/>
      <c r="P79" s="395"/>
    </row>
    <row r="80" spans="1:38">
      <c r="A80" s="62"/>
      <c r="B80" s="277" t="s">
        <v>1494</v>
      </c>
      <c r="D80" s="62">
        <v>0</v>
      </c>
      <c r="F80" s="282">
        <v>0</v>
      </c>
      <c r="G80" s="279">
        <f>ROUND(F80*E80,0)</f>
        <v>0</v>
      </c>
      <c r="I80" s="737">
        <v>12.38</v>
      </c>
      <c r="J80" s="279">
        <f t="shared" ref="J80" si="0">ROUND(D80*I80,0)</f>
        <v>0</v>
      </c>
      <c r="K80" s="302"/>
      <c r="O80" s="695"/>
      <c r="P80" s="395"/>
    </row>
    <row r="81" spans="1:16">
      <c r="A81" s="62"/>
      <c r="B81" s="281"/>
      <c r="F81" s="282"/>
      <c r="G81" s="279"/>
      <c r="J81" s="279"/>
      <c r="K81" s="302"/>
      <c r="O81" s="695"/>
      <c r="P81" s="395"/>
    </row>
    <row r="82" spans="1:16">
      <c r="A82" s="62"/>
      <c r="B82" s="281"/>
      <c r="F82" s="282"/>
      <c r="G82" s="279"/>
      <c r="J82" s="279"/>
      <c r="K82" s="302"/>
      <c r="O82" s="695"/>
      <c r="P82" s="395"/>
    </row>
    <row r="83" spans="1:16">
      <c r="A83" s="307"/>
      <c r="E83" s="287" t="s">
        <v>883</v>
      </c>
      <c r="G83" s="288">
        <f>SUM(G77:G81)</f>
        <v>0</v>
      </c>
      <c r="J83" s="288">
        <f>SUM(J77:J81)</f>
        <v>0</v>
      </c>
      <c r="M83" s="302"/>
    </row>
    <row r="84" spans="1:16">
      <c r="A84" s="307"/>
      <c r="E84" s="281" t="s">
        <v>884</v>
      </c>
      <c r="G84" s="289">
        <v>1</v>
      </c>
      <c r="J84" s="289">
        <f>G84</f>
        <v>1</v>
      </c>
    </row>
    <row r="85" spans="1:16">
      <c r="A85" s="307"/>
      <c r="E85" s="287" t="s">
        <v>885</v>
      </c>
      <c r="G85" s="288">
        <f>+ROUND(G83/G84,0)</f>
        <v>0</v>
      </c>
      <c r="J85" s="288">
        <f>+ROUND(J83/J84,0)</f>
        <v>0</v>
      </c>
      <c r="K85" s="302"/>
    </row>
    <row r="86" spans="1:16">
      <c r="A86" s="307"/>
      <c r="E86" s="287"/>
      <c r="G86" s="279"/>
    </row>
    <row r="87" spans="1:16">
      <c r="A87" s="396"/>
      <c r="B87" s="62" t="s">
        <v>886</v>
      </c>
      <c r="G87" s="279">
        <v>0</v>
      </c>
      <c r="J87" s="279">
        <f>G87</f>
        <v>0</v>
      </c>
    </row>
    <row r="88" spans="1:16">
      <c r="A88" s="396"/>
      <c r="B88" s="286"/>
      <c r="G88" s="275"/>
    </row>
    <row r="89" spans="1:16" ht="15">
      <c r="B89" s="274" t="s">
        <v>887</v>
      </c>
      <c r="G89" s="290">
        <f>SUM(G85:G87)</f>
        <v>0</v>
      </c>
      <c r="J89" s="290">
        <f>SUM(J87:J87)+J85</f>
        <v>0</v>
      </c>
    </row>
    <row r="90" spans="1:16">
      <c r="B90" s="286"/>
      <c r="G90" s="279"/>
      <c r="J90" s="279"/>
    </row>
    <row r="91" spans="1:16">
      <c r="B91" s="286" t="s">
        <v>1483</v>
      </c>
      <c r="G91" s="279">
        <v>0</v>
      </c>
      <c r="J91" s="279">
        <f>G91</f>
        <v>0</v>
      </c>
    </row>
    <row r="92" spans="1:16">
      <c r="B92" s="286" t="s">
        <v>1484</v>
      </c>
      <c r="G92" s="279">
        <v>0</v>
      </c>
      <c r="J92" s="279">
        <f>G92</f>
        <v>0</v>
      </c>
    </row>
    <row r="93" spans="1:16">
      <c r="B93" s="286" t="s">
        <v>1485</v>
      </c>
      <c r="G93" s="279">
        <v>0</v>
      </c>
      <c r="J93" s="279">
        <f>G93</f>
        <v>0</v>
      </c>
    </row>
    <row r="94" spans="1:16">
      <c r="B94" s="284" t="s">
        <v>888</v>
      </c>
      <c r="G94" s="279">
        <v>0</v>
      </c>
      <c r="J94" s="279">
        <f>G94</f>
        <v>0</v>
      </c>
    </row>
    <row r="95" spans="1:16">
      <c r="B95" s="284"/>
      <c r="G95" s="279"/>
      <c r="J95" s="279"/>
    </row>
    <row r="96" spans="1:16" ht="15">
      <c r="B96" s="274" t="s">
        <v>889</v>
      </c>
      <c r="G96" s="290">
        <f>SUM(G89:G94)</f>
        <v>0</v>
      </c>
      <c r="J96" s="290">
        <f>SUM(J89:J94)</f>
        <v>0</v>
      </c>
    </row>
    <row r="97" spans="1:38" ht="15">
      <c r="B97" s="274"/>
      <c r="G97" s="291"/>
      <c r="J97" s="291"/>
    </row>
    <row r="98" spans="1:38">
      <c r="A98" s="350"/>
      <c r="B98" s="227" t="s">
        <v>890</v>
      </c>
      <c r="J98" s="301">
        <f>J96-G96</f>
        <v>0</v>
      </c>
    </row>
    <row r="99" spans="1:38">
      <c r="C99" s="284" t="s">
        <v>891</v>
      </c>
      <c r="D99" s="284"/>
      <c r="J99" s="302">
        <v>0</v>
      </c>
    </row>
    <row r="101" spans="1:38" ht="12.75" customHeight="1"/>
    <row r="102" spans="1:38" s="310" customFormat="1" ht="15" customHeight="1">
      <c r="A102" s="416" t="s">
        <v>1283</v>
      </c>
      <c r="I102" s="735"/>
      <c r="J102" s="346" t="str">
        <f>'Sch M-2.3-E pg 1-2'!$K$1</f>
        <v>Schedule M-2.3-E</v>
      </c>
      <c r="K102" s="312"/>
      <c r="L102" s="821"/>
      <c r="M102" s="312"/>
      <c r="N102" s="693"/>
      <c r="O102" s="693"/>
      <c r="P102" s="312"/>
      <c r="Q102" s="312"/>
      <c r="R102" s="312"/>
      <c r="S102" s="312"/>
      <c r="T102" s="312"/>
      <c r="U102" s="312"/>
      <c r="V102" s="312"/>
      <c r="Y102" s="387"/>
      <c r="AA102" s="387"/>
      <c r="AB102" s="387"/>
      <c r="AC102" s="387"/>
      <c r="AD102" s="387"/>
      <c r="AE102" s="387"/>
      <c r="AF102" s="387"/>
      <c r="AG102" s="387"/>
      <c r="AH102" s="387"/>
      <c r="AI102" s="387"/>
      <c r="AJ102" s="387"/>
      <c r="AK102" s="387"/>
      <c r="AL102" s="387"/>
    </row>
    <row r="103" spans="1:38" s="310" customFormat="1">
      <c r="A103" s="347" t="s">
        <v>1251</v>
      </c>
      <c r="I103" s="735"/>
      <c r="J103" s="346" t="str">
        <f>"Page "&amp;N103&amp;" of "&amp;O103</f>
        <v>Page 5 of 24</v>
      </c>
      <c r="K103" s="312"/>
      <c r="L103" s="821"/>
      <c r="M103" s="312"/>
      <c r="N103" s="687">
        <f>N69+1</f>
        <v>5</v>
      </c>
      <c r="O103" s="687">
        <f>'Settlement Exhibit 2 pgs 18-24'!$M$189</f>
        <v>24</v>
      </c>
      <c r="P103" s="312"/>
      <c r="Q103" s="312"/>
      <c r="R103" s="312"/>
      <c r="S103" s="312"/>
      <c r="T103" s="312"/>
      <c r="U103" s="312"/>
      <c r="V103" s="312"/>
      <c r="Y103" s="387"/>
    </row>
    <row r="104" spans="1:38" s="310" customFormat="1">
      <c r="A104" s="347" t="s">
        <v>1248</v>
      </c>
      <c r="I104" s="735"/>
      <c r="J104" s="346">
        <f>'Sch M-2.3-E pg 1-2'!$K$3</f>
        <v>0</v>
      </c>
      <c r="K104" s="312"/>
      <c r="L104" s="821"/>
      <c r="M104" s="312"/>
      <c r="N104" s="693"/>
      <c r="O104" s="693"/>
      <c r="P104" s="312"/>
      <c r="Q104" s="312"/>
      <c r="R104" s="312"/>
      <c r="S104" s="312"/>
      <c r="T104" s="312"/>
      <c r="U104" s="312"/>
      <c r="V104" s="415"/>
      <c r="Y104" s="387"/>
      <c r="Z104" s="388"/>
    </row>
    <row r="105" spans="1:38" s="310" customFormat="1">
      <c r="A105" s="348"/>
      <c r="B105" s="191"/>
      <c r="C105" s="203"/>
      <c r="D105" s="215"/>
      <c r="E105" s="191"/>
      <c r="F105" s="191"/>
      <c r="G105" s="269"/>
      <c r="H105" s="269"/>
      <c r="I105" s="736"/>
      <c r="J105" s="203"/>
      <c r="K105" s="217"/>
      <c r="L105" s="822"/>
      <c r="M105" s="217"/>
      <c r="N105" s="693"/>
      <c r="O105" s="693"/>
      <c r="P105" s="312"/>
      <c r="Q105" s="312"/>
      <c r="R105" s="312"/>
      <c r="S105" s="312"/>
      <c r="T105" s="312"/>
      <c r="U105" s="312"/>
      <c r="V105" s="312"/>
      <c r="Y105" s="388"/>
      <c r="AA105" s="387"/>
      <c r="AB105" s="387"/>
      <c r="AC105" s="387"/>
      <c r="AD105" s="387"/>
      <c r="AE105" s="387"/>
    </row>
    <row r="106" spans="1:38">
      <c r="A106" s="405"/>
      <c r="B106" s="375"/>
      <c r="C106" s="406"/>
      <c r="D106" s="406"/>
      <c r="E106" s="406"/>
      <c r="F106" s="383" t="s">
        <v>862</v>
      </c>
      <c r="G106" s="408"/>
      <c r="H106" s="377"/>
      <c r="I106" s="377"/>
      <c r="J106" s="376" t="s">
        <v>876</v>
      </c>
    </row>
    <row r="107" spans="1:38">
      <c r="A107" s="390"/>
      <c r="C107" s="216"/>
      <c r="D107" s="211"/>
      <c r="E107" s="216"/>
      <c r="F107" s="216" t="s">
        <v>104</v>
      </c>
      <c r="G107" s="212" t="s">
        <v>105</v>
      </c>
      <c r="I107" s="62" t="s">
        <v>879</v>
      </c>
      <c r="J107" s="63" t="s">
        <v>878</v>
      </c>
    </row>
    <row r="108" spans="1:38">
      <c r="A108" s="409"/>
      <c r="B108" s="276"/>
      <c r="C108" s="410" t="s">
        <v>1255</v>
      </c>
      <c r="D108" s="411"/>
      <c r="E108" s="386" t="s">
        <v>107</v>
      </c>
      <c r="F108" s="386" t="s">
        <v>108</v>
      </c>
      <c r="G108" s="412" t="s">
        <v>109</v>
      </c>
      <c r="H108" s="276"/>
      <c r="I108" s="276" t="s">
        <v>93</v>
      </c>
      <c r="J108" s="380" t="s">
        <v>881</v>
      </c>
    </row>
    <row r="109" spans="1:38">
      <c r="A109" s="390"/>
      <c r="C109" s="213"/>
      <c r="D109" s="211"/>
      <c r="E109" s="216"/>
      <c r="F109" s="216"/>
      <c r="G109" s="212"/>
      <c r="J109" s="63"/>
    </row>
    <row r="110" spans="1:38">
      <c r="A110" s="303" t="s">
        <v>1499</v>
      </c>
    </row>
    <row r="111" spans="1:38">
      <c r="A111" s="307"/>
      <c r="B111" s="277" t="s">
        <v>892</v>
      </c>
      <c r="C111" s="192">
        <f>SUMIF(L_12MonResults_RateClass,MiscData!$Y$11,L_12MonResults_Contract_Cnt)</f>
        <v>338578</v>
      </c>
      <c r="D111" s="191"/>
      <c r="E111" s="191"/>
      <c r="F111" s="193">
        <f>SUMIF(L_Rates_Tariff_Rate_Category,MiscData!$X$5&amp;MiscData!$AA$9,L_Rates_BSC)</f>
        <v>20</v>
      </c>
      <c r="G111" s="279">
        <f>ROUND(C111*F111,0)</f>
        <v>6771560</v>
      </c>
      <c r="I111" s="278">
        <v>25</v>
      </c>
      <c r="J111" s="279">
        <f>ROUND(I111*C111,0)</f>
        <v>8464450</v>
      </c>
      <c r="O111" s="697"/>
    </row>
    <row r="112" spans="1:38">
      <c r="A112" s="307"/>
      <c r="B112" s="281" t="s">
        <v>1253</v>
      </c>
      <c r="E112" s="192">
        <f>SUMIF(L_12MonResults_RateClass,MiscData!$Y$11,L_12MonResults_KWH_Total)</f>
        <v>389930533</v>
      </c>
      <c r="F112" s="196">
        <f>SUMIF(L_Rates_Tariff_Rate_Category,MiscData!$X$5&amp;MiscData!$AA$9,L_Rates_Energy)</f>
        <v>9.1340000000000005E-2</v>
      </c>
      <c r="G112" s="199">
        <f>ROUND(F112*E112,0)</f>
        <v>35616255</v>
      </c>
      <c r="I112" s="282">
        <f>I115</f>
        <v>8.9480000000000004E-2</v>
      </c>
      <c r="J112" s="199">
        <f>ROUND(I112*E112,0)</f>
        <v>34890984</v>
      </c>
      <c r="K112" s="62">
        <f>SUM(J111:J112)-SUM(G111:G112)</f>
        <v>967619</v>
      </c>
      <c r="L112" s="823">
        <f>L133/(J112+J115)</f>
        <v>-4.1802029569074312E-5</v>
      </c>
      <c r="M112" s="302"/>
      <c r="O112" s="694"/>
    </row>
    <row r="113" spans="1:15">
      <c r="A113" s="307"/>
      <c r="B113" s="281"/>
      <c r="F113" s="282"/>
      <c r="G113" s="199"/>
      <c r="I113" s="282"/>
      <c r="J113" s="199"/>
      <c r="L113" s="823">
        <f>I112*(1+0.0001)</f>
        <v>8.9488947999999999E-2</v>
      </c>
      <c r="M113" s="302"/>
      <c r="O113" s="694"/>
    </row>
    <row r="114" spans="1:15">
      <c r="A114" s="307"/>
      <c r="B114" s="277" t="s">
        <v>893</v>
      </c>
      <c r="C114" s="192">
        <f>SUMIF(L_12MonResults_RateClass,MiscData!$Y$10,L_12MonResults_Contract_Cnt)</f>
        <v>196592</v>
      </c>
      <c r="D114" s="191"/>
      <c r="E114" s="191"/>
      <c r="F114" s="193">
        <f>SUMIF(L_Rates_Tariff_Rate_Category,MiscData!$X$5&amp;MiscData!$AA$19,L_Rates_BSC)</f>
        <v>35</v>
      </c>
      <c r="G114" s="279">
        <f>ROUND(C114*F114,0)</f>
        <v>6880720</v>
      </c>
      <c r="I114" s="278">
        <v>40</v>
      </c>
      <c r="J114" s="279">
        <f>ROUND(I114*C114,0)</f>
        <v>7863680</v>
      </c>
      <c r="O114" s="697"/>
    </row>
    <row r="115" spans="1:15">
      <c r="A115" s="307"/>
      <c r="B115" s="281" t="s">
        <v>1254</v>
      </c>
      <c r="E115" s="192">
        <f>SUMIF(L_12MonResults_RateClass,MiscData!$Y$10,L_12MonResults_KWH_Total)</f>
        <v>994912174</v>
      </c>
      <c r="F115" s="196">
        <f>SUMIF(L_Rates_Tariff_Rate_Category,MiscData!$X$5&amp;MiscData!$AA$19,L_Rates_Energy)</f>
        <v>9.1340000000000005E-2</v>
      </c>
      <c r="G115" s="199">
        <f>ROUND(F115*E115,0)</f>
        <v>90875278</v>
      </c>
      <c r="I115" s="282">
        <v>8.9480000000000004E-2</v>
      </c>
      <c r="J115" s="199">
        <f>ROUND(I115*E115,0)</f>
        <v>89024741</v>
      </c>
      <c r="K115" s="62">
        <f>SUM(J114:J115)-SUM(G114:G115)</f>
        <v>-867577</v>
      </c>
      <c r="L115" s="823">
        <f>I115*(1+0.0001)</f>
        <v>8.9488947999999999E-2</v>
      </c>
      <c r="M115" s="302"/>
      <c r="O115" s="694"/>
    </row>
    <row r="116" spans="1:15" ht="15">
      <c r="A116" s="62"/>
      <c r="B116" s="281"/>
      <c r="G116" s="285"/>
      <c r="J116" s="285"/>
    </row>
    <row r="117" spans="1:15">
      <c r="A117" s="307"/>
      <c r="E117" s="287" t="s">
        <v>883</v>
      </c>
      <c r="G117" s="288">
        <f>SUM(G111:G116)</f>
        <v>140143813</v>
      </c>
      <c r="J117" s="288">
        <f>SUM(J111:J116)</f>
        <v>140243855</v>
      </c>
    </row>
    <row r="118" spans="1:15">
      <c r="A118" s="307"/>
      <c r="E118" s="281" t="s">
        <v>884</v>
      </c>
      <c r="G118" s="289">
        <f>'12MonResults'!AF483</f>
        <v>1.0000000428131655</v>
      </c>
      <c r="J118" s="289">
        <f>G118</f>
        <v>1.0000000428131655</v>
      </c>
    </row>
    <row r="119" spans="1:15">
      <c r="A119" s="307"/>
      <c r="E119" s="287" t="s">
        <v>885</v>
      </c>
      <c r="G119" s="288">
        <f>+ROUND(G117/G118,0)</f>
        <v>140143807</v>
      </c>
      <c r="J119" s="288">
        <f>+ROUND(J117/J118,0)</f>
        <v>140243849</v>
      </c>
    </row>
    <row r="120" spans="1:15">
      <c r="A120" s="307"/>
      <c r="E120" s="287"/>
      <c r="G120" s="279"/>
    </row>
    <row r="121" spans="1:15">
      <c r="A121" s="396"/>
      <c r="B121" s="62" t="s">
        <v>886</v>
      </c>
      <c r="G121" s="279">
        <f>'Sch M-2.3-E pg 1-2'!$H$19</f>
        <v>-2312687</v>
      </c>
      <c r="J121" s="279">
        <f>G121</f>
        <v>-2312687</v>
      </c>
    </row>
    <row r="122" spans="1:15">
      <c r="A122" s="396"/>
      <c r="B122" s="286"/>
      <c r="G122" s="279"/>
      <c r="J122" s="279"/>
    </row>
    <row r="123" spans="1:15" ht="15">
      <c r="A123" s="307"/>
      <c r="B123" s="274" t="s">
        <v>887</v>
      </c>
      <c r="G123" s="290">
        <f>SUM(G119:G121)</f>
        <v>137831120</v>
      </c>
      <c r="J123" s="290">
        <f>SUM(J121:J121)+J119</f>
        <v>137931162</v>
      </c>
    </row>
    <row r="124" spans="1:15">
      <c r="B124" s="286"/>
    </row>
    <row r="125" spans="1:15">
      <c r="B125" s="286" t="s">
        <v>1483</v>
      </c>
      <c r="G125" s="279">
        <f>'Sch M-2.3-E pg 1-2'!$D$19</f>
        <v>-360951</v>
      </c>
      <c r="J125" s="279">
        <f>G125</f>
        <v>-360951</v>
      </c>
    </row>
    <row r="126" spans="1:15">
      <c r="B126" s="286" t="s">
        <v>1484</v>
      </c>
      <c r="G126" s="279">
        <f>'Sch M-2.3-E pg 1-2'!$E$19</f>
        <v>2603571</v>
      </c>
      <c r="J126" s="279">
        <f>G126</f>
        <v>2603571</v>
      </c>
    </row>
    <row r="127" spans="1:15">
      <c r="B127" s="286" t="s">
        <v>1485</v>
      </c>
      <c r="G127" s="279">
        <f>'Sch M-2.3-E pg 1-2'!$F$19</f>
        <v>12470175</v>
      </c>
      <c r="J127" s="279">
        <f>G127</f>
        <v>12470175</v>
      </c>
    </row>
    <row r="128" spans="1:15">
      <c r="B128" s="284" t="s">
        <v>888</v>
      </c>
      <c r="G128" s="279">
        <f>-G121</f>
        <v>2312687</v>
      </c>
      <c r="J128" s="279">
        <f>G128</f>
        <v>2312687</v>
      </c>
    </row>
    <row r="129" spans="1:38">
      <c r="A129" s="350"/>
      <c r="B129" s="284"/>
      <c r="G129" s="279"/>
      <c r="J129" s="279"/>
      <c r="K129" s="686">
        <v>28848.896980000001</v>
      </c>
    </row>
    <row r="130" spans="1:38" ht="15">
      <c r="A130" s="200"/>
      <c r="B130" s="274" t="s">
        <v>889</v>
      </c>
      <c r="G130" s="290">
        <f>SUM(G123:G128)</f>
        <v>154856602</v>
      </c>
      <c r="J130" s="290">
        <f>SUM(J123:J128)</f>
        <v>154956644</v>
      </c>
      <c r="K130" s="686">
        <v>67162.196259999997</v>
      </c>
    </row>
    <row r="131" spans="1:38">
      <c r="A131" s="62"/>
    </row>
    <row r="132" spans="1:38">
      <c r="A132" s="350"/>
      <c r="B132" s="227" t="s">
        <v>890</v>
      </c>
      <c r="C132" s="284"/>
      <c r="D132" s="284"/>
      <c r="J132" s="301">
        <f>J130-G130</f>
        <v>100042</v>
      </c>
      <c r="K132" s="62">
        <f>K130+K129</f>
        <v>96011.093240000002</v>
      </c>
      <c r="L132" s="62">
        <f>'Sch M-2.3-E pg 1-2'!AT15</f>
        <v>94862.071199476719</v>
      </c>
    </row>
    <row r="133" spans="1:38">
      <c r="A133" s="350"/>
      <c r="B133" s="227"/>
      <c r="C133" s="284"/>
      <c r="D133" s="284"/>
      <c r="J133" s="302">
        <f>J132/G130</f>
        <v>6.4602993161376487E-4</v>
      </c>
      <c r="K133" s="62">
        <f>K132-J132</f>
        <v>-4030.906759999998</v>
      </c>
      <c r="L133" s="62">
        <f>L132-J132</f>
        <v>-5179.9288005232811</v>
      </c>
    </row>
    <row r="134" spans="1:38">
      <c r="B134" s="284"/>
    </row>
    <row r="135" spans="1:38">
      <c r="B135" s="284"/>
    </row>
    <row r="136" spans="1:38">
      <c r="B136" s="284"/>
    </row>
    <row r="137" spans="1:38" s="310" customFormat="1">
      <c r="A137" s="416" t="s">
        <v>1283</v>
      </c>
      <c r="I137" s="735"/>
      <c r="J137" s="346" t="str">
        <f>'Sch M-2.3-E pg 1-2'!$K$1</f>
        <v>Schedule M-2.3-E</v>
      </c>
      <c r="K137" s="312"/>
      <c r="L137" s="821"/>
      <c r="M137" s="312"/>
      <c r="N137" s="693"/>
      <c r="O137" s="693"/>
      <c r="P137" s="312"/>
      <c r="Q137" s="312"/>
      <c r="R137" s="312"/>
      <c r="S137" s="312"/>
      <c r="T137" s="312"/>
      <c r="U137" s="312"/>
      <c r="V137" s="312"/>
      <c r="Y137" s="387"/>
      <c r="AA137" s="387"/>
      <c r="AB137" s="387"/>
      <c r="AC137" s="387"/>
      <c r="AD137" s="387"/>
      <c r="AE137" s="387"/>
      <c r="AF137" s="387"/>
      <c r="AG137" s="387"/>
      <c r="AH137" s="387"/>
      <c r="AI137" s="387"/>
      <c r="AJ137" s="387"/>
      <c r="AK137" s="387"/>
      <c r="AL137" s="387"/>
    </row>
    <row r="138" spans="1:38" s="310" customFormat="1">
      <c r="A138" s="347" t="s">
        <v>1251</v>
      </c>
      <c r="I138" s="735"/>
      <c r="J138" s="346" t="str">
        <f>"Page "&amp;N138&amp;" of "&amp;O138</f>
        <v>Page 6 of 24</v>
      </c>
      <c r="K138" s="312"/>
      <c r="L138" s="821"/>
      <c r="M138" s="312"/>
      <c r="N138" s="687">
        <f>N103+1</f>
        <v>6</v>
      </c>
      <c r="O138" s="687">
        <f>'Settlement Exhibit 2 pgs 18-24'!$M$189</f>
        <v>24</v>
      </c>
      <c r="P138" s="312"/>
      <c r="Q138" s="312"/>
      <c r="R138" s="312"/>
      <c r="S138" s="312"/>
      <c r="T138" s="312"/>
      <c r="U138" s="312"/>
      <c r="V138" s="312"/>
      <c r="Y138" s="387"/>
    </row>
    <row r="139" spans="1:38" s="310" customFormat="1">
      <c r="A139" s="347" t="s">
        <v>1248</v>
      </c>
      <c r="I139" s="735"/>
      <c r="J139" s="346">
        <f>'Sch M-2.3-E pg 1-2'!$K$3</f>
        <v>0</v>
      </c>
      <c r="K139" s="312"/>
      <c r="L139" s="821"/>
      <c r="M139" s="312"/>
      <c r="N139" s="693"/>
      <c r="O139" s="693"/>
      <c r="P139" s="312"/>
      <c r="Q139" s="312"/>
      <c r="R139" s="312"/>
      <c r="S139" s="312"/>
      <c r="T139" s="312"/>
      <c r="U139" s="312"/>
      <c r="V139" s="415"/>
      <c r="Y139" s="387"/>
      <c r="Z139" s="388"/>
    </row>
    <row r="140" spans="1:38" s="310" customFormat="1">
      <c r="A140" s="348"/>
      <c r="B140" s="191"/>
      <c r="C140" s="203"/>
      <c r="D140" s="215"/>
      <c r="E140" s="191"/>
      <c r="F140" s="191"/>
      <c r="G140" s="269"/>
      <c r="H140" s="269"/>
      <c r="I140" s="736"/>
      <c r="J140" s="203"/>
      <c r="K140" s="217"/>
      <c r="L140" s="822"/>
      <c r="M140" s="217"/>
      <c r="N140" s="693"/>
      <c r="O140" s="693"/>
      <c r="P140" s="312"/>
      <c r="Q140" s="312"/>
      <c r="R140" s="312"/>
      <c r="S140" s="312"/>
      <c r="T140" s="312"/>
      <c r="U140" s="312"/>
      <c r="V140" s="312"/>
      <c r="Y140" s="388"/>
      <c r="AA140" s="387"/>
      <c r="AB140" s="387"/>
      <c r="AC140" s="387"/>
      <c r="AD140" s="387"/>
      <c r="AE140" s="387"/>
    </row>
    <row r="141" spans="1:38">
      <c r="A141" s="413"/>
      <c r="B141" s="375"/>
      <c r="C141" s="406"/>
      <c r="D141" s="406"/>
      <c r="E141" s="406"/>
      <c r="F141" s="383" t="s">
        <v>862</v>
      </c>
      <c r="G141" s="408"/>
      <c r="H141" s="377"/>
      <c r="I141" s="377"/>
      <c r="J141" s="376" t="s">
        <v>876</v>
      </c>
    </row>
    <row r="142" spans="1:38">
      <c r="A142" s="389"/>
      <c r="C142" s="216"/>
      <c r="D142" s="211"/>
      <c r="E142" s="216"/>
      <c r="F142" s="216" t="s">
        <v>104</v>
      </c>
      <c r="G142" s="212" t="s">
        <v>105</v>
      </c>
      <c r="I142" s="62" t="s">
        <v>879</v>
      </c>
      <c r="J142" s="63" t="s">
        <v>878</v>
      </c>
    </row>
    <row r="143" spans="1:38">
      <c r="A143" s="414"/>
      <c r="B143" s="276"/>
      <c r="C143" s="410" t="s">
        <v>1255</v>
      </c>
      <c r="D143" s="410" t="s">
        <v>1256</v>
      </c>
      <c r="E143" s="386" t="s">
        <v>107</v>
      </c>
      <c r="F143" s="386" t="s">
        <v>108</v>
      </c>
      <c r="G143" s="412" t="s">
        <v>109</v>
      </c>
      <c r="H143" s="276"/>
      <c r="I143" s="276" t="s">
        <v>93</v>
      </c>
      <c r="J143" s="380" t="s">
        <v>881</v>
      </c>
    </row>
    <row r="144" spans="1:38">
      <c r="A144" s="390"/>
      <c r="C144" s="213"/>
      <c r="D144" s="211"/>
      <c r="E144" s="216"/>
      <c r="F144" s="216"/>
      <c r="G144" s="212"/>
      <c r="J144" s="63"/>
    </row>
    <row r="145" spans="1:17">
      <c r="A145" s="303" t="s">
        <v>898</v>
      </c>
    </row>
    <row r="146" spans="1:17">
      <c r="B146" s="277" t="s">
        <v>998</v>
      </c>
      <c r="C146" s="192">
        <f>SUMIF(L_12MonResults_RateClass,MiscData!$Y$17,L_12MonResults_Contract_Cnt)</f>
        <v>33546</v>
      </c>
      <c r="D146" s="191"/>
      <c r="E146" s="191"/>
      <c r="F146" s="193">
        <f>SUMIF(L_Rates_Tariff_Rate_Category,MiscData!$X$5&amp;MiscData!$AA$15,L_Rates_BSC)</f>
        <v>90</v>
      </c>
      <c r="G146" s="199">
        <f>ROUND(F146*C146,0)</f>
        <v>3019140</v>
      </c>
      <c r="I146" s="278">
        <v>90</v>
      </c>
      <c r="J146" s="199">
        <f>ROUND(I146*C146,0)</f>
        <v>3019140</v>
      </c>
    </row>
    <row r="147" spans="1:17">
      <c r="B147" s="281" t="s">
        <v>882</v>
      </c>
      <c r="E147" s="192">
        <f>SUMIF(L_12MonResults_RateClass,MiscData!$Y$17,L_12MonResults_KWH_Total)</f>
        <v>1965916065</v>
      </c>
      <c r="F147" s="196">
        <f>SUMIF(L_Rates_Tariff_Rate_Category,MiscData!$X$5&amp;MiscData!$AA$15,L_Rates_Energy)</f>
        <v>4.0599999999999997E-2</v>
      </c>
      <c r="G147" s="199">
        <f>ROUND(F147*E147,0)</f>
        <v>79816192</v>
      </c>
      <c r="I147" s="282">
        <v>4.0710000000000003E-2</v>
      </c>
      <c r="J147" s="199">
        <f>ROUND(I147*E147,0)</f>
        <v>80032443</v>
      </c>
      <c r="K147" s="302"/>
      <c r="L147" s="823">
        <f>L170/J147</f>
        <v>-6.7265866724576037E-6</v>
      </c>
      <c r="M147" s="302"/>
      <c r="Q147" s="398"/>
    </row>
    <row r="148" spans="1:17">
      <c r="B148" s="277" t="s">
        <v>1386</v>
      </c>
      <c r="D148" s="192">
        <f>'Power Factor'!$J$10</f>
        <v>2259463.5425757286</v>
      </c>
      <c r="E148" s="197"/>
      <c r="F148" s="193">
        <f>SUMIF(L_Rates_Tariff_Rate_Category,MiscData!$X$5&amp;MiscData!$AA$15,L_Rates_Demand_Peak)</f>
        <v>16.399999999999999</v>
      </c>
      <c r="G148" s="199">
        <f>ROUND(D148*F148,0)</f>
        <v>37055202</v>
      </c>
      <c r="I148" s="193">
        <v>16.39</v>
      </c>
      <c r="J148" s="199">
        <f>ROUND(I148*D148,0)</f>
        <v>37032607</v>
      </c>
      <c r="K148" s="302"/>
      <c r="L148" s="823">
        <f>I147*(1.00007)</f>
        <v>4.0712849700000005E-2</v>
      </c>
      <c r="M148" s="302"/>
      <c r="N148" s="694"/>
    </row>
    <row r="149" spans="1:17">
      <c r="B149" s="277" t="s">
        <v>1387</v>
      </c>
      <c r="D149" s="192">
        <f>'Power Factor'!$J$9</f>
        <v>2719904.618628988</v>
      </c>
      <c r="E149" s="191"/>
      <c r="F149" s="193">
        <f>SUMIF(L_Rates_Tariff_Rate_Category,MiscData!$X$5&amp;MiscData!$AA$15,L_Rates_Demand_Intermediate)</f>
        <v>14.010000000000002</v>
      </c>
      <c r="G149" s="199">
        <f>ROUND(D149*F149,0)</f>
        <v>38105864</v>
      </c>
      <c r="I149" s="193">
        <v>13.98</v>
      </c>
      <c r="J149" s="199">
        <f>ROUND(I149*D149,0)</f>
        <v>38024267</v>
      </c>
      <c r="K149" s="302"/>
      <c r="Q149" s="399"/>
    </row>
    <row r="150" spans="1:17">
      <c r="B150" s="277"/>
      <c r="F150" s="219"/>
      <c r="G150" s="199"/>
      <c r="J150" s="199"/>
      <c r="K150" s="302"/>
      <c r="Q150" s="399"/>
    </row>
    <row r="151" spans="1:17">
      <c r="B151" s="281" t="s">
        <v>1478</v>
      </c>
      <c r="D151" s="197">
        <f>'Power Factor'!$K$10</f>
        <v>29123.457424271386</v>
      </c>
      <c r="E151" s="191"/>
      <c r="F151" s="193">
        <f>SUMIF(L_Rates_Tariff_Rate_Category,MiscData!$X$5&amp;MiscData!$AA$15,L_Rates_Demand_Peak)</f>
        <v>16.399999999999999</v>
      </c>
      <c r="G151" s="199">
        <f t="shared" ref="G151:G152" si="1">ROUND(D151*F151,0)</f>
        <v>477625</v>
      </c>
      <c r="I151" s="193">
        <f>I148</f>
        <v>16.39</v>
      </c>
      <c r="J151" s="199">
        <f t="shared" ref="J151:J152" si="2">ROUND(I151*D151,0)</f>
        <v>477333</v>
      </c>
      <c r="K151" s="360"/>
      <c r="N151" s="698"/>
      <c r="O151" s="699"/>
      <c r="P151" s="400"/>
      <c r="Q151" s="398"/>
    </row>
    <row r="152" spans="1:17">
      <c r="B152" s="281" t="s">
        <v>1479</v>
      </c>
      <c r="D152" s="197">
        <f>'Power Factor'!$K$9</f>
        <v>33744.381371011958</v>
      </c>
      <c r="E152" s="192"/>
      <c r="F152" s="193">
        <f>SUMIF(L_Rates_Tariff_Rate_Category,MiscData!$X$5&amp;MiscData!$AA$15,L_Rates_Demand_Intermediate)</f>
        <v>14.010000000000002</v>
      </c>
      <c r="G152" s="199">
        <f t="shared" si="1"/>
        <v>472759</v>
      </c>
      <c r="I152" s="193">
        <f>I149</f>
        <v>13.98</v>
      </c>
      <c r="J152" s="199">
        <f t="shared" si="2"/>
        <v>471746</v>
      </c>
      <c r="K152" s="360"/>
      <c r="N152" s="698"/>
      <c r="O152" s="699"/>
      <c r="P152" s="400"/>
      <c r="Q152" s="398"/>
    </row>
    <row r="153" spans="1:17" ht="15">
      <c r="B153" s="277"/>
      <c r="G153" s="201"/>
      <c r="J153" s="201"/>
      <c r="K153" s="360"/>
      <c r="O153" s="699"/>
      <c r="Q153" s="398"/>
    </row>
    <row r="154" spans="1:17">
      <c r="E154" s="287" t="s">
        <v>883</v>
      </c>
      <c r="G154" s="293">
        <f>SUM(G146:G153)</f>
        <v>158946782</v>
      </c>
      <c r="J154" s="293">
        <f>SUM(J146:J153)</f>
        <v>159057536</v>
      </c>
      <c r="N154" s="698"/>
    </row>
    <row r="155" spans="1:17">
      <c r="E155" s="281" t="s">
        <v>884</v>
      </c>
      <c r="G155" s="294">
        <f>'12MonResults'!$AF$469</f>
        <v>0.99999997483434488</v>
      </c>
      <c r="J155" s="294">
        <f>G155</f>
        <v>0.99999997483434488</v>
      </c>
    </row>
    <row r="156" spans="1:17">
      <c r="E156" s="287" t="s">
        <v>885</v>
      </c>
      <c r="G156" s="293">
        <f>+ROUND(G154/G155,0)</f>
        <v>158946786</v>
      </c>
      <c r="J156" s="293">
        <f>+ROUND(J154/J155,0)</f>
        <v>159057540</v>
      </c>
    </row>
    <row r="157" spans="1:17">
      <c r="E157" s="287"/>
      <c r="G157" s="199"/>
      <c r="J157" s="199"/>
    </row>
    <row r="158" spans="1:17">
      <c r="A158" s="396"/>
      <c r="B158" s="62" t="s">
        <v>886</v>
      </c>
      <c r="G158" s="199">
        <f>'ECR in Base Rates'!$G$19*-1</f>
        <v>-2420274</v>
      </c>
      <c r="J158" s="199">
        <f>G158</f>
        <v>-2420274</v>
      </c>
    </row>
    <row r="159" spans="1:17">
      <c r="A159" s="396"/>
      <c r="B159" s="286"/>
      <c r="G159" s="275"/>
      <c r="J159" s="199"/>
    </row>
    <row r="160" spans="1:17" ht="15">
      <c r="A160" s="396"/>
      <c r="B160" s="226" t="s">
        <v>897</v>
      </c>
      <c r="G160" s="295">
        <f>SUM(G156:G159)</f>
        <v>156526512</v>
      </c>
      <c r="J160" s="295">
        <f>SUM(J156:J159)</f>
        <v>156637266</v>
      </c>
    </row>
    <row r="161" spans="1:38">
      <c r="B161" s="281"/>
      <c r="G161" s="199"/>
      <c r="J161" s="199"/>
    </row>
    <row r="162" spans="1:38">
      <c r="B162" s="286" t="s">
        <v>1483</v>
      </c>
      <c r="G162" s="279">
        <f>'Sch M-2.3-E pg 1-2'!$P$22</f>
        <v>-521202</v>
      </c>
      <c r="J162" s="279">
        <f>G162</f>
        <v>-521202</v>
      </c>
    </row>
    <row r="163" spans="1:38">
      <c r="B163" s="286" t="s">
        <v>1484</v>
      </c>
      <c r="G163" s="279">
        <f>'Sch M-2.3-E pg 1-2'!$Q$22</f>
        <v>3703933</v>
      </c>
      <c r="J163" s="279">
        <f>G163</f>
        <v>3703933</v>
      </c>
    </row>
    <row r="164" spans="1:38">
      <c r="B164" s="286" t="s">
        <v>1485</v>
      </c>
      <c r="G164" s="279">
        <f>'Sch M-2.3-E pg 1-2'!$R$22</f>
        <v>17790883</v>
      </c>
      <c r="J164" s="279">
        <f>G164</f>
        <v>17790883</v>
      </c>
    </row>
    <row r="165" spans="1:38">
      <c r="B165" s="284" t="s">
        <v>888</v>
      </c>
      <c r="G165" s="279">
        <f>-G158</f>
        <v>2420274</v>
      </c>
      <c r="J165" s="279">
        <f>G165</f>
        <v>2420274</v>
      </c>
    </row>
    <row r="166" spans="1:38">
      <c r="B166" s="284"/>
      <c r="G166" s="279"/>
      <c r="J166" s="279"/>
    </row>
    <row r="167" spans="1:38" ht="15">
      <c r="B167" s="274" t="s">
        <v>889</v>
      </c>
      <c r="G167" s="290">
        <f>SUM(G160:G165)</f>
        <v>179920400</v>
      </c>
      <c r="J167" s="290">
        <f>SUM(J160:J165)</f>
        <v>180031154</v>
      </c>
    </row>
    <row r="168" spans="1:38">
      <c r="B168" s="296"/>
      <c r="G168" s="279"/>
      <c r="J168" s="279"/>
    </row>
    <row r="169" spans="1:38">
      <c r="B169" s="227" t="s">
        <v>890</v>
      </c>
      <c r="J169" s="301">
        <f>J167-G167</f>
        <v>110754</v>
      </c>
      <c r="K169" s="686">
        <v>111550.648</v>
      </c>
      <c r="L169" s="62">
        <f>'Sch M-2.3-E pg 1-2'!AT17</f>
        <v>110215.65483555198</v>
      </c>
      <c r="M169" s="286"/>
    </row>
    <row r="170" spans="1:38">
      <c r="C170" s="284" t="s">
        <v>891</v>
      </c>
      <c r="D170" s="284"/>
      <c r="J170" s="302">
        <f>J169/G167</f>
        <v>6.1557221971494057E-4</v>
      </c>
      <c r="K170" s="840">
        <f>K169-J169</f>
        <v>796.64800000000105</v>
      </c>
      <c r="L170" s="62">
        <f>L169-J169</f>
        <v>-538.34516444802284</v>
      </c>
    </row>
    <row r="171" spans="1:38">
      <c r="A171" s="200"/>
      <c r="B171" s="200"/>
      <c r="C171" s="200"/>
      <c r="D171" s="200"/>
      <c r="E171" s="200"/>
      <c r="F171" s="200"/>
      <c r="G171" s="200"/>
      <c r="H171" s="200"/>
      <c r="I171" s="200"/>
      <c r="J171" s="200"/>
    </row>
    <row r="172" spans="1:38">
      <c r="A172" s="200"/>
      <c r="B172" s="200"/>
      <c r="C172" s="200"/>
      <c r="D172" s="200"/>
      <c r="E172" s="200"/>
      <c r="F172" s="200"/>
      <c r="G172" s="200"/>
      <c r="H172" s="200"/>
      <c r="I172" s="200"/>
      <c r="J172" s="200"/>
    </row>
    <row r="173" spans="1:38">
      <c r="A173" s="200"/>
      <c r="B173" s="200"/>
      <c r="C173" s="200"/>
      <c r="D173" s="200"/>
      <c r="E173" s="200"/>
      <c r="F173" s="200"/>
      <c r="G173" s="200"/>
      <c r="H173" s="200"/>
      <c r="I173" s="200"/>
      <c r="J173" s="200"/>
    </row>
    <row r="174" spans="1:38" s="310" customFormat="1">
      <c r="A174" s="416" t="s">
        <v>1283</v>
      </c>
      <c r="I174" s="735"/>
      <c r="J174" s="346" t="str">
        <f>'Sch M-2.3-E pg 1-2'!$K$1</f>
        <v>Schedule M-2.3-E</v>
      </c>
      <c r="K174" s="312"/>
      <c r="L174" s="821"/>
      <c r="M174" s="312"/>
      <c r="N174" s="693"/>
      <c r="O174" s="693"/>
      <c r="P174" s="312"/>
      <c r="Q174" s="312"/>
      <c r="R174" s="312"/>
      <c r="S174" s="312"/>
      <c r="T174" s="312"/>
      <c r="U174" s="312"/>
      <c r="V174" s="312"/>
      <c r="Y174" s="387"/>
      <c r="AA174" s="387"/>
      <c r="AB174" s="387"/>
      <c r="AC174" s="387"/>
      <c r="AD174" s="387"/>
      <c r="AE174" s="387"/>
      <c r="AF174" s="387"/>
      <c r="AG174" s="387"/>
      <c r="AH174" s="387"/>
      <c r="AI174" s="387"/>
      <c r="AJ174" s="387"/>
      <c r="AK174" s="387"/>
      <c r="AL174" s="387"/>
    </row>
    <row r="175" spans="1:38" s="310" customFormat="1">
      <c r="A175" s="347" t="s">
        <v>1251</v>
      </c>
      <c r="I175" s="735"/>
      <c r="J175" s="346" t="str">
        <f>"Page "&amp;N175&amp;" of "&amp;O175</f>
        <v>Page 7 of 24</v>
      </c>
      <c r="K175" s="312"/>
      <c r="L175" s="821"/>
      <c r="M175" s="312"/>
      <c r="N175" s="687">
        <f>N138+1</f>
        <v>7</v>
      </c>
      <c r="O175" s="687">
        <f>'Settlement Exhibit 2 pgs 18-24'!$M$189</f>
        <v>24</v>
      </c>
      <c r="P175" s="312"/>
      <c r="Q175" s="312"/>
      <c r="R175" s="312"/>
      <c r="S175" s="312"/>
      <c r="T175" s="312"/>
      <c r="U175" s="312"/>
      <c r="V175" s="312"/>
      <c r="Y175" s="387"/>
    </row>
    <row r="176" spans="1:38" s="310" customFormat="1">
      <c r="A176" s="347" t="s">
        <v>1248</v>
      </c>
      <c r="I176" s="735"/>
      <c r="J176" s="346">
        <f>'Sch M-2.3-E pg 1-2'!$K$3</f>
        <v>0</v>
      </c>
      <c r="K176" s="312"/>
      <c r="L176" s="821"/>
      <c r="M176" s="312"/>
      <c r="N176" s="693"/>
      <c r="O176" s="693"/>
      <c r="P176" s="312"/>
      <c r="Q176" s="312"/>
      <c r="R176" s="312"/>
      <c r="S176" s="312"/>
      <c r="T176" s="312"/>
      <c r="U176" s="312"/>
      <c r="V176" s="415"/>
      <c r="Y176" s="387"/>
      <c r="Z176" s="388"/>
    </row>
    <row r="177" spans="1:31" s="310" customFormat="1">
      <c r="A177" s="348"/>
      <c r="B177" s="191"/>
      <c r="C177" s="203"/>
      <c r="D177" s="215"/>
      <c r="E177" s="191"/>
      <c r="F177" s="191"/>
      <c r="G177" s="269"/>
      <c r="H177" s="269"/>
      <c r="I177" s="736"/>
      <c r="J177" s="203"/>
      <c r="K177" s="217"/>
      <c r="L177" s="822"/>
      <c r="M177" s="217"/>
      <c r="N177" s="693"/>
      <c r="O177" s="693"/>
      <c r="P177" s="312"/>
      <c r="Q177" s="312"/>
      <c r="R177" s="312"/>
      <c r="S177" s="312"/>
      <c r="T177" s="312"/>
      <c r="U177" s="312"/>
      <c r="V177" s="312"/>
      <c r="Y177" s="388"/>
      <c r="AA177" s="387"/>
      <c r="AB177" s="387"/>
      <c r="AC177" s="387"/>
      <c r="AD177" s="387"/>
      <c r="AE177" s="387"/>
    </row>
    <row r="178" spans="1:31">
      <c r="A178" s="413"/>
      <c r="B178" s="375"/>
      <c r="C178" s="406"/>
      <c r="D178" s="406"/>
      <c r="E178" s="406"/>
      <c r="F178" s="383" t="s">
        <v>862</v>
      </c>
      <c r="G178" s="408"/>
      <c r="H178" s="377"/>
      <c r="I178" s="377"/>
      <c r="J178" s="376" t="s">
        <v>876</v>
      </c>
    </row>
    <row r="179" spans="1:31">
      <c r="A179" s="389"/>
      <c r="C179" s="612"/>
      <c r="D179" s="211"/>
      <c r="E179" s="216"/>
      <c r="F179" s="216" t="s">
        <v>104</v>
      </c>
      <c r="G179" s="212" t="s">
        <v>105</v>
      </c>
      <c r="I179" s="62" t="s">
        <v>879</v>
      </c>
      <c r="J179" s="63" t="s">
        <v>878</v>
      </c>
    </row>
    <row r="180" spans="1:31">
      <c r="A180" s="414"/>
      <c r="B180" s="276"/>
      <c r="C180" s="410" t="s">
        <v>1255</v>
      </c>
      <c r="D180" s="410" t="s">
        <v>1256</v>
      </c>
      <c r="E180" s="386" t="s">
        <v>107</v>
      </c>
      <c r="F180" s="386" t="s">
        <v>108</v>
      </c>
      <c r="G180" s="412" t="s">
        <v>109</v>
      </c>
      <c r="H180" s="276"/>
      <c r="I180" s="276" t="s">
        <v>93</v>
      </c>
      <c r="J180" s="380" t="s">
        <v>881</v>
      </c>
    </row>
    <row r="181" spans="1:31">
      <c r="A181" s="390"/>
      <c r="C181" s="213"/>
      <c r="D181" s="211"/>
      <c r="E181" s="216"/>
      <c r="F181" s="216"/>
      <c r="G181" s="212"/>
      <c r="J181" s="63"/>
    </row>
    <row r="182" spans="1:31">
      <c r="A182" s="303" t="s">
        <v>894</v>
      </c>
    </row>
    <row r="183" spans="1:31">
      <c r="B183" s="277" t="s">
        <v>998</v>
      </c>
      <c r="C183" s="192">
        <f>SUMIF(L_12MonResults_RateClass,MiscData!$Y$16,L_12MonResults_Contract_Cnt)</f>
        <v>876</v>
      </c>
      <c r="D183" s="191"/>
      <c r="E183" s="191"/>
      <c r="F183" s="193">
        <f>SUMIF(L_Rates_Tariff_Rate_Category,MiscData!$X$5&amp;MiscData!$AA$14,L_Rates_BSC)</f>
        <v>170</v>
      </c>
      <c r="G183" s="199">
        <f>ROUND(F183*C183,0)</f>
        <v>148920</v>
      </c>
      <c r="I183" s="278">
        <v>200</v>
      </c>
      <c r="J183" s="199">
        <f>ROUND(I183*C183,0)</f>
        <v>175200</v>
      </c>
    </row>
    <row r="184" spans="1:31">
      <c r="B184" s="281" t="s">
        <v>882</v>
      </c>
      <c r="E184" s="192">
        <f>SUMIF(L_12MonResults_RateClass,MiscData!$Y$16,L_12MonResults_KWH_Total)</f>
        <v>162948372</v>
      </c>
      <c r="F184" s="196">
        <f>SUMIF(L_Rates_Tariff_Rate_Category,MiscData!$X$5&amp;MiscData!$AA$14,L_Rates_Energy)</f>
        <v>3.9260000000000003E-2</v>
      </c>
      <c r="G184" s="199">
        <f>ROUND(F184*E184,0)</f>
        <v>6397353</v>
      </c>
      <c r="I184" s="282">
        <v>3.925E-2</v>
      </c>
      <c r="J184" s="199">
        <f>ROUND(I184*E184,0)</f>
        <v>6395724</v>
      </c>
      <c r="K184" s="302"/>
      <c r="L184" s="823">
        <f>L207/J184</f>
        <v>1.3062288375568384E-5</v>
      </c>
      <c r="M184" s="302"/>
      <c r="Q184" s="398"/>
    </row>
    <row r="185" spans="1:31">
      <c r="B185" s="277" t="s">
        <v>1386</v>
      </c>
      <c r="D185" s="192">
        <f>'Power Factor'!$J$27</f>
        <v>184989.95738184021</v>
      </c>
      <c r="E185" s="197"/>
      <c r="F185" s="193">
        <f>SUMIF(L_Rates_Tariff_Rate_Category,MiscData!$X$5&amp;MiscData!$AA$14,L_Rates_Demand_Peak)</f>
        <v>13.950000000000001</v>
      </c>
      <c r="G185" s="199">
        <f>ROUND(D185*F185,0)</f>
        <v>2580610</v>
      </c>
      <c r="I185" s="193">
        <f>I186+2.29</f>
        <v>13.91</v>
      </c>
      <c r="J185" s="199">
        <f>ROUND(I185*D185,0)</f>
        <v>2573210</v>
      </c>
      <c r="K185" s="302"/>
      <c r="L185" s="823">
        <f>I184*(1+L184)</f>
        <v>3.9250512694818745E-2</v>
      </c>
      <c r="M185" s="302"/>
      <c r="N185" s="694"/>
    </row>
    <row r="186" spans="1:31">
      <c r="B186" s="277" t="s">
        <v>1387</v>
      </c>
      <c r="D186" s="192">
        <f>'Power Factor'!$J$26</f>
        <v>215342.4303247839</v>
      </c>
      <c r="E186" s="191"/>
      <c r="F186" s="193">
        <f>SUMIF(L_Rates_Tariff_Rate_Category,MiscData!$X$5&amp;MiscData!$AA$14,L_Rates_Demand_Intermediate)</f>
        <v>11.660000000000002</v>
      </c>
      <c r="G186" s="199">
        <f>ROUND(D186*F186,0)</f>
        <v>2510893</v>
      </c>
      <c r="I186" s="193">
        <v>11.62</v>
      </c>
      <c r="J186" s="199">
        <f>ROUND(I186*D186,0)</f>
        <v>2502279</v>
      </c>
      <c r="K186" s="302"/>
      <c r="Q186" s="399"/>
    </row>
    <row r="187" spans="1:31">
      <c r="B187" s="277"/>
      <c r="D187" s="191"/>
      <c r="E187" s="191"/>
      <c r="F187" s="194"/>
      <c r="G187" s="199"/>
      <c r="J187" s="199"/>
      <c r="K187" s="302"/>
      <c r="Q187" s="399"/>
    </row>
    <row r="188" spans="1:31">
      <c r="B188" s="281" t="s">
        <v>1478</v>
      </c>
      <c r="D188" s="192">
        <f>'Power Factor'!$K$27</f>
        <v>3595.0426181597868</v>
      </c>
      <c r="E188" s="192"/>
      <c r="F188" s="193">
        <f>SUMIF(L_Rates_Tariff_Rate_Category,MiscData!$X$5&amp;MiscData!$AA$14,L_Rates_Demand_Peak)</f>
        <v>13.950000000000001</v>
      </c>
      <c r="G188" s="199">
        <f>ROUND(D188*F188,0)</f>
        <v>50151</v>
      </c>
      <c r="I188" s="193">
        <f>I185</f>
        <v>13.91</v>
      </c>
      <c r="J188" s="199">
        <f>ROUND(I188*D188,0)</f>
        <v>50007</v>
      </c>
      <c r="K188" s="360"/>
      <c r="N188" s="698"/>
      <c r="O188" s="699"/>
      <c r="P188" s="400"/>
      <c r="Q188" s="398"/>
    </row>
    <row r="189" spans="1:31">
      <c r="B189" s="281" t="s">
        <v>1479</v>
      </c>
      <c r="D189" s="192">
        <f>'Power Factor'!$K$26</f>
        <v>7401.569675216102</v>
      </c>
      <c r="E189" s="192"/>
      <c r="F189" s="193">
        <f>SUMIF(L_Rates_Tariff_Rate_Category,MiscData!$X$5&amp;MiscData!$AA$14,L_Rates_Demand_Intermediate)</f>
        <v>11.660000000000002</v>
      </c>
      <c r="G189" s="199">
        <f>ROUND(D189*F189,0)</f>
        <v>86302</v>
      </c>
      <c r="I189" s="193">
        <f>I186</f>
        <v>11.62</v>
      </c>
      <c r="J189" s="199">
        <f>ROUND(I189*D189,0)</f>
        <v>86006</v>
      </c>
      <c r="K189" s="360"/>
      <c r="N189" s="698"/>
      <c r="O189" s="699"/>
      <c r="P189" s="400"/>
      <c r="Q189" s="398"/>
    </row>
    <row r="190" spans="1:31" ht="15">
      <c r="B190" s="277"/>
      <c r="G190" s="201"/>
      <c r="J190" s="201"/>
      <c r="K190" s="360"/>
      <c r="O190" s="699"/>
      <c r="Q190" s="398"/>
    </row>
    <row r="191" spans="1:31">
      <c r="E191" s="287" t="s">
        <v>883</v>
      </c>
      <c r="G191" s="293">
        <f>SUM(G183:G190)</f>
        <v>11774229</v>
      </c>
      <c r="J191" s="293">
        <f>SUM(J183:J189)</f>
        <v>11782426</v>
      </c>
    </row>
    <row r="192" spans="1:31">
      <c r="E192" s="281" t="s">
        <v>884</v>
      </c>
      <c r="G192" s="297">
        <f>'12MonResults'!$AF$470</f>
        <v>1.0000033972615863</v>
      </c>
      <c r="J192" s="297">
        <f>G192</f>
        <v>1.0000033972615863</v>
      </c>
      <c r="N192" s="700"/>
    </row>
    <row r="193" spans="1:14">
      <c r="E193" s="287" t="s">
        <v>885</v>
      </c>
      <c r="G193" s="293">
        <f>+ROUND(G191/G192,0)</f>
        <v>11774189</v>
      </c>
      <c r="J193" s="293">
        <f>+ROUND(J191/J192,0)</f>
        <v>11782386</v>
      </c>
    </row>
    <row r="194" spans="1:14">
      <c r="E194" s="287"/>
      <c r="G194" s="199"/>
      <c r="J194" s="199"/>
      <c r="N194" s="701"/>
    </row>
    <row r="195" spans="1:14">
      <c r="A195" s="396"/>
      <c r="B195" s="62" t="s">
        <v>886</v>
      </c>
      <c r="G195" s="275">
        <f>-'ECR in Base Rates'!$G$24</f>
        <v>-197438</v>
      </c>
      <c r="J195" s="199">
        <f>G195</f>
        <v>-197438</v>
      </c>
    </row>
    <row r="196" spans="1:14">
      <c r="B196" s="281"/>
      <c r="G196" s="199"/>
      <c r="J196" s="199"/>
    </row>
    <row r="197" spans="1:14" ht="15">
      <c r="B197" s="226" t="s">
        <v>897</v>
      </c>
      <c r="G197" s="295">
        <f>SUM(G193:G196)</f>
        <v>11576751</v>
      </c>
      <c r="J197" s="295">
        <f>SUM(J193:J196)</f>
        <v>11584948</v>
      </c>
    </row>
    <row r="198" spans="1:14">
      <c r="B198" s="281"/>
      <c r="G198" s="199"/>
      <c r="J198" s="199"/>
    </row>
    <row r="199" spans="1:14">
      <c r="B199" s="286" t="s">
        <v>1483</v>
      </c>
      <c r="G199" s="279">
        <f>'Sch M-2.3-E pg 1-2'!$P$23</f>
        <v>-37281</v>
      </c>
      <c r="J199" s="279">
        <f>G199</f>
        <v>-37281</v>
      </c>
    </row>
    <row r="200" spans="1:14">
      <c r="B200" s="286" t="s">
        <v>1484</v>
      </c>
      <c r="G200" s="279">
        <f>'Sch M-2.3-E pg 1-2'!$Q$23</f>
        <v>307902</v>
      </c>
      <c r="J200" s="279">
        <f>G200</f>
        <v>307902</v>
      </c>
    </row>
    <row r="201" spans="1:14">
      <c r="B201" s="286" t="s">
        <v>1485</v>
      </c>
      <c r="G201" s="279">
        <f>'Sch M-2.3-E pg 1-2'!$R$23</f>
        <v>1472676</v>
      </c>
      <c r="J201" s="279">
        <f>G201</f>
        <v>1472676</v>
      </c>
    </row>
    <row r="202" spans="1:14">
      <c r="B202" s="284" t="s">
        <v>888</v>
      </c>
      <c r="G202" s="279">
        <f>-G195</f>
        <v>197438</v>
      </c>
      <c r="J202" s="279">
        <f>G202</f>
        <v>197438</v>
      </c>
    </row>
    <row r="203" spans="1:14">
      <c r="B203" s="284"/>
      <c r="G203" s="279"/>
      <c r="J203" s="279"/>
    </row>
    <row r="204" spans="1:14" ht="15">
      <c r="B204" s="274" t="s">
        <v>889</v>
      </c>
      <c r="G204" s="290">
        <f>SUM(G197:G202)</f>
        <v>13517486</v>
      </c>
      <c r="J204" s="290">
        <f>SUM(J197:J202)</f>
        <v>13525683</v>
      </c>
    </row>
    <row r="205" spans="1:14">
      <c r="B205" s="296"/>
      <c r="G205" s="279"/>
      <c r="J205" s="279"/>
    </row>
    <row r="206" spans="1:14">
      <c r="B206" s="227" t="s">
        <v>890</v>
      </c>
      <c r="J206" s="301">
        <f>J204-G204</f>
        <v>8197</v>
      </c>
      <c r="K206" s="686">
        <v>8380.8413199999995</v>
      </c>
      <c r="L206" s="62">
        <f>'Sch M-2.3-E pg 1-2'!AT16</f>
        <v>8280.5427912585437</v>
      </c>
      <c r="M206" s="286"/>
    </row>
    <row r="207" spans="1:14">
      <c r="C207" s="284" t="s">
        <v>891</v>
      </c>
      <c r="D207" s="284"/>
      <c r="J207" s="302">
        <f>J206/G204</f>
        <v>6.0639974030674048E-4</v>
      </c>
      <c r="K207" s="840">
        <f>K206-J206</f>
        <v>183.84131999999954</v>
      </c>
      <c r="L207" s="62">
        <f>L206-J206</f>
        <v>83.54279125854373</v>
      </c>
    </row>
    <row r="208" spans="1:14">
      <c r="A208" s="200"/>
      <c r="B208" s="200"/>
      <c r="C208" s="200"/>
      <c r="D208" s="200"/>
      <c r="E208" s="200"/>
      <c r="F208" s="200"/>
      <c r="G208" s="200"/>
      <c r="H208" s="200"/>
      <c r="I208" s="200"/>
      <c r="J208" s="200"/>
    </row>
    <row r="209" spans="1:38">
      <c r="A209" s="200"/>
      <c r="B209" s="200"/>
      <c r="C209" s="200"/>
      <c r="D209" s="200"/>
      <c r="E209" s="200"/>
      <c r="F209" s="200"/>
      <c r="G209" s="200"/>
      <c r="H209" s="200"/>
      <c r="I209" s="200"/>
      <c r="J209" s="200"/>
    </row>
    <row r="210" spans="1:38">
      <c r="A210" s="200"/>
      <c r="B210" s="200"/>
      <c r="C210" s="200"/>
      <c r="D210" s="200"/>
      <c r="E210" s="200"/>
      <c r="F210" s="200"/>
      <c r="G210" s="200"/>
      <c r="H210" s="200"/>
      <c r="I210" s="200"/>
      <c r="J210" s="200"/>
    </row>
    <row r="211" spans="1:38" s="310" customFormat="1">
      <c r="A211" s="416" t="s">
        <v>1283</v>
      </c>
      <c r="I211" s="735"/>
      <c r="J211" s="346" t="str">
        <f>'Sch M-2.3-E pg 1-2'!$K$1</f>
        <v>Schedule M-2.3-E</v>
      </c>
      <c r="K211" s="312"/>
      <c r="L211" s="821"/>
      <c r="M211" s="312"/>
      <c r="N211" s="693"/>
      <c r="O211" s="693"/>
      <c r="P211" s="312"/>
      <c r="Q211" s="312"/>
      <c r="R211" s="312"/>
      <c r="S211" s="312"/>
      <c r="T211" s="312"/>
      <c r="U211" s="312"/>
      <c r="V211" s="312"/>
      <c r="Y211" s="387"/>
      <c r="AA211" s="387"/>
      <c r="AB211" s="387"/>
      <c r="AC211" s="387"/>
      <c r="AD211" s="387"/>
      <c r="AE211" s="387"/>
      <c r="AF211" s="387"/>
      <c r="AG211" s="387"/>
      <c r="AH211" s="387"/>
      <c r="AI211" s="387"/>
      <c r="AJ211" s="387"/>
      <c r="AK211" s="387"/>
      <c r="AL211" s="387"/>
    </row>
    <row r="212" spans="1:38" s="310" customFormat="1">
      <c r="A212" s="347" t="s">
        <v>1251</v>
      </c>
      <c r="I212" s="735"/>
      <c r="J212" s="346" t="str">
        <f>"Page "&amp;N212&amp;" of "&amp;O212</f>
        <v>Page 8 of 24</v>
      </c>
      <c r="K212" s="312"/>
      <c r="L212" s="821"/>
      <c r="M212" s="312"/>
      <c r="N212" s="687">
        <f>N175+1</f>
        <v>8</v>
      </c>
      <c r="O212" s="687">
        <f>'Settlement Exhibit 2 pgs 18-24'!$M$189</f>
        <v>24</v>
      </c>
      <c r="P212" s="312"/>
      <c r="Q212" s="312"/>
      <c r="R212" s="312"/>
      <c r="S212" s="312"/>
      <c r="T212" s="312"/>
      <c r="U212" s="312"/>
      <c r="V212" s="312"/>
      <c r="Y212" s="387"/>
    </row>
    <row r="213" spans="1:38" s="310" customFormat="1">
      <c r="A213" s="347" t="s">
        <v>1248</v>
      </c>
      <c r="I213" s="735"/>
      <c r="J213" s="346">
        <f>'Sch M-2.3-E pg 1-2'!$K$3</f>
        <v>0</v>
      </c>
      <c r="K213" s="312"/>
      <c r="L213" s="821"/>
      <c r="M213" s="312"/>
      <c r="N213" s="693"/>
      <c r="O213" s="693"/>
      <c r="P213" s="312"/>
      <c r="Q213" s="312"/>
      <c r="R213" s="312"/>
      <c r="S213" s="312"/>
      <c r="T213" s="312"/>
      <c r="U213" s="312"/>
      <c r="V213" s="415"/>
      <c r="Y213" s="387"/>
      <c r="Z213" s="388"/>
    </row>
    <row r="214" spans="1:38" s="310" customFormat="1">
      <c r="A214" s="348"/>
      <c r="B214" s="191"/>
      <c r="C214" s="203"/>
      <c r="D214" s="215"/>
      <c r="E214" s="191"/>
      <c r="F214" s="191"/>
      <c r="G214" s="269"/>
      <c r="H214" s="269"/>
      <c r="I214" s="736"/>
      <c r="J214" s="203"/>
      <c r="K214" s="217"/>
      <c r="L214" s="822"/>
      <c r="M214" s="217"/>
      <c r="N214" s="693"/>
      <c r="O214" s="693"/>
      <c r="P214" s="312"/>
      <c r="Q214" s="312"/>
      <c r="R214" s="312"/>
      <c r="S214" s="312"/>
      <c r="T214" s="312"/>
      <c r="U214" s="312"/>
      <c r="V214" s="312"/>
      <c r="Y214" s="388"/>
      <c r="AA214" s="387"/>
      <c r="AB214" s="387"/>
      <c r="AC214" s="387"/>
      <c r="AD214" s="387"/>
      <c r="AE214" s="387"/>
    </row>
    <row r="215" spans="1:38">
      <c r="A215" s="405"/>
      <c r="B215" s="375"/>
      <c r="C215" s="406"/>
      <c r="D215" s="406"/>
      <c r="E215" s="406"/>
      <c r="F215" s="407" t="s">
        <v>862</v>
      </c>
      <c r="G215" s="408"/>
      <c r="H215" s="377"/>
      <c r="I215" s="377"/>
      <c r="J215" s="376" t="s">
        <v>876</v>
      </c>
    </row>
    <row r="216" spans="1:38">
      <c r="A216" s="390"/>
      <c r="C216" s="612"/>
      <c r="D216" s="211"/>
      <c r="E216" s="216"/>
      <c r="F216" s="216" t="s">
        <v>104</v>
      </c>
      <c r="G216" s="212" t="s">
        <v>105</v>
      </c>
      <c r="I216" s="62" t="s">
        <v>879</v>
      </c>
      <c r="J216" s="63" t="s">
        <v>878</v>
      </c>
    </row>
    <row r="217" spans="1:38">
      <c r="A217" s="409"/>
      <c r="B217" s="276"/>
      <c r="C217" s="410" t="s">
        <v>1255</v>
      </c>
      <c r="D217" s="410" t="s">
        <v>1256</v>
      </c>
      <c r="E217" s="386" t="s">
        <v>107</v>
      </c>
      <c r="F217" s="386" t="s">
        <v>108</v>
      </c>
      <c r="G217" s="412" t="s">
        <v>109</v>
      </c>
      <c r="H217" s="276"/>
      <c r="I217" s="276" t="s">
        <v>93</v>
      </c>
      <c r="J217" s="380" t="s">
        <v>881</v>
      </c>
    </row>
    <row r="218" spans="1:38">
      <c r="A218" s="62"/>
      <c r="C218" s="296"/>
      <c r="D218" s="63"/>
      <c r="E218" s="63"/>
      <c r="F218" s="298"/>
      <c r="G218" s="63"/>
      <c r="H218" s="299"/>
      <c r="J218" s="63"/>
    </row>
    <row r="219" spans="1:38">
      <c r="A219" s="303" t="s">
        <v>1014</v>
      </c>
    </row>
    <row r="220" spans="1:38">
      <c r="A220" s="307"/>
      <c r="B220" s="277" t="s">
        <v>998</v>
      </c>
      <c r="C220" s="192">
        <f>SUMIF(L_12MonResults_RateClass,MiscData!$Y$21,L_12MonResults_Contract_Cnt)+SUMIF(L_12MonResults_RateClass,MiscData!$Y$21,L_12MonResults_Contract_Cnt_Adj)</f>
        <v>3830</v>
      </c>
      <c r="D220" s="191"/>
      <c r="E220" s="191"/>
      <c r="F220" s="193">
        <f>SUMIF(L_Rates_Tariff_Rate_Category,MiscData!$X$5&amp;MiscData!$AA$16,L_Rates_BSC)</f>
        <v>200</v>
      </c>
      <c r="G220" s="279">
        <f>ROUND(F220*C220,0)</f>
        <v>766000</v>
      </c>
      <c r="I220" s="278">
        <v>200</v>
      </c>
      <c r="J220" s="279">
        <f>I220*C220</f>
        <v>766000</v>
      </c>
    </row>
    <row r="221" spans="1:38">
      <c r="A221" s="307"/>
      <c r="B221" s="281" t="s">
        <v>882</v>
      </c>
      <c r="E221" s="192">
        <f>SUMIF(L_12MonResults_RateClass,MiscData!$Y$21,L_12MonResults_KWH_Total)</f>
        <v>1040406894</v>
      </c>
      <c r="F221" s="196">
        <f>SUMIF(L_Rates_Tariff_Rate_Category,MiscData!$X$5&amp;MiscData!$AA$16,L_Rates_Energy)</f>
        <v>3.9899999999999998E-2</v>
      </c>
      <c r="G221" s="199">
        <f>ROUND(E221*F221,0)</f>
        <v>41512235</v>
      </c>
      <c r="I221" s="196">
        <v>4.0489999999999998E-2</v>
      </c>
      <c r="J221" s="199">
        <f>I221*E221</f>
        <v>42126075.138059996</v>
      </c>
      <c r="K221" s="302"/>
      <c r="L221" s="823">
        <f>L248/J221</f>
        <v>2.4630879926803428E-5</v>
      </c>
      <c r="M221" s="302"/>
      <c r="R221" s="400"/>
    </row>
    <row r="222" spans="1:38">
      <c r="B222" s="277" t="s">
        <v>1383</v>
      </c>
      <c r="D222" s="192">
        <f>'Power Factor'!$J$42</f>
        <v>2312300.2167810746</v>
      </c>
      <c r="E222" s="197"/>
      <c r="F222" s="193">
        <f>SUMIF(L_Rates_Tariff_Rate_Category,MiscData!$X$5&amp;MiscData!$AA$16,L_Rates_Demand_Base)</f>
        <v>4</v>
      </c>
      <c r="G222" s="279">
        <f>ROUND(F222*D222,0)</f>
        <v>9249201</v>
      </c>
      <c r="I222" s="193">
        <v>3.91</v>
      </c>
      <c r="J222" s="199">
        <f>ROUND(D222*I222,0)</f>
        <v>9041094</v>
      </c>
      <c r="K222" s="302"/>
      <c r="L222" s="823">
        <f>I221*(1+L221)</f>
        <v>4.049099730432823E-2</v>
      </c>
      <c r="M222" s="302"/>
      <c r="N222" s="694"/>
      <c r="R222" s="400"/>
    </row>
    <row r="223" spans="1:38">
      <c r="B223" s="277" t="s">
        <v>1384</v>
      </c>
      <c r="D223" s="192">
        <f>'Power Factor'!$J$43</f>
        <v>2167525.2339173625</v>
      </c>
      <c r="E223" s="191"/>
      <c r="F223" s="193">
        <f>SUMIF(L_Rates_Tariff_Rate_Category,MiscData!$X$5&amp;MiscData!$AA$16,L_Rates_Demand_Intermediate)</f>
        <v>4.5100000000000007</v>
      </c>
      <c r="G223" s="279">
        <f>ROUND(F223*D223,0)</f>
        <v>9775539</v>
      </c>
      <c r="I223" s="193">
        <v>4.41</v>
      </c>
      <c r="J223" s="199">
        <f t="shared" ref="J223:J228" si="3">ROUND(D223*I223,0)</f>
        <v>9558786</v>
      </c>
      <c r="K223" s="302"/>
    </row>
    <row r="224" spans="1:38">
      <c r="B224" s="277" t="s">
        <v>1385</v>
      </c>
      <c r="D224" s="192">
        <f>'Power Factor'!$J$44</f>
        <v>2122416.0723105436</v>
      </c>
      <c r="E224" s="191"/>
      <c r="F224" s="193">
        <f>SUMIF(L_Rates_Tariff_Rate_Category,MiscData!$X$5&amp;MiscData!$AA$16,L_Rates_Demand_Peak)</f>
        <v>6.11</v>
      </c>
      <c r="G224" s="279">
        <f>ROUND(F224*D224,0)</f>
        <v>12967962</v>
      </c>
      <c r="I224" s="193">
        <v>6.05</v>
      </c>
      <c r="J224" s="199">
        <f t="shared" si="3"/>
        <v>12840617</v>
      </c>
      <c r="K224" s="302"/>
      <c r="N224" s="698"/>
      <c r="O224" s="699"/>
    </row>
    <row r="225" spans="1:17">
      <c r="B225" s="277"/>
      <c r="D225" s="191"/>
      <c r="E225" s="191"/>
      <c r="F225" s="194"/>
      <c r="G225" s="279"/>
      <c r="I225" s="278"/>
      <c r="J225" s="199"/>
      <c r="K225" s="302"/>
      <c r="N225" s="698"/>
      <c r="O225" s="699"/>
    </row>
    <row r="226" spans="1:17">
      <c r="B226" s="277" t="s">
        <v>1481</v>
      </c>
      <c r="D226" s="192">
        <f>'Power Factor'!$K$42</f>
        <v>52063.783218925353</v>
      </c>
      <c r="E226" s="197"/>
      <c r="F226" s="193">
        <f>SUMIF(L_Rates_Tariff_Rate_Category,MiscData!$X$5&amp;MiscData!$AA$16,L_Rates_Demand_Base)</f>
        <v>4</v>
      </c>
      <c r="G226" s="279">
        <f t="shared" ref="G226:G228" si="4">ROUND(F226*D226,0)</f>
        <v>208255</v>
      </c>
      <c r="I226" s="278">
        <f>I222</f>
        <v>3.91</v>
      </c>
      <c r="J226" s="199">
        <f t="shared" si="3"/>
        <v>203569</v>
      </c>
      <c r="K226" s="302"/>
      <c r="N226" s="698"/>
      <c r="O226" s="699"/>
    </row>
    <row r="227" spans="1:17">
      <c r="B227" s="281" t="s">
        <v>1482</v>
      </c>
      <c r="C227" s="300"/>
      <c r="D227" s="192">
        <f>'Power Factor'!$K$43</f>
        <v>62079.766082637478</v>
      </c>
      <c r="E227" s="191"/>
      <c r="F227" s="193">
        <f>SUMIF(L_Rates_Tariff_Rate_Category,MiscData!$X$5&amp;MiscData!$AA$16,L_Rates_Demand_Intermediate)</f>
        <v>4.5100000000000007</v>
      </c>
      <c r="G227" s="279">
        <f t="shared" si="4"/>
        <v>279980</v>
      </c>
      <c r="I227" s="278">
        <f t="shared" ref="I227:I228" si="5">I223</f>
        <v>4.41</v>
      </c>
      <c r="J227" s="199">
        <f t="shared" si="3"/>
        <v>273772</v>
      </c>
      <c r="K227" s="393"/>
      <c r="N227" s="699"/>
      <c r="O227" s="699"/>
    </row>
    <row r="228" spans="1:17">
      <c r="B228" s="281" t="s">
        <v>1480</v>
      </c>
      <c r="C228" s="300"/>
      <c r="D228" s="192">
        <f>'Power Factor'!$K$44</f>
        <v>60198.927689456381</v>
      </c>
      <c r="E228" s="191"/>
      <c r="F228" s="193">
        <f>SUMIF(L_Rates_Tariff_Rate_Category,MiscData!$X$5&amp;MiscData!$AA$16,L_Rates_Demand_Peak)</f>
        <v>6.11</v>
      </c>
      <c r="G228" s="279">
        <f t="shared" si="4"/>
        <v>367815</v>
      </c>
      <c r="I228" s="278">
        <f t="shared" si="5"/>
        <v>6.05</v>
      </c>
      <c r="J228" s="199">
        <f t="shared" si="3"/>
        <v>364204</v>
      </c>
      <c r="K228" s="393"/>
      <c r="N228" s="698"/>
      <c r="O228" s="699"/>
    </row>
    <row r="229" spans="1:17" ht="15">
      <c r="B229" s="277"/>
      <c r="G229" s="201"/>
      <c r="J229" s="201"/>
      <c r="K229" s="360"/>
      <c r="O229" s="699"/>
      <c r="Q229" s="398"/>
    </row>
    <row r="230" spans="1:17">
      <c r="A230" s="307"/>
      <c r="E230" s="287" t="s">
        <v>883</v>
      </c>
      <c r="G230" s="288">
        <f>SUM(G220:G229)</f>
        <v>75126987</v>
      </c>
      <c r="J230" s="288">
        <f>SUM(J220:J229)</f>
        <v>75174117.138060004</v>
      </c>
      <c r="O230" s="699"/>
    </row>
    <row r="231" spans="1:17">
      <c r="A231" s="307"/>
      <c r="E231" s="281" t="s">
        <v>884</v>
      </c>
      <c r="G231" s="289">
        <f>'12MonResults'!$AF$471</f>
        <v>0.9999999201352302</v>
      </c>
      <c r="J231" s="289">
        <f>G231</f>
        <v>0.9999999201352302</v>
      </c>
    </row>
    <row r="232" spans="1:17">
      <c r="A232" s="307"/>
      <c r="E232" s="287" t="s">
        <v>885</v>
      </c>
      <c r="G232" s="288">
        <f>+ROUND(G230/G231,0)</f>
        <v>75126993</v>
      </c>
      <c r="J232" s="288">
        <f>+ROUND(J230/J231,0)</f>
        <v>75174123</v>
      </c>
    </row>
    <row r="233" spans="1:17">
      <c r="A233" s="307"/>
      <c r="E233" s="287"/>
      <c r="G233" s="279"/>
      <c r="L233" s="824"/>
      <c r="M233" s="286"/>
      <c r="O233" s="695"/>
    </row>
    <row r="234" spans="1:17">
      <c r="A234" s="396"/>
      <c r="B234" s="62" t="s">
        <v>886</v>
      </c>
      <c r="G234" s="199">
        <f>'ECR in Base Rates'!G31*-1</f>
        <v>-1084253</v>
      </c>
      <c r="J234" s="199">
        <f>G234</f>
        <v>-1084253</v>
      </c>
    </row>
    <row r="235" spans="1:17">
      <c r="B235" s="286" t="s">
        <v>1426</v>
      </c>
      <c r="D235" s="300">
        <v>18000</v>
      </c>
      <c r="F235" s="193">
        <v>1.17</v>
      </c>
      <c r="G235" s="279">
        <f>ROUND(F235*D235,0)</f>
        <v>21060</v>
      </c>
      <c r="I235" s="278">
        <v>1.43</v>
      </c>
      <c r="J235" s="199">
        <f>ROUND(D235*I235,0)</f>
        <v>25740</v>
      </c>
      <c r="N235" s="698"/>
      <c r="O235" s="699"/>
    </row>
    <row r="236" spans="1:17">
      <c r="A236" s="396"/>
      <c r="B236" s="286"/>
      <c r="G236" s="275"/>
    </row>
    <row r="237" spans="1:17" ht="15">
      <c r="B237" s="274" t="s">
        <v>887</v>
      </c>
      <c r="G237" s="290">
        <f>SUM(G232:G235)</f>
        <v>74063800</v>
      </c>
      <c r="J237" s="290">
        <f>SUM(J232:J235)</f>
        <v>74115610</v>
      </c>
    </row>
    <row r="238" spans="1:17">
      <c r="A238" s="307"/>
      <c r="B238" s="281"/>
    </row>
    <row r="239" spans="1:17">
      <c r="A239" s="307"/>
      <c r="B239" s="286" t="s">
        <v>1483</v>
      </c>
      <c r="G239" s="279">
        <f>'Sch M-2.3-E pg 1-2'!$P$26</f>
        <v>-270983</v>
      </c>
      <c r="J239" s="279">
        <f>G239</f>
        <v>-270983</v>
      </c>
    </row>
    <row r="240" spans="1:17">
      <c r="A240" s="307"/>
      <c r="B240" s="286" t="s">
        <v>1484</v>
      </c>
      <c r="G240" s="279">
        <f>'Sch M-2.3-E pg 1-2'!$Q$26</f>
        <v>1965777</v>
      </c>
      <c r="J240" s="279">
        <f>G240</f>
        <v>1965777</v>
      </c>
    </row>
    <row r="241" spans="1:38">
      <c r="A241" s="307"/>
      <c r="B241" s="286" t="s">
        <v>1485</v>
      </c>
      <c r="G241" s="279">
        <f>'Sch M-2.3-E pg 1-2'!$R$26</f>
        <v>9427672</v>
      </c>
      <c r="J241" s="279">
        <f>G241</f>
        <v>9427672</v>
      </c>
    </row>
    <row r="242" spans="1:38">
      <c r="A242" s="307"/>
      <c r="B242" s="284" t="s">
        <v>888</v>
      </c>
      <c r="G242" s="279">
        <f>-G234</f>
        <v>1084253</v>
      </c>
      <c r="J242" s="279">
        <f>G242</f>
        <v>1084253</v>
      </c>
    </row>
    <row r="243" spans="1:38">
      <c r="A243" s="307"/>
      <c r="B243" s="284"/>
      <c r="G243" s="279"/>
      <c r="J243" s="279"/>
    </row>
    <row r="244" spans="1:38" ht="15">
      <c r="A244" s="307"/>
      <c r="B244" s="274" t="s">
        <v>889</v>
      </c>
      <c r="G244" s="290">
        <f>SUM(G237:G242)</f>
        <v>86270519</v>
      </c>
      <c r="J244" s="290">
        <f>SUM(J237:J242)</f>
        <v>86322329</v>
      </c>
    </row>
    <row r="245" spans="1:38">
      <c r="A245" s="307"/>
      <c r="B245" s="63"/>
      <c r="K245" s="301"/>
    </row>
    <row r="246" spans="1:38">
      <c r="A246" s="307"/>
      <c r="C246" s="284"/>
      <c r="D246" s="284"/>
      <c r="J246" s="302"/>
    </row>
    <row r="247" spans="1:38">
      <c r="A247" s="307"/>
      <c r="B247" s="227" t="s">
        <v>890</v>
      </c>
      <c r="J247" s="301">
        <f>J244-G244</f>
        <v>51810</v>
      </c>
      <c r="K247" s="686">
        <v>53487.72178</v>
      </c>
      <c r="L247" s="62">
        <f>'Sch M-2.3-E pg 1-2'!AT19</f>
        <v>52847.602298513055</v>
      </c>
      <c r="M247" s="286"/>
    </row>
    <row r="248" spans="1:38">
      <c r="A248" s="307"/>
      <c r="C248" s="284" t="s">
        <v>891</v>
      </c>
      <c r="D248" s="284"/>
      <c r="J248" s="302">
        <f>J247/(G244+G205)</f>
        <v>6.0055277979723294E-4</v>
      </c>
      <c r="K248" s="62">
        <f>K247-J247</f>
        <v>1677.7217799999999</v>
      </c>
      <c r="L248" s="62">
        <f>L247-J247</f>
        <v>1037.6022985130548</v>
      </c>
    </row>
    <row r="249" spans="1:38">
      <c r="A249" s="200"/>
      <c r="B249" s="200"/>
      <c r="C249" s="200"/>
      <c r="D249" s="200"/>
      <c r="E249" s="200"/>
      <c r="F249" s="200"/>
      <c r="G249" s="200"/>
      <c r="H249" s="200"/>
      <c r="I249" s="200"/>
      <c r="J249" s="200"/>
      <c r="K249" s="302"/>
    </row>
    <row r="250" spans="1:38">
      <c r="A250" s="200"/>
      <c r="B250" s="200"/>
      <c r="C250" s="200"/>
      <c r="D250" s="200"/>
      <c r="E250" s="200"/>
      <c r="F250" s="200"/>
      <c r="G250" s="200"/>
      <c r="H250" s="200"/>
      <c r="I250" s="200"/>
      <c r="J250" s="200"/>
    </row>
    <row r="251" spans="1:38">
      <c r="A251" s="200"/>
      <c r="B251" s="200"/>
      <c r="C251" s="200"/>
      <c r="D251" s="200"/>
      <c r="E251" s="200"/>
      <c r="F251" s="200"/>
      <c r="G251" s="200"/>
      <c r="H251" s="200"/>
      <c r="I251" s="200"/>
      <c r="J251" s="200"/>
    </row>
    <row r="252" spans="1:38" s="310" customFormat="1">
      <c r="A252" s="416" t="s">
        <v>1283</v>
      </c>
      <c r="I252" s="735"/>
      <c r="J252" s="346" t="str">
        <f>'Sch M-2.3-E pg 1-2'!$K$1</f>
        <v>Schedule M-2.3-E</v>
      </c>
      <c r="K252" s="312"/>
      <c r="L252" s="821"/>
      <c r="M252" s="312"/>
      <c r="N252" s="693"/>
      <c r="O252" s="693"/>
      <c r="P252" s="312"/>
      <c r="Q252" s="312"/>
      <c r="R252" s="312"/>
      <c r="S252" s="312"/>
      <c r="T252" s="312"/>
      <c r="U252" s="312"/>
      <c r="V252" s="312"/>
      <c r="Y252" s="387"/>
      <c r="AA252" s="387"/>
      <c r="AB252" s="387"/>
      <c r="AC252" s="387"/>
      <c r="AD252" s="387"/>
      <c r="AE252" s="387"/>
      <c r="AF252" s="387"/>
      <c r="AG252" s="387"/>
      <c r="AH252" s="387"/>
      <c r="AI252" s="387"/>
      <c r="AJ252" s="387"/>
      <c r="AK252" s="387"/>
      <c r="AL252" s="387"/>
    </row>
    <row r="253" spans="1:38" s="310" customFormat="1">
      <c r="A253" s="347" t="s">
        <v>1251</v>
      </c>
      <c r="I253" s="735"/>
      <c r="J253" s="346" t="str">
        <f>"Page "&amp;N253&amp;" of "&amp;O253</f>
        <v>Page 9 of 24</v>
      </c>
      <c r="K253" s="312"/>
      <c r="L253" s="821"/>
      <c r="M253" s="312"/>
      <c r="N253" s="687">
        <f>N212+1</f>
        <v>9</v>
      </c>
      <c r="O253" s="687">
        <f>'Settlement Exhibit 2 pgs 18-24'!$M$189</f>
        <v>24</v>
      </c>
      <c r="P253" s="312"/>
      <c r="Q253" s="312"/>
      <c r="R253" s="312"/>
      <c r="S253" s="312"/>
      <c r="T253" s="312"/>
      <c r="U253" s="312"/>
      <c r="V253" s="312"/>
      <c r="Y253" s="387"/>
    </row>
    <row r="254" spans="1:38" s="310" customFormat="1">
      <c r="A254" s="347" t="s">
        <v>1248</v>
      </c>
      <c r="I254" s="735"/>
      <c r="J254" s="346">
        <f>'Sch M-2.3-E pg 1-2'!$K$3</f>
        <v>0</v>
      </c>
      <c r="K254" s="312"/>
      <c r="L254" s="821"/>
      <c r="M254" s="312"/>
      <c r="N254" s="693"/>
      <c r="O254" s="693"/>
      <c r="P254" s="312"/>
      <c r="Q254" s="312"/>
      <c r="R254" s="312"/>
      <c r="S254" s="312"/>
      <c r="T254" s="312"/>
      <c r="U254" s="312"/>
      <c r="V254" s="415"/>
      <c r="Y254" s="387"/>
      <c r="Z254" s="388"/>
    </row>
    <row r="255" spans="1:38" s="310" customFormat="1">
      <c r="A255" s="348"/>
      <c r="B255" s="191"/>
      <c r="C255" s="203"/>
      <c r="D255" s="215"/>
      <c r="E255" s="191"/>
      <c r="F255" s="191"/>
      <c r="G255" s="269"/>
      <c r="H255" s="269"/>
      <c r="I255" s="736"/>
      <c r="J255" s="203"/>
      <c r="K255" s="217"/>
      <c r="L255" s="822"/>
      <c r="M255" s="217"/>
      <c r="N255" s="693"/>
      <c r="O255" s="693"/>
      <c r="P255" s="312"/>
      <c r="Q255" s="312"/>
      <c r="R255" s="312"/>
      <c r="S255" s="312"/>
      <c r="T255" s="312"/>
      <c r="U255" s="312"/>
      <c r="V255" s="312"/>
      <c r="Y255" s="388"/>
      <c r="AA255" s="387"/>
      <c r="AB255" s="387"/>
      <c r="AC255" s="387"/>
      <c r="AD255" s="387"/>
      <c r="AE255" s="387"/>
    </row>
    <row r="256" spans="1:38">
      <c r="A256" s="413"/>
      <c r="B256" s="375"/>
      <c r="C256" s="406"/>
      <c r="D256" s="406"/>
      <c r="E256" s="406"/>
      <c r="F256" s="383" t="s">
        <v>862</v>
      </c>
      <c r="G256" s="408"/>
      <c r="H256" s="377"/>
      <c r="I256" s="377"/>
      <c r="J256" s="376" t="s">
        <v>876</v>
      </c>
    </row>
    <row r="257" spans="1:18">
      <c r="A257" s="389"/>
      <c r="C257" s="612"/>
      <c r="D257" s="211"/>
      <c r="E257" s="216"/>
      <c r="F257" s="216" t="s">
        <v>104</v>
      </c>
      <c r="G257" s="212" t="s">
        <v>105</v>
      </c>
      <c r="I257" s="62" t="s">
        <v>879</v>
      </c>
      <c r="J257" s="63" t="s">
        <v>878</v>
      </c>
    </row>
    <row r="258" spans="1:18">
      <c r="A258" s="414"/>
      <c r="B258" s="276"/>
      <c r="C258" s="410" t="s">
        <v>1255</v>
      </c>
      <c r="D258" s="410" t="s">
        <v>1257</v>
      </c>
      <c r="E258" s="386" t="s">
        <v>107</v>
      </c>
      <c r="F258" s="386" t="s">
        <v>108</v>
      </c>
      <c r="G258" s="412" t="s">
        <v>109</v>
      </c>
      <c r="H258" s="276"/>
      <c r="I258" s="276" t="s">
        <v>93</v>
      </c>
      <c r="J258" s="380" t="s">
        <v>881</v>
      </c>
    </row>
    <row r="259" spans="1:18">
      <c r="A259" s="390"/>
      <c r="B259" s="303"/>
      <c r="C259" s="296"/>
      <c r="D259" s="296"/>
    </row>
    <row r="260" spans="1:18">
      <c r="A260" s="303" t="s">
        <v>1500</v>
      </c>
    </row>
    <row r="261" spans="1:18">
      <c r="A261" s="390"/>
      <c r="B261" s="277" t="s">
        <v>998</v>
      </c>
      <c r="C261" s="192">
        <f>SUMIF(L_12MonResults_RateClass,MiscData!$Y$6,L_12MonResults_Contract_Cnt)</f>
        <v>474</v>
      </c>
      <c r="D261" s="191"/>
      <c r="E261" s="191"/>
      <c r="F261" s="193">
        <f>SUMIF(L_Rates_Tariff_Rate_Category,MiscData!$X$5&amp;MiscData!$AA$17,L_Rates_BSC)</f>
        <v>300</v>
      </c>
      <c r="G261" s="279">
        <f>ROUND(F261*C261,0)</f>
        <v>142200</v>
      </c>
      <c r="I261" s="278"/>
      <c r="J261" s="199"/>
      <c r="K261" s="193">
        <f>I335</f>
        <v>300</v>
      </c>
      <c r="L261" s="823">
        <f>K261*C261</f>
        <v>142200</v>
      </c>
      <c r="R261" s="400"/>
    </row>
    <row r="262" spans="1:18">
      <c r="A262" s="390"/>
      <c r="B262" s="281" t="s">
        <v>882</v>
      </c>
      <c r="E262" s="192">
        <f>SUMIF(L_12MonResults_RateClass,MiscData!$Y$6,L_12MonResults_KWH_Total)</f>
        <v>372651050</v>
      </c>
      <c r="F262" s="196">
        <f>SUMIF(L_Rates_Tariff_Rate_Category,MiscData!$X$5&amp;MiscData!$AA$17,L_Rates_Energy)</f>
        <v>3.8100000000000002E-2</v>
      </c>
      <c r="G262" s="199">
        <f>ROUND(E262*F262,0)</f>
        <v>14198005</v>
      </c>
      <c r="I262" s="282"/>
      <c r="J262" s="199"/>
      <c r="K262" s="196">
        <f>I336</f>
        <v>3.8240000000000003E-2</v>
      </c>
      <c r="L262" s="823">
        <f>K262*E262</f>
        <v>14250176.152000001</v>
      </c>
      <c r="M262" s="199"/>
      <c r="R262" s="400"/>
    </row>
    <row r="263" spans="1:18">
      <c r="B263" s="277" t="s">
        <v>1380</v>
      </c>
      <c r="D263" s="192">
        <f>SUMIF(L_12MonResults_RateClass,MiscData!$Y$6,L_12MonResults_Demand_Measured_Base)</f>
        <v>886968</v>
      </c>
      <c r="E263" s="197"/>
      <c r="F263" s="193">
        <f>SUMIF(L_Rates_Tariff_Rate_Category,MiscData!$X$5&amp;MiscData!$AA$17,L_Rates_Demand_Base)</f>
        <v>3.9800000000000004</v>
      </c>
      <c r="G263" s="279">
        <f>ROUND(F263*D263,0)</f>
        <v>3530133</v>
      </c>
      <c r="I263" s="278"/>
      <c r="J263" s="199"/>
      <c r="K263" s="193">
        <f>I337</f>
        <v>3.24</v>
      </c>
      <c r="L263" s="823">
        <f>K263*D263</f>
        <v>2873776.3200000003</v>
      </c>
      <c r="M263" s="302"/>
      <c r="N263" s="694"/>
    </row>
    <row r="264" spans="1:18">
      <c r="B264" s="277" t="s">
        <v>1381</v>
      </c>
      <c r="D264" s="192">
        <f>SUMIF(L_12MonResults_RateClass,MiscData!$Y$6,L_12MonResults_Demand_Measured_Inter)</f>
        <v>822075</v>
      </c>
      <c r="E264" s="191"/>
      <c r="F264" s="193">
        <f>SUMIF(L_Rates_Tariff_Rate_Category,MiscData!$X$5&amp;MiscData!$AA$17,L_Rates_Demand_Intermediate)</f>
        <v>4.13</v>
      </c>
      <c r="G264" s="279">
        <f t="shared" ref="G264:G265" si="6">ROUND(F264*D264,0)</f>
        <v>3395170</v>
      </c>
      <c r="I264" s="278"/>
      <c r="J264" s="199"/>
      <c r="K264" s="193">
        <f>I338</f>
        <v>3.4</v>
      </c>
      <c r="L264" s="823">
        <f>K264*D264</f>
        <v>2795055</v>
      </c>
    </row>
    <row r="265" spans="1:18">
      <c r="B265" s="277" t="s">
        <v>1382</v>
      </c>
      <c r="D265" s="192">
        <f>SUMIF(L_12MonResults_RateClass,MiscData!$Y$6,L_12MonResults_Demand_Measured_Peak)</f>
        <v>804117</v>
      </c>
      <c r="E265" s="191"/>
      <c r="F265" s="193">
        <f>SUMIF(L_Rates_Tariff_Rate_Category,MiscData!$X$5&amp;MiscData!$AA$17,L_Rates_Demand_Peak)</f>
        <v>5.83</v>
      </c>
      <c r="G265" s="279">
        <f t="shared" si="6"/>
        <v>4688002</v>
      </c>
      <c r="I265" s="278"/>
      <c r="J265" s="199"/>
      <c r="K265" s="193">
        <f>I339</f>
        <v>4.75</v>
      </c>
      <c r="L265" s="823">
        <f>K265*D265</f>
        <v>3819555.75</v>
      </c>
      <c r="N265" s="698"/>
      <c r="O265" s="699"/>
    </row>
    <row r="266" spans="1:18">
      <c r="B266" s="281"/>
      <c r="C266" s="300"/>
      <c r="D266" s="300"/>
      <c r="F266" s="278"/>
      <c r="G266" s="279"/>
      <c r="I266" s="278"/>
      <c r="J266" s="199"/>
      <c r="N266" s="698"/>
      <c r="O266" s="699"/>
    </row>
    <row r="267" spans="1:18">
      <c r="B267" s="281"/>
      <c r="G267" s="199"/>
      <c r="J267" s="199"/>
      <c r="K267" s="360"/>
    </row>
    <row r="268" spans="1:18" ht="15">
      <c r="A268" s="307"/>
      <c r="B268" s="281"/>
      <c r="E268" s="304" t="s">
        <v>883</v>
      </c>
      <c r="G268" s="199">
        <f>SUM(G261:G266)</f>
        <v>25953510</v>
      </c>
      <c r="J268" s="201"/>
      <c r="K268" s="360"/>
      <c r="L268" s="823">
        <f>SUM(L261:L267)</f>
        <v>23880763.222000003</v>
      </c>
    </row>
    <row r="269" spans="1:18">
      <c r="A269" s="307"/>
      <c r="E269" s="281" t="s">
        <v>884</v>
      </c>
      <c r="G269" s="289">
        <f>'12MonResults'!$AF$472</f>
        <v>1.0000003082435658</v>
      </c>
      <c r="J269" s="202"/>
      <c r="L269" s="823">
        <f>G269</f>
        <v>1.0000003082435658</v>
      </c>
    </row>
    <row r="270" spans="1:18">
      <c r="A270" s="307"/>
      <c r="E270" s="287" t="s">
        <v>885</v>
      </c>
      <c r="G270" s="288">
        <f>+ROUND(G268/G269,0)</f>
        <v>25953502</v>
      </c>
      <c r="J270" s="288"/>
      <c r="L270" s="825">
        <f>+ROUND(L268/L269,0)-2</f>
        <v>23880754</v>
      </c>
    </row>
    <row r="271" spans="1:18">
      <c r="A271" s="307"/>
      <c r="E271" s="287"/>
      <c r="G271" s="279"/>
    </row>
    <row r="272" spans="1:18">
      <c r="A272" s="396"/>
      <c r="B272" s="62" t="s">
        <v>886</v>
      </c>
      <c r="G272" s="275">
        <f>'ECR in Base Rates'!$G$38*-1</f>
        <v>-351843</v>
      </c>
      <c r="L272" s="823">
        <f>G272</f>
        <v>-351843</v>
      </c>
    </row>
    <row r="273" spans="1:13">
      <c r="A273" s="396"/>
      <c r="B273" s="286"/>
      <c r="G273" s="275"/>
    </row>
    <row r="274" spans="1:13" ht="15">
      <c r="B274" s="274" t="s">
        <v>887</v>
      </c>
      <c r="G274" s="290">
        <f>SUM(G270:G272)</f>
        <v>25601659</v>
      </c>
      <c r="J274" s="290"/>
      <c r="L274" s="823">
        <f>L270+L272</f>
        <v>23528911</v>
      </c>
    </row>
    <row r="275" spans="1:13">
      <c r="A275" s="307"/>
      <c r="B275" s="281"/>
    </row>
    <row r="276" spans="1:13">
      <c r="A276" s="307"/>
      <c r="B276" s="286" t="s">
        <v>1483</v>
      </c>
      <c r="G276" s="279">
        <f>'Sch M-2.3-E pg 1-2'!$P$29</f>
        <v>-88079</v>
      </c>
      <c r="J276" s="279"/>
      <c r="L276" s="823">
        <f>G276</f>
        <v>-88079</v>
      </c>
    </row>
    <row r="277" spans="1:13">
      <c r="A277" s="307"/>
      <c r="B277" s="286" t="s">
        <v>1484</v>
      </c>
      <c r="G277" s="279">
        <f>'Sch M-2.3-E pg 1-2'!$Q$29</f>
        <v>704109</v>
      </c>
      <c r="J277" s="279"/>
      <c r="L277" s="823">
        <f>G277</f>
        <v>704109</v>
      </c>
    </row>
    <row r="278" spans="1:13">
      <c r="A278" s="307"/>
      <c r="B278" s="286" t="s">
        <v>1485</v>
      </c>
      <c r="G278" s="279">
        <f>'Sch M-2.3-E pg 1-2'!$R$29</f>
        <v>3368651</v>
      </c>
      <c r="J278" s="279"/>
      <c r="L278" s="823">
        <f>G278</f>
        <v>3368651</v>
      </c>
    </row>
    <row r="279" spans="1:13">
      <c r="A279" s="307"/>
      <c r="B279" s="284" t="s">
        <v>888</v>
      </c>
      <c r="G279" s="279">
        <f>-G272</f>
        <v>351843</v>
      </c>
      <c r="J279" s="279"/>
      <c r="L279" s="823">
        <f>G279</f>
        <v>351843</v>
      </c>
    </row>
    <row r="280" spans="1:13">
      <c r="A280" s="307"/>
      <c r="B280" s="284"/>
      <c r="G280" s="279"/>
      <c r="J280" s="279"/>
    </row>
    <row r="281" spans="1:13" ht="15">
      <c r="A281" s="307"/>
      <c r="B281" s="274" t="s">
        <v>889</v>
      </c>
      <c r="G281" s="290">
        <f>SUM(G274:G279)</f>
        <v>29938183</v>
      </c>
      <c r="J281" s="290"/>
      <c r="L281" s="826">
        <f>SUM(L274:L279)</f>
        <v>27865435</v>
      </c>
      <c r="M281" s="301"/>
    </row>
    <row r="282" spans="1:13">
      <c r="A282" s="307"/>
      <c r="B282" s="63"/>
      <c r="K282" s="301"/>
    </row>
    <row r="283" spans="1:13">
      <c r="A283" s="307"/>
      <c r="C283" s="284"/>
      <c r="D283" s="284"/>
      <c r="J283" s="302"/>
      <c r="L283" s="823">
        <f>L281-G281</f>
        <v>-2072748</v>
      </c>
    </row>
    <row r="284" spans="1:13">
      <c r="A284" s="307"/>
      <c r="B284" s="227"/>
      <c r="J284" s="301"/>
      <c r="L284" s="827">
        <f>L283/G281</f>
        <v>-6.9234261812081241E-2</v>
      </c>
      <c r="M284" s="286"/>
    </row>
    <row r="285" spans="1:13">
      <c r="A285" s="307"/>
      <c r="C285" s="284"/>
      <c r="D285" s="284"/>
      <c r="J285" s="302"/>
    </row>
    <row r="286" spans="1:13">
      <c r="A286" s="200"/>
      <c r="B286" s="200"/>
      <c r="C286" s="200"/>
      <c r="D286" s="200"/>
      <c r="E286" s="200"/>
      <c r="F286" s="200"/>
      <c r="G286" s="200"/>
      <c r="H286" s="200"/>
      <c r="I286" s="200"/>
      <c r="J286" s="200"/>
      <c r="K286" s="302"/>
    </row>
    <row r="287" spans="1:13">
      <c r="A287" s="200"/>
      <c r="B287" s="200"/>
      <c r="C287" s="200"/>
      <c r="D287" s="200"/>
      <c r="E287" s="200"/>
      <c r="F287" s="200"/>
      <c r="G287" s="200"/>
      <c r="H287" s="200"/>
      <c r="I287" s="200"/>
      <c r="J287" s="200"/>
    </row>
    <row r="288" spans="1:13">
      <c r="A288" s="200"/>
      <c r="B288" s="200"/>
      <c r="C288" s="200"/>
      <c r="D288" s="200"/>
      <c r="E288" s="200"/>
      <c r="F288" s="200"/>
      <c r="G288" s="200"/>
      <c r="H288" s="200"/>
      <c r="I288" s="200"/>
      <c r="J288" s="200"/>
    </row>
    <row r="289" spans="1:18">
      <c r="A289" s="416" t="s">
        <v>1283</v>
      </c>
      <c r="B289" s="310"/>
      <c r="C289" s="310"/>
      <c r="D289" s="310"/>
      <c r="E289" s="310"/>
      <c r="F289" s="310"/>
      <c r="G289" s="310"/>
      <c r="H289" s="310"/>
      <c r="I289" s="735"/>
      <c r="J289" s="346" t="str">
        <f>'Sch M-2.3-E pg 1-2'!$K$1</f>
        <v>Schedule M-2.3-E</v>
      </c>
    </row>
    <row r="290" spans="1:18">
      <c r="A290" s="347" t="s">
        <v>1251</v>
      </c>
      <c r="B290" s="310"/>
      <c r="C290" s="310"/>
      <c r="D290" s="310"/>
      <c r="E290" s="310"/>
      <c r="F290" s="310"/>
      <c r="G290" s="310"/>
      <c r="H290" s="310"/>
      <c r="I290" s="735"/>
      <c r="J290" s="346" t="str">
        <f>"Page "&amp;N290&amp;" of "&amp;O290</f>
        <v>Page 10 of 24</v>
      </c>
      <c r="N290" s="687">
        <f>N253+1</f>
        <v>10</v>
      </c>
      <c r="O290" s="687">
        <f>'Settlement Exhibit 2 pgs 18-24'!$M$189</f>
        <v>24</v>
      </c>
    </row>
    <row r="291" spans="1:18">
      <c r="A291" s="347" t="s">
        <v>1248</v>
      </c>
      <c r="B291" s="310"/>
      <c r="C291" s="310"/>
      <c r="D291" s="310"/>
      <c r="E291" s="310"/>
      <c r="F291" s="310"/>
      <c r="G291" s="310"/>
      <c r="H291" s="310"/>
      <c r="I291" s="735"/>
      <c r="J291" s="346">
        <f>'Sch M-2.3-E pg 1-2'!$K$3</f>
        <v>0</v>
      </c>
    </row>
    <row r="292" spans="1:18">
      <c r="A292" s="348"/>
      <c r="B292" s="191"/>
      <c r="C292" s="203"/>
      <c r="D292" s="215"/>
      <c r="E292" s="191"/>
      <c r="F292" s="191"/>
      <c r="G292" s="269"/>
      <c r="H292" s="269"/>
      <c r="I292" s="736"/>
      <c r="J292" s="203"/>
    </row>
    <row r="293" spans="1:18">
      <c r="A293" s="413"/>
      <c r="B293" s="375"/>
      <c r="C293" s="406"/>
      <c r="D293" s="406"/>
      <c r="E293" s="406"/>
      <c r="F293" s="383" t="s">
        <v>862</v>
      </c>
      <c r="G293" s="408"/>
      <c r="H293" s="377"/>
      <c r="I293" s="377"/>
      <c r="J293" s="376" t="s">
        <v>876</v>
      </c>
    </row>
    <row r="294" spans="1:18">
      <c r="A294" s="389"/>
      <c r="C294" s="612"/>
      <c r="D294" s="211"/>
      <c r="E294" s="216"/>
      <c r="F294" s="216" t="s">
        <v>104</v>
      </c>
      <c r="G294" s="212" t="s">
        <v>105</v>
      </c>
      <c r="I294" s="62" t="s">
        <v>879</v>
      </c>
      <c r="J294" s="63" t="s">
        <v>878</v>
      </c>
    </row>
    <row r="295" spans="1:18">
      <c r="A295" s="414"/>
      <c r="B295" s="276"/>
      <c r="C295" s="410" t="s">
        <v>1255</v>
      </c>
      <c r="D295" s="410" t="s">
        <v>1257</v>
      </c>
      <c r="E295" s="386" t="s">
        <v>107</v>
      </c>
      <c r="F295" s="386" t="s">
        <v>108</v>
      </c>
      <c r="G295" s="412" t="s">
        <v>109</v>
      </c>
      <c r="H295" s="276"/>
      <c r="I295" s="276" t="s">
        <v>93</v>
      </c>
      <c r="J295" s="380" t="s">
        <v>881</v>
      </c>
    </row>
    <row r="296" spans="1:18">
      <c r="A296" s="390"/>
      <c r="B296" s="303"/>
    </row>
    <row r="297" spans="1:18">
      <c r="A297" s="303" t="s">
        <v>1328</v>
      </c>
    </row>
    <row r="298" spans="1:18">
      <c r="A298" s="390"/>
      <c r="B298" s="277" t="s">
        <v>998</v>
      </c>
      <c r="C298" s="192">
        <f>SUMIF(L_12MonResults_RateClass,MiscData!$Y$12,L_12MonResults_Contract_Cnt)</f>
        <v>842</v>
      </c>
      <c r="D298" s="191"/>
      <c r="E298" s="191"/>
      <c r="F298" s="193">
        <f>SUMIF(L_Rates_Tariff_Rate_Category,MiscData!$X$5&amp;MiscData!$AA$30,L_Rates_BSC)</f>
        <v>300</v>
      </c>
      <c r="G298" s="279">
        <f>ROUND(F298*C298,0)</f>
        <v>252600</v>
      </c>
      <c r="I298" s="278"/>
      <c r="J298" s="199"/>
      <c r="K298" s="280">
        <f>I335</f>
        <v>300</v>
      </c>
      <c r="L298" s="823">
        <f>K298*C298</f>
        <v>252600</v>
      </c>
      <c r="R298" s="400"/>
    </row>
    <row r="299" spans="1:18">
      <c r="B299" s="281" t="s">
        <v>882</v>
      </c>
      <c r="E299" s="192">
        <f>SUMIF(L_12MonResults_RateClass,MiscData!$Y$12,L_12MonResults_KWH_Total)</f>
        <v>1670443749</v>
      </c>
      <c r="F299" s="196">
        <f>SUMIF(L_Rates_Tariff_Rate_Category,MiscData!$X$5&amp;MiscData!$AA$30,L_Rates_Energy)</f>
        <v>3.5380000000000002E-2</v>
      </c>
      <c r="G299" s="199">
        <f>ROUND(E299*F299,0)</f>
        <v>59100300</v>
      </c>
      <c r="I299" s="278"/>
      <c r="J299" s="199"/>
      <c r="K299" s="283">
        <f t="shared" ref="K299:K302" si="7">I336</f>
        <v>3.8240000000000003E-2</v>
      </c>
      <c r="L299" s="823">
        <f>K299*E299</f>
        <v>63877768.961760007</v>
      </c>
      <c r="M299" s="302"/>
      <c r="R299" s="400"/>
    </row>
    <row r="300" spans="1:18">
      <c r="B300" s="277" t="s">
        <v>1380</v>
      </c>
      <c r="D300" s="192">
        <f>SUMIF(L_12MonResults_RateClass,MiscData!$Y$12,L_12MonResults_Demand_Measured_Base)</f>
        <v>4104101</v>
      </c>
      <c r="E300" s="197"/>
      <c r="F300" s="193">
        <f>SUMIF(L_Rates_Tariff_Rate_Category,MiscData!$X$5&amp;MiscData!$AA$30,L_Rates_Demand_Base)</f>
        <v>3.6300000000000003</v>
      </c>
      <c r="G300" s="279">
        <f>ROUND(F300*D300,0)</f>
        <v>14897887</v>
      </c>
      <c r="I300" s="278"/>
      <c r="J300" s="199"/>
      <c r="K300" s="280">
        <f t="shared" si="7"/>
        <v>3.24</v>
      </c>
      <c r="L300" s="823">
        <f>K300*D300</f>
        <v>13297287.24</v>
      </c>
      <c r="M300" s="302"/>
      <c r="N300" s="694"/>
    </row>
    <row r="301" spans="1:18">
      <c r="B301" s="277" t="s">
        <v>1381</v>
      </c>
      <c r="D301" s="192">
        <f>SUMIF(L_12MonResults_RateClass,MiscData!$Y$12,L_12MonResults_Demand_Measured_Inter)</f>
        <v>3725959</v>
      </c>
      <c r="E301" s="191"/>
      <c r="F301" s="193">
        <f>SUMIF(L_Rates_Tariff_Rate_Category,MiscData!$X$5&amp;MiscData!$AA$30,L_Rates_Demand_Intermediate)</f>
        <v>3.7900000000000005</v>
      </c>
      <c r="G301" s="279">
        <f>ROUND(F301*D301,0)-1</f>
        <v>14121384</v>
      </c>
      <c r="I301" s="278"/>
      <c r="J301" s="199"/>
      <c r="K301" s="280">
        <f t="shared" si="7"/>
        <v>3.4</v>
      </c>
      <c r="L301" s="823">
        <f t="shared" ref="L301:L302" si="8">K301*D301</f>
        <v>12668260.6</v>
      </c>
    </row>
    <row r="302" spans="1:18">
      <c r="B302" s="277" t="s">
        <v>1382</v>
      </c>
      <c r="D302" s="192">
        <f>SUMIF(L_12MonResults_RateClass,MiscData!$Y$12,L_12MonResults_Demand_Measured_Peak)</f>
        <v>3676463</v>
      </c>
      <c r="E302" s="191"/>
      <c r="F302" s="193">
        <f>SUMIF(L_Rates_Tariff_Rate_Category,MiscData!$X$5&amp;MiscData!$AA$30,L_Rates_Demand_Peak)</f>
        <v>4.63</v>
      </c>
      <c r="G302" s="279">
        <f t="shared" ref="G302" si="9">ROUND(F302*D302,0)</f>
        <v>17022024</v>
      </c>
      <c r="I302" s="278"/>
      <c r="J302" s="199"/>
      <c r="K302" s="280">
        <f t="shared" si="7"/>
        <v>4.75</v>
      </c>
      <c r="L302" s="823">
        <f t="shared" si="8"/>
        <v>17463199.25</v>
      </c>
      <c r="N302" s="698"/>
      <c r="O302" s="699"/>
    </row>
    <row r="303" spans="1:18">
      <c r="A303" s="307"/>
      <c r="B303" s="281"/>
      <c r="C303" s="300"/>
      <c r="D303" s="300"/>
      <c r="F303" s="278"/>
      <c r="G303" s="279"/>
      <c r="I303" s="278"/>
      <c r="J303" s="199"/>
      <c r="N303" s="698"/>
      <c r="O303" s="699"/>
    </row>
    <row r="304" spans="1:18">
      <c r="A304" s="307"/>
      <c r="B304" s="281"/>
      <c r="G304" s="199"/>
      <c r="J304" s="199"/>
      <c r="K304" s="360"/>
    </row>
    <row r="305" spans="1:13" ht="15">
      <c r="A305" s="307"/>
      <c r="B305" s="281"/>
      <c r="E305" s="304" t="s">
        <v>883</v>
      </c>
      <c r="G305" s="199">
        <f>SUM(G298:G303)</f>
        <v>105394195</v>
      </c>
      <c r="J305" s="201"/>
      <c r="K305" s="360"/>
      <c r="L305" s="823">
        <f>SUM(L298:L304)</f>
        <v>107559116.05176</v>
      </c>
    </row>
    <row r="306" spans="1:13">
      <c r="A306" s="307"/>
      <c r="E306" s="281" t="s">
        <v>884</v>
      </c>
      <c r="G306" s="202">
        <f>'12MonResults'!$AF$478</f>
        <v>0.99999994307087159</v>
      </c>
      <c r="J306" s="202"/>
      <c r="L306" s="823">
        <f>G306</f>
        <v>0.99999994307087159</v>
      </c>
    </row>
    <row r="307" spans="1:13">
      <c r="A307" s="307"/>
      <c r="E307" s="287" t="s">
        <v>885</v>
      </c>
      <c r="G307" s="288">
        <f>+ROUND(G305/G306,0)</f>
        <v>105394201</v>
      </c>
      <c r="J307" s="288"/>
      <c r="L307" s="825">
        <f>+ROUND(L305/L306,0)</f>
        <v>107559122</v>
      </c>
    </row>
    <row r="308" spans="1:13">
      <c r="A308" s="307"/>
      <c r="E308" s="287"/>
      <c r="G308" s="279"/>
    </row>
    <row r="309" spans="1:13">
      <c r="A309" s="307"/>
      <c r="B309" s="62" t="s">
        <v>886</v>
      </c>
      <c r="G309" s="275">
        <f>'ECR in Base Rates'!$G$45*-1</f>
        <v>-1610913</v>
      </c>
      <c r="L309" s="823">
        <f>G309</f>
        <v>-1610913</v>
      </c>
    </row>
    <row r="310" spans="1:13">
      <c r="A310" s="307"/>
      <c r="B310" s="286"/>
      <c r="G310" s="275"/>
    </row>
    <row r="311" spans="1:13" ht="15">
      <c r="A311" s="307"/>
      <c r="B311" s="274" t="s">
        <v>887</v>
      </c>
      <c r="G311" s="290">
        <f>SUM(G307:G309)</f>
        <v>103783288</v>
      </c>
      <c r="J311" s="290"/>
      <c r="L311" s="823">
        <f>L307+L309</f>
        <v>105948209</v>
      </c>
    </row>
    <row r="312" spans="1:13">
      <c r="A312" s="307"/>
      <c r="B312" s="281"/>
    </row>
    <row r="313" spans="1:13">
      <c r="A313" s="307"/>
      <c r="B313" s="286" t="s">
        <v>1483</v>
      </c>
      <c r="G313" s="279">
        <f>'Sch M-2.3-E pg 1-2'!$P$30</f>
        <v>-495205</v>
      </c>
      <c r="J313" s="279"/>
      <c r="L313" s="823">
        <f>G313</f>
        <v>-495205</v>
      </c>
    </row>
    <row r="314" spans="1:13">
      <c r="A314" s="307"/>
      <c r="B314" s="286" t="s">
        <v>1484</v>
      </c>
      <c r="G314" s="279">
        <f>'Sch M-2.3-E pg 1-2'!$Q$30</f>
        <v>3151617</v>
      </c>
      <c r="J314" s="279"/>
      <c r="L314" s="823">
        <f t="shared" ref="L314:L316" si="10">G314</f>
        <v>3151617</v>
      </c>
    </row>
    <row r="315" spans="1:13">
      <c r="A315" s="307"/>
      <c r="B315" s="286" t="s">
        <v>1485</v>
      </c>
      <c r="G315" s="279">
        <f>'Sch M-2.3-E pg 1-2'!$R$30</f>
        <v>15216647</v>
      </c>
      <c r="J315" s="279"/>
      <c r="L315" s="823">
        <f t="shared" si="10"/>
        <v>15216647</v>
      </c>
    </row>
    <row r="316" spans="1:13">
      <c r="A316" s="307"/>
      <c r="B316" s="284" t="s">
        <v>888</v>
      </c>
      <c r="G316" s="279">
        <f>-G309</f>
        <v>1610913</v>
      </c>
      <c r="J316" s="279"/>
      <c r="L316" s="823">
        <f t="shared" si="10"/>
        <v>1610913</v>
      </c>
    </row>
    <row r="317" spans="1:13">
      <c r="A317" s="307"/>
      <c r="B317" s="284"/>
      <c r="G317" s="279"/>
      <c r="J317" s="279"/>
    </row>
    <row r="318" spans="1:13" ht="15">
      <c r="A318" s="307"/>
      <c r="B318" s="274" t="s">
        <v>889</v>
      </c>
      <c r="G318" s="290">
        <f>SUM(G311:G316)</f>
        <v>123267260</v>
      </c>
      <c r="J318" s="290"/>
      <c r="L318" s="826">
        <f>SUM(L311:L316)</f>
        <v>125432181</v>
      </c>
      <c r="M318" s="301"/>
    </row>
    <row r="319" spans="1:13">
      <c r="A319" s="307"/>
      <c r="B319" s="63"/>
      <c r="K319" s="301"/>
    </row>
    <row r="320" spans="1:13">
      <c r="A320" s="307"/>
      <c r="C320" s="284"/>
      <c r="D320" s="284"/>
      <c r="J320" s="302"/>
      <c r="L320" s="823">
        <f>L318-G318</f>
        <v>2164921</v>
      </c>
    </row>
    <row r="321" spans="1:18">
      <c r="A321" s="307"/>
      <c r="B321" s="227"/>
      <c r="J321" s="301"/>
      <c r="L321" s="827">
        <f>L320/G318</f>
        <v>1.7562822439632388E-2</v>
      </c>
      <c r="M321" s="286"/>
    </row>
    <row r="322" spans="1:18">
      <c r="A322" s="307"/>
      <c r="C322" s="284"/>
      <c r="D322" s="284"/>
      <c r="J322" s="302"/>
    </row>
    <row r="323" spans="1:18">
      <c r="A323" s="307"/>
      <c r="B323" s="200"/>
      <c r="C323" s="200"/>
      <c r="D323" s="200"/>
      <c r="E323" s="200"/>
      <c r="F323" s="200"/>
      <c r="G323" s="200"/>
      <c r="H323" s="200"/>
      <c r="I323" s="200"/>
      <c r="J323" s="200"/>
      <c r="K323" s="302"/>
    </row>
    <row r="324" spans="1:18">
      <c r="A324" s="200"/>
      <c r="B324" s="200"/>
      <c r="C324" s="200"/>
      <c r="D324" s="200"/>
      <c r="E324" s="200"/>
      <c r="F324" s="200"/>
      <c r="G324" s="200"/>
      <c r="H324" s="200"/>
      <c r="I324" s="200"/>
      <c r="J324" s="200"/>
    </row>
    <row r="325" spans="1:18">
      <c r="A325" s="200"/>
      <c r="B325" s="200"/>
      <c r="C325" s="200"/>
      <c r="D325" s="200"/>
      <c r="E325" s="200"/>
      <c r="F325" s="200"/>
      <c r="G325" s="200"/>
      <c r="H325" s="200"/>
      <c r="I325" s="200"/>
      <c r="J325" s="200"/>
    </row>
    <row r="326" spans="1:18">
      <c r="A326" s="416" t="s">
        <v>1283</v>
      </c>
      <c r="B326" s="310"/>
      <c r="C326" s="310"/>
      <c r="D326" s="310"/>
      <c r="E326" s="310"/>
      <c r="F326" s="310"/>
      <c r="G326" s="310"/>
      <c r="H326" s="310"/>
      <c r="I326" s="735"/>
      <c r="J326" s="346" t="str">
        <f>'Sch M-2.3-E pg 1-2'!$K$1</f>
        <v>Schedule M-2.3-E</v>
      </c>
    </row>
    <row r="327" spans="1:18">
      <c r="A327" s="347" t="s">
        <v>1251</v>
      </c>
      <c r="B327" s="310"/>
      <c r="C327" s="310"/>
      <c r="D327" s="310"/>
      <c r="E327" s="310"/>
      <c r="F327" s="310"/>
      <c r="G327" s="310"/>
      <c r="H327" s="310"/>
      <c r="I327" s="735"/>
      <c r="J327" s="346" t="str">
        <f>"Page "&amp;N327&amp;" of "&amp;O327</f>
        <v>Page 11 of 24</v>
      </c>
      <c r="N327" s="687">
        <f>N290+1</f>
        <v>11</v>
      </c>
      <c r="O327" s="687">
        <f>'Settlement Exhibit 2 pgs 18-24'!$M$189</f>
        <v>24</v>
      </c>
    </row>
    <row r="328" spans="1:18">
      <c r="A328" s="347" t="s">
        <v>1248</v>
      </c>
      <c r="B328" s="310"/>
      <c r="C328" s="310"/>
      <c r="D328" s="310"/>
      <c r="E328" s="310"/>
      <c r="F328" s="310"/>
      <c r="G328" s="310"/>
      <c r="H328" s="310"/>
      <c r="I328" s="735"/>
      <c r="J328" s="346">
        <f>'Sch M-2.3-E pg 1-2'!$K$3</f>
        <v>0</v>
      </c>
    </row>
    <row r="329" spans="1:18">
      <c r="A329" s="348"/>
      <c r="B329" s="191"/>
      <c r="C329" s="203"/>
      <c r="D329" s="215"/>
      <c r="E329" s="191"/>
      <c r="F329" s="191"/>
      <c r="G329" s="269"/>
      <c r="H329" s="269"/>
      <c r="I329" s="736"/>
      <c r="J329" s="203"/>
    </row>
    <row r="330" spans="1:18">
      <c r="A330" s="413"/>
      <c r="B330" s="375"/>
      <c r="C330" s="406"/>
      <c r="D330" s="406"/>
      <c r="E330" s="406"/>
      <c r="F330" s="383" t="s">
        <v>862</v>
      </c>
      <c r="G330" s="408"/>
      <c r="H330" s="377"/>
      <c r="I330" s="377"/>
      <c r="J330" s="376" t="s">
        <v>876</v>
      </c>
    </row>
    <row r="331" spans="1:18">
      <c r="A331" s="389"/>
      <c r="C331" s="612"/>
      <c r="D331" s="211"/>
      <c r="E331" s="478"/>
      <c r="F331" s="478" t="s">
        <v>104</v>
      </c>
      <c r="G331" s="212" t="s">
        <v>105</v>
      </c>
      <c r="I331" s="62" t="s">
        <v>879</v>
      </c>
      <c r="J331" s="63" t="s">
        <v>878</v>
      </c>
    </row>
    <row r="332" spans="1:18">
      <c r="A332" s="414"/>
      <c r="B332" s="276"/>
      <c r="C332" s="410" t="s">
        <v>1255</v>
      </c>
      <c r="D332" s="410" t="s">
        <v>1257</v>
      </c>
      <c r="E332" s="386" t="s">
        <v>107</v>
      </c>
      <c r="F332" s="386" t="s">
        <v>108</v>
      </c>
      <c r="G332" s="412" t="s">
        <v>109</v>
      </c>
      <c r="H332" s="276"/>
      <c r="I332" s="276" t="s">
        <v>93</v>
      </c>
      <c r="J332" s="380" t="s">
        <v>881</v>
      </c>
    </row>
    <row r="333" spans="1:18">
      <c r="A333" s="390"/>
      <c r="B333" s="303"/>
    </row>
    <row r="334" spans="1:18">
      <c r="A334" s="303" t="s">
        <v>1501</v>
      </c>
    </row>
    <row r="335" spans="1:18">
      <c r="A335" s="390"/>
      <c r="B335" s="277" t="s">
        <v>998</v>
      </c>
      <c r="C335" s="62">
        <f>C261+C298</f>
        <v>1316</v>
      </c>
      <c r="F335" s="278"/>
      <c r="G335" s="279">
        <f>G261+G298</f>
        <v>394800</v>
      </c>
      <c r="I335" s="278">
        <v>300</v>
      </c>
      <c r="J335" s="199">
        <f>ROUND(I335*C335,0)</f>
        <v>394800</v>
      </c>
      <c r="R335" s="400"/>
    </row>
    <row r="336" spans="1:18">
      <c r="B336" s="281" t="s">
        <v>882</v>
      </c>
      <c r="E336" s="62">
        <f>E262+E299</f>
        <v>2043094799</v>
      </c>
      <c r="F336" s="282"/>
      <c r="G336" s="199">
        <f>G262+G299</f>
        <v>73298305</v>
      </c>
      <c r="I336" s="196">
        <v>3.8240000000000003E-2</v>
      </c>
      <c r="J336" s="199">
        <f>ROUND(I336*E336,0)</f>
        <v>78127945</v>
      </c>
      <c r="K336" s="302"/>
      <c r="L336" s="823">
        <f>L359/J336</f>
        <v>2.1446923640114239E-5</v>
      </c>
      <c r="M336" s="302"/>
      <c r="R336" s="400"/>
    </row>
    <row r="337" spans="1:15">
      <c r="B337" s="277" t="s">
        <v>1380</v>
      </c>
      <c r="D337" s="300">
        <f>D263+D300</f>
        <v>4991069</v>
      </c>
      <c r="F337" s="278"/>
      <c r="G337" s="279">
        <f>G263+G300</f>
        <v>18428020</v>
      </c>
      <c r="I337" s="193">
        <v>3.24</v>
      </c>
      <c r="J337" s="199">
        <f>ROUND(D337*I337,0)</f>
        <v>16171064</v>
      </c>
      <c r="K337" s="302"/>
      <c r="L337" s="823">
        <f>I336*(1+L336)</f>
        <v>3.8240820130360002E-2</v>
      </c>
      <c r="M337" s="836">
        <f>(F300+F263)/2</f>
        <v>3.8050000000000006</v>
      </c>
      <c r="N337" s="694"/>
    </row>
    <row r="338" spans="1:15">
      <c r="B338" s="277" t="s">
        <v>1381</v>
      </c>
      <c r="D338" s="300">
        <f>D264+D301</f>
        <v>4548034</v>
      </c>
      <c r="F338" s="278"/>
      <c r="G338" s="279">
        <f>G264+G301</f>
        <v>17516554</v>
      </c>
      <c r="I338" s="193">
        <v>3.4</v>
      </c>
      <c r="J338" s="199">
        <f t="shared" ref="J338:J339" si="11">ROUND(D338*I338,0)</f>
        <v>15463316</v>
      </c>
      <c r="K338" s="302"/>
      <c r="M338" s="836">
        <f>(F301+F264)/2</f>
        <v>3.96</v>
      </c>
    </row>
    <row r="339" spans="1:15">
      <c r="B339" s="277" t="s">
        <v>1382</v>
      </c>
      <c r="D339" s="300">
        <f>D265+D302</f>
        <v>4480580</v>
      </c>
      <c r="F339" s="278"/>
      <c r="G339" s="279">
        <f>G265+G302</f>
        <v>21710026</v>
      </c>
      <c r="I339" s="193">
        <v>4.75</v>
      </c>
      <c r="J339" s="199">
        <f t="shared" si="11"/>
        <v>21282755</v>
      </c>
      <c r="K339" s="302"/>
      <c r="M339" s="836">
        <f>(F302+F265)/2</f>
        <v>5.23</v>
      </c>
      <c r="N339" s="698"/>
      <c r="O339" s="699"/>
    </row>
    <row r="340" spans="1:15">
      <c r="A340" s="307"/>
      <c r="B340" s="281"/>
      <c r="C340" s="300"/>
      <c r="D340" s="300"/>
      <c r="F340" s="278"/>
      <c r="G340" s="279"/>
      <c r="I340" s="278"/>
      <c r="J340" s="199"/>
      <c r="N340" s="698"/>
      <c r="O340" s="699"/>
    </row>
    <row r="341" spans="1:15">
      <c r="A341" s="307"/>
      <c r="B341" s="281"/>
      <c r="G341" s="199"/>
      <c r="J341" s="199"/>
      <c r="K341" s="360"/>
    </row>
    <row r="342" spans="1:15">
      <c r="A342" s="307"/>
      <c r="B342" s="281"/>
      <c r="E342" s="304" t="s">
        <v>883</v>
      </c>
      <c r="G342" s="199">
        <f>SUM(G335:G340)</f>
        <v>131347705</v>
      </c>
      <c r="J342" s="199">
        <f>SUM(J335:J340)</f>
        <v>131439880</v>
      </c>
      <c r="K342" s="360"/>
    </row>
    <row r="343" spans="1:15">
      <c r="A343" s="307"/>
      <c r="E343" s="281" t="s">
        <v>884</v>
      </c>
      <c r="G343" s="289">
        <f>'12MonResults'!$AF$484</f>
        <v>1.0000000152267603</v>
      </c>
      <c r="J343" s="289">
        <f>G343</f>
        <v>1.0000000152267603</v>
      </c>
    </row>
    <row r="344" spans="1:15">
      <c r="A344" s="307"/>
      <c r="E344" s="287" t="s">
        <v>885</v>
      </c>
      <c r="G344" s="288">
        <f>+ROUND(G342/G343,0)</f>
        <v>131347703</v>
      </c>
      <c r="J344" s="288">
        <f>+ROUND(J342/J343,0)</f>
        <v>131439878</v>
      </c>
    </row>
    <row r="345" spans="1:15">
      <c r="A345" s="307"/>
      <c r="E345" s="287"/>
      <c r="G345" s="279"/>
    </row>
    <row r="346" spans="1:15">
      <c r="A346" s="307"/>
      <c r="B346" s="62" t="s">
        <v>886</v>
      </c>
      <c r="G346" s="275">
        <f>'ECR in Base Rates'!$G$46*-1</f>
        <v>-1962756</v>
      </c>
      <c r="J346" s="62">
        <f>G346</f>
        <v>-1962756</v>
      </c>
    </row>
    <row r="347" spans="1:15">
      <c r="A347" s="307"/>
      <c r="B347" s="286"/>
      <c r="G347" s="275"/>
    </row>
    <row r="348" spans="1:15" ht="15">
      <c r="A348" s="307"/>
      <c r="B348" s="274" t="s">
        <v>887</v>
      </c>
      <c r="G348" s="290">
        <f>SUM(G344:G346)</f>
        <v>129384947</v>
      </c>
      <c r="J348" s="290">
        <f>SUM(J344:J346)</f>
        <v>129477122</v>
      </c>
    </row>
    <row r="349" spans="1:15">
      <c r="A349" s="307"/>
      <c r="B349" s="281"/>
    </row>
    <row r="350" spans="1:15">
      <c r="A350" s="307"/>
      <c r="B350" s="286" t="s">
        <v>1483</v>
      </c>
      <c r="G350" s="279">
        <f>'Sch M-2.3-E pg 1-2'!$P$31</f>
        <v>-583284</v>
      </c>
      <c r="J350" s="279">
        <f>G350</f>
        <v>-583284</v>
      </c>
    </row>
    <row r="351" spans="1:15">
      <c r="A351" s="307"/>
      <c r="B351" s="286" t="s">
        <v>1484</v>
      </c>
      <c r="G351" s="279">
        <f>'Sch M-2.3-E pg 1-2'!$Q$31</f>
        <v>3855726</v>
      </c>
      <c r="J351" s="279">
        <f>G351</f>
        <v>3855726</v>
      </c>
    </row>
    <row r="352" spans="1:15">
      <c r="A352" s="307"/>
      <c r="B352" s="286" t="s">
        <v>1485</v>
      </c>
      <c r="G352" s="279">
        <f>'Sch M-2.3-E pg 1-2'!$R$31</f>
        <v>18585298</v>
      </c>
      <c r="J352" s="279">
        <f>G352</f>
        <v>18585298</v>
      </c>
    </row>
    <row r="353" spans="1:15">
      <c r="A353" s="307"/>
      <c r="B353" s="284" t="s">
        <v>888</v>
      </c>
      <c r="G353" s="279">
        <f>-G346</f>
        <v>1962756</v>
      </c>
      <c r="J353" s="279">
        <f>G353</f>
        <v>1962756</v>
      </c>
    </row>
    <row r="354" spans="1:15">
      <c r="A354" s="307"/>
      <c r="B354" s="284"/>
      <c r="G354" s="279"/>
      <c r="J354" s="279"/>
    </row>
    <row r="355" spans="1:15" ht="15">
      <c r="A355" s="307"/>
      <c r="B355" s="274" t="s">
        <v>889</v>
      </c>
      <c r="G355" s="290">
        <f>SUM(G348:G353)</f>
        <v>153205443</v>
      </c>
      <c r="J355" s="290">
        <f>SUM(J348:J353)</f>
        <v>153297618</v>
      </c>
      <c r="L355" s="825"/>
      <c r="M355" s="301"/>
    </row>
    <row r="356" spans="1:15">
      <c r="A356" s="307"/>
      <c r="B356" s="63"/>
      <c r="K356" s="301"/>
    </row>
    <row r="357" spans="1:15">
      <c r="A357" s="307"/>
      <c r="C357" s="284"/>
      <c r="D357" s="284"/>
      <c r="J357" s="302"/>
    </row>
    <row r="358" spans="1:15">
      <c r="A358" s="307"/>
      <c r="B358" s="227" t="s">
        <v>890</v>
      </c>
      <c r="J358" s="301">
        <f>J355-G355</f>
        <v>92175</v>
      </c>
      <c r="K358" s="686">
        <v>94987.374660000001</v>
      </c>
      <c r="L358" s="62">
        <f>'Sch M-2.3-E pg 1-2'!AT18</f>
        <v>93850.604070574045</v>
      </c>
      <c r="M358" s="284"/>
    </row>
    <row r="359" spans="1:15">
      <c r="A359" s="307"/>
      <c r="C359" s="284" t="s">
        <v>891</v>
      </c>
      <c r="D359" s="284"/>
      <c r="J359" s="302">
        <f>J358/(G355+G322)</f>
        <v>6.0164311525146008E-4</v>
      </c>
      <c r="K359" s="62">
        <f>K358-J358</f>
        <v>2812.3746600000013</v>
      </c>
      <c r="L359" s="62">
        <f>L358-J358</f>
        <v>1675.6040705740452</v>
      </c>
    </row>
    <row r="360" spans="1:15">
      <c r="A360" s="307"/>
      <c r="B360" s="200"/>
      <c r="C360" s="200"/>
      <c r="D360" s="200"/>
      <c r="E360" s="200"/>
      <c r="F360" s="200"/>
      <c r="G360" s="200"/>
      <c r="H360" s="200"/>
      <c r="I360" s="200"/>
      <c r="J360" s="200"/>
      <c r="L360" s="828"/>
      <c r="M360" s="284"/>
    </row>
    <row r="361" spans="1:15">
      <c r="A361" s="200"/>
      <c r="B361" s="200"/>
      <c r="C361" s="200"/>
      <c r="D361" s="200"/>
      <c r="E361" s="200"/>
      <c r="F361" s="200"/>
      <c r="G361" s="200"/>
      <c r="H361" s="200"/>
      <c r="I361" s="200"/>
      <c r="J361" s="200"/>
    </row>
    <row r="362" spans="1:15">
      <c r="A362" s="200"/>
      <c r="B362" s="200"/>
      <c r="C362" s="200"/>
      <c r="D362" s="200"/>
      <c r="E362" s="200"/>
      <c r="F362" s="200"/>
      <c r="G362" s="200"/>
      <c r="H362" s="200"/>
      <c r="I362" s="200"/>
      <c r="J362" s="200"/>
    </row>
    <row r="363" spans="1:15">
      <c r="A363" s="416" t="s">
        <v>1283</v>
      </c>
      <c r="B363" s="310"/>
      <c r="C363" s="310"/>
      <c r="D363" s="310"/>
      <c r="E363" s="310"/>
      <c r="F363" s="310"/>
      <c r="G363" s="310"/>
      <c r="H363" s="310"/>
      <c r="I363" s="735"/>
      <c r="J363" s="346" t="str">
        <f>'Sch M-2.3-E pg 1-2'!$K$1</f>
        <v>Schedule M-2.3-E</v>
      </c>
    </row>
    <row r="364" spans="1:15">
      <c r="A364" s="347" t="s">
        <v>1251</v>
      </c>
      <c r="B364" s="310"/>
      <c r="C364" s="310"/>
      <c r="D364" s="310"/>
      <c r="E364" s="310"/>
      <c r="F364" s="310"/>
      <c r="G364" s="310"/>
      <c r="H364" s="310"/>
      <c r="I364" s="735"/>
      <c r="J364" s="346" t="str">
        <f>"Page "&amp;N364&amp;" of "&amp;O364</f>
        <v>Page 12 of 24</v>
      </c>
      <c r="N364" s="687">
        <f>N327+1</f>
        <v>12</v>
      </c>
      <c r="O364" s="687">
        <f>'Settlement Exhibit 2 pgs 18-24'!$M$189</f>
        <v>24</v>
      </c>
    </row>
    <row r="365" spans="1:15">
      <c r="A365" s="347" t="s">
        <v>1248</v>
      </c>
      <c r="B365" s="310"/>
      <c r="C365" s="310"/>
      <c r="D365" s="310"/>
      <c r="E365" s="310"/>
      <c r="F365" s="310"/>
      <c r="G365" s="310"/>
      <c r="H365" s="310"/>
      <c r="I365" s="735"/>
      <c r="J365" s="346">
        <f>'Sch M-2.3-E pg 1-2'!$K$3</f>
        <v>0</v>
      </c>
    </row>
    <row r="366" spans="1:15">
      <c r="A366" s="348"/>
      <c r="B366" s="191"/>
      <c r="C366" s="203"/>
      <c r="D366" s="215"/>
      <c r="E366" s="191"/>
      <c r="F366" s="191"/>
      <c r="G366" s="269"/>
      <c r="H366" s="269"/>
      <c r="I366" s="736"/>
      <c r="J366" s="203"/>
    </row>
    <row r="367" spans="1:15">
      <c r="A367" s="405"/>
      <c r="B367" s="375"/>
      <c r="C367" s="406"/>
      <c r="D367" s="406"/>
      <c r="E367" s="406"/>
      <c r="F367" s="383" t="s">
        <v>862</v>
      </c>
      <c r="G367" s="408"/>
      <c r="H367" s="377"/>
      <c r="I367" s="377"/>
      <c r="J367" s="376" t="s">
        <v>876</v>
      </c>
    </row>
    <row r="368" spans="1:15">
      <c r="A368" s="390"/>
      <c r="C368" s="612"/>
      <c r="D368" s="211"/>
      <c r="E368" s="478"/>
      <c r="F368" s="478" t="s">
        <v>104</v>
      </c>
      <c r="G368" s="212" t="s">
        <v>105</v>
      </c>
      <c r="I368" s="62" t="s">
        <v>879</v>
      </c>
      <c r="J368" s="63" t="s">
        <v>878</v>
      </c>
    </row>
    <row r="369" spans="1:15">
      <c r="A369" s="409"/>
      <c r="B369" s="276"/>
      <c r="C369" s="410" t="s">
        <v>1255</v>
      </c>
      <c r="D369" s="410" t="s">
        <v>1257</v>
      </c>
      <c r="E369" s="386" t="s">
        <v>107</v>
      </c>
      <c r="F369" s="386" t="s">
        <v>108</v>
      </c>
      <c r="G369" s="412" t="s">
        <v>109</v>
      </c>
      <c r="H369" s="276"/>
      <c r="I369" s="276" t="s">
        <v>93</v>
      </c>
      <c r="J369" s="380" t="s">
        <v>881</v>
      </c>
    </row>
    <row r="370" spans="1:15">
      <c r="A370" s="390"/>
      <c r="B370" s="303"/>
    </row>
    <row r="371" spans="1:15">
      <c r="A371" s="303" t="s">
        <v>900</v>
      </c>
    </row>
    <row r="372" spans="1:15">
      <c r="A372" s="307"/>
      <c r="B372" s="277" t="s">
        <v>998</v>
      </c>
      <c r="C372" s="192">
        <f>SUMIF(L_12MonResults_RateClass,MiscData!$Y$19,L_12MonResults_Contract_Cnt)</f>
        <v>144</v>
      </c>
      <c r="D372" s="191"/>
      <c r="E372" s="191"/>
      <c r="F372" s="193">
        <f>SUMIF(L_Rates_Tariff_Rate_Category,MiscData!$X$5&amp;MiscData!$AA$26,L_Rates_BSC)</f>
        <v>750</v>
      </c>
      <c r="G372" s="279">
        <f>ROUND(F372*C372,0)</f>
        <v>108000</v>
      </c>
      <c r="I372" s="278">
        <v>1000</v>
      </c>
      <c r="J372" s="279">
        <f>ROUND(I372*C372,0)</f>
        <v>144000</v>
      </c>
    </row>
    <row r="373" spans="1:15">
      <c r="A373" s="307"/>
      <c r="B373" s="281" t="s">
        <v>882</v>
      </c>
      <c r="E373" s="192">
        <f>SUMIF(L_12MonResults_RateClass,MiscData!$Y$19,L_12MonResults_KWH_Total)</f>
        <v>876840985</v>
      </c>
      <c r="F373" s="196">
        <f>SUMIF(L_Rates_Tariff_Rate_Category,MiscData!$X$5&amp;MiscData!$AA$26,L_Rates_Energy)</f>
        <v>3.61E-2</v>
      </c>
      <c r="G373" s="279">
        <f>ROUND(E373*F373,0)-1</f>
        <v>31653959</v>
      </c>
      <c r="I373" s="282">
        <v>3.7109999999999997E-2</v>
      </c>
      <c r="J373" s="279">
        <f>ROUND(I373*E373,0)</f>
        <v>32539569</v>
      </c>
      <c r="L373" s="823">
        <f>L395/J373</f>
        <v>-5.7997603715873023E-5</v>
      </c>
    </row>
    <row r="374" spans="1:15">
      <c r="B374" s="277" t="s">
        <v>1380</v>
      </c>
      <c r="D374" s="305">
        <f>SUMIF(L_12MonResults_RateClass,MiscData!$Y$19,L_12MonResults_Demand_Measured_Base)</f>
        <v>1917694</v>
      </c>
      <c r="F374" s="278">
        <f>SUMIF(L_Rates_Tariff_Rate_Category,MiscData!$X$5&amp;MiscData!$AA$26,L_Rates_Demand_Base)</f>
        <v>2.75</v>
      </c>
      <c r="G374" s="279">
        <f>ROUND(F374*D374,0)</f>
        <v>5273659</v>
      </c>
      <c r="I374" s="278">
        <v>2.57</v>
      </c>
      <c r="J374" s="279">
        <f>ROUND(D374*I374,0)</f>
        <v>4928474</v>
      </c>
      <c r="L374" s="823">
        <f>I373*(1+L373)</f>
        <v>3.7107847708926105E-2</v>
      </c>
      <c r="N374" s="694"/>
    </row>
    <row r="375" spans="1:15">
      <c r="B375" s="277" t="s">
        <v>1381</v>
      </c>
      <c r="D375" s="305">
        <f>SUMIF(L_12MonResults_RateClass,MiscData!$Y$19,L_12MonResults_Demand_Measured_Inter)</f>
        <v>1844434</v>
      </c>
      <c r="F375" s="278">
        <f>SUMIF(L_Rates_Tariff_Rate_Category,MiscData!$X$5&amp;MiscData!$AA$26,L_Rates_Demand_Intermediate)</f>
        <v>3</v>
      </c>
      <c r="G375" s="279">
        <f t="shared" ref="G375:G376" si="12">ROUND(F375*D375,0)</f>
        <v>5533302</v>
      </c>
      <c r="I375" s="278">
        <v>2.82</v>
      </c>
      <c r="J375" s="279">
        <f t="shared" ref="J375:J376" si="13">ROUND(D375*I375,0)</f>
        <v>5201304</v>
      </c>
    </row>
    <row r="376" spans="1:15">
      <c r="B376" s="277" t="s">
        <v>1382</v>
      </c>
      <c r="D376" s="305">
        <f>SUMIF(L_12MonResults_RateClass,MiscData!$Y$19,L_12MonResults_Demand_Measured_Peak)</f>
        <v>1158118</v>
      </c>
      <c r="F376" s="278">
        <f>SUMIF(L_Rates_Tariff_Rate_Category,MiscData!$X$5&amp;MiscData!$AA$26,L_Rates_Demand_Peak)</f>
        <v>4.5500000000000007</v>
      </c>
      <c r="G376" s="279">
        <f t="shared" si="12"/>
        <v>5269437</v>
      </c>
      <c r="I376" s="278">
        <v>4.37</v>
      </c>
      <c r="J376" s="279">
        <f t="shared" si="13"/>
        <v>5060976</v>
      </c>
      <c r="K376" s="360"/>
      <c r="M376" s="360"/>
      <c r="N376" s="698"/>
      <c r="O376" s="699"/>
    </row>
    <row r="377" spans="1:15">
      <c r="B377" s="281"/>
      <c r="C377" s="305"/>
      <c r="D377" s="305"/>
      <c r="F377" s="278"/>
      <c r="G377" s="279"/>
      <c r="I377" s="278"/>
      <c r="J377" s="279"/>
      <c r="N377" s="698"/>
      <c r="O377" s="699"/>
    </row>
    <row r="378" spans="1:15" ht="15">
      <c r="A378" s="307"/>
      <c r="B378" s="281"/>
      <c r="G378" s="201"/>
      <c r="J378" s="401"/>
    </row>
    <row r="379" spans="1:15">
      <c r="A379" s="307"/>
      <c r="E379" s="287" t="s">
        <v>883</v>
      </c>
      <c r="G379" s="288">
        <f>SUM(G372:G378)</f>
        <v>47838357</v>
      </c>
      <c r="J379" s="288">
        <f>SUM(J372:J378)</f>
        <v>47874323</v>
      </c>
    </row>
    <row r="380" spans="1:15">
      <c r="A380" s="307"/>
      <c r="E380" s="281" t="s">
        <v>884</v>
      </c>
      <c r="G380" s="289">
        <f>'12MonResults'!$AF$477</f>
        <v>0.99999987457764805</v>
      </c>
      <c r="J380" s="289">
        <f>G380</f>
        <v>0.99999987457764805</v>
      </c>
      <c r="K380" s="360"/>
      <c r="M380" s="360"/>
    </row>
    <row r="381" spans="1:15">
      <c r="A381" s="307"/>
      <c r="E381" s="287" t="s">
        <v>885</v>
      </c>
      <c r="G381" s="288">
        <f>+ROUND(G379/G380,0)</f>
        <v>47838363</v>
      </c>
      <c r="J381" s="288">
        <f>+ROUND(J379/J380,0)</f>
        <v>47874329</v>
      </c>
    </row>
    <row r="382" spans="1:15">
      <c r="A382" s="307"/>
      <c r="E382" s="287"/>
      <c r="G382" s="279"/>
      <c r="K382" s="360"/>
      <c r="M382" s="360"/>
    </row>
    <row r="383" spans="1:15">
      <c r="A383" s="396"/>
      <c r="B383" s="62" t="s">
        <v>886</v>
      </c>
      <c r="G383" s="279">
        <f>'ECR in Base Rates'!$G$52*-1</f>
        <v>-541227</v>
      </c>
      <c r="J383" s="279">
        <f>G383</f>
        <v>-541227</v>
      </c>
    </row>
    <row r="384" spans="1:15">
      <c r="A384" s="396"/>
      <c r="B384" s="286"/>
      <c r="G384" s="279"/>
      <c r="J384" s="279"/>
    </row>
    <row r="385" spans="1:15" ht="15">
      <c r="A385" s="307"/>
      <c r="B385" s="274" t="s">
        <v>897</v>
      </c>
      <c r="G385" s="290">
        <f>SUM(G381:G383)</f>
        <v>47297136</v>
      </c>
      <c r="J385" s="290">
        <f>SUM(J381:J383)</f>
        <v>47333102</v>
      </c>
    </row>
    <row r="386" spans="1:15">
      <c r="A386" s="307"/>
    </row>
    <row r="387" spans="1:15">
      <c r="A387" s="307"/>
      <c r="B387" s="286" t="s">
        <v>1483</v>
      </c>
      <c r="G387" s="279">
        <f>'Sch M-2.3-E pg 1-2'!$P$33</f>
        <v>-258694</v>
      </c>
      <c r="J387" s="279">
        <f>G387</f>
        <v>-258694</v>
      </c>
    </row>
    <row r="388" spans="1:15">
      <c r="A388" s="307"/>
      <c r="B388" s="286" t="s">
        <v>1484</v>
      </c>
      <c r="G388" s="279">
        <f>'Sch M-2.3-E pg 1-2'!$Q$33</f>
        <v>0</v>
      </c>
      <c r="J388" s="279">
        <f>G388</f>
        <v>0</v>
      </c>
    </row>
    <row r="389" spans="1:15">
      <c r="A389" s="307"/>
      <c r="B389" s="286" t="s">
        <v>1485</v>
      </c>
      <c r="G389" s="279">
        <f>'Sch M-2.3-E pg 1-2'!$R$33</f>
        <v>8051886</v>
      </c>
      <c r="J389" s="279">
        <f>G389</f>
        <v>8051886</v>
      </c>
    </row>
    <row r="390" spans="1:15">
      <c r="A390" s="307"/>
      <c r="B390" s="284" t="s">
        <v>888</v>
      </c>
      <c r="G390" s="279">
        <f>-G383</f>
        <v>541227</v>
      </c>
      <c r="J390" s="279">
        <f>G390</f>
        <v>541227</v>
      </c>
    </row>
    <row r="391" spans="1:15">
      <c r="A391" s="307"/>
      <c r="B391" s="284"/>
      <c r="G391" s="279"/>
      <c r="J391" s="279"/>
    </row>
    <row r="392" spans="1:15" ht="15">
      <c r="B392" s="274" t="s">
        <v>889</v>
      </c>
      <c r="G392" s="290">
        <f>SUM(G385:G390)</f>
        <v>55631555</v>
      </c>
      <c r="J392" s="290">
        <f>SUM(J385:J390)</f>
        <v>55667521</v>
      </c>
    </row>
    <row r="393" spans="1:15">
      <c r="A393" s="307"/>
      <c r="B393" s="63"/>
    </row>
    <row r="394" spans="1:15">
      <c r="A394" s="307"/>
      <c r="B394" s="227" t="s">
        <v>890</v>
      </c>
      <c r="J394" s="301">
        <f>J392-G392</f>
        <v>35966</v>
      </c>
      <c r="K394" s="686">
        <v>34491.564100000003</v>
      </c>
      <c r="L394" s="62">
        <f>'Sch M-2.3-E pg 1-2'!AT20</f>
        <v>34078.782972052693</v>
      </c>
    </row>
    <row r="395" spans="1:15">
      <c r="A395" s="307"/>
      <c r="B395" s="227"/>
      <c r="C395" s="284" t="s">
        <v>891</v>
      </c>
      <c r="D395" s="284"/>
      <c r="J395" s="302">
        <f>J394/G392</f>
        <v>6.465035895545253E-4</v>
      </c>
      <c r="K395" s="62">
        <f>K394-J394</f>
        <v>-1474.4358999999968</v>
      </c>
      <c r="L395" s="62">
        <f>L394-J394</f>
        <v>-1887.2170279473066</v>
      </c>
    </row>
    <row r="396" spans="1:15">
      <c r="A396" s="307"/>
      <c r="B396" s="307"/>
      <c r="C396" s="307"/>
      <c r="D396" s="307"/>
      <c r="E396" s="307"/>
      <c r="F396" s="307"/>
      <c r="G396" s="307"/>
      <c r="H396" s="307"/>
      <c r="I396" s="307"/>
      <c r="J396" s="307"/>
      <c r="L396" s="828"/>
      <c r="M396" s="284"/>
    </row>
    <row r="397" spans="1:15">
      <c r="A397" s="307"/>
      <c r="B397" s="307"/>
      <c r="C397" s="307"/>
      <c r="D397" s="307"/>
      <c r="E397" s="307"/>
      <c r="F397" s="307"/>
      <c r="G397" s="307"/>
      <c r="H397" s="307"/>
      <c r="I397" s="307"/>
      <c r="J397" s="307"/>
    </row>
    <row r="398" spans="1:15">
      <c r="A398" s="200"/>
      <c r="B398" s="200"/>
      <c r="C398" s="200"/>
      <c r="D398" s="200"/>
      <c r="E398" s="200"/>
      <c r="F398" s="200"/>
      <c r="G398" s="200"/>
      <c r="H398" s="200"/>
      <c r="I398" s="200"/>
      <c r="J398" s="200"/>
    </row>
    <row r="399" spans="1:15">
      <c r="A399" s="416" t="s">
        <v>1283</v>
      </c>
      <c r="B399" s="310"/>
      <c r="C399" s="310"/>
      <c r="D399" s="310"/>
      <c r="E399" s="310"/>
      <c r="F399" s="310"/>
      <c r="G399" s="310"/>
      <c r="H399" s="310"/>
      <c r="I399" s="735"/>
      <c r="J399" s="346" t="str">
        <f>'Sch M-2.3-E pg 1-2'!$K$1</f>
        <v>Schedule M-2.3-E</v>
      </c>
    </row>
    <row r="400" spans="1:15">
      <c r="A400" s="347" t="s">
        <v>1251</v>
      </c>
      <c r="B400" s="310"/>
      <c r="C400" s="310"/>
      <c r="D400" s="310"/>
      <c r="E400" s="310"/>
      <c r="F400" s="310"/>
      <c r="G400" s="310"/>
      <c r="H400" s="310"/>
      <c r="I400" s="735"/>
      <c r="J400" s="346" t="str">
        <f>"Page "&amp;N400&amp;" of "&amp;O400</f>
        <v>Page 13 of 24</v>
      </c>
      <c r="N400" s="687">
        <f>N364+1</f>
        <v>13</v>
      </c>
      <c r="O400" s="687">
        <f>'Settlement Exhibit 2 pgs 18-24'!$M$189</f>
        <v>24</v>
      </c>
    </row>
    <row r="401" spans="1:13">
      <c r="A401" s="347" t="s">
        <v>1248</v>
      </c>
      <c r="B401" s="310"/>
      <c r="C401" s="310"/>
      <c r="D401" s="310"/>
      <c r="E401" s="310"/>
      <c r="F401" s="310"/>
      <c r="G401" s="310"/>
      <c r="H401" s="310"/>
      <c r="I401" s="735"/>
      <c r="J401" s="346">
        <f>'Sch M-2.3-E pg 1-2'!$K$3</f>
        <v>0</v>
      </c>
    </row>
    <row r="402" spans="1:13">
      <c r="A402" s="348"/>
      <c r="B402" s="191"/>
      <c r="C402" s="203"/>
      <c r="D402" s="215"/>
      <c r="E402" s="191"/>
      <c r="F402" s="191"/>
      <c r="G402" s="269"/>
      <c r="H402" s="269"/>
      <c r="I402" s="736"/>
      <c r="J402" s="203"/>
    </row>
    <row r="403" spans="1:13">
      <c r="A403" s="413"/>
      <c r="B403" s="375"/>
      <c r="C403" s="406"/>
      <c r="D403" s="406"/>
      <c r="E403" s="406"/>
      <c r="F403" s="383" t="s">
        <v>862</v>
      </c>
      <c r="G403" s="408"/>
      <c r="H403" s="377"/>
      <c r="I403" s="377"/>
      <c r="J403" s="376" t="s">
        <v>876</v>
      </c>
    </row>
    <row r="404" spans="1:13">
      <c r="A404" s="389"/>
      <c r="C404" s="612"/>
      <c r="D404" s="211"/>
      <c r="E404" s="478"/>
      <c r="F404" s="478" t="s">
        <v>104</v>
      </c>
      <c r="G404" s="212" t="s">
        <v>105</v>
      </c>
      <c r="I404" s="62" t="s">
        <v>879</v>
      </c>
      <c r="J404" s="63" t="s">
        <v>878</v>
      </c>
    </row>
    <row r="405" spans="1:13">
      <c r="A405" s="414"/>
      <c r="B405" s="276"/>
      <c r="C405" s="410" t="s">
        <v>1255</v>
      </c>
      <c r="D405" s="410" t="s">
        <v>1257</v>
      </c>
      <c r="E405" s="386" t="s">
        <v>107</v>
      </c>
      <c r="F405" s="386" t="s">
        <v>108</v>
      </c>
      <c r="G405" s="412" t="s">
        <v>109</v>
      </c>
      <c r="H405" s="276"/>
      <c r="I405" s="276" t="s">
        <v>93</v>
      </c>
      <c r="J405" s="380" t="s">
        <v>881</v>
      </c>
    </row>
    <row r="406" spans="1:13">
      <c r="A406" s="390"/>
      <c r="B406" s="303"/>
    </row>
    <row r="407" spans="1:13">
      <c r="A407" s="350" t="s">
        <v>1007</v>
      </c>
      <c r="B407" s="200"/>
      <c r="C407" s="200"/>
      <c r="D407" s="200"/>
      <c r="E407" s="200"/>
      <c r="F407" s="200"/>
      <c r="G407" s="200"/>
      <c r="H407" s="200"/>
      <c r="I407" s="200"/>
      <c r="J407" s="200"/>
    </row>
    <row r="408" spans="1:13">
      <c r="A408" s="303"/>
      <c r="B408" s="301" t="s">
        <v>1008</v>
      </c>
    </row>
    <row r="409" spans="1:13">
      <c r="A409" s="307"/>
      <c r="B409" s="277" t="s">
        <v>998</v>
      </c>
      <c r="C409" s="62">
        <v>0</v>
      </c>
      <c r="F409" s="278">
        <v>750</v>
      </c>
      <c r="G409" s="279">
        <f>ROUND(F409*C409,0)</f>
        <v>0</v>
      </c>
      <c r="I409" s="278">
        <v>1000</v>
      </c>
      <c r="J409" s="279">
        <f>ROUND(I409*C409,0)</f>
        <v>0</v>
      </c>
    </row>
    <row r="410" spans="1:13">
      <c r="A410" s="307"/>
      <c r="B410" s="281" t="s">
        <v>882</v>
      </c>
      <c r="E410" s="62">
        <v>0</v>
      </c>
      <c r="F410" s="282">
        <v>3.61E-2</v>
      </c>
      <c r="G410" s="279">
        <f>ROUND(E410*F410,0)</f>
        <v>0</v>
      </c>
      <c r="I410" s="282">
        <v>3.6122382000000001E-2</v>
      </c>
      <c r="J410" s="279">
        <f>ROUND(I410*E410,0)</f>
        <v>0</v>
      </c>
    </row>
    <row r="411" spans="1:13">
      <c r="B411" s="277" t="s">
        <v>1380</v>
      </c>
      <c r="C411" s="305"/>
      <c r="D411" s="305">
        <v>0</v>
      </c>
      <c r="F411" s="278">
        <v>1.89</v>
      </c>
      <c r="G411" s="279">
        <f>ROUND(F411*C411,0)</f>
        <v>0</v>
      </c>
      <c r="I411" s="278">
        <v>1.8911718</v>
      </c>
      <c r="J411" s="279">
        <f>ROUND(C411*I411,0)</f>
        <v>0</v>
      </c>
    </row>
    <row r="412" spans="1:13">
      <c r="B412" s="277" t="s">
        <v>1381</v>
      </c>
      <c r="C412" s="305"/>
      <c r="D412" s="305">
        <v>0</v>
      </c>
      <c r="F412" s="278">
        <v>1.89</v>
      </c>
      <c r="G412" s="279">
        <f>ROUND(F412*C412,0)</f>
        <v>0</v>
      </c>
      <c r="I412" s="278">
        <v>1.8911718</v>
      </c>
      <c r="J412" s="279">
        <f>ROUND(C412*I412,0)</f>
        <v>0</v>
      </c>
      <c r="K412" s="360"/>
      <c r="M412" s="360"/>
    </row>
    <row r="413" spans="1:13">
      <c r="B413" s="277" t="s">
        <v>1382</v>
      </c>
      <c r="C413" s="305"/>
      <c r="D413" s="305">
        <v>0</v>
      </c>
      <c r="F413" s="278">
        <v>2.94</v>
      </c>
      <c r="G413" s="279">
        <f>ROUND(F413*C413,0)</f>
        <v>0</v>
      </c>
      <c r="I413" s="278">
        <v>2.9418228000000002</v>
      </c>
      <c r="J413" s="279">
        <f>ROUND(C413*I413,0)</f>
        <v>0</v>
      </c>
    </row>
    <row r="414" spans="1:13">
      <c r="B414" s="281"/>
      <c r="C414" s="305"/>
      <c r="D414" s="305"/>
      <c r="F414" s="278"/>
      <c r="G414" s="279"/>
      <c r="I414" s="278"/>
      <c r="J414" s="279"/>
    </row>
    <row r="415" spans="1:13">
      <c r="A415" s="303"/>
      <c r="B415" s="301" t="s">
        <v>1009</v>
      </c>
    </row>
    <row r="416" spans="1:13">
      <c r="A416" s="307"/>
      <c r="B416" s="277" t="s">
        <v>998</v>
      </c>
      <c r="C416" s="62">
        <v>0</v>
      </c>
      <c r="F416" s="278">
        <v>750</v>
      </c>
      <c r="G416" s="279">
        <f>ROUND(F416*C416,0)</f>
        <v>0</v>
      </c>
      <c r="I416" s="278">
        <v>1000</v>
      </c>
      <c r="J416" s="279">
        <f>ROUND(I416*C416,0)</f>
        <v>0</v>
      </c>
    </row>
    <row r="417" spans="1:13">
      <c r="A417" s="307"/>
      <c r="B417" s="281" t="s">
        <v>882</v>
      </c>
      <c r="E417" s="62">
        <v>0</v>
      </c>
      <c r="F417" s="282">
        <v>3.61E-2</v>
      </c>
      <c r="G417" s="279">
        <f>ROUND(E417*F417,0)</f>
        <v>0</v>
      </c>
      <c r="I417" s="282">
        <v>3.6122382000000001E-2</v>
      </c>
      <c r="J417" s="279">
        <f>ROUND(I417*E417,0)</f>
        <v>0</v>
      </c>
      <c r="K417" s="360"/>
    </row>
    <row r="418" spans="1:13">
      <c r="B418" s="277" t="s">
        <v>1380</v>
      </c>
      <c r="C418" s="305"/>
      <c r="D418" s="305">
        <v>0</v>
      </c>
      <c r="F418" s="278">
        <v>1.1399999999999999</v>
      </c>
      <c r="G418" s="279">
        <f>ROUND(F418*C418,0)</f>
        <v>0</v>
      </c>
      <c r="I418" s="278">
        <v>1.1407068</v>
      </c>
      <c r="J418" s="279">
        <f>ROUND(C418*I418,0)</f>
        <v>0</v>
      </c>
    </row>
    <row r="419" spans="1:13">
      <c r="B419" s="277" t="s">
        <v>1381</v>
      </c>
      <c r="C419" s="305"/>
      <c r="D419" s="305">
        <v>0</v>
      </c>
      <c r="F419" s="278">
        <v>1.89</v>
      </c>
      <c r="G419" s="279">
        <f>ROUND(F419*C419,0)</f>
        <v>0</v>
      </c>
      <c r="I419" s="278">
        <v>1.8911718</v>
      </c>
      <c r="J419" s="279">
        <f>ROUND(C419*I419,0)</f>
        <v>0</v>
      </c>
      <c r="K419" s="360"/>
      <c r="M419" s="360"/>
    </row>
    <row r="420" spans="1:13">
      <c r="B420" s="277" t="s">
        <v>1382</v>
      </c>
      <c r="C420" s="305"/>
      <c r="D420" s="305">
        <v>0</v>
      </c>
      <c r="F420" s="278">
        <v>2.94</v>
      </c>
      <c r="G420" s="279">
        <f>ROUND(F420*C420,0)</f>
        <v>0</v>
      </c>
      <c r="I420" s="278">
        <v>2.9418228000000002</v>
      </c>
      <c r="J420" s="279">
        <f>ROUND(C420*I420,0)</f>
        <v>0</v>
      </c>
      <c r="M420" s="400"/>
    </row>
    <row r="421" spans="1:13">
      <c r="B421" s="281"/>
      <c r="C421" s="305"/>
      <c r="D421" s="305"/>
      <c r="F421" s="278"/>
      <c r="G421" s="279"/>
      <c r="I421" s="278"/>
      <c r="J421" s="279"/>
    </row>
    <row r="422" spans="1:13">
      <c r="A422" s="396"/>
      <c r="B422" s="62" t="s">
        <v>886</v>
      </c>
      <c r="G422" s="279">
        <v>0</v>
      </c>
      <c r="J422" s="279">
        <v>0</v>
      </c>
    </row>
    <row r="423" spans="1:13">
      <c r="A423" s="396"/>
      <c r="B423" s="286"/>
      <c r="G423" s="279"/>
      <c r="J423" s="279"/>
    </row>
    <row r="424" spans="1:13" ht="15">
      <c r="A424" s="307"/>
      <c r="B424" s="274" t="s">
        <v>897</v>
      </c>
      <c r="G424" s="290">
        <f>SUM(G409:G422)</f>
        <v>0</v>
      </c>
      <c r="J424" s="290">
        <f>SUM(J409:J422)</f>
        <v>0</v>
      </c>
    </row>
    <row r="425" spans="1:13">
      <c r="A425" s="307"/>
    </row>
    <row r="426" spans="1:13">
      <c r="A426" s="307"/>
      <c r="B426" s="286" t="s">
        <v>1483</v>
      </c>
      <c r="G426" s="279">
        <v>0</v>
      </c>
      <c r="J426" s="279">
        <f>G426</f>
        <v>0</v>
      </c>
    </row>
    <row r="427" spans="1:13">
      <c r="A427" s="307"/>
      <c r="B427" s="286" t="s">
        <v>1484</v>
      </c>
      <c r="G427" s="279">
        <v>0</v>
      </c>
      <c r="J427" s="279">
        <f>G427</f>
        <v>0</v>
      </c>
    </row>
    <row r="428" spans="1:13">
      <c r="A428" s="307"/>
      <c r="B428" s="286" t="s">
        <v>1485</v>
      </c>
      <c r="G428" s="279">
        <v>0</v>
      </c>
      <c r="J428" s="279">
        <f>G428</f>
        <v>0</v>
      </c>
    </row>
    <row r="429" spans="1:13">
      <c r="A429" s="307"/>
      <c r="B429" s="284" t="s">
        <v>888</v>
      </c>
      <c r="G429" s="279">
        <v>0</v>
      </c>
      <c r="J429" s="279">
        <f>G429</f>
        <v>0</v>
      </c>
    </row>
    <row r="430" spans="1:13">
      <c r="A430" s="307"/>
      <c r="B430" s="284"/>
      <c r="G430" s="279"/>
      <c r="J430" s="279"/>
    </row>
    <row r="431" spans="1:13" ht="15">
      <c r="B431" s="274" t="s">
        <v>889</v>
      </c>
      <c r="G431" s="290">
        <f>SUM(G424:G429)</f>
        <v>0</v>
      </c>
      <c r="J431" s="290">
        <f>SUM(J424:J429)</f>
        <v>0</v>
      </c>
    </row>
    <row r="432" spans="1:13">
      <c r="A432" s="307"/>
      <c r="B432" s="63"/>
    </row>
    <row r="433" spans="1:15">
      <c r="A433" s="307"/>
      <c r="B433" s="227" t="s">
        <v>890</v>
      </c>
      <c r="J433" s="301">
        <f>J431-G431</f>
        <v>0</v>
      </c>
    </row>
    <row r="434" spans="1:15">
      <c r="A434" s="307"/>
      <c r="B434" s="227"/>
      <c r="C434" s="284" t="s">
        <v>891</v>
      </c>
      <c r="D434" s="284"/>
      <c r="J434" s="302">
        <v>0</v>
      </c>
    </row>
    <row r="435" spans="1:15">
      <c r="A435" s="307"/>
      <c r="B435" s="307"/>
      <c r="C435" s="307"/>
      <c r="D435" s="307"/>
      <c r="E435" s="307"/>
      <c r="F435" s="307"/>
      <c r="G435" s="307"/>
      <c r="H435" s="307"/>
      <c r="I435" s="307"/>
      <c r="J435" s="307"/>
    </row>
    <row r="436" spans="1:15">
      <c r="A436" s="307"/>
      <c r="B436" s="307"/>
      <c r="C436" s="307"/>
      <c r="D436" s="307"/>
      <c r="E436" s="307"/>
      <c r="F436" s="307"/>
      <c r="G436" s="307"/>
      <c r="H436" s="307"/>
      <c r="I436" s="307"/>
      <c r="J436" s="307"/>
      <c r="L436" s="828"/>
      <c r="M436" s="284"/>
    </row>
    <row r="437" spans="1:15">
      <c r="A437" s="307"/>
      <c r="B437" s="307"/>
      <c r="C437" s="307"/>
      <c r="D437" s="307"/>
      <c r="E437" s="307"/>
      <c r="F437" s="307"/>
      <c r="G437" s="307"/>
      <c r="H437" s="307"/>
      <c r="I437" s="307"/>
      <c r="J437" s="307"/>
    </row>
    <row r="438" spans="1:15">
      <c r="A438" s="416" t="s">
        <v>1283</v>
      </c>
      <c r="B438" s="310"/>
      <c r="C438" s="310"/>
      <c r="D438" s="310"/>
      <c r="E438" s="310"/>
      <c r="F438" s="310"/>
      <c r="G438" s="310"/>
      <c r="H438" s="310"/>
      <c r="I438" s="735"/>
      <c r="J438" s="346" t="str">
        <f>'Sch M-2.3-E pg 1-2'!$K$1</f>
        <v>Schedule M-2.3-E</v>
      </c>
    </row>
    <row r="439" spans="1:15">
      <c r="A439" s="347" t="s">
        <v>1251</v>
      </c>
      <c r="B439" s="310"/>
      <c r="C439" s="310"/>
      <c r="D439" s="310"/>
      <c r="E439" s="310"/>
      <c r="F439" s="310"/>
      <c r="G439" s="310"/>
      <c r="H439" s="310"/>
      <c r="I439" s="735"/>
      <c r="J439" s="346" t="str">
        <f>"Page "&amp;N439&amp;" of "&amp;O439</f>
        <v>Page 14 of 24</v>
      </c>
      <c r="N439" s="687">
        <f>N400+1</f>
        <v>14</v>
      </c>
      <c r="O439" s="687">
        <f>'Settlement Exhibit 2 pgs 18-24'!$M$189</f>
        <v>24</v>
      </c>
    </row>
    <row r="440" spans="1:15">
      <c r="A440" s="347" t="s">
        <v>1248</v>
      </c>
      <c r="B440" s="310"/>
      <c r="C440" s="310"/>
      <c r="D440" s="310"/>
      <c r="E440" s="310"/>
      <c r="F440" s="310"/>
      <c r="G440" s="310"/>
      <c r="H440" s="310"/>
      <c r="I440" s="735"/>
      <c r="J440" s="346">
        <f>'Sch M-2.3-E pg 1-2'!$K$3</f>
        <v>0</v>
      </c>
    </row>
    <row r="441" spans="1:15">
      <c r="A441" s="348"/>
      <c r="B441" s="191"/>
      <c r="C441" s="203"/>
      <c r="D441" s="215"/>
      <c r="E441" s="191"/>
      <c r="F441" s="191"/>
      <c r="G441" s="269"/>
      <c r="H441" s="269"/>
      <c r="I441" s="736"/>
      <c r="J441" s="203"/>
    </row>
    <row r="442" spans="1:15">
      <c r="A442" s="405"/>
      <c r="B442" s="375"/>
      <c r="C442" s="406"/>
      <c r="D442" s="406"/>
      <c r="E442" s="406"/>
      <c r="F442" s="383" t="s">
        <v>862</v>
      </c>
      <c r="G442" s="408"/>
      <c r="H442" s="377"/>
      <c r="I442" s="377"/>
      <c r="J442" s="376" t="s">
        <v>876</v>
      </c>
    </row>
    <row r="443" spans="1:15">
      <c r="A443" s="390"/>
      <c r="C443" s="612"/>
      <c r="D443" s="211"/>
      <c r="E443" s="478"/>
      <c r="F443" s="478" t="s">
        <v>104</v>
      </c>
      <c r="G443" s="212" t="s">
        <v>105</v>
      </c>
      <c r="I443" s="62" t="s">
        <v>879</v>
      </c>
      <c r="J443" s="63" t="s">
        <v>878</v>
      </c>
    </row>
    <row r="444" spans="1:15">
      <c r="A444" s="409"/>
      <c r="B444" s="276"/>
      <c r="C444" s="410" t="s">
        <v>1255</v>
      </c>
      <c r="D444" s="410" t="s">
        <v>1256</v>
      </c>
      <c r="E444" s="386" t="s">
        <v>107</v>
      </c>
      <c r="F444" s="386" t="s">
        <v>108</v>
      </c>
      <c r="G444" s="412" t="s">
        <v>109</v>
      </c>
      <c r="H444" s="276"/>
      <c r="I444" s="276" t="s">
        <v>93</v>
      </c>
      <c r="J444" s="380" t="s">
        <v>881</v>
      </c>
    </row>
    <row r="445" spans="1:15">
      <c r="A445" s="390"/>
      <c r="B445" s="303"/>
    </row>
    <row r="446" spans="1:15">
      <c r="A446" s="350" t="s">
        <v>917</v>
      </c>
    </row>
    <row r="447" spans="1:15">
      <c r="A447" s="350"/>
      <c r="B447" s="63" t="s">
        <v>918</v>
      </c>
    </row>
    <row r="448" spans="1:15">
      <c r="A448" s="307"/>
      <c r="B448" s="277" t="s">
        <v>998</v>
      </c>
      <c r="C448" s="192">
        <f>SUMIF(L_12MonResults_RateClass,MiscData!$Y$7,L_12MonResults_Contract_Cnt)</f>
        <v>12</v>
      </c>
      <c r="D448" s="191"/>
      <c r="E448" s="191"/>
      <c r="F448" s="193">
        <f>SUMIF(L_Rates_Tariff_Rate_Category,MiscData!$X$5&amp;MiscData!$AA$25,L_Rates_BSC)</f>
        <v>0</v>
      </c>
      <c r="G448" s="279">
        <f>ROUND(F448*C448,0)</f>
        <v>0</v>
      </c>
      <c r="I448" s="278">
        <v>0</v>
      </c>
      <c r="J448" s="279">
        <f>ROUND(I448*C448,0)</f>
        <v>0</v>
      </c>
    </row>
    <row r="449" spans="1:15">
      <c r="A449" s="307"/>
      <c r="B449" s="281" t="s">
        <v>882</v>
      </c>
      <c r="E449" s="192">
        <f>SUMIF(L_12MonResults_RateClass,MiscData!$Y$7,L_12MonResults_KWH_Total)</f>
        <v>109874900</v>
      </c>
      <c r="F449" s="196">
        <f>SUMIF(L_Rates_Tariff_Rate_Category,MiscData!$X$5&amp;MiscData!$AA$25,L_Rates_Energy)</f>
        <v>3.7400000000000003E-2</v>
      </c>
      <c r="G449" s="279">
        <f>ROUND(E449*F449,0)</f>
        <v>4109321</v>
      </c>
      <c r="I449" s="282">
        <v>3.9100000000000003E-2</v>
      </c>
      <c r="J449" s="275">
        <f>I449*E449</f>
        <v>4296108.59</v>
      </c>
      <c r="L449" s="823">
        <f>L472/J449</f>
        <v>-2.0861487832561144E-4</v>
      </c>
    </row>
    <row r="450" spans="1:15">
      <c r="B450" s="277" t="s">
        <v>1386</v>
      </c>
      <c r="D450" s="324">
        <f>SUMIF(L_12MonResults_RateClass,MiscData!$Y$7,L_12MonResults_Demand_Measured_Peak)</f>
        <v>66832</v>
      </c>
      <c r="E450" s="197"/>
      <c r="F450" s="193">
        <f>SUMIF(L_Rates_Tariff_Rate_Category,MiscData!$X$5&amp;MiscData!$AA$25,L_Rates_Demand_Peak)</f>
        <v>15.040000000000001</v>
      </c>
      <c r="G450" s="279">
        <f>ROUND(F450*D450,0)</f>
        <v>1005153</v>
      </c>
      <c r="I450" s="278">
        <v>13.82</v>
      </c>
      <c r="J450" s="279">
        <f>ROUND(I450*D450,0)</f>
        <v>923618</v>
      </c>
      <c r="L450" s="823">
        <f>I449*(1+L449)</f>
        <v>3.9091843158257471E-2</v>
      </c>
    </row>
    <row r="451" spans="1:15">
      <c r="B451" s="277" t="s">
        <v>1387</v>
      </c>
      <c r="D451" s="324">
        <f>SUMIF(L_12MonResults_RateClass,MiscData!$Y$7,L_12MonResults_Demand_Measured_Inter)</f>
        <v>92834</v>
      </c>
      <c r="E451" s="191"/>
      <c r="F451" s="193">
        <f>SUMIF(L_Rates_Tariff_Rate_Category,MiscData!$X$5&amp;MiscData!$AA$25,L_Rates_Demand_Intermediate)</f>
        <v>12.72</v>
      </c>
      <c r="G451" s="279">
        <f>ROUND(F451*D451,0)+1</f>
        <v>1180849</v>
      </c>
      <c r="I451" s="278">
        <v>11.5</v>
      </c>
      <c r="J451" s="279">
        <f>ROUND(I451*D451,0)</f>
        <v>1067591</v>
      </c>
    </row>
    <row r="452" spans="1:15">
      <c r="B452" s="281"/>
      <c r="F452" s="278"/>
      <c r="G452" s="279"/>
      <c r="I452" s="278"/>
      <c r="J452" s="279"/>
      <c r="O452" s="702"/>
    </row>
    <row r="453" spans="1:15">
      <c r="A453" s="307"/>
      <c r="B453" s="281"/>
      <c r="F453" s="278"/>
      <c r="G453" s="279"/>
      <c r="I453" s="278"/>
      <c r="J453" s="279"/>
      <c r="O453" s="698"/>
    </row>
    <row r="454" spans="1:15" ht="15">
      <c r="A454" s="307"/>
      <c r="B454" s="281"/>
      <c r="G454" s="201"/>
      <c r="J454" s="401"/>
      <c r="O454" s="699"/>
    </row>
    <row r="455" spans="1:15">
      <c r="A455" s="307"/>
      <c r="E455" s="287" t="s">
        <v>883</v>
      </c>
      <c r="G455" s="288">
        <f>SUM(G448:G454)</f>
        <v>6295323</v>
      </c>
      <c r="J455" s="288">
        <f>SUM(J448:J453)</f>
        <v>6287317.5899999999</v>
      </c>
      <c r="K455" s="360"/>
      <c r="M455" s="360"/>
    </row>
    <row r="456" spans="1:15">
      <c r="A456" s="307"/>
      <c r="E456" s="281" t="s">
        <v>884</v>
      </c>
      <c r="G456" s="289">
        <f>'12MonResults'!$AF$476</f>
        <v>0.99999952345597354</v>
      </c>
      <c r="J456" s="289">
        <f>G456</f>
        <v>0.99999952345597354</v>
      </c>
      <c r="M456" s="400"/>
    </row>
    <row r="457" spans="1:15">
      <c r="A457" s="307"/>
      <c r="E457" s="287" t="s">
        <v>885</v>
      </c>
      <c r="G457" s="288">
        <f>+ROUND(G455/G456,0)</f>
        <v>6295326</v>
      </c>
      <c r="J457" s="288">
        <f>+ROUND(J455/J456,0)</f>
        <v>6287321</v>
      </c>
    </row>
    <row r="458" spans="1:15">
      <c r="A458" s="307"/>
      <c r="E458" s="287"/>
      <c r="G458" s="279"/>
    </row>
    <row r="459" spans="1:15">
      <c r="A459" s="396"/>
      <c r="B459" s="62" t="s">
        <v>886</v>
      </c>
      <c r="G459" s="279">
        <f>'ECR in Base Rates'!$G$58*-1</f>
        <v>-62269</v>
      </c>
      <c r="J459" s="279">
        <f>G459</f>
        <v>-62269</v>
      </c>
    </row>
    <row r="460" spans="1:15">
      <c r="A460" s="396"/>
      <c r="B460" s="62" t="s">
        <v>1425</v>
      </c>
      <c r="G460" s="279">
        <v>-148648</v>
      </c>
      <c r="J460" s="279">
        <f>SUM(J450:J451)*-0.068</f>
        <v>-135402.212</v>
      </c>
    </row>
    <row r="461" spans="1:15">
      <c r="A461" s="396"/>
      <c r="B461" s="286"/>
      <c r="G461" s="279"/>
      <c r="J461" s="279"/>
    </row>
    <row r="462" spans="1:15" ht="15">
      <c r="B462" s="274" t="s">
        <v>897</v>
      </c>
      <c r="G462" s="306">
        <f>SUM(G457:G460)</f>
        <v>6084409</v>
      </c>
      <c r="J462" s="306">
        <f>SUM(J457:J460)</f>
        <v>6089649.7879999997</v>
      </c>
    </row>
    <row r="463" spans="1:15">
      <c r="B463" s="284"/>
      <c r="G463" s="279"/>
      <c r="J463" s="279"/>
    </row>
    <row r="464" spans="1:15">
      <c r="B464" s="286" t="s">
        <v>1483</v>
      </c>
      <c r="G464" s="279">
        <f>'Sch M-2.3-E pg 1-2'!$P$37</f>
        <v>-44645</v>
      </c>
      <c r="J464" s="279">
        <f>G464</f>
        <v>-44645</v>
      </c>
    </row>
    <row r="465" spans="1:15">
      <c r="B465" s="286" t="s">
        <v>1484</v>
      </c>
      <c r="G465" s="279">
        <f>'Sch M-2.3-E pg 1-2'!$Q$37</f>
        <v>0</v>
      </c>
      <c r="J465" s="279">
        <f>G465</f>
        <v>0</v>
      </c>
    </row>
    <row r="466" spans="1:15">
      <c r="B466" s="286" t="s">
        <v>1485</v>
      </c>
      <c r="G466" s="279">
        <f>'Sch M-2.3-E pg 1-2'!$R$37</f>
        <v>990192</v>
      </c>
      <c r="J466" s="279">
        <f>G466</f>
        <v>990192</v>
      </c>
    </row>
    <row r="467" spans="1:15">
      <c r="B467" s="284" t="s">
        <v>888</v>
      </c>
      <c r="G467" s="279">
        <f>-G459</f>
        <v>62269</v>
      </c>
      <c r="J467" s="279">
        <f>G467</f>
        <v>62269</v>
      </c>
    </row>
    <row r="468" spans="1:15">
      <c r="A468" s="307"/>
      <c r="B468" s="284"/>
      <c r="G468" s="279"/>
      <c r="J468" s="279"/>
    </row>
    <row r="469" spans="1:15" ht="15">
      <c r="A469" s="307"/>
      <c r="B469" s="274" t="s">
        <v>889</v>
      </c>
      <c r="G469" s="290">
        <f>SUM(G462:G467)</f>
        <v>7092225</v>
      </c>
      <c r="J469" s="290">
        <f>SUM(J462:J467)</f>
        <v>7097465.7879999997</v>
      </c>
    </row>
    <row r="470" spans="1:15" ht="15">
      <c r="A470" s="307"/>
      <c r="B470" s="63"/>
      <c r="G470" s="291"/>
      <c r="J470" s="291"/>
    </row>
    <row r="471" spans="1:15" ht="15">
      <c r="A471" s="307"/>
      <c r="B471" s="227" t="s">
        <v>890</v>
      </c>
      <c r="G471" s="291"/>
      <c r="J471" s="279">
        <f>J469-G469</f>
        <v>5240.7879999997094</v>
      </c>
      <c r="K471" s="686">
        <v>4397.1795000000002</v>
      </c>
      <c r="L471" s="62">
        <f>'Sch M-2.3-E pg 1-2'!AT21</f>
        <v>4344.5558292232454</v>
      </c>
    </row>
    <row r="472" spans="1:15">
      <c r="A472" s="307"/>
      <c r="B472" s="227"/>
      <c r="C472" s="284" t="s">
        <v>891</v>
      </c>
      <c r="D472" s="284"/>
      <c r="J472" s="302">
        <f>J471/G469</f>
        <v>7.3894835541733512E-4</v>
      </c>
      <c r="K472" s="62">
        <f>K471-J471</f>
        <v>-843.60849999970924</v>
      </c>
      <c r="L472" s="62">
        <f>L471-J471</f>
        <v>-896.23217077646405</v>
      </c>
    </row>
    <row r="473" spans="1:15">
      <c r="A473" s="307"/>
      <c r="B473" s="307"/>
      <c r="C473" s="307"/>
      <c r="D473" s="307"/>
      <c r="E473" s="307"/>
      <c r="F473" s="307"/>
      <c r="G473" s="307"/>
      <c r="H473" s="307"/>
      <c r="I473" s="307"/>
      <c r="J473" s="307"/>
      <c r="L473" s="828"/>
      <c r="M473" s="284"/>
    </row>
    <row r="474" spans="1:15">
      <c r="A474" s="402"/>
    </row>
    <row r="475" spans="1:15">
      <c r="A475" s="402"/>
      <c r="K475" s="391"/>
    </row>
    <row r="476" spans="1:15">
      <c r="A476" s="402"/>
    </row>
    <row r="477" spans="1:15">
      <c r="A477" s="416" t="s">
        <v>1283</v>
      </c>
      <c r="B477" s="310"/>
      <c r="C477" s="310"/>
      <c r="D477" s="310"/>
      <c r="E477" s="310"/>
      <c r="F477" s="310"/>
      <c r="G477" s="310"/>
      <c r="H477" s="310"/>
      <c r="I477" s="735"/>
      <c r="J477" s="346" t="str">
        <f>'Sch M-2.3-E pg 1-2'!$K$1</f>
        <v>Schedule M-2.3-E</v>
      </c>
    </row>
    <row r="478" spans="1:15">
      <c r="A478" s="347" t="s">
        <v>1251</v>
      </c>
      <c r="B478" s="310"/>
      <c r="C478" s="310"/>
      <c r="D478" s="310"/>
      <c r="E478" s="310"/>
      <c r="F478" s="310"/>
      <c r="G478" s="310"/>
      <c r="H478" s="310"/>
      <c r="I478" s="735"/>
      <c r="J478" s="346" t="str">
        <f>"Page "&amp;N478&amp;" of "&amp;O478</f>
        <v>Page 15 of 24</v>
      </c>
      <c r="N478" s="687">
        <f>N439+1</f>
        <v>15</v>
      </c>
      <c r="O478" s="687">
        <f>'Settlement Exhibit 2 pgs 18-24'!$M$189</f>
        <v>24</v>
      </c>
    </row>
    <row r="479" spans="1:15">
      <c r="A479" s="347" t="s">
        <v>1248</v>
      </c>
      <c r="B479" s="310"/>
      <c r="C479" s="310"/>
      <c r="D479" s="310"/>
      <c r="E479" s="310"/>
      <c r="F479" s="310"/>
      <c r="G479" s="310"/>
      <c r="H479" s="310"/>
      <c r="I479" s="735"/>
      <c r="J479" s="346">
        <f>'Sch M-2.3-E pg 1-2'!$K$3</f>
        <v>0</v>
      </c>
    </row>
    <row r="480" spans="1:15">
      <c r="A480" s="348"/>
      <c r="B480" s="191"/>
      <c r="C480" s="203"/>
      <c r="D480" s="215"/>
      <c r="E480" s="191"/>
      <c r="F480" s="191"/>
      <c r="G480" s="269"/>
      <c r="H480" s="269"/>
      <c r="I480" s="736"/>
      <c r="J480" s="203"/>
    </row>
    <row r="481" spans="1:15">
      <c r="A481" s="413"/>
      <c r="B481" s="375"/>
      <c r="C481" s="406"/>
      <c r="D481" s="406"/>
      <c r="E481" s="406"/>
      <c r="F481" s="383" t="s">
        <v>862</v>
      </c>
      <c r="G481" s="408"/>
      <c r="H481" s="377"/>
      <c r="I481" s="377"/>
      <c r="J481" s="376" t="s">
        <v>876</v>
      </c>
    </row>
    <row r="482" spans="1:15">
      <c r="A482" s="389"/>
      <c r="C482" s="612"/>
      <c r="D482" s="211"/>
      <c r="E482" s="478"/>
      <c r="F482" s="478" t="s">
        <v>104</v>
      </c>
      <c r="G482" s="212" t="s">
        <v>105</v>
      </c>
      <c r="I482" s="62" t="s">
        <v>879</v>
      </c>
      <c r="J482" s="63" t="s">
        <v>878</v>
      </c>
    </row>
    <row r="483" spans="1:15">
      <c r="A483" s="414"/>
      <c r="B483" s="276"/>
      <c r="C483" s="410" t="s">
        <v>1255</v>
      </c>
      <c r="D483" s="410" t="s">
        <v>1256</v>
      </c>
      <c r="E483" s="386" t="s">
        <v>107</v>
      </c>
      <c r="F483" s="386" t="s">
        <v>108</v>
      </c>
      <c r="G483" s="412" t="s">
        <v>109</v>
      </c>
      <c r="H483" s="276"/>
      <c r="I483" s="276" t="s">
        <v>93</v>
      </c>
      <c r="J483" s="380" t="s">
        <v>881</v>
      </c>
    </row>
    <row r="484" spans="1:15">
      <c r="A484" s="390"/>
      <c r="B484" s="303"/>
    </row>
    <row r="485" spans="1:15">
      <c r="A485" s="350" t="s">
        <v>917</v>
      </c>
    </row>
    <row r="486" spans="1:15">
      <c r="A486" s="350"/>
      <c r="B486" s="296" t="s">
        <v>919</v>
      </c>
    </row>
    <row r="487" spans="1:15">
      <c r="A487" s="307"/>
      <c r="B487" s="277" t="s">
        <v>998</v>
      </c>
      <c r="C487" s="192">
        <f>SUMIF(L_12MonResults_RateClass,MiscData!$Y$15,L_12MonResults_Contract_Cnt)</f>
        <v>24</v>
      </c>
      <c r="D487" s="191"/>
      <c r="E487" s="191"/>
      <c r="F487" s="193">
        <f>SUMIF(L_Rates_Tariff_Rate_Category,MiscData!$X$5&amp;MiscData!$AA$22,L_Rates_BSC)</f>
        <v>0</v>
      </c>
      <c r="G487" s="279">
        <f>ROUND(F487*C487,0)</f>
        <v>0</v>
      </c>
      <c r="I487" s="278">
        <v>0</v>
      </c>
      <c r="J487" s="199">
        <f>ROUND(I487*C487,0)</f>
        <v>0</v>
      </c>
    </row>
    <row r="488" spans="1:15">
      <c r="A488" s="307"/>
      <c r="B488" s="281" t="s">
        <v>882</v>
      </c>
      <c r="E488" s="192">
        <f>SUMIF(L_12MonResults_RateClass,MiscData!$Y$15,L_12MonResults_KWH_Total)</f>
        <v>57572100</v>
      </c>
      <c r="F488" s="196">
        <f>SUMIF(L_Rates_Tariff_Rate_Category,MiscData!$X$5&amp;MiscData!$AA$22,L_Rates_Energy)</f>
        <v>3.7019999999999997E-2</v>
      </c>
      <c r="G488" s="279">
        <f>ROUND(E488*F488,0)</f>
        <v>2131319</v>
      </c>
      <c r="I488" s="282">
        <v>3.8720000000000004E-2</v>
      </c>
      <c r="J488" s="199">
        <f>I488*E488</f>
        <v>2229191.7120000003</v>
      </c>
      <c r="L488" s="823">
        <f>L508/J488</f>
        <v>1.5491094131130987E-4</v>
      </c>
    </row>
    <row r="489" spans="1:15">
      <c r="B489" s="277" t="s">
        <v>1386</v>
      </c>
      <c r="D489" s="192">
        <f>SUMIF(L_12MonResults_RateClass,MiscData!$Y$15,L_12MonResults_Demand_Measured_Peak)</f>
        <v>47214</v>
      </c>
      <c r="E489" s="197"/>
      <c r="F489" s="193">
        <f>SUMIF(L_Rates_Tariff_Rate_Category,MiscData!$X$5&amp;MiscData!$AA$22,L_Rates_Demand_Peak)</f>
        <v>10.35</v>
      </c>
      <c r="G489" s="279">
        <f t="shared" ref="G489:G490" si="14">ROUND(F489*D489,0)</f>
        <v>488665</v>
      </c>
      <c r="I489" s="278">
        <v>9.5</v>
      </c>
      <c r="J489" s="199">
        <f>ROUND(I489*D489,0)</f>
        <v>448533</v>
      </c>
      <c r="K489" s="360"/>
      <c r="L489" s="823">
        <f>I488*(1+L488)</f>
        <v>3.8725998151647574E-2</v>
      </c>
      <c r="M489" s="360"/>
    </row>
    <row r="490" spans="1:15">
      <c r="B490" s="277" t="s">
        <v>1387</v>
      </c>
      <c r="D490" s="192">
        <f>SUMIF(L_12MonResults_RateClass,MiscData!$Y$15,L_12MonResults_Demand_Measured_Inter)</f>
        <v>65600</v>
      </c>
      <c r="E490" s="191"/>
      <c r="F490" s="193">
        <f>SUMIF(L_Rates_Tariff_Rate_Category,MiscData!$X$5&amp;MiscData!$AA$22,L_Rates_Demand_Intermediate)</f>
        <v>10.35</v>
      </c>
      <c r="G490" s="279">
        <f t="shared" si="14"/>
        <v>678960</v>
      </c>
      <c r="I490" s="278">
        <v>9.5</v>
      </c>
      <c r="J490" s="199">
        <f>ROUND(I490*D490,0)</f>
        <v>623200</v>
      </c>
      <c r="M490" s="360"/>
    </row>
    <row r="491" spans="1:15">
      <c r="A491" s="307"/>
      <c r="B491" s="281"/>
      <c r="F491" s="282"/>
      <c r="G491" s="279"/>
      <c r="I491" s="282"/>
      <c r="J491" s="199"/>
      <c r="O491" s="698"/>
    </row>
    <row r="492" spans="1:15">
      <c r="A492" s="307"/>
      <c r="E492" s="287" t="s">
        <v>883</v>
      </c>
      <c r="G492" s="288">
        <f>SUM(G487:G491)</f>
        <v>3298944</v>
      </c>
      <c r="J492" s="288">
        <f>SUM(J487:J491)</f>
        <v>3300924.7120000003</v>
      </c>
    </row>
    <row r="493" spans="1:15">
      <c r="A493" s="307"/>
      <c r="E493" s="281" t="s">
        <v>884</v>
      </c>
      <c r="G493" s="202">
        <f>'12MonResults'!$AF$474</f>
        <v>0.99999272499763558</v>
      </c>
      <c r="J493" s="202">
        <f>G493</f>
        <v>0.99999272499763558</v>
      </c>
    </row>
    <row r="494" spans="1:15">
      <c r="A494" s="307"/>
      <c r="E494" s="287" t="s">
        <v>885</v>
      </c>
      <c r="G494" s="288">
        <f>+ROUND(G492/G493,0)</f>
        <v>3298968</v>
      </c>
      <c r="J494" s="288">
        <f>+ROUND(J492/J493,0)</f>
        <v>3300949</v>
      </c>
    </row>
    <row r="495" spans="1:15">
      <c r="A495" s="307"/>
      <c r="E495" s="287"/>
      <c r="G495" s="279"/>
    </row>
    <row r="496" spans="1:15">
      <c r="A496" s="396"/>
      <c r="B496" s="62" t="s">
        <v>886</v>
      </c>
      <c r="G496" s="279">
        <f>'ECR in Base Rates'!$G$62*-1</f>
        <v>-17469</v>
      </c>
      <c r="J496" s="279">
        <f>G496</f>
        <v>-17469</v>
      </c>
    </row>
    <row r="497" spans="1:13">
      <c r="A497" s="396"/>
      <c r="B497" s="286"/>
      <c r="G497" s="279"/>
      <c r="J497" s="279"/>
    </row>
    <row r="498" spans="1:13" ht="15">
      <c r="B498" s="274" t="s">
        <v>897</v>
      </c>
      <c r="G498" s="290">
        <f>SUM(G494:G496)</f>
        <v>3281499</v>
      </c>
      <c r="J498" s="290">
        <f>SUM(J494:J496)</f>
        <v>3283480</v>
      </c>
    </row>
    <row r="499" spans="1:13">
      <c r="B499" s="284"/>
      <c r="G499" s="279"/>
      <c r="J499" s="279"/>
    </row>
    <row r="500" spans="1:13">
      <c r="B500" s="286" t="s">
        <v>1483</v>
      </c>
      <c r="G500" s="279">
        <f>'Sch M-2.3-E pg 1-2'!$P$38</f>
        <v>-23805</v>
      </c>
      <c r="J500" s="279">
        <f>G500</f>
        <v>-23805</v>
      </c>
    </row>
    <row r="501" spans="1:13">
      <c r="B501" s="286" t="s">
        <v>1484</v>
      </c>
      <c r="G501" s="279">
        <f>'Sch M-2.3-E pg 1-2'!$Q$38</f>
        <v>0</v>
      </c>
      <c r="J501" s="279">
        <f>G501</f>
        <v>0</v>
      </c>
    </row>
    <row r="502" spans="1:13">
      <c r="B502" s="286" t="s">
        <v>1485</v>
      </c>
      <c r="G502" s="279">
        <f>'Sch M-2.3-E pg 1-2'!$R$38</f>
        <v>522424</v>
      </c>
      <c r="J502" s="279">
        <f>G502</f>
        <v>522424</v>
      </c>
    </row>
    <row r="503" spans="1:13">
      <c r="B503" s="284" t="s">
        <v>888</v>
      </c>
      <c r="G503" s="279">
        <f>-G496</f>
        <v>17469</v>
      </c>
      <c r="J503" s="279">
        <f>G503</f>
        <v>17469</v>
      </c>
    </row>
    <row r="504" spans="1:13">
      <c r="A504" s="307"/>
      <c r="B504" s="284"/>
      <c r="G504" s="279"/>
      <c r="J504" s="279"/>
      <c r="L504" s="828"/>
      <c r="M504" s="284"/>
    </row>
    <row r="505" spans="1:13" ht="15">
      <c r="A505" s="307"/>
      <c r="B505" s="274" t="s">
        <v>889</v>
      </c>
      <c r="G505" s="290">
        <f>SUM(G498:G503)</f>
        <v>3797587</v>
      </c>
      <c r="J505" s="290">
        <f>SUM(J498:J503)</f>
        <v>3799568</v>
      </c>
    </row>
    <row r="506" spans="1:13" ht="15">
      <c r="A506" s="307"/>
      <c r="B506" s="63"/>
      <c r="G506" s="291"/>
      <c r="J506" s="291"/>
      <c r="K506" s="404"/>
    </row>
    <row r="507" spans="1:13" ht="15">
      <c r="A507" s="307"/>
      <c r="B507" s="227" t="s">
        <v>890</v>
      </c>
      <c r="G507" s="291"/>
      <c r="J507" s="279">
        <f>J505-G505</f>
        <v>1981</v>
      </c>
      <c r="K507" s="686">
        <v>2354.5039400000001</v>
      </c>
      <c r="L507" s="62">
        <f>'Sch M-2.3-E pg 1-2'!AT22</f>
        <v>2326.3261864692904</v>
      </c>
    </row>
    <row r="508" spans="1:13">
      <c r="A508" s="307"/>
      <c r="B508" s="227"/>
      <c r="C508" s="284" t="s">
        <v>891</v>
      </c>
      <c r="D508" s="284"/>
      <c r="J508" s="302">
        <f>J507/G505</f>
        <v>5.2164703534112583E-4</v>
      </c>
      <c r="K508" s="62">
        <f>K507-J507</f>
        <v>373.50394000000006</v>
      </c>
      <c r="L508" s="62">
        <f>L507-J507</f>
        <v>345.32618646929041</v>
      </c>
    </row>
    <row r="509" spans="1:13">
      <c r="A509" s="307"/>
      <c r="B509" s="307"/>
      <c r="C509" s="307"/>
      <c r="D509" s="307"/>
      <c r="E509" s="307"/>
      <c r="F509" s="307"/>
      <c r="G509" s="307"/>
      <c r="H509" s="307"/>
      <c r="I509" s="307"/>
      <c r="J509" s="307"/>
    </row>
    <row r="510" spans="1:13">
      <c r="A510" s="402"/>
    </row>
    <row r="511" spans="1:13">
      <c r="A511" s="402"/>
    </row>
    <row r="512" spans="1:13">
      <c r="A512" s="402"/>
    </row>
    <row r="513" spans="1:15">
      <c r="A513" s="416" t="s">
        <v>1283</v>
      </c>
      <c r="B513" s="310"/>
      <c r="C513" s="310"/>
      <c r="D513" s="310"/>
      <c r="E513" s="310"/>
      <c r="F513" s="310"/>
      <c r="G513" s="310"/>
      <c r="H513" s="310"/>
      <c r="I513" s="735"/>
      <c r="J513" s="346" t="str">
        <f>'Sch M-2.3-E pg 1-2'!$K$1</f>
        <v>Schedule M-2.3-E</v>
      </c>
    </row>
    <row r="514" spans="1:15">
      <c r="A514" s="347" t="s">
        <v>1251</v>
      </c>
      <c r="B514" s="310"/>
      <c r="C514" s="310"/>
      <c r="D514" s="310"/>
      <c r="E514" s="310"/>
      <c r="F514" s="310"/>
      <c r="G514" s="310"/>
      <c r="H514" s="310"/>
      <c r="I514" s="735"/>
      <c r="J514" s="346" t="str">
        <f>"Page "&amp;N514&amp;" of "&amp;O514</f>
        <v>Page 16 of 24</v>
      </c>
      <c r="N514" s="687">
        <f>N478+1</f>
        <v>16</v>
      </c>
      <c r="O514" s="687">
        <f>'Settlement Exhibit 2 pgs 18-24'!$M$189</f>
        <v>24</v>
      </c>
    </row>
    <row r="515" spans="1:15">
      <c r="A515" s="347" t="s">
        <v>1248</v>
      </c>
      <c r="B515" s="310"/>
      <c r="C515" s="310"/>
      <c r="D515" s="310"/>
      <c r="E515" s="310"/>
      <c r="F515" s="310"/>
      <c r="G515" s="310"/>
      <c r="H515" s="310"/>
      <c r="I515" s="735"/>
      <c r="J515" s="346">
        <f>'Sch M-2.3-E pg 1-2'!$K$3</f>
        <v>0</v>
      </c>
    </row>
    <row r="516" spans="1:15">
      <c r="A516" s="348"/>
      <c r="B516" s="191"/>
      <c r="C516" s="203"/>
      <c r="D516" s="215"/>
      <c r="E516" s="191"/>
      <c r="F516" s="191"/>
      <c r="G516" s="269"/>
      <c r="H516" s="269"/>
      <c r="I516" s="736"/>
      <c r="J516" s="203"/>
    </row>
    <row r="517" spans="1:15">
      <c r="A517" s="413"/>
      <c r="B517" s="375"/>
      <c r="C517" s="406"/>
      <c r="D517" s="406"/>
      <c r="E517" s="406"/>
      <c r="F517" s="383" t="s">
        <v>862</v>
      </c>
      <c r="G517" s="408"/>
      <c r="H517" s="377"/>
      <c r="I517" s="377"/>
      <c r="J517" s="376" t="s">
        <v>876</v>
      </c>
    </row>
    <row r="518" spans="1:15">
      <c r="A518" s="389"/>
      <c r="C518" s="478"/>
      <c r="D518" s="211"/>
      <c r="E518" s="478"/>
      <c r="F518" s="478" t="s">
        <v>104</v>
      </c>
      <c r="G518" s="212" t="s">
        <v>105</v>
      </c>
      <c r="I518" s="62" t="s">
        <v>879</v>
      </c>
      <c r="J518" s="63" t="s">
        <v>878</v>
      </c>
    </row>
    <row r="519" spans="1:15">
      <c r="A519" s="414"/>
      <c r="B519" s="276"/>
      <c r="C519" s="410" t="s">
        <v>1255</v>
      </c>
      <c r="D519" s="411"/>
      <c r="E519" s="386" t="s">
        <v>107</v>
      </c>
      <c r="F519" s="386" t="s">
        <v>108</v>
      </c>
      <c r="G519" s="412" t="s">
        <v>109</v>
      </c>
      <c r="H519" s="276"/>
      <c r="I519" s="276" t="s">
        <v>93</v>
      </c>
      <c r="J519" s="380" t="s">
        <v>881</v>
      </c>
    </row>
    <row r="520" spans="1:15">
      <c r="A520" s="390"/>
      <c r="B520" s="303"/>
      <c r="C520" s="296"/>
      <c r="D520" s="296"/>
    </row>
    <row r="521" spans="1:15">
      <c r="A521" s="303" t="s">
        <v>901</v>
      </c>
      <c r="K521" s="360"/>
      <c r="M521" s="360"/>
    </row>
    <row r="522" spans="1:15">
      <c r="A522" s="62"/>
      <c r="B522" s="277" t="s">
        <v>998</v>
      </c>
      <c r="C522" s="192">
        <f>SUMIF(L_12MonResults_RateClass,MiscData!$Y$13,L_12MonResults_Contract_Cnt)</f>
        <v>1872</v>
      </c>
      <c r="D522" s="191"/>
      <c r="E522" s="191"/>
      <c r="F522" s="193">
        <f>SUMIF(L_Rates_Tariff_Rate_Category,MiscData!$X$5&amp;MiscData!$AA$32,L_Rates_BSC)</f>
        <v>0</v>
      </c>
      <c r="G522" s="279">
        <f>ROUND(F522*C522,0)</f>
        <v>0</v>
      </c>
      <c r="I522" s="278">
        <v>0</v>
      </c>
      <c r="J522" s="279">
        <f>I522*C522</f>
        <v>0</v>
      </c>
      <c r="K522" s="360"/>
      <c r="M522" s="360"/>
    </row>
    <row r="523" spans="1:15">
      <c r="A523" s="62"/>
      <c r="B523" s="281" t="s">
        <v>882</v>
      </c>
      <c r="E523" s="192">
        <f>SUMIF(L_12MonResults_RateClass,MiscData!$Y$13,L_12MonResults_KWH_Total)</f>
        <v>3442738</v>
      </c>
      <c r="F523" s="196">
        <f>SUMIF(L_Rates_Tariff_Rate_Category,MiscData!$X$5&amp;MiscData!$AA$32,L_Rates_Energy)</f>
        <v>6.4610000000000001E-2</v>
      </c>
      <c r="G523" s="199">
        <f>ROUND(F523*E523,0)</f>
        <v>222435</v>
      </c>
      <c r="I523" s="282">
        <v>6.4649999999999999E-2</v>
      </c>
      <c r="J523" s="199">
        <f>ROUND(I523*E523,0)</f>
        <v>222573</v>
      </c>
      <c r="L523" s="823">
        <f>L541/J523</f>
        <v>7.4702923322976606E-5</v>
      </c>
      <c r="M523" s="360"/>
    </row>
    <row r="524" spans="1:15">
      <c r="A524" s="62"/>
      <c r="B524" s="281"/>
      <c r="G524" s="292"/>
      <c r="J524" s="403"/>
      <c r="L524" s="823">
        <f>I523*(1+L523)</f>
        <v>6.4654829543992834E-2</v>
      </c>
    </row>
    <row r="525" spans="1:15">
      <c r="A525" s="307"/>
      <c r="E525" s="287" t="s">
        <v>883</v>
      </c>
      <c r="G525" s="288">
        <f>SUM(G522:G523)</f>
        <v>222435</v>
      </c>
      <c r="J525" s="288">
        <f>SUM(J522:J523)</f>
        <v>222573</v>
      </c>
      <c r="O525" s="694"/>
    </row>
    <row r="526" spans="1:15">
      <c r="A526" s="307"/>
      <c r="E526" s="281" t="s">
        <v>884</v>
      </c>
      <c r="G526" s="289">
        <f>'12MonResults'!$AF$479</f>
        <v>1</v>
      </c>
      <c r="J526" s="289">
        <f>G526</f>
        <v>1</v>
      </c>
      <c r="O526" s="703"/>
    </row>
    <row r="527" spans="1:15">
      <c r="A527" s="307"/>
      <c r="E527" s="287" t="s">
        <v>885</v>
      </c>
      <c r="G527" s="288">
        <f>+ROUND(G525/G526,0)</f>
        <v>222435</v>
      </c>
      <c r="J527" s="288">
        <f>+ROUND(J525/J526,0)</f>
        <v>222573</v>
      </c>
    </row>
    <row r="528" spans="1:15">
      <c r="A528" s="307"/>
      <c r="E528" s="287"/>
      <c r="G528" s="279"/>
    </row>
    <row r="529" spans="1:12">
      <c r="A529" s="396"/>
      <c r="B529" s="62" t="s">
        <v>886</v>
      </c>
      <c r="G529" s="199">
        <v>0</v>
      </c>
      <c r="J529" s="199">
        <f>G529</f>
        <v>0</v>
      </c>
    </row>
    <row r="531" spans="1:12">
      <c r="B531" s="274" t="s">
        <v>897</v>
      </c>
      <c r="G531" s="288">
        <f>SUM(G527:G529)</f>
        <v>222435</v>
      </c>
      <c r="J531" s="288">
        <f>SUM(J529:J529)+J527</f>
        <v>222573</v>
      </c>
    </row>
    <row r="532" spans="1:12">
      <c r="B532" s="281"/>
    </row>
    <row r="533" spans="1:12">
      <c r="B533" s="286" t="s">
        <v>1483</v>
      </c>
      <c r="G533" s="279">
        <f>'Sch M-2.3-E pg 1-2'!$P$40</f>
        <v>-1707</v>
      </c>
      <c r="J533" s="279">
        <f>G533</f>
        <v>-1707</v>
      </c>
    </row>
    <row r="534" spans="1:12">
      <c r="B534" s="286" t="s">
        <v>1484</v>
      </c>
      <c r="G534" s="279">
        <f>'Sch M-2.3-E pg 1-2'!$Q$40</f>
        <v>0</v>
      </c>
      <c r="J534" s="279">
        <f>G534</f>
        <v>0</v>
      </c>
    </row>
    <row r="535" spans="1:12">
      <c r="B535" s="286" t="s">
        <v>1485</v>
      </c>
      <c r="G535" s="279">
        <f>'Sch M-2.3-E pg 1-2'!$R$40</f>
        <v>31691</v>
      </c>
      <c r="J535" s="279">
        <f>G535</f>
        <v>31691</v>
      </c>
    </row>
    <row r="536" spans="1:12">
      <c r="B536" s="284" t="s">
        <v>888</v>
      </c>
      <c r="G536" s="279">
        <f>-G529</f>
        <v>0</v>
      </c>
      <c r="J536" s="279">
        <f>G536</f>
        <v>0</v>
      </c>
    </row>
    <row r="537" spans="1:12">
      <c r="A537" s="307"/>
      <c r="B537" s="284"/>
      <c r="G537" s="279"/>
      <c r="J537" s="279"/>
      <c r="K537" s="281"/>
    </row>
    <row r="538" spans="1:12" ht="15">
      <c r="A538" s="307"/>
      <c r="B538" s="274" t="s">
        <v>889</v>
      </c>
      <c r="G538" s="290">
        <f>SUM(G531:G536)</f>
        <v>252419</v>
      </c>
      <c r="J538" s="290">
        <f>SUM(J531:J536)</f>
        <v>252557</v>
      </c>
    </row>
    <row r="539" spans="1:12" ht="15">
      <c r="A539" s="307"/>
      <c r="B539" s="63"/>
      <c r="G539" s="291"/>
      <c r="J539" s="291"/>
    </row>
    <row r="540" spans="1:12">
      <c r="A540" s="350"/>
      <c r="B540" s="227" t="s">
        <v>890</v>
      </c>
      <c r="J540" s="301">
        <f>J538-G538</f>
        <v>138</v>
      </c>
      <c r="K540" s="686">
        <v>156.49977999999999</v>
      </c>
      <c r="L540" s="62">
        <f>'Sch M-2.3-E pg 1-2'!AT24</f>
        <v>154.62685375276487</v>
      </c>
    </row>
    <row r="541" spans="1:12">
      <c r="C541" s="284" t="s">
        <v>891</v>
      </c>
      <c r="D541" s="284"/>
      <c r="J541" s="302">
        <f>J540/G538</f>
        <v>5.467100337137854E-4</v>
      </c>
      <c r="K541" s="62">
        <f>K540-J540</f>
        <v>18.499779999999987</v>
      </c>
      <c r="L541" s="62">
        <f>L540-J540</f>
        <v>16.626853752764873</v>
      </c>
    </row>
    <row r="542" spans="1:12">
      <c r="A542" s="307"/>
      <c r="B542" s="307"/>
      <c r="C542" s="307"/>
      <c r="D542" s="307"/>
      <c r="E542" s="307"/>
      <c r="F542" s="307"/>
      <c r="G542" s="307"/>
      <c r="H542" s="307"/>
      <c r="I542" s="307"/>
      <c r="J542" s="307"/>
      <c r="K542" s="391"/>
    </row>
    <row r="543" spans="1:12">
      <c r="A543" s="308"/>
    </row>
    <row r="544" spans="1:12">
      <c r="A544" s="308"/>
    </row>
    <row r="545" spans="1:15">
      <c r="A545" s="308"/>
    </row>
    <row r="547" spans="1:15">
      <c r="A547" s="416" t="s">
        <v>1283</v>
      </c>
      <c r="B547" s="310"/>
      <c r="C547" s="310"/>
      <c r="D547" s="310"/>
      <c r="E547" s="310"/>
      <c r="F547" s="310"/>
      <c r="G547" s="310"/>
      <c r="H547" s="310"/>
      <c r="I547" s="735"/>
      <c r="J547" s="346" t="str">
        <f>'Sch M-2.3-E pg 1-2'!$K$1</f>
        <v>Schedule M-2.3-E</v>
      </c>
    </row>
    <row r="548" spans="1:15">
      <c r="A548" s="347" t="s">
        <v>1251</v>
      </c>
      <c r="B548" s="310"/>
      <c r="C548" s="310"/>
      <c r="D548" s="310"/>
      <c r="E548" s="310"/>
      <c r="F548" s="310"/>
      <c r="G548" s="310"/>
      <c r="H548" s="310"/>
      <c r="I548" s="735"/>
      <c r="J548" s="346" t="str">
        <f>"Page "&amp;N548&amp;" of "&amp;O548</f>
        <v>Page 17 of 24</v>
      </c>
      <c r="N548" s="687">
        <f>N514+1</f>
        <v>17</v>
      </c>
      <c r="O548" s="687">
        <f>'Settlement Exhibit 2 pgs 18-24'!$M$189</f>
        <v>24</v>
      </c>
    </row>
    <row r="549" spans="1:15">
      <c r="A549" s="347" t="s">
        <v>1248</v>
      </c>
      <c r="B549" s="310"/>
      <c r="C549" s="310"/>
      <c r="D549" s="310"/>
      <c r="E549" s="310"/>
      <c r="F549" s="310"/>
      <c r="G549" s="310"/>
      <c r="H549" s="310"/>
      <c r="I549" s="735"/>
      <c r="J549" s="346">
        <f>'Sch M-2.3-E pg 1-2'!$K$3</f>
        <v>0</v>
      </c>
    </row>
    <row r="550" spans="1:15">
      <c r="A550" s="348"/>
      <c r="B550" s="191"/>
      <c r="C550" s="203"/>
      <c r="D550" s="215"/>
      <c r="E550" s="191"/>
      <c r="F550" s="191"/>
      <c r="G550" s="269"/>
      <c r="H550" s="269"/>
      <c r="I550" s="736"/>
      <c r="J550" s="203"/>
    </row>
    <row r="551" spans="1:15">
      <c r="A551" s="413"/>
      <c r="B551" s="375"/>
      <c r="C551" s="406"/>
      <c r="D551" s="406"/>
      <c r="E551" s="406"/>
      <c r="F551" s="383" t="s">
        <v>862</v>
      </c>
      <c r="G551" s="408"/>
      <c r="H551" s="377"/>
      <c r="I551" s="377"/>
      <c r="J551" s="376" t="s">
        <v>876</v>
      </c>
    </row>
    <row r="552" spans="1:15">
      <c r="A552" s="389"/>
      <c r="C552" s="478"/>
      <c r="D552" s="211"/>
      <c r="E552" s="478"/>
      <c r="F552" s="478" t="s">
        <v>104</v>
      </c>
      <c r="G552" s="212" t="s">
        <v>105</v>
      </c>
      <c r="I552" s="62" t="s">
        <v>879</v>
      </c>
      <c r="J552" s="63" t="s">
        <v>878</v>
      </c>
    </row>
    <row r="553" spans="1:15">
      <c r="A553" s="414"/>
      <c r="B553" s="276"/>
      <c r="C553" s="410" t="s">
        <v>1255</v>
      </c>
      <c r="D553" s="411"/>
      <c r="E553" s="386" t="s">
        <v>107</v>
      </c>
      <c r="F553" s="386" t="s">
        <v>108</v>
      </c>
      <c r="G553" s="412" t="s">
        <v>109</v>
      </c>
      <c r="H553" s="276"/>
      <c r="I553" s="276" t="s">
        <v>93</v>
      </c>
      <c r="J553" s="380" t="s">
        <v>881</v>
      </c>
    </row>
    <row r="554" spans="1:15">
      <c r="A554" s="390"/>
      <c r="B554" s="303"/>
      <c r="C554" s="296"/>
      <c r="D554" s="296"/>
    </row>
    <row r="555" spans="1:15">
      <c r="A555" s="319" t="s">
        <v>686</v>
      </c>
    </row>
    <row r="556" spans="1:15">
      <c r="A556" s="62"/>
      <c r="B556" s="277" t="s">
        <v>998</v>
      </c>
      <c r="C556" s="192">
        <f>SUMIF(L_12MonResults_RateClass,MiscData!$Y$20,L_12MonResults_Contract_Cnt)</f>
        <v>10860</v>
      </c>
      <c r="D556" s="191"/>
      <c r="E556" s="191"/>
      <c r="F556" s="193">
        <f>SUMIF(L_Rates_Tariff_Rate_Category,MiscData!$X$5&amp;MiscData!$AA$35,L_Rates_BSC)</f>
        <v>3.25</v>
      </c>
      <c r="G556" s="279">
        <f>ROUND(F556*C556,0)</f>
        <v>35295</v>
      </c>
      <c r="I556" s="278">
        <v>4</v>
      </c>
      <c r="J556" s="279">
        <f>ROUND(I556*C556,0)</f>
        <v>43440</v>
      </c>
    </row>
    <row r="557" spans="1:15">
      <c r="A557" s="62"/>
      <c r="B557" s="281" t="s">
        <v>882</v>
      </c>
      <c r="E557" s="192">
        <f>SUMIF(L_12MonResults_RateClass,MiscData!$Y$20,L_12MonResults_KWH_Total)</f>
        <v>3103723</v>
      </c>
      <c r="F557" s="196">
        <f>SUMIF(L_Rates_Tariff_Rate_Category,MiscData!$X$5&amp;MiscData!$AA$35,L_Rates_Energy)</f>
        <v>7.6579999999999995E-2</v>
      </c>
      <c r="G557" s="199">
        <f>ROUND(F557*E557,0)-1</f>
        <v>237682</v>
      </c>
      <c r="I557" s="282">
        <v>7.4020000000000002E-2</v>
      </c>
      <c r="J557" s="199">
        <f>ROUND(I557*E557,0)-1</f>
        <v>229737</v>
      </c>
      <c r="L557" s="823">
        <f>L576/J557</f>
        <v>-7.0223171750561061E-5</v>
      </c>
    </row>
    <row r="558" spans="1:15">
      <c r="A558" s="62"/>
      <c r="B558" s="281"/>
      <c r="F558" s="282"/>
      <c r="G558" s="199"/>
      <c r="I558" s="282"/>
      <c r="J558" s="199"/>
      <c r="L558" s="823">
        <f>I557*(1+L557)</f>
        <v>7.401480208082703E-2</v>
      </c>
    </row>
    <row r="559" spans="1:15" ht="15">
      <c r="A559" s="62"/>
      <c r="B559" s="281"/>
      <c r="G559" s="201"/>
      <c r="J559" s="201"/>
      <c r="O559" s="698"/>
    </row>
    <row r="560" spans="1:15">
      <c r="A560" s="307"/>
      <c r="E560" s="287" t="s">
        <v>883</v>
      </c>
      <c r="G560" s="288">
        <f>SUM(G556:G558)</f>
        <v>272977</v>
      </c>
      <c r="J560" s="288">
        <f>SUM(J556:J558)</f>
        <v>273177</v>
      </c>
      <c r="O560" s="695"/>
    </row>
    <row r="561" spans="1:12" ht="15">
      <c r="A561" s="307"/>
      <c r="E561" s="281" t="s">
        <v>884</v>
      </c>
      <c r="G561" s="309">
        <f>'12MonResults'!$AF$480</f>
        <v>1</v>
      </c>
      <c r="J561" s="309">
        <f>G561</f>
        <v>1</v>
      </c>
    </row>
    <row r="562" spans="1:12">
      <c r="A562" s="307"/>
      <c r="E562" s="287" t="s">
        <v>885</v>
      </c>
      <c r="G562" s="288">
        <f>+ROUND(G560/G561,0)</f>
        <v>272977</v>
      </c>
      <c r="J562" s="288">
        <f>+ROUND(J560/J561,0)</f>
        <v>273177</v>
      </c>
    </row>
    <row r="563" spans="1:12">
      <c r="A563" s="307"/>
      <c r="E563" s="287"/>
      <c r="G563" s="279"/>
    </row>
    <row r="564" spans="1:12">
      <c r="A564" s="396"/>
      <c r="B564" s="62" t="s">
        <v>886</v>
      </c>
      <c r="G564" s="199">
        <v>0</v>
      </c>
      <c r="J564" s="199">
        <f>G564</f>
        <v>0</v>
      </c>
    </row>
    <row r="565" spans="1:12">
      <c r="A565" s="396"/>
      <c r="B565" s="286"/>
      <c r="G565" s="199"/>
      <c r="J565" s="199"/>
    </row>
    <row r="566" spans="1:12" ht="15">
      <c r="B566" s="274" t="s">
        <v>897</v>
      </c>
      <c r="G566" s="290">
        <f>SUM(G562:G564)</f>
        <v>272977</v>
      </c>
      <c r="J566" s="290">
        <f>SUM(J564:J564)+J562</f>
        <v>273177</v>
      </c>
    </row>
    <row r="567" spans="1:12">
      <c r="B567" s="281"/>
    </row>
    <row r="568" spans="1:12">
      <c r="B568" s="286" t="s">
        <v>1483</v>
      </c>
      <c r="G568" s="279">
        <f>'Sch M-2.3-E pg 1-2'!$P$41</f>
        <v>-1270</v>
      </c>
      <c r="J568" s="279">
        <f>G568</f>
        <v>-1270</v>
      </c>
    </row>
    <row r="569" spans="1:12">
      <c r="B569" s="286" t="s">
        <v>1484</v>
      </c>
      <c r="G569" s="279">
        <f>'Sch M-2.3-E pg 1-2'!$Q$41</f>
        <v>0</v>
      </c>
      <c r="J569" s="279">
        <f>G569</f>
        <v>0</v>
      </c>
    </row>
    <row r="570" spans="1:12">
      <c r="B570" s="286" t="s">
        <v>1485</v>
      </c>
      <c r="G570" s="279">
        <f>'Sch M-2.3-E pg 1-2'!$R$41</f>
        <v>28445</v>
      </c>
      <c r="J570" s="279">
        <f>G570</f>
        <v>28445</v>
      </c>
    </row>
    <row r="571" spans="1:12">
      <c r="B571" s="284" t="s">
        <v>888</v>
      </c>
      <c r="G571" s="279">
        <f>-G564</f>
        <v>0</v>
      </c>
      <c r="J571" s="279">
        <f>G571</f>
        <v>0</v>
      </c>
    </row>
    <row r="572" spans="1:12">
      <c r="A572" s="307"/>
    </row>
    <row r="573" spans="1:12" ht="15">
      <c r="A573" s="307"/>
      <c r="B573" s="226" t="s">
        <v>899</v>
      </c>
      <c r="G573" s="290">
        <f>SUM(G566:G571)</f>
        <v>300152</v>
      </c>
      <c r="J573" s="290">
        <f>SUM(J566:J571)</f>
        <v>300352</v>
      </c>
    </row>
    <row r="574" spans="1:12" ht="15">
      <c r="A574" s="307"/>
      <c r="B574" s="63"/>
      <c r="G574" s="291"/>
      <c r="J574" s="291"/>
    </row>
    <row r="575" spans="1:12">
      <c r="A575" s="350"/>
      <c r="B575" s="227" t="s">
        <v>890</v>
      </c>
      <c r="J575" s="301">
        <f>J573-G573</f>
        <v>200</v>
      </c>
      <c r="K575" s="62">
        <v>186.09486000000001</v>
      </c>
      <c r="L575" s="62">
        <f>'Sch M-2.3-E pg 1-2'!AT25</f>
        <v>183.86713919154136</v>
      </c>
    </row>
    <row r="576" spans="1:12">
      <c r="C576" s="284" t="s">
        <v>891</v>
      </c>
      <c r="D576" s="284"/>
      <c r="J576" s="302">
        <f>J575/G573</f>
        <v>6.6632905994296228E-4</v>
      </c>
      <c r="K576" s="62">
        <f>K575-J575</f>
        <v>-13.905139999999989</v>
      </c>
      <c r="L576" s="62">
        <f>L575-J575</f>
        <v>-16.132860808458645</v>
      </c>
    </row>
  </sheetData>
  <printOptions horizontalCentered="1"/>
  <pageMargins left="0.7" right="0.7" top="1.86" bottom="0.62" header="1.01" footer="0.3"/>
  <pageSetup scale="74" orientation="landscape" r:id="rId1"/>
  <headerFooter scaleWithDoc="0">
    <oddHeader>&amp;C&amp;"Calibri,Bold"&amp;10LOUISVILLE GAS AND ELECTRIC COMPANY&amp;9
Case No. 2014-00372
&amp;8Calculation of Proposed Electric Rate Increase
Forecast Period Sales for the Twelve Months Ended June 30, 2016
Electric Operations&amp;R&amp;"Times New Roman,Bold"Settlement Exhibit 2</oddHeader>
  </headerFooter>
  <rowBreaks count="15" manualBreakCount="15">
    <brk id="32" max="9" man="1"/>
    <brk id="66" max="9" man="1"/>
    <brk id="100" max="9" man="1"/>
    <brk id="135" max="9" man="1"/>
    <brk id="172" max="9" man="1"/>
    <brk id="209" max="9" man="1"/>
    <brk id="250" max="9" man="1"/>
    <brk id="287" max="9" man="1"/>
    <brk id="324" max="9" man="1"/>
    <brk id="360" max="9" man="1"/>
    <brk id="396" max="9" man="1"/>
    <brk id="437" max="9" man="1"/>
    <brk id="474" max="9" man="1"/>
    <brk id="511" max="9" man="1"/>
    <brk id="545"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000"/>
    <pageSetUpPr fitToPage="1"/>
  </sheetPr>
  <dimension ref="A1:Z216"/>
  <sheetViews>
    <sheetView view="pageBreakPreview" zoomScale="110" zoomScaleNormal="100" zoomScaleSheetLayoutView="110" workbookViewId="0">
      <selection activeCell="A4" sqref="A4"/>
    </sheetView>
  </sheetViews>
  <sheetFormatPr defaultRowHeight="12"/>
  <cols>
    <col min="1" max="1" width="9.33203125" style="151"/>
    <col min="2" max="2" width="65.6640625" style="151" customWidth="1"/>
    <col min="3" max="3" width="12.1640625" style="151" bestFit="1" customWidth="1"/>
    <col min="4" max="4" width="12.1640625" style="151" hidden="1" customWidth="1"/>
    <col min="5" max="5" width="12.1640625" style="151" bestFit="1" customWidth="1"/>
    <col min="6" max="6" width="10.6640625" style="151" bestFit="1" customWidth="1"/>
    <col min="7" max="7" width="15.1640625" style="214" bestFit="1" customWidth="1"/>
    <col min="8" max="8" width="13.5" style="214" bestFit="1" customWidth="1"/>
    <col min="9" max="9" width="18.83203125" style="739" bestFit="1" customWidth="1"/>
    <col min="10" max="10" width="11.33203125" style="151" customWidth="1"/>
    <col min="11" max="11" width="50.1640625" style="151" bestFit="1" customWidth="1"/>
    <col min="12" max="12" width="11.5" style="688" bestFit="1" customWidth="1"/>
    <col min="13" max="13" width="9.33203125" style="689"/>
    <col min="14" max="14" width="9.33203125" style="151"/>
    <col min="15" max="15" width="13" style="151" bestFit="1" customWidth="1"/>
    <col min="16" max="16" width="14.1640625" style="151" bestFit="1" customWidth="1"/>
    <col min="17" max="17" width="12.5" style="151" bestFit="1" customWidth="1"/>
    <col min="18" max="16384" width="9.33203125" style="151"/>
  </cols>
  <sheetData>
    <row r="1" spans="1:17" s="62" customFormat="1" ht="12.75">
      <c r="A1" s="416" t="s">
        <v>1283</v>
      </c>
      <c r="B1" s="310"/>
      <c r="C1" s="310"/>
      <c r="D1" s="310"/>
      <c r="E1" s="310"/>
      <c r="F1" s="310"/>
      <c r="G1" s="310"/>
      <c r="H1" s="311"/>
      <c r="I1" s="304" t="str">
        <f>'Sch M-2.3-E pg 1-2'!$K$1</f>
        <v>Schedule M-2.3-E</v>
      </c>
      <c r="L1" s="686" t="s">
        <v>1491</v>
      </c>
      <c r="M1" s="686"/>
    </row>
    <row r="2" spans="1:17" s="62" customFormat="1" ht="12.75">
      <c r="A2" s="347" t="s">
        <v>1251</v>
      </c>
      <c r="B2" s="310"/>
      <c r="C2" s="310"/>
      <c r="D2" s="310"/>
      <c r="E2" s="310"/>
      <c r="F2" s="310"/>
      <c r="G2" s="310"/>
      <c r="H2" s="311"/>
      <c r="I2" s="304" t="str">
        <f>"Page "&amp;L2&amp;" of "&amp;M2</f>
        <v>Page 18 of 24</v>
      </c>
      <c r="L2" s="687">
        <f>'Settlement Exhibit 2 pgs 2-17'!N548+1</f>
        <v>18</v>
      </c>
      <c r="M2" s="687">
        <f>$M$189</f>
        <v>24</v>
      </c>
    </row>
    <row r="3" spans="1:17" s="62" customFormat="1" ht="12.75">
      <c r="A3" s="347" t="s">
        <v>1248</v>
      </c>
      <c r="B3" s="310"/>
      <c r="C3" s="310"/>
      <c r="D3" s="310"/>
      <c r="E3" s="310"/>
      <c r="F3" s="310"/>
      <c r="G3" s="310"/>
      <c r="H3" s="311"/>
      <c r="I3" s="304">
        <f>'Sch M-2.3-E pg 1-2'!$K$3</f>
        <v>0</v>
      </c>
      <c r="L3" s="686"/>
      <c r="M3" s="686"/>
    </row>
    <row r="4" spans="1:17" s="62" customFormat="1" ht="12.75">
      <c r="A4" s="348"/>
      <c r="B4" s="191"/>
      <c r="C4" s="215"/>
      <c r="D4" s="191"/>
      <c r="E4" s="191"/>
      <c r="F4" s="269"/>
      <c r="G4" s="269"/>
      <c r="H4" s="270"/>
      <c r="I4" s="738"/>
      <c r="L4" s="686"/>
      <c r="M4" s="686"/>
    </row>
    <row r="5" spans="1:17" ht="12.75">
      <c r="A5" s="374"/>
      <c r="B5" s="375"/>
      <c r="C5" s="375"/>
      <c r="D5" s="375"/>
      <c r="E5" s="376"/>
      <c r="F5" s="376"/>
      <c r="G5" s="376" t="s">
        <v>876</v>
      </c>
      <c r="H5" s="377"/>
      <c r="I5" s="378" t="s">
        <v>876</v>
      </c>
      <c r="J5" s="62"/>
      <c r="K5" s="62"/>
    </row>
    <row r="6" spans="1:17" ht="12.75">
      <c r="A6" s="303"/>
      <c r="B6" s="62"/>
      <c r="C6" s="63" t="s">
        <v>125</v>
      </c>
      <c r="D6" s="63" t="s">
        <v>921</v>
      </c>
      <c r="E6" s="63" t="s">
        <v>56</v>
      </c>
      <c r="F6" s="63" t="s">
        <v>877</v>
      </c>
      <c r="G6" s="63" t="s">
        <v>878</v>
      </c>
      <c r="H6" s="63" t="s">
        <v>879</v>
      </c>
      <c r="I6" s="281" t="s">
        <v>878</v>
      </c>
      <c r="J6" s="62"/>
      <c r="K6" s="62"/>
    </row>
    <row r="7" spans="1:17" ht="12.75">
      <c r="A7" s="379"/>
      <c r="B7" s="276"/>
      <c r="C7" s="380" t="s">
        <v>713</v>
      </c>
      <c r="D7" s="380" t="s">
        <v>923</v>
      </c>
      <c r="E7" s="380" t="s">
        <v>80</v>
      </c>
      <c r="F7" s="381" t="s">
        <v>93</v>
      </c>
      <c r="G7" s="380" t="s">
        <v>880</v>
      </c>
      <c r="H7" s="380" t="s">
        <v>93</v>
      </c>
      <c r="I7" s="382" t="s">
        <v>881</v>
      </c>
      <c r="J7" s="62"/>
      <c r="K7" s="692" t="s">
        <v>1492</v>
      </c>
    </row>
    <row r="8" spans="1:17" ht="12.75">
      <c r="A8" s="303" t="s">
        <v>1270</v>
      </c>
      <c r="B8" s="62"/>
      <c r="C8" s="63"/>
      <c r="D8" s="63"/>
      <c r="E8" s="63"/>
      <c r="F8" s="298"/>
      <c r="G8" s="63"/>
      <c r="H8" s="62"/>
      <c r="I8" s="281"/>
      <c r="J8" s="62"/>
      <c r="K8" s="351">
        <v>6.2E-4</v>
      </c>
    </row>
    <row r="9" spans="1:17" ht="12.75">
      <c r="A9" s="352" t="s">
        <v>119</v>
      </c>
      <c r="B9" s="62"/>
      <c r="C9" s="62"/>
      <c r="D9" s="62"/>
      <c r="E9" s="301"/>
      <c r="F9" s="62"/>
      <c r="G9" s="62"/>
      <c r="H9" s="62"/>
      <c r="I9" s="281"/>
      <c r="J9" s="62"/>
      <c r="M9" s="688"/>
      <c r="N9" s="349"/>
    </row>
    <row r="10" spans="1:17" ht="12.75">
      <c r="B10" s="62" t="s">
        <v>929</v>
      </c>
      <c r="C10" s="313" t="str">
        <f>RIGHT(D10,3)</f>
        <v>452</v>
      </c>
      <c r="D10" s="314" t="s">
        <v>317</v>
      </c>
      <c r="E10" s="192">
        <f>SUMIF(L_12MonLightsTariffRateCategory,MiscData!$X$5&amp;$D10,L_12MonLights_Count_Total)</f>
        <v>73273</v>
      </c>
      <c r="F10" s="219">
        <f>SUMIF(L_LightingRates_Tariff_Rate_Category,MiscData!$X$5&amp;$D10,L_LightingRates_UnitCharge)</f>
        <v>12.82</v>
      </c>
      <c r="G10" s="199">
        <f>ROUND(E10*F10,0)</f>
        <v>939360</v>
      </c>
      <c r="H10" s="193">
        <f>ROUND(F10*(1+$J$10),2)</f>
        <v>12.83</v>
      </c>
      <c r="I10" s="353">
        <f>ROUND(E10*H10,0)</f>
        <v>940093</v>
      </c>
      <c r="J10" s="354">
        <f>$K$8</f>
        <v>6.2E-4</v>
      </c>
      <c r="K10" s="62"/>
      <c r="M10" s="690"/>
      <c r="N10" s="349"/>
      <c r="P10" s="355"/>
      <c r="Q10" s="355"/>
    </row>
    <row r="11" spans="1:17" ht="12.75">
      <c r="A11" s="356"/>
      <c r="B11" s="62" t="s">
        <v>930</v>
      </c>
      <c r="C11" s="313" t="s">
        <v>1540</v>
      </c>
      <c r="D11" s="314" t="s">
        <v>318</v>
      </c>
      <c r="E11" s="192">
        <f>SUMIF(L_12MonLightsTariffRateCategory,MiscData!$X$5&amp;$D11,L_12MonLights_Count_Total)</f>
        <v>119571</v>
      </c>
      <c r="F11" s="219">
        <f>SUMIF(L_LightingRates_Tariff_Rate_Category,MiscData!$X$5&amp;$D11,L_LightingRates_UnitCharge)</f>
        <v>15.08</v>
      </c>
      <c r="G11" s="199">
        <f>ROUND(E11*F11,0)</f>
        <v>1803131</v>
      </c>
      <c r="H11" s="193">
        <f t="shared" ref="H11:H12" si="0">ROUND(F11*(1+$J$10),2)</f>
        <v>15.09</v>
      </c>
      <c r="I11" s="353">
        <f>ROUND(E11*H11,0)</f>
        <v>1804326</v>
      </c>
      <c r="J11" s="354">
        <f>$K$8</f>
        <v>6.2E-4</v>
      </c>
      <c r="K11" s="62"/>
      <c r="M11" s="690"/>
      <c r="N11" s="349"/>
      <c r="P11" s="355"/>
      <c r="Q11" s="355"/>
    </row>
    <row r="12" spans="1:17" ht="12.75">
      <c r="A12" s="732"/>
      <c r="B12" s="62" t="s">
        <v>1556</v>
      </c>
      <c r="C12" s="313" t="s">
        <v>1557</v>
      </c>
      <c r="D12" s="314" t="s">
        <v>319</v>
      </c>
      <c r="E12" s="192">
        <f>SUMIF(L_12MonLightsTariffRateCategory,MiscData!$X$5&amp;$D12,L_12MonLights_Count_Total)</f>
        <v>64813</v>
      </c>
      <c r="F12" s="219">
        <f>SUMIF(L_LightingRates_Tariff_Rate_Category,MiscData!$X$5&amp;$D12,L_LightingRates_UnitCharge)</f>
        <v>17.38</v>
      </c>
      <c r="G12" s="199">
        <f>ROUND(E12*F12,0)</f>
        <v>1126450</v>
      </c>
      <c r="H12" s="193">
        <f t="shared" si="0"/>
        <v>17.39</v>
      </c>
      <c r="I12" s="353">
        <f>ROUND(E12*H12,0)</f>
        <v>1127098</v>
      </c>
      <c r="J12" s="354">
        <f>$K$8</f>
        <v>6.2E-4</v>
      </c>
      <c r="K12" s="62"/>
      <c r="M12" s="690"/>
      <c r="N12" s="349"/>
      <c r="P12" s="355"/>
      <c r="Q12" s="355"/>
    </row>
    <row r="13" spans="1:17" ht="12.75">
      <c r="A13" s="732"/>
      <c r="B13" s="62"/>
      <c r="C13" s="313"/>
      <c r="D13" s="314"/>
      <c r="E13" s="62"/>
      <c r="F13" s="193"/>
      <c r="G13" s="199"/>
      <c r="H13" s="301"/>
      <c r="I13" s="287"/>
      <c r="J13" s="62"/>
      <c r="K13" s="62"/>
      <c r="M13" s="688"/>
      <c r="N13" s="349"/>
      <c r="P13" s="355"/>
      <c r="Q13" s="355"/>
    </row>
    <row r="14" spans="1:17" ht="12.75">
      <c r="A14" s="356"/>
      <c r="B14" s="62" t="s">
        <v>931</v>
      </c>
      <c r="C14" s="313" t="str">
        <f t="shared" ref="C14:C15" si="1">RIGHT(D14,3)</f>
        <v>455</v>
      </c>
      <c r="D14" s="314" t="s">
        <v>320</v>
      </c>
      <c r="E14" s="192">
        <f>SUMIF(L_12MonLightsTariffRateCategory,MiscData!$X$5&amp;$D14,L_12MonLights_Count_Total)</f>
        <v>4447</v>
      </c>
      <c r="F14" s="219">
        <f>SUMIF(L_LightingRates_Tariff_Rate_Category,MiscData!$X$5&amp;$D14,L_LightingRates_UnitCharge)</f>
        <v>13.77</v>
      </c>
      <c r="G14" s="199">
        <f>ROUND(E14*F14,0)</f>
        <v>61235</v>
      </c>
      <c r="H14" s="193">
        <f t="shared" ref="H14:H15" si="2">ROUND(F14*(1+$J$10),2)</f>
        <v>13.78</v>
      </c>
      <c r="I14" s="353">
        <f>ROUND(E14*H14,0)</f>
        <v>61280</v>
      </c>
      <c r="J14" s="354">
        <f>$K$8</f>
        <v>6.2E-4</v>
      </c>
      <c r="K14" s="62"/>
      <c r="M14" s="690"/>
      <c r="N14" s="349"/>
      <c r="P14" s="355"/>
      <c r="Q14" s="355"/>
    </row>
    <row r="15" spans="1:17" ht="12.75">
      <c r="A15" s="332"/>
      <c r="B15" s="62" t="s">
        <v>932</v>
      </c>
      <c r="C15" s="313" t="str">
        <f t="shared" si="1"/>
        <v>456</v>
      </c>
      <c r="D15" s="314" t="s">
        <v>321</v>
      </c>
      <c r="E15" s="192">
        <f>SUMIF(L_12MonLightsTariffRateCategory,MiscData!$X$5&amp;$D15,L_12MonLights_Count_Total)</f>
        <v>141112</v>
      </c>
      <c r="F15" s="219">
        <f>SUMIF(L_LightingRates_Tariff_Rate_Category,MiscData!$X$5&amp;$D15,L_LightingRates_UnitCharge)</f>
        <v>18.21</v>
      </c>
      <c r="G15" s="199">
        <f>ROUND(E15*F15,0)-1</f>
        <v>2569649</v>
      </c>
      <c r="H15" s="193">
        <f t="shared" si="2"/>
        <v>18.22</v>
      </c>
      <c r="I15" s="353">
        <f>ROUND(E15*H15,0)</f>
        <v>2571061</v>
      </c>
      <c r="J15" s="354">
        <f>$K$8</f>
        <v>6.2E-4</v>
      </c>
      <c r="K15" s="62"/>
      <c r="M15" s="690"/>
      <c r="N15" s="349"/>
      <c r="P15" s="355"/>
      <c r="Q15" s="355"/>
    </row>
    <row r="16" spans="1:17" ht="12.75">
      <c r="A16" s="319"/>
      <c r="B16" s="62"/>
      <c r="C16" s="314"/>
      <c r="D16" s="314"/>
      <c r="E16" s="62"/>
      <c r="F16" s="193"/>
      <c r="G16" s="199"/>
      <c r="H16" s="301"/>
      <c r="I16" s="287"/>
      <c r="J16" s="62"/>
      <c r="K16" s="62"/>
      <c r="M16" s="688"/>
      <c r="N16" s="349"/>
      <c r="P16" s="355"/>
      <c r="Q16" s="355"/>
    </row>
    <row r="17" spans="1:17" ht="12.75">
      <c r="A17" s="332"/>
      <c r="B17" s="62" t="s">
        <v>933</v>
      </c>
      <c r="C17" s="313" t="str">
        <f t="shared" ref="C17" si="3">RIGHT(D17,3)</f>
        <v>457</v>
      </c>
      <c r="D17" s="314" t="s">
        <v>322</v>
      </c>
      <c r="E17" s="192">
        <f>SUMIF(L_12MonLightsTariffRateCategory,MiscData!$X$5&amp;$D17,L_12MonLights_Count_Total)</f>
        <v>35830</v>
      </c>
      <c r="F17" s="219">
        <f>SUMIF(L_LightingRates_Tariff_Rate_Category,MiscData!$X$5&amp;$D17,L_LightingRates_UnitCharge)</f>
        <v>10.86</v>
      </c>
      <c r="G17" s="199">
        <f>ROUND(E17*F17,0)</f>
        <v>389114</v>
      </c>
      <c r="H17" s="193">
        <f>ROUND(F17*(1+$J$10),2)</f>
        <v>10.87</v>
      </c>
      <c r="I17" s="353">
        <f>ROUND(E17*H17,0)</f>
        <v>389472</v>
      </c>
      <c r="J17" s="354">
        <f>$K$8</f>
        <v>6.2E-4</v>
      </c>
      <c r="K17" s="62"/>
      <c r="M17" s="690"/>
      <c r="N17" s="349"/>
      <c r="P17" s="355"/>
      <c r="Q17" s="355"/>
    </row>
    <row r="18" spans="1:17" ht="12.75">
      <c r="A18" s="319"/>
      <c r="B18" s="62"/>
      <c r="C18" s="314"/>
      <c r="D18" s="314"/>
      <c r="E18" s="62"/>
      <c r="F18" s="193"/>
      <c r="G18" s="199"/>
      <c r="H18" s="301"/>
      <c r="I18" s="287"/>
      <c r="J18" s="62"/>
      <c r="K18" s="62"/>
      <c r="M18" s="688"/>
      <c r="N18" s="349"/>
      <c r="P18" s="355"/>
      <c r="Q18" s="355"/>
    </row>
    <row r="19" spans="1:17" ht="12.75">
      <c r="A19" s="357" t="s">
        <v>924</v>
      </c>
      <c r="B19" s="62"/>
      <c r="C19" s="62"/>
      <c r="D19" s="62"/>
      <c r="E19" s="62"/>
      <c r="F19" s="62"/>
      <c r="G19" s="62"/>
      <c r="H19" s="62"/>
      <c r="I19" s="281"/>
      <c r="J19" s="62"/>
      <c r="K19" s="62"/>
      <c r="M19" s="688"/>
      <c r="N19" s="349"/>
      <c r="P19" s="355"/>
      <c r="Q19" s="355"/>
    </row>
    <row r="20" spans="1:17" ht="12.75">
      <c r="A20" s="356"/>
      <c r="B20" s="62" t="s">
        <v>934</v>
      </c>
      <c r="C20" s="313" t="str">
        <f>RIGHT(D20,3)</f>
        <v>470</v>
      </c>
      <c r="D20" s="314" t="s">
        <v>328</v>
      </c>
      <c r="E20" s="192">
        <f>SUMIF(L_12MonLightsTariffRateCategory,MiscData!$X$5&amp;$D20,L_12MonLights_Count_Total)</f>
        <v>309</v>
      </c>
      <c r="F20" s="219">
        <f>SUMIF(L_LightingRates_Tariff_Rate_Category,MiscData!$X$5&amp;$D20,L_LightingRates_UnitCharge)</f>
        <v>12.79</v>
      </c>
      <c r="G20" s="199">
        <f>ROUND(E20*F20,0)</f>
        <v>3952</v>
      </c>
      <c r="H20" s="193">
        <f t="shared" ref="H20:H22" si="4">ROUND(F20*(1+$J$10),2)</f>
        <v>12.8</v>
      </c>
      <c r="I20" s="353">
        <f t="shared" ref="I20:I22" si="5">ROUND(E20*H20,0)</f>
        <v>3955</v>
      </c>
      <c r="J20" s="354">
        <f>$K$8</f>
        <v>6.2E-4</v>
      </c>
      <c r="K20" s="62"/>
      <c r="M20" s="688"/>
      <c r="N20" s="349"/>
      <c r="P20" s="355"/>
      <c r="Q20" s="355"/>
    </row>
    <row r="21" spans="1:17" ht="12.75">
      <c r="A21" s="356"/>
      <c r="B21" s="62" t="s">
        <v>935</v>
      </c>
      <c r="C21" s="313" t="str">
        <f>RIGHT(D21,3)</f>
        <v>473</v>
      </c>
      <c r="D21" s="314" t="s">
        <v>330</v>
      </c>
      <c r="E21" s="192">
        <f>SUMIF(L_12MonLightsTariffRateCategory,MiscData!$X$5&amp;$D21,L_12MonLights_Count_Total)</f>
        <v>4685</v>
      </c>
      <c r="F21" s="219">
        <f>SUMIF(L_LightingRates_Tariff_Rate_Category,MiscData!$X$5&amp;$D21,L_LightingRates_UnitCharge)</f>
        <v>18.68</v>
      </c>
      <c r="G21" s="199">
        <f>ROUND(E21*F21,0)</f>
        <v>87516</v>
      </c>
      <c r="H21" s="193">
        <f t="shared" si="4"/>
        <v>18.690000000000001</v>
      </c>
      <c r="I21" s="353">
        <f t="shared" si="5"/>
        <v>87563</v>
      </c>
      <c r="J21" s="354">
        <f>$K$8</f>
        <v>6.2E-4</v>
      </c>
      <c r="K21" s="62"/>
      <c r="M21" s="688"/>
      <c r="N21" s="349"/>
      <c r="P21" s="355"/>
      <c r="Q21" s="355"/>
    </row>
    <row r="22" spans="1:17" ht="12.75">
      <c r="A22" s="356"/>
      <c r="B22" s="62" t="s">
        <v>936</v>
      </c>
      <c r="C22" s="313" t="str">
        <f>RIGHT(D22,3)</f>
        <v>476</v>
      </c>
      <c r="D22" s="314" t="s">
        <v>333</v>
      </c>
      <c r="E22" s="192">
        <f>SUMIF(L_12MonLightsTariffRateCategory,MiscData!$X$5&amp;$D22,L_12MonLights_Count_Total)</f>
        <v>4069</v>
      </c>
      <c r="F22" s="219">
        <f>SUMIF(L_LightingRates_Tariff_Rate_Category,MiscData!$X$5&amp;$D22,L_LightingRates_UnitCharge)</f>
        <v>39.6</v>
      </c>
      <c r="G22" s="199">
        <f>ROUND(E22*F22,0)</f>
        <v>161132</v>
      </c>
      <c r="H22" s="193">
        <f t="shared" si="4"/>
        <v>39.619999999999997</v>
      </c>
      <c r="I22" s="353">
        <f t="shared" si="5"/>
        <v>161214</v>
      </c>
      <c r="J22" s="354">
        <f>$K$8</f>
        <v>6.2E-4</v>
      </c>
      <c r="K22" s="62"/>
      <c r="M22" s="688"/>
      <c r="N22" s="349"/>
      <c r="P22" s="355"/>
      <c r="Q22" s="355"/>
    </row>
    <row r="23" spans="1:17" ht="12.75">
      <c r="A23" s="358"/>
      <c r="B23" s="62"/>
      <c r="C23" s="62"/>
      <c r="D23" s="62"/>
      <c r="E23" s="62"/>
      <c r="F23" s="278"/>
      <c r="G23" s="279"/>
      <c r="H23" s="278"/>
      <c r="I23" s="359"/>
      <c r="J23" s="360"/>
      <c r="K23" s="62"/>
      <c r="M23" s="688"/>
      <c r="N23" s="349"/>
      <c r="P23" s="355"/>
      <c r="Q23" s="355"/>
    </row>
    <row r="24" spans="1:17" ht="12.75">
      <c r="A24" s="358"/>
      <c r="B24" s="62"/>
      <c r="C24" s="62"/>
      <c r="D24" s="62"/>
      <c r="E24" s="62"/>
      <c r="F24" s="278"/>
      <c r="G24" s="279"/>
      <c r="H24" s="278"/>
      <c r="I24" s="359"/>
      <c r="J24" s="360"/>
      <c r="K24" s="62"/>
      <c r="M24" s="688"/>
      <c r="N24" s="349"/>
      <c r="P24" s="355"/>
      <c r="Q24" s="355"/>
    </row>
    <row r="25" spans="1:17" ht="12.75">
      <c r="A25" s="416" t="s">
        <v>1283</v>
      </c>
      <c r="B25" s="310"/>
      <c r="C25" s="310"/>
      <c r="D25" s="310"/>
      <c r="E25" s="310"/>
      <c r="F25" s="310"/>
      <c r="G25" s="310"/>
      <c r="H25" s="311"/>
      <c r="I25" s="304" t="str">
        <f>'Sch M-2.3-E pg 1-2'!$K$1</f>
        <v>Schedule M-2.3-E</v>
      </c>
      <c r="J25" s="62"/>
      <c r="K25" s="62"/>
      <c r="M25" s="688"/>
      <c r="N25" s="349"/>
      <c r="P25" s="355"/>
      <c r="Q25" s="355"/>
    </row>
    <row r="26" spans="1:17" ht="12.75">
      <c r="A26" s="347" t="s">
        <v>1251</v>
      </c>
      <c r="B26" s="310"/>
      <c r="C26" s="310"/>
      <c r="D26" s="310"/>
      <c r="E26" s="310"/>
      <c r="F26" s="310"/>
      <c r="G26" s="310"/>
      <c r="H26" s="311"/>
      <c r="I26" s="304" t="str">
        <f>"Page "&amp;L26&amp;" of "&amp;M26</f>
        <v>Page 19 of 24</v>
      </c>
      <c r="J26" s="62"/>
      <c r="L26" s="687">
        <f>L2+1</f>
        <v>19</v>
      </c>
      <c r="M26" s="687">
        <f>$M$189</f>
        <v>24</v>
      </c>
      <c r="N26" s="349"/>
      <c r="P26" s="355"/>
      <c r="Q26" s="355"/>
    </row>
    <row r="27" spans="1:17" ht="12.75">
      <c r="A27" s="347" t="s">
        <v>1248</v>
      </c>
      <c r="B27" s="310"/>
      <c r="C27" s="310"/>
      <c r="D27" s="310"/>
      <c r="E27" s="310"/>
      <c r="F27" s="310"/>
      <c r="G27" s="310"/>
      <c r="H27" s="311"/>
      <c r="I27" s="304">
        <f>'Sch M-2.3-E pg 1-2'!$K$3</f>
        <v>0</v>
      </c>
      <c r="J27" s="62"/>
      <c r="M27" s="688"/>
      <c r="N27" s="349"/>
      <c r="P27" s="355"/>
      <c r="Q27" s="355"/>
    </row>
    <row r="28" spans="1:17" ht="12.75">
      <c r="A28" s="348"/>
      <c r="B28" s="191"/>
      <c r="C28" s="215"/>
      <c r="D28" s="191"/>
      <c r="E28" s="191"/>
      <c r="F28" s="269"/>
      <c r="G28" s="269"/>
      <c r="H28" s="270"/>
      <c r="I28" s="738"/>
      <c r="J28" s="62"/>
      <c r="M28" s="688"/>
      <c r="N28" s="349"/>
      <c r="P28" s="355"/>
      <c r="Q28" s="355"/>
    </row>
    <row r="29" spans="1:17" ht="12.75">
      <c r="A29" s="374"/>
      <c r="B29" s="375"/>
      <c r="C29" s="375"/>
      <c r="D29" s="375"/>
      <c r="E29" s="376"/>
      <c r="F29" s="376"/>
      <c r="G29" s="376" t="s">
        <v>876</v>
      </c>
      <c r="H29" s="377"/>
      <c r="I29" s="378" t="s">
        <v>876</v>
      </c>
      <c r="J29" s="62"/>
      <c r="M29" s="688"/>
      <c r="N29" s="349"/>
      <c r="P29" s="355"/>
      <c r="Q29" s="355"/>
    </row>
    <row r="30" spans="1:17" ht="12.75">
      <c r="A30" s="303"/>
      <c r="B30" s="62"/>
      <c r="C30" s="63" t="s">
        <v>125</v>
      </c>
      <c r="D30" s="63" t="s">
        <v>921</v>
      </c>
      <c r="E30" s="63" t="s">
        <v>56</v>
      </c>
      <c r="F30" s="63" t="s">
        <v>877</v>
      </c>
      <c r="G30" s="63" t="s">
        <v>878</v>
      </c>
      <c r="H30" s="63" t="s">
        <v>879</v>
      </c>
      <c r="I30" s="281" t="s">
        <v>878</v>
      </c>
      <c r="J30" s="62"/>
      <c r="M30" s="688"/>
      <c r="N30" s="349"/>
      <c r="P30" s="355"/>
      <c r="Q30" s="355"/>
    </row>
    <row r="31" spans="1:17" ht="12.75">
      <c r="A31" s="379"/>
      <c r="B31" s="276"/>
      <c r="C31" s="380" t="s">
        <v>713</v>
      </c>
      <c r="D31" s="380" t="s">
        <v>923</v>
      </c>
      <c r="E31" s="380" t="s">
        <v>80</v>
      </c>
      <c r="F31" s="381" t="s">
        <v>93</v>
      </c>
      <c r="G31" s="380" t="s">
        <v>880</v>
      </c>
      <c r="H31" s="380" t="s">
        <v>93</v>
      </c>
      <c r="I31" s="382" t="s">
        <v>881</v>
      </c>
      <c r="J31" s="62"/>
      <c r="M31" s="688"/>
      <c r="N31" s="349"/>
      <c r="P31" s="355"/>
      <c r="Q31" s="355"/>
    </row>
    <row r="32" spans="1:17" ht="12.75">
      <c r="A32" s="303" t="s">
        <v>1269</v>
      </c>
      <c r="B32" s="62"/>
      <c r="C32" s="62"/>
      <c r="D32" s="62"/>
      <c r="E32" s="62"/>
      <c r="F32" s="278"/>
      <c r="G32" s="279"/>
      <c r="H32" s="278"/>
      <c r="I32" s="359"/>
      <c r="J32" s="360"/>
      <c r="M32" s="688"/>
      <c r="N32" s="349"/>
      <c r="P32" s="355"/>
      <c r="Q32" s="355"/>
    </row>
    <row r="33" spans="1:26" ht="12.75">
      <c r="A33" s="352" t="s">
        <v>119</v>
      </c>
      <c r="B33" s="62"/>
      <c r="C33" s="62"/>
      <c r="D33" s="62"/>
      <c r="E33" s="62"/>
      <c r="F33" s="62"/>
      <c r="G33" s="62"/>
      <c r="H33" s="62"/>
      <c r="I33" s="281"/>
      <c r="M33" s="688"/>
      <c r="N33" s="349"/>
      <c r="P33" s="355"/>
      <c r="Q33" s="355"/>
    </row>
    <row r="34" spans="1:26" ht="12.75">
      <c r="A34" s="356"/>
      <c r="B34" s="62" t="s">
        <v>937</v>
      </c>
      <c r="C34" s="313" t="str">
        <f>RIGHT(D34,3)</f>
        <v>412</v>
      </c>
      <c r="D34" s="314" t="s">
        <v>292</v>
      </c>
      <c r="E34" s="192">
        <f>SUMIF(L_12MonLightsTariffRateCategory,MiscData!$X$5&amp;$D34,L_12MonLights_Count_Total)</f>
        <v>4482</v>
      </c>
      <c r="F34" s="219">
        <f>SUMIF(L_LightingRates_Tariff_Rate_Category,MiscData!$X$5&amp;$D34,L_LightingRates_UnitCharge)</f>
        <v>19.79</v>
      </c>
      <c r="G34" s="199">
        <f>ROUND(E34*F34,0)</f>
        <v>88699</v>
      </c>
      <c r="H34" s="193">
        <f t="shared" ref="H34:H35" si="6">ROUND(F34*(1+$J$10),2)</f>
        <v>19.8</v>
      </c>
      <c r="I34" s="353">
        <f t="shared" ref="I34:I36" si="7">ROUND(E34*H34,0)</f>
        <v>88744</v>
      </c>
      <c r="J34" s="354">
        <f>$K$8</f>
        <v>6.2E-4</v>
      </c>
      <c r="L34" s="691"/>
      <c r="M34" s="688"/>
      <c r="N34" s="349"/>
      <c r="P34" s="355"/>
      <c r="Q34" s="355"/>
    </row>
    <row r="35" spans="1:26" ht="12.75">
      <c r="A35" s="356"/>
      <c r="B35" s="62" t="s">
        <v>938</v>
      </c>
      <c r="C35" s="313" t="str">
        <f>RIGHT(D35,3)</f>
        <v>413</v>
      </c>
      <c r="D35" s="314" t="s">
        <v>293</v>
      </c>
      <c r="E35" s="192">
        <f>SUMIF(L_12MonLightsTariffRateCategory,MiscData!$X$5&amp;$D35,L_12MonLights_Count_Total)</f>
        <v>22746</v>
      </c>
      <c r="F35" s="219">
        <f>SUMIF(L_LightingRates_Tariff_Rate_Category,MiscData!$X$5&amp;$D35,L_LightingRates_UnitCharge)</f>
        <v>20.49</v>
      </c>
      <c r="G35" s="199">
        <f>ROUND(E35*F35,0)</f>
        <v>466066</v>
      </c>
      <c r="H35" s="193">
        <f t="shared" si="6"/>
        <v>20.5</v>
      </c>
      <c r="I35" s="353">
        <f t="shared" si="7"/>
        <v>466293</v>
      </c>
      <c r="J35" s="354">
        <f>$K$8</f>
        <v>6.2E-4</v>
      </c>
      <c r="M35" s="688"/>
      <c r="N35" s="349"/>
      <c r="P35" s="355"/>
      <c r="Q35" s="355"/>
    </row>
    <row r="36" spans="1:26" ht="12.75">
      <c r="A36" s="356"/>
      <c r="B36" s="286" t="s">
        <v>1258</v>
      </c>
      <c r="C36" s="313" t="str">
        <f>RIGHT(D36,3)</f>
        <v>444</v>
      </c>
      <c r="D36" s="314" t="s">
        <v>1259</v>
      </c>
      <c r="E36" s="192">
        <f>SUMIF(L_12MonLightsTariffRateCategory,MiscData!$X$5&amp;$D36,L_12MonLights_Count_Total)</f>
        <v>0</v>
      </c>
      <c r="F36" s="219">
        <f>SUMIF(L_LightingRates_Tariff_Rate_Category,MiscData!$X$5&amp;$D36,L_LightingRates_UnitCharge)</f>
        <v>0</v>
      </c>
      <c r="G36" s="199">
        <v>0</v>
      </c>
      <c r="H36" s="193">
        <v>20.74</v>
      </c>
      <c r="I36" s="353">
        <f t="shared" si="7"/>
        <v>0</v>
      </c>
      <c r="J36" s="354">
        <f>$K$8</f>
        <v>6.2E-4</v>
      </c>
      <c r="M36" s="688"/>
      <c r="N36" s="349"/>
      <c r="P36" s="355"/>
      <c r="Q36" s="355"/>
    </row>
    <row r="37" spans="1:26" ht="12.75">
      <c r="A37" s="358"/>
      <c r="B37" s="62"/>
      <c r="C37" s="62"/>
      <c r="D37" s="62"/>
      <c r="E37" s="301"/>
      <c r="F37" s="62"/>
      <c r="G37" s="62"/>
      <c r="H37" s="278"/>
      <c r="I37" s="359"/>
      <c r="L37" s="687"/>
      <c r="M37" s="687"/>
      <c r="N37" s="223"/>
      <c r="O37" s="223"/>
      <c r="P37" s="355"/>
      <c r="Q37" s="355"/>
    </row>
    <row r="38" spans="1:26" ht="12.75">
      <c r="A38" s="332"/>
      <c r="B38" s="62" t="s">
        <v>925</v>
      </c>
      <c r="C38" s="313" t="str">
        <f>RIGHT(D38,3)</f>
        <v>415</v>
      </c>
      <c r="D38" s="314" t="s">
        <v>295</v>
      </c>
      <c r="E38" s="192">
        <f>SUMIF(L_12MonLightsTariffRateCategory,MiscData!$X$5&amp;$D38,L_12MonLights_Count_Total)</f>
        <v>478</v>
      </c>
      <c r="F38" s="219">
        <f>SUMIF(L_LightingRates_Tariff_Rate_Category,MiscData!$X$5&amp;$D38,L_LightingRates_UnitCharge)</f>
        <v>20.18</v>
      </c>
      <c r="G38" s="199">
        <f>ROUND(E38*F38,0)</f>
        <v>9646</v>
      </c>
      <c r="H38" s="193">
        <f t="shared" ref="H38:H39" si="8">ROUND(F38*(1+$J$10),2)</f>
        <v>20.190000000000001</v>
      </c>
      <c r="I38" s="353">
        <f t="shared" ref="I38:I40" si="9">ROUND(E38*H38,0)</f>
        <v>9651</v>
      </c>
      <c r="J38" s="354">
        <f>$K$8</f>
        <v>6.2E-4</v>
      </c>
      <c r="L38" s="687"/>
      <c r="M38" s="687"/>
      <c r="N38" s="223"/>
      <c r="O38" s="223"/>
      <c r="P38" s="355"/>
      <c r="Q38" s="355"/>
    </row>
    <row r="39" spans="1:26" ht="12.75">
      <c r="A39" s="356"/>
      <c r="B39" s="62" t="s">
        <v>926</v>
      </c>
      <c r="C39" s="313" t="str">
        <f>RIGHT(D39,3)</f>
        <v>416</v>
      </c>
      <c r="D39" s="314" t="s">
        <v>296</v>
      </c>
      <c r="E39" s="192">
        <f>SUMIF(L_12MonLightsTariffRateCategory,MiscData!$X$5&amp;$D39,L_12MonLights_Count_Total)</f>
        <v>19957</v>
      </c>
      <c r="F39" s="219">
        <f>SUMIF(L_LightingRates_Tariff_Rate_Category,MiscData!$X$5&amp;$D39,L_LightingRates_UnitCharge)</f>
        <v>22.56</v>
      </c>
      <c r="G39" s="199">
        <f>ROUND(E39*F39,0)</f>
        <v>450230</v>
      </c>
      <c r="H39" s="193">
        <f t="shared" si="8"/>
        <v>22.57</v>
      </c>
      <c r="I39" s="353">
        <f t="shared" si="9"/>
        <v>450429</v>
      </c>
      <c r="J39" s="354">
        <f>$K$8</f>
        <v>6.2E-4</v>
      </c>
      <c r="L39" s="687"/>
      <c r="M39" s="687"/>
      <c r="N39" s="223"/>
      <c r="O39" s="223"/>
      <c r="P39" s="355"/>
      <c r="Q39" s="355"/>
    </row>
    <row r="40" spans="1:26" ht="12.75">
      <c r="A40" s="356"/>
      <c r="B40" s="286" t="s">
        <v>1260</v>
      </c>
      <c r="C40" s="313" t="str">
        <f>RIGHT(D40,3)</f>
        <v>445</v>
      </c>
      <c r="D40" s="314" t="s">
        <v>1261</v>
      </c>
      <c r="E40" s="192">
        <f>SUMIF(L_12MonLightsTariffRateCategory,MiscData!$X$5&amp;$D40,L_12MonLights_Count_Total)</f>
        <v>0</v>
      </c>
      <c r="F40" s="219">
        <f>SUMIF(L_LightingRates_Tariff_Rate_Category,MiscData!$X$5&amp;$D40,L_LightingRates_UnitCharge)</f>
        <v>0</v>
      </c>
      <c r="G40" s="199">
        <v>0</v>
      </c>
      <c r="H40" s="193">
        <v>22.68</v>
      </c>
      <c r="I40" s="353">
        <f t="shared" si="9"/>
        <v>0</v>
      </c>
      <c r="J40" s="354">
        <f>$K$8</f>
        <v>6.2E-4</v>
      </c>
      <c r="M40" s="688"/>
      <c r="N40" s="349"/>
      <c r="P40" s="355"/>
      <c r="Q40" s="355"/>
    </row>
    <row r="41" spans="1:26" ht="12.75">
      <c r="A41" s="358"/>
      <c r="B41" s="62"/>
      <c r="C41" s="62"/>
      <c r="D41" s="62"/>
      <c r="E41" s="301"/>
      <c r="F41" s="62"/>
      <c r="G41" s="62"/>
      <c r="H41" s="278"/>
      <c r="I41" s="359"/>
      <c r="L41" s="687"/>
      <c r="M41" s="687"/>
      <c r="N41" s="223"/>
      <c r="O41" s="223"/>
      <c r="P41" s="355"/>
      <c r="Q41" s="355"/>
    </row>
    <row r="42" spans="1:26" ht="12.75">
      <c r="A42" s="356"/>
      <c r="B42" s="62" t="s">
        <v>988</v>
      </c>
      <c r="C42" s="313" t="str">
        <f>RIGHT(D42,3)</f>
        <v>427</v>
      </c>
      <c r="D42" s="314" t="s">
        <v>307</v>
      </c>
      <c r="E42" s="192">
        <f>SUMIF(L_12MonLightsTariffRateCategory,MiscData!$X$5&amp;$D42,L_12MonLights_Count_Total)</f>
        <v>575</v>
      </c>
      <c r="F42" s="219">
        <f>SUMIF(L_LightingRates_Tariff_Rate_Category,MiscData!$X$5&amp;$D42,L_LightingRates_UnitCharge)</f>
        <v>35.199999999999996</v>
      </c>
      <c r="G42" s="199">
        <f>ROUND(E42*F42,0)</f>
        <v>20240</v>
      </c>
      <c r="H42" s="193">
        <f t="shared" ref="H42:H43" si="10">ROUND(F42*(1+$J$10),2)</f>
        <v>35.22</v>
      </c>
      <c r="I42" s="353">
        <f t="shared" ref="I42:I43" si="11">ROUND(E42*H42,0)</f>
        <v>20252</v>
      </c>
      <c r="J42" s="354">
        <f>$K$8</f>
        <v>6.2E-4</v>
      </c>
      <c r="L42" s="687"/>
      <c r="M42" s="687"/>
      <c r="N42" s="223"/>
      <c r="O42" s="223"/>
      <c r="P42" s="355"/>
      <c r="Q42" s="355"/>
    </row>
    <row r="43" spans="1:26" ht="12.75">
      <c r="A43" s="356"/>
      <c r="B43" s="62" t="s">
        <v>989</v>
      </c>
      <c r="C43" s="313" t="str">
        <f>RIGHT(D43,3)</f>
        <v>429</v>
      </c>
      <c r="D43" s="314" t="s">
        <v>309</v>
      </c>
      <c r="E43" s="192">
        <f>SUMIF(L_12MonLightsTariffRateCategory,MiscData!$X$5&amp;$D43,L_12MonLights_Count_Total)</f>
        <v>2160</v>
      </c>
      <c r="F43" s="219">
        <f>SUMIF(L_LightingRates_Tariff_Rate_Category,MiscData!$X$5&amp;$D43,L_LightingRates_UnitCharge)</f>
        <v>36.07</v>
      </c>
      <c r="G43" s="199">
        <f>ROUND(E43*F43,0)</f>
        <v>77911</v>
      </c>
      <c r="H43" s="193">
        <f t="shared" si="10"/>
        <v>36.090000000000003</v>
      </c>
      <c r="I43" s="353">
        <f t="shared" si="11"/>
        <v>77954</v>
      </c>
      <c r="J43" s="354">
        <f>$K$8</f>
        <v>6.2E-4</v>
      </c>
      <c r="L43" s="687"/>
      <c r="M43" s="687"/>
      <c r="N43" s="223"/>
      <c r="O43" s="223"/>
      <c r="P43" s="355"/>
      <c r="Q43" s="355"/>
    </row>
    <row r="44" spans="1:26" ht="12.75">
      <c r="A44" s="358"/>
      <c r="B44" s="62"/>
      <c r="C44" s="62"/>
      <c r="D44" s="62"/>
      <c r="E44" s="301"/>
      <c r="F44" s="62"/>
      <c r="G44" s="62"/>
      <c r="H44" s="278"/>
      <c r="I44" s="359"/>
      <c r="L44" s="687"/>
      <c r="M44" s="687"/>
      <c r="N44" s="223"/>
      <c r="O44" s="223"/>
      <c r="P44" s="355"/>
      <c r="Q44" s="355"/>
    </row>
    <row r="45" spans="1:26" ht="12.75">
      <c r="A45" s="356"/>
      <c r="B45" s="62" t="s">
        <v>927</v>
      </c>
      <c r="C45" s="313" t="str">
        <f>RIGHT(D45,3)</f>
        <v>431</v>
      </c>
      <c r="D45" s="314" t="s">
        <v>311</v>
      </c>
      <c r="E45" s="192">
        <f>SUMIF(L_12MonLightsTariffRateCategory,MiscData!$X$5&amp;$D45,L_12MonLights_Count_Total)</f>
        <v>485</v>
      </c>
      <c r="F45" s="219">
        <f>SUMIF(L_LightingRates_Tariff_Rate_Category,MiscData!$X$5&amp;$D45,L_LightingRates_UnitCharge)</f>
        <v>32.93</v>
      </c>
      <c r="G45" s="199">
        <f>ROUND(E45*F45,0)</f>
        <v>15971</v>
      </c>
      <c r="H45" s="193">
        <f t="shared" ref="H45:H46" si="12">ROUND(F45*(1+$J$10),2)</f>
        <v>32.950000000000003</v>
      </c>
      <c r="I45" s="353">
        <f t="shared" ref="I45:I46" si="13">ROUND(E45*H45,0)</f>
        <v>15981</v>
      </c>
      <c r="J45" s="354">
        <f>$K$8</f>
        <v>6.2E-4</v>
      </c>
      <c r="L45" s="687"/>
      <c r="M45" s="687"/>
      <c r="N45" s="223"/>
      <c r="O45" s="223"/>
      <c r="P45" s="355"/>
      <c r="Q45" s="355"/>
    </row>
    <row r="46" spans="1:26" ht="12.75">
      <c r="A46" s="356"/>
      <c r="B46" s="62" t="s">
        <v>928</v>
      </c>
      <c r="C46" s="313" t="str">
        <f>RIGHT(D46,3)</f>
        <v>433</v>
      </c>
      <c r="D46" s="314" t="s">
        <v>312</v>
      </c>
      <c r="E46" s="192">
        <f>SUMIF(L_12MonLightsTariffRateCategory,MiscData!$X$5&amp;$D46,L_12MonLights_Count_Total)</f>
        <v>3281</v>
      </c>
      <c r="F46" s="219">
        <f>SUMIF(L_LightingRates_Tariff_Rate_Category,MiscData!$X$5&amp;$D46,L_LightingRates_UnitCharge)</f>
        <v>34.99</v>
      </c>
      <c r="G46" s="199">
        <f>ROUND(E46*F46,0)</f>
        <v>114802</v>
      </c>
      <c r="H46" s="193">
        <f t="shared" si="12"/>
        <v>35.01</v>
      </c>
      <c r="I46" s="353">
        <f t="shared" si="13"/>
        <v>114868</v>
      </c>
      <c r="J46" s="354">
        <f>$K$8</f>
        <v>6.2E-4</v>
      </c>
      <c r="M46" s="688"/>
      <c r="N46" s="349"/>
      <c r="P46" s="355"/>
      <c r="Q46" s="355"/>
    </row>
    <row r="47" spans="1:26" ht="12.75">
      <c r="A47" s="358"/>
      <c r="B47" s="62"/>
      <c r="C47" s="62"/>
      <c r="D47" s="62"/>
      <c r="E47" s="62"/>
      <c r="F47" s="278"/>
      <c r="G47" s="279"/>
      <c r="H47" s="278"/>
      <c r="I47" s="359"/>
      <c r="M47" s="688"/>
      <c r="N47" s="349"/>
      <c r="P47" s="355"/>
      <c r="Q47" s="355"/>
    </row>
    <row r="48" spans="1:26" s="223" customFormat="1" ht="12.75">
      <c r="A48" s="356"/>
      <c r="B48" s="62" t="s">
        <v>948</v>
      </c>
      <c r="C48" s="313" t="str">
        <f>RIGHT(D48,3)</f>
        <v>400</v>
      </c>
      <c r="D48" s="314" t="s">
        <v>340</v>
      </c>
      <c r="E48" s="192">
        <f>SUMIF(L_12MonLightsTariffRateCategory,MiscData!$X$5&amp;$D48,L_12MonLights_Count_Total)</f>
        <v>2077</v>
      </c>
      <c r="F48" s="219">
        <f>SUMIF(L_LightingRates_Tariff_Rate_Category,MiscData!$X$5&amp;$D48,L_LightingRates_UnitCharge)</f>
        <v>23.89</v>
      </c>
      <c r="G48" s="199">
        <f>ROUND(E48*F48,0)</f>
        <v>49620</v>
      </c>
      <c r="H48" s="193">
        <f t="shared" ref="H48:H49" si="14">ROUND(F48*(1+$J$10),2)</f>
        <v>23.9</v>
      </c>
      <c r="I48" s="353">
        <f t="shared" ref="I48:I49" si="15">ROUND(E48*H48,0)</f>
        <v>49640</v>
      </c>
      <c r="J48" s="354">
        <f>$K$8</f>
        <v>6.2E-4</v>
      </c>
      <c r="K48" s="219"/>
      <c r="L48" s="687"/>
      <c r="M48" s="687"/>
      <c r="X48" s="362"/>
      <c r="Z48" s="363"/>
    </row>
    <row r="49" spans="1:26" s="223" customFormat="1" ht="12.75">
      <c r="A49" s="356"/>
      <c r="B49" s="62" t="s">
        <v>1010</v>
      </c>
      <c r="C49" s="313" t="str">
        <f>RIGHT(D49,3)</f>
        <v>401</v>
      </c>
      <c r="D49" s="314" t="s">
        <v>692</v>
      </c>
      <c r="E49" s="192">
        <f>SUMIF(L_12MonLightsTariffRateCategory,MiscData!$X$5&amp;$D49,L_12MonLights_Count_Total)</f>
        <v>74</v>
      </c>
      <c r="F49" s="219">
        <f>SUMIF(L_LightingRates_Tariff_Rate_Category,MiscData!$X$5&amp;$D49,L_LightingRates_UnitCharge)</f>
        <v>24.9</v>
      </c>
      <c r="G49" s="199">
        <f>ROUND(E49*F49,0)</f>
        <v>1843</v>
      </c>
      <c r="H49" s="193">
        <f t="shared" si="14"/>
        <v>24.92</v>
      </c>
      <c r="I49" s="353">
        <f t="shared" si="15"/>
        <v>1844</v>
      </c>
      <c r="J49" s="354">
        <f>$K$8</f>
        <v>6.2E-4</v>
      </c>
      <c r="K49" s="219"/>
      <c r="L49" s="687"/>
      <c r="M49" s="687"/>
      <c r="X49" s="362"/>
      <c r="Z49" s="363"/>
    </row>
    <row r="50" spans="1:26" s="223" customFormat="1" ht="12.75">
      <c r="A50" s="319"/>
      <c r="B50" s="62"/>
      <c r="C50" s="314"/>
      <c r="D50" s="314"/>
      <c r="E50" s="62"/>
      <c r="F50" s="193"/>
      <c r="G50" s="199"/>
      <c r="H50" s="301"/>
      <c r="I50" s="287"/>
      <c r="J50" s="151"/>
      <c r="K50" s="219"/>
      <c r="L50" s="687"/>
      <c r="M50" s="687"/>
      <c r="X50" s="362"/>
      <c r="Z50" s="363"/>
    </row>
    <row r="51" spans="1:26" ht="12.75">
      <c r="A51" s="319"/>
      <c r="B51" s="315" t="s">
        <v>1210</v>
      </c>
      <c r="C51" s="313" t="str">
        <f t="shared" ref="C51" si="16">MID(D51,4,3)</f>
        <v>956</v>
      </c>
      <c r="D51" s="314" t="s">
        <v>638</v>
      </c>
      <c r="E51" s="195">
        <f>SUMIFS(L_12MonPoles_Count,L_12MonPoles_RateCategory,D51,L_12MonPoles_RateClass,"LS ")</f>
        <v>4050</v>
      </c>
      <c r="F51" s="193">
        <f>SUMIF(PoleRates!$E$4:$E$104,MiscData!$X$5&amp;D51,PoleRates!$F$4:$F$104)</f>
        <v>3.56</v>
      </c>
      <c r="G51" s="199">
        <f>ROUND(E51*F51,0)</f>
        <v>14418</v>
      </c>
      <c r="H51" s="193">
        <f>ROUND(F51*(1+$J$10),2)</f>
        <v>3.56</v>
      </c>
      <c r="I51" s="353">
        <f>ROUND(E51*H51,0)</f>
        <v>14418</v>
      </c>
      <c r="J51" s="354">
        <f>$K$8</f>
        <v>6.2E-4</v>
      </c>
      <c r="M51" s="688"/>
      <c r="N51" s="349"/>
      <c r="P51" s="355"/>
      <c r="Q51" s="355"/>
    </row>
    <row r="52" spans="1:26" ht="12.75">
      <c r="A52" s="319"/>
      <c r="B52" s="62"/>
      <c r="C52" s="314"/>
      <c r="D52" s="314"/>
      <c r="E52" s="62"/>
      <c r="F52" s="193"/>
      <c r="G52" s="199"/>
      <c r="H52" s="301"/>
      <c r="I52" s="287"/>
      <c r="M52" s="688"/>
      <c r="N52" s="349"/>
      <c r="P52" s="355"/>
      <c r="Q52" s="355"/>
    </row>
    <row r="53" spans="1:26" ht="12.75">
      <c r="A53" s="332"/>
      <c r="B53" s="62" t="s">
        <v>939</v>
      </c>
      <c r="C53" s="313" t="str">
        <f>RIGHT(D53,3)</f>
        <v>423</v>
      </c>
      <c r="D53" s="314" t="s">
        <v>303</v>
      </c>
      <c r="E53" s="192">
        <f>SUMIF(L_12MonLightsTariffRateCategory,MiscData!$X$5&amp;$D53,L_12MonLights_Count_Total)</f>
        <v>258</v>
      </c>
      <c r="F53" s="219">
        <f>SUMIF(L_LightingRates_Tariff_Rate_Category,MiscData!$X$5&amp;$D53,L_LightingRates_UnitCharge)</f>
        <v>26.349999999999998</v>
      </c>
      <c r="G53" s="199">
        <f>ROUND(E53*F53,0)</f>
        <v>6798</v>
      </c>
      <c r="H53" s="193">
        <f t="shared" ref="H53:H55" si="17">ROUND(F53*(1+$J$10),2)</f>
        <v>26.37</v>
      </c>
      <c r="I53" s="353">
        <f t="shared" ref="I53:I55" si="18">ROUND(E53*H53,0)</f>
        <v>6803</v>
      </c>
      <c r="J53" s="354">
        <f>$K$8</f>
        <v>6.2E-4</v>
      </c>
      <c r="M53" s="688"/>
      <c r="N53" s="349"/>
      <c r="P53" s="355"/>
      <c r="Q53" s="355"/>
    </row>
    <row r="54" spans="1:26" ht="12.75">
      <c r="A54" s="356"/>
      <c r="B54" s="62" t="s">
        <v>940</v>
      </c>
      <c r="C54" s="313" t="str">
        <f>RIGHT(D54,3)</f>
        <v>424</v>
      </c>
      <c r="D54" s="314" t="s">
        <v>304</v>
      </c>
      <c r="E54" s="192">
        <f>SUMIF(L_12MonLightsTariffRateCategory,MiscData!$X$5&amp;$D54,L_12MonLights_Count_Total)</f>
        <v>4882</v>
      </c>
      <c r="F54" s="219">
        <f>SUMIF(L_LightingRates_Tariff_Rate_Category,MiscData!$X$5&amp;$D54,L_LightingRates_UnitCharge)</f>
        <v>28.45</v>
      </c>
      <c r="G54" s="199">
        <f>ROUND(E54*F54,0)</f>
        <v>138893</v>
      </c>
      <c r="H54" s="193">
        <f t="shared" si="17"/>
        <v>28.47</v>
      </c>
      <c r="I54" s="353">
        <f t="shared" si="18"/>
        <v>138991</v>
      </c>
      <c r="J54" s="354">
        <f>$K$8</f>
        <v>6.2E-4</v>
      </c>
      <c r="M54" s="688"/>
      <c r="N54" s="349"/>
      <c r="P54" s="355"/>
      <c r="Q54" s="355"/>
    </row>
    <row r="55" spans="1:26" ht="12.75">
      <c r="A55" s="356"/>
      <c r="B55" s="62" t="s">
        <v>941</v>
      </c>
      <c r="C55" s="313" t="str">
        <f>RIGHT(D55,3)</f>
        <v>425</v>
      </c>
      <c r="D55" s="314" t="s">
        <v>305</v>
      </c>
      <c r="E55" s="192">
        <f>SUMIF(L_12MonLightsTariffRateCategory,MiscData!$X$5&amp;$D55,L_12MonLights_Count_Total)</f>
        <v>576</v>
      </c>
      <c r="F55" s="219">
        <f>SUMIF(L_LightingRates_Tariff_Rate_Category,MiscData!$X$5&amp;$D55,L_LightingRates_UnitCharge)</f>
        <v>34.029999999999994</v>
      </c>
      <c r="G55" s="199">
        <f>ROUND(E55*F55,0)</f>
        <v>19601</v>
      </c>
      <c r="H55" s="193">
        <f t="shared" si="17"/>
        <v>34.049999999999997</v>
      </c>
      <c r="I55" s="353">
        <f t="shared" si="18"/>
        <v>19613</v>
      </c>
      <c r="J55" s="354">
        <f>$K$8</f>
        <v>6.2E-4</v>
      </c>
      <c r="M55" s="688"/>
      <c r="N55" s="349"/>
      <c r="P55" s="355"/>
      <c r="Q55" s="355"/>
    </row>
    <row r="56" spans="1:26" ht="12.75">
      <c r="A56" s="319"/>
      <c r="B56" s="62"/>
      <c r="C56" s="62"/>
      <c r="D56" s="62"/>
      <c r="E56" s="62"/>
      <c r="F56" s="278"/>
      <c r="G56" s="279"/>
      <c r="H56" s="301"/>
      <c r="I56" s="287"/>
      <c r="M56" s="688"/>
      <c r="N56" s="349"/>
      <c r="P56" s="355"/>
      <c r="Q56" s="355"/>
    </row>
    <row r="57" spans="1:26" ht="12.75">
      <c r="A57" s="319"/>
      <c r="B57" s="62"/>
      <c r="C57" s="62"/>
      <c r="D57" s="62"/>
      <c r="E57" s="62"/>
      <c r="F57" s="278"/>
      <c r="G57" s="279"/>
      <c r="H57" s="301"/>
      <c r="I57" s="287"/>
      <c r="K57" s="62"/>
      <c r="M57" s="688"/>
      <c r="N57" s="349"/>
      <c r="P57" s="355"/>
      <c r="Q57" s="355"/>
    </row>
    <row r="58" spans="1:26" ht="12.75">
      <c r="A58" s="416" t="s">
        <v>1283</v>
      </c>
      <c r="B58" s="310"/>
      <c r="C58" s="310"/>
      <c r="D58" s="310"/>
      <c r="E58" s="310"/>
      <c r="F58" s="310"/>
      <c r="G58" s="310"/>
      <c r="H58" s="311"/>
      <c r="I58" s="304" t="str">
        <f>'Sch M-2.3-E pg 1-2'!$K$1</f>
        <v>Schedule M-2.3-E</v>
      </c>
      <c r="J58" s="62"/>
      <c r="M58" s="688"/>
      <c r="N58" s="349"/>
      <c r="P58" s="355"/>
      <c r="Q58" s="355"/>
    </row>
    <row r="59" spans="1:26" ht="12.75">
      <c r="A59" s="347" t="s">
        <v>1251</v>
      </c>
      <c r="B59" s="310"/>
      <c r="C59" s="310"/>
      <c r="D59" s="310"/>
      <c r="E59" s="310"/>
      <c r="F59" s="310"/>
      <c r="G59" s="310"/>
      <c r="H59" s="311"/>
      <c r="I59" s="304" t="str">
        <f>"Page "&amp;L59&amp;" of "&amp;M59</f>
        <v>Page 20 of 24</v>
      </c>
      <c r="J59" s="62"/>
      <c r="L59" s="687">
        <f>L26+1</f>
        <v>20</v>
      </c>
      <c r="M59" s="687">
        <f>$M$189</f>
        <v>24</v>
      </c>
      <c r="N59" s="349"/>
      <c r="P59" s="355"/>
      <c r="Q59" s="355"/>
    </row>
    <row r="60" spans="1:26" ht="12.75">
      <c r="A60" s="347" t="s">
        <v>1248</v>
      </c>
      <c r="B60" s="310"/>
      <c r="C60" s="310"/>
      <c r="D60" s="310"/>
      <c r="E60" s="310"/>
      <c r="F60" s="310"/>
      <c r="G60" s="310"/>
      <c r="H60" s="311"/>
      <c r="I60" s="304">
        <f>'Sch M-2.3-E pg 1-2'!$K$3</f>
        <v>0</v>
      </c>
      <c r="J60" s="62"/>
      <c r="M60" s="688"/>
      <c r="N60" s="349"/>
      <c r="P60" s="355"/>
      <c r="Q60" s="355"/>
    </row>
    <row r="61" spans="1:26" ht="12.75">
      <c r="A61" s="348"/>
      <c r="B61" s="191"/>
      <c r="C61" s="215"/>
      <c r="D61" s="191"/>
      <c r="E61" s="191"/>
      <c r="F61" s="269"/>
      <c r="G61" s="269"/>
      <c r="H61" s="270"/>
      <c r="I61" s="738"/>
      <c r="J61" s="62"/>
      <c r="M61" s="688"/>
      <c r="N61" s="349"/>
      <c r="P61" s="355"/>
      <c r="Q61" s="355"/>
    </row>
    <row r="62" spans="1:26" s="223" customFormat="1" ht="12.75">
      <c r="A62" s="374"/>
      <c r="B62" s="375"/>
      <c r="C62" s="375"/>
      <c r="D62" s="375"/>
      <c r="E62" s="376"/>
      <c r="F62" s="376"/>
      <c r="G62" s="376" t="s">
        <v>876</v>
      </c>
      <c r="H62" s="377"/>
      <c r="I62" s="378" t="s">
        <v>876</v>
      </c>
      <c r="J62" s="62"/>
      <c r="K62" s="219"/>
      <c r="L62" s="687"/>
      <c r="M62" s="687"/>
      <c r="N62" s="364"/>
      <c r="P62" s="355"/>
      <c r="Q62" s="355"/>
      <c r="X62" s="362"/>
      <c r="Z62" s="363"/>
    </row>
    <row r="63" spans="1:26" s="223" customFormat="1" ht="12.75">
      <c r="A63" s="303"/>
      <c r="B63" s="62"/>
      <c r="C63" s="63" t="s">
        <v>125</v>
      </c>
      <c r="D63" s="63" t="s">
        <v>921</v>
      </c>
      <c r="E63" s="63" t="s">
        <v>56</v>
      </c>
      <c r="F63" s="63" t="s">
        <v>877</v>
      </c>
      <c r="G63" s="63" t="s">
        <v>878</v>
      </c>
      <c r="H63" s="63" t="s">
        <v>879</v>
      </c>
      <c r="I63" s="281" t="s">
        <v>878</v>
      </c>
      <c r="J63" s="62"/>
      <c r="K63" s="219"/>
      <c r="L63" s="687"/>
      <c r="M63" s="687"/>
      <c r="N63" s="365"/>
      <c r="O63" s="362"/>
      <c r="P63" s="355"/>
      <c r="Q63" s="355"/>
      <c r="U63" s="191"/>
      <c r="X63" s="362"/>
      <c r="Z63" s="363"/>
    </row>
    <row r="64" spans="1:26" s="223" customFormat="1" ht="12.75">
      <c r="A64" s="379"/>
      <c r="B64" s="276"/>
      <c r="C64" s="380" t="s">
        <v>713</v>
      </c>
      <c r="D64" s="380" t="s">
        <v>923</v>
      </c>
      <c r="E64" s="380" t="s">
        <v>80</v>
      </c>
      <c r="F64" s="381" t="s">
        <v>93</v>
      </c>
      <c r="G64" s="380" t="s">
        <v>880</v>
      </c>
      <c r="H64" s="380" t="s">
        <v>93</v>
      </c>
      <c r="I64" s="382" t="s">
        <v>881</v>
      </c>
      <c r="J64" s="62"/>
      <c r="K64" s="219"/>
      <c r="L64" s="687"/>
      <c r="M64" s="687"/>
      <c r="N64" s="365"/>
      <c r="O64" s="362"/>
      <c r="P64" s="355"/>
      <c r="Q64" s="355"/>
      <c r="X64" s="362"/>
      <c r="Z64" s="363"/>
    </row>
    <row r="65" spans="1:26" s="223" customFormat="1" ht="12.75">
      <c r="A65" s="218" t="s">
        <v>1268</v>
      </c>
      <c r="B65" s="62"/>
      <c r="C65" s="62"/>
      <c r="D65" s="62"/>
      <c r="E65" s="301"/>
      <c r="F65" s="62"/>
      <c r="G65" s="62"/>
      <c r="H65" s="278"/>
      <c r="I65" s="359"/>
      <c r="J65" s="151"/>
      <c r="K65" s="219"/>
      <c r="L65" s="687"/>
      <c r="M65" s="687"/>
      <c r="X65" s="362"/>
      <c r="Z65" s="363"/>
    </row>
    <row r="66" spans="1:26" s="223" customFormat="1" ht="12.75">
      <c r="A66" s="356"/>
      <c r="B66" s="62" t="s">
        <v>942</v>
      </c>
      <c r="C66" s="313" t="str">
        <f t="shared" ref="C66:C71" si="19">RIGHT(D66,3)</f>
        <v>439</v>
      </c>
      <c r="D66" s="314" t="s">
        <v>687</v>
      </c>
      <c r="E66" s="192">
        <f>SUMIF(L_12MonLightsTariffRateCategory,MiscData!$X$5&amp;$D66,L_12MonLights_Count_Total)</f>
        <v>0</v>
      </c>
      <c r="F66" s="219">
        <f>SUMIF(L_LightingRates_Tariff_Rate_Category,MiscData!$X$5&amp;$D66,L_LightingRates_UnitCharge)</f>
        <v>16.459999999999997</v>
      </c>
      <c r="G66" s="199">
        <f t="shared" ref="G66:G71" si="20">ROUND(E66*F66,0)</f>
        <v>0</v>
      </c>
      <c r="H66" s="193">
        <f t="shared" ref="H66:H71" si="21">ROUND(F66*(1+$J$10),2)</f>
        <v>16.47</v>
      </c>
      <c r="I66" s="353">
        <f t="shared" ref="I66:I71" si="22">ROUND(E66*H66,0)</f>
        <v>0</v>
      </c>
      <c r="J66" s="354">
        <f t="shared" ref="J66:J71" si="23">$K$8</f>
        <v>6.2E-4</v>
      </c>
      <c r="K66" s="219"/>
      <c r="L66" s="687"/>
      <c r="M66" s="687"/>
      <c r="X66" s="362"/>
      <c r="Z66" s="363"/>
    </row>
    <row r="67" spans="1:26" s="223" customFormat="1" ht="12.75">
      <c r="A67" s="356"/>
      <c r="B67" s="62" t="s">
        <v>943</v>
      </c>
      <c r="C67" s="313" t="str">
        <f t="shared" si="19"/>
        <v>420</v>
      </c>
      <c r="D67" s="314" t="s">
        <v>300</v>
      </c>
      <c r="E67" s="192">
        <f>SUMIF(L_12MonLightsTariffRateCategory,MiscData!$X$5&amp;$D67,L_12MonLights_Count_Total)</f>
        <v>595</v>
      </c>
      <c r="F67" s="219">
        <f>SUMIF(L_LightingRates_Tariff_Rate_Category,MiscData!$X$5&amp;$D67,L_LightingRates_UnitCharge)</f>
        <v>29.889999999999997</v>
      </c>
      <c r="G67" s="199">
        <f t="shared" si="20"/>
        <v>17785</v>
      </c>
      <c r="H67" s="193">
        <f t="shared" si="21"/>
        <v>29.91</v>
      </c>
      <c r="I67" s="353">
        <f t="shared" si="22"/>
        <v>17796</v>
      </c>
      <c r="J67" s="354">
        <f t="shared" si="23"/>
        <v>6.2E-4</v>
      </c>
      <c r="K67" s="219"/>
      <c r="L67" s="687"/>
      <c r="M67" s="687"/>
      <c r="X67" s="362"/>
      <c r="Z67" s="363"/>
    </row>
    <row r="68" spans="1:26" s="223" customFormat="1" ht="12.75">
      <c r="A68" s="356"/>
      <c r="B68" s="62" t="s">
        <v>944</v>
      </c>
      <c r="C68" s="313" t="str">
        <f t="shared" si="19"/>
        <v>440</v>
      </c>
      <c r="D68" s="314" t="s">
        <v>688</v>
      </c>
      <c r="E68" s="192">
        <f>SUMIF(L_12MonLightsTariffRateCategory,MiscData!$X$5&amp;$D68,L_12MonLights_Count_Total)</f>
        <v>1791</v>
      </c>
      <c r="F68" s="219">
        <f>SUMIF(L_LightingRates_Tariff_Rate_Category,MiscData!$X$5&amp;$D68,L_LightingRates_UnitCharge)</f>
        <v>18.279999999999998</v>
      </c>
      <c r="G68" s="199">
        <f t="shared" si="20"/>
        <v>32739</v>
      </c>
      <c r="H68" s="193">
        <f t="shared" si="21"/>
        <v>18.29</v>
      </c>
      <c r="I68" s="353">
        <f t="shared" si="22"/>
        <v>32757</v>
      </c>
      <c r="J68" s="354">
        <f t="shared" si="23"/>
        <v>6.2E-4</v>
      </c>
      <c r="K68" s="219"/>
      <c r="L68" s="687"/>
      <c r="M68" s="687"/>
      <c r="X68" s="362"/>
      <c r="Z68" s="363"/>
    </row>
    <row r="69" spans="1:26" s="223" customFormat="1" ht="12.75">
      <c r="A69" s="356"/>
      <c r="B69" s="62" t="s">
        <v>945</v>
      </c>
      <c r="C69" s="313" t="str">
        <f t="shared" si="19"/>
        <v>421</v>
      </c>
      <c r="D69" s="314" t="s">
        <v>301</v>
      </c>
      <c r="E69" s="192">
        <f>SUMIF(L_12MonLightsTariffRateCategory,MiscData!$X$5&amp;$D69,L_12MonLights_Count_Total)</f>
        <v>1973</v>
      </c>
      <c r="F69" s="219">
        <f>SUMIF(L_LightingRates_Tariff_Rate_Category,MiscData!$X$5&amp;$D69,L_LightingRates_UnitCharge)</f>
        <v>32.860000000000007</v>
      </c>
      <c r="G69" s="199">
        <f t="shared" si="20"/>
        <v>64833</v>
      </c>
      <c r="H69" s="193">
        <f t="shared" si="21"/>
        <v>32.880000000000003</v>
      </c>
      <c r="I69" s="353">
        <f t="shared" si="22"/>
        <v>64872</v>
      </c>
      <c r="J69" s="354">
        <f t="shared" si="23"/>
        <v>6.2E-4</v>
      </c>
      <c r="K69" s="219"/>
      <c r="L69" s="687"/>
      <c r="M69" s="687"/>
      <c r="X69" s="362"/>
      <c r="Z69" s="363"/>
    </row>
    <row r="70" spans="1:26" s="223" customFormat="1" ht="12.75">
      <c r="A70" s="356"/>
      <c r="B70" s="62" t="s">
        <v>946</v>
      </c>
      <c r="C70" s="313" t="str">
        <f t="shared" si="19"/>
        <v>441</v>
      </c>
      <c r="D70" s="314" t="s">
        <v>341</v>
      </c>
      <c r="E70" s="192">
        <f>SUMIF(L_12MonLightsTariffRateCategory,MiscData!$X$5&amp;$D70,L_12MonLights_Count_Total)</f>
        <v>2775</v>
      </c>
      <c r="F70" s="219">
        <f>SUMIF(L_LightingRates_Tariff_Rate_Category,MiscData!$X$5&amp;$D70,L_LightingRates_UnitCharge)</f>
        <v>22.32</v>
      </c>
      <c r="G70" s="199">
        <f t="shared" si="20"/>
        <v>61938</v>
      </c>
      <c r="H70" s="193">
        <f t="shared" si="21"/>
        <v>22.33</v>
      </c>
      <c r="I70" s="353">
        <f t="shared" si="22"/>
        <v>61966</v>
      </c>
      <c r="J70" s="354">
        <f t="shared" si="23"/>
        <v>6.2E-4</v>
      </c>
      <c r="K70" s="219"/>
      <c r="L70" s="687"/>
      <c r="M70" s="687"/>
      <c r="X70" s="362"/>
      <c r="Z70" s="363"/>
    </row>
    <row r="71" spans="1:26" s="223" customFormat="1" ht="12.75">
      <c r="A71" s="356"/>
      <c r="B71" s="62" t="s">
        <v>947</v>
      </c>
      <c r="C71" s="313" t="str">
        <f t="shared" si="19"/>
        <v>422</v>
      </c>
      <c r="D71" s="314" t="s">
        <v>302</v>
      </c>
      <c r="E71" s="192">
        <f>SUMIF(L_12MonLightsTariffRateCategory,MiscData!$X$5&amp;$D71,L_12MonLights_Count_Total)</f>
        <v>4123</v>
      </c>
      <c r="F71" s="219">
        <f>SUMIF(L_LightingRates_Tariff_Rate_Category,MiscData!$X$5&amp;$D71,L_LightingRates_UnitCharge)</f>
        <v>38.389999999999993</v>
      </c>
      <c r="G71" s="199">
        <f t="shared" si="20"/>
        <v>158282</v>
      </c>
      <c r="H71" s="193">
        <f t="shared" si="21"/>
        <v>38.409999999999997</v>
      </c>
      <c r="I71" s="353">
        <f t="shared" si="22"/>
        <v>158364</v>
      </c>
      <c r="J71" s="354">
        <f t="shared" si="23"/>
        <v>6.2E-4</v>
      </c>
      <c r="K71" s="219"/>
      <c r="L71" s="687"/>
      <c r="M71" s="687"/>
      <c r="X71" s="362"/>
      <c r="Z71" s="363"/>
    </row>
    <row r="72" spans="1:26" s="223" customFormat="1" ht="12.75">
      <c r="A72" s="319"/>
      <c r="B72" s="62"/>
      <c r="C72" s="314"/>
      <c r="D72" s="314"/>
      <c r="E72" s="62"/>
      <c r="F72" s="193"/>
      <c r="G72" s="199"/>
      <c r="H72" s="301"/>
      <c r="I72" s="287"/>
      <c r="J72" s="151"/>
      <c r="K72" s="219"/>
      <c r="L72" s="687"/>
      <c r="M72" s="687"/>
      <c r="X72" s="362"/>
      <c r="Z72" s="363"/>
    </row>
    <row r="73" spans="1:26" ht="12.75">
      <c r="A73" s="357" t="s">
        <v>924</v>
      </c>
      <c r="B73" s="62"/>
      <c r="C73" s="62"/>
      <c r="D73" s="62"/>
      <c r="E73" s="62"/>
      <c r="F73" s="62"/>
      <c r="G73" s="62"/>
      <c r="H73" s="62"/>
      <c r="I73" s="281"/>
      <c r="J73" s="221"/>
      <c r="L73" s="687"/>
      <c r="M73" s="687"/>
      <c r="N73" s="223"/>
      <c r="O73" s="223"/>
      <c r="P73" s="223"/>
      <c r="Q73" s="223"/>
      <c r="R73" s="223"/>
      <c r="S73" s="223"/>
      <c r="T73" s="223"/>
      <c r="U73" s="223"/>
      <c r="V73" s="223"/>
      <c r="W73" s="223"/>
    </row>
    <row r="74" spans="1:26" ht="12.75">
      <c r="A74" s="356"/>
      <c r="B74" s="62" t="s">
        <v>990</v>
      </c>
      <c r="C74" s="313" t="str">
        <f t="shared" ref="C74:C79" si="24">RIGHT(D74,3)</f>
        <v>479</v>
      </c>
      <c r="D74" s="314" t="s">
        <v>618</v>
      </c>
      <c r="E74" s="192">
        <f>SUMIF(L_12MonLightsTariffRateCategory,MiscData!$X$5&amp;$D74,L_12MonLights_Count_Total)</f>
        <v>0</v>
      </c>
      <c r="F74" s="219">
        <f>SUMIF(L_LightingRates_Tariff_Rate_Category,MiscData!$X$5&amp;$D74,L_LightingRates_UnitCharge)</f>
        <v>14.06</v>
      </c>
      <c r="G74" s="199">
        <f t="shared" ref="G74:G79" si="25">ROUND(E74*F74,0)</f>
        <v>0</v>
      </c>
      <c r="H74" s="193">
        <f t="shared" ref="H74:H79" si="26">ROUND(F74*(1+$J$10),2)</f>
        <v>14.07</v>
      </c>
      <c r="I74" s="353">
        <f t="shared" ref="I74:I79" si="27">ROUND(E74*H74,0)</f>
        <v>0</v>
      </c>
      <c r="J74" s="354">
        <f t="shared" ref="J74:J79" si="28">$K$8</f>
        <v>6.2E-4</v>
      </c>
      <c r="L74" s="687"/>
      <c r="M74" s="687"/>
      <c r="N74" s="223"/>
      <c r="O74" s="223"/>
      <c r="P74" s="223"/>
      <c r="Q74" s="223"/>
      <c r="R74" s="223"/>
      <c r="S74" s="223"/>
      <c r="T74" s="223"/>
      <c r="U74" s="223"/>
      <c r="V74" s="223"/>
      <c r="W74" s="223"/>
    </row>
    <row r="75" spans="1:26" s="223" customFormat="1" ht="12.75">
      <c r="A75" s="356"/>
      <c r="B75" s="62" t="s">
        <v>991</v>
      </c>
      <c r="C75" s="313" t="str">
        <f t="shared" si="24"/>
        <v>480</v>
      </c>
      <c r="D75" s="314" t="s">
        <v>620</v>
      </c>
      <c r="E75" s="192">
        <f>SUMIF(L_12MonLightsTariffRateCategory,MiscData!$X$5&amp;$D75,L_12MonLights_Count_Total)</f>
        <v>199</v>
      </c>
      <c r="F75" s="219">
        <f>SUMIF(L_LightingRates_Tariff_Rate_Category,MiscData!$X$5&amp;$D75,L_LightingRates_UnitCharge)</f>
        <v>23.83</v>
      </c>
      <c r="G75" s="199">
        <f t="shared" si="25"/>
        <v>4742</v>
      </c>
      <c r="H75" s="193">
        <f t="shared" si="26"/>
        <v>23.84</v>
      </c>
      <c r="I75" s="353">
        <f t="shared" si="27"/>
        <v>4744</v>
      </c>
      <c r="J75" s="354">
        <f t="shared" si="28"/>
        <v>6.2E-4</v>
      </c>
      <c r="K75" s="219"/>
      <c r="L75" s="687"/>
      <c r="M75" s="687"/>
      <c r="X75" s="362"/>
      <c r="Z75" s="363"/>
    </row>
    <row r="76" spans="1:26" ht="12.75">
      <c r="A76" s="356"/>
      <c r="B76" s="62" t="s">
        <v>992</v>
      </c>
      <c r="C76" s="313" t="str">
        <f t="shared" si="24"/>
        <v>481</v>
      </c>
      <c r="D76" s="314" t="s">
        <v>360</v>
      </c>
      <c r="E76" s="192">
        <f>SUMIF(L_12MonLightsTariffRateCategory,MiscData!$X$5&amp;$D76,L_12MonLights_Count_Total)</f>
        <v>76</v>
      </c>
      <c r="F76" s="219">
        <f>SUMIF(L_LightingRates_Tariff_Rate_Category,MiscData!$X$5&amp;$D76,L_LightingRates_UnitCharge)</f>
        <v>20.46</v>
      </c>
      <c r="G76" s="199">
        <f t="shared" si="25"/>
        <v>1555</v>
      </c>
      <c r="H76" s="193">
        <f t="shared" si="26"/>
        <v>20.47</v>
      </c>
      <c r="I76" s="353">
        <f t="shared" si="27"/>
        <v>1556</v>
      </c>
      <c r="J76" s="354">
        <f t="shared" si="28"/>
        <v>6.2E-4</v>
      </c>
      <c r="L76" s="687"/>
      <c r="M76" s="687"/>
      <c r="N76" s="223"/>
      <c r="O76" s="223"/>
      <c r="P76" s="223"/>
      <c r="Q76" s="223"/>
      <c r="R76" s="223"/>
      <c r="S76" s="223"/>
      <c r="T76" s="223"/>
      <c r="U76" s="223"/>
      <c r="V76" s="223"/>
      <c r="W76" s="223"/>
    </row>
    <row r="77" spans="1:26" ht="12.75">
      <c r="A77" s="356"/>
      <c r="B77" s="62" t="s">
        <v>993</v>
      </c>
      <c r="C77" s="313" t="str">
        <f t="shared" si="24"/>
        <v>482</v>
      </c>
      <c r="D77" s="314" t="s">
        <v>335</v>
      </c>
      <c r="E77" s="192">
        <f>SUMIF(L_12MonLightsTariffRateCategory,MiscData!$X$5&amp;$D77,L_12MonLights_Count_Total)</f>
        <v>485</v>
      </c>
      <c r="F77" s="219">
        <f>SUMIF(L_LightingRates_Tariff_Rate_Category,MiscData!$X$5&amp;$D77,L_LightingRates_UnitCharge)</f>
        <v>30.21</v>
      </c>
      <c r="G77" s="199">
        <f t="shared" si="25"/>
        <v>14652</v>
      </c>
      <c r="H77" s="193">
        <f t="shared" si="26"/>
        <v>30.23</v>
      </c>
      <c r="I77" s="353">
        <f t="shared" si="27"/>
        <v>14662</v>
      </c>
      <c r="J77" s="354">
        <f t="shared" si="28"/>
        <v>6.2E-4</v>
      </c>
      <c r="L77" s="687"/>
      <c r="M77" s="687"/>
      <c r="N77" s="223"/>
      <c r="O77" s="223"/>
      <c r="P77" s="223"/>
      <c r="Q77" s="223"/>
      <c r="R77" s="223"/>
      <c r="S77" s="223"/>
      <c r="T77" s="223"/>
      <c r="U77" s="223"/>
      <c r="V77" s="223"/>
      <c r="W77" s="223"/>
    </row>
    <row r="78" spans="1:26" ht="12.75">
      <c r="A78" s="356"/>
      <c r="B78" s="62" t="s">
        <v>994</v>
      </c>
      <c r="C78" s="313" t="str">
        <f t="shared" si="24"/>
        <v>483</v>
      </c>
      <c r="D78" s="314" t="s">
        <v>336</v>
      </c>
      <c r="E78" s="192">
        <f>SUMIF(L_12MonLightsTariffRateCategory,MiscData!$X$5&amp;$D78,L_12MonLights_Count_Total)</f>
        <v>24</v>
      </c>
      <c r="F78" s="219">
        <f>SUMIF(L_LightingRates_Tariff_Rate_Category,MiscData!$X$5&amp;$D78,L_LightingRates_UnitCharge)</f>
        <v>42.56</v>
      </c>
      <c r="G78" s="199">
        <f t="shared" si="25"/>
        <v>1021</v>
      </c>
      <c r="H78" s="193">
        <f t="shared" si="26"/>
        <v>42.59</v>
      </c>
      <c r="I78" s="353">
        <f t="shared" si="27"/>
        <v>1022</v>
      </c>
      <c r="J78" s="354">
        <f t="shared" si="28"/>
        <v>6.2E-4</v>
      </c>
      <c r="L78" s="687"/>
      <c r="M78" s="687"/>
      <c r="N78" s="223"/>
      <c r="O78" s="223"/>
      <c r="P78" s="223"/>
      <c r="Q78" s="223"/>
      <c r="R78" s="223"/>
      <c r="S78" s="223"/>
      <c r="T78" s="223"/>
      <c r="U78" s="223"/>
      <c r="V78" s="223"/>
      <c r="W78" s="223"/>
    </row>
    <row r="79" spans="1:26" ht="12.75">
      <c r="A79" s="356"/>
      <c r="B79" s="62" t="s">
        <v>995</v>
      </c>
      <c r="C79" s="313" t="str">
        <f t="shared" si="24"/>
        <v>484</v>
      </c>
      <c r="D79" s="314" t="s">
        <v>337</v>
      </c>
      <c r="E79" s="192">
        <f>SUMIF(L_12MonLightsTariffRateCategory,MiscData!$X$5&amp;$D79,L_12MonLights_Count_Total)</f>
        <v>156</v>
      </c>
      <c r="F79" s="219">
        <f>SUMIF(L_LightingRates_Tariff_Rate_Category,MiscData!$X$5&amp;$D79,L_LightingRates_UnitCharge)</f>
        <v>52.31</v>
      </c>
      <c r="G79" s="199">
        <f t="shared" si="25"/>
        <v>8160</v>
      </c>
      <c r="H79" s="193">
        <f t="shared" si="26"/>
        <v>52.34</v>
      </c>
      <c r="I79" s="353">
        <f t="shared" si="27"/>
        <v>8165</v>
      </c>
      <c r="J79" s="354">
        <f t="shared" si="28"/>
        <v>6.2E-4</v>
      </c>
      <c r="L79" s="687"/>
      <c r="M79" s="687"/>
      <c r="N79" s="223"/>
      <c r="O79" s="223"/>
      <c r="P79" s="223"/>
      <c r="Q79" s="223"/>
      <c r="R79" s="223"/>
      <c r="S79" s="223"/>
      <c r="T79" s="223"/>
      <c r="U79" s="223"/>
      <c r="V79" s="223"/>
      <c r="W79" s="223"/>
    </row>
    <row r="80" spans="1:26" ht="12.75">
      <c r="A80" s="356"/>
      <c r="B80" s="62"/>
      <c r="C80" s="313"/>
      <c r="D80" s="314"/>
      <c r="E80" s="62"/>
      <c r="F80" s="193"/>
      <c r="G80" s="199"/>
      <c r="H80" s="193"/>
      <c r="I80" s="353"/>
      <c r="J80" s="354"/>
      <c r="L80" s="687"/>
      <c r="M80" s="687"/>
      <c r="N80" s="223"/>
      <c r="O80" s="223"/>
      <c r="P80" s="223"/>
      <c r="Q80" s="223"/>
      <c r="R80" s="223"/>
      <c r="S80" s="223"/>
      <c r="T80" s="223"/>
      <c r="U80" s="223"/>
      <c r="V80" s="223"/>
      <c r="W80" s="223"/>
    </row>
    <row r="81" spans="1:23" ht="12.75">
      <c r="A81" s="356"/>
      <c r="B81" s="316" t="s">
        <v>1211</v>
      </c>
      <c r="C81" s="313"/>
      <c r="D81" s="314"/>
      <c r="E81" s="62"/>
      <c r="F81" s="193"/>
      <c r="G81" s="199"/>
      <c r="H81" s="193"/>
      <c r="I81" s="353"/>
      <c r="J81" s="354"/>
      <c r="L81" s="687"/>
      <c r="M81" s="687"/>
      <c r="N81" s="223"/>
      <c r="O81" s="223"/>
      <c r="P81" s="223"/>
      <c r="Q81" s="223"/>
      <c r="R81" s="223"/>
      <c r="S81" s="223"/>
      <c r="T81" s="223"/>
      <c r="U81" s="223"/>
      <c r="V81" s="223"/>
      <c r="W81" s="223"/>
    </row>
    <row r="82" spans="1:23" ht="12.75">
      <c r="A82" s="356"/>
      <c r="B82" s="317" t="s">
        <v>1212</v>
      </c>
      <c r="C82" s="313" t="str">
        <f>MID(D82,4,3)</f>
        <v>900</v>
      </c>
      <c r="D82" s="366" t="s">
        <v>626</v>
      </c>
      <c r="E82" s="195">
        <f t="shared" ref="E82:E87" si="29">SUMIFS(L_12MonPoles_Count,L_12MonPoles_RateCategory,D82,L_12MonPoles_RateClass,"LS ")</f>
        <v>62547</v>
      </c>
      <c r="F82" s="219">
        <f>SUMIF(PoleRates!$E$4:$E$104,MiscData!$X$5&amp;D82,PoleRates!$F$4:$F$104)</f>
        <v>2.06</v>
      </c>
      <c r="G82" s="199">
        <f t="shared" ref="G82:G87" si="30">ROUND(E82*F82,0)</f>
        <v>128847</v>
      </c>
      <c r="H82" s="193">
        <f t="shared" ref="H82:H87" si="31">ROUND(F82*(1+$J$10),2)</f>
        <v>2.06</v>
      </c>
      <c r="I82" s="353">
        <f t="shared" ref="I82:I87" si="32">ROUND(E82*H82,0)</f>
        <v>128847</v>
      </c>
      <c r="J82" s="354">
        <f t="shared" ref="J82:J87" si="33">$K$8</f>
        <v>6.2E-4</v>
      </c>
      <c r="L82" s="687"/>
      <c r="M82" s="687"/>
      <c r="N82" s="223"/>
      <c r="O82" s="223"/>
      <c r="P82" s="223"/>
      <c r="Q82" s="223"/>
      <c r="R82" s="223"/>
      <c r="S82" s="223"/>
      <c r="T82" s="223"/>
      <c r="U82" s="223"/>
      <c r="V82" s="223"/>
      <c r="W82" s="223"/>
    </row>
    <row r="83" spans="1:23" ht="12.75">
      <c r="A83" s="356"/>
      <c r="B83" s="317" t="s">
        <v>1213</v>
      </c>
      <c r="C83" s="313" t="str">
        <f t="shared" ref="C83:C87" si="34">MID(D83,4,3)</f>
        <v>958</v>
      </c>
      <c r="D83" s="366" t="s">
        <v>640</v>
      </c>
      <c r="E83" s="195">
        <f t="shared" si="29"/>
        <v>5073</v>
      </c>
      <c r="F83" s="219">
        <f>SUMIF(PoleRates!$E$4:$E$104,MiscData!$X$5&amp;D83,PoleRates!$F$4:$F$104)</f>
        <v>11.31</v>
      </c>
      <c r="G83" s="199">
        <f t="shared" si="30"/>
        <v>57376</v>
      </c>
      <c r="H83" s="193">
        <f t="shared" si="31"/>
        <v>11.32</v>
      </c>
      <c r="I83" s="353">
        <f t="shared" si="32"/>
        <v>57426</v>
      </c>
      <c r="J83" s="354">
        <f t="shared" si="33"/>
        <v>6.2E-4</v>
      </c>
      <c r="L83" s="687"/>
      <c r="M83" s="687"/>
      <c r="N83" s="223"/>
      <c r="O83" s="223"/>
      <c r="P83" s="223"/>
      <c r="Q83" s="223"/>
      <c r="R83" s="223"/>
      <c r="S83" s="223"/>
      <c r="T83" s="223"/>
      <c r="U83" s="223"/>
      <c r="V83" s="223"/>
      <c r="W83" s="223"/>
    </row>
    <row r="84" spans="1:23" ht="12.75">
      <c r="A84" s="356"/>
      <c r="B84" s="317" t="s">
        <v>1214</v>
      </c>
      <c r="C84" s="313" t="str">
        <f t="shared" si="34"/>
        <v>901</v>
      </c>
      <c r="D84" s="366" t="s">
        <v>627</v>
      </c>
      <c r="E84" s="195">
        <f t="shared" si="29"/>
        <v>0</v>
      </c>
      <c r="F84" s="219">
        <f>SUMIF(PoleRates!$E$4:$E$104,MiscData!$X$5&amp;D84,PoleRates!$F$4:$F$104)</f>
        <v>10.81</v>
      </c>
      <c r="G84" s="199">
        <f t="shared" si="30"/>
        <v>0</v>
      </c>
      <c r="H84" s="193">
        <f t="shared" si="31"/>
        <v>10.82</v>
      </c>
      <c r="I84" s="353">
        <f t="shared" si="32"/>
        <v>0</v>
      </c>
      <c r="J84" s="354">
        <f t="shared" si="33"/>
        <v>6.2E-4</v>
      </c>
      <c r="L84" s="687"/>
      <c r="M84" s="687"/>
      <c r="N84" s="223"/>
      <c r="O84" s="223"/>
      <c r="P84" s="223"/>
      <c r="Q84" s="223"/>
      <c r="R84" s="223"/>
      <c r="S84" s="223"/>
      <c r="T84" s="223"/>
      <c r="U84" s="223"/>
      <c r="V84" s="223"/>
      <c r="W84" s="223"/>
    </row>
    <row r="85" spans="1:23" ht="12.75">
      <c r="A85" s="356"/>
      <c r="B85" s="317" t="s">
        <v>1215</v>
      </c>
      <c r="C85" s="313" t="str">
        <f t="shared" si="34"/>
        <v>902</v>
      </c>
      <c r="D85" s="366" t="s">
        <v>628</v>
      </c>
      <c r="E85" s="195">
        <f t="shared" si="29"/>
        <v>36</v>
      </c>
      <c r="F85" s="219">
        <f>SUMIF(PoleRates!$E$4:$E$104,MiscData!$X$5&amp;D85,PoleRates!$F$4:$F$104)</f>
        <v>12.9</v>
      </c>
      <c r="G85" s="199">
        <f t="shared" si="30"/>
        <v>464</v>
      </c>
      <c r="H85" s="193">
        <f t="shared" si="31"/>
        <v>12.91</v>
      </c>
      <c r="I85" s="353">
        <f t="shared" si="32"/>
        <v>465</v>
      </c>
      <c r="J85" s="354">
        <f t="shared" si="33"/>
        <v>6.2E-4</v>
      </c>
      <c r="L85" s="687"/>
      <c r="M85" s="687"/>
      <c r="N85" s="223"/>
      <c r="O85" s="223"/>
      <c r="P85" s="223"/>
      <c r="Q85" s="223"/>
      <c r="R85" s="223"/>
      <c r="S85" s="223"/>
      <c r="T85" s="223"/>
      <c r="U85" s="223"/>
      <c r="V85" s="223"/>
      <c r="W85" s="223"/>
    </row>
    <row r="86" spans="1:23" ht="12.75">
      <c r="A86" s="356"/>
      <c r="B86" s="317" t="s">
        <v>1216</v>
      </c>
      <c r="C86" s="313" t="str">
        <f t="shared" si="34"/>
        <v>950</v>
      </c>
      <c r="D86" s="366" t="s">
        <v>632</v>
      </c>
      <c r="E86" s="195">
        <f t="shared" si="29"/>
        <v>147</v>
      </c>
      <c r="F86" s="193">
        <f>SUMIF(PoleRates!$E$4:$E$104,MiscData!$X$5&amp;D86,PoleRates!$F$4:$F$104)</f>
        <v>3.47</v>
      </c>
      <c r="G86" s="199">
        <f t="shared" si="30"/>
        <v>510</v>
      </c>
      <c r="H86" s="193">
        <f>ROUND(F86*(1+$J$10),2)</f>
        <v>3.47</v>
      </c>
      <c r="I86" s="353">
        <f t="shared" si="32"/>
        <v>510</v>
      </c>
      <c r="J86" s="354">
        <f t="shared" si="33"/>
        <v>6.2E-4</v>
      </c>
      <c r="L86" s="687"/>
      <c r="M86" s="687"/>
      <c r="N86" s="223"/>
      <c r="O86" s="223"/>
      <c r="P86" s="223"/>
      <c r="Q86" s="223"/>
      <c r="R86" s="223"/>
      <c r="S86" s="223"/>
      <c r="T86" s="223"/>
      <c r="U86" s="223"/>
      <c r="V86" s="223"/>
      <c r="W86" s="223"/>
    </row>
    <row r="87" spans="1:23" ht="12.75">
      <c r="A87" s="356"/>
      <c r="B87" s="317" t="s">
        <v>1217</v>
      </c>
      <c r="C87" s="313" t="str">
        <f t="shared" si="34"/>
        <v>951</v>
      </c>
      <c r="D87" s="366" t="s">
        <v>633</v>
      </c>
      <c r="E87" s="195">
        <f t="shared" si="29"/>
        <v>662</v>
      </c>
      <c r="F87" s="193">
        <f>SUMIF(PoleRates!$E$4:$E$104,MiscData!$X$5&amp;D87,PoleRates!$F$4:$F$104)</f>
        <v>3.73</v>
      </c>
      <c r="G87" s="199">
        <f t="shared" si="30"/>
        <v>2469</v>
      </c>
      <c r="H87" s="193">
        <f t="shared" si="31"/>
        <v>3.73</v>
      </c>
      <c r="I87" s="353">
        <f t="shared" si="32"/>
        <v>2469</v>
      </c>
      <c r="J87" s="354">
        <f t="shared" si="33"/>
        <v>6.2E-4</v>
      </c>
      <c r="L87" s="687"/>
      <c r="M87" s="687"/>
      <c r="N87" s="223"/>
      <c r="O87" s="223"/>
      <c r="P87" s="223"/>
      <c r="Q87" s="223"/>
      <c r="R87" s="223"/>
      <c r="S87" s="223"/>
      <c r="T87" s="223"/>
      <c r="U87" s="223"/>
      <c r="V87" s="223"/>
      <c r="W87" s="223"/>
    </row>
    <row r="88" spans="1:23" ht="12.75">
      <c r="A88" s="319"/>
      <c r="B88" s="62"/>
      <c r="C88" s="314"/>
      <c r="D88" s="314"/>
      <c r="E88" s="62"/>
      <c r="F88" s="193"/>
      <c r="G88" s="199"/>
      <c r="H88" s="301"/>
      <c r="I88" s="287"/>
      <c r="J88" s="219"/>
      <c r="L88" s="687"/>
      <c r="M88" s="687"/>
      <c r="N88" s="223"/>
      <c r="O88" s="223"/>
      <c r="P88" s="223"/>
      <c r="Q88" s="223"/>
      <c r="R88" s="223"/>
      <c r="S88" s="223"/>
      <c r="T88" s="223"/>
      <c r="U88" s="223"/>
      <c r="V88" s="223"/>
      <c r="W88" s="223"/>
    </row>
    <row r="89" spans="1:23" ht="12.75">
      <c r="A89" s="319"/>
      <c r="B89" s="62"/>
      <c r="C89" s="314"/>
      <c r="D89" s="314"/>
      <c r="E89" s="62"/>
      <c r="F89" s="193"/>
      <c r="G89" s="199"/>
      <c r="H89" s="301"/>
      <c r="I89" s="287"/>
      <c r="J89" s="219"/>
      <c r="L89" s="687"/>
      <c r="M89" s="687"/>
      <c r="N89" s="223"/>
      <c r="O89" s="223"/>
      <c r="P89" s="223"/>
      <c r="Q89" s="223"/>
      <c r="R89" s="223"/>
      <c r="S89" s="223"/>
      <c r="T89" s="223"/>
      <c r="U89" s="223"/>
      <c r="V89" s="223"/>
      <c r="W89" s="223"/>
    </row>
    <row r="90" spans="1:23" ht="12.75">
      <c r="A90" s="416" t="s">
        <v>1283</v>
      </c>
      <c r="B90" s="310"/>
      <c r="C90" s="310"/>
      <c r="D90" s="310"/>
      <c r="E90" s="310"/>
      <c r="F90" s="310"/>
      <c r="G90" s="310"/>
      <c r="H90" s="311"/>
      <c r="I90" s="304" t="str">
        <f>'Sch M-2.3-E pg 1-2'!$K$1</f>
        <v>Schedule M-2.3-E</v>
      </c>
      <c r="J90" s="62"/>
      <c r="L90" s="687"/>
      <c r="M90" s="687"/>
      <c r="N90" s="223"/>
      <c r="O90" s="223"/>
      <c r="P90" s="223"/>
      <c r="Q90" s="223"/>
      <c r="R90" s="223"/>
      <c r="S90" s="223"/>
      <c r="T90" s="223"/>
      <c r="U90" s="223"/>
      <c r="V90" s="223"/>
      <c r="W90" s="223"/>
    </row>
    <row r="91" spans="1:23" ht="12.75">
      <c r="A91" s="347" t="s">
        <v>1251</v>
      </c>
      <c r="B91" s="310"/>
      <c r="C91" s="310"/>
      <c r="D91" s="310"/>
      <c r="E91" s="310"/>
      <c r="F91" s="310"/>
      <c r="G91" s="310"/>
      <c r="H91" s="311"/>
      <c r="I91" s="304" t="str">
        <f>"Page "&amp;L91&amp;" of "&amp;M91</f>
        <v>Page 21 of 24</v>
      </c>
      <c r="J91" s="62"/>
      <c r="L91" s="687">
        <f>L59+1</f>
        <v>21</v>
      </c>
      <c r="M91" s="687">
        <f>$M$189</f>
        <v>24</v>
      </c>
      <c r="N91" s="223"/>
      <c r="O91" s="223"/>
      <c r="P91" s="223"/>
      <c r="Q91" s="223"/>
      <c r="R91" s="223"/>
      <c r="S91" s="223"/>
      <c r="T91" s="223"/>
      <c r="U91" s="223"/>
      <c r="V91" s="223"/>
      <c r="W91" s="223"/>
    </row>
    <row r="92" spans="1:23" ht="12.75">
      <c r="A92" s="347" t="s">
        <v>1248</v>
      </c>
      <c r="B92" s="310"/>
      <c r="C92" s="310"/>
      <c r="D92" s="310"/>
      <c r="E92" s="310"/>
      <c r="F92" s="310"/>
      <c r="G92" s="310"/>
      <c r="H92" s="311"/>
      <c r="I92" s="304">
        <f>'Sch M-2.3-E pg 1-2'!$K$3</f>
        <v>0</v>
      </c>
      <c r="J92" s="62"/>
      <c r="L92" s="687"/>
      <c r="M92" s="687"/>
      <c r="N92" s="223"/>
      <c r="O92" s="223"/>
      <c r="P92" s="223"/>
      <c r="Q92" s="223"/>
      <c r="R92" s="223"/>
      <c r="S92" s="223"/>
      <c r="T92" s="223"/>
      <c r="U92" s="223"/>
      <c r="V92" s="223"/>
      <c r="W92" s="223"/>
    </row>
    <row r="93" spans="1:23" ht="12.75">
      <c r="A93" s="348"/>
      <c r="B93" s="191"/>
      <c r="C93" s="215"/>
      <c r="D93" s="191"/>
      <c r="E93" s="191"/>
      <c r="F93" s="269"/>
      <c r="G93" s="269"/>
      <c r="H93" s="270"/>
      <c r="I93" s="738"/>
      <c r="J93" s="62"/>
      <c r="L93" s="687"/>
      <c r="M93" s="687"/>
      <c r="N93" s="223"/>
      <c r="O93" s="223"/>
      <c r="P93" s="223"/>
      <c r="Q93" s="223"/>
      <c r="R93" s="223"/>
      <c r="S93" s="223"/>
      <c r="T93" s="223"/>
      <c r="U93" s="223"/>
      <c r="V93" s="223"/>
      <c r="W93" s="223"/>
    </row>
    <row r="94" spans="1:23" ht="12.75">
      <c r="A94" s="374"/>
      <c r="B94" s="375"/>
      <c r="C94" s="375"/>
      <c r="D94" s="375"/>
      <c r="E94" s="376"/>
      <c r="F94" s="376"/>
      <c r="G94" s="376" t="s">
        <v>876</v>
      </c>
      <c r="H94" s="377"/>
      <c r="I94" s="378" t="s">
        <v>876</v>
      </c>
      <c r="J94" s="62"/>
      <c r="L94" s="687"/>
      <c r="M94" s="687"/>
      <c r="N94" s="223"/>
      <c r="O94" s="223"/>
      <c r="P94" s="223"/>
      <c r="Q94" s="223"/>
      <c r="R94" s="223"/>
      <c r="S94" s="223"/>
      <c r="T94" s="223"/>
      <c r="U94" s="223"/>
      <c r="V94" s="223"/>
      <c r="W94" s="223"/>
    </row>
    <row r="95" spans="1:23" ht="12.75">
      <c r="A95" s="303"/>
      <c r="B95" s="62"/>
      <c r="C95" s="63" t="s">
        <v>125</v>
      </c>
      <c r="D95" s="63" t="s">
        <v>921</v>
      </c>
      <c r="E95" s="63" t="s">
        <v>56</v>
      </c>
      <c r="F95" s="63" t="s">
        <v>877</v>
      </c>
      <c r="G95" s="63" t="s">
        <v>878</v>
      </c>
      <c r="H95" s="63" t="s">
        <v>879</v>
      </c>
      <c r="I95" s="281" t="s">
        <v>878</v>
      </c>
      <c r="J95" s="62"/>
      <c r="K95" s="62"/>
      <c r="L95" s="687"/>
      <c r="M95" s="687"/>
      <c r="N95" s="223"/>
      <c r="O95" s="223"/>
      <c r="P95" s="223"/>
      <c r="Q95" s="223"/>
      <c r="R95" s="223"/>
      <c r="S95" s="223"/>
      <c r="T95" s="223"/>
      <c r="U95" s="223"/>
      <c r="V95" s="223"/>
      <c r="W95" s="223"/>
    </row>
    <row r="96" spans="1:23" ht="12.75">
      <c r="A96" s="379"/>
      <c r="B96" s="276"/>
      <c r="C96" s="380" t="s">
        <v>713</v>
      </c>
      <c r="D96" s="380" t="s">
        <v>923</v>
      </c>
      <c r="E96" s="380" t="s">
        <v>80</v>
      </c>
      <c r="F96" s="381" t="s">
        <v>93</v>
      </c>
      <c r="G96" s="380" t="s">
        <v>880</v>
      </c>
      <c r="H96" s="380" t="s">
        <v>93</v>
      </c>
      <c r="I96" s="382" t="s">
        <v>881</v>
      </c>
      <c r="J96" s="62"/>
      <c r="K96" s="62"/>
      <c r="L96" s="687"/>
      <c r="M96" s="687"/>
      <c r="N96" s="223"/>
      <c r="O96" s="223"/>
      <c r="P96" s="223"/>
      <c r="Q96" s="223"/>
      <c r="R96" s="223"/>
      <c r="S96" s="223"/>
      <c r="T96" s="223"/>
      <c r="U96" s="223"/>
      <c r="V96" s="223"/>
      <c r="W96" s="223"/>
    </row>
    <row r="97" spans="1:23" ht="12.75">
      <c r="A97" s="303" t="s">
        <v>1267</v>
      </c>
      <c r="B97" s="330"/>
      <c r="C97" s="222"/>
      <c r="D97" s="222"/>
      <c r="E97" s="62"/>
      <c r="F97" s="193"/>
      <c r="G97" s="199"/>
      <c r="H97" s="62"/>
      <c r="I97" s="281"/>
      <c r="J97" s="62"/>
      <c r="K97" s="62"/>
      <c r="L97" s="687"/>
      <c r="M97" s="687"/>
      <c r="N97" s="223"/>
      <c r="O97" s="223"/>
      <c r="P97" s="223"/>
      <c r="Q97" s="223"/>
      <c r="R97" s="223"/>
      <c r="S97" s="223"/>
      <c r="T97" s="223"/>
      <c r="U97" s="223"/>
      <c r="V97" s="223"/>
      <c r="W97" s="223"/>
    </row>
    <row r="98" spans="1:23" ht="12.75">
      <c r="A98" s="357" t="s">
        <v>120</v>
      </c>
      <c r="B98" s="62"/>
      <c r="C98" s="62"/>
      <c r="D98" s="62"/>
      <c r="E98" s="62"/>
      <c r="F98" s="62"/>
      <c r="G98" s="62"/>
      <c r="H98" s="62"/>
      <c r="I98" s="281"/>
      <c r="J98" s="62"/>
      <c r="L98" s="687"/>
      <c r="M98" s="687"/>
      <c r="N98" s="223"/>
      <c r="O98" s="223"/>
      <c r="P98" s="223"/>
      <c r="Q98" s="223"/>
      <c r="R98" s="223"/>
      <c r="S98" s="223"/>
      <c r="T98" s="223"/>
      <c r="U98" s="223"/>
      <c r="V98" s="223"/>
      <c r="W98" s="223"/>
    </row>
    <row r="99" spans="1:23" ht="12.75">
      <c r="A99" s="357"/>
      <c r="B99" s="284" t="s">
        <v>949</v>
      </c>
      <c r="C99" s="313" t="str">
        <f t="shared" ref="C99" si="35">RIGHT(D99,3)</f>
        <v>252</v>
      </c>
      <c r="D99" s="314" t="s">
        <v>223</v>
      </c>
      <c r="E99" s="62">
        <f>E100+E101</f>
        <v>48495</v>
      </c>
      <c r="F99" s="62"/>
      <c r="G99" s="62">
        <f>G100+G101</f>
        <v>465231</v>
      </c>
      <c r="H99" s="193">
        <f>ROUND(G99/E99,2)</f>
        <v>9.59</v>
      </c>
      <c r="I99" s="353">
        <f>ROUND(E99*H99,0)</f>
        <v>465067</v>
      </c>
      <c r="J99" s="62"/>
      <c r="L99" s="687"/>
      <c r="M99" s="687"/>
      <c r="N99" s="223"/>
      <c r="O99" s="223"/>
      <c r="P99" s="223"/>
      <c r="Q99" s="223"/>
      <c r="R99" s="223"/>
      <c r="S99" s="223"/>
      <c r="T99" s="223"/>
      <c r="U99" s="223"/>
      <c r="V99" s="223"/>
      <c r="W99" s="223"/>
    </row>
    <row r="100" spans="1:23" s="62" customFormat="1" ht="12.75">
      <c r="A100" s="332"/>
      <c r="B100" s="331" t="s">
        <v>949</v>
      </c>
      <c r="C100" s="313" t="str">
        <f t="shared" ref="C100" si="36">RIGHT(D100,3)</f>
        <v>252</v>
      </c>
      <c r="D100" s="314" t="s">
        <v>223</v>
      </c>
      <c r="E100" s="192">
        <f>SUMIF(L_12MonLightsTariffRateCategory,MiscData!$X$5&amp;$D100,L_12MonLights_Count_Total)</f>
        <v>47768</v>
      </c>
      <c r="F100" s="219">
        <f>SUMIF(L_LightingRates_Tariff_Rate_Category,MiscData!$X$5&amp;$D100,L_LightingRates_UnitCharge)</f>
        <v>9.57</v>
      </c>
      <c r="G100" s="199">
        <f>ROUND(E100*F100,0)</f>
        <v>457140</v>
      </c>
      <c r="H100" s="193"/>
      <c r="I100" s="353"/>
      <c r="J100" s="354">
        <f>$K$8</f>
        <v>6.2E-4</v>
      </c>
      <c r="L100" s="687"/>
      <c r="M100" s="687"/>
      <c r="N100" s="223"/>
      <c r="O100" s="223"/>
      <c r="P100" s="223"/>
      <c r="Q100" s="223"/>
      <c r="R100" s="223"/>
      <c r="S100" s="223"/>
      <c r="T100" s="223"/>
      <c r="U100" s="223"/>
      <c r="V100" s="223"/>
      <c r="W100" s="223"/>
    </row>
    <row r="101" spans="1:23" ht="12.75">
      <c r="A101" s="332"/>
      <c r="B101" s="331" t="s">
        <v>950</v>
      </c>
      <c r="C101" s="313" t="str">
        <f>RIGHT(D101,3)</f>
        <v>458</v>
      </c>
      <c r="D101" s="314" t="s">
        <v>323</v>
      </c>
      <c r="E101" s="192">
        <f>SUMIF(L_12MonLightsTariffRateCategory,MiscData!$X$5&amp;$D101,L_12MonLights_Count_Total)</f>
        <v>727</v>
      </c>
      <c r="F101" s="219">
        <f>SUMIF(L_LightingRates_Tariff_Rate_Category,MiscData!$X$5&amp;$D101,L_LightingRates_UnitCharge)</f>
        <v>11.13</v>
      </c>
      <c r="G101" s="199">
        <f>ROUND(E101*F101,0)-1</f>
        <v>8091</v>
      </c>
      <c r="H101" s="193"/>
      <c r="I101" s="353"/>
      <c r="J101" s="219"/>
      <c r="L101" s="687"/>
      <c r="M101" s="687"/>
      <c r="N101" s="223"/>
      <c r="O101" s="223"/>
      <c r="P101" s="223"/>
      <c r="Q101" s="223"/>
      <c r="R101" s="223"/>
      <c r="S101" s="223"/>
      <c r="T101" s="223"/>
      <c r="U101" s="223"/>
      <c r="V101" s="223"/>
      <c r="W101" s="223"/>
    </row>
    <row r="102" spans="1:23" ht="12.75">
      <c r="A102" s="319"/>
      <c r="B102" s="62"/>
      <c r="C102" s="314"/>
      <c r="D102" s="314"/>
      <c r="E102" s="62"/>
      <c r="F102" s="193"/>
      <c r="G102" s="199"/>
      <c r="H102" s="301"/>
      <c r="I102" s="287"/>
      <c r="J102" s="62"/>
      <c r="L102" s="687"/>
      <c r="M102" s="687"/>
      <c r="N102" s="223"/>
      <c r="O102" s="223"/>
      <c r="P102" s="223"/>
      <c r="Q102" s="223"/>
      <c r="R102" s="223"/>
      <c r="S102" s="223"/>
      <c r="T102" s="223"/>
      <c r="U102" s="223"/>
      <c r="V102" s="223"/>
      <c r="W102" s="223"/>
    </row>
    <row r="103" spans="1:23" ht="12.75">
      <c r="A103" s="356"/>
      <c r="B103" s="62" t="s">
        <v>951</v>
      </c>
      <c r="C103" s="313" t="str">
        <f t="shared" ref="C103:C105" si="37">RIGHT(D103,3)</f>
        <v>203</v>
      </c>
      <c r="D103" s="314" t="s">
        <v>213</v>
      </c>
      <c r="E103" s="192">
        <f>SUMIF(L_12MonLightsTariffRateCategory,MiscData!$X$5&amp;$D103,L_12MonLights_Count_Total)</f>
        <v>46852</v>
      </c>
      <c r="F103" s="219">
        <f>SUMIF(L_LightingRates_Tariff_Rate_Category,MiscData!$X$5&amp;$D103,L_LightingRates_UnitCharge)</f>
        <v>10.959999999999999</v>
      </c>
      <c r="G103" s="199">
        <f>ROUND(E103*F103,0)</f>
        <v>513498</v>
      </c>
      <c r="H103" s="193">
        <f t="shared" ref="H103:H105" si="38">ROUND(F103*(1+$J$10),2)</f>
        <v>10.97</v>
      </c>
      <c r="I103" s="353">
        <f t="shared" ref="I103:I105" si="39">ROUND(E103*H103,0)</f>
        <v>513966</v>
      </c>
      <c r="J103" s="354">
        <f>$K$8</f>
        <v>6.2E-4</v>
      </c>
      <c r="L103" s="687"/>
      <c r="M103" s="687"/>
      <c r="N103" s="223"/>
      <c r="O103" s="223"/>
      <c r="P103" s="223"/>
      <c r="Q103" s="223"/>
      <c r="R103" s="223"/>
      <c r="S103" s="223"/>
      <c r="T103" s="223"/>
      <c r="U103" s="223"/>
      <c r="V103" s="223"/>
      <c r="W103" s="223"/>
    </row>
    <row r="104" spans="1:23" ht="12.75">
      <c r="A104" s="356"/>
      <c r="B104" s="62" t="s">
        <v>952</v>
      </c>
      <c r="C104" s="313" t="str">
        <f t="shared" si="37"/>
        <v>204</v>
      </c>
      <c r="D104" s="314" t="s">
        <v>214</v>
      </c>
      <c r="E104" s="192">
        <f>SUMIF(L_12MonLightsTariffRateCategory,MiscData!$X$5&amp;$D104,L_12MonLights_Count_Total)</f>
        <v>45423</v>
      </c>
      <c r="F104" s="219">
        <f>SUMIF(L_LightingRates_Tariff_Rate_Category,MiscData!$X$5&amp;$D104,L_LightingRates_UnitCharge)</f>
        <v>13.510000000000002</v>
      </c>
      <c r="G104" s="199">
        <f>ROUND(E104*F104,0)</f>
        <v>613665</v>
      </c>
      <c r="H104" s="193">
        <f t="shared" si="38"/>
        <v>13.52</v>
      </c>
      <c r="I104" s="353">
        <f t="shared" si="39"/>
        <v>614119</v>
      </c>
      <c r="J104" s="354">
        <f>$K$8</f>
        <v>6.2E-4</v>
      </c>
      <c r="L104" s="687"/>
      <c r="M104" s="687"/>
      <c r="N104" s="223"/>
      <c r="O104" s="223"/>
      <c r="P104" s="223"/>
      <c r="Q104" s="223"/>
      <c r="R104" s="223"/>
      <c r="S104" s="223"/>
      <c r="T104" s="223"/>
      <c r="U104" s="223"/>
      <c r="V104" s="223"/>
      <c r="W104" s="223"/>
    </row>
    <row r="105" spans="1:23" ht="12.75">
      <c r="A105" s="356"/>
      <c r="B105" s="62" t="s">
        <v>953</v>
      </c>
      <c r="C105" s="313" t="str">
        <f t="shared" si="37"/>
        <v>209</v>
      </c>
      <c r="D105" s="314" t="s">
        <v>344</v>
      </c>
      <c r="E105" s="192">
        <f>SUMIF(L_12MonLightsTariffRateCategory,MiscData!$X$5&amp;$D105,L_12MonLights_Count_Total)</f>
        <v>529</v>
      </c>
      <c r="F105" s="219">
        <f>SUMIF(L_LightingRates_Tariff_Rate_Category,MiscData!$X$5&amp;$D105,L_LightingRates_UnitCharge)</f>
        <v>27.69</v>
      </c>
      <c r="G105" s="199">
        <f>ROUND(E105*F105,0)</f>
        <v>14648</v>
      </c>
      <c r="H105" s="193">
        <f t="shared" si="38"/>
        <v>27.71</v>
      </c>
      <c r="I105" s="353">
        <f t="shared" si="39"/>
        <v>14659</v>
      </c>
      <c r="J105" s="354">
        <f>$K$8</f>
        <v>6.2E-4</v>
      </c>
      <c r="L105" s="687"/>
      <c r="M105" s="687"/>
      <c r="N105" s="223"/>
      <c r="O105" s="223"/>
      <c r="P105" s="223"/>
      <c r="Q105" s="223"/>
      <c r="R105" s="223"/>
      <c r="S105" s="223"/>
      <c r="T105" s="223"/>
      <c r="U105" s="223"/>
      <c r="V105" s="223"/>
      <c r="W105" s="223"/>
    </row>
    <row r="106" spans="1:23" ht="12.75">
      <c r="A106" s="356"/>
      <c r="B106" s="62"/>
      <c r="C106" s="62"/>
      <c r="D106" s="62"/>
      <c r="E106" s="301"/>
      <c r="F106" s="62"/>
      <c r="G106" s="62"/>
      <c r="H106" s="301"/>
      <c r="I106" s="287"/>
      <c r="J106" s="62"/>
      <c r="L106" s="687"/>
      <c r="M106" s="687"/>
      <c r="N106" s="223"/>
      <c r="O106" s="223"/>
      <c r="P106" s="223"/>
      <c r="Q106" s="223"/>
      <c r="R106" s="223"/>
      <c r="S106" s="223"/>
      <c r="T106" s="223"/>
      <c r="U106" s="223"/>
      <c r="V106" s="223"/>
      <c r="W106" s="223"/>
    </row>
    <row r="107" spans="1:23" ht="12.75">
      <c r="A107" s="356"/>
      <c r="B107" s="62" t="s">
        <v>954</v>
      </c>
      <c r="C107" s="313" t="str">
        <f t="shared" ref="C107" si="40">RIGHT(D107,3)</f>
        <v>207</v>
      </c>
      <c r="D107" s="314" t="s">
        <v>216</v>
      </c>
      <c r="E107" s="192">
        <f>SUMIF(L_12MonLightsTariffRateCategory,MiscData!$X$5&amp;$D107,L_12MonLights_Count_Total)</f>
        <v>9061</v>
      </c>
      <c r="F107" s="219">
        <f>SUMIF(L_LightingRates_Tariff_Rate_Category,MiscData!$X$5&amp;$D107,L_LightingRates_UnitCharge)</f>
        <v>15.54</v>
      </c>
      <c r="G107" s="199">
        <f t="shared" ref="G107" si="41">ROUND(E107*F107,0)</f>
        <v>140808</v>
      </c>
      <c r="H107" s="193">
        <f t="shared" ref="H107:H108" si="42">ROUND(F107*(1+$J$10),2)</f>
        <v>15.55</v>
      </c>
      <c r="I107" s="353">
        <f t="shared" ref="I107:I108" si="43">ROUND(E107*H107,0)</f>
        <v>140899</v>
      </c>
      <c r="J107" s="354">
        <f>$K$8</f>
        <v>6.2E-4</v>
      </c>
      <c r="L107" s="687"/>
      <c r="M107" s="687"/>
      <c r="N107" s="223"/>
      <c r="O107" s="223"/>
      <c r="P107" s="223"/>
      <c r="Q107" s="223"/>
      <c r="R107" s="223"/>
      <c r="S107" s="223"/>
      <c r="T107" s="223"/>
      <c r="U107" s="223"/>
      <c r="V107" s="223"/>
      <c r="W107" s="223"/>
    </row>
    <row r="108" spans="1:23" ht="12.75">
      <c r="A108" s="356"/>
      <c r="B108" s="62" t="s">
        <v>955</v>
      </c>
      <c r="C108" s="313" t="str">
        <f t="shared" ref="C108" si="44">RIGHT(D108,3)</f>
        <v>210</v>
      </c>
      <c r="D108" s="314" t="s">
        <v>218</v>
      </c>
      <c r="E108" s="192">
        <f>SUMIF(L_12MonLightsTariffRateCategory,MiscData!$X$5&amp;$D108,L_12MonLights_Count_Total)</f>
        <v>4224</v>
      </c>
      <c r="F108" s="219">
        <f>SUMIF(L_LightingRates_Tariff_Rate_Category,MiscData!$X$5&amp;$D108,L_LightingRates_UnitCharge)</f>
        <v>28.89</v>
      </c>
      <c r="G108" s="199">
        <f>ROUND(E108*F108,0)</f>
        <v>122031</v>
      </c>
      <c r="H108" s="193">
        <f t="shared" si="42"/>
        <v>28.91</v>
      </c>
      <c r="I108" s="353">
        <f t="shared" si="43"/>
        <v>122116</v>
      </c>
      <c r="J108" s="354">
        <f>$K$8</f>
        <v>6.2E-4</v>
      </c>
      <c r="L108" s="687"/>
      <c r="M108" s="687"/>
      <c r="N108" s="223"/>
      <c r="O108" s="223"/>
      <c r="P108" s="223"/>
      <c r="Q108" s="223"/>
      <c r="R108" s="223"/>
      <c r="S108" s="223"/>
      <c r="T108" s="223"/>
      <c r="U108" s="223"/>
      <c r="V108" s="223"/>
      <c r="W108" s="223"/>
    </row>
    <row r="109" spans="1:23" ht="12.75">
      <c r="A109" s="319"/>
      <c r="B109" s="62"/>
      <c r="C109" s="314"/>
      <c r="D109" s="314"/>
      <c r="E109" s="62"/>
      <c r="F109" s="193"/>
      <c r="G109" s="199"/>
      <c r="H109" s="301"/>
      <c r="I109" s="287"/>
      <c r="J109" s="62"/>
      <c r="L109" s="687"/>
      <c r="M109" s="687"/>
      <c r="N109" s="223"/>
      <c r="O109" s="223"/>
      <c r="P109" s="223"/>
      <c r="Q109" s="223"/>
      <c r="R109" s="223"/>
      <c r="S109" s="223"/>
      <c r="T109" s="223"/>
      <c r="U109" s="223"/>
      <c r="V109" s="223"/>
      <c r="W109" s="223"/>
    </row>
    <row r="110" spans="1:23" ht="12.75">
      <c r="A110" s="356"/>
      <c r="B110" s="62" t="s">
        <v>956</v>
      </c>
      <c r="C110" s="313" t="str">
        <f t="shared" ref="C110" si="45">RIGHT(D110,3)</f>
        <v>201</v>
      </c>
      <c r="D110" s="314" t="s">
        <v>342</v>
      </c>
      <c r="E110" s="192">
        <f>SUMIF(L_12MonLightsTariffRateCategory,MiscData!$X$5&amp;$D110,L_12MonLights_Count_Total)</f>
        <v>898</v>
      </c>
      <c r="F110" s="219">
        <f>SUMIF(L_LightingRates_Tariff_Rate_Category,MiscData!$X$5&amp;$D110,L_LightingRates_UnitCharge)</f>
        <v>8.14</v>
      </c>
      <c r="G110" s="199">
        <f>ROUND(E110*F110,0)</f>
        <v>7310</v>
      </c>
      <c r="H110" s="193">
        <f>ROUND(F110*(1+$J$10),2)</f>
        <v>8.15</v>
      </c>
      <c r="I110" s="353">
        <f>ROUND(E110*H110,0)</f>
        <v>7319</v>
      </c>
      <c r="J110" s="354">
        <f>$K$8</f>
        <v>6.2E-4</v>
      </c>
      <c r="L110" s="687"/>
      <c r="M110" s="687"/>
      <c r="N110" s="223"/>
      <c r="O110" s="223"/>
      <c r="P110" s="223"/>
      <c r="Q110" s="223"/>
      <c r="R110" s="223"/>
      <c r="S110" s="223"/>
      <c r="T110" s="223"/>
      <c r="U110" s="223"/>
      <c r="V110" s="223"/>
      <c r="W110" s="223"/>
    </row>
    <row r="111" spans="1:23" ht="12.75">
      <c r="A111" s="319"/>
      <c r="B111" s="62"/>
      <c r="C111" s="314"/>
      <c r="D111" s="314"/>
      <c r="E111" s="62"/>
      <c r="F111" s="193"/>
      <c r="G111" s="199"/>
      <c r="H111" s="301"/>
      <c r="I111" s="287"/>
      <c r="J111" s="62"/>
      <c r="L111" s="687"/>
      <c r="M111" s="687"/>
      <c r="N111" s="223"/>
      <c r="O111" s="223"/>
      <c r="P111" s="223"/>
      <c r="Q111" s="223"/>
      <c r="R111" s="223"/>
      <c r="S111" s="223"/>
      <c r="T111" s="223"/>
      <c r="U111" s="223"/>
      <c r="V111" s="223"/>
      <c r="W111" s="223"/>
    </row>
    <row r="112" spans="1:23" ht="12.75">
      <c r="A112" s="357" t="s">
        <v>924</v>
      </c>
      <c r="B112" s="62"/>
      <c r="C112" s="62"/>
      <c r="D112" s="62"/>
      <c r="E112" s="62"/>
      <c r="F112" s="62"/>
      <c r="G112" s="62"/>
      <c r="H112" s="62"/>
      <c r="I112" s="281"/>
      <c r="J112" s="62"/>
      <c r="L112" s="687"/>
      <c r="M112" s="687"/>
      <c r="N112" s="223"/>
      <c r="O112" s="223"/>
      <c r="P112" s="223"/>
      <c r="Q112" s="223"/>
      <c r="R112" s="223"/>
      <c r="S112" s="223"/>
      <c r="T112" s="223"/>
      <c r="U112" s="223"/>
      <c r="V112" s="223"/>
      <c r="W112" s="223"/>
    </row>
    <row r="113" spans="1:23" ht="12.75">
      <c r="A113" s="356"/>
      <c r="B113" s="62" t="s">
        <v>958</v>
      </c>
      <c r="C113" s="313" t="str">
        <f>RIGHT(D113,3)</f>
        <v>471</v>
      </c>
      <c r="D113" s="314" t="s">
        <v>329</v>
      </c>
      <c r="E113" s="192">
        <f>SUMIF(L_12MonLightsTariffRateCategory,MiscData!$X$5&amp;$D113,L_12MonLights_Count_Total)</f>
        <v>26</v>
      </c>
      <c r="F113" s="219">
        <f>SUMIF(L_LightingRates_Tariff_Rate_Category,MiscData!$X$5&amp;$D113,L_LightingRates_UnitCharge)</f>
        <v>15.07</v>
      </c>
      <c r="G113" s="199">
        <f>ROUND(E113*F113,0)</f>
        <v>392</v>
      </c>
      <c r="H113" s="193">
        <f t="shared" ref="H113:H116" si="46">ROUND(F113*(1+$J$10),2)</f>
        <v>15.08</v>
      </c>
      <c r="I113" s="353">
        <f t="shared" ref="I113:I116" si="47">ROUND(E113*H113,0)</f>
        <v>392</v>
      </c>
      <c r="J113" s="354">
        <f>$K$8</f>
        <v>6.2E-4</v>
      </c>
      <c r="L113" s="687"/>
      <c r="M113" s="687"/>
      <c r="N113" s="223"/>
      <c r="O113" s="223"/>
      <c r="P113" s="223"/>
      <c r="Q113" s="223"/>
      <c r="R113" s="223"/>
      <c r="S113" s="223"/>
      <c r="T113" s="223"/>
      <c r="U113" s="223"/>
      <c r="V113" s="223"/>
      <c r="W113" s="223"/>
    </row>
    <row r="114" spans="1:23" ht="12.75">
      <c r="A114" s="356"/>
      <c r="B114" s="62" t="s">
        <v>959</v>
      </c>
      <c r="C114" s="313" t="str">
        <f>RIGHT(D114,3)</f>
        <v>474</v>
      </c>
      <c r="D114" s="314" t="s">
        <v>331</v>
      </c>
      <c r="E114" s="192">
        <f>SUMIF(L_12MonLightsTariffRateCategory,MiscData!$X$5&amp;$D114,L_12MonLights_Count_Total)</f>
        <v>708</v>
      </c>
      <c r="F114" s="219">
        <f>SUMIF(L_LightingRates_Tariff_Rate_Category,MiscData!$X$5&amp;$D114,L_LightingRates_UnitCharge)</f>
        <v>20.970000000000002</v>
      </c>
      <c r="G114" s="199">
        <f>ROUND(E114*F114,0)</f>
        <v>14847</v>
      </c>
      <c r="H114" s="193">
        <f t="shared" si="46"/>
        <v>20.98</v>
      </c>
      <c r="I114" s="353">
        <f t="shared" si="47"/>
        <v>14854</v>
      </c>
      <c r="J114" s="354">
        <f>$K$8</f>
        <v>6.2E-4</v>
      </c>
      <c r="L114" s="687"/>
      <c r="M114" s="687"/>
      <c r="N114" s="223"/>
      <c r="O114" s="223"/>
      <c r="P114" s="223"/>
      <c r="Q114" s="223"/>
      <c r="R114" s="223"/>
      <c r="S114" s="223"/>
      <c r="T114" s="223"/>
      <c r="U114" s="223"/>
      <c r="V114" s="223"/>
      <c r="W114" s="223"/>
    </row>
    <row r="115" spans="1:23" ht="12.75">
      <c r="A115" s="356"/>
      <c r="B115" s="62" t="s">
        <v>960</v>
      </c>
      <c r="C115" s="313" t="str">
        <f>RIGHT(D115,3)</f>
        <v>475</v>
      </c>
      <c r="D115" s="314" t="s">
        <v>332</v>
      </c>
      <c r="E115" s="192">
        <f>SUMIF(L_12MonLightsTariffRateCategory,MiscData!$X$5&amp;$D115,L_12MonLights_Count_Total)</f>
        <v>37</v>
      </c>
      <c r="F115" s="219">
        <f>SUMIF(L_LightingRates_Tariff_Rate_Category,MiscData!$X$5&amp;$D115,L_LightingRates_UnitCharge)</f>
        <v>28.42</v>
      </c>
      <c r="G115" s="199">
        <f>ROUND(E115*F115,0)</f>
        <v>1052</v>
      </c>
      <c r="H115" s="193">
        <f t="shared" si="46"/>
        <v>28.44</v>
      </c>
      <c r="I115" s="353">
        <f t="shared" si="47"/>
        <v>1052</v>
      </c>
      <c r="J115" s="354">
        <f>$K$8</f>
        <v>6.2E-4</v>
      </c>
      <c r="L115" s="687"/>
      <c r="M115" s="687"/>
      <c r="N115" s="223"/>
      <c r="O115" s="223"/>
      <c r="P115" s="223"/>
      <c r="Q115" s="223"/>
      <c r="R115" s="223"/>
      <c r="S115" s="223"/>
      <c r="T115" s="223"/>
      <c r="U115" s="223"/>
      <c r="V115" s="223"/>
      <c r="W115" s="223"/>
    </row>
    <row r="116" spans="1:23" ht="12.75">
      <c r="A116" s="356"/>
      <c r="B116" s="62" t="s">
        <v>957</v>
      </c>
      <c r="C116" s="313" t="str">
        <f>RIGHT(D116,3)</f>
        <v>477</v>
      </c>
      <c r="D116" s="314" t="s">
        <v>334</v>
      </c>
      <c r="E116" s="192">
        <f>SUMIF(L_12MonLightsTariffRateCategory,MiscData!$X$5&amp;$D116,L_12MonLights_Count_Total)</f>
        <v>682</v>
      </c>
      <c r="F116" s="219">
        <f>SUMIF(L_LightingRates_Tariff_Rate_Category,MiscData!$X$5&amp;$D116,L_LightingRates_UnitCharge)</f>
        <v>42.78</v>
      </c>
      <c r="G116" s="199">
        <f>ROUND(E116*F116,0)</f>
        <v>29176</v>
      </c>
      <c r="H116" s="193">
        <f t="shared" si="46"/>
        <v>42.81</v>
      </c>
      <c r="I116" s="353">
        <f t="shared" si="47"/>
        <v>29196</v>
      </c>
      <c r="J116" s="354">
        <f>$K$8</f>
        <v>6.2E-4</v>
      </c>
      <c r="L116" s="687"/>
      <c r="M116" s="687"/>
      <c r="N116" s="223"/>
      <c r="O116" s="223"/>
      <c r="P116" s="223"/>
      <c r="Q116" s="223"/>
      <c r="R116" s="223"/>
      <c r="S116" s="223"/>
      <c r="T116" s="223"/>
      <c r="U116" s="223"/>
      <c r="V116" s="223"/>
      <c r="W116" s="223"/>
    </row>
    <row r="117" spans="1:23" ht="12.75">
      <c r="A117" s="319"/>
      <c r="B117" s="62"/>
      <c r="C117" s="314"/>
      <c r="D117" s="314"/>
      <c r="E117" s="62"/>
      <c r="F117" s="193"/>
      <c r="G117" s="199"/>
      <c r="H117" s="301"/>
      <c r="I117" s="287"/>
      <c r="L117" s="687"/>
      <c r="M117" s="687"/>
      <c r="N117" s="223"/>
      <c r="O117" s="223"/>
      <c r="P117" s="223"/>
      <c r="Q117" s="223"/>
      <c r="R117" s="223"/>
      <c r="S117" s="223"/>
      <c r="T117" s="223"/>
      <c r="U117" s="223"/>
      <c r="V117" s="223"/>
      <c r="W117" s="223"/>
    </row>
    <row r="118" spans="1:23" ht="12.75">
      <c r="A118" s="319"/>
      <c r="B118" s="62"/>
      <c r="C118" s="314"/>
      <c r="D118" s="314"/>
      <c r="E118" s="62"/>
      <c r="F118" s="193"/>
      <c r="G118" s="199"/>
      <c r="H118" s="301"/>
      <c r="I118" s="287"/>
      <c r="L118" s="687"/>
      <c r="M118" s="687"/>
      <c r="N118" s="223"/>
      <c r="O118" s="223"/>
      <c r="P118" s="223"/>
      <c r="Q118" s="223"/>
      <c r="R118" s="223"/>
      <c r="S118" s="223"/>
      <c r="T118" s="223"/>
      <c r="U118" s="223"/>
      <c r="V118" s="223"/>
      <c r="W118" s="223"/>
    </row>
    <row r="119" spans="1:23" ht="12.75">
      <c r="A119" s="416" t="s">
        <v>1283</v>
      </c>
      <c r="B119" s="310"/>
      <c r="C119" s="310"/>
      <c r="D119" s="310"/>
      <c r="E119" s="310"/>
      <c r="F119" s="310"/>
      <c r="G119" s="310"/>
      <c r="H119" s="311"/>
      <c r="I119" s="304" t="str">
        <f>'Sch M-2.3-E pg 1-2'!$K$1</f>
        <v>Schedule M-2.3-E</v>
      </c>
      <c r="L119" s="687"/>
      <c r="M119" s="687"/>
      <c r="N119" s="223"/>
      <c r="O119" s="223"/>
      <c r="P119" s="223"/>
      <c r="Q119" s="223"/>
      <c r="R119" s="223"/>
      <c r="S119" s="223"/>
      <c r="T119" s="223"/>
      <c r="U119" s="223"/>
      <c r="V119" s="223"/>
      <c r="W119" s="223"/>
    </row>
    <row r="120" spans="1:23" ht="12.75">
      <c r="A120" s="347" t="s">
        <v>1251</v>
      </c>
      <c r="B120" s="310"/>
      <c r="C120" s="310"/>
      <c r="D120" s="310"/>
      <c r="E120" s="310"/>
      <c r="F120" s="310"/>
      <c r="G120" s="310"/>
      <c r="H120" s="311"/>
      <c r="I120" s="304" t="str">
        <f>"Page "&amp;L120&amp;" of "&amp;M120</f>
        <v>Page 22 of 24</v>
      </c>
      <c r="J120" s="62"/>
      <c r="L120" s="687">
        <f>L91+1</f>
        <v>22</v>
      </c>
      <c r="M120" s="687">
        <f>$M$189</f>
        <v>24</v>
      </c>
      <c r="N120" s="223"/>
      <c r="O120" s="223"/>
      <c r="P120" s="223"/>
      <c r="Q120" s="223"/>
      <c r="R120" s="223"/>
      <c r="S120" s="223"/>
      <c r="T120" s="223"/>
      <c r="U120" s="223"/>
      <c r="V120" s="223"/>
      <c r="W120" s="223"/>
    </row>
    <row r="121" spans="1:23" ht="12.75">
      <c r="A121" s="347" t="s">
        <v>1248</v>
      </c>
      <c r="B121" s="310"/>
      <c r="C121" s="310"/>
      <c r="D121" s="310"/>
      <c r="E121" s="310"/>
      <c r="F121" s="310"/>
      <c r="G121" s="310"/>
      <c r="H121" s="311"/>
      <c r="I121" s="304">
        <f>'Sch M-2.3-E pg 1-2'!$K$3</f>
        <v>0</v>
      </c>
      <c r="J121" s="62"/>
      <c r="L121" s="687"/>
      <c r="M121" s="687"/>
      <c r="N121" s="223"/>
      <c r="O121" s="223"/>
      <c r="P121" s="223"/>
      <c r="Q121" s="223"/>
      <c r="R121" s="223"/>
      <c r="S121" s="223"/>
      <c r="T121" s="223"/>
      <c r="U121" s="223"/>
      <c r="V121" s="223"/>
      <c r="W121" s="223"/>
    </row>
    <row r="122" spans="1:23" ht="12.75">
      <c r="A122" s="348"/>
      <c r="B122" s="191"/>
      <c r="C122" s="215"/>
      <c r="D122" s="191"/>
      <c r="E122" s="191"/>
      <c r="F122" s="269"/>
      <c r="G122" s="269"/>
      <c r="H122" s="270"/>
      <c r="I122" s="738"/>
      <c r="J122" s="62"/>
      <c r="L122" s="687"/>
      <c r="M122" s="687"/>
      <c r="N122" s="223"/>
      <c r="O122" s="223"/>
      <c r="P122" s="223"/>
      <c r="Q122" s="223"/>
      <c r="R122" s="223"/>
      <c r="S122" s="223"/>
      <c r="T122" s="223"/>
      <c r="U122" s="223"/>
      <c r="V122" s="223"/>
      <c r="W122" s="223"/>
    </row>
    <row r="123" spans="1:23" ht="12.75">
      <c r="A123" s="374"/>
      <c r="B123" s="375"/>
      <c r="C123" s="375"/>
      <c r="D123" s="375"/>
      <c r="E123" s="376"/>
      <c r="F123" s="376"/>
      <c r="G123" s="376" t="s">
        <v>876</v>
      </c>
      <c r="H123" s="377"/>
      <c r="I123" s="378" t="s">
        <v>876</v>
      </c>
      <c r="J123" s="62"/>
      <c r="L123" s="687"/>
      <c r="M123" s="687"/>
      <c r="N123" s="223"/>
      <c r="O123" s="223"/>
      <c r="P123" s="223"/>
      <c r="Q123" s="223"/>
      <c r="R123" s="223"/>
      <c r="S123" s="223"/>
      <c r="T123" s="223"/>
      <c r="U123" s="223"/>
      <c r="V123" s="223"/>
      <c r="W123" s="223"/>
    </row>
    <row r="124" spans="1:23" ht="12.75">
      <c r="A124" s="303"/>
      <c r="B124" s="62"/>
      <c r="C124" s="63" t="s">
        <v>125</v>
      </c>
      <c r="D124" s="63" t="s">
        <v>921</v>
      </c>
      <c r="E124" s="63" t="s">
        <v>56</v>
      </c>
      <c r="F124" s="63" t="s">
        <v>877</v>
      </c>
      <c r="G124" s="63" t="s">
        <v>878</v>
      </c>
      <c r="H124" s="63" t="s">
        <v>879</v>
      </c>
      <c r="I124" s="281" t="s">
        <v>878</v>
      </c>
      <c r="J124" s="62"/>
      <c r="L124" s="687"/>
      <c r="M124" s="687"/>
      <c r="N124" s="223"/>
      <c r="O124" s="223"/>
      <c r="P124" s="223"/>
      <c r="Q124" s="223"/>
      <c r="R124" s="223"/>
      <c r="S124" s="223"/>
      <c r="T124" s="223"/>
      <c r="U124" s="223"/>
      <c r="V124" s="223"/>
      <c r="W124" s="223"/>
    </row>
    <row r="125" spans="1:23" ht="12.75">
      <c r="A125" s="379"/>
      <c r="B125" s="276"/>
      <c r="C125" s="380" t="s">
        <v>713</v>
      </c>
      <c r="D125" s="380" t="s">
        <v>923</v>
      </c>
      <c r="E125" s="380" t="s">
        <v>80</v>
      </c>
      <c r="F125" s="381" t="s">
        <v>93</v>
      </c>
      <c r="G125" s="380" t="s">
        <v>880</v>
      </c>
      <c r="H125" s="380" t="s">
        <v>93</v>
      </c>
      <c r="I125" s="382" t="s">
        <v>881</v>
      </c>
      <c r="J125" s="62"/>
      <c r="L125" s="687"/>
      <c r="M125" s="687"/>
      <c r="N125" s="223"/>
      <c r="O125" s="223"/>
      <c r="P125" s="223"/>
      <c r="Q125" s="223"/>
      <c r="R125" s="223"/>
      <c r="S125" s="223"/>
      <c r="T125" s="223"/>
      <c r="U125" s="223"/>
      <c r="V125" s="223"/>
      <c r="W125" s="223"/>
    </row>
    <row r="126" spans="1:23" ht="12.75">
      <c r="A126" s="303" t="s">
        <v>1266</v>
      </c>
      <c r="B126" s="330"/>
      <c r="C126" s="222"/>
      <c r="D126" s="222"/>
      <c r="E126" s="62"/>
      <c r="F126" s="193"/>
      <c r="G126" s="199"/>
      <c r="H126" s="62"/>
      <c r="I126" s="281"/>
      <c r="J126" s="62"/>
      <c r="L126" s="687"/>
      <c r="M126" s="687"/>
      <c r="N126" s="223"/>
      <c r="O126" s="223"/>
      <c r="P126" s="223"/>
      <c r="Q126" s="223"/>
      <c r="R126" s="223"/>
      <c r="S126" s="223"/>
      <c r="T126" s="223"/>
      <c r="U126" s="223"/>
      <c r="V126" s="223"/>
      <c r="W126" s="223"/>
    </row>
    <row r="127" spans="1:23" ht="12.75">
      <c r="A127" s="357" t="s">
        <v>962</v>
      </c>
      <c r="B127" s="62"/>
      <c r="C127" s="62"/>
      <c r="D127" s="62"/>
      <c r="E127" s="62"/>
      <c r="F127" s="62"/>
      <c r="G127" s="62"/>
      <c r="H127" s="62"/>
      <c r="I127" s="281"/>
      <c r="J127" s="62"/>
      <c r="L127" s="687"/>
      <c r="M127" s="687"/>
      <c r="N127" s="223"/>
      <c r="O127" s="223"/>
      <c r="P127" s="223"/>
      <c r="Q127" s="223"/>
      <c r="R127" s="223"/>
      <c r="S127" s="223"/>
      <c r="T127" s="223"/>
      <c r="U127" s="223"/>
      <c r="V127" s="223"/>
      <c r="W127" s="223"/>
    </row>
    <row r="128" spans="1:23" ht="12.75">
      <c r="A128" s="332"/>
      <c r="B128" s="286" t="s">
        <v>964</v>
      </c>
      <c r="C128" s="313" t="str">
        <f t="shared" ref="C128" si="48">MID(D128,4,3)</f>
        <v>958</v>
      </c>
      <c r="D128" s="314" t="s">
        <v>640</v>
      </c>
      <c r="E128" s="192">
        <f>SUMIFS(L_12MonPoles_Count,L_12MonPoles_RateClass,"RLS",L_12MonPoles_RateCategory,D128)</f>
        <v>441</v>
      </c>
      <c r="F128" s="219">
        <f>SUMIF(PoleRates!$E$4:$E$104,MiscData!$X$5&amp;D128,PoleRates!$F$4:$F$104)</f>
        <v>11.31</v>
      </c>
      <c r="G128" s="199">
        <f>ROUND(E128*F128,0)</f>
        <v>4988</v>
      </c>
      <c r="H128" s="193">
        <f t="shared" ref="H128:H129" si="49">ROUND(F128*(1+$J$10),2)</f>
        <v>11.32</v>
      </c>
      <c r="I128" s="353">
        <f t="shared" ref="I128:I129" si="50">ROUND(E128*H128,0)</f>
        <v>4992</v>
      </c>
      <c r="J128" s="354">
        <f>$K$8</f>
        <v>6.2E-4</v>
      </c>
      <c r="L128" s="687"/>
      <c r="M128" s="687"/>
      <c r="N128" s="223"/>
      <c r="O128" s="223"/>
      <c r="P128" s="223"/>
      <c r="Q128" s="223"/>
      <c r="R128" s="223"/>
      <c r="S128" s="223"/>
      <c r="T128" s="223"/>
      <c r="U128" s="223"/>
      <c r="V128" s="223"/>
      <c r="W128" s="223"/>
    </row>
    <row r="129" spans="1:23" ht="12.75">
      <c r="A129" s="319"/>
      <c r="B129" s="62" t="s">
        <v>963</v>
      </c>
      <c r="C129" s="313" t="str">
        <f>MID(D129,4,3)</f>
        <v>900</v>
      </c>
      <c r="D129" s="318" t="s">
        <v>626</v>
      </c>
      <c r="E129" s="192">
        <f>SUMIFS(L_12MonPoles_Count,L_12MonPoles_RateClass,"RLS",L_12MonPoles_RateCategory,D129)</f>
        <v>19943</v>
      </c>
      <c r="F129" s="219">
        <f>SUMIF(PoleRates!$E$4:$E$104,MiscData!$X$5&amp;D129,PoleRates!$F$4:$F$104)</f>
        <v>2.06</v>
      </c>
      <c r="G129" s="199">
        <f>ROUND(E129*F129,0)</f>
        <v>41083</v>
      </c>
      <c r="H129" s="193">
        <f t="shared" si="49"/>
        <v>2.06</v>
      </c>
      <c r="I129" s="353">
        <f t="shared" si="50"/>
        <v>41083</v>
      </c>
      <c r="J129" s="354">
        <f>$K$8</f>
        <v>6.2E-4</v>
      </c>
      <c r="L129" s="687"/>
      <c r="M129" s="687"/>
      <c r="N129" s="223"/>
      <c r="O129" s="223"/>
      <c r="P129" s="223"/>
      <c r="Q129" s="223"/>
      <c r="R129" s="223"/>
      <c r="S129" s="223"/>
      <c r="T129" s="223"/>
      <c r="U129" s="223"/>
      <c r="V129" s="223"/>
      <c r="W129" s="223"/>
    </row>
    <row r="130" spans="1:23" ht="12.75">
      <c r="A130" s="332"/>
      <c r="B130" s="62"/>
      <c r="C130" s="62"/>
      <c r="D130" s="62"/>
      <c r="E130" s="301"/>
      <c r="F130" s="62"/>
      <c r="G130" s="62"/>
      <c r="H130" s="301"/>
      <c r="I130" s="367"/>
      <c r="J130" s="62"/>
      <c r="L130" s="687"/>
      <c r="M130" s="687"/>
      <c r="N130" s="223"/>
      <c r="O130" s="223"/>
      <c r="P130" s="223"/>
      <c r="Q130" s="223"/>
      <c r="R130" s="223"/>
      <c r="S130" s="223"/>
      <c r="T130" s="223"/>
      <c r="U130" s="223"/>
      <c r="V130" s="223"/>
      <c r="W130" s="223"/>
    </row>
    <row r="131" spans="1:23" ht="12.75">
      <c r="A131" s="357" t="s">
        <v>119</v>
      </c>
      <c r="B131" s="62"/>
      <c r="C131" s="62"/>
      <c r="D131" s="62"/>
      <c r="E131" s="62"/>
      <c r="F131" s="62"/>
      <c r="G131" s="62"/>
      <c r="H131" s="62"/>
      <c r="I131" s="281"/>
      <c r="J131" s="62"/>
      <c r="L131" s="687"/>
      <c r="M131" s="687"/>
      <c r="N131" s="223"/>
      <c r="O131" s="223"/>
      <c r="P131" s="223"/>
      <c r="Q131" s="223"/>
      <c r="R131" s="223"/>
      <c r="S131" s="223"/>
      <c r="T131" s="223"/>
      <c r="U131" s="223"/>
      <c r="V131" s="223"/>
      <c r="W131" s="223"/>
    </row>
    <row r="132" spans="1:23" ht="12.75">
      <c r="A132" s="332"/>
      <c r="B132" s="62" t="s">
        <v>965</v>
      </c>
      <c r="C132" s="313" t="str">
        <f t="shared" ref="C132:C134" si="51">RIGHT(D132,3)</f>
        <v>275</v>
      </c>
      <c r="D132" s="314" t="s">
        <v>353</v>
      </c>
      <c r="E132" s="192">
        <f>SUMIF(L_12MonLightsTariffRateCategory,MiscData!$X$5&amp;$D132,L_12MonLights_Count_Total)</f>
        <v>6209</v>
      </c>
      <c r="F132" s="219">
        <f>SUMIF(L_LightingRates_Tariff_Rate_Category,MiscData!$X$5&amp;$D132,L_LightingRates_UnitCharge)</f>
        <v>24.89</v>
      </c>
      <c r="G132" s="199">
        <f>ROUND(E132*F132,0)</f>
        <v>154542</v>
      </c>
      <c r="H132" s="193">
        <f t="shared" ref="H132:H134" si="52">ROUND(F132*(1+$J$10),2)</f>
        <v>24.91</v>
      </c>
      <c r="I132" s="353">
        <f t="shared" ref="I132:I134" si="53">ROUND(E132*H132,0)</f>
        <v>154666</v>
      </c>
      <c r="J132" s="354">
        <f>$K$8</f>
        <v>6.2E-4</v>
      </c>
      <c r="L132" s="687"/>
      <c r="M132" s="687"/>
      <c r="N132" s="223"/>
      <c r="O132" s="223"/>
      <c r="P132" s="223"/>
      <c r="Q132" s="223"/>
      <c r="R132" s="223"/>
      <c r="S132" s="223"/>
      <c r="T132" s="223"/>
      <c r="U132" s="223"/>
      <c r="V132" s="223"/>
      <c r="W132" s="223"/>
    </row>
    <row r="133" spans="1:23" ht="12.75">
      <c r="A133" s="356"/>
      <c r="B133" s="62" t="s">
        <v>966</v>
      </c>
      <c r="C133" s="313" t="str">
        <f t="shared" si="51"/>
        <v>266</v>
      </c>
      <c r="D133" s="314" t="s">
        <v>231</v>
      </c>
      <c r="E133" s="192">
        <f>SUMIF(L_12MonLightsTariffRateCategory,MiscData!$X$5&amp;$D133,L_12MonLights_Count_Total)</f>
        <v>24215</v>
      </c>
      <c r="F133" s="219">
        <f>SUMIF(L_LightingRates_Tariff_Rate_Category,MiscData!$X$5&amp;$D133,L_LightingRates_UnitCharge)</f>
        <v>27.34</v>
      </c>
      <c r="G133" s="199">
        <f t="shared" ref="G133:G134" si="54">ROUND(E133*F133,0)</f>
        <v>662038</v>
      </c>
      <c r="H133" s="193">
        <f t="shared" si="52"/>
        <v>27.36</v>
      </c>
      <c r="I133" s="353">
        <f t="shared" si="53"/>
        <v>662522</v>
      </c>
      <c r="J133" s="354">
        <f>$K$8</f>
        <v>6.2E-4</v>
      </c>
      <c r="L133" s="687"/>
      <c r="M133" s="687"/>
      <c r="N133" s="223"/>
      <c r="O133" s="223"/>
      <c r="P133" s="223"/>
      <c r="Q133" s="223"/>
      <c r="R133" s="223"/>
      <c r="S133" s="223"/>
      <c r="T133" s="223"/>
      <c r="U133" s="223"/>
      <c r="V133" s="223"/>
      <c r="W133" s="223"/>
    </row>
    <row r="134" spans="1:23" ht="12.75">
      <c r="A134" s="356"/>
      <c r="B134" s="62" t="s">
        <v>969</v>
      </c>
      <c r="C134" s="313" t="str">
        <f t="shared" si="51"/>
        <v>267</v>
      </c>
      <c r="D134" s="314" t="s">
        <v>232</v>
      </c>
      <c r="E134" s="192">
        <f>SUMIF(L_12MonLightsTariffRateCategory,MiscData!$X$5&amp;$D134,L_12MonLights_Count_Total)</f>
        <v>26827</v>
      </c>
      <c r="F134" s="219">
        <f>SUMIF(L_LightingRates_Tariff_Rate_Category,MiscData!$X$5&amp;$D134,L_LightingRates_UnitCharge)</f>
        <v>31.4</v>
      </c>
      <c r="G134" s="199">
        <f t="shared" si="54"/>
        <v>842368</v>
      </c>
      <c r="H134" s="193">
        <f t="shared" si="52"/>
        <v>31.42</v>
      </c>
      <c r="I134" s="353">
        <f t="shared" si="53"/>
        <v>842904</v>
      </c>
      <c r="J134" s="354">
        <f>$K$8</f>
        <v>6.2E-4</v>
      </c>
      <c r="L134" s="687"/>
      <c r="M134" s="687"/>
      <c r="N134" s="223"/>
      <c r="O134" s="223"/>
      <c r="P134" s="223"/>
      <c r="Q134" s="223"/>
      <c r="R134" s="223"/>
      <c r="S134" s="223"/>
      <c r="T134" s="223"/>
      <c r="U134" s="223"/>
      <c r="V134" s="223"/>
      <c r="W134" s="223"/>
    </row>
    <row r="135" spans="1:23" ht="12.75">
      <c r="A135" s="356"/>
      <c r="B135" s="62"/>
      <c r="C135" s="62"/>
      <c r="D135" s="62"/>
      <c r="E135" s="301"/>
      <c r="F135" s="62"/>
      <c r="G135" s="62"/>
      <c r="H135" s="301"/>
      <c r="I135" s="367"/>
      <c r="L135" s="687"/>
      <c r="M135" s="687"/>
      <c r="N135" s="223"/>
      <c r="O135" s="223"/>
      <c r="P135" s="223"/>
      <c r="Q135" s="223"/>
      <c r="R135" s="223"/>
      <c r="S135" s="223"/>
      <c r="T135" s="223"/>
      <c r="U135" s="223"/>
      <c r="V135" s="223"/>
      <c r="W135" s="223"/>
    </row>
    <row r="136" spans="1:23" ht="12.75">
      <c r="A136" s="332"/>
      <c r="B136" s="62" t="s">
        <v>967</v>
      </c>
      <c r="C136" s="313" t="str">
        <f t="shared" ref="C136:C138" si="55">RIGHT(D136,3)</f>
        <v>276</v>
      </c>
      <c r="D136" s="314" t="s">
        <v>235</v>
      </c>
      <c r="E136" s="192">
        <f>SUMIF(L_12MonLightsTariffRateCategory,MiscData!$X$5&amp;$D136,L_12MonLights_Count_Total)</f>
        <v>15784</v>
      </c>
      <c r="F136" s="219">
        <f>SUMIF(L_LightingRates_Tariff_Rate_Category,MiscData!$X$5&amp;$D136,L_LightingRates_UnitCharge)</f>
        <v>14.17</v>
      </c>
      <c r="G136" s="199">
        <f>ROUND(E136*F136,0)</f>
        <v>223659</v>
      </c>
      <c r="H136" s="193">
        <f t="shared" ref="H136:H138" si="56">ROUND(F136*(1+$J$10),2)</f>
        <v>14.18</v>
      </c>
      <c r="I136" s="353">
        <f t="shared" ref="I136:I138" si="57">ROUND(E136*H136,0)</f>
        <v>223817</v>
      </c>
      <c r="J136" s="354">
        <f>$K$8</f>
        <v>6.2E-4</v>
      </c>
      <c r="L136" s="687"/>
      <c r="M136" s="687"/>
      <c r="N136" s="223"/>
      <c r="O136" s="223"/>
      <c r="P136" s="223"/>
      <c r="Q136" s="223"/>
      <c r="R136" s="223"/>
      <c r="S136" s="223"/>
      <c r="T136" s="223"/>
      <c r="U136" s="223"/>
      <c r="V136" s="223"/>
      <c r="W136" s="223"/>
    </row>
    <row r="137" spans="1:23" ht="12.75">
      <c r="A137" s="356"/>
      <c r="B137" s="62" t="s">
        <v>968</v>
      </c>
      <c r="C137" s="313" t="str">
        <f t="shared" si="55"/>
        <v>274</v>
      </c>
      <c r="D137" s="314" t="s">
        <v>234</v>
      </c>
      <c r="E137" s="192">
        <f>SUMIF(L_12MonLightsTariffRateCategory,MiscData!$X$5&amp;$D137,L_12MonLights_Count_Total)</f>
        <v>200840</v>
      </c>
      <c r="F137" s="219">
        <f>SUMIF(L_LightingRates_Tariff_Rate_Category,MiscData!$X$5&amp;$D137,L_LightingRates_UnitCharge)</f>
        <v>17.189999999999998</v>
      </c>
      <c r="G137" s="199">
        <f>ROUND(E137*F137,0)</f>
        <v>3452440</v>
      </c>
      <c r="H137" s="193">
        <f t="shared" si="56"/>
        <v>17.2</v>
      </c>
      <c r="I137" s="353">
        <f t="shared" si="57"/>
        <v>3454448</v>
      </c>
      <c r="J137" s="354">
        <f>$K$8</f>
        <v>6.2E-4</v>
      </c>
      <c r="L137" s="687"/>
      <c r="M137" s="687"/>
      <c r="N137" s="223"/>
      <c r="O137" s="223"/>
      <c r="P137" s="223"/>
      <c r="Q137" s="223"/>
      <c r="R137" s="223"/>
      <c r="S137" s="223"/>
      <c r="T137" s="223"/>
      <c r="U137" s="223"/>
      <c r="V137" s="223"/>
      <c r="W137" s="223"/>
    </row>
    <row r="138" spans="1:23" ht="12.75">
      <c r="A138" s="356"/>
      <c r="B138" s="62" t="s">
        <v>970</v>
      </c>
      <c r="C138" s="313" t="str">
        <f t="shared" si="55"/>
        <v>277</v>
      </c>
      <c r="D138" s="314" t="s">
        <v>236</v>
      </c>
      <c r="E138" s="192">
        <f>SUMIF(L_12MonLightsTariffRateCategory,MiscData!$X$5&amp;$D138,L_12MonLights_Count_Total)</f>
        <v>27123</v>
      </c>
      <c r="F138" s="219">
        <f>SUMIF(L_LightingRates_Tariff_Rate_Category,MiscData!$X$5&amp;$D138,L_LightingRates_UnitCharge)</f>
        <v>22.15</v>
      </c>
      <c r="G138" s="199">
        <f>ROUND(E138*F138,0)</f>
        <v>600774</v>
      </c>
      <c r="H138" s="193">
        <f t="shared" si="56"/>
        <v>22.16</v>
      </c>
      <c r="I138" s="353">
        <f t="shared" si="57"/>
        <v>601046</v>
      </c>
      <c r="J138" s="354">
        <f>$K$8</f>
        <v>6.2E-4</v>
      </c>
      <c r="L138" s="687"/>
      <c r="M138" s="687"/>
      <c r="N138" s="223"/>
      <c r="O138" s="223"/>
      <c r="P138" s="223"/>
      <c r="Q138" s="223"/>
      <c r="R138" s="223"/>
      <c r="S138" s="223"/>
      <c r="T138" s="223"/>
      <c r="U138" s="223"/>
      <c r="V138" s="223"/>
      <c r="W138" s="223"/>
    </row>
    <row r="139" spans="1:23" ht="12.75">
      <c r="A139" s="356"/>
      <c r="B139" s="62"/>
      <c r="C139" s="62"/>
      <c r="D139" s="62"/>
      <c r="E139" s="301"/>
      <c r="F139" s="62"/>
      <c r="G139" s="62"/>
      <c r="H139" s="301"/>
      <c r="I139" s="367"/>
      <c r="L139" s="687"/>
      <c r="M139" s="687"/>
      <c r="N139" s="223"/>
      <c r="O139" s="223"/>
      <c r="P139" s="223"/>
      <c r="Q139" s="223"/>
      <c r="R139" s="223"/>
      <c r="S139" s="223"/>
      <c r="T139" s="223"/>
      <c r="U139" s="223"/>
      <c r="V139" s="223"/>
      <c r="W139" s="223"/>
    </row>
    <row r="140" spans="1:23" ht="12.75">
      <c r="A140" s="356"/>
      <c r="B140" s="62" t="s">
        <v>1011</v>
      </c>
      <c r="C140" s="313" t="str">
        <f t="shared" ref="C140:C141" si="58">RIGHT(D140,3)</f>
        <v>279</v>
      </c>
      <c r="D140" s="314" t="s">
        <v>355</v>
      </c>
      <c r="E140" s="192">
        <f>SUMIF(L_12MonLightsTariffRateCategory,MiscData!$X$5&amp;$D140,L_12MonLights_Count_Total)</f>
        <v>132</v>
      </c>
      <c r="F140" s="219">
        <f>SUMIF(L_LightingRates_Tariff_Rate_Category,MiscData!$X$5&amp;$D140,L_LightingRates_UnitCharge)</f>
        <v>41.43</v>
      </c>
      <c r="G140" s="199">
        <f>ROUND(E140*F140,0)</f>
        <v>5469</v>
      </c>
      <c r="H140" s="193">
        <f t="shared" ref="H140:H141" si="59">ROUND(F140*(1+$J$10),2)</f>
        <v>41.46</v>
      </c>
      <c r="I140" s="353">
        <f t="shared" ref="I140:I141" si="60">ROUND(E140*H140,0)</f>
        <v>5473</v>
      </c>
      <c r="J140" s="354">
        <f>$K$8</f>
        <v>6.2E-4</v>
      </c>
      <c r="L140" s="687"/>
      <c r="M140" s="687"/>
      <c r="N140" s="223"/>
      <c r="O140" s="223"/>
      <c r="P140" s="223"/>
      <c r="Q140" s="223"/>
      <c r="R140" s="223"/>
      <c r="S140" s="223"/>
      <c r="T140" s="223"/>
      <c r="U140" s="223"/>
      <c r="V140" s="223"/>
      <c r="W140" s="223"/>
    </row>
    <row r="141" spans="1:23" ht="12.75">
      <c r="A141" s="356"/>
      <c r="B141" s="62" t="s">
        <v>1012</v>
      </c>
      <c r="C141" s="313" t="str">
        <f t="shared" si="58"/>
        <v>278</v>
      </c>
      <c r="D141" s="314" t="s">
        <v>354</v>
      </c>
      <c r="E141" s="192">
        <f>SUMIF(L_12MonLightsTariffRateCategory,MiscData!$X$5&amp;$D141,L_12MonLights_Count_Total)</f>
        <v>201</v>
      </c>
      <c r="F141" s="219">
        <f>SUMIF(L_LightingRates_Tariff_Rate_Category,MiscData!$X$5&amp;$D141,L_LightingRates_UnitCharge)</f>
        <v>72.550000000000011</v>
      </c>
      <c r="G141" s="199">
        <f>ROUND(E141*F141,0)</f>
        <v>14583</v>
      </c>
      <c r="H141" s="193">
        <f t="shared" si="59"/>
        <v>72.59</v>
      </c>
      <c r="I141" s="353">
        <f t="shared" si="60"/>
        <v>14591</v>
      </c>
      <c r="J141" s="354">
        <f>$K$8</f>
        <v>6.2E-4</v>
      </c>
      <c r="L141" s="687"/>
      <c r="M141" s="687"/>
      <c r="N141" s="223"/>
      <c r="O141" s="223"/>
      <c r="P141" s="223"/>
      <c r="Q141" s="223"/>
      <c r="R141" s="223"/>
      <c r="S141" s="223"/>
      <c r="T141" s="223"/>
      <c r="U141" s="223"/>
      <c r="V141" s="223"/>
      <c r="W141" s="223"/>
    </row>
    <row r="142" spans="1:23" ht="12.75">
      <c r="A142" s="319"/>
      <c r="B142" s="62"/>
      <c r="C142" s="314"/>
      <c r="D142" s="314"/>
      <c r="E142" s="62"/>
      <c r="F142" s="193"/>
      <c r="G142" s="199"/>
      <c r="H142" s="301"/>
      <c r="I142" s="287"/>
      <c r="L142" s="687"/>
      <c r="M142" s="687"/>
      <c r="N142" s="223"/>
      <c r="O142" s="223"/>
      <c r="P142" s="223"/>
      <c r="Q142" s="223"/>
      <c r="R142" s="223"/>
      <c r="S142" s="223"/>
      <c r="T142" s="223"/>
      <c r="U142" s="223"/>
      <c r="V142" s="223"/>
      <c r="W142" s="223"/>
    </row>
    <row r="143" spans="1:23" ht="12.75">
      <c r="A143" s="332"/>
      <c r="B143" s="62" t="s">
        <v>971</v>
      </c>
      <c r="C143" s="313" t="str">
        <f>RIGHT(D143,3)</f>
        <v>417</v>
      </c>
      <c r="D143" s="314" t="s">
        <v>297</v>
      </c>
      <c r="E143" s="192">
        <f>SUMIF(L_12MonLightsTariffRateCategory,MiscData!$X$5&amp;$D143,L_12MonLights_Count_Total)</f>
        <v>636</v>
      </c>
      <c r="F143" s="219">
        <f>SUMIF(L_LightingRates_Tariff_Rate_Category,MiscData!$X$5&amp;$D143,L_LightingRates_UnitCharge)</f>
        <v>23.68</v>
      </c>
      <c r="G143" s="199">
        <f>ROUND(E143*F143,0)</f>
        <v>15060</v>
      </c>
      <c r="H143" s="193">
        <f t="shared" ref="H143:H144" si="61">ROUND(F143*(1+$J$10),2)</f>
        <v>23.69</v>
      </c>
      <c r="I143" s="353">
        <f t="shared" ref="I143:I144" si="62">ROUND(E143*H143,0)</f>
        <v>15067</v>
      </c>
      <c r="J143" s="354">
        <f>$K$8</f>
        <v>6.2E-4</v>
      </c>
      <c r="L143" s="687"/>
      <c r="M143" s="687"/>
      <c r="N143" s="223"/>
      <c r="O143" s="223"/>
      <c r="P143" s="223"/>
      <c r="Q143" s="223"/>
      <c r="R143" s="223"/>
      <c r="S143" s="223"/>
      <c r="T143" s="223"/>
      <c r="U143" s="223"/>
      <c r="V143" s="223"/>
      <c r="W143" s="223"/>
    </row>
    <row r="144" spans="1:23" ht="12.75">
      <c r="A144" s="356"/>
      <c r="B144" s="62" t="s">
        <v>972</v>
      </c>
      <c r="C144" s="313" t="str">
        <f>RIGHT(D144,3)</f>
        <v>419</v>
      </c>
      <c r="D144" s="314" t="s">
        <v>299</v>
      </c>
      <c r="E144" s="192">
        <f>SUMIF(L_12MonLightsTariffRateCategory,MiscData!$X$5&amp;$D144,L_12MonLights_Count_Total)</f>
        <v>1801</v>
      </c>
      <c r="F144" s="219">
        <f>SUMIF(L_LightingRates_Tariff_Rate_Category,MiscData!$X$5&amp;$D144,L_LightingRates_UnitCharge)</f>
        <v>24.77</v>
      </c>
      <c r="G144" s="199">
        <f>ROUND(E144*F144,0)</f>
        <v>44611</v>
      </c>
      <c r="H144" s="193">
        <f t="shared" si="61"/>
        <v>24.79</v>
      </c>
      <c r="I144" s="353">
        <f t="shared" si="62"/>
        <v>44647</v>
      </c>
      <c r="J144" s="354">
        <f>$K$8</f>
        <v>6.2E-4</v>
      </c>
      <c r="L144" s="687"/>
      <c r="M144" s="687"/>
      <c r="N144" s="223"/>
      <c r="O144" s="223"/>
      <c r="P144" s="223"/>
      <c r="Q144" s="223"/>
      <c r="R144" s="223"/>
      <c r="S144" s="223"/>
      <c r="T144" s="223"/>
      <c r="U144" s="223"/>
      <c r="V144" s="223"/>
      <c r="W144" s="223"/>
    </row>
    <row r="145" spans="1:23">
      <c r="L145" s="687"/>
      <c r="M145" s="687"/>
      <c r="N145" s="223"/>
      <c r="O145" s="223"/>
      <c r="P145" s="223"/>
      <c r="Q145" s="223"/>
      <c r="R145" s="223"/>
      <c r="S145" s="223"/>
      <c r="T145" s="223"/>
      <c r="U145" s="223"/>
      <c r="V145" s="223"/>
      <c r="W145" s="223"/>
    </row>
    <row r="146" spans="1:23" ht="12.75">
      <c r="A146" s="356"/>
      <c r="B146" s="62" t="s">
        <v>975</v>
      </c>
      <c r="C146" s="313" t="str">
        <f t="shared" ref="C146:C147" si="63">RIGHT(D146,3)</f>
        <v>280</v>
      </c>
      <c r="D146" s="314" t="s">
        <v>359</v>
      </c>
      <c r="E146" s="192">
        <f>SUMIF(L_12MonLightsTariffRateCategory,MiscData!$X$5&amp;$D146,L_12MonLights_Count_Total)</f>
        <v>539</v>
      </c>
      <c r="F146" s="219">
        <f>SUMIF(L_LightingRates_Tariff_Rate_Category,MiscData!$X$5&amp;$D146,L_LightingRates_UnitCharge)</f>
        <v>19.38</v>
      </c>
      <c r="G146" s="199">
        <f>ROUND(E146*F146,0)</f>
        <v>10446</v>
      </c>
      <c r="H146" s="193">
        <f t="shared" ref="H146:H147" si="64">ROUND(F146*(1+$J$10),2)</f>
        <v>19.39</v>
      </c>
      <c r="I146" s="353">
        <f t="shared" ref="I146:I147" si="65">ROUND(E146*H146,0)</f>
        <v>10451</v>
      </c>
      <c r="J146" s="354">
        <f>$K$8</f>
        <v>6.2E-4</v>
      </c>
      <c r="L146" s="687"/>
      <c r="M146" s="687"/>
      <c r="N146" s="223"/>
      <c r="O146" s="223"/>
      <c r="P146" s="223"/>
      <c r="Q146" s="223"/>
      <c r="R146" s="223"/>
      <c r="S146" s="223"/>
      <c r="T146" s="223"/>
      <c r="U146" s="223"/>
      <c r="V146" s="223"/>
      <c r="W146" s="223"/>
    </row>
    <row r="147" spans="1:23" ht="12.75">
      <c r="A147" s="356"/>
      <c r="B147" s="62" t="s">
        <v>976</v>
      </c>
      <c r="C147" s="313" t="str">
        <f t="shared" si="63"/>
        <v>281</v>
      </c>
      <c r="D147" s="314" t="s">
        <v>356</v>
      </c>
      <c r="E147" s="192">
        <f>SUMIF(L_12MonLightsTariffRateCategory,MiscData!$X$5&amp;$D147,L_12MonLights_Count_Total)</f>
        <v>2887</v>
      </c>
      <c r="F147" s="219">
        <f>SUMIF(L_LightingRates_Tariff_Rate_Category,MiscData!$X$5&amp;$D147,L_LightingRates_UnitCharge)</f>
        <v>20.349999999999998</v>
      </c>
      <c r="G147" s="199">
        <f>ROUND(E147*F147,0)</f>
        <v>58750</v>
      </c>
      <c r="H147" s="193">
        <f t="shared" si="64"/>
        <v>20.36</v>
      </c>
      <c r="I147" s="353">
        <f t="shared" si="65"/>
        <v>58779</v>
      </c>
      <c r="J147" s="354">
        <f>$K$8</f>
        <v>6.2E-4</v>
      </c>
      <c r="L147" s="687"/>
      <c r="M147" s="687"/>
      <c r="N147" s="223"/>
      <c r="O147" s="223"/>
      <c r="P147" s="223"/>
      <c r="Q147" s="223"/>
      <c r="R147" s="223"/>
      <c r="S147" s="223"/>
      <c r="T147" s="223"/>
      <c r="U147" s="223"/>
      <c r="V147" s="223"/>
      <c r="W147" s="223"/>
    </row>
    <row r="148" spans="1:23" ht="12.75">
      <c r="A148" s="319"/>
      <c r="B148" s="62"/>
      <c r="C148" s="314"/>
      <c r="D148" s="314"/>
      <c r="E148" s="62"/>
      <c r="F148" s="193"/>
      <c r="G148" s="199"/>
      <c r="H148" s="301"/>
      <c r="I148" s="287"/>
      <c r="L148" s="687"/>
      <c r="M148" s="687"/>
      <c r="N148" s="223"/>
      <c r="O148" s="223"/>
      <c r="P148" s="223"/>
      <c r="Q148" s="223"/>
      <c r="R148" s="223"/>
      <c r="S148" s="223"/>
      <c r="T148" s="223"/>
      <c r="U148" s="223"/>
      <c r="V148" s="223"/>
      <c r="W148" s="223"/>
    </row>
    <row r="149" spans="1:23" ht="12.75">
      <c r="A149" s="332"/>
      <c r="B149" s="62" t="s">
        <v>973</v>
      </c>
      <c r="C149" s="313" t="str">
        <f t="shared" ref="C149" si="66">RIGHT(D149,3)</f>
        <v>282</v>
      </c>
      <c r="D149" s="314" t="s">
        <v>357</v>
      </c>
      <c r="E149" s="192">
        <f>SUMIF(L_12MonLightsTariffRateCategory,MiscData!$X$5&amp;$D149,L_12MonLights_Count_Total)</f>
        <v>1241</v>
      </c>
      <c r="F149" s="219">
        <f>SUMIF(L_LightingRates_Tariff_Rate_Category,MiscData!$X$5&amp;$D149,L_LightingRates_UnitCharge)</f>
        <v>19.53</v>
      </c>
      <c r="G149" s="199">
        <f>ROUND(E149*F149,0)</f>
        <v>24237</v>
      </c>
      <c r="H149" s="193">
        <f t="shared" ref="H149:H150" si="67">ROUND(F149*(1+$J$10),2)</f>
        <v>19.54</v>
      </c>
      <c r="I149" s="353">
        <f t="shared" ref="I149:I150" si="68">ROUND(E149*H149,0)</f>
        <v>24249</v>
      </c>
      <c r="J149" s="354">
        <f>$K$8</f>
        <v>6.2E-4</v>
      </c>
      <c r="L149" s="687"/>
      <c r="M149" s="687"/>
      <c r="N149" s="223"/>
      <c r="O149" s="223"/>
      <c r="P149" s="223"/>
      <c r="Q149" s="223"/>
      <c r="R149" s="223"/>
      <c r="S149" s="223"/>
      <c r="T149" s="223"/>
      <c r="U149" s="223"/>
      <c r="V149" s="223"/>
      <c r="W149" s="223"/>
    </row>
    <row r="150" spans="1:23" ht="12.75">
      <c r="A150" s="356"/>
      <c r="B150" s="62" t="s">
        <v>974</v>
      </c>
      <c r="C150" s="313" t="str">
        <f t="shared" ref="C150" si="69">RIGHT(D150,3)</f>
        <v>283</v>
      </c>
      <c r="D150" s="314" t="s">
        <v>358</v>
      </c>
      <c r="E150" s="192">
        <f>SUMIF(L_12MonLightsTariffRateCategory,MiscData!$X$5&amp;$D150,L_12MonLights_Count_Total)</f>
        <v>961</v>
      </c>
      <c r="F150" s="219">
        <f>SUMIF(L_LightingRates_Tariff_Rate_Category,MiscData!$X$5&amp;$D150,L_LightingRates_UnitCharge)</f>
        <v>20.819999999999997</v>
      </c>
      <c r="G150" s="199">
        <f>ROUND(E150*F150,0)</f>
        <v>20008</v>
      </c>
      <c r="H150" s="193">
        <f t="shared" si="67"/>
        <v>20.83</v>
      </c>
      <c r="I150" s="353">
        <f t="shared" si="68"/>
        <v>20018</v>
      </c>
      <c r="J150" s="354">
        <f>$K$8</f>
        <v>6.2E-4</v>
      </c>
      <c r="L150" s="687"/>
      <c r="M150" s="687"/>
      <c r="N150" s="223"/>
      <c r="O150" s="223"/>
      <c r="P150" s="223"/>
      <c r="Q150" s="223"/>
      <c r="R150" s="223"/>
      <c r="S150" s="223"/>
      <c r="T150" s="223"/>
      <c r="U150" s="223"/>
      <c r="V150" s="223"/>
      <c r="W150" s="223"/>
    </row>
    <row r="151" spans="1:23" ht="12.75">
      <c r="A151" s="319"/>
      <c r="B151" s="62"/>
      <c r="C151" s="314"/>
      <c r="D151" s="314"/>
      <c r="E151" s="62"/>
      <c r="F151" s="193"/>
      <c r="G151" s="199"/>
      <c r="H151" s="301"/>
      <c r="I151" s="287"/>
      <c r="L151" s="687"/>
      <c r="M151" s="687"/>
      <c r="N151" s="223"/>
      <c r="O151" s="223"/>
      <c r="P151" s="223"/>
      <c r="Q151" s="223"/>
      <c r="R151" s="223"/>
      <c r="S151" s="223"/>
      <c r="T151" s="223"/>
      <c r="U151" s="223"/>
      <c r="V151" s="223"/>
      <c r="W151" s="223"/>
    </row>
    <row r="152" spans="1:23" ht="12.75">
      <c r="A152" s="319"/>
      <c r="B152" s="62"/>
      <c r="C152" s="314"/>
      <c r="D152" s="314"/>
      <c r="E152" s="62"/>
      <c r="F152" s="193"/>
      <c r="G152" s="199"/>
      <c r="H152" s="301"/>
      <c r="I152" s="287"/>
      <c r="K152" s="368"/>
      <c r="L152" s="687"/>
      <c r="M152" s="687"/>
      <c r="N152" s="223"/>
      <c r="O152" s="223"/>
      <c r="P152" s="223"/>
      <c r="Q152" s="223"/>
      <c r="R152" s="223"/>
      <c r="S152" s="223"/>
      <c r="T152" s="223"/>
      <c r="U152" s="223"/>
      <c r="V152" s="223"/>
      <c r="W152" s="223"/>
    </row>
    <row r="153" spans="1:23" ht="12.75">
      <c r="A153" s="416" t="s">
        <v>1283</v>
      </c>
      <c r="B153" s="310"/>
      <c r="C153" s="310"/>
      <c r="D153" s="310"/>
      <c r="E153" s="310"/>
      <c r="F153" s="310"/>
      <c r="G153" s="310"/>
      <c r="H153" s="311"/>
      <c r="I153" s="304" t="str">
        <f>'Sch M-2.3-E pg 1-2'!$K$1</f>
        <v>Schedule M-2.3-E</v>
      </c>
      <c r="L153" s="687"/>
      <c r="M153" s="687"/>
      <c r="N153" s="223"/>
      <c r="O153" s="223"/>
      <c r="P153" s="223"/>
      <c r="Q153" s="223"/>
      <c r="R153" s="223"/>
      <c r="S153" s="223"/>
      <c r="T153" s="223"/>
      <c r="U153" s="223"/>
      <c r="V153" s="223"/>
      <c r="W153" s="223"/>
    </row>
    <row r="154" spans="1:23" ht="12.75">
      <c r="A154" s="347" t="s">
        <v>1251</v>
      </c>
      <c r="B154" s="310"/>
      <c r="C154" s="310"/>
      <c r="D154" s="310"/>
      <c r="E154" s="310"/>
      <c r="F154" s="310"/>
      <c r="G154" s="310"/>
      <c r="H154" s="311"/>
      <c r="I154" s="304" t="str">
        <f>"Page "&amp;L154&amp;" of "&amp;M154</f>
        <v>Page 23 of 24</v>
      </c>
      <c r="J154" s="62"/>
      <c r="L154" s="687">
        <f>L120+1</f>
        <v>23</v>
      </c>
      <c r="M154" s="687">
        <f>$M$189</f>
        <v>24</v>
      </c>
      <c r="N154" s="223"/>
      <c r="O154" s="223"/>
      <c r="P154" s="223"/>
      <c r="Q154" s="223"/>
      <c r="R154" s="223"/>
      <c r="S154" s="223"/>
      <c r="T154" s="223"/>
      <c r="U154" s="223"/>
      <c r="V154" s="223"/>
      <c r="W154" s="223"/>
    </row>
    <row r="155" spans="1:23" ht="12.75">
      <c r="A155" s="347" t="s">
        <v>1248</v>
      </c>
      <c r="B155" s="310"/>
      <c r="C155" s="310"/>
      <c r="D155" s="310"/>
      <c r="E155" s="310"/>
      <c r="F155" s="310"/>
      <c r="G155" s="310"/>
      <c r="H155" s="311"/>
      <c r="I155" s="304">
        <f>'Sch M-2.3-E pg 1-2'!$K$3</f>
        <v>0</v>
      </c>
      <c r="J155" s="62"/>
      <c r="L155" s="687"/>
      <c r="M155" s="687"/>
      <c r="N155" s="223"/>
      <c r="O155" s="223"/>
      <c r="P155" s="223"/>
      <c r="Q155" s="223"/>
      <c r="R155" s="223"/>
      <c r="S155" s="223"/>
      <c r="T155" s="223"/>
      <c r="U155" s="223"/>
      <c r="V155" s="223"/>
      <c r="W155" s="223"/>
    </row>
    <row r="156" spans="1:23" ht="12.75">
      <c r="A156" s="348"/>
      <c r="B156" s="191"/>
      <c r="C156" s="215"/>
      <c r="D156" s="191"/>
      <c r="E156" s="191"/>
      <c r="F156" s="269"/>
      <c r="G156" s="269"/>
      <c r="H156" s="270"/>
      <c r="I156" s="738"/>
      <c r="J156" s="62"/>
      <c r="L156" s="687"/>
      <c r="M156" s="687"/>
      <c r="N156" s="223"/>
      <c r="O156" s="223"/>
      <c r="P156" s="223"/>
      <c r="Q156" s="223"/>
      <c r="R156" s="223"/>
      <c r="S156" s="223"/>
      <c r="T156" s="223"/>
      <c r="U156" s="223"/>
      <c r="V156" s="223"/>
      <c r="W156" s="223"/>
    </row>
    <row r="157" spans="1:23" ht="12.75">
      <c r="A157" s="374"/>
      <c r="B157" s="375"/>
      <c r="C157" s="375"/>
      <c r="D157" s="375"/>
      <c r="E157" s="376"/>
      <c r="F157" s="376"/>
      <c r="G157" s="376" t="s">
        <v>876</v>
      </c>
      <c r="H157" s="377"/>
      <c r="I157" s="378" t="s">
        <v>876</v>
      </c>
      <c r="J157" s="62"/>
      <c r="L157" s="687"/>
      <c r="M157" s="687"/>
      <c r="N157" s="223"/>
      <c r="O157" s="223"/>
      <c r="P157" s="223"/>
      <c r="Q157" s="223"/>
      <c r="R157" s="223"/>
      <c r="S157" s="223"/>
      <c r="T157" s="223"/>
      <c r="U157" s="223"/>
      <c r="V157" s="223"/>
      <c r="W157" s="223"/>
    </row>
    <row r="158" spans="1:23" ht="12.75">
      <c r="A158" s="303" t="s">
        <v>110</v>
      </c>
      <c r="B158" s="62"/>
      <c r="C158" s="63" t="s">
        <v>125</v>
      </c>
      <c r="D158" s="63" t="s">
        <v>921</v>
      </c>
      <c r="E158" s="63" t="s">
        <v>56</v>
      </c>
      <c r="F158" s="63" t="s">
        <v>877</v>
      </c>
      <c r="G158" s="63" t="s">
        <v>878</v>
      </c>
      <c r="H158" s="63" t="s">
        <v>879</v>
      </c>
      <c r="I158" s="281" t="s">
        <v>878</v>
      </c>
      <c r="J158" s="62"/>
      <c r="L158" s="687"/>
      <c r="M158" s="687"/>
      <c r="N158" s="223"/>
      <c r="O158" s="223"/>
      <c r="P158" s="223"/>
      <c r="Q158" s="223"/>
      <c r="R158" s="223"/>
      <c r="S158" s="223"/>
      <c r="T158" s="223"/>
      <c r="U158" s="223"/>
      <c r="V158" s="223"/>
      <c r="W158" s="223"/>
    </row>
    <row r="159" spans="1:23" ht="12.75">
      <c r="A159" s="379"/>
      <c r="B159" s="276"/>
      <c r="C159" s="380" t="s">
        <v>713</v>
      </c>
      <c r="D159" s="380" t="s">
        <v>923</v>
      </c>
      <c r="E159" s="380" t="s">
        <v>80</v>
      </c>
      <c r="F159" s="381" t="s">
        <v>93</v>
      </c>
      <c r="G159" s="380" t="s">
        <v>880</v>
      </c>
      <c r="H159" s="380" t="s">
        <v>93</v>
      </c>
      <c r="I159" s="382" t="s">
        <v>881</v>
      </c>
      <c r="J159" s="62"/>
      <c r="L159" s="687"/>
      <c r="M159" s="687"/>
      <c r="N159" s="223"/>
      <c r="O159" s="223"/>
      <c r="P159" s="223"/>
      <c r="Q159" s="223"/>
      <c r="R159" s="223"/>
      <c r="S159" s="223"/>
      <c r="T159" s="223"/>
      <c r="U159" s="223"/>
      <c r="V159" s="223"/>
      <c r="W159" s="223"/>
    </row>
    <row r="160" spans="1:23" ht="12.75">
      <c r="A160" s="303" t="s">
        <v>1265</v>
      </c>
      <c r="B160" s="330"/>
      <c r="C160" s="222"/>
      <c r="D160" s="222"/>
      <c r="E160" s="62"/>
      <c r="F160" s="193"/>
      <c r="G160" s="199"/>
      <c r="H160" s="62"/>
      <c r="I160" s="281"/>
      <c r="J160" s="62"/>
      <c r="L160" s="687"/>
      <c r="M160" s="687"/>
      <c r="N160" s="223"/>
      <c r="O160" s="223"/>
      <c r="P160" s="223"/>
      <c r="Q160" s="223"/>
      <c r="R160" s="223"/>
      <c r="S160" s="223"/>
      <c r="T160" s="223"/>
      <c r="U160" s="223"/>
      <c r="V160" s="223"/>
      <c r="W160" s="223"/>
    </row>
    <row r="161" spans="1:23" ht="12.75">
      <c r="A161" s="352" t="s">
        <v>119</v>
      </c>
      <c r="B161" s="62"/>
      <c r="C161" s="63"/>
      <c r="D161" s="63"/>
      <c r="E161" s="63"/>
      <c r="F161" s="298"/>
      <c r="G161" s="63"/>
      <c r="H161" s="62"/>
      <c r="I161" s="281"/>
      <c r="J161" s="62"/>
      <c r="L161" s="687"/>
      <c r="M161" s="687"/>
      <c r="N161" s="223"/>
      <c r="O161" s="223"/>
      <c r="P161" s="223"/>
      <c r="Q161" s="223"/>
      <c r="R161" s="223"/>
      <c r="S161" s="223"/>
      <c r="T161" s="223"/>
      <c r="U161" s="223"/>
      <c r="V161" s="223"/>
      <c r="W161" s="223"/>
    </row>
    <row r="162" spans="1:23" ht="12.75">
      <c r="A162" s="356"/>
      <c r="B162" s="62" t="s">
        <v>977</v>
      </c>
      <c r="C162" s="313" t="str">
        <f>RIGHT(D162,3)</f>
        <v>426</v>
      </c>
      <c r="D162" s="314" t="s">
        <v>306</v>
      </c>
      <c r="E162" s="192">
        <f>SUMIF(L_12MonLightsTariffRateCategory,MiscData!$X$5&amp;$D162,L_12MonLights_Count_Total)</f>
        <v>645</v>
      </c>
      <c r="F162" s="219">
        <f>SUMIF(L_LightingRates_Tariff_Rate_Category,MiscData!$X$5&amp;$D162,L_LightingRates_UnitCharge)</f>
        <v>33.22</v>
      </c>
      <c r="G162" s="199">
        <f>ROUND(E162*F162,0)</f>
        <v>21427</v>
      </c>
      <c r="H162" s="193">
        <f t="shared" ref="H162:H163" si="70">ROUND(F162*(1+$J$10),2)</f>
        <v>33.24</v>
      </c>
      <c r="I162" s="353">
        <f t="shared" ref="I162:I163" si="71">ROUND(E162*H162,0)</f>
        <v>21440</v>
      </c>
      <c r="J162" s="354">
        <f>$K$8</f>
        <v>6.2E-4</v>
      </c>
      <c r="L162" s="687"/>
      <c r="M162" s="687"/>
      <c r="N162" s="223"/>
      <c r="O162" s="223"/>
      <c r="P162" s="223"/>
      <c r="Q162" s="223"/>
      <c r="R162" s="223"/>
      <c r="S162" s="223"/>
      <c r="T162" s="223"/>
      <c r="U162" s="223"/>
      <c r="V162" s="223"/>
      <c r="W162" s="223"/>
    </row>
    <row r="163" spans="1:23" ht="12.75">
      <c r="A163" s="356"/>
      <c r="B163" s="62" t="s">
        <v>978</v>
      </c>
      <c r="C163" s="313" t="str">
        <f>RIGHT(D163,3)</f>
        <v>428</v>
      </c>
      <c r="D163" s="314" t="s">
        <v>308</v>
      </c>
      <c r="E163" s="192">
        <f>SUMIF(L_12MonLightsTariffRateCategory,MiscData!$X$5&amp;$D163,L_12MonLights_Count_Total)</f>
        <v>2360</v>
      </c>
      <c r="F163" s="219">
        <f>SUMIF(L_LightingRates_Tariff_Rate_Category,MiscData!$X$5&amp;$D163,L_LightingRates_UnitCharge)</f>
        <v>34.090000000000003</v>
      </c>
      <c r="G163" s="199">
        <f>ROUND(E163*F163,0)</f>
        <v>80452</v>
      </c>
      <c r="H163" s="193">
        <f t="shared" si="70"/>
        <v>34.11</v>
      </c>
      <c r="I163" s="353">
        <f t="shared" si="71"/>
        <v>80500</v>
      </c>
      <c r="J163" s="354">
        <f>$K$8</f>
        <v>6.2E-4</v>
      </c>
      <c r="L163" s="687"/>
      <c r="M163" s="687"/>
      <c r="N163" s="223"/>
      <c r="O163" s="223"/>
      <c r="P163" s="223"/>
      <c r="Q163" s="223"/>
      <c r="R163" s="223"/>
      <c r="S163" s="223"/>
      <c r="T163" s="223"/>
      <c r="U163" s="223"/>
      <c r="V163" s="223"/>
      <c r="W163" s="223"/>
    </row>
    <row r="164" spans="1:23" ht="12.75">
      <c r="A164" s="356"/>
      <c r="B164" s="62" t="s">
        <v>979</v>
      </c>
      <c r="C164" s="313" t="str">
        <f>RIGHT(D164,3)</f>
        <v>430</v>
      </c>
      <c r="D164" s="314" t="s">
        <v>310</v>
      </c>
      <c r="E164" s="192">
        <f>SUMIF(L_12MonLightsTariffRateCategory,MiscData!$X$5&amp;$D164,L_12MonLights_Count_Total)</f>
        <v>358</v>
      </c>
      <c r="F164" s="219">
        <f>SUMIF(L_LightingRates_Tariff_Rate_Category,MiscData!$X$5&amp;$D164,L_LightingRates_UnitCharge)</f>
        <v>32.26</v>
      </c>
      <c r="G164" s="199">
        <f>ROUND(E164*F164,0)</f>
        <v>11549</v>
      </c>
      <c r="H164" s="193">
        <f t="shared" ref="H164:H165" si="72">ROUND(F164*(1+$J$10),2)</f>
        <v>32.28</v>
      </c>
      <c r="I164" s="353">
        <f t="shared" ref="I164:I165" si="73">ROUND(E164*H164,0)</f>
        <v>11556</v>
      </c>
      <c r="J164" s="354">
        <f>$K$8</f>
        <v>6.2E-4</v>
      </c>
      <c r="L164" s="687"/>
      <c r="M164" s="687"/>
      <c r="N164" s="223"/>
      <c r="O164" s="223"/>
      <c r="P164" s="223"/>
      <c r="Q164" s="223"/>
      <c r="R164" s="223"/>
      <c r="S164" s="223"/>
      <c r="T164" s="223"/>
      <c r="U164" s="223"/>
      <c r="V164" s="223"/>
      <c r="W164" s="223"/>
    </row>
    <row r="165" spans="1:23" ht="12.75">
      <c r="A165" s="356"/>
      <c r="B165" s="62" t="s">
        <v>980</v>
      </c>
      <c r="C165" s="313" t="str">
        <f>RIGHT(D165,3)</f>
        <v>432</v>
      </c>
      <c r="D165" s="314" t="s">
        <v>339</v>
      </c>
      <c r="E165" s="192">
        <f>SUMIF(L_12MonLightsTariffRateCategory,MiscData!$X$5&amp;$D165,L_12MonLights_Count_Total)</f>
        <v>119</v>
      </c>
      <c r="F165" s="219">
        <f>SUMIF(L_LightingRates_Tariff_Rate_Category,MiscData!$X$5&amp;$D165,L_LightingRates_UnitCharge)</f>
        <v>34.330000000000005</v>
      </c>
      <c r="G165" s="199">
        <f>ROUND(E165*F165,0)</f>
        <v>4085</v>
      </c>
      <c r="H165" s="193">
        <f t="shared" si="72"/>
        <v>34.35</v>
      </c>
      <c r="I165" s="353">
        <f t="shared" si="73"/>
        <v>4088</v>
      </c>
      <c r="J165" s="354">
        <f>$K$8</f>
        <v>6.2E-4</v>
      </c>
      <c r="L165" s="687"/>
      <c r="M165" s="687"/>
      <c r="N165" s="223"/>
      <c r="O165" s="223"/>
      <c r="P165" s="223"/>
      <c r="Q165" s="223"/>
      <c r="R165" s="223"/>
      <c r="S165" s="223"/>
      <c r="T165" s="223"/>
      <c r="U165" s="223"/>
      <c r="V165" s="223"/>
      <c r="W165" s="223"/>
    </row>
    <row r="166" spans="1:23" ht="12.75">
      <c r="A166" s="319"/>
      <c r="B166" s="62"/>
      <c r="H166" s="301"/>
      <c r="I166" s="287"/>
      <c r="L166" s="687"/>
      <c r="M166" s="687"/>
      <c r="N166" s="223"/>
      <c r="O166" s="223"/>
      <c r="P166" s="223"/>
      <c r="Q166" s="223"/>
      <c r="R166" s="223"/>
      <c r="S166" s="223"/>
      <c r="T166" s="223"/>
      <c r="U166" s="223"/>
      <c r="V166" s="223"/>
      <c r="W166" s="223"/>
    </row>
    <row r="167" spans="1:23" ht="12.75">
      <c r="B167" s="320" t="s">
        <v>1210</v>
      </c>
      <c r="L167" s="687"/>
      <c r="M167" s="687"/>
      <c r="N167" s="223"/>
      <c r="O167" s="223"/>
      <c r="P167" s="223"/>
      <c r="Q167" s="223"/>
      <c r="R167" s="223"/>
      <c r="S167" s="223"/>
      <c r="T167" s="223"/>
      <c r="U167" s="223"/>
      <c r="V167" s="223"/>
      <c r="W167" s="223"/>
    </row>
    <row r="168" spans="1:23" ht="12.75">
      <c r="A168" s="356"/>
      <c r="B168" s="321" t="s">
        <v>1218</v>
      </c>
      <c r="C168" s="313" t="str">
        <f>MID(D168,4,3)</f>
        <v>950</v>
      </c>
      <c r="D168" s="314" t="s">
        <v>632</v>
      </c>
      <c r="E168" s="192">
        <f>SUMIFS(L_12MonPoles_Count,L_12MonPoles_RateClass,"RLS",L_12MonPoles_RateCategory,D168)</f>
        <v>783</v>
      </c>
      <c r="F168" s="219">
        <f>SUMIF(PoleRates!$E$4:$E$104,MiscData!$X$5&amp;D168,PoleRates!$F$4:$F$104)</f>
        <v>3.47</v>
      </c>
      <c r="G168" s="199">
        <f>ROUND(E168*F168,0)</f>
        <v>2717</v>
      </c>
      <c r="H168" s="193">
        <f t="shared" ref="H168:H169" si="74">ROUND(F168*(1+$J$10),2)</f>
        <v>3.47</v>
      </c>
      <c r="I168" s="353">
        <f t="shared" ref="I168:I169" si="75">ROUND(E168*H168,0)</f>
        <v>2717</v>
      </c>
      <c r="J168" s="354">
        <f>$K$8</f>
        <v>6.2E-4</v>
      </c>
      <c r="L168" s="687"/>
      <c r="M168" s="687"/>
      <c r="N168" s="223"/>
      <c r="O168" s="223"/>
      <c r="P168" s="223"/>
      <c r="Q168" s="223"/>
      <c r="R168" s="223"/>
      <c r="S168" s="223"/>
      <c r="T168" s="223"/>
      <c r="U168" s="223"/>
      <c r="V168" s="223"/>
      <c r="W168" s="223"/>
    </row>
    <row r="169" spans="1:23" ht="12.75">
      <c r="A169" s="356"/>
      <c r="B169" s="315" t="s">
        <v>1219</v>
      </c>
      <c r="C169" s="313" t="str">
        <f t="shared" ref="C169" si="76">MID(D169,4,3)</f>
        <v>951</v>
      </c>
      <c r="D169" s="314" t="s">
        <v>633</v>
      </c>
      <c r="E169" s="192">
        <f>SUMIFS(L_12MonPoles_Count,L_12MonPoles_RateClass,"RLS",L_12MonPoles_RateCategory,D169)</f>
        <v>2280</v>
      </c>
      <c r="F169" s="219">
        <f>SUMIF(PoleRates!$E$4:$E$104,MiscData!$X$5&amp;D169,PoleRates!$F$4:$F$104)</f>
        <v>3.73</v>
      </c>
      <c r="G169" s="199">
        <f>ROUND(E169*F169,0)</f>
        <v>8504</v>
      </c>
      <c r="H169" s="193">
        <f t="shared" si="74"/>
        <v>3.73</v>
      </c>
      <c r="I169" s="353">
        <f t="shared" si="75"/>
        <v>8504</v>
      </c>
      <c r="J169" s="354">
        <f>$K$8</f>
        <v>6.2E-4</v>
      </c>
      <c r="L169" s="687"/>
      <c r="M169" s="687"/>
      <c r="N169" s="223"/>
      <c r="O169" s="223"/>
      <c r="P169" s="223"/>
      <c r="Q169" s="223"/>
      <c r="R169" s="223"/>
      <c r="S169" s="223"/>
      <c r="T169" s="223"/>
      <c r="U169" s="223"/>
      <c r="V169" s="223"/>
      <c r="W169" s="223"/>
    </row>
    <row r="170" spans="1:23" ht="12.75">
      <c r="A170" s="356"/>
      <c r="B170" s="322" t="s">
        <v>1220</v>
      </c>
      <c r="C170" s="313" t="str">
        <f t="shared" ref="C170" si="77">MID(D170,4,3)</f>
        <v>956</v>
      </c>
      <c r="D170" s="314" t="s">
        <v>638</v>
      </c>
      <c r="E170" s="192">
        <f>SUMIFS(L_12MonPoles_Count,L_12MonPoles_RateClass,"RLS",L_12MonPoles_RateCategory,D170)</f>
        <v>3063</v>
      </c>
      <c r="F170" s="219">
        <f>SUMIF(PoleRates!$E$4:$E$104,MiscData!$X$5&amp;D170,PoleRates!$F$4:$F$104)</f>
        <v>3.56</v>
      </c>
      <c r="G170" s="199">
        <f>ROUND(E170*F170,0)</f>
        <v>10904</v>
      </c>
      <c r="H170" s="193">
        <f t="shared" ref="H170" si="78">ROUND(F170*(1+$J$10),2)</f>
        <v>3.56</v>
      </c>
      <c r="I170" s="353">
        <f t="shared" ref="I170" si="79">ROUND(E170*H170,0)</f>
        <v>10904</v>
      </c>
      <c r="J170" s="354">
        <f>$K$8</f>
        <v>6.2E-4</v>
      </c>
      <c r="L170" s="687"/>
      <c r="M170" s="687"/>
      <c r="N170" s="223"/>
      <c r="O170" s="223"/>
      <c r="P170" s="223"/>
      <c r="Q170" s="223"/>
      <c r="R170" s="223"/>
      <c r="S170" s="223"/>
      <c r="T170" s="223"/>
      <c r="U170" s="223"/>
      <c r="V170" s="223"/>
      <c r="W170" s="223"/>
    </row>
    <row r="171" spans="1:23" ht="12.75">
      <c r="B171" s="151" t="s">
        <v>689</v>
      </c>
      <c r="E171" s="192"/>
      <c r="F171" s="219"/>
      <c r="L171" s="687"/>
      <c r="M171" s="687"/>
      <c r="N171" s="223"/>
      <c r="O171" s="223"/>
      <c r="P171" s="223"/>
      <c r="Q171" s="223"/>
      <c r="R171" s="223"/>
      <c r="S171" s="223"/>
      <c r="T171" s="223"/>
      <c r="U171" s="223"/>
      <c r="V171" s="223"/>
      <c r="W171" s="223"/>
    </row>
    <row r="172" spans="1:23" ht="12.75">
      <c r="A172" s="332"/>
      <c r="B172" s="62" t="s">
        <v>982</v>
      </c>
      <c r="C172" s="313" t="str">
        <f t="shared" ref="C172" si="80">MID(D172,4,3)</f>
        <v>901</v>
      </c>
      <c r="D172" s="314" t="s">
        <v>627</v>
      </c>
      <c r="E172" s="192">
        <f>SUMIFS(L_12MonPoles_Count,L_12MonPoles_RateClass,"RLS",L_12MonPoles_RateCategory,D172)</f>
        <v>1878</v>
      </c>
      <c r="F172" s="219">
        <f>SUMIF(PoleRates!$E$4:$E$104,MiscData!$X$5&amp;D172,PoleRates!$F$4:$F$104)</f>
        <v>10.81</v>
      </c>
      <c r="G172" s="199">
        <f t="shared" ref="G172" si="81">ROUND(E172*F172,0)</f>
        <v>20301</v>
      </c>
      <c r="H172" s="193">
        <f t="shared" ref="H172:H173" si="82">ROUND(F172*(1+$J$10),2)</f>
        <v>10.82</v>
      </c>
      <c r="I172" s="353">
        <f t="shared" ref="I172:I173" si="83">ROUND(E172*H172,0)</f>
        <v>20320</v>
      </c>
      <c r="J172" s="354">
        <f>$K$8</f>
        <v>6.2E-4</v>
      </c>
      <c r="L172" s="687"/>
      <c r="M172" s="687"/>
      <c r="N172" s="223"/>
      <c r="O172" s="223"/>
      <c r="P172" s="223"/>
      <c r="Q172" s="223"/>
      <c r="R172" s="223"/>
      <c r="S172" s="223"/>
      <c r="T172" s="223"/>
      <c r="U172" s="223"/>
      <c r="V172" s="223"/>
      <c r="W172" s="223"/>
    </row>
    <row r="173" spans="1:23" ht="12.75">
      <c r="A173" s="332"/>
      <c r="B173" s="62" t="s">
        <v>981</v>
      </c>
      <c r="C173" s="313" t="str">
        <f t="shared" ref="C173" si="84">MID(D173,4,3)</f>
        <v>902</v>
      </c>
      <c r="D173" s="314" t="s">
        <v>628</v>
      </c>
      <c r="E173" s="192">
        <f>SUMIFS(L_12MonPoles_Count,L_12MonPoles_RateClass,"RLS",L_12MonPoles_RateCategory,D173)</f>
        <v>3324</v>
      </c>
      <c r="F173" s="219">
        <f>SUMIF(PoleRates!$E$4:$E$104,MiscData!$X$5&amp;D173,PoleRates!$F$4:$F$104)</f>
        <v>12.9</v>
      </c>
      <c r="G173" s="199">
        <f t="shared" ref="G173" si="85">ROUND(E173*F173,0)</f>
        <v>42880</v>
      </c>
      <c r="H173" s="193">
        <f t="shared" si="82"/>
        <v>12.91</v>
      </c>
      <c r="I173" s="353">
        <f t="shared" si="83"/>
        <v>42913</v>
      </c>
      <c r="J173" s="354">
        <f>$K$8</f>
        <v>6.2E-4</v>
      </c>
      <c r="L173" s="687"/>
      <c r="M173" s="687"/>
      <c r="N173" s="223"/>
      <c r="O173" s="223"/>
      <c r="P173" s="223"/>
      <c r="Q173" s="223"/>
      <c r="R173" s="223"/>
      <c r="S173" s="223"/>
      <c r="T173" s="223"/>
      <c r="U173" s="223"/>
      <c r="V173" s="223"/>
      <c r="W173" s="223"/>
    </row>
    <row r="174" spans="1:23">
      <c r="L174" s="687"/>
      <c r="M174" s="687"/>
      <c r="N174" s="223"/>
      <c r="O174" s="223"/>
      <c r="P174" s="223"/>
      <c r="Q174" s="223"/>
      <c r="R174" s="223"/>
      <c r="S174" s="223"/>
      <c r="T174" s="223"/>
      <c r="U174" s="223"/>
      <c r="V174" s="223"/>
      <c r="W174" s="223"/>
    </row>
    <row r="175" spans="1:23" ht="12.75">
      <c r="A175" s="357" t="s">
        <v>120</v>
      </c>
      <c r="B175" s="62"/>
      <c r="C175" s="62"/>
      <c r="D175" s="62"/>
      <c r="E175" s="62"/>
      <c r="F175" s="62"/>
      <c r="G175" s="62"/>
      <c r="H175" s="62"/>
      <c r="I175" s="281"/>
      <c r="L175" s="687"/>
      <c r="M175" s="687"/>
      <c r="N175" s="223"/>
      <c r="O175" s="223"/>
      <c r="P175" s="223"/>
      <c r="Q175" s="223"/>
      <c r="R175" s="223"/>
      <c r="S175" s="223"/>
      <c r="T175" s="223"/>
      <c r="U175" s="223"/>
      <c r="V175" s="223"/>
      <c r="W175" s="223"/>
    </row>
    <row r="176" spans="1:23" ht="12.75">
      <c r="A176" s="332"/>
      <c r="B176" s="62" t="s">
        <v>983</v>
      </c>
      <c r="C176" s="313" t="str">
        <f t="shared" ref="C176" si="86">RIGHT(D176,3)</f>
        <v>318</v>
      </c>
      <c r="D176" s="314" t="s">
        <v>254</v>
      </c>
      <c r="E176" s="192">
        <f>SUMIF(L_12MonLightsTariffRateCategory,MiscData!$X$5&amp;$D176,L_12MonLights_Count_Total)</f>
        <v>687</v>
      </c>
      <c r="F176" s="219">
        <f>SUMIF(L_LightingRates_Tariff_Rate_Category,MiscData!$X$5&amp;$D176,L_LightingRates_UnitCharge)</f>
        <v>17.419999999999998</v>
      </c>
      <c r="G176" s="199">
        <f>ROUND(E176*F176,0)-1</f>
        <v>11967</v>
      </c>
      <c r="H176" s="193">
        <f t="shared" ref="H176:H179" si="87">ROUND(F176*(1+$J$10),2)</f>
        <v>17.43</v>
      </c>
      <c r="I176" s="353">
        <f t="shared" ref="I176:I179" si="88">ROUND(E176*H176,0)</f>
        <v>11974</v>
      </c>
      <c r="J176" s="354">
        <f>$K$8</f>
        <v>6.2E-4</v>
      </c>
      <c r="L176" s="687"/>
      <c r="M176" s="687"/>
      <c r="N176" s="223"/>
      <c r="O176" s="223"/>
      <c r="P176" s="223"/>
      <c r="Q176" s="223"/>
      <c r="R176" s="223"/>
      <c r="S176" s="223"/>
      <c r="T176" s="223"/>
      <c r="U176" s="223"/>
      <c r="V176" s="223"/>
      <c r="W176" s="223"/>
    </row>
    <row r="177" spans="1:23" ht="12.75">
      <c r="A177" s="356"/>
      <c r="B177" s="62" t="s">
        <v>984</v>
      </c>
      <c r="C177" s="313" t="str">
        <f t="shared" ref="C177" si="89">RIGHT(D177,3)</f>
        <v>314</v>
      </c>
      <c r="D177" s="314" t="s">
        <v>250</v>
      </c>
      <c r="E177" s="192">
        <f>SUMIF(L_12MonLightsTariffRateCategory,MiscData!$X$5&amp;$D177,L_12MonLights_Count_Total)</f>
        <v>6428</v>
      </c>
      <c r="F177" s="219">
        <f>SUMIF(L_LightingRates_Tariff_Rate_Category,MiscData!$X$5&amp;$D177,L_LightingRates_UnitCharge)</f>
        <v>19.2</v>
      </c>
      <c r="G177" s="199">
        <f>ROUND(E177*F177,0)</f>
        <v>123418</v>
      </c>
      <c r="H177" s="193">
        <f t="shared" si="87"/>
        <v>19.21</v>
      </c>
      <c r="I177" s="353">
        <f t="shared" si="88"/>
        <v>123482</v>
      </c>
      <c r="J177" s="354">
        <f>$K$8</f>
        <v>6.2E-4</v>
      </c>
      <c r="L177" s="687"/>
      <c r="M177" s="687"/>
      <c r="N177" s="223"/>
      <c r="O177" s="223"/>
      <c r="P177" s="223"/>
      <c r="Q177" s="223"/>
      <c r="R177" s="223"/>
      <c r="S177" s="223"/>
      <c r="T177" s="223"/>
      <c r="U177" s="223"/>
      <c r="V177" s="223"/>
      <c r="W177" s="223"/>
    </row>
    <row r="178" spans="1:23" ht="12.75">
      <c r="A178" s="356"/>
      <c r="B178" s="62" t="s">
        <v>985</v>
      </c>
      <c r="C178" s="313" t="str">
        <f t="shared" ref="C178" si="90">RIGHT(D178,3)</f>
        <v>315</v>
      </c>
      <c r="D178" s="314" t="s">
        <v>251</v>
      </c>
      <c r="E178" s="192">
        <f>SUMIF(L_12MonLightsTariffRateCategory,MiscData!$X$5&amp;$D178,L_12MonLights_Count_Total)</f>
        <v>6191</v>
      </c>
      <c r="F178" s="219">
        <f>SUMIF(L_LightingRates_Tariff_Rate_Category,MiscData!$X$5&amp;$D178,L_LightingRates_UnitCharge)</f>
        <v>22.949999999999996</v>
      </c>
      <c r="G178" s="199">
        <f>ROUND(E178*F178,0)</f>
        <v>142083</v>
      </c>
      <c r="H178" s="193">
        <f t="shared" si="87"/>
        <v>22.96</v>
      </c>
      <c r="I178" s="353">
        <f t="shared" si="88"/>
        <v>142145</v>
      </c>
      <c r="J178" s="354">
        <f>$K$8</f>
        <v>6.2E-4</v>
      </c>
      <c r="L178" s="687"/>
      <c r="M178" s="687"/>
      <c r="N178" s="223"/>
      <c r="O178" s="223"/>
      <c r="P178" s="223"/>
      <c r="Q178" s="223"/>
      <c r="R178" s="223"/>
      <c r="S178" s="223"/>
      <c r="T178" s="223"/>
      <c r="U178" s="223"/>
      <c r="V178" s="223"/>
      <c r="W178" s="223"/>
    </row>
    <row r="179" spans="1:23" ht="12.75">
      <c r="A179" s="356"/>
      <c r="B179" s="62" t="s">
        <v>999</v>
      </c>
      <c r="C179" s="313" t="str">
        <f>RIGHT(D179,3)</f>
        <v>347</v>
      </c>
      <c r="D179" s="314" t="s">
        <v>542</v>
      </c>
      <c r="E179" s="192">
        <f>SUMIF(L_12MonLightsTariffRateCategory,MiscData!$X$5&amp;$D179,L_12MonLights_Count_Total)</f>
        <v>0</v>
      </c>
      <c r="F179" s="219">
        <f>SUMIF(L_LightingRates_Tariff_Rate_Category,MiscData!$X$5&amp;$D179,L_LightingRates_UnitCharge)</f>
        <v>22.939999999999998</v>
      </c>
      <c r="G179" s="199">
        <f>ROUND(E179*F179,0)</f>
        <v>0</v>
      </c>
      <c r="H179" s="193">
        <f t="shared" si="87"/>
        <v>22.95</v>
      </c>
      <c r="I179" s="353">
        <f t="shared" si="88"/>
        <v>0</v>
      </c>
      <c r="J179" s="354">
        <f>$K$8</f>
        <v>6.2E-4</v>
      </c>
      <c r="L179" s="687"/>
      <c r="M179" s="687"/>
      <c r="N179" s="223"/>
      <c r="O179" s="223"/>
      <c r="P179" s="223"/>
      <c r="Q179" s="223"/>
      <c r="R179" s="223"/>
      <c r="S179" s="223"/>
      <c r="T179" s="223"/>
      <c r="U179" s="223"/>
      <c r="V179" s="223"/>
      <c r="W179" s="223"/>
    </row>
    <row r="180" spans="1:23" ht="12.75">
      <c r="A180" s="356"/>
      <c r="B180" s="62"/>
      <c r="C180" s="313"/>
      <c r="D180" s="314"/>
      <c r="E180" s="62"/>
      <c r="F180" s="193"/>
      <c r="G180" s="199"/>
      <c r="H180" s="323"/>
      <c r="I180" s="367"/>
      <c r="J180" s="354"/>
    </row>
    <row r="181" spans="1:23" ht="12.75">
      <c r="A181" s="332"/>
      <c r="B181" s="62" t="s">
        <v>986</v>
      </c>
      <c r="C181" s="313" t="str">
        <f t="shared" ref="C181" si="91">RIGHT(D181,3)</f>
        <v>206</v>
      </c>
      <c r="D181" s="314" t="s">
        <v>215</v>
      </c>
      <c r="E181" s="192">
        <f>SUMIF(L_12MonLightsTariffRateCategory,MiscData!$X$5&amp;$D181,L_12MonLights_Count_Total)</f>
        <v>1145</v>
      </c>
      <c r="F181" s="219">
        <f>SUMIF(L_LightingRates_Tariff_Rate_Category,MiscData!$X$5&amp;$D181,L_LightingRates_UnitCharge)</f>
        <v>12.450000000000001</v>
      </c>
      <c r="G181" s="199">
        <f>ROUND(E181*F181,0)</f>
        <v>14255</v>
      </c>
      <c r="H181" s="193">
        <f t="shared" ref="H181:H182" si="92">ROUND(F181*(1+$J$10),2)</f>
        <v>12.46</v>
      </c>
      <c r="I181" s="353">
        <f t="shared" ref="I181:I182" si="93">ROUND(E181*H181,0)</f>
        <v>14267</v>
      </c>
      <c r="J181" s="354">
        <f>$K$8</f>
        <v>6.2E-4</v>
      </c>
    </row>
    <row r="182" spans="1:23" ht="12.75">
      <c r="A182" s="356"/>
      <c r="B182" s="62" t="s">
        <v>987</v>
      </c>
      <c r="C182" s="313" t="str">
        <f t="shared" ref="C182" si="94">RIGHT(D182,3)</f>
        <v>208</v>
      </c>
      <c r="D182" s="314" t="s">
        <v>217</v>
      </c>
      <c r="E182" s="192">
        <f>SUMIF(L_12MonLightsTariffRateCategory,MiscData!$X$5&amp;$D182,L_12MonLights_Count_Total)</f>
        <v>16800</v>
      </c>
      <c r="F182" s="219">
        <f>SUMIF(L_LightingRates_Tariff_Rate_Category,MiscData!$X$5&amp;$D182,L_LightingRates_UnitCharge)</f>
        <v>14.24</v>
      </c>
      <c r="G182" s="199">
        <f>ROUND(E182*F182,0)</f>
        <v>239232</v>
      </c>
      <c r="H182" s="193">
        <f t="shared" si="92"/>
        <v>14.25</v>
      </c>
      <c r="I182" s="353">
        <f t="shared" si="93"/>
        <v>239400</v>
      </c>
      <c r="J182" s="354">
        <f>$K$8</f>
        <v>6.2E-4</v>
      </c>
    </row>
    <row r="183" spans="1:23" ht="12.75">
      <c r="A183" s="319"/>
      <c r="B183" s="62"/>
      <c r="C183" s="314"/>
      <c r="D183" s="314"/>
      <c r="E183" s="62"/>
      <c r="F183" s="193"/>
      <c r="G183" s="199"/>
    </row>
    <row r="184" spans="1:23" ht="12.75">
      <c r="A184" s="357" t="s">
        <v>961</v>
      </c>
      <c r="B184" s="62"/>
      <c r="C184" s="62"/>
      <c r="D184" s="62"/>
      <c r="E184" s="62"/>
      <c r="F184" s="62"/>
      <c r="G184" s="62"/>
      <c r="H184" s="62"/>
      <c r="I184" s="281"/>
    </row>
    <row r="185" spans="1:23" ht="12.75">
      <c r="A185" s="332"/>
      <c r="B185" s="286" t="s">
        <v>1221</v>
      </c>
      <c r="C185" s="313" t="str">
        <f>RIGHT(D185,3)</f>
        <v>349</v>
      </c>
      <c r="D185" s="314" t="s">
        <v>262</v>
      </c>
      <c r="E185" s="192">
        <f>SUMIF(L_12MonLightsTariffRateCategory,MiscData!$X$5&amp;$D185,L_12MonLights_Count_Total)</f>
        <v>679</v>
      </c>
      <c r="F185" s="219">
        <f>SUMIF(L_LightingRates_Tariff_Rate_Category,MiscData!$X$5&amp;$D185,L_LightingRates_UnitCharge)</f>
        <v>9.0200000000000014</v>
      </c>
      <c r="G185" s="199">
        <f>ROUND(E185*F185,0)</f>
        <v>6125</v>
      </c>
      <c r="H185" s="193">
        <f t="shared" ref="H185:H186" si="95">ROUND(F185*(1+$J$10),2)</f>
        <v>9.0299999999999994</v>
      </c>
      <c r="I185" s="353">
        <f t="shared" ref="I185:I186" si="96">ROUND(E185*H185,0)</f>
        <v>6131</v>
      </c>
      <c r="J185" s="354">
        <f>$K$8</f>
        <v>6.2E-4</v>
      </c>
    </row>
    <row r="186" spans="1:23" ht="12.75">
      <c r="A186" s="356"/>
      <c r="B186" s="286" t="s">
        <v>1222</v>
      </c>
      <c r="C186" s="313" t="str">
        <f>RIGHT(D186,3)</f>
        <v>348</v>
      </c>
      <c r="D186" s="314" t="s">
        <v>260</v>
      </c>
      <c r="E186" s="192">
        <f>SUMIF(L_12MonLightsTariffRateCategory,MiscData!$X$5&amp;$D186,L_12MonLights_Count_Total)</f>
        <v>476</v>
      </c>
      <c r="F186" s="219">
        <f>SUMIF(L_LightingRates_Tariff_Rate_Category,MiscData!$X$5&amp;$D186,L_LightingRates_UnitCharge)</f>
        <v>13.12</v>
      </c>
      <c r="G186" s="199">
        <f>ROUND(E186*F186,0)</f>
        <v>6245</v>
      </c>
      <c r="H186" s="193">
        <f t="shared" si="95"/>
        <v>13.13</v>
      </c>
      <c r="I186" s="353">
        <f t="shared" si="96"/>
        <v>6250</v>
      </c>
      <c r="J186" s="354">
        <f>$K$8</f>
        <v>6.2E-4</v>
      </c>
    </row>
    <row r="187" spans="1:23" ht="12.75">
      <c r="A187" s="332"/>
      <c r="B187" s="62"/>
      <c r="C187" s="62"/>
      <c r="D187" s="62"/>
      <c r="E187" s="301"/>
      <c r="F187" s="62"/>
      <c r="G187" s="62"/>
      <c r="H187" s="301"/>
      <c r="I187" s="367"/>
      <c r="J187" s="62"/>
    </row>
    <row r="188" spans="1:23" ht="12.75">
      <c r="A188" s="416" t="s">
        <v>1283</v>
      </c>
      <c r="B188" s="310"/>
      <c r="C188" s="310"/>
      <c r="D188" s="310"/>
      <c r="E188" s="310"/>
      <c r="F188" s="310"/>
      <c r="G188" s="310"/>
      <c r="H188" s="311"/>
      <c r="I188" s="304" t="str">
        <f>'Sch M-2.3-E pg 1-2'!$K$1</f>
        <v>Schedule M-2.3-E</v>
      </c>
      <c r="L188" s="687"/>
      <c r="M188" s="687"/>
      <c r="N188" s="223"/>
      <c r="O188" s="223"/>
      <c r="P188" s="223"/>
      <c r="Q188" s="223"/>
      <c r="R188" s="223"/>
      <c r="S188" s="223"/>
      <c r="T188" s="223"/>
      <c r="U188" s="223"/>
      <c r="V188" s="223"/>
      <c r="W188" s="223"/>
    </row>
    <row r="189" spans="1:23" ht="12.75">
      <c r="A189" s="347" t="s">
        <v>1251</v>
      </c>
      <c r="B189" s="310"/>
      <c r="C189" s="310"/>
      <c r="D189" s="310"/>
      <c r="E189" s="310"/>
      <c r="F189" s="310"/>
      <c r="G189" s="310"/>
      <c r="H189" s="311"/>
      <c r="I189" s="304" t="str">
        <f>"Page "&amp;L189&amp;" of "&amp;M189</f>
        <v>Page 24 of 24</v>
      </c>
      <c r="J189" s="62"/>
      <c r="L189" s="687">
        <f>L154+1</f>
        <v>24</v>
      </c>
      <c r="M189" s="687">
        <f>L189</f>
        <v>24</v>
      </c>
      <c r="N189" s="223"/>
      <c r="O189" s="223"/>
      <c r="P189" s="223"/>
      <c r="Q189" s="223"/>
      <c r="R189" s="223"/>
      <c r="S189" s="223"/>
      <c r="T189" s="223"/>
      <c r="U189" s="223"/>
      <c r="V189" s="223"/>
      <c r="W189" s="223"/>
    </row>
    <row r="190" spans="1:23" ht="12.75">
      <c r="A190" s="347" t="s">
        <v>1248</v>
      </c>
      <c r="B190" s="310"/>
      <c r="C190" s="310"/>
      <c r="D190" s="310"/>
      <c r="E190" s="310"/>
      <c r="F190" s="310"/>
      <c r="G190" s="310"/>
      <c r="H190" s="311"/>
      <c r="I190" s="304">
        <f>'Sch M-2.3-E pg 1-2'!$K$3</f>
        <v>0</v>
      </c>
      <c r="J190" s="62"/>
      <c r="L190" s="687"/>
      <c r="M190" s="687"/>
      <c r="N190" s="223"/>
      <c r="O190" s="223"/>
      <c r="P190" s="223"/>
      <c r="Q190" s="223"/>
      <c r="R190" s="223"/>
      <c r="S190" s="223"/>
      <c r="T190" s="223"/>
      <c r="U190" s="223"/>
      <c r="V190" s="223"/>
      <c r="W190" s="223"/>
    </row>
    <row r="191" spans="1:23" ht="12.75">
      <c r="A191" s="348"/>
      <c r="B191" s="191"/>
      <c r="C191" s="215"/>
      <c r="D191" s="191"/>
      <c r="E191" s="191"/>
      <c r="F191" s="269"/>
      <c r="G191" s="269"/>
      <c r="H191" s="270"/>
      <c r="I191" s="738"/>
      <c r="J191" s="62"/>
      <c r="L191" s="687"/>
      <c r="M191" s="687"/>
      <c r="N191" s="223"/>
      <c r="O191" s="223"/>
      <c r="P191" s="223"/>
      <c r="Q191" s="223"/>
      <c r="R191" s="223"/>
      <c r="S191" s="223"/>
      <c r="T191" s="223"/>
      <c r="U191" s="223"/>
      <c r="V191" s="223"/>
      <c r="W191" s="223"/>
    </row>
    <row r="192" spans="1:23" ht="12.75">
      <c r="A192" s="348"/>
      <c r="B192" s="191"/>
      <c r="C192" s="215"/>
      <c r="D192" s="191"/>
      <c r="E192" s="191"/>
      <c r="F192" s="269"/>
      <c r="G192" s="383" t="s">
        <v>1264</v>
      </c>
      <c r="H192" s="384"/>
      <c r="I192" s="740" t="s">
        <v>1264</v>
      </c>
      <c r="J192" s="62"/>
      <c r="L192" s="687"/>
      <c r="M192" s="687"/>
      <c r="N192" s="223"/>
      <c r="O192" s="223"/>
      <c r="P192" s="223"/>
      <c r="Q192" s="223"/>
      <c r="R192" s="223"/>
      <c r="S192" s="223"/>
      <c r="T192" s="223"/>
      <c r="U192" s="223"/>
      <c r="V192" s="223"/>
      <c r="W192" s="223"/>
    </row>
    <row r="193" spans="1:23" ht="12.75">
      <c r="A193" s="348"/>
      <c r="B193" s="191"/>
      <c r="C193" s="215"/>
      <c r="D193" s="191"/>
      <c r="E193" s="191"/>
      <c r="F193" s="269"/>
      <c r="G193" s="385" t="s">
        <v>862</v>
      </c>
      <c r="H193" s="386"/>
      <c r="I193" s="741" t="s">
        <v>881</v>
      </c>
      <c r="J193" s="62"/>
      <c r="L193" s="687"/>
      <c r="M193" s="687"/>
      <c r="N193" s="223"/>
      <c r="O193" s="223"/>
      <c r="P193" s="223"/>
      <c r="Q193" s="223"/>
      <c r="R193" s="223"/>
      <c r="S193" s="223"/>
      <c r="T193" s="223"/>
      <c r="U193" s="223"/>
      <c r="V193" s="223"/>
      <c r="W193" s="223"/>
    </row>
    <row r="194" spans="1:23" ht="12.75">
      <c r="A194" s="348"/>
      <c r="B194" s="191"/>
      <c r="C194" s="215"/>
      <c r="D194" s="191"/>
      <c r="E194" s="191"/>
      <c r="F194" s="269"/>
      <c r="G194" s="220"/>
      <c r="H194" s="216"/>
      <c r="I194" s="217"/>
      <c r="J194" s="62"/>
      <c r="L194" s="687"/>
      <c r="M194" s="687"/>
      <c r="N194" s="223"/>
      <c r="O194" s="223"/>
      <c r="P194" s="223"/>
      <c r="Q194" s="223"/>
      <c r="R194" s="223"/>
      <c r="S194" s="223"/>
      <c r="T194" s="223"/>
      <c r="U194" s="223"/>
      <c r="V194" s="223"/>
      <c r="W194" s="223"/>
    </row>
    <row r="195" spans="1:23" ht="12.75">
      <c r="A195" s="303" t="s">
        <v>831</v>
      </c>
      <c r="B195" s="62"/>
      <c r="C195" s="314"/>
      <c r="D195" s="314"/>
      <c r="E195" s="324"/>
      <c r="F195" s="193"/>
      <c r="G195" s="74">
        <f>SUM(G10:G22,G34:G55,G66:G87,G100:G116,G128:G150,G162:G186)</f>
        <v>18015508</v>
      </c>
      <c r="H195" s="325"/>
      <c r="I195" s="370">
        <f>SUM(I10:I22,I34:I55,I66:I87,I99:I116,I128:I150,I162:I186)</f>
        <v>18026147</v>
      </c>
      <c r="J195" s="369">
        <f>I195-G195</f>
        <v>10639</v>
      </c>
    </row>
    <row r="196" spans="1:23">
      <c r="B196" s="326"/>
      <c r="G196" s="325"/>
      <c r="I196" s="370"/>
    </row>
    <row r="197" spans="1:23" ht="14.25">
      <c r="B197" s="326"/>
      <c r="G197" s="327"/>
      <c r="I197" s="742"/>
    </row>
    <row r="198" spans="1:23" ht="12.75">
      <c r="C198" s="287"/>
      <c r="D198" s="287" t="s">
        <v>883</v>
      </c>
      <c r="E198" s="287" t="s">
        <v>883</v>
      </c>
      <c r="G198" s="328">
        <f>SUM(G195:G197)</f>
        <v>18015508</v>
      </c>
      <c r="I198" s="743">
        <f>SUM(I195:I197)</f>
        <v>18026147</v>
      </c>
    </row>
    <row r="199" spans="1:23" ht="12.75">
      <c r="C199" s="281"/>
      <c r="D199" s="281" t="s">
        <v>884</v>
      </c>
      <c r="E199" s="281" t="s">
        <v>884</v>
      </c>
      <c r="G199" s="329">
        <f>'12MonLights'!$L$891</f>
        <v>0.99999605896652</v>
      </c>
      <c r="I199" s="744">
        <f>G199</f>
        <v>0.99999605896652</v>
      </c>
    </row>
    <row r="200" spans="1:23" ht="12.75">
      <c r="C200" s="287"/>
      <c r="D200" s="287" t="s">
        <v>885</v>
      </c>
      <c r="E200" s="287" t="s">
        <v>885</v>
      </c>
      <c r="G200" s="325">
        <f>ROUND(G198/G199,0)</f>
        <v>18015579</v>
      </c>
      <c r="I200" s="370">
        <f>ROUND(I198/I199,0)</f>
        <v>18026218</v>
      </c>
      <c r="J200" s="369"/>
    </row>
    <row r="202" spans="1:23" ht="15">
      <c r="B202" s="62" t="s">
        <v>886</v>
      </c>
      <c r="G202" s="201">
        <v>0</v>
      </c>
      <c r="I202" s="371">
        <f>G202</f>
        <v>0</v>
      </c>
    </row>
    <row r="203" spans="1:23" ht="12.75">
      <c r="B203" s="62"/>
    </row>
    <row r="204" spans="1:23" ht="12.75">
      <c r="B204" s="274" t="s">
        <v>897</v>
      </c>
      <c r="G204" s="288">
        <f>SUM(G200:G202)</f>
        <v>18015579</v>
      </c>
      <c r="I204" s="372">
        <f>SUM(I202:I202)+I200</f>
        <v>18026218</v>
      </c>
    </row>
    <row r="205" spans="1:23" ht="12.75">
      <c r="B205" s="281"/>
      <c r="G205" s="62"/>
      <c r="I205" s="281"/>
    </row>
    <row r="206" spans="1:23" ht="12.75">
      <c r="B206" s="286" t="s">
        <v>1483</v>
      </c>
      <c r="C206" s="62"/>
      <c r="D206" s="62"/>
      <c r="E206" s="62"/>
      <c r="F206" s="62"/>
      <c r="G206" s="279">
        <f>'Sch M-2.3-E pg 1-2'!$P$43</f>
        <v>-101414</v>
      </c>
      <c r="H206" s="62"/>
      <c r="I206" s="62">
        <f>G206</f>
        <v>-101414</v>
      </c>
      <c r="J206" s="279"/>
    </row>
    <row r="207" spans="1:23" ht="12.75">
      <c r="B207" s="286" t="s">
        <v>1484</v>
      </c>
      <c r="C207" s="62"/>
      <c r="D207" s="62"/>
      <c r="E207" s="62"/>
      <c r="F207" s="62"/>
      <c r="G207" s="279">
        <f>'Sch M-2.3-E pg 1-2'!$Q$43</f>
        <v>0</v>
      </c>
      <c r="H207" s="62"/>
      <c r="I207" s="62">
        <f>G207</f>
        <v>0</v>
      </c>
      <c r="J207" s="279"/>
    </row>
    <row r="208" spans="1:23" ht="12.75">
      <c r="B208" s="286" t="s">
        <v>1485</v>
      </c>
      <c r="C208" s="62"/>
      <c r="D208" s="62"/>
      <c r="E208" s="62"/>
      <c r="F208" s="62"/>
      <c r="G208" s="279">
        <f>'Sch M-2.3-E pg 1-2'!$R$43</f>
        <v>1080586</v>
      </c>
      <c r="H208" s="62"/>
      <c r="I208" s="62">
        <f>G208</f>
        <v>1080586</v>
      </c>
      <c r="J208" s="279"/>
    </row>
    <row r="209" spans="2:14" ht="12.75">
      <c r="B209" s="284" t="s">
        <v>888</v>
      </c>
      <c r="C209" s="62"/>
      <c r="D209" s="62"/>
      <c r="E209" s="62"/>
      <c r="F209" s="62"/>
      <c r="G209" s="279">
        <f>-G202</f>
        <v>0</v>
      </c>
      <c r="H209" s="62"/>
      <c r="I209" s="62">
        <f>G209</f>
        <v>0</v>
      </c>
      <c r="J209" s="279"/>
    </row>
    <row r="210" spans="2:14" ht="12.75">
      <c r="B210" s="62"/>
      <c r="C210" s="62"/>
      <c r="D210" s="62"/>
      <c r="E210" s="62"/>
      <c r="F210" s="62"/>
      <c r="G210" s="62"/>
      <c r="H210" s="62"/>
      <c r="I210" s="62"/>
      <c r="J210" s="62"/>
    </row>
    <row r="211" spans="2:14" ht="15">
      <c r="B211" s="226" t="s">
        <v>899</v>
      </c>
      <c r="C211" s="62"/>
      <c r="D211" s="62"/>
      <c r="E211" s="62"/>
      <c r="F211" s="62"/>
      <c r="G211" s="290">
        <f>SUM(G204:G209)</f>
        <v>18994751</v>
      </c>
      <c r="H211" s="62"/>
      <c r="I211" s="290">
        <f>SUM(I204:I209)</f>
        <v>19005390</v>
      </c>
      <c r="J211" s="279"/>
    </row>
    <row r="212" spans="2:14" ht="12.75">
      <c r="B212" s="63"/>
      <c r="J212" s="62">
        <f>J211-I213</f>
        <v>-10639</v>
      </c>
    </row>
    <row r="213" spans="2:14" ht="12.75">
      <c r="B213" s="227" t="s">
        <v>890</v>
      </c>
      <c r="I213" s="743">
        <f>I211-G211</f>
        <v>10639</v>
      </c>
      <c r="J213" s="608">
        <v>11776.74562</v>
      </c>
      <c r="K213" s="151" t="s">
        <v>1634</v>
      </c>
      <c r="N213" s="608">
        <f>'Sch M-2.3-E pg 1-2'!AT23</f>
        <v>11635.806278239936</v>
      </c>
    </row>
    <row r="214" spans="2:14" ht="12.75">
      <c r="B214" s="62"/>
      <c r="I214" s="745">
        <f>I213/G211</f>
        <v>5.6010210399704637E-4</v>
      </c>
      <c r="J214" s="324">
        <f>J213-I213</f>
        <v>1137.7456199999997</v>
      </c>
      <c r="N214" s="324">
        <f>N213-I213</f>
        <v>996.80627823993564</v>
      </c>
    </row>
    <row r="216" spans="2:14">
      <c r="J216" s="373"/>
    </row>
  </sheetData>
  <pageMargins left="0.7" right="0.7" top="1.97" bottom="0.75" header="1" footer="0.3"/>
  <pageSetup scale="96" fitToHeight="0" orientation="landscape" r:id="rId1"/>
  <headerFooter scaleWithDoc="0">
    <oddHeader>&amp;C&amp;"Calibri,Bold"&amp;11Louisville Gas and Electric Company
&amp;10Case No. 2014-00372&amp;14
&amp;9Calculation of Proposed Rate Increase
Forecast Period Sales for the Twelve Months Ended June 30, 2016
Electric Operations&amp;R&amp;"Times New Roman,Bold"&amp;12Settlement Exhibit 2</oddHeader>
  </headerFooter>
  <rowBreaks count="6" manualBreakCount="6">
    <brk id="23" max="8" man="1"/>
    <brk id="56" max="8" man="1"/>
    <brk id="88" max="8" man="1"/>
    <brk id="117" max="8" man="1"/>
    <brk id="151" max="8" man="1"/>
    <brk id="18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S24"/>
  <sheetViews>
    <sheetView workbookViewId="0"/>
  </sheetViews>
  <sheetFormatPr defaultRowHeight="12"/>
  <cols>
    <col min="1" max="1" width="9.33203125" style="98"/>
    <col min="2" max="2" width="15.1640625" style="98" customWidth="1"/>
    <col min="3" max="3" width="4.5" style="98" customWidth="1"/>
    <col min="4" max="6" width="11.33203125" style="98" customWidth="1"/>
    <col min="7" max="7" width="12.83203125" style="98" bestFit="1" customWidth="1"/>
    <col min="8" max="8" width="12.33203125" style="98" bestFit="1" customWidth="1"/>
    <col min="9" max="9" width="11.33203125" style="98" customWidth="1"/>
    <col min="10" max="15" width="12" style="98" bestFit="1" customWidth="1"/>
    <col min="16" max="16" width="11" style="98" customWidth="1"/>
    <col min="17" max="17" width="12" style="98" bestFit="1" customWidth="1"/>
    <col min="18" max="19" width="11" style="98" customWidth="1"/>
    <col min="20" max="16384" width="9.33203125" style="98"/>
  </cols>
  <sheetData>
    <row r="1" spans="1:19" ht="15">
      <c r="A1" s="418" t="s">
        <v>1015</v>
      </c>
    </row>
    <row r="2" spans="1:19">
      <c r="A2" s="98" t="s">
        <v>1016</v>
      </c>
    </row>
    <row r="4" spans="1:19" ht="12.75">
      <c r="D4" s="65" t="s">
        <v>13</v>
      </c>
      <c r="E4" s="598" t="s">
        <v>1324</v>
      </c>
      <c r="F4" s="598"/>
      <c r="G4" s="598" t="s">
        <v>902</v>
      </c>
      <c r="H4" s="598"/>
      <c r="I4" s="598" t="s">
        <v>1018</v>
      </c>
      <c r="J4" s="598"/>
      <c r="K4" s="65" t="s">
        <v>1006</v>
      </c>
      <c r="L4" s="65" t="s">
        <v>996</v>
      </c>
      <c r="M4" s="65" t="s">
        <v>997</v>
      </c>
      <c r="N4" s="65" t="s">
        <v>1017</v>
      </c>
      <c r="O4" s="65" t="s">
        <v>15</v>
      </c>
      <c r="P4" s="598" t="s">
        <v>903</v>
      </c>
      <c r="Q4" s="598"/>
      <c r="R4" s="63" t="s">
        <v>17</v>
      </c>
      <c r="S4" s="63" t="s">
        <v>18</v>
      </c>
    </row>
    <row r="5" spans="1:19">
      <c r="E5" s="599" t="s">
        <v>906</v>
      </c>
      <c r="F5" s="599" t="s">
        <v>106</v>
      </c>
      <c r="G5" s="599" t="s">
        <v>1001</v>
      </c>
      <c r="H5" s="599" t="s">
        <v>1002</v>
      </c>
      <c r="I5" s="599" t="s">
        <v>67</v>
      </c>
      <c r="J5" s="599" t="s">
        <v>68</v>
      </c>
      <c r="P5" s="98" t="s">
        <v>68</v>
      </c>
      <c r="Q5" s="98" t="s">
        <v>679</v>
      </c>
    </row>
    <row r="6" spans="1:19" ht="12.75">
      <c r="A6" s="600" t="s">
        <v>1003</v>
      </c>
    </row>
    <row r="7" spans="1:19">
      <c r="B7" s="98" t="s">
        <v>1004</v>
      </c>
      <c r="D7" s="123">
        <f>'Settlement Exhibit 2 pgs 2-17'!F10</f>
        <v>10.75</v>
      </c>
      <c r="E7" s="123"/>
      <c r="F7" s="123"/>
      <c r="G7" s="123">
        <f>'Settlement Exhibit 2 pgs 2-17'!$F$111</f>
        <v>20</v>
      </c>
      <c r="H7" s="123">
        <f>'Settlement Exhibit 2 pgs 2-17'!$F$114</f>
        <v>35</v>
      </c>
      <c r="I7" s="123">
        <f>'Settlement Exhibit 2 pgs 2-17'!$F$146</f>
        <v>90</v>
      </c>
      <c r="J7" s="123">
        <f>'Settlement Exhibit 2 pgs 2-17'!$F$183</f>
        <v>170</v>
      </c>
      <c r="K7" s="123">
        <f>'Settlement Exhibit 2 pgs 2-17'!$F$220</f>
        <v>200</v>
      </c>
      <c r="L7" s="123">
        <f>'Settlement Exhibit 2 pgs 2-17'!$F$261</f>
        <v>300</v>
      </c>
      <c r="M7" s="123">
        <f>'Settlement Exhibit 2 pgs 2-17'!$F$298</f>
        <v>300</v>
      </c>
      <c r="N7" s="123"/>
      <c r="O7" s="123">
        <f>'Settlement Exhibit 2 pgs 2-17'!$F$372</f>
        <v>750</v>
      </c>
      <c r="P7" s="123">
        <f>'Settlement Exhibit 2 pgs 2-17'!$F$409</f>
        <v>750</v>
      </c>
      <c r="Q7" s="123">
        <f>'Settlement Exhibit 2 pgs 2-17'!$F$416</f>
        <v>750</v>
      </c>
      <c r="S7" s="601">
        <f>'Settlement Exhibit 2 pgs 2-17'!$F$556</f>
        <v>3.25</v>
      </c>
    </row>
    <row r="8" spans="1:19">
      <c r="B8" s="98" t="s">
        <v>906</v>
      </c>
      <c r="D8" s="601">
        <f>'Settlement Exhibit 2 pgs 2-17'!F11</f>
        <v>8.0760000000000012E-2</v>
      </c>
      <c r="E8" s="601"/>
      <c r="F8" s="601"/>
      <c r="G8" s="601">
        <f>'Settlement Exhibit 2 pgs 2-17'!$F$112</f>
        <v>9.1340000000000005E-2</v>
      </c>
      <c r="H8" s="601">
        <f>'Settlement Exhibit 2 pgs 2-17'!$F$115</f>
        <v>9.1340000000000005E-2</v>
      </c>
      <c r="I8" s="601">
        <f>'Settlement Exhibit 2 pgs 2-17'!$F$147</f>
        <v>4.0599999999999997E-2</v>
      </c>
      <c r="J8" s="601">
        <f>'Settlement Exhibit 2 pgs 2-17'!$F$184</f>
        <v>3.9260000000000003E-2</v>
      </c>
      <c r="K8" s="601">
        <f>'Settlement Exhibit 2 pgs 2-17'!$F$221</f>
        <v>3.9899999999999998E-2</v>
      </c>
      <c r="L8" s="601">
        <f>'Settlement Exhibit 2 pgs 2-17'!$F$262</f>
        <v>3.8100000000000002E-2</v>
      </c>
      <c r="M8" s="601">
        <f>'Settlement Exhibit 2 pgs 2-17'!$F$299</f>
        <v>3.5380000000000002E-2</v>
      </c>
      <c r="N8" s="601"/>
      <c r="O8" s="601">
        <f>'Settlement Exhibit 2 pgs 2-17'!$F$373</f>
        <v>3.61E-2</v>
      </c>
      <c r="P8" s="601">
        <f>'Settlement Exhibit 2 pgs 2-17'!$F$410</f>
        <v>3.61E-2</v>
      </c>
      <c r="Q8" s="601">
        <f>'Settlement Exhibit 2 pgs 2-17'!$F$417</f>
        <v>3.61E-2</v>
      </c>
      <c r="R8" s="601">
        <f>'Settlement Exhibit 2 pgs 2-17'!$F$523</f>
        <v>6.4610000000000001E-2</v>
      </c>
      <c r="S8" s="601">
        <f>'Settlement Exhibit 2 pgs 2-17'!$F$557</f>
        <v>7.6579999999999995E-2</v>
      </c>
    </row>
    <row r="9" spans="1:19">
      <c r="B9" s="98" t="s">
        <v>106</v>
      </c>
      <c r="I9" s="123"/>
      <c r="J9" s="123"/>
      <c r="P9" s="123"/>
    </row>
    <row r="10" spans="1:19">
      <c r="B10" s="583" t="s">
        <v>911</v>
      </c>
      <c r="K10" s="123">
        <f>'Settlement Exhibit 2 pgs 2-17'!$F$222</f>
        <v>4</v>
      </c>
      <c r="L10" s="123">
        <f>'Settlement Exhibit 2 pgs 2-17'!$F$263</f>
        <v>3.9800000000000004</v>
      </c>
      <c r="M10" s="123">
        <f>'Settlement Exhibit 2 pgs 2-17'!$F$300</f>
        <v>3.6300000000000003</v>
      </c>
      <c r="N10" s="123"/>
      <c r="O10" s="123">
        <f>'Settlement Exhibit 2 pgs 2-17'!$F$374</f>
        <v>2.75</v>
      </c>
      <c r="P10" s="123">
        <f>'Settlement Exhibit 2 pgs 2-17'!$F$411</f>
        <v>1.89</v>
      </c>
      <c r="Q10" s="123">
        <f>'Settlement Exhibit 2 pgs 2-17'!$F$418</f>
        <v>1.1399999999999999</v>
      </c>
    </row>
    <row r="11" spans="1:19">
      <c r="B11" s="583" t="s">
        <v>1005</v>
      </c>
      <c r="I11" s="123">
        <f>'Settlement Exhibit 2 pgs 2-17'!$F$148</f>
        <v>16.399999999999999</v>
      </c>
      <c r="J11" s="123">
        <f>'Settlement Exhibit 2 pgs 2-17'!$F$185</f>
        <v>13.950000000000001</v>
      </c>
      <c r="K11" s="123">
        <f>'Settlement Exhibit 2 pgs 2-17'!$F$223</f>
        <v>4.5100000000000007</v>
      </c>
      <c r="L11" s="123">
        <f>'Settlement Exhibit 2 pgs 2-17'!$F$264</f>
        <v>4.13</v>
      </c>
      <c r="M11" s="123">
        <f>'Settlement Exhibit 2 pgs 2-17'!$F$301</f>
        <v>3.7900000000000005</v>
      </c>
      <c r="N11" s="123"/>
      <c r="O11" s="123">
        <f>'Settlement Exhibit 2 pgs 2-17'!$F$375</f>
        <v>3</v>
      </c>
      <c r="P11" s="123">
        <f>'Settlement Exhibit 2 pgs 2-17'!$F$412</f>
        <v>1.89</v>
      </c>
      <c r="Q11" s="123">
        <f>'Settlement Exhibit 2 pgs 2-17'!$F$419</f>
        <v>1.89</v>
      </c>
    </row>
    <row r="12" spans="1:19">
      <c r="B12" s="602" t="s">
        <v>1327</v>
      </c>
      <c r="I12" s="123">
        <f>'Settlement Exhibit 2 pgs 2-17'!$F$149</f>
        <v>14.010000000000002</v>
      </c>
      <c r="J12" s="123">
        <f>'Settlement Exhibit 2 pgs 2-17'!$F$186</f>
        <v>11.660000000000002</v>
      </c>
      <c r="K12" s="123">
        <f>'Settlement Exhibit 2 pgs 2-17'!$F$224</f>
        <v>6.11</v>
      </c>
      <c r="L12" s="123">
        <f>'Settlement Exhibit 2 pgs 2-17'!$F$265</f>
        <v>5.83</v>
      </c>
      <c r="M12" s="123">
        <f>'Settlement Exhibit 2 pgs 2-17'!$F$302</f>
        <v>4.63</v>
      </c>
      <c r="N12" s="123"/>
      <c r="O12" s="123">
        <f>'Settlement Exhibit 2 pgs 2-17'!$F$376</f>
        <v>4.5500000000000007</v>
      </c>
      <c r="P12" s="123">
        <f>'Settlement Exhibit 2 pgs 2-17'!$F$413</f>
        <v>2.94</v>
      </c>
      <c r="Q12" s="123">
        <f>'Settlement Exhibit 2 pgs 2-17'!$F$420</f>
        <v>2.94</v>
      </c>
    </row>
    <row r="15" spans="1:19" ht="12.75">
      <c r="A15" s="600" t="s">
        <v>922</v>
      </c>
    </row>
    <row r="16" spans="1:19">
      <c r="B16" s="98" t="s">
        <v>1004</v>
      </c>
      <c r="D16" s="123">
        <f>'Settlement Exhibit 2 pgs 2-17'!$I$10</f>
        <v>10.75</v>
      </c>
      <c r="E16" s="123">
        <f>'Settlement Exhibit 2 pgs 2-17'!$I$43</f>
        <v>10.75</v>
      </c>
      <c r="F16" s="123">
        <f>'Settlement Exhibit 2 pgs 2-17'!$I$77</f>
        <v>10.75</v>
      </c>
      <c r="G16" s="25">
        <f>'Settlement Exhibit 2 pgs 2-17'!$I$111</f>
        <v>25</v>
      </c>
      <c r="H16" s="25">
        <f>'Settlement Exhibit 2 pgs 2-17'!$I$114</f>
        <v>40</v>
      </c>
      <c r="I16" s="25">
        <f>'Settlement Exhibit 2 pgs 2-17'!$I$146</f>
        <v>90</v>
      </c>
      <c r="J16" s="25">
        <f>'Settlement Exhibit 2 pgs 2-17'!$I$183</f>
        <v>200</v>
      </c>
      <c r="K16" s="25">
        <f>'Settlement Exhibit 2 pgs 2-17'!$I$220</f>
        <v>200</v>
      </c>
      <c r="L16" s="25"/>
      <c r="M16" s="25"/>
      <c r="N16" s="25">
        <f>'Settlement Exhibit 2 pgs 2-17'!$I$335</f>
        <v>300</v>
      </c>
      <c r="O16" s="25">
        <f>'Settlement Exhibit 2 pgs 2-17'!$I$372</f>
        <v>1000</v>
      </c>
      <c r="P16" s="25">
        <f>'Settlement Exhibit 2 pgs 2-17'!$I$409</f>
        <v>1000</v>
      </c>
      <c r="Q16" s="25">
        <f>'Settlement Exhibit 2 pgs 2-17'!$I$416</f>
        <v>1000</v>
      </c>
      <c r="R16" s="25">
        <f>'Settlement Exhibit 2 pgs 2-17'!$I$522</f>
        <v>0</v>
      </c>
      <c r="S16" s="25">
        <f>'Settlement Exhibit 2 pgs 2-17'!$I$556</f>
        <v>4</v>
      </c>
    </row>
    <row r="17" spans="2:19">
      <c r="B17" s="98" t="s">
        <v>906</v>
      </c>
      <c r="D17" s="601">
        <f>'Settlement Exhibit 2 pgs 2-17'!$I$11</f>
        <v>8.0820000000000003E-2</v>
      </c>
      <c r="E17" s="601"/>
      <c r="F17" s="601">
        <f>'Settlement Exhibit 2 pgs 2-17'!$I$78</f>
        <v>4.0079999999999998E-2</v>
      </c>
      <c r="G17" s="601">
        <f>'Settlement Exhibit 2 pgs 2-17'!$I$112</f>
        <v>8.9480000000000004E-2</v>
      </c>
      <c r="H17" s="601">
        <f>'Settlement Exhibit 2 pgs 2-17'!$I$115</f>
        <v>8.9480000000000004E-2</v>
      </c>
      <c r="I17" s="601">
        <f>'Settlement Exhibit 2 pgs 2-17'!$I$147</f>
        <v>4.0710000000000003E-2</v>
      </c>
      <c r="J17" s="601">
        <f>'Settlement Exhibit 2 pgs 2-17'!$I$184</f>
        <v>3.925E-2</v>
      </c>
      <c r="K17" s="601">
        <f>'Settlement Exhibit 2 pgs 2-17'!$I$221</f>
        <v>4.0489999999999998E-2</v>
      </c>
      <c r="L17" s="601"/>
      <c r="M17" s="601"/>
      <c r="N17" s="601">
        <f>'Settlement Exhibit 2 pgs 2-17'!$I$336</f>
        <v>3.8240000000000003E-2</v>
      </c>
      <c r="O17" s="601">
        <f>'Settlement Exhibit 2 pgs 2-17'!$I$373</f>
        <v>3.7109999999999997E-2</v>
      </c>
      <c r="P17" s="601">
        <f>'Settlement Exhibit 2 pgs 2-17'!$I$410</f>
        <v>3.6122382000000001E-2</v>
      </c>
      <c r="Q17" s="601">
        <f>'Settlement Exhibit 2 pgs 2-17'!$I$417</f>
        <v>3.6122382000000001E-2</v>
      </c>
      <c r="R17" s="601">
        <f>'Settlement Exhibit 2 pgs 2-17'!$I$523</f>
        <v>6.4649999999999999E-2</v>
      </c>
      <c r="S17" s="601">
        <f>'Settlement Exhibit 2 pgs 2-17'!$I$557</f>
        <v>7.4020000000000002E-2</v>
      </c>
    </row>
    <row r="18" spans="2:19">
      <c r="B18" s="602" t="s">
        <v>1325</v>
      </c>
      <c r="D18" s="601"/>
      <c r="E18" s="601">
        <f>'Settlement Exhibit 2 pgs 2-17'!$I$44</f>
        <v>5.5710000000000003E-2</v>
      </c>
      <c r="F18" s="601"/>
      <c r="G18" s="601"/>
      <c r="H18" s="601"/>
      <c r="I18" s="601"/>
      <c r="J18" s="601"/>
      <c r="K18" s="601"/>
      <c r="L18" s="601"/>
      <c r="M18" s="601"/>
      <c r="N18" s="601"/>
      <c r="O18" s="601"/>
      <c r="P18" s="601"/>
      <c r="Q18" s="601"/>
      <c r="R18" s="601"/>
      <c r="S18" s="601"/>
    </row>
    <row r="19" spans="2:19">
      <c r="B19" s="602" t="s">
        <v>432</v>
      </c>
      <c r="D19" s="601"/>
      <c r="E19" s="601">
        <f>'Settlement Exhibit 2 pgs 2-17'!$I$45</f>
        <v>0</v>
      </c>
      <c r="F19" s="601"/>
      <c r="G19" s="601"/>
      <c r="H19" s="601"/>
      <c r="I19" s="601"/>
      <c r="J19" s="601"/>
      <c r="K19" s="601"/>
      <c r="L19" s="601"/>
      <c r="M19" s="601"/>
      <c r="N19" s="601"/>
      <c r="O19" s="601"/>
      <c r="P19" s="601"/>
      <c r="Q19" s="601"/>
      <c r="R19" s="601"/>
      <c r="S19" s="601"/>
    </row>
    <row r="20" spans="2:19">
      <c r="B20" s="602" t="s">
        <v>433</v>
      </c>
      <c r="D20" s="601"/>
      <c r="E20" s="601">
        <f>'Settlement Exhibit 2 pgs 2-17'!$I$46</f>
        <v>0.22706000000000001</v>
      </c>
      <c r="F20" s="601"/>
      <c r="G20" s="601"/>
      <c r="H20" s="601"/>
      <c r="I20" s="601"/>
      <c r="J20" s="601"/>
      <c r="K20" s="601"/>
      <c r="L20" s="601"/>
      <c r="M20" s="601"/>
      <c r="N20" s="601"/>
      <c r="O20" s="601"/>
      <c r="P20" s="601"/>
      <c r="Q20" s="601"/>
      <c r="R20" s="601"/>
      <c r="S20" s="601"/>
    </row>
    <row r="21" spans="2:19">
      <c r="B21" s="98" t="s">
        <v>106</v>
      </c>
    </row>
    <row r="22" spans="2:19">
      <c r="B22" s="602" t="s">
        <v>1326</v>
      </c>
      <c r="F22" s="123">
        <f>'Settlement Exhibit 2 pgs 2-17'!$I$79</f>
        <v>3.25</v>
      </c>
      <c r="H22" s="123"/>
      <c r="K22" s="123">
        <f>'Settlement Exhibit 2 pgs 2-17'!$I$222</f>
        <v>3.91</v>
      </c>
      <c r="L22" s="123"/>
      <c r="M22" s="123"/>
      <c r="N22" s="123">
        <f>'Settlement Exhibit 2 pgs 2-17'!$I$337</f>
        <v>3.24</v>
      </c>
      <c r="O22" s="123">
        <f>'Settlement Exhibit 2 pgs 2-17'!$I$374</f>
        <v>2.57</v>
      </c>
      <c r="P22" s="123">
        <f>'Settlement Exhibit 2 pgs 2-17'!$I$411</f>
        <v>1.8911718</v>
      </c>
      <c r="Q22" s="123">
        <f>'Settlement Exhibit 2 pgs 2-17'!$I$418</f>
        <v>1.1407068</v>
      </c>
    </row>
    <row r="23" spans="2:19">
      <c r="B23" s="583" t="s">
        <v>1005</v>
      </c>
      <c r="F23" s="123"/>
      <c r="I23" s="123">
        <f>'Settlement Exhibit 2 pgs 2-17'!$I$148</f>
        <v>16.39</v>
      </c>
      <c r="J23" s="123">
        <f>'Settlement Exhibit 2 pgs 2-17'!$I$185</f>
        <v>13.91</v>
      </c>
      <c r="K23" s="123">
        <f>'Settlement Exhibit 2 pgs 2-17'!$I$223</f>
        <v>4.41</v>
      </c>
      <c r="L23" s="123"/>
      <c r="M23" s="123"/>
      <c r="N23" s="123">
        <f>'Settlement Exhibit 2 pgs 2-17'!$I$338</f>
        <v>3.4</v>
      </c>
      <c r="O23" s="123">
        <f>'Settlement Exhibit 2 pgs 2-17'!$I$375</f>
        <v>2.82</v>
      </c>
      <c r="P23" s="123">
        <f>'Settlement Exhibit 2 pgs 2-17'!$I$412</f>
        <v>1.8911718</v>
      </c>
      <c r="Q23" s="123">
        <f>'Settlement Exhibit 2 pgs 2-17'!$I$419</f>
        <v>1.8911718</v>
      </c>
    </row>
    <row r="24" spans="2:19">
      <c r="B24" s="602" t="s">
        <v>1327</v>
      </c>
      <c r="F24" s="123">
        <f>'Settlement Exhibit 2 pgs 2-17'!$I$80</f>
        <v>12.38</v>
      </c>
      <c r="I24" s="123">
        <f>'Settlement Exhibit 2 pgs 2-17'!$I$149</f>
        <v>13.98</v>
      </c>
      <c r="J24" s="123">
        <f>'Settlement Exhibit 2 pgs 2-17'!$I$186</f>
        <v>11.62</v>
      </c>
      <c r="K24" s="123">
        <f>'Settlement Exhibit 2 pgs 2-17'!$I$224</f>
        <v>6.05</v>
      </c>
      <c r="L24" s="123"/>
      <c r="M24" s="123"/>
      <c r="N24" s="123">
        <f>'Settlement Exhibit 2 pgs 2-17'!$I$339</f>
        <v>4.75</v>
      </c>
      <c r="O24" s="123">
        <f>'Settlement Exhibit 2 pgs 2-17'!$I$376</f>
        <v>4.37</v>
      </c>
      <c r="P24" s="123">
        <f>'Settlement Exhibit 2 pgs 2-17'!$I$413</f>
        <v>2.9418228000000002</v>
      </c>
      <c r="Q24" s="123">
        <f>'Settlement Exhibit 2 pgs 2-17'!$I$420</f>
        <v>2.9418228000000002</v>
      </c>
    </row>
  </sheetData>
  <pageMargins left="0.45" right="0.45" top="0.5" bottom="0.5" header="0.3" footer="0.3"/>
  <pageSetup scale="73" orientation="landscape" r:id="rId1"/>
  <headerFooter>
    <oddFooter>&amp;L&amp;D&amp;R&amp;F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127</vt:i4>
      </vt:variant>
    </vt:vector>
  </HeadingPairs>
  <TitlesOfParts>
    <vt:vector size="153" baseType="lpstr">
      <vt:lpstr>Schedules==&gt;</vt:lpstr>
      <vt:lpstr>Sch M-2.1-E</vt:lpstr>
      <vt:lpstr>Sch M-2.2-E</vt:lpstr>
      <vt:lpstr>Sch M-2.3-E pg 1-2</vt:lpstr>
      <vt:lpstr>Settlement Exhibit 1 pg 1</vt:lpstr>
      <vt:lpstr>Settlement Exhibit 2 pgs 2-17</vt:lpstr>
      <vt:lpstr>Settlement Exhibit 2 pgs 18-24</vt:lpstr>
      <vt:lpstr>Summaries==&gt;</vt:lpstr>
      <vt:lpstr>Rate Summary</vt:lpstr>
      <vt:lpstr>Data==&gt;</vt:lpstr>
      <vt:lpstr>12MonResults</vt:lpstr>
      <vt:lpstr>12MonLights</vt:lpstr>
      <vt:lpstr>12MonPoles</vt:lpstr>
      <vt:lpstr>ECR in Base Rates</vt:lpstr>
      <vt:lpstr>Sources ==&gt;</vt:lpstr>
      <vt:lpstr>Rates</vt:lpstr>
      <vt:lpstr>LightingRates</vt:lpstr>
      <vt:lpstr>PoleRates</vt:lpstr>
      <vt:lpstr>1022</vt:lpstr>
      <vt:lpstr>1051</vt:lpstr>
      <vt:lpstr>1055</vt:lpstr>
      <vt:lpstr>SBR</vt:lpstr>
      <vt:lpstr>MiscData</vt:lpstr>
      <vt:lpstr>Power Factor</vt:lpstr>
      <vt:lpstr>LEV</vt:lpstr>
      <vt:lpstr>Lighting</vt:lpstr>
      <vt:lpstr>L_1022_Count</vt:lpstr>
      <vt:lpstr>L_1022_Demand_Base</vt:lpstr>
      <vt:lpstr>L_1022_Demand_Base_Measured</vt:lpstr>
      <vt:lpstr>L_1022_Demand_Inter</vt:lpstr>
      <vt:lpstr>L_1022_Demand_Inter_Measured</vt:lpstr>
      <vt:lpstr>L_1022_Demand_OnPeak_Measured</vt:lpstr>
      <vt:lpstr>L_1022_Demand_Peak</vt:lpstr>
      <vt:lpstr>L_1022_Demand_Peak_Measured</vt:lpstr>
      <vt:lpstr>L_1022_Demand_Pwr_Fctr</vt:lpstr>
      <vt:lpstr>L_1022_KWH_P1</vt:lpstr>
      <vt:lpstr>L_1022_KWH_P2</vt:lpstr>
      <vt:lpstr>L_1022_KWH_P3</vt:lpstr>
      <vt:lpstr>L_1022_KWH_Total</vt:lpstr>
      <vt:lpstr>L_1022_Rate_Category</vt:lpstr>
      <vt:lpstr>L_1022_Revenue_Month</vt:lpstr>
      <vt:lpstr>L_1022_Revenue_Power_Factor</vt:lpstr>
      <vt:lpstr>L_105_Count_Test_Period</vt:lpstr>
      <vt:lpstr>L_1051_Count_OutOfPeriod</vt:lpstr>
      <vt:lpstr>L_1051_Count_Total</vt:lpstr>
      <vt:lpstr>L_1051_Light_Category</vt:lpstr>
      <vt:lpstr>L_1051_RateCategory</vt:lpstr>
      <vt:lpstr>L_1051_Revenue_Month</vt:lpstr>
      <vt:lpstr>L_1051_Revenue_OutOfPeriod</vt:lpstr>
      <vt:lpstr>L_1051_Revenue_Prorated</vt:lpstr>
      <vt:lpstr>L_1051_Revenue_Test_Period</vt:lpstr>
      <vt:lpstr>L_1051_Revenue_Total</vt:lpstr>
      <vt:lpstr>L_1055_Count_Total</vt:lpstr>
      <vt:lpstr>L_1055_RateCategory</vt:lpstr>
      <vt:lpstr>L_1055_Revenue_Month</vt:lpstr>
      <vt:lpstr>L_1055_Revenue_Total_Base</vt:lpstr>
      <vt:lpstr>L_12MonLights_Count_Total</vt:lpstr>
      <vt:lpstr>L_12MonLights_ECR</vt:lpstr>
      <vt:lpstr>L_12MonLights_FAC</vt:lpstr>
      <vt:lpstr>L_12MonLights_KWH_Total</vt:lpstr>
      <vt:lpstr>L_12MonLights_MSC</vt:lpstr>
      <vt:lpstr>L_12MonLights_RateCategory</vt:lpstr>
      <vt:lpstr>L_12MonLights_RateClass</vt:lpstr>
      <vt:lpstr>L_12MonLights_Revenue_Month</vt:lpstr>
      <vt:lpstr>L_12MonLights_Revenue_Test_Period</vt:lpstr>
      <vt:lpstr>L_12MonLights_Revenue_Total_Base</vt:lpstr>
      <vt:lpstr>L_12MonLights_Revenue_Total_Calc</vt:lpstr>
      <vt:lpstr>L_12MonLights_SBR</vt:lpstr>
      <vt:lpstr>L_12MonLightsTariffRateCategory</vt:lpstr>
      <vt:lpstr>L_12MonLightsTariffRateClass</vt:lpstr>
      <vt:lpstr>L_12MonPoles_Count</vt:lpstr>
      <vt:lpstr>L_12MonPoles_RateCategory</vt:lpstr>
      <vt:lpstr>L_12MonPoles_RateClass</vt:lpstr>
      <vt:lpstr>L_12MonPoles_Revenue_Actual</vt:lpstr>
      <vt:lpstr>L_12MonPoles_Revenue_Base</vt:lpstr>
      <vt:lpstr>L_12MonPoles_Revenue_Month</vt:lpstr>
      <vt:lpstr>L_12MonPoles_Revenue_Total_Calc</vt:lpstr>
      <vt:lpstr>L_12MonPoles_TariffRateCategory</vt:lpstr>
      <vt:lpstr>L_12MonResults_Contract_Cnt</vt:lpstr>
      <vt:lpstr>L_12MonResults_Contract_Cnt_Adj</vt:lpstr>
      <vt:lpstr>L_12MonResults_Demand_Measured_Base</vt:lpstr>
      <vt:lpstr>L_12MonResults_Demand_Measured_Inter</vt:lpstr>
      <vt:lpstr>L_12MonResults_Demand_Measured_Peak</vt:lpstr>
      <vt:lpstr>L_12MonResults_KWH_P1</vt:lpstr>
      <vt:lpstr>L_12MonResults_KWH_P2</vt:lpstr>
      <vt:lpstr>L_12MonResults_KWH_P3</vt:lpstr>
      <vt:lpstr>L_12MonResults_KWH_Total</vt:lpstr>
      <vt:lpstr>L_12MonResults_RateCategory</vt:lpstr>
      <vt:lpstr>L_12MonResults_RateClass</vt:lpstr>
      <vt:lpstr>L_12MonResults_Revenue_Actual_Base</vt:lpstr>
      <vt:lpstr>L_12MonResults_Revenue_Base_Calculated</vt:lpstr>
      <vt:lpstr>L_12MonResults_Revenue_Base_Fuel</vt:lpstr>
      <vt:lpstr>L_12MonResults_Revenue_BSC</vt:lpstr>
      <vt:lpstr>'Rate Summary'!L_12MonResults_Revenue_Calc_Base</vt:lpstr>
      <vt:lpstr>L_12MonResults_Revenue_CSR</vt:lpstr>
      <vt:lpstr>L_12MonResults_Revenue_Demand_Base</vt:lpstr>
      <vt:lpstr>L_12MonResults_Revenue_Demand_Inter</vt:lpstr>
      <vt:lpstr>L_12MonResults_Revenue_Demand_Peak</vt:lpstr>
      <vt:lpstr>L_12MonResults_Revenue_Demand_Total</vt:lpstr>
      <vt:lpstr>L_12MonResults_Revenue_DSM</vt:lpstr>
      <vt:lpstr>L_12MonResults_Revenue_ECR</vt:lpstr>
      <vt:lpstr>L_12MonResults_Revenue_Energy</vt:lpstr>
      <vt:lpstr>L_12MonResults_Revenue_Energy_NonFuel</vt:lpstr>
      <vt:lpstr>'Rate Summary'!L_12MonResults_Revenue_FAC</vt:lpstr>
      <vt:lpstr>L_12MonResults_Revenue_FAC</vt:lpstr>
      <vt:lpstr>L_12MonResults_Revenue_Month</vt:lpstr>
      <vt:lpstr>L_12MonResults_Revenue_MSC</vt:lpstr>
      <vt:lpstr>L_12MonResults_Revenue_PwrFctr</vt:lpstr>
      <vt:lpstr>L_12MonResults_Revenue_Red_Cap</vt:lpstr>
      <vt:lpstr>L_12MonResults_Revenue_Total</vt:lpstr>
      <vt:lpstr>L_12MonResults_TariffRateCategory</vt:lpstr>
      <vt:lpstr>L_12MonResults_TariffRateClass</vt:lpstr>
      <vt:lpstr>L_12MonthLights_3_Digit_Code</vt:lpstr>
      <vt:lpstr>L_LightingRates_ECR_Rate</vt:lpstr>
      <vt:lpstr>L_LightingRates_FAC_Rate</vt:lpstr>
      <vt:lpstr>L_LightingRates_Tariff_Rate_Category</vt:lpstr>
      <vt:lpstr>L_LightingRates_UnitCharge</vt:lpstr>
      <vt:lpstr>L_LightsRates_TariffRateCategory</vt:lpstr>
      <vt:lpstr>L_Rates_BSC</vt:lpstr>
      <vt:lpstr>L_Rates_Demand_Base</vt:lpstr>
      <vt:lpstr>L_Rates_Demand_ECR</vt:lpstr>
      <vt:lpstr>L_Rates_Demand_Intermediate</vt:lpstr>
      <vt:lpstr>L_Rates_Demand_Peak</vt:lpstr>
      <vt:lpstr>L_Rates_Energy</vt:lpstr>
      <vt:lpstr>L_Rates_Energy_Base_Fuel</vt:lpstr>
      <vt:lpstr>L_Rates_Energy_ECR</vt:lpstr>
      <vt:lpstr>L_Rates_Energy_P2</vt:lpstr>
      <vt:lpstr>L_Rates_Energy_P3</vt:lpstr>
      <vt:lpstr>L_Rates_Tariff_Rate_Category</vt:lpstr>
      <vt:lpstr>L_Rates_TariffRateClass</vt:lpstr>
      <vt:lpstr>L_SBR_BSC_Revenue</vt:lpstr>
      <vt:lpstr>L_SBR_CSR</vt:lpstr>
      <vt:lpstr>L_SBR_Demand_Revenue</vt:lpstr>
      <vt:lpstr>L_SBR_DSM</vt:lpstr>
      <vt:lpstr>L_SBR_ECR</vt:lpstr>
      <vt:lpstr>L_SBR_Energy_Revenue</vt:lpstr>
      <vt:lpstr>L_SBR_FAC</vt:lpstr>
      <vt:lpstr>L_SBR_KWH</vt:lpstr>
      <vt:lpstr>L_SBR_MSR</vt:lpstr>
      <vt:lpstr>L_SBR_Rate_Category</vt:lpstr>
      <vt:lpstr>L_SBR_Revenue_Month</vt:lpstr>
      <vt:lpstr>L_SBR_Revenue_Total</vt:lpstr>
      <vt:lpstr>'ECR in Base Rates'!Print_Area</vt:lpstr>
      <vt:lpstr>'Power Factor'!Print_Area</vt:lpstr>
      <vt:lpstr>'Sch M-2.1-E'!Print_Area</vt:lpstr>
      <vt:lpstr>'Sch M-2.2-E'!Print_Area</vt:lpstr>
      <vt:lpstr>'Sch M-2.3-E pg 1-2'!Print_Area</vt:lpstr>
      <vt:lpstr>'Settlement Exhibit 2 pgs 18-24'!Print_Area</vt:lpstr>
      <vt:lpstr>'Settlement Exhibit 2 pgs 2-17'!Print_Area</vt:lpstr>
      <vt:lpstr>'ECR in Base Rates'!Print_Titles</vt:lpstr>
      <vt:lpstr>'Sch M-2.2-E'!Print_Titles</vt:lpstr>
      <vt:lpstr>'Sch M-2.3-E pg 1-2'!Print_Titles</vt:lpstr>
      <vt:lpstr>'Settlement Exhibit 1 pg 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2015-04-22T16:36:43Z</dcterms:created>
  <dcterms:modified xsi:type="dcterms:W3CDTF">2015-04-22T16:37:03Z</dcterms:modified>
</cp:coreProperties>
</file>